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7" firstSheet="0" activeTab="3" autoFilterDateGrouping="1"/>
  </bookViews>
  <sheets>
    <sheet xmlns:r="http://schemas.openxmlformats.org/officeDocument/2006/relationships" name="YuHui" sheetId="1" state="visible" r:id="rId1"/>
    <sheet xmlns:r="http://schemas.openxmlformats.org/officeDocument/2006/relationships" name="YuHui-帳戶紀錄" sheetId="2" state="visible" r:id="rId2"/>
    <sheet xmlns:r="http://schemas.openxmlformats.org/officeDocument/2006/relationships" name="總投報率" sheetId="3" state="visible" r:id="rId3"/>
    <sheet xmlns:r="http://schemas.openxmlformats.org/officeDocument/2006/relationships" name="2025" sheetId="4" state="visible" r:id="rId4"/>
    <sheet xmlns:r="http://schemas.openxmlformats.org/officeDocument/2006/relationships" name="Even 期權" sheetId="5" state="visible" r:id="rId5"/>
    <sheet xmlns:r="http://schemas.openxmlformats.org/officeDocument/2006/relationships" name="每日行情" sheetId="6" state="visible" r:id="rId6"/>
    <sheet xmlns:r="http://schemas.openxmlformats.org/officeDocument/2006/relationships" name="美股行情" sheetId="7" state="visible" r:id="rId7"/>
    <sheet xmlns:r="http://schemas.openxmlformats.org/officeDocument/2006/relationships" name="外匯" sheetId="8" state="visible" r:id="rId8"/>
    <sheet xmlns:r="http://schemas.openxmlformats.org/officeDocument/2006/relationships" name="匯率" sheetId="9" state="visible" r:id="rId9"/>
    <sheet xmlns:r="http://schemas.openxmlformats.org/officeDocument/2006/relationships" name="改版紀錄" sheetId="10" state="visible" r:id="rId10"/>
    <sheet xmlns:r="http://schemas.openxmlformats.org/officeDocument/2006/relationships" name="工作表2" sheetId="11" state="visible" r:id="rId11"/>
    <sheet xmlns:r="http://schemas.openxmlformats.org/officeDocument/2006/relationships" name="19股" sheetId="12" state="visible" r:id="rId12"/>
    <sheet xmlns:r="http://schemas.openxmlformats.org/officeDocument/2006/relationships" name="19期" sheetId="13" state="visible" r:id="rId13"/>
    <sheet xmlns:r="http://schemas.openxmlformats.org/officeDocument/2006/relationships" name="18股" sheetId="14" state="visible" r:id="rId14"/>
    <sheet xmlns:r="http://schemas.openxmlformats.org/officeDocument/2006/relationships" name="18期" sheetId="15" state="visible" r:id="rId15"/>
    <sheet xmlns:r="http://schemas.openxmlformats.org/officeDocument/2006/relationships" name="17股" sheetId="16" state="visible" r:id="rId16"/>
    <sheet xmlns:r="http://schemas.openxmlformats.org/officeDocument/2006/relationships" name="17期" sheetId="17" state="visible" r:id="rId17"/>
    <sheet xmlns:r="http://schemas.openxmlformats.org/officeDocument/2006/relationships" name="16股" sheetId="18" state="visible" r:id="rId18"/>
    <sheet xmlns:r="http://schemas.openxmlformats.org/officeDocument/2006/relationships" name="16期" sheetId="19" state="visible" r:id="rId19"/>
    <sheet xmlns:r="http://schemas.openxmlformats.org/officeDocument/2006/relationships" name="15股" sheetId="20" state="visible" r:id="rId20"/>
    <sheet xmlns:r="http://schemas.openxmlformats.org/officeDocument/2006/relationships" name="存股" sheetId="21" state="visible" r:id="rId21"/>
    <sheet xmlns:r="http://schemas.openxmlformats.org/officeDocument/2006/relationships" name="14股" sheetId="22" state="visible" r:id="rId22"/>
  </sheets>
  <definedNames>
    <definedName name="uHead">#REF!</definedName>
    <definedName name="_xlnm._FilterDatabase" localSheetId="0" hidden="1">'YuHui'!$A$1:$AA$112</definedName>
    <definedName name="_xlnm._FilterDatabase" localSheetId="3" hidden="1">'2025'!$A$1:$AA$140</definedName>
    <definedName name="uHead" localSheetId="4">#REF!</definedName>
    <definedName name="外部資料_10" localSheetId="8" hidden="1">匯率!$A$1:$E$31</definedName>
    <definedName name="_xlnm._FilterDatabase" localSheetId="11" hidden="1">'19股'!$A$1:$AA$54</definedName>
    <definedName name="_xlnm._FilterDatabase" localSheetId="13" hidden="1">'18股'!$A$1:$AA$57</definedName>
    <definedName name="_xlnm._FilterDatabase" localSheetId="15" hidden="1">'17股'!$A$1:$AA$73</definedName>
    <definedName name="_xlnm._FilterDatabase" localSheetId="17" hidden="1">'16股'!$A$1:$AA$90</definedName>
    <definedName name="_xlnm._FilterDatabase" localSheetId="19" hidden="1">'15股'!$A$1:$AA$181</definedName>
    <definedName name="_xlnm._FilterDatabase" localSheetId="21" hidden="1">'14股'!$A$1:$Z$115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0_);[Red]\(0\)"/>
    <numFmt numFmtId="165" formatCode="0_ ;[Red]\-0\ "/>
    <numFmt numFmtId="166" formatCode="0_ "/>
    <numFmt numFmtId="167" formatCode="#,##0.00%;[Red]\-#,##0.00%"/>
    <numFmt numFmtId="168" formatCode="&quot; ▲&quot;* 0.00;&quot; ▼&quot;* 0.00;&quot;－&quot;"/>
    <numFmt numFmtId="169" formatCode="0.00_ "/>
    <numFmt numFmtId="170" formatCode="0.00%\ ;[Red]\-0.00%"/>
    <numFmt numFmtId="171" formatCode="&quot;-&quot;0_ "/>
    <numFmt numFmtId="172" formatCode="yyyy/mm/dd"/>
    <numFmt numFmtId="173" formatCode="0.00&quot;%&quot;"/>
    <numFmt numFmtId="174" formatCode="0.0_ ;[Red]\-0.0\ "/>
    <numFmt numFmtId="175" formatCode="yyyy"/>
    <numFmt numFmtId="176" formatCode="&quot; ▲&quot;* 0.0;&quot; ▼&quot;* 0.0;&quot;－&quot;"/>
    <numFmt numFmtId="177" formatCode="0.0_);[Red]\(0.0\)"/>
    <numFmt numFmtId="178" formatCode="0.00_ ;[Red]\-0.00\ "/>
    <numFmt numFmtId="179" formatCode="[$-409]h:mm\ AM/PM;@"/>
    <numFmt numFmtId="180" formatCode="0.00_);[Red]\(0.00\)"/>
  </numFmts>
  <fonts count="86">
    <font>
      <name val="新細明體"/>
      <charset val="136"/>
      <family val="1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sz val="9"/>
    </font>
    <font>
      <name val="新細明體"/>
      <charset val="136"/>
      <family val="1"/>
      <sz val="12"/>
    </font>
    <font>
      <name val="新細明體"/>
      <charset val="136"/>
      <family val="2"/>
      <sz val="9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theme="0" tint="-0.499984740745262"/>
      <sz val="12"/>
    </font>
    <font>
      <name val="新細明體"/>
      <charset val="136"/>
      <family val="2"/>
      <color theme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rgb="FF00B050"/>
      <sz val="12"/>
    </font>
    <font>
      <name val="新細明體"/>
      <charset val="136"/>
      <family val="2"/>
      <color rgb="FFFF0000"/>
      <sz val="12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b val="1"/>
      <color indexed="9"/>
      <sz val="12"/>
    </font>
    <font>
      <name val="Arial"/>
      <family val="2"/>
      <b val="1"/>
      <color rgb="FFFF0000"/>
      <sz val="12"/>
    </font>
    <font>
      <name val="Arial"/>
      <family val="2"/>
      <b val="1"/>
      <color rgb="FF00B050"/>
      <sz val="12"/>
    </font>
    <font>
      <name val="新細明體"/>
      <charset val="136"/>
      <family val="1"/>
      <color theme="10"/>
      <sz val="12"/>
      <u val="single"/>
    </font>
    <font>
      <name val="新細明體"/>
      <charset val="136"/>
      <family val="2"/>
      <color rgb="FF0070C0"/>
      <sz val="12"/>
      <scheme val="minor"/>
    </font>
    <font>
      <name val="新細明體"/>
      <charset val="136"/>
      <family val="2"/>
      <color theme="9" tint="-0.249977111117893"/>
      <sz val="12"/>
      <scheme val="minor"/>
    </font>
    <font>
      <name val="微軟正黑體"/>
      <charset val="136"/>
      <family val="2"/>
      <color rgb="FF000000"/>
      <sz val="12"/>
    </font>
    <font>
      <name val="新細明體"/>
      <charset val="136"/>
      <family val="2"/>
      <sz val="12"/>
    </font>
    <font>
      <name val="新細明體"/>
      <charset val="136"/>
      <family val="2"/>
      <color rgb="FF00B050"/>
      <sz val="12"/>
    </font>
    <font>
      <name val="新細明體"/>
      <charset val="136"/>
      <family val="1"/>
      <b val="1"/>
      <color rgb="FF00B050"/>
      <sz val="12"/>
      <scheme val="minor"/>
    </font>
    <font>
      <name val="新細明體"/>
      <charset val="136"/>
      <family val="1"/>
      <b val="1"/>
      <color rgb="FF00B050"/>
      <sz val="12"/>
    </font>
    <font>
      <name val="新細明體"/>
      <charset val="136"/>
      <family val="1"/>
      <b val="1"/>
      <color theme="9" tint="-0.249977111117893"/>
      <sz val="12"/>
      <scheme val="minor"/>
    </font>
    <font>
      <name val="新細明體"/>
      <charset val="136"/>
      <family val="1"/>
      <b val="1"/>
      <color theme="9" tint="-0.249977111117893"/>
      <sz val="12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sz val="12"/>
      <scheme val="minor"/>
    </font>
    <font>
      <name val="新細明體"/>
      <charset val="136"/>
      <family val="1"/>
      <color rgb="FFFF0000"/>
      <sz val="12"/>
      <scheme val="minor"/>
    </font>
    <font>
      <name val="新細明體"/>
      <charset val="136"/>
      <family val="1"/>
      <color rgb="FF7030A0"/>
      <sz val="12"/>
      <scheme val="minor"/>
    </font>
    <font>
      <name val="新細明體"/>
      <charset val="136"/>
      <family val="2"/>
      <color rgb="FF7030A0"/>
      <sz val="12"/>
      <scheme val="minor"/>
    </font>
    <font>
      <name val="新細明體"/>
      <charset val="136"/>
      <family val="1"/>
      <sz val="12"/>
      <scheme val="minor"/>
    </font>
    <font>
      <name val="新細明體"/>
      <charset val="136"/>
      <family val="1"/>
      <color theme="9" tint="-0.249977111117893"/>
      <sz val="12"/>
    </font>
    <font>
      <name val="細明體"/>
      <charset val="136"/>
      <family val="3"/>
      <b val="1"/>
      <color indexed="81"/>
      <sz val="9"/>
    </font>
    <font>
      <name val="新細明體"/>
      <charset val="136"/>
      <family val="1"/>
      <color theme="0" tint="-0.499984740745262"/>
      <sz val="12"/>
    </font>
    <font>
      <name val="新細明體"/>
      <charset val="136"/>
      <family val="1"/>
      <color rgb="FFFFC000"/>
      <sz val="12"/>
    </font>
    <font>
      <name val="Microsoft JhengHei"/>
      <charset val="136"/>
      <family val="1"/>
      <b val="1"/>
      <sz val="12"/>
    </font>
    <font>
      <name val="新細明體"/>
      <charset val="136"/>
      <family val="1"/>
      <b val="1"/>
      <color rgb="FF7030A0"/>
      <sz val="12"/>
    </font>
  </fonts>
  <fills count="15">
    <fill>
      <patternFill/>
    </fill>
    <fill>
      <patternFill patternType="gray125"/>
    </fill>
    <fill>
      <patternFill patternType="lightTrellis">
        <bgColor theme="0" tint="-0.3499862666707358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49" fillId="0" borderId="0"/>
    <xf numFmtId="0" fontId="49" fillId="0" borderId="0"/>
    <xf numFmtId="0" fontId="47" fillId="0" borderId="0" applyAlignment="1">
      <alignment vertical="center"/>
    </xf>
    <xf numFmtId="0" fontId="54" fillId="3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9" fillId="0" borderId="0"/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64" fillId="0" borderId="0"/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</cellStyleXfs>
  <cellXfs count="819">
    <xf numFmtId="0" fontId="0" fillId="0" borderId="0" pivotButton="0" quotePrefix="0" xfId="0"/>
    <xf numFmtId="0" fontId="49" fillId="0" borderId="1" applyAlignment="1" pivotButton="0" quotePrefix="0" xfId="1">
      <alignment horizontal="left" vertical="center"/>
    </xf>
    <xf numFmtId="0" fontId="47" fillId="0" borderId="2" applyAlignment="1" pivotButton="0" quotePrefix="0" xfId="2">
      <alignment horizontal="center" vertical="center"/>
    </xf>
    <xf numFmtId="0" fontId="47" fillId="0" borderId="2" applyAlignment="1" pivotButton="0" quotePrefix="0" xfId="2">
      <alignment horizontal="left" vertical="center"/>
    </xf>
    <xf numFmtId="0" fontId="49" fillId="0" borderId="2" applyAlignment="1" pivotButton="0" quotePrefix="0" xfId="1">
      <alignment horizontal="left" vertical="center"/>
    </xf>
    <xf numFmtId="164" fontId="49" fillId="0" borderId="2" applyAlignment="1" pivotButton="0" quotePrefix="0" xfId="1">
      <alignment horizontal="left" vertical="center"/>
    </xf>
    <xf numFmtId="165" fontId="49" fillId="0" borderId="2" applyAlignment="1" pivotButton="0" quotePrefix="0" xfId="1">
      <alignment horizontal="left" vertical="center"/>
    </xf>
    <xf numFmtId="0" fontId="49" fillId="0" borderId="3" applyAlignment="1" pivotButton="0" quotePrefix="0" xfId="1">
      <alignment horizontal="center" vertical="center"/>
    </xf>
    <xf numFmtId="0" fontId="47" fillId="0" borderId="0" applyAlignment="1" pivotButton="0" quotePrefix="0" xfId="2">
      <alignment horizontal="left" vertical="center"/>
    </xf>
    <xf numFmtId="0" fontId="47" fillId="0" borderId="0" applyAlignment="1" pivotButton="0" quotePrefix="0" xfId="2">
      <alignment horizontal="center" vertical="center"/>
    </xf>
    <xf numFmtId="14" fontId="47" fillId="0" borderId="4" applyAlignment="1" pivotButton="0" quotePrefix="0" xfId="2">
      <alignment horizontal="center" vertical="center"/>
    </xf>
    <xf numFmtId="0" fontId="47" fillId="0" borderId="5" applyAlignment="1" pivotButton="0" quotePrefix="0" xfId="2">
      <alignment horizontal="center" vertical="center"/>
    </xf>
    <xf numFmtId="14" fontId="47" fillId="0" borderId="5" applyAlignment="1" pivotButton="0" quotePrefix="0" xfId="2">
      <alignment horizontal="center" vertical="center"/>
    </xf>
    <xf numFmtId="166" fontId="49" fillId="0" borderId="5" applyAlignment="1" pivotButton="0" quotePrefix="0" xfId="1">
      <alignment horizontal="center" vertical="center" wrapText="1"/>
    </xf>
    <xf numFmtId="165" fontId="49" fillId="0" borderId="5" applyAlignment="1" pivotButton="0" quotePrefix="0" xfId="1">
      <alignment horizontal="center" vertical="center" wrapText="1"/>
    </xf>
    <xf numFmtId="167" fontId="49" fillId="0" borderId="5" applyAlignment="1" pivotButton="0" quotePrefix="0" xfId="1">
      <alignment horizontal="center" vertical="center"/>
    </xf>
    <xf numFmtId="0" fontId="49" fillId="0" borderId="5" applyAlignment="1" pivotButton="0" quotePrefix="0" xfId="1">
      <alignment horizontal="center" vertical="center" wrapText="1"/>
    </xf>
    <xf numFmtId="0" fontId="49" fillId="0" borderId="5" applyAlignment="1" pivotButton="0" quotePrefix="0" xfId="1">
      <alignment horizontal="center" vertical="center"/>
    </xf>
    <xf numFmtId="14" fontId="47" fillId="2" borderId="4" applyAlignment="1" pivotButton="0" quotePrefix="0" xfId="2">
      <alignment horizontal="center" vertical="center"/>
    </xf>
    <xf numFmtId="0" fontId="47" fillId="2" borderId="5" applyAlignment="1" pivotButton="0" quotePrefix="0" xfId="2">
      <alignment horizontal="center" vertical="center"/>
    </xf>
    <xf numFmtId="49" fontId="47" fillId="2" borderId="5" applyAlignment="1" pivotButton="0" quotePrefix="0" xfId="2">
      <alignment horizontal="center" vertical="center"/>
    </xf>
    <xf numFmtId="14" fontId="49" fillId="2" borderId="5" applyAlignment="1" pivotButton="0" quotePrefix="0" xfId="1">
      <alignment horizontal="center" vertical="center" wrapText="1"/>
    </xf>
    <xf numFmtId="0" fontId="49" fillId="2" borderId="5" applyAlignment="1" pivotButton="0" quotePrefix="0" xfId="1">
      <alignment horizontal="center" vertical="center" wrapText="1"/>
    </xf>
    <xf numFmtId="164" fontId="49" fillId="2" borderId="5" applyAlignment="1" pivotButton="0" quotePrefix="0" xfId="1">
      <alignment horizontal="center" vertical="center" wrapText="1"/>
    </xf>
    <xf numFmtId="166" fontId="49" fillId="2" borderId="5" applyAlignment="1" pivotButton="0" quotePrefix="0" xfId="1">
      <alignment horizontal="center" vertical="center" wrapText="1"/>
    </xf>
    <xf numFmtId="165" fontId="49" fillId="2" borderId="5" applyAlignment="1" pivotButton="0" quotePrefix="0" xfId="1">
      <alignment horizontal="center" vertical="center" wrapText="1"/>
    </xf>
    <xf numFmtId="167" fontId="49" fillId="2" borderId="5" applyAlignment="1" pivotButton="0" quotePrefix="0" xfId="1">
      <alignment horizontal="center" vertical="center"/>
    </xf>
    <xf numFmtId="0" fontId="49" fillId="2" borderId="6" applyAlignment="1" pivotButton="0" quotePrefix="0" xfId="1">
      <alignment horizontal="center" vertical="center" wrapText="1"/>
    </xf>
    <xf numFmtId="0" fontId="47" fillId="0" borderId="0" applyAlignment="1" pivotButton="0" quotePrefix="0" xfId="2">
      <alignment vertical="center"/>
    </xf>
    <xf numFmtId="14" fontId="47" fillId="0" borderId="0" applyAlignment="1" pivotButton="0" quotePrefix="0" xfId="2">
      <alignment horizontal="center" vertical="center"/>
    </xf>
    <xf numFmtId="14" fontId="49" fillId="0" borderId="0" applyAlignment="1" pivotButton="0" quotePrefix="0" xfId="1">
      <alignment horizontal="center" vertical="center" wrapText="1"/>
    </xf>
    <xf numFmtId="0" fontId="49" fillId="0" borderId="0" applyAlignment="1" pivotButton="0" quotePrefix="0" xfId="1">
      <alignment horizontal="center" vertical="center" wrapText="1"/>
    </xf>
    <xf numFmtId="164" fontId="49" fillId="0" borderId="0" applyAlignment="1" pivotButton="0" quotePrefix="0" xfId="1">
      <alignment horizontal="center" vertical="center" wrapText="1"/>
    </xf>
    <xf numFmtId="166" fontId="49" fillId="0" borderId="0" applyAlignment="1" pivotButton="0" quotePrefix="0" xfId="1">
      <alignment horizontal="center" vertical="center" wrapText="1"/>
    </xf>
    <xf numFmtId="165" fontId="49" fillId="0" borderId="0" applyAlignment="1" pivotButton="0" quotePrefix="0" xfId="1">
      <alignment horizontal="center" vertical="center" wrapText="1"/>
    </xf>
    <xf numFmtId="167" fontId="49" fillId="0" borderId="0" applyAlignment="1" pivotButton="0" quotePrefix="0" xfId="1">
      <alignment horizontal="center" vertical="center"/>
    </xf>
    <xf numFmtId="0" fontId="52" fillId="0" borderId="0" applyAlignment="1" pivotButton="0" quotePrefix="0" xfId="2">
      <alignment horizontal="center" vertical="center"/>
    </xf>
    <xf numFmtId="0" fontId="53" fillId="0" borderId="0" applyAlignment="1" pivotButton="0" quotePrefix="0" xfId="2">
      <alignment horizontal="center" vertical="center"/>
    </xf>
    <xf numFmtId="168" fontId="49" fillId="0" borderId="6" applyAlignment="1" pivotButton="0" quotePrefix="0" xfId="1">
      <alignment horizontal="center" vertical="center" wrapText="1"/>
    </xf>
    <xf numFmtId="14" fontId="47" fillId="4" borderId="4" applyAlignment="1" pivotButton="0" quotePrefix="0" xfId="2">
      <alignment horizontal="center" vertical="center"/>
    </xf>
    <xf numFmtId="0" fontId="47" fillId="4" borderId="5" applyAlignment="1" pivotButton="0" quotePrefix="0" xfId="2">
      <alignment horizontal="center" vertical="center"/>
    </xf>
    <xf numFmtId="14" fontId="47" fillId="4" borderId="5" applyAlignment="1" pivotButton="0" quotePrefix="0" xfId="2">
      <alignment horizontal="center" vertical="center"/>
    </xf>
    <xf numFmtId="0" fontId="49" fillId="4" borderId="5" applyAlignment="1" pivotButton="0" quotePrefix="0" xfId="1">
      <alignment horizontal="center" vertical="center" wrapText="1"/>
    </xf>
    <xf numFmtId="164" fontId="49" fillId="4" borderId="5" applyAlignment="1" pivotButton="0" quotePrefix="0" xfId="1">
      <alignment horizontal="center" vertical="center" wrapText="1"/>
    </xf>
    <xf numFmtId="166" fontId="49" fillId="4" borderId="5" applyAlignment="1" pivotButton="0" quotePrefix="0" xfId="1">
      <alignment horizontal="center" vertical="center" wrapText="1"/>
    </xf>
    <xf numFmtId="165" fontId="49" fillId="4" borderId="5" applyAlignment="1" pivotButton="0" quotePrefix="0" xfId="1">
      <alignment horizontal="center" vertical="center" wrapText="1"/>
    </xf>
    <xf numFmtId="167" fontId="49" fillId="4" borderId="5" applyAlignment="1" pivotButton="0" quotePrefix="0" xfId="1">
      <alignment horizontal="center" vertical="center"/>
    </xf>
    <xf numFmtId="0" fontId="49" fillId="4" borderId="6" applyAlignment="1" pivotButton="0" quotePrefix="0" xfId="1">
      <alignment horizontal="center" vertical="center" wrapText="1"/>
    </xf>
    <xf numFmtId="14" fontId="47" fillId="0" borderId="7" applyAlignment="1" pivotButton="0" quotePrefix="0" xfId="2">
      <alignment horizontal="center" vertical="center"/>
    </xf>
    <xf numFmtId="0" fontId="47" fillId="0" borderId="8" applyAlignment="1" pivotButton="0" quotePrefix="0" xfId="2">
      <alignment horizontal="center" vertical="center"/>
    </xf>
    <xf numFmtId="14" fontId="47" fillId="0" borderId="8" applyAlignment="1" pivotButton="0" quotePrefix="0" xfId="2">
      <alignment horizontal="center" vertical="center"/>
    </xf>
    <xf numFmtId="0" fontId="49" fillId="0" borderId="8" applyAlignment="1" pivotButton="0" quotePrefix="0" xfId="1">
      <alignment horizontal="center" vertical="center" wrapText="1"/>
    </xf>
    <xf numFmtId="164" fontId="49" fillId="0" borderId="8" applyAlignment="1" pivotButton="0" quotePrefix="0" xfId="1">
      <alignment horizontal="center" vertical="center" wrapText="1"/>
    </xf>
    <xf numFmtId="166" fontId="49" fillId="0" borderId="8" applyAlignment="1" pivotButton="0" quotePrefix="0" xfId="1">
      <alignment horizontal="center" vertical="center" wrapText="1"/>
    </xf>
    <xf numFmtId="165" fontId="49" fillId="0" borderId="8" applyAlignment="1" pivotButton="0" quotePrefix="0" xfId="1">
      <alignment horizontal="center" vertical="center" wrapText="1"/>
    </xf>
    <xf numFmtId="167" fontId="49" fillId="0" borderId="8" applyAlignment="1" pivotButton="0" quotePrefix="0" xfId="1">
      <alignment horizontal="center" vertical="center"/>
    </xf>
    <xf numFmtId="0" fontId="49" fillId="0" borderId="9" applyAlignment="1" pivotButton="0" quotePrefix="0" xfId="1">
      <alignment horizontal="center" vertical="center" wrapText="1"/>
    </xf>
    <xf numFmtId="165" fontId="49" fillId="0" borderId="10" applyAlignment="1" pivotButton="0" quotePrefix="0" xfId="1">
      <alignment horizontal="center" vertical="center" wrapText="1"/>
    </xf>
    <xf numFmtId="0" fontId="51" fillId="5" borderId="21" applyAlignment="1" pivotButton="0" quotePrefix="0" xfId="1">
      <alignment horizontal="center" vertical="center"/>
    </xf>
    <xf numFmtId="3" fontId="51" fillId="5" borderId="20" applyAlignment="1" pivotButton="0" quotePrefix="0" xfId="1">
      <alignment horizontal="center" vertical="center"/>
    </xf>
    <xf numFmtId="3" fontId="51" fillId="5" borderId="20" applyAlignment="1" pivotButton="0" quotePrefix="0" xfId="1">
      <alignment horizontal="center" vertical="center" wrapText="1"/>
    </xf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67" fontId="51" fillId="5" borderId="21" applyAlignment="1" pivotButton="0" quotePrefix="0" xfId="1">
      <alignment horizontal="center" vertical="center"/>
    </xf>
    <xf numFmtId="0" fontId="0" fillId="0" borderId="2" applyAlignment="1" pivotButton="0" quotePrefix="0" xfId="1">
      <alignment horizontal="left" vertical="center"/>
    </xf>
    <xf numFmtId="10" fontId="49" fillId="0" borderId="5" applyAlignment="1" pivotButton="0" quotePrefix="0" xfId="1">
      <alignment horizontal="center" vertical="center" wrapText="1"/>
    </xf>
    <xf numFmtId="9" fontId="49" fillId="0" borderId="5" applyAlignment="1" pivotButton="0" quotePrefix="0" xfId="1">
      <alignment horizontal="center" vertical="center" wrapText="1"/>
    </xf>
    <xf numFmtId="3" fontId="51" fillId="5" borderId="21" applyAlignment="1" pivotButton="0" quotePrefix="0" xfId="1">
      <alignment horizontal="center" vertical="center"/>
    </xf>
    <xf numFmtId="3" fontId="51" fillId="5" borderId="21" applyAlignment="1" pivotButton="0" quotePrefix="0" xfId="1">
      <alignment horizontal="center" vertical="center" wrapText="1"/>
    </xf>
    <xf numFmtId="10" fontId="49" fillId="4" borderId="5" applyAlignment="1" pivotButton="0" quotePrefix="0" xfId="1">
      <alignment horizontal="center" vertical="center" wrapText="1"/>
    </xf>
    <xf numFmtId="10" fontId="49" fillId="2" borderId="5" applyAlignment="1" pivotButton="0" quotePrefix="0" xfId="1">
      <alignment horizontal="center" vertical="center" wrapText="1"/>
    </xf>
    <xf numFmtId="9" fontId="49" fillId="4" borderId="5" applyAlignment="1" pivotButton="0" quotePrefix="0" xfId="1">
      <alignment horizontal="center" vertical="center" wrapText="1"/>
    </xf>
    <xf numFmtId="9" fontId="49" fillId="2" borderId="5" applyAlignment="1" pivotButton="0" quotePrefix="0" xfId="1">
      <alignment horizontal="center" vertical="center" wrapText="1"/>
    </xf>
    <xf numFmtId="9" fontId="49" fillId="0" borderId="8" applyAlignment="1" pivotButton="0" quotePrefix="0" xfId="1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0" fontId="51" fillId="0" borderId="0" pivotButton="0" quotePrefix="0" xfId="0"/>
    <xf numFmtId="167" fontId="55" fillId="5" borderId="24" applyAlignment="1" pivotButton="0" quotePrefix="0" xfId="1">
      <alignment horizontal="center" vertical="center"/>
    </xf>
    <xf numFmtId="0" fontId="44" fillId="0" borderId="0" applyAlignment="1" pivotButton="0" quotePrefix="0" xfId="2">
      <alignment horizontal="center" vertical="center"/>
    </xf>
    <xf numFmtId="0" fontId="52" fillId="0" borderId="0" applyAlignment="1" pivotButton="0" quotePrefix="0" xfId="2">
      <alignment vertical="center"/>
    </xf>
    <xf numFmtId="14" fontId="52" fillId="0" borderId="0" applyAlignment="1" pivotButton="0" quotePrefix="0" xfId="2">
      <alignment vertical="center"/>
    </xf>
    <xf numFmtId="0" fontId="49" fillId="0" borderId="0" applyAlignment="1" pivotButton="0" quotePrefix="0" xfId="1">
      <alignment horizontal="center" vertical="center"/>
    </xf>
    <xf numFmtId="169" fontId="49" fillId="0" borderId="0" applyAlignment="1" pivotButton="0" quotePrefix="0" xfId="1">
      <alignment horizontal="center" vertical="center" wrapText="1"/>
    </xf>
    <xf numFmtId="0" fontId="51" fillId="6" borderId="19" pivotButton="0" quotePrefix="0" xfId="0"/>
    <xf numFmtId="165" fontId="51" fillId="6" borderId="19" pivotButton="0" quotePrefix="0" xfId="0"/>
    <xf numFmtId="170" fontId="51" fillId="6" borderId="19" pivotButton="0" quotePrefix="0" xfId="0"/>
    <xf numFmtId="10" fontId="51" fillId="6" borderId="19" pivotButton="0" quotePrefix="0" xfId="0"/>
    <xf numFmtId="0" fontId="51" fillId="7" borderId="19" pivotButton="0" quotePrefix="0" xfId="0"/>
    <xf numFmtId="165" fontId="51" fillId="7" borderId="19" pivotButton="0" quotePrefix="0" xfId="0"/>
    <xf numFmtId="170" fontId="51" fillId="7" borderId="19" pivotButton="0" quotePrefix="0" xfId="0"/>
    <xf numFmtId="0" fontId="51" fillId="8" borderId="19" applyAlignment="1" pivotButton="0" quotePrefix="0" xfId="1">
      <alignment horizontal="center" vertical="center"/>
    </xf>
    <xf numFmtId="164" fontId="51" fillId="8" borderId="19" applyAlignment="1" pivotButton="0" quotePrefix="0" xfId="1">
      <alignment horizontal="center" vertical="center"/>
    </xf>
    <xf numFmtId="0" fontId="51" fillId="8" borderId="19" pivotButton="0" quotePrefix="0" xfId="0"/>
    <xf numFmtId="165" fontId="51" fillId="8" borderId="19" pivotButton="0" quotePrefix="0" xfId="0"/>
    <xf numFmtId="170" fontId="51" fillId="8" borderId="19" pivotButton="0" quotePrefix="0" xfId="0"/>
    <xf numFmtId="14" fontId="27" fillId="0" borderId="4" applyAlignment="1" pivotButton="0" quotePrefix="0" xfId="2">
      <alignment horizontal="center" vertical="center"/>
    </xf>
    <xf numFmtId="165" fontId="51" fillId="5" borderId="20" applyAlignment="1" pivotButton="0" quotePrefix="0" xfId="1">
      <alignment horizontal="center" vertical="center"/>
    </xf>
    <xf numFmtId="165" fontId="51" fillId="5" borderId="20" applyAlignment="1" pivotButton="0" quotePrefix="0" xfId="1">
      <alignment horizontal="center" vertical="center" wrapText="1"/>
    </xf>
    <xf numFmtId="0" fontId="56" fillId="0" borderId="0" applyAlignment="1" pivotButton="0" quotePrefix="0" xfId="2">
      <alignment vertical="center"/>
    </xf>
    <xf numFmtId="14" fontId="27" fillId="0" borderId="28" applyAlignment="1" pivotButton="0" quotePrefix="0" xfId="2">
      <alignment horizontal="center" vertical="center"/>
    </xf>
    <xf numFmtId="0" fontId="51" fillId="0" borderId="0" applyAlignment="1" pivotButton="0" quotePrefix="0" xfId="0">
      <alignment vertical="center"/>
    </xf>
    <xf numFmtId="0" fontId="57" fillId="0" borderId="0" applyAlignment="1" pivotButton="0" quotePrefix="0" xfId="0">
      <alignment vertical="center"/>
    </xf>
    <xf numFmtId="171" fontId="58" fillId="0" borderId="0" pivotButton="0" quotePrefix="0" xfId="0"/>
    <xf numFmtId="0" fontId="51" fillId="8" borderId="19" applyAlignment="1" pivotButton="0" quotePrefix="0" xfId="0">
      <alignment horizontal="center" vertical="center" wrapText="1"/>
    </xf>
    <xf numFmtId="3" fontId="0" fillId="0" borderId="0" applyAlignment="1" pivotButton="0" quotePrefix="0" xfId="0">
      <alignment vertical="center"/>
    </xf>
    <xf numFmtId="0" fontId="59" fillId="0" borderId="0" applyAlignment="1" pivotButton="0" quotePrefix="0" xfId="2">
      <alignment vertical="center"/>
    </xf>
    <xf numFmtId="172" fontId="0" fillId="0" borderId="0" applyAlignment="1" pivotButton="0" quotePrefix="0" xfId="0">
      <alignment vertical="center"/>
    </xf>
    <xf numFmtId="0" fontId="49" fillId="0" borderId="32" applyAlignment="1" pivotButton="0" quotePrefix="0" xfId="1">
      <alignment horizontal="left" vertical="center"/>
    </xf>
    <xf numFmtId="0" fontId="57" fillId="0" borderId="0" applyAlignment="1" pivotButton="0" quotePrefix="0" xfId="2">
      <alignment vertical="center"/>
    </xf>
    <xf numFmtId="165" fontId="51" fillId="0" borderId="0" pivotButton="0" quotePrefix="0" xfId="0"/>
    <xf numFmtId="172" fontId="0" fillId="4" borderId="0" applyAlignment="1" pivotButton="0" quotePrefix="0" xfId="0">
      <alignment vertical="center"/>
    </xf>
    <xf numFmtId="0" fontId="57" fillId="4" borderId="0" applyAlignment="1" pivotButton="0" quotePrefix="0" xfId="0">
      <alignment vertical="center"/>
    </xf>
    <xf numFmtId="171" fontId="58" fillId="4" borderId="0" pivotButton="0" quotePrefix="0" xfId="0"/>
    <xf numFmtId="165" fontId="51" fillId="4" borderId="0" pivotButton="0" quotePrefix="0" xfId="0"/>
    <xf numFmtId="0" fontId="0" fillId="4" borderId="0" pivotButton="0" quotePrefix="0" xfId="0"/>
    <xf numFmtId="172" fontId="0" fillId="9" borderId="0" applyAlignment="1" pivotButton="0" quotePrefix="0" xfId="0">
      <alignment vertical="center"/>
    </xf>
    <xf numFmtId="0" fontId="57" fillId="9" borderId="0" applyAlignment="1" pivotButton="0" quotePrefix="0" xfId="0">
      <alignment vertical="center"/>
    </xf>
    <xf numFmtId="171" fontId="58" fillId="9" borderId="0" pivotButton="0" quotePrefix="0" xfId="0"/>
    <xf numFmtId="165" fontId="51" fillId="9" borderId="0" pivotButton="0" quotePrefix="0" xfId="0"/>
    <xf numFmtId="0" fontId="0" fillId="9" borderId="0" pivotButton="0" quotePrefix="0" xfId="0"/>
    <xf numFmtId="0" fontId="0" fillId="9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72" fontId="0" fillId="10" borderId="0" applyAlignment="1" pivotButton="0" quotePrefix="0" xfId="0">
      <alignment vertical="center"/>
    </xf>
    <xf numFmtId="0" fontId="51" fillId="10" borderId="0" applyAlignment="1" pivotButton="0" quotePrefix="0" xfId="0">
      <alignment vertical="center"/>
    </xf>
    <xf numFmtId="171" fontId="58" fillId="10" borderId="0" pivotButton="0" quotePrefix="0" xfId="0"/>
    <xf numFmtId="165" fontId="51" fillId="10" borderId="0" pivotButton="0" quotePrefix="0" xfId="0"/>
    <xf numFmtId="0" fontId="0" fillId="10" borderId="0" applyAlignment="1" pivotButton="0" quotePrefix="0" xfId="0">
      <alignment vertical="center"/>
    </xf>
    <xf numFmtId="0" fontId="0" fillId="0" borderId="11" applyAlignment="1" pivotButton="0" quotePrefix="0" xfId="1">
      <alignment horizontal="left" vertical="center"/>
    </xf>
    <xf numFmtId="0" fontId="0" fillId="0" borderId="12" applyAlignment="1" pivotButton="0" quotePrefix="0" xfId="1">
      <alignment horizontal="left" vertical="center"/>
    </xf>
    <xf numFmtId="164" fontId="0" fillId="0" borderId="12" applyAlignment="1" pivotButton="0" quotePrefix="0" xfId="1">
      <alignment horizontal="left" vertical="center"/>
    </xf>
    <xf numFmtId="0" fontId="49" fillId="0" borderId="12" applyAlignment="1" pivotButton="0" quotePrefix="0" xfId="1">
      <alignment horizontal="left" vertical="center"/>
    </xf>
    <xf numFmtId="165" fontId="0" fillId="0" borderId="12" applyAlignment="1" pivotButton="0" quotePrefix="0" xfId="1">
      <alignment horizontal="left" vertical="center"/>
    </xf>
    <xf numFmtId="165" fontId="0" fillId="0" borderId="33" applyAlignment="1" pivotButton="0" quotePrefix="0" xfId="1">
      <alignment horizontal="center" vertical="center"/>
    </xf>
    <xf numFmtId="166" fontId="49" fillId="11" borderId="23" applyAlignment="1" pivotButton="0" quotePrefix="0" xfId="1">
      <alignment horizontal="center" vertical="center" wrapText="1"/>
    </xf>
    <xf numFmtId="165" fontId="49" fillId="11" borderId="24" applyAlignment="1" pivotButton="0" quotePrefix="0" xfId="1">
      <alignment horizontal="center" vertical="center" wrapText="1"/>
    </xf>
    <xf numFmtId="165" fontId="49" fillId="0" borderId="6" applyAlignment="1" pivotButton="0" quotePrefix="0" xfId="1">
      <alignment horizontal="center" vertical="center" wrapText="1"/>
    </xf>
    <xf numFmtId="166" fontId="51" fillId="4" borderId="23" applyAlignment="1" pivotButton="0" quotePrefix="0" xfId="1">
      <alignment horizontal="center" vertical="center" wrapText="1"/>
    </xf>
    <xf numFmtId="165" fontId="51" fillId="4" borderId="34" applyAlignment="1" pivotButton="0" quotePrefix="0" xfId="1">
      <alignment horizontal="center" vertical="center" wrapText="1"/>
    </xf>
    <xf numFmtId="166" fontId="51" fillId="0" borderId="0" applyAlignment="1" pivotButton="0" quotePrefix="0" xfId="1">
      <alignment horizontal="center" vertical="center" wrapText="1"/>
    </xf>
    <xf numFmtId="165" fontId="51" fillId="4" borderId="23" applyAlignment="1" pivotButton="0" quotePrefix="0" xfId="1">
      <alignment horizontal="center" vertical="center" wrapText="1"/>
    </xf>
    <xf numFmtId="167" fontId="51" fillId="4" borderId="36" applyAlignment="1" pivotButton="0" quotePrefix="0" xfId="1">
      <alignment horizontal="center" vertical="center"/>
    </xf>
    <xf numFmtId="0" fontId="51" fillId="4" borderId="34" applyAlignment="1" pivotButton="0" quotePrefix="0" xfId="1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0" fillId="4" borderId="23" applyAlignment="1" pivotButton="0" quotePrefix="0" xfId="0">
      <alignment horizontal="center" vertical="center"/>
    </xf>
    <xf numFmtId="3" fontId="51" fillId="4" borderId="35" applyAlignment="1" pivotButton="0" quotePrefix="0" xfId="1">
      <alignment horizontal="center" vertical="center" wrapText="1"/>
    </xf>
    <xf numFmtId="165" fontId="51" fillId="4" borderId="24" applyAlignment="1" pivotButton="0" quotePrefix="0" xfId="1">
      <alignment horizontal="center" vertical="center" wrapText="1"/>
    </xf>
    <xf numFmtId="167" fontId="51" fillId="4" borderId="24" applyAlignment="1" pivotButton="0" quotePrefix="0" xfId="1">
      <alignment horizontal="center" vertical="center"/>
    </xf>
    <xf numFmtId="10" fontId="51" fillId="4" borderId="23" applyAlignment="1" pivotButton="0" quotePrefix="0" xfId="1">
      <alignment horizontal="center" vertical="center"/>
    </xf>
    <xf numFmtId="167" fontId="55" fillId="4" borderId="24" applyAlignment="1" pivotButton="0" quotePrefix="0" xfId="0">
      <alignment horizontal="center" vertical="center"/>
    </xf>
    <xf numFmtId="0" fontId="51" fillId="4" borderId="24" applyAlignment="1" pivotButton="0" quotePrefix="0" xfId="1">
      <alignment horizontal="center" vertical="center"/>
    </xf>
    <xf numFmtId="171" fontId="0" fillId="10" borderId="0" pivotButton="0" quotePrefix="0" xfId="0"/>
    <xf numFmtId="0" fontId="61" fillId="12" borderId="37" applyAlignment="1" pivotButton="0" quotePrefix="0" xfId="0">
      <alignment horizontal="center" vertical="center" wrapText="1"/>
    </xf>
    <xf numFmtId="0" fontId="62" fillId="0" borderId="0" pivotButton="0" quotePrefix="0" xfId="0"/>
    <xf numFmtId="0" fontId="63" fillId="0" borderId="0" pivotButton="0" quotePrefix="0" xfId="0"/>
    <xf numFmtId="10" fontId="61" fillId="12" borderId="37" applyAlignment="1" pivotButton="0" quotePrefix="0" xfId="0">
      <alignment horizontal="center" vertical="center" wrapText="1"/>
    </xf>
    <xf numFmtId="10" fontId="0" fillId="0" borderId="0" pivotButton="0" quotePrefix="0" xfId="0"/>
    <xf numFmtId="173" fontId="0" fillId="0" borderId="0" pivotButton="0" quotePrefix="0" xfId="0"/>
    <xf numFmtId="168" fontId="61" fillId="12" borderId="37" applyAlignment="1" pivotButton="0" quotePrefix="0" xfId="0">
      <alignment horizontal="center" vertical="center" wrapText="1"/>
    </xf>
    <xf numFmtId="168" fontId="0" fillId="0" borderId="0" pivotButton="0" quotePrefix="0" xfId="0"/>
    <xf numFmtId="0" fontId="51" fillId="5" borderId="34" applyAlignment="1" pivotButton="0" quotePrefix="0" xfId="1">
      <alignment horizontal="center" vertical="center"/>
    </xf>
    <xf numFmtId="167" fontId="51" fillId="5" borderId="36" applyAlignment="1" pivotButton="0" quotePrefix="0" xfId="1">
      <alignment horizontal="center" vertical="center"/>
    </xf>
    <xf numFmtId="0" fontId="44" fillId="0" borderId="0" applyAlignment="1" pivotButton="0" quotePrefix="0" xfId="2">
      <alignment horizontal="left" vertical="center"/>
    </xf>
    <xf numFmtId="169" fontId="0" fillId="0" borderId="0" pivotButton="0" quotePrefix="0" xfId="0"/>
    <xf numFmtId="0" fontId="47" fillId="0" borderId="5" applyAlignment="1" pivotButton="0" quotePrefix="0" xfId="2">
      <alignment vertical="center"/>
    </xf>
    <xf numFmtId="0" fontId="49" fillId="0" borderId="2" applyAlignment="1" pivotButton="0" quotePrefix="0" xfId="1">
      <alignment vertical="center"/>
    </xf>
    <xf numFmtId="0" fontId="47" fillId="4" borderId="5" applyAlignment="1" pivotButton="0" quotePrefix="0" xfId="2">
      <alignment vertical="center"/>
    </xf>
    <xf numFmtId="0" fontId="47" fillId="2" borderId="5" applyAlignment="1" pivotButton="0" quotePrefix="0" xfId="2">
      <alignment vertical="center"/>
    </xf>
    <xf numFmtId="0" fontId="47" fillId="0" borderId="8" applyAlignment="1" pivotButton="0" quotePrefix="0" xfId="2">
      <alignment vertical="center"/>
    </xf>
    <xf numFmtId="0" fontId="53" fillId="0" borderId="0" applyAlignment="1" pivotButton="0" quotePrefix="0" xfId="2">
      <alignment vertical="center"/>
    </xf>
    <xf numFmtId="172" fontId="0" fillId="13" borderId="0" applyAlignment="1" pivotButton="0" quotePrefix="0" xfId="0">
      <alignment vertical="center"/>
    </xf>
    <xf numFmtId="0" fontId="57" fillId="13" borderId="0" applyAlignment="1" pivotButton="0" quotePrefix="0" xfId="0">
      <alignment vertical="center"/>
    </xf>
    <xf numFmtId="171" fontId="58" fillId="13" borderId="0" pivotButton="0" quotePrefix="0" xfId="0"/>
    <xf numFmtId="165" fontId="51" fillId="13" borderId="0" pivotButton="0" quotePrefix="0" xfId="0"/>
    <xf numFmtId="0" fontId="0" fillId="13" borderId="0" pivotButton="0" quotePrefix="0" xfId="0"/>
    <xf numFmtId="0" fontId="55" fillId="4" borderId="24" applyAlignment="1" pivotButton="0" quotePrefix="0" xfId="0">
      <alignment horizontal="center" vertical="center"/>
    </xf>
    <xf numFmtId="0" fontId="49" fillId="0" borderId="28" applyAlignment="1" pivotButton="0" quotePrefix="0" xfId="1">
      <alignment horizontal="left" vertical="center"/>
    </xf>
    <xf numFmtId="165" fontId="0" fillId="0" borderId="0" applyAlignment="1" pivotButton="0" quotePrefix="0" xfId="0">
      <alignment vertical="center"/>
    </xf>
    <xf numFmtId="14" fontId="19" fillId="0" borderId="4" applyAlignment="1" pivotButton="0" quotePrefix="0" xfId="2">
      <alignment horizontal="center" vertical="center"/>
    </xf>
    <xf numFmtId="0" fontId="64" fillId="0" borderId="0" pivotButton="0" quotePrefix="0" xfId="37"/>
    <xf numFmtId="0" fontId="57" fillId="0" borderId="0" pivotButton="0" quotePrefix="0" xfId="0"/>
    <xf numFmtId="0" fontId="51" fillId="5" borderId="24" applyAlignment="1" pivotButton="0" quotePrefix="0" xfId="1">
      <alignment vertical="center"/>
    </xf>
    <xf numFmtId="22" fontId="0" fillId="0" borderId="0" applyAlignment="1" pivotButton="0" quotePrefix="0" xfId="0">
      <alignment vertical="center"/>
    </xf>
    <xf numFmtId="165" fontId="51" fillId="0" borderId="5" applyAlignment="1" pivotButton="0" quotePrefix="0" xfId="1">
      <alignment horizontal="center" vertical="center" wrapText="1"/>
    </xf>
    <xf numFmtId="165" fontId="51" fillId="0" borderId="6" applyAlignment="1" pivotButton="0" quotePrefix="0" xfId="1">
      <alignment horizontal="center" vertical="center" wrapText="1"/>
    </xf>
    <xf numFmtId="3" fontId="51" fillId="4" borderId="38" applyAlignment="1" pivotButton="0" quotePrefix="0" xfId="1">
      <alignment horizontal="center" vertical="center" wrapText="1"/>
    </xf>
    <xf numFmtId="3" fontId="51" fillId="4" borderId="39" applyAlignment="1" pivotButton="0" quotePrefix="0" xfId="1">
      <alignment horizontal="center" vertical="center" wrapText="1"/>
    </xf>
    <xf numFmtId="3" fontId="51" fillId="4" borderId="40" applyAlignment="1" pivotButton="0" quotePrefix="0" xfId="1">
      <alignment horizontal="center" vertical="center" wrapText="1"/>
    </xf>
    <xf numFmtId="3" fontId="51" fillId="4" borderId="24" applyAlignment="1" pivotButton="0" quotePrefix="0" xfId="1">
      <alignment horizontal="center" vertical="center" wrapText="1"/>
    </xf>
    <xf numFmtId="3" fontId="51" fillId="4" borderId="25" applyAlignment="1" pivotButton="0" quotePrefix="0" xfId="1">
      <alignment horizontal="center" vertical="center"/>
    </xf>
    <xf numFmtId="165" fontId="51" fillId="4" borderId="25" applyAlignment="1" pivotButton="0" quotePrefix="0" xfId="1">
      <alignment horizontal="center" vertical="center"/>
    </xf>
    <xf numFmtId="167" fontId="51" fillId="4" borderId="25" applyAlignment="1" pivotButton="0" quotePrefix="0" xfId="1">
      <alignment horizontal="center" vertical="center"/>
    </xf>
    <xf numFmtId="9" fontId="51" fillId="4" borderId="25" applyAlignment="1" pivotButton="0" quotePrefix="0" xfId="1">
      <alignment horizontal="center" vertical="center" wrapText="1"/>
    </xf>
    <xf numFmtId="0" fontId="47" fillId="4" borderId="39" applyAlignment="1" pivotButton="0" quotePrefix="0" xfId="2">
      <alignment horizontal="center" vertical="center"/>
    </xf>
    <xf numFmtId="0" fontId="47" fillId="4" borderId="40" applyAlignment="1" pivotButton="0" quotePrefix="0" xfId="2">
      <alignment horizontal="center" vertical="center"/>
    </xf>
    <xf numFmtId="3" fontId="51" fillId="4" borderId="44" applyAlignment="1" pivotButton="0" quotePrefix="0" xfId="1">
      <alignment horizontal="center" vertical="center"/>
    </xf>
    <xf numFmtId="165" fontId="51" fillId="4" borderId="44" applyAlignment="1" pivotButton="0" quotePrefix="0" xfId="1">
      <alignment horizontal="center" vertical="center"/>
    </xf>
    <xf numFmtId="167" fontId="51" fillId="4" borderId="44" applyAlignment="1" pivotButton="0" quotePrefix="0" xfId="1">
      <alignment horizontal="center" vertical="center"/>
    </xf>
    <xf numFmtId="9" fontId="51" fillId="4" borderId="44" applyAlignment="1" pivotButton="0" quotePrefix="0" xfId="1">
      <alignment horizontal="center" vertical="center" wrapText="1"/>
    </xf>
    <xf numFmtId="0" fontId="67" fillId="0" borderId="0" pivotButton="0" quotePrefix="0" xfId="0"/>
    <xf numFmtId="166" fontId="47" fillId="0" borderId="5" applyAlignment="1" pivotButton="0" quotePrefix="0" xfId="2">
      <alignment horizontal="center" vertical="center"/>
    </xf>
    <xf numFmtId="0" fontId="17" fillId="0" borderId="0" applyAlignment="1" pivotButton="0" quotePrefix="0" xfId="2">
      <alignment vertical="center"/>
    </xf>
    <xf numFmtId="0" fontId="0" fillId="4" borderId="45" applyAlignment="1" pivotButton="0" quotePrefix="0" xfId="0">
      <alignment horizontal="center" vertical="center"/>
    </xf>
    <xf numFmtId="0" fontId="47" fillId="4" borderId="19" applyAlignment="1" pivotButton="0" quotePrefix="0" xfId="2">
      <alignment horizontal="center" vertical="center"/>
    </xf>
    <xf numFmtId="0" fontId="47" fillId="4" borderId="46" applyAlignment="1" pivotButton="0" quotePrefix="0" xfId="2">
      <alignment horizontal="center" vertical="center"/>
    </xf>
    <xf numFmtId="0" fontId="0" fillId="4" borderId="30" applyAlignment="1" pivotButton="0" quotePrefix="0" xfId="0">
      <alignment horizontal="center" vertical="center"/>
    </xf>
    <xf numFmtId="0" fontId="47" fillId="4" borderId="47" applyAlignment="1" pivotButton="0" quotePrefix="0" xfId="2">
      <alignment horizontal="center" vertical="center"/>
    </xf>
    <xf numFmtId="0" fontId="47" fillId="4" borderId="31" applyAlignment="1" pivotButton="0" quotePrefix="0" xfId="2">
      <alignment horizontal="center" vertical="center"/>
    </xf>
    <xf numFmtId="0" fontId="0" fillId="4" borderId="48" applyAlignment="1" pivotButton="0" quotePrefix="0" xfId="0">
      <alignment horizontal="center" vertical="center"/>
    </xf>
    <xf numFmtId="0" fontId="47" fillId="4" borderId="49" applyAlignment="1" pivotButton="0" quotePrefix="0" xfId="2">
      <alignment horizontal="center" vertical="center"/>
    </xf>
    <xf numFmtId="0" fontId="47" fillId="4" borderId="50" applyAlignment="1" pivotButton="0" quotePrefix="0" xfId="2">
      <alignment horizontal="center" vertical="center"/>
    </xf>
    <xf numFmtId="3" fontId="51" fillId="4" borderId="51" applyAlignment="1" pivotButton="0" quotePrefix="0" xfId="1">
      <alignment horizontal="center" vertical="center" wrapText="1"/>
    </xf>
    <xf numFmtId="3" fontId="51" fillId="4" borderId="20" applyAlignment="1" pivotButton="0" quotePrefix="0" xfId="1">
      <alignment horizontal="center" vertical="center" wrapText="1"/>
    </xf>
    <xf numFmtId="3" fontId="51" fillId="4" borderId="36" applyAlignment="1" pivotButton="0" quotePrefix="0" xfId="1">
      <alignment horizontal="center" vertical="center" wrapText="1"/>
    </xf>
    <xf numFmtId="0" fontId="69" fillId="0" borderId="0" applyAlignment="1" pivotButton="0" quotePrefix="0" xfId="2">
      <alignment vertical="center"/>
    </xf>
    <xf numFmtId="0" fontId="58" fillId="0" borderId="0" applyAlignment="1" pivotButton="0" quotePrefix="0" xfId="2">
      <alignment vertical="center"/>
    </xf>
    <xf numFmtId="165" fontId="71" fillId="0" borderId="5" applyAlignment="1" pivotButton="0" quotePrefix="0" xfId="1">
      <alignment horizontal="center" vertical="center" wrapText="1"/>
    </xf>
    <xf numFmtId="165" fontId="71" fillId="0" borderId="6" applyAlignment="1" pivotButton="0" quotePrefix="0" xfId="1">
      <alignment horizontal="center" vertical="center" wrapText="1"/>
    </xf>
    <xf numFmtId="165" fontId="73" fillId="0" borderId="5" applyAlignment="1" pivotButton="0" quotePrefix="0" xfId="1">
      <alignment horizontal="center" vertical="center" wrapText="1"/>
    </xf>
    <xf numFmtId="165" fontId="73" fillId="0" borderId="6" applyAlignment="1" pivotButton="0" quotePrefix="0" xfId="1">
      <alignment horizontal="center" vertical="center" wrapText="1"/>
    </xf>
    <xf numFmtId="0" fontId="51" fillId="8" borderId="19" applyAlignment="1" pivotButton="0" quotePrefix="0" xfId="0">
      <alignment horizontal="center"/>
    </xf>
    <xf numFmtId="0" fontId="51" fillId="8" borderId="19" applyAlignment="1" pivotButton="0" quotePrefix="0" xfId="0">
      <alignment horizontal="center" wrapText="1"/>
    </xf>
    <xf numFmtId="0" fontId="51" fillId="14" borderId="19" pivotButton="0" quotePrefix="0" xfId="0"/>
    <xf numFmtId="165" fontId="51" fillId="14" borderId="19" pivotButton="0" quotePrefix="0" xfId="0"/>
    <xf numFmtId="170" fontId="51" fillId="14" borderId="19" pivotButton="0" quotePrefix="0" xfId="0"/>
    <xf numFmtId="0" fontId="16" fillId="0" borderId="2" applyAlignment="1" pivotButton="0" quotePrefix="0" xfId="39">
      <alignment horizontal="center" vertical="center"/>
    </xf>
    <xf numFmtId="0" fontId="16" fillId="0" borderId="2" applyAlignment="1" pivotButton="0" quotePrefix="0" xfId="39">
      <alignment horizontal="left" vertical="center"/>
    </xf>
    <xf numFmtId="0" fontId="16" fillId="0" borderId="0" applyAlignment="1" pivotButton="0" quotePrefix="0" xfId="39">
      <alignment horizontal="center" vertical="center"/>
    </xf>
    <xf numFmtId="0" fontId="16" fillId="0" borderId="0" applyAlignment="1" pivotButton="0" quotePrefix="0" xfId="39">
      <alignment horizontal="left" vertical="center"/>
    </xf>
    <xf numFmtId="14" fontId="16" fillId="0" borderId="4" applyAlignment="1" pivotButton="0" quotePrefix="0" xfId="39">
      <alignment horizontal="center" vertical="center"/>
    </xf>
    <xf numFmtId="0" fontId="16" fillId="0" borderId="5" applyAlignment="1" pivotButton="0" quotePrefix="0" xfId="39">
      <alignment horizontal="center" vertical="center"/>
    </xf>
    <xf numFmtId="0" fontId="16" fillId="0" borderId="0" applyAlignment="1" pivotButton="0" quotePrefix="0" xfId="39">
      <alignment vertical="center"/>
    </xf>
    <xf numFmtId="14" fontId="16" fillId="4" borderId="4" applyAlignment="1" pivotButton="0" quotePrefix="0" xfId="39">
      <alignment horizontal="center" vertical="center"/>
    </xf>
    <xf numFmtId="0" fontId="16" fillId="4" borderId="5" applyAlignment="1" pivotButton="0" quotePrefix="0" xfId="39">
      <alignment horizontal="center" vertical="center"/>
    </xf>
    <xf numFmtId="14" fontId="16" fillId="4" borderId="5" applyAlignment="1" pivotButton="0" quotePrefix="0" xfId="39">
      <alignment horizontal="center" vertical="center"/>
    </xf>
    <xf numFmtId="14" fontId="16" fillId="0" borderId="5" applyAlignment="1" pivotButton="0" quotePrefix="0" xfId="39">
      <alignment horizontal="center" vertical="center"/>
    </xf>
    <xf numFmtId="14" fontId="16" fillId="2" borderId="4" applyAlignment="1" pivotButton="0" quotePrefix="0" xfId="39">
      <alignment horizontal="center" vertical="center"/>
    </xf>
    <xf numFmtId="0" fontId="16" fillId="2" borderId="5" applyAlignment="1" pivotButton="0" quotePrefix="0" xfId="39">
      <alignment horizontal="center" vertical="center"/>
    </xf>
    <xf numFmtId="49" fontId="16" fillId="2" borderId="5" applyAlignment="1" pivotButton="0" quotePrefix="0" xfId="39">
      <alignment horizontal="center" vertical="center"/>
    </xf>
    <xf numFmtId="14" fontId="16" fillId="0" borderId="7" applyAlignment="1" pivotButton="0" quotePrefix="0" xfId="39">
      <alignment horizontal="center" vertical="center"/>
    </xf>
    <xf numFmtId="0" fontId="16" fillId="0" borderId="8" applyAlignment="1" pivotButton="0" quotePrefix="0" xfId="39">
      <alignment horizontal="center" vertical="center"/>
    </xf>
    <xf numFmtId="14" fontId="16" fillId="0" borderId="8" applyAlignment="1" pivotButton="0" quotePrefix="0" xfId="39">
      <alignment horizontal="center" vertical="center"/>
    </xf>
    <xf numFmtId="14" fontId="16" fillId="0" borderId="0" applyAlignment="1" pivotButton="0" quotePrefix="0" xfId="39">
      <alignment horizontal="center" vertical="center"/>
    </xf>
    <xf numFmtId="0" fontId="52" fillId="0" borderId="0" applyAlignment="1" pivotButton="0" quotePrefix="0" xfId="39">
      <alignment vertical="center"/>
    </xf>
    <xf numFmtId="14" fontId="52" fillId="0" borderId="0" applyAlignment="1" pivotButton="0" quotePrefix="0" xfId="39">
      <alignment vertical="center"/>
    </xf>
    <xf numFmtId="0" fontId="52" fillId="0" borderId="0" applyAlignment="1" pivotButton="0" quotePrefix="0" xfId="39">
      <alignment horizontal="center" vertical="center"/>
    </xf>
    <xf numFmtId="0" fontId="53" fillId="0" borderId="0" applyAlignment="1" pivotButton="0" quotePrefix="0" xfId="39">
      <alignment horizontal="center" vertical="center"/>
    </xf>
    <xf numFmtId="0" fontId="16" fillId="0" borderId="12" applyAlignment="1" pivotButton="0" quotePrefix="0" xfId="39">
      <alignment horizontal="center" vertical="center"/>
    </xf>
    <xf numFmtId="0" fontId="16" fillId="0" borderId="12" applyAlignment="1" pivotButton="0" quotePrefix="0" xfId="39">
      <alignment horizontal="left" vertical="center"/>
    </xf>
    <xf numFmtId="165" fontId="16" fillId="0" borderId="0" applyAlignment="1" pivotButton="0" quotePrefix="0" xfId="39">
      <alignment horizontal="left" vertical="center"/>
    </xf>
    <xf numFmtId="0" fontId="16" fillId="0" borderId="0" applyAlignment="1" pivotButton="0" quotePrefix="0" xfId="39">
      <alignment vertical="center" wrapText="1"/>
    </xf>
    <xf numFmtId="172" fontId="70" fillId="0" borderId="4" applyAlignment="1" pivotButton="0" quotePrefix="0" xfId="39">
      <alignment horizontal="center" vertical="center"/>
    </xf>
    <xf numFmtId="14" fontId="70" fillId="0" borderId="5" applyAlignment="1" pivotButton="0" quotePrefix="0" xfId="39">
      <alignment horizontal="center" vertical="center"/>
    </xf>
    <xf numFmtId="0" fontId="70" fillId="0" borderId="5" applyAlignment="1" pivotButton="0" quotePrefix="0" xfId="39">
      <alignment horizontal="center" vertical="center"/>
    </xf>
    <xf numFmtId="165" fontId="70" fillId="0" borderId="5" applyAlignment="1" pivotButton="0" quotePrefix="0" xfId="39">
      <alignment horizontal="center" vertical="center"/>
    </xf>
    <xf numFmtId="165" fontId="52" fillId="0" borderId="0" applyAlignment="1" pivotButton="0" quotePrefix="0" xfId="39">
      <alignment horizontal="center" vertical="center"/>
    </xf>
    <xf numFmtId="0" fontId="52" fillId="0" borderId="0" applyAlignment="1" pivotButton="0" quotePrefix="0" xfId="39">
      <alignment vertical="center" wrapText="1"/>
    </xf>
    <xf numFmtId="172" fontId="16" fillId="0" borderId="4" applyAlignment="1" pivotButton="0" quotePrefix="0" xfId="39">
      <alignment horizontal="center" vertical="center"/>
    </xf>
    <xf numFmtId="0" fontId="60" fillId="0" borderId="5" applyAlignment="1" pivotButton="0" quotePrefix="0" xfId="39">
      <alignment horizontal="center" vertical="center"/>
    </xf>
    <xf numFmtId="165" fontId="16" fillId="0" borderId="5" applyAlignment="1" pivotButton="0" quotePrefix="0" xfId="39">
      <alignment horizontal="center" vertical="center"/>
    </xf>
    <xf numFmtId="174" fontId="16" fillId="0" borderId="5" applyAlignment="1" pivotButton="0" quotePrefix="0" xfId="39">
      <alignment horizontal="center" vertical="center"/>
    </xf>
    <xf numFmtId="165" fontId="16" fillId="0" borderId="0" applyAlignment="1" pivotButton="0" quotePrefix="0" xfId="39">
      <alignment horizontal="center" vertical="center"/>
    </xf>
    <xf numFmtId="0" fontId="65" fillId="0" borderId="0" applyAlignment="1" pivotButton="0" quotePrefix="0" xfId="39">
      <alignment vertical="center" wrapText="1"/>
    </xf>
    <xf numFmtId="14" fontId="52" fillId="4" borderId="34" applyAlignment="1" pivotButton="0" quotePrefix="0" xfId="39">
      <alignment horizontal="center" vertical="center"/>
    </xf>
    <xf numFmtId="0" fontId="52" fillId="4" borderId="23" applyAlignment="1" pivotButton="0" quotePrefix="0" xfId="39">
      <alignment horizontal="center" vertical="center"/>
    </xf>
    <xf numFmtId="166" fontId="52" fillId="4" borderId="23" applyAlignment="1" pivotButton="0" quotePrefix="0" xfId="39">
      <alignment horizontal="center" vertical="center"/>
    </xf>
    <xf numFmtId="172" fontId="72" fillId="0" borderId="4" applyAlignment="1" pivotButton="0" quotePrefix="0" xfId="39">
      <alignment horizontal="center" vertical="center"/>
    </xf>
    <xf numFmtId="14" fontId="72" fillId="0" borderId="5" applyAlignment="1" pivotButton="0" quotePrefix="0" xfId="39">
      <alignment horizontal="center" vertical="center"/>
    </xf>
    <xf numFmtId="0" fontId="72" fillId="0" borderId="5" applyAlignment="1" pivotButton="0" quotePrefix="0" xfId="39">
      <alignment horizontal="center" vertical="center"/>
    </xf>
    <xf numFmtId="165" fontId="72" fillId="0" borderId="5" applyAlignment="1" pivotButton="0" quotePrefix="0" xfId="39">
      <alignment horizontal="center" vertical="center"/>
    </xf>
    <xf numFmtId="172" fontId="52" fillId="0" borderId="4" applyAlignment="1" pivotButton="0" quotePrefix="0" xfId="39">
      <alignment horizontal="center" vertical="center"/>
    </xf>
    <xf numFmtId="14" fontId="52" fillId="0" borderId="5" applyAlignment="1" pivotButton="0" quotePrefix="0" xfId="39">
      <alignment horizontal="center" vertical="center"/>
    </xf>
    <xf numFmtId="0" fontId="52" fillId="0" borderId="5" applyAlignment="1" pivotButton="0" quotePrefix="0" xfId="39">
      <alignment horizontal="center" vertical="center"/>
    </xf>
    <xf numFmtId="165" fontId="52" fillId="0" borderId="5" applyAlignment="1" pivotButton="0" quotePrefix="0" xfId="39">
      <alignment horizontal="center" vertical="center"/>
    </xf>
    <xf numFmtId="14" fontId="16" fillId="11" borderId="34" applyAlignment="1" pivotButton="0" quotePrefix="0" xfId="39">
      <alignment horizontal="center" vertical="center"/>
    </xf>
    <xf numFmtId="0" fontId="16" fillId="11" borderId="23" applyAlignment="1" pivotButton="0" quotePrefix="0" xfId="39">
      <alignment horizontal="center" vertical="center"/>
    </xf>
    <xf numFmtId="166" fontId="16" fillId="11" borderId="23" applyAlignment="1" pivotButton="0" quotePrefix="0" xfId="39">
      <alignment horizontal="center" vertical="center"/>
    </xf>
    <xf numFmtId="0" fontId="66" fillId="0" borderId="0" applyAlignment="1" pivotButton="0" quotePrefix="0" xfId="39">
      <alignment vertical="center" wrapText="1"/>
    </xf>
    <xf numFmtId="165" fontId="16" fillId="0" borderId="0" applyAlignment="1" pivotButton="0" quotePrefix="0" xfId="39">
      <alignment horizontal="center" vertical="center" wrapText="1"/>
    </xf>
    <xf numFmtId="175" fontId="16" fillId="0" borderId="4" applyAlignment="1" pivotButton="0" quotePrefix="0" xfId="39">
      <alignment horizontal="center" vertical="center"/>
    </xf>
    <xf numFmtId="0" fontId="16" fillId="0" borderId="6" applyAlignment="1" pivotButton="0" quotePrefix="0" xfId="39">
      <alignment horizontal="center" vertical="center"/>
    </xf>
    <xf numFmtId="3" fontId="16" fillId="0" borderId="5" applyAlignment="1" pivotButton="0" quotePrefix="0" xfId="39">
      <alignment horizontal="center" vertical="center"/>
    </xf>
    <xf numFmtId="3" fontId="16" fillId="0" borderId="6" applyAlignment="1" pivotButton="0" quotePrefix="0" xfId="39">
      <alignment horizontal="center" vertical="center"/>
    </xf>
    <xf numFmtId="14" fontId="49" fillId="4" borderId="5" applyAlignment="1" pivotButton="0" quotePrefix="0" xfId="1">
      <alignment horizontal="center" vertical="center" wrapText="1"/>
    </xf>
    <xf numFmtId="0" fontId="49" fillId="4" borderId="5" applyAlignment="1" pivotButton="0" quotePrefix="0" xfId="1">
      <alignment horizontal="center" vertical="center"/>
    </xf>
    <xf numFmtId="168" fontId="49" fillId="4" borderId="6" applyAlignment="1" pivotButton="0" quotePrefix="0" xfId="1">
      <alignment horizontal="center" vertical="center" wrapText="1"/>
    </xf>
    <xf numFmtId="10" fontId="16" fillId="0" borderId="5" applyAlignment="1" pivotButton="0" quotePrefix="0" xfId="39">
      <alignment horizontal="center" vertical="center"/>
    </xf>
    <xf numFmtId="9" fontId="16" fillId="0" borderId="5" applyAlignment="1" pivotButton="0" quotePrefix="0" xfId="39">
      <alignment horizontal="center" vertical="center"/>
    </xf>
    <xf numFmtId="167" fontId="16" fillId="0" borderId="0" applyAlignment="1" pivotButton="0" quotePrefix="0" xfId="39">
      <alignment horizontal="center" vertical="center"/>
    </xf>
    <xf numFmtId="14" fontId="53" fillId="0" borderId="0" applyAlignment="1" pivotButton="0" quotePrefix="0" xfId="39">
      <alignment horizontal="center" vertical="center"/>
    </xf>
    <xf numFmtId="0" fontId="16" fillId="0" borderId="23" applyAlignment="1" pivotButton="0" quotePrefix="0" xfId="39">
      <alignment horizontal="center" vertical="center"/>
    </xf>
    <xf numFmtId="165" fontId="49" fillId="0" borderId="0" applyAlignment="1" pivotButton="0" quotePrefix="0" xfId="1">
      <alignment horizontal="left" vertical="center"/>
    </xf>
    <xf numFmtId="172" fontId="16" fillId="4" borderId="34" applyAlignment="1" pivotButton="0" quotePrefix="0" xfId="39">
      <alignment horizontal="center" vertical="center"/>
    </xf>
    <xf numFmtId="0" fontId="16" fillId="4" borderId="23" applyAlignment="1" pivotButton="0" quotePrefix="0" xfId="39">
      <alignment horizontal="center" vertical="center"/>
    </xf>
    <xf numFmtId="166" fontId="16" fillId="4" borderId="23" applyAlignment="1" pivotButton="0" quotePrefix="0" xfId="39">
      <alignment horizontal="center" vertical="center"/>
    </xf>
    <xf numFmtId="166" fontId="49" fillId="4" borderId="23" applyAlignment="1" pivotButton="0" quotePrefix="0" xfId="1">
      <alignment horizontal="center" vertical="center" wrapText="1"/>
    </xf>
    <xf numFmtId="166" fontId="49" fillId="4" borderId="35" applyAlignment="1" pivotButton="0" quotePrefix="0" xfId="1">
      <alignment horizontal="center" vertical="center" wrapText="1"/>
    </xf>
    <xf numFmtId="165" fontId="0" fillId="0" borderId="0" applyAlignment="1" pivotButton="0" quotePrefix="0" xfId="1">
      <alignment horizontal="center" vertical="center" wrapText="1"/>
    </xf>
    <xf numFmtId="0" fontId="75" fillId="0" borderId="0" applyAlignment="1" pivotButton="0" quotePrefix="0" xfId="39">
      <alignment vertical="center" wrapText="1"/>
    </xf>
    <xf numFmtId="172" fontId="16" fillId="14" borderId="4" applyAlignment="1" pivotButton="0" quotePrefix="0" xfId="39">
      <alignment horizontal="center" vertical="center"/>
    </xf>
    <xf numFmtId="14" fontId="16" fillId="14" borderId="5" applyAlignment="1" pivotButton="0" quotePrefix="0" xfId="39">
      <alignment horizontal="center" vertical="center"/>
    </xf>
    <xf numFmtId="0" fontId="16" fillId="14" borderId="5" applyAlignment="1" pivotButton="0" quotePrefix="0" xfId="39">
      <alignment horizontal="center" vertical="center"/>
    </xf>
    <xf numFmtId="0" fontId="60" fillId="14" borderId="5" applyAlignment="1" pivotButton="0" quotePrefix="0" xfId="39">
      <alignment horizontal="center" vertical="center"/>
    </xf>
    <xf numFmtId="165" fontId="16" fillId="14" borderId="5" applyAlignment="1" pivotButton="0" quotePrefix="0" xfId="39">
      <alignment horizontal="center" vertical="center"/>
    </xf>
    <xf numFmtId="165" fontId="49" fillId="14" borderId="5" applyAlignment="1" pivotButton="0" quotePrefix="0" xfId="1">
      <alignment horizontal="center" vertical="center" wrapText="1"/>
    </xf>
    <xf numFmtId="165" fontId="49" fillId="14" borderId="6" applyAlignment="1" pivotButton="0" quotePrefix="0" xfId="1">
      <alignment horizontal="center" vertical="center" wrapText="1"/>
    </xf>
    <xf numFmtId="165" fontId="51" fillId="0" borderId="0" applyAlignment="1" pivotButton="0" quotePrefix="0" xfId="1">
      <alignment horizontal="center" vertical="center" wrapText="1"/>
    </xf>
    <xf numFmtId="165" fontId="51" fillId="0" borderId="0" applyAlignment="1" pivotButton="0" quotePrefix="0" xfId="0">
      <alignment vertical="center"/>
    </xf>
    <xf numFmtId="165" fontId="0" fillId="0" borderId="5" applyAlignment="1" pivotButton="0" quotePrefix="0" xfId="1">
      <alignment horizontal="center" vertical="center" wrapText="1"/>
    </xf>
    <xf numFmtId="165" fontId="49" fillId="11" borderId="34" applyAlignment="1" pivotButton="0" quotePrefix="0" xfId="1">
      <alignment horizontal="center" vertical="center" wrapText="1"/>
    </xf>
    <xf numFmtId="165" fontId="49" fillId="11" borderId="36" applyAlignment="1" pivotButton="0" quotePrefix="0" xfId="1">
      <alignment horizontal="center" vertical="center" wrapText="1"/>
    </xf>
    <xf numFmtId="0" fontId="74" fillId="0" borderId="0" applyAlignment="1" pivotButton="0" quotePrefix="0" xfId="39">
      <alignment vertical="center" wrapText="1"/>
    </xf>
    <xf numFmtId="0" fontId="76" fillId="0" borderId="0" applyAlignment="1" pivotButton="0" quotePrefix="0" xfId="39">
      <alignment vertical="center" wrapText="1"/>
    </xf>
    <xf numFmtId="0" fontId="77" fillId="0" borderId="0" applyAlignment="1" pivotButton="0" quotePrefix="0" xfId="39">
      <alignment vertical="center" wrapText="1"/>
    </xf>
    <xf numFmtId="0" fontId="78" fillId="0" borderId="0" applyAlignment="1" pivotButton="0" quotePrefix="0" xfId="39">
      <alignment vertical="center" wrapText="1"/>
    </xf>
    <xf numFmtId="165" fontId="75" fillId="0" borderId="5" applyAlignment="1" pivotButton="0" quotePrefix="0" xfId="39">
      <alignment horizontal="center" vertical="center"/>
    </xf>
    <xf numFmtId="0" fontId="79" fillId="0" borderId="0" applyAlignment="1" pivotButton="0" quotePrefix="0" xfId="39">
      <alignment vertical="center" wrapText="1"/>
    </xf>
    <xf numFmtId="165" fontId="74" fillId="0" borderId="5" applyAlignment="1" pivotButton="0" quotePrefix="0" xfId="39">
      <alignment horizontal="center" vertical="center"/>
    </xf>
    <xf numFmtId="0" fontId="76" fillId="0" borderId="0" applyAlignment="1" pivotButton="0" quotePrefix="0" xfId="39">
      <alignment horizontal="center" vertical="center"/>
    </xf>
    <xf numFmtId="17" fontId="16" fillId="4" borderId="23" applyAlignment="1" pivotButton="0" quotePrefix="0" xfId="39">
      <alignment horizontal="center" vertical="center"/>
    </xf>
    <xf numFmtId="10" fontId="51" fillId="4" borderId="24" applyAlignment="1" pivotButton="0" quotePrefix="0" xfId="1">
      <alignment horizontal="center" vertical="center"/>
    </xf>
    <xf numFmtId="176" fontId="16" fillId="0" borderId="0" applyAlignment="1" pivotButton="0" quotePrefix="0" xfId="39">
      <alignment horizontal="left" vertical="center"/>
    </xf>
    <xf numFmtId="168" fontId="16" fillId="0" borderId="0" applyAlignment="1" pivotButton="0" quotePrefix="0" xfId="39">
      <alignment horizontal="left" vertical="center"/>
    </xf>
    <xf numFmtId="176" fontId="16" fillId="0" borderId="0" applyAlignment="1" pivotButton="0" quotePrefix="0" xfId="39">
      <alignment horizontal="center" vertical="center"/>
    </xf>
    <xf numFmtId="168" fontId="16" fillId="0" borderId="0" applyAlignment="1" pivotButton="0" quotePrefix="0" xfId="39">
      <alignment horizontal="center" vertical="center"/>
    </xf>
    <xf numFmtId="14" fontId="49" fillId="0" borderId="5" applyAlignment="1" pivotButton="0" quotePrefix="0" xfId="1">
      <alignment horizontal="center" vertical="center" wrapText="1"/>
    </xf>
    <xf numFmtId="14" fontId="0" fillId="0" borderId="5" applyAlignment="1" pivotButton="0" quotePrefix="0" xfId="1">
      <alignment horizontal="center" vertical="center" wrapText="1"/>
    </xf>
    <xf numFmtId="176" fontId="52" fillId="0" borderId="0" applyAlignment="1" pivotButton="0" quotePrefix="0" xfId="39">
      <alignment horizontal="center" vertical="center"/>
    </xf>
    <xf numFmtId="168" fontId="52" fillId="0" borderId="0" applyAlignment="1" pivotButton="0" quotePrefix="0" xfId="39">
      <alignment horizontal="center" vertical="center"/>
    </xf>
    <xf numFmtId="166" fontId="49" fillId="4" borderId="0" applyAlignment="1" pivotButton="0" quotePrefix="0" xfId="1">
      <alignment horizontal="center" vertical="center" wrapText="1"/>
    </xf>
    <xf numFmtId="165" fontId="0" fillId="4" borderId="0" applyAlignment="1" pivotButton="0" quotePrefix="0" xfId="1">
      <alignment horizontal="center" vertical="center" wrapText="1"/>
    </xf>
    <xf numFmtId="166" fontId="49" fillId="11" borderId="0" applyAlignment="1" pivotButton="0" quotePrefix="0" xfId="1">
      <alignment horizontal="center" vertical="center" wrapText="1"/>
    </xf>
    <xf numFmtId="0" fontId="16" fillId="11" borderId="0" applyAlignment="1" pivotButton="0" quotePrefix="0" xfId="39">
      <alignment horizontal="center" vertical="center"/>
    </xf>
    <xf numFmtId="165" fontId="51" fillId="11" borderId="0" applyAlignment="1" pivotButton="0" quotePrefix="0" xfId="1">
      <alignment horizontal="center" vertical="center" wrapText="1"/>
    </xf>
    <xf numFmtId="165" fontId="49" fillId="14" borderId="0" applyAlignment="1" pivotButton="0" quotePrefix="0" xfId="1">
      <alignment horizontal="center" vertical="center" wrapText="1"/>
    </xf>
    <xf numFmtId="0" fontId="16" fillId="14" borderId="0" applyAlignment="1" pivotButton="0" quotePrefix="0" xfId="39">
      <alignment horizontal="center" vertical="center"/>
    </xf>
    <xf numFmtId="174" fontId="16" fillId="14" borderId="5" applyAlignment="1" pivotButton="0" quotePrefix="0" xfId="39">
      <alignment horizontal="center" vertical="center"/>
    </xf>
    <xf numFmtId="172" fontId="16" fillId="0" borderId="52" applyAlignment="1" pivotButton="0" quotePrefix="0" xfId="39">
      <alignment horizontal="center" vertical="center"/>
    </xf>
    <xf numFmtId="14" fontId="16" fillId="0" borderId="53" applyAlignment="1" pivotButton="0" quotePrefix="0" xfId="39">
      <alignment horizontal="center" vertical="center"/>
    </xf>
    <xf numFmtId="0" fontId="16" fillId="0" borderId="53" applyAlignment="1" pivotButton="0" quotePrefix="0" xfId="39">
      <alignment horizontal="center" vertical="center"/>
    </xf>
    <xf numFmtId="165" fontId="16" fillId="0" borderId="53" applyAlignment="1" pivotButton="0" quotePrefix="0" xfId="39">
      <alignment horizontal="center" vertical="center"/>
    </xf>
    <xf numFmtId="174" fontId="16" fillId="0" borderId="53" applyAlignment="1" pivotButton="0" quotePrefix="0" xfId="39">
      <alignment horizontal="center" vertical="center"/>
    </xf>
    <xf numFmtId="165" fontId="49" fillId="0" borderId="53" applyAlignment="1" pivotButton="0" quotePrefix="0" xfId="1">
      <alignment horizontal="center" vertical="center" wrapText="1"/>
    </xf>
    <xf numFmtId="177" fontId="16" fillId="0" borderId="53" applyAlignment="1" pivotButton="0" quotePrefix="0" xfId="39">
      <alignment horizontal="center" vertical="center"/>
    </xf>
    <xf numFmtId="165" fontId="49" fillId="0" borderId="2" applyAlignment="1" pivotButton="0" quotePrefix="0" xfId="1">
      <alignment horizontal="center" vertical="center" wrapText="1"/>
    </xf>
    <xf numFmtId="165" fontId="49" fillId="0" borderId="3" applyAlignment="1" pivotButton="0" quotePrefix="0" xfId="1">
      <alignment horizontal="center" vertical="center" wrapText="1"/>
    </xf>
    <xf numFmtId="165" fontId="51" fillId="4" borderId="36" applyAlignment="1" pivotButton="0" quotePrefix="0" xfId="1">
      <alignment horizontal="center" vertical="center" wrapText="1"/>
    </xf>
    <xf numFmtId="166" fontId="51" fillId="4" borderId="0" applyAlignment="1" pivotButton="0" quotePrefix="0" xfId="1">
      <alignment horizontal="center" vertical="center" wrapText="1"/>
    </xf>
    <xf numFmtId="165" fontId="51" fillId="4" borderId="0" applyAlignment="1" pivotButton="0" quotePrefix="0" xfId="1">
      <alignment horizontal="center" vertical="center" wrapText="1"/>
    </xf>
    <xf numFmtId="10" fontId="51" fillId="4" borderId="21" applyAlignment="1" pivotButton="0" quotePrefix="0" xfId="1">
      <alignment horizontal="center" vertical="center"/>
    </xf>
    <xf numFmtId="49" fontId="16" fillId="0" borderId="5" applyAlignment="1" pivotButton="0" quotePrefix="0" xfId="39">
      <alignment horizontal="center" vertical="center"/>
    </xf>
    <xf numFmtId="0" fontId="0" fillId="0" borderId="5" applyAlignment="1" pivotButton="0" quotePrefix="0" xfId="1">
      <alignment horizontal="center" vertical="center" wrapText="1"/>
    </xf>
    <xf numFmtId="165" fontId="0" fillId="0" borderId="33" applyAlignment="1" pivotButton="0" quotePrefix="0" xfId="1">
      <alignment horizontal="left" vertical="center"/>
    </xf>
    <xf numFmtId="14" fontId="16" fillId="4" borderId="34" applyAlignment="1" pivotButton="0" quotePrefix="0" xfId="39">
      <alignment horizontal="center" vertical="center"/>
    </xf>
    <xf numFmtId="14" fontId="16" fillId="14" borderId="54" applyAlignment="1" pivotButton="0" quotePrefix="0" xfId="39">
      <alignment horizontal="center" vertical="center"/>
    </xf>
    <xf numFmtId="14" fontId="16" fillId="14" borderId="55" applyAlignment="1" pivotButton="0" quotePrefix="0" xfId="39">
      <alignment horizontal="center" vertical="center"/>
    </xf>
    <xf numFmtId="0" fontId="16" fillId="14" borderId="55" applyAlignment="1" pivotButton="0" quotePrefix="0" xfId="39">
      <alignment horizontal="center" vertical="center"/>
    </xf>
    <xf numFmtId="165" fontId="16" fillId="14" borderId="55" applyAlignment="1" pivotButton="0" quotePrefix="0" xfId="39">
      <alignment horizontal="center" vertical="center"/>
    </xf>
    <xf numFmtId="165" fontId="49" fillId="14" borderId="55" applyAlignment="1" pivotButton="0" quotePrefix="0" xfId="1">
      <alignment horizontal="center" vertical="center" wrapText="1"/>
    </xf>
    <xf numFmtId="165" fontId="49" fillId="14" borderId="56" applyAlignment="1" pivotButton="0" quotePrefix="0" xfId="1">
      <alignment horizontal="center" vertical="center" wrapText="1"/>
    </xf>
    <xf numFmtId="165" fontId="16" fillId="14" borderId="0" applyAlignment="1" pivotButton="0" quotePrefix="0" xfId="39">
      <alignment horizontal="center" vertical="center"/>
    </xf>
    <xf numFmtId="14" fontId="16" fillId="14" borderId="4" applyAlignment="1" pivotButton="0" quotePrefix="0" xfId="39">
      <alignment horizontal="center" vertical="center"/>
    </xf>
    <xf numFmtId="49" fontId="16" fillId="14" borderId="5" applyAlignment="1" pivotButton="0" quotePrefix="0" xfId="39">
      <alignment horizontal="center" vertical="center"/>
    </xf>
    <xf numFmtId="14" fontId="16" fillId="4" borderId="11" applyAlignment="1" pivotButton="0" quotePrefix="0" xfId="39">
      <alignment horizontal="center" vertical="center"/>
    </xf>
    <xf numFmtId="0" fontId="16" fillId="4" borderId="12" applyAlignment="1" pivotButton="0" quotePrefix="0" xfId="39">
      <alignment horizontal="center" vertical="center"/>
    </xf>
    <xf numFmtId="166" fontId="16" fillId="4" borderId="12" applyAlignment="1" pivotButton="0" quotePrefix="0" xfId="39">
      <alignment horizontal="center" vertical="center"/>
    </xf>
    <xf numFmtId="166" fontId="49" fillId="4" borderId="12" applyAlignment="1" pivotButton="0" quotePrefix="0" xfId="1">
      <alignment horizontal="center" vertical="center" wrapText="1"/>
    </xf>
    <xf numFmtId="166" fontId="49" fillId="4" borderId="33" applyAlignment="1" pivotButton="0" quotePrefix="0" xfId="1">
      <alignment horizontal="center" vertical="center" wrapText="1"/>
    </xf>
    <xf numFmtId="165" fontId="49" fillId="4" borderId="0" applyAlignment="1" pivotButton="0" quotePrefix="0" xfId="1">
      <alignment horizontal="center" vertical="center" wrapText="1"/>
    </xf>
    <xf numFmtId="14" fontId="16" fillId="0" borderId="52" applyAlignment="1" pivotButton="0" quotePrefix="0" xfId="39">
      <alignment horizontal="center" vertical="center"/>
    </xf>
    <xf numFmtId="14" fontId="16" fillId="14" borderId="52" applyAlignment="1" pivotButton="0" quotePrefix="0" xfId="39">
      <alignment horizontal="center" vertical="center"/>
    </xf>
    <xf numFmtId="14" fontId="16" fillId="14" borderId="53" applyAlignment="1" pivotButton="0" quotePrefix="0" xfId="39">
      <alignment horizontal="center" vertical="center"/>
    </xf>
    <xf numFmtId="0" fontId="16" fillId="14" borderId="53" applyAlignment="1" pivotButton="0" quotePrefix="0" xfId="39">
      <alignment horizontal="center" vertical="center"/>
    </xf>
    <xf numFmtId="165" fontId="16" fillId="14" borderId="53" applyAlignment="1" pivotButton="0" quotePrefix="0" xfId="39">
      <alignment horizontal="center" vertical="center"/>
    </xf>
    <xf numFmtId="165" fontId="49" fillId="14" borderId="53" applyAlignment="1" pivotButton="0" quotePrefix="0" xfId="1">
      <alignment horizontal="center" vertical="center" wrapText="1"/>
    </xf>
    <xf numFmtId="22" fontId="16" fillId="0" borderId="0" applyAlignment="1" pivotButton="0" quotePrefix="0" xfId="39">
      <alignment horizontal="center" vertical="center"/>
    </xf>
    <xf numFmtId="14" fontId="16" fillId="0" borderId="15" applyAlignment="1" pivotButton="0" quotePrefix="0" xfId="39">
      <alignment horizontal="center" vertical="center"/>
    </xf>
    <xf numFmtId="165" fontId="49" fillId="0" borderId="57" applyAlignment="1" pivotButton="0" quotePrefix="0" xfId="1">
      <alignment horizontal="center" vertical="center" wrapText="1"/>
    </xf>
    <xf numFmtId="14" fontId="16" fillId="0" borderId="18" applyAlignment="1" pivotButton="0" quotePrefix="0" xfId="39">
      <alignment horizontal="center" vertical="center"/>
    </xf>
    <xf numFmtId="14" fontId="16" fillId="0" borderId="10" applyAlignment="1" pivotButton="0" quotePrefix="0" xfId="39">
      <alignment horizontal="center" vertical="center"/>
    </xf>
    <xf numFmtId="0" fontId="16" fillId="0" borderId="10" applyAlignment="1" pivotButton="0" quotePrefix="0" xfId="39">
      <alignment horizontal="center" vertical="center"/>
    </xf>
    <xf numFmtId="0" fontId="49" fillId="0" borderId="10" applyAlignment="1" pivotButton="0" quotePrefix="0" xfId="1">
      <alignment horizontal="center" vertical="center" wrapText="1"/>
    </xf>
    <xf numFmtId="165" fontId="49" fillId="0" borderId="17" applyAlignment="1" pivotButton="0" quotePrefix="0" xfId="1">
      <alignment horizontal="center" vertical="center" wrapText="1"/>
    </xf>
    <xf numFmtId="167" fontId="51" fillId="4" borderId="21" applyAlignment="1" pivotButton="0" quotePrefix="0" xfId="1">
      <alignment horizontal="center" vertical="center"/>
    </xf>
    <xf numFmtId="168" fontId="49" fillId="0" borderId="0" applyAlignment="1" pivotButton="0" quotePrefix="0" xfId="1">
      <alignment horizontal="center" vertical="center" wrapText="1"/>
    </xf>
    <xf numFmtId="164" fontId="49" fillId="0" borderId="5" applyAlignment="1" pivotButton="0" quotePrefix="0" xfId="1">
      <alignment horizontal="center" vertical="center" wrapText="1"/>
    </xf>
    <xf numFmtId="14" fontId="16" fillId="10" borderId="4" applyAlignment="1" pivotButton="0" quotePrefix="0" xfId="39">
      <alignment horizontal="center" vertical="center"/>
    </xf>
    <xf numFmtId="0" fontId="16" fillId="10" borderId="5" applyAlignment="1" pivotButton="0" quotePrefix="0" xfId="39">
      <alignment horizontal="center" vertical="center"/>
    </xf>
    <xf numFmtId="14" fontId="49" fillId="10" borderId="5" applyAlignment="1" pivotButton="0" quotePrefix="0" xfId="1">
      <alignment horizontal="center" vertical="center" wrapText="1"/>
    </xf>
    <xf numFmtId="0" fontId="49" fillId="10" borderId="5" applyAlignment="1" pivotButton="0" quotePrefix="0" xfId="1">
      <alignment horizontal="center" vertical="center"/>
    </xf>
    <xf numFmtId="166" fontId="49" fillId="10" borderId="5" applyAlignment="1" pivotButton="0" quotePrefix="0" xfId="1">
      <alignment horizontal="center" vertical="center" wrapText="1"/>
    </xf>
    <xf numFmtId="165" fontId="49" fillId="10" borderId="5" applyAlignment="1" pivotButton="0" quotePrefix="0" xfId="1">
      <alignment horizontal="center" vertical="center" wrapText="1"/>
    </xf>
    <xf numFmtId="10" fontId="49" fillId="10" borderId="5" applyAlignment="1" pivotButton="0" quotePrefix="0" xfId="1">
      <alignment horizontal="center" vertical="center" wrapText="1"/>
    </xf>
    <xf numFmtId="9" fontId="49" fillId="10" borderId="5" applyAlignment="1" pivotButton="0" quotePrefix="0" xfId="1">
      <alignment horizontal="center" vertical="center" wrapText="1"/>
    </xf>
    <xf numFmtId="167" fontId="49" fillId="10" borderId="5" applyAlignment="1" pivotButton="0" quotePrefix="0" xfId="1">
      <alignment horizontal="center" vertical="center"/>
    </xf>
    <xf numFmtId="0" fontId="49" fillId="10" borderId="5" applyAlignment="1" pivotButton="0" quotePrefix="0" xfId="1">
      <alignment horizontal="center" vertical="center" wrapText="1"/>
    </xf>
    <xf numFmtId="168" fontId="49" fillId="10" borderId="6" applyAlignment="1" pivotButton="0" quotePrefix="0" xfId="1">
      <alignment horizontal="center" vertical="center" wrapText="1"/>
    </xf>
    <xf numFmtId="10" fontId="80" fillId="0" borderId="5" applyAlignment="1" pivotButton="0" quotePrefix="0" xfId="1">
      <alignment horizontal="center" vertical="center" wrapText="1"/>
    </xf>
    <xf numFmtId="3" fontId="51" fillId="5" borderId="58" applyAlignment="1" pivotButton="0" quotePrefix="0" xfId="1">
      <alignment horizontal="center" vertical="center" wrapText="1"/>
    </xf>
    <xf numFmtId="3" fontId="51" fillId="5" borderId="59" applyAlignment="1" pivotButton="0" quotePrefix="0" xfId="1">
      <alignment horizontal="center" vertical="center" wrapText="1"/>
    </xf>
    <xf numFmtId="3" fontId="51" fillId="5" borderId="60" applyAlignment="1" pivotButton="0" quotePrefix="0" xfId="1">
      <alignment horizontal="center" vertical="center" wrapText="1"/>
    </xf>
    <xf numFmtId="10" fontId="55" fillId="5" borderId="26" applyAlignment="1" pivotButton="0" quotePrefix="0" xfId="1">
      <alignment horizontal="center" vertical="center"/>
    </xf>
    <xf numFmtId="10" fontId="55" fillId="5" borderId="24" applyAlignment="1" pivotButton="0" quotePrefix="0" xfId="1">
      <alignment horizontal="center" vertical="center"/>
    </xf>
    <xf numFmtId="0" fontId="51" fillId="4" borderId="23" applyAlignment="1" pivotButton="0" quotePrefix="0" xfId="1">
      <alignment horizontal="center" vertical="center"/>
    </xf>
    <xf numFmtId="3" fontId="51" fillId="4" borderId="23" applyAlignment="1" pivotButton="0" quotePrefix="0" xfId="1">
      <alignment horizontal="center" vertical="center" wrapText="1"/>
    </xf>
    <xf numFmtId="3" fontId="51" fillId="4" borderId="22" applyAlignment="1" pivotButton="0" quotePrefix="0" xfId="1">
      <alignment horizontal="center" vertical="center" wrapText="1"/>
    </xf>
    <xf numFmtId="3" fontId="51" fillId="4" borderId="20" applyAlignment="1" pivotButton="0" quotePrefix="0" xfId="1">
      <alignment horizontal="center" vertical="center"/>
    </xf>
    <xf numFmtId="3" fontId="51" fillId="4" borderId="21" applyAlignment="1" pivotButton="0" quotePrefix="0" xfId="1">
      <alignment horizontal="center" vertical="center"/>
    </xf>
    <xf numFmtId="10" fontId="55" fillId="4" borderId="24" applyAlignment="1" pivotButton="0" quotePrefix="0" xfId="0">
      <alignment horizontal="center" vertical="center"/>
    </xf>
    <xf numFmtId="10" fontId="55" fillId="4" borderId="25" applyAlignment="1" pivotButton="0" quotePrefix="0" xfId="0">
      <alignment horizontal="center" vertical="center"/>
    </xf>
    <xf numFmtId="164" fontId="0" fillId="0" borderId="2" applyAlignment="1" pivotButton="0" quotePrefix="0" xfId="1">
      <alignment horizontal="left" vertical="center"/>
    </xf>
    <xf numFmtId="165" fontId="0" fillId="0" borderId="2" applyAlignment="1" pivotButton="0" quotePrefix="0" xfId="1">
      <alignment horizontal="left" vertical="center"/>
    </xf>
    <xf numFmtId="14" fontId="16" fillId="11" borderId="4" applyAlignment="1" pivotButton="0" quotePrefix="0" xfId="39">
      <alignment horizontal="center" vertical="center"/>
    </xf>
    <xf numFmtId="0" fontId="16" fillId="11" borderId="5" applyAlignment="1" pivotButton="0" quotePrefix="0" xfId="39">
      <alignment horizontal="center" vertical="center"/>
    </xf>
    <xf numFmtId="14" fontId="16" fillId="11" borderId="5" applyAlignment="1" pivotButton="0" quotePrefix="0" xfId="39">
      <alignment horizontal="center" vertical="center"/>
    </xf>
    <xf numFmtId="0" fontId="49" fillId="11" borderId="5" applyAlignment="1" pivotButton="0" quotePrefix="0" xfId="1">
      <alignment horizontal="center" vertical="center" wrapText="1"/>
    </xf>
    <xf numFmtId="164" fontId="49" fillId="11" borderId="5" applyAlignment="1" pivotButton="0" quotePrefix="0" xfId="1">
      <alignment horizontal="center" vertical="center" wrapText="1"/>
    </xf>
    <xf numFmtId="166" fontId="49" fillId="11" borderId="5" applyAlignment="1" pivotButton="0" quotePrefix="0" xfId="1">
      <alignment horizontal="center" vertical="center" wrapText="1"/>
    </xf>
    <xf numFmtId="165" fontId="49" fillId="11" borderId="5" applyAlignment="1" pivotButton="0" quotePrefix="0" xfId="1">
      <alignment horizontal="center" vertical="center" wrapText="1"/>
    </xf>
    <xf numFmtId="10" fontId="49" fillId="11" borderId="5" applyAlignment="1" pivotButton="0" quotePrefix="0" xfId="1">
      <alignment horizontal="center" vertical="center" wrapText="1"/>
    </xf>
    <xf numFmtId="9" fontId="49" fillId="11" borderId="5" applyAlignment="1" pivotButton="0" quotePrefix="0" xfId="1">
      <alignment horizontal="center" vertical="center" wrapText="1"/>
    </xf>
    <xf numFmtId="167" fontId="51" fillId="11" borderId="5" applyAlignment="1" pivotButton="0" quotePrefix="0" xfId="1">
      <alignment horizontal="center" vertical="center"/>
    </xf>
    <xf numFmtId="168" fontId="49" fillId="11" borderId="6" applyAlignment="1" pivotButton="0" quotePrefix="0" xfId="1">
      <alignment horizontal="center" vertical="center" wrapText="1"/>
    </xf>
    <xf numFmtId="14" fontId="49" fillId="11" borderId="5" applyAlignment="1" pivotButton="0" quotePrefix="0" xfId="1">
      <alignment horizontal="center" vertical="center" wrapText="1"/>
    </xf>
    <xf numFmtId="167" fontId="49" fillId="11" borderId="5" applyAlignment="1" pivotButton="0" quotePrefix="0" xfId="1">
      <alignment horizontal="center" vertical="center"/>
    </xf>
    <xf numFmtId="14" fontId="75" fillId="4" borderId="4" applyAlignment="1" pivotButton="0" quotePrefix="0" xfId="39">
      <alignment horizontal="center" vertical="center"/>
    </xf>
    <xf numFmtId="0" fontId="75" fillId="4" borderId="5" applyAlignment="1" pivotButton="0" quotePrefix="0" xfId="39">
      <alignment horizontal="center" vertical="center"/>
    </xf>
    <xf numFmtId="14" fontId="75" fillId="4" borderId="5" applyAlignment="1" pivotButton="0" quotePrefix="0" xfId="39">
      <alignment horizontal="center" vertical="center"/>
    </xf>
    <xf numFmtId="0" fontId="68" fillId="4" borderId="5" applyAlignment="1" pivotButton="0" quotePrefix="0" xfId="1">
      <alignment horizontal="center" vertical="center" wrapText="1"/>
    </xf>
    <xf numFmtId="164" fontId="68" fillId="4" borderId="5" applyAlignment="1" pivotButton="0" quotePrefix="0" xfId="1">
      <alignment horizontal="center" vertical="center" wrapText="1"/>
    </xf>
    <xf numFmtId="166" fontId="68" fillId="4" borderId="5" applyAlignment="1" pivotButton="0" quotePrefix="0" xfId="1">
      <alignment horizontal="center" vertical="center" wrapText="1"/>
    </xf>
    <xf numFmtId="165" fontId="68" fillId="4" borderId="5" applyAlignment="1" pivotButton="0" quotePrefix="0" xfId="1">
      <alignment horizontal="center" vertical="center" wrapText="1"/>
    </xf>
    <xf numFmtId="167" fontId="68" fillId="4" borderId="5" applyAlignment="1" pivotButton="0" quotePrefix="0" xfId="1">
      <alignment horizontal="center" vertical="center"/>
    </xf>
    <xf numFmtId="0" fontId="68" fillId="4" borderId="6" applyAlignment="1" pivotButton="0" quotePrefix="0" xfId="1">
      <alignment horizontal="center" vertical="center" wrapText="1"/>
    </xf>
    <xf numFmtId="0" fontId="75" fillId="0" borderId="0" applyAlignment="1" pivotButton="0" quotePrefix="0" xfId="39">
      <alignment horizontal="center" vertical="center"/>
    </xf>
    <xf numFmtId="14" fontId="79" fillId="4" borderId="4" applyAlignment="1" pivotButton="0" quotePrefix="0" xfId="39">
      <alignment horizontal="center" vertical="center"/>
    </xf>
    <xf numFmtId="0" fontId="79" fillId="4" borderId="5" applyAlignment="1" pivotButton="0" quotePrefix="0" xfId="39">
      <alignment horizontal="center" vertical="center"/>
    </xf>
    <xf numFmtId="14" fontId="79" fillId="4" borderId="5" applyAlignment="1" pivotButton="0" quotePrefix="0" xfId="39">
      <alignment horizontal="center" vertical="center"/>
    </xf>
    <xf numFmtId="0" fontId="79" fillId="0" borderId="0" applyAlignment="1" pivotButton="0" quotePrefix="0" xfId="39">
      <alignment horizontal="center" vertical="center"/>
    </xf>
    <xf numFmtId="14" fontId="79" fillId="9" borderId="4" applyAlignment="1" pivotButton="0" quotePrefix="0" xfId="39">
      <alignment horizontal="center" vertical="center"/>
    </xf>
    <xf numFmtId="0" fontId="79" fillId="9" borderId="5" applyAlignment="1" pivotButton="0" quotePrefix="0" xfId="39">
      <alignment horizontal="center" vertical="center"/>
    </xf>
    <xf numFmtId="49" fontId="79" fillId="9" borderId="5" applyAlignment="1" pivotButton="0" quotePrefix="0" xfId="39">
      <alignment horizontal="center" vertical="center"/>
    </xf>
    <xf numFmtId="14" fontId="49" fillId="9" borderId="5" applyAlignment="1" pivotButton="0" quotePrefix="0" xfId="1">
      <alignment horizontal="center" vertical="center" wrapText="1"/>
    </xf>
    <xf numFmtId="0" fontId="49" fillId="9" borderId="5" applyAlignment="1" pivotButton="0" quotePrefix="0" xfId="1">
      <alignment horizontal="center" vertical="center" wrapText="1"/>
    </xf>
    <xf numFmtId="164" fontId="49" fillId="9" borderId="5" applyAlignment="1" pivotButton="0" quotePrefix="0" xfId="1">
      <alignment horizontal="center" vertical="center" wrapText="1"/>
    </xf>
    <xf numFmtId="166" fontId="49" fillId="9" borderId="5" applyAlignment="1" pivotButton="0" quotePrefix="0" xfId="1">
      <alignment horizontal="center" vertical="center" wrapText="1"/>
    </xf>
    <xf numFmtId="165" fontId="49" fillId="9" borderId="5" applyAlignment="1" pivotButton="0" quotePrefix="0" xfId="1">
      <alignment horizontal="center" vertical="center" wrapText="1"/>
    </xf>
    <xf numFmtId="167" fontId="49" fillId="9" borderId="5" applyAlignment="1" pivotButton="0" quotePrefix="0" xfId="1">
      <alignment horizontal="center" vertical="center"/>
    </xf>
    <xf numFmtId="168" fontId="49" fillId="9" borderId="6" applyAlignment="1" pivotButton="0" quotePrefix="0" xfId="1">
      <alignment horizontal="center" vertical="center" wrapText="1"/>
    </xf>
    <xf numFmtId="0" fontId="51" fillId="5" borderId="7" applyAlignment="1" pivotButton="0" quotePrefix="0" xfId="1">
      <alignment horizontal="center" vertical="center" wrapText="1"/>
    </xf>
    <xf numFmtId="0" fontId="51" fillId="5" borderId="8" applyAlignment="1" pivotButton="0" quotePrefix="0" xfId="1">
      <alignment horizontal="center" vertical="center" wrapText="1"/>
    </xf>
    <xf numFmtId="0" fontId="51" fillId="5" borderId="14" applyAlignment="1" pivotButton="0" quotePrefix="0" xfId="1">
      <alignment horizontal="center" vertical="center" wrapText="1"/>
    </xf>
    <xf numFmtId="0" fontId="51" fillId="5" borderId="10" applyAlignment="1" pivotButton="0" quotePrefix="0" xfId="1">
      <alignment horizontal="center" vertical="center"/>
    </xf>
    <xf numFmtId="0" fontId="51" fillId="5" borderId="43" applyAlignment="1" pivotButton="0" quotePrefix="0" xfId="1">
      <alignment horizontal="center" vertical="center" wrapText="1"/>
    </xf>
    <xf numFmtId="3" fontId="51" fillId="5" borderId="47" applyAlignment="1" pivotButton="0" quotePrefix="0" xfId="1">
      <alignment horizontal="center" vertical="center" wrapText="1"/>
    </xf>
    <xf numFmtId="3" fontId="51" fillId="5" borderId="61" applyAlignment="1" pivotButton="0" quotePrefix="0" xfId="1">
      <alignment horizontal="center" vertical="center" wrapText="1"/>
    </xf>
    <xf numFmtId="3" fontId="51" fillId="5" borderId="62" applyAlignment="1" pivotButton="0" quotePrefix="0" xfId="1">
      <alignment horizontal="center" vertical="center" wrapText="1"/>
    </xf>
    <xf numFmtId="3" fontId="51" fillId="5" borderId="63" applyAlignment="1" pivotButton="0" quotePrefix="0" xfId="1">
      <alignment horizontal="center" vertical="center" wrapText="1"/>
    </xf>
    <xf numFmtId="167" fontId="51" fillId="5" borderId="47" applyAlignment="1" pivotButton="0" quotePrefix="0" xfId="1">
      <alignment horizontal="center" vertical="center"/>
    </xf>
    <xf numFmtId="0" fontId="51" fillId="5" borderId="43" applyAlignment="1" pivotButton="0" quotePrefix="0" xfId="1">
      <alignment horizontal="center" vertical="center"/>
    </xf>
    <xf numFmtId="0" fontId="51" fillId="5" borderId="9" applyAlignment="1" pivotButton="0" quotePrefix="0" xfId="1">
      <alignment horizontal="center" vertical="center"/>
    </xf>
    <xf numFmtId="167" fontId="51" fillId="4" borderId="20" applyAlignment="1" pivotButton="0" quotePrefix="0" xfId="1">
      <alignment horizontal="center" vertical="center"/>
    </xf>
    <xf numFmtId="3" fontId="16" fillId="0" borderId="0" applyAlignment="1" pivotButton="0" quotePrefix="0" xfId="39">
      <alignment vertical="center"/>
    </xf>
    <xf numFmtId="167" fontId="55" fillId="11" borderId="24" applyAlignment="1" pivotButton="0" quotePrefix="0" xfId="0">
      <alignment horizontal="center" vertical="center"/>
    </xf>
    <xf numFmtId="167" fontId="51" fillId="11" borderId="21" applyAlignment="1" pivotButton="0" quotePrefix="0" xfId="1">
      <alignment horizontal="center" vertical="center"/>
    </xf>
    <xf numFmtId="170" fontId="51" fillId="11" borderId="19" pivotButton="0" quotePrefix="0" xfId="0"/>
    <xf numFmtId="14" fontId="15" fillId="11" borderId="34" applyAlignment="1" pivotButton="0" quotePrefix="0" xfId="39">
      <alignment horizontal="center" vertical="center"/>
    </xf>
    <xf numFmtId="14" fontId="14" fillId="11" borderId="34" applyAlignment="1" pivotButton="0" quotePrefix="0" xfId="39">
      <alignment horizontal="center" vertical="center"/>
    </xf>
    <xf numFmtId="0" fontId="13" fillId="0" borderId="5" applyAlignment="1" pivotButton="0" quotePrefix="1" xfId="2">
      <alignment horizontal="center" vertical="center"/>
    </xf>
    <xf numFmtId="4" fontId="51" fillId="5" borderId="20" applyAlignment="1" pivotButton="0" quotePrefix="0" xfId="1">
      <alignment horizontal="center" vertical="center" wrapText="1"/>
    </xf>
    <xf numFmtId="14" fontId="12" fillId="11" borderId="34" applyAlignment="1" pivotButton="0" quotePrefix="0" xfId="39">
      <alignment horizontal="center" vertical="center"/>
    </xf>
    <xf numFmtId="0" fontId="11" fillId="4" borderId="23" applyAlignment="1" pivotButton="0" quotePrefix="0" xfId="39">
      <alignment horizontal="center" vertical="center"/>
    </xf>
    <xf numFmtId="0" fontId="10" fillId="4" borderId="23" applyAlignment="1" pivotButton="0" quotePrefix="0" xfId="39">
      <alignment horizontal="center" vertical="center"/>
    </xf>
    <xf numFmtId="169" fontId="47" fillId="0" borderId="5" applyAlignment="1" pivotButton="0" quotePrefix="0" xfId="2">
      <alignment horizontal="center" vertical="center"/>
    </xf>
    <xf numFmtId="0" fontId="0" fillId="0" borderId="0" pivotButton="0" quotePrefix="1" xfId="0"/>
    <xf numFmtId="0" fontId="9" fillId="0" borderId="0" applyAlignment="1" pivotButton="0" quotePrefix="0" xfId="2">
      <alignment vertical="center"/>
    </xf>
    <xf numFmtId="14" fontId="8" fillId="0" borderId="4" applyAlignment="1" pivotButton="0" quotePrefix="0" xfId="2">
      <alignment horizontal="center" vertical="center"/>
    </xf>
    <xf numFmtId="178" fontId="49" fillId="0" borderId="5" applyAlignment="1" pivotButton="0" quotePrefix="0" xfId="1">
      <alignment horizontal="center" vertical="center" wrapText="1"/>
    </xf>
    <xf numFmtId="179" fontId="0" fillId="0" borderId="0" pivotButton="0" quotePrefix="0" xfId="0"/>
    <xf numFmtId="0" fontId="7" fillId="0" borderId="5" applyAlignment="1" pivotButton="0" quotePrefix="0" xfId="2">
      <alignment horizontal="center" vertical="center"/>
    </xf>
    <xf numFmtId="0" fontId="53" fillId="0" borderId="0" applyAlignment="1" pivotButton="0" quotePrefix="0" xfId="2">
      <alignment horizontal="left" vertical="center"/>
    </xf>
    <xf numFmtId="0" fontId="49" fillId="0" borderId="0" applyAlignment="1" pivotButton="0" quotePrefix="0" xfId="2">
      <alignment vertical="center"/>
    </xf>
    <xf numFmtId="0" fontId="83" fillId="0" borderId="0" applyAlignment="1" pivotButton="0" quotePrefix="0" xfId="2">
      <alignment vertical="center"/>
    </xf>
    <xf numFmtId="3" fontId="51" fillId="4" borderId="44" applyAlignment="1" pivotButton="0" quotePrefix="0" xfId="1">
      <alignment horizontal="center" vertical="center" wrapText="1"/>
    </xf>
    <xf numFmtId="0" fontId="84" fillId="7" borderId="0" applyAlignment="1" pivotButton="0" quotePrefix="0" xfId="0">
      <alignment horizontal="center"/>
    </xf>
    <xf numFmtId="14" fontId="51" fillId="7" borderId="0" applyAlignment="1" pivotButton="0" quotePrefix="0" xfId="0">
      <alignment horizontal="center" vertical="center"/>
    </xf>
    <xf numFmtId="0" fontId="51" fillId="7" borderId="0" applyAlignment="1" pivotButton="0" quotePrefix="0" xfId="0">
      <alignment horizontal="center" vertical="center"/>
    </xf>
    <xf numFmtId="180" fontId="51" fillId="7" borderId="0" applyAlignment="1" pivotButton="0" quotePrefix="0" xfId="0">
      <alignment horizontal="center" vertical="center"/>
    </xf>
    <xf numFmtId="0" fontId="0" fillId="7" borderId="0" pivotButton="0" quotePrefix="0" xfId="0"/>
    <xf numFmtId="180" fontId="58" fillId="0" borderId="0" pivotButton="0" quotePrefix="0" xfId="0"/>
    <xf numFmtId="180" fontId="51" fillId="0" borderId="0" applyAlignment="1" pivotButton="0" quotePrefix="0" xfId="0">
      <alignment vertical="center"/>
    </xf>
    <xf numFmtId="180" fontId="51" fillId="0" borderId="0" pivotButton="0" quotePrefix="0" xfId="0"/>
    <xf numFmtId="180" fontId="58" fillId="9" borderId="0" pivotButton="0" quotePrefix="0" xfId="0"/>
    <xf numFmtId="180" fontId="57" fillId="9" borderId="0" applyAlignment="1" pivotButton="0" quotePrefix="0" xfId="0">
      <alignment vertical="center"/>
    </xf>
    <xf numFmtId="180" fontId="51" fillId="9" borderId="0" pivotButton="0" quotePrefix="0" xfId="0"/>
    <xf numFmtId="180" fontId="57" fillId="0" borderId="0" applyAlignment="1" pivotButton="0" quotePrefix="0" xfId="0">
      <alignment vertical="center"/>
    </xf>
    <xf numFmtId="180" fontId="58" fillId="4" borderId="0" pivotButton="0" quotePrefix="0" xfId="0"/>
    <xf numFmtId="180" fontId="57" fillId="4" borderId="0" applyAlignment="1" pivotButton="0" quotePrefix="0" xfId="0">
      <alignment vertical="center"/>
    </xf>
    <xf numFmtId="180" fontId="51" fillId="4" borderId="0" pivotButton="0" quotePrefix="0" xfId="0"/>
    <xf numFmtId="0" fontId="6" fillId="0" borderId="0" applyAlignment="1" pivotButton="0" quotePrefix="0" xfId="40">
      <alignment vertical="center"/>
    </xf>
    <xf numFmtId="180" fontId="58" fillId="13" borderId="0" pivotButton="0" quotePrefix="0" xfId="0"/>
    <xf numFmtId="180" fontId="57" fillId="13" borderId="0" applyAlignment="1" pivotButton="0" quotePrefix="0" xfId="0">
      <alignment vertical="center"/>
    </xf>
    <xf numFmtId="180" fontId="51" fillId="13" borderId="0" pivotButton="0" quotePrefix="0" xfId="0"/>
    <xf numFmtId="180" fontId="58" fillId="10" borderId="0" pivotButton="0" quotePrefix="0" xfId="0"/>
    <xf numFmtId="180" fontId="51" fillId="10" borderId="0" applyAlignment="1" pivotButton="0" quotePrefix="0" xfId="0">
      <alignment vertical="center"/>
    </xf>
    <xf numFmtId="180" fontId="51" fillId="10" borderId="0" pivotButton="0" quotePrefix="0" xfId="0"/>
    <xf numFmtId="180" fontId="0" fillId="10" borderId="0" pivotButton="0" quotePrefix="0" xfId="0"/>
    <xf numFmtId="0" fontId="85" fillId="0" borderId="19" pivotButton="0" quotePrefix="0" xfId="0"/>
    <xf numFmtId="165" fontId="85" fillId="0" borderId="19" pivotButton="0" quotePrefix="0" xfId="0"/>
    <xf numFmtId="180" fontId="85" fillId="0" borderId="19" pivotButton="0" quotePrefix="0" xfId="0"/>
    <xf numFmtId="0" fontId="5" fillId="0" borderId="0" applyAlignment="1" pivotButton="0" quotePrefix="0" xfId="2">
      <alignment horizontal="center" vertical="center"/>
    </xf>
    <xf numFmtId="3" fontId="51" fillId="4" borderId="64" applyAlignment="1" pivotButton="0" quotePrefix="0" xfId="1">
      <alignment horizontal="center" vertical="center" wrapText="1"/>
    </xf>
    <xf numFmtId="3" fontId="51" fillId="4" borderId="65" applyAlignment="1" pivotButton="0" quotePrefix="0" xfId="1">
      <alignment horizontal="center" vertical="center" wrapText="1"/>
    </xf>
    <xf numFmtId="3" fontId="51" fillId="4" borderId="29" applyAlignment="1" pivotButton="0" quotePrefix="0" xfId="1">
      <alignment horizontal="center" vertical="center" wrapText="1"/>
    </xf>
    <xf numFmtId="0" fontId="0" fillId="4" borderId="66" applyAlignment="1" pivotButton="0" quotePrefix="0" xfId="0">
      <alignment horizontal="center" vertical="center"/>
    </xf>
    <xf numFmtId="0" fontId="47" fillId="4" borderId="44" applyAlignment="1" pivotButton="0" quotePrefix="0" xfId="2">
      <alignment horizontal="center" vertical="center"/>
    </xf>
    <xf numFmtId="0" fontId="47" fillId="4" borderId="67" applyAlignment="1" pivotButton="0" quotePrefix="0" xfId="2">
      <alignment horizontal="center" vertical="center"/>
    </xf>
    <xf numFmtId="3" fontId="51" fillId="4" borderId="67" applyAlignment="1" pivotButton="0" quotePrefix="0" xfId="1">
      <alignment horizontal="center" vertical="center" wrapText="1"/>
    </xf>
    <xf numFmtId="0" fontId="0" fillId="4" borderId="68" applyAlignment="1" pivotButton="0" quotePrefix="0" xfId="0">
      <alignment horizontal="center" vertical="center"/>
    </xf>
    <xf numFmtId="0" fontId="0" fillId="4" borderId="8" applyAlignment="1" pivotButton="0" quotePrefix="0" xfId="0">
      <alignment horizontal="center" vertical="center"/>
    </xf>
    <xf numFmtId="0" fontId="47" fillId="4" borderId="8" applyAlignment="1" pivotButton="0" quotePrefix="0" xfId="2">
      <alignment horizontal="center" vertical="center"/>
    </xf>
    <xf numFmtId="40" fontId="51" fillId="4" borderId="25" applyAlignment="1" pivotButton="0" quotePrefix="0" xfId="1">
      <alignment horizontal="center" vertical="center"/>
    </xf>
    <xf numFmtId="0" fontId="4" fillId="0" borderId="5" applyAlignment="1" pivotButton="0" quotePrefix="1" xfId="2">
      <alignment horizontal="center" vertical="center"/>
    </xf>
    <xf numFmtId="0" fontId="3" fillId="0" borderId="5" applyAlignment="1" pivotButton="0" quotePrefix="0" xfId="2">
      <alignment horizontal="center" vertical="center"/>
    </xf>
    <xf numFmtId="0" fontId="2" fillId="0" borderId="5" applyAlignment="1" pivotButton="0" quotePrefix="0" xfId="2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3" fontId="51" fillId="4" borderId="38" applyAlignment="1" pivotButton="0" quotePrefix="0" xfId="1">
      <alignment horizontal="center" vertical="center" wrapText="1"/>
    </xf>
    <xf numFmtId="0" fontId="0" fillId="0" borderId="38" applyAlignment="1" pivotButton="0" quotePrefix="0" xfId="0">
      <alignment horizontal="center" vertical="center"/>
    </xf>
    <xf numFmtId="3" fontId="51" fillId="4" borderId="44" applyAlignment="1" pivotButton="0" quotePrefix="0" xfId="1">
      <alignment horizontal="center" vertical="center" wrapText="1"/>
    </xf>
    <xf numFmtId="0" fontId="0" fillId="0" borderId="44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5" fillId="5" borderId="24" applyAlignment="1" pivotButton="0" quotePrefix="0" xfId="1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 wrapText="1"/>
    </xf>
    <xf numFmtId="0" fontId="0" fillId="0" borderId="40" applyAlignment="1" pivotButton="0" quotePrefix="0" xfId="0">
      <alignment horizontal="center" vertical="center" wrapText="1"/>
    </xf>
    <xf numFmtId="0" fontId="51" fillId="5" borderId="11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51" fillId="5" borderId="41" applyAlignment="1" pivotButton="0" quotePrefix="0" xfId="1">
      <alignment horizontal="center" vertical="center"/>
    </xf>
    <xf numFmtId="0" fontId="0" fillId="0" borderId="42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3" fontId="51" fillId="5" borderId="21" applyAlignment="1" pivotButton="0" quotePrefix="0" xfId="1">
      <alignment horizontal="center" vertical="center"/>
    </xf>
    <xf numFmtId="3" fontId="51" fillId="5" borderId="23" applyAlignment="1" pivotButton="0" quotePrefix="0" xfId="1">
      <alignment horizontal="center" vertical="center"/>
    </xf>
    <xf numFmtId="3" fontId="51" fillId="5" borderId="22" applyAlignment="1" pivotButton="0" quotePrefix="0" xfId="1">
      <alignment horizontal="center" vertical="center"/>
    </xf>
    <xf numFmtId="3" fontId="51" fillId="4" borderId="12" applyAlignment="1" pivotButton="0" quotePrefix="0" xfId="1">
      <alignment horizontal="center" vertical="center" wrapText="1"/>
    </xf>
    <xf numFmtId="3" fontId="51" fillId="4" borderId="0" applyAlignment="1" pivotButton="0" quotePrefix="0" xfId="1">
      <alignment horizontal="center" vertical="center" wrapText="1"/>
    </xf>
    <xf numFmtId="3" fontId="51" fillId="4" borderId="26" applyAlignment="1" pivotButton="0" quotePrefix="0" xfId="1">
      <alignment horizontal="center" vertical="center" wrapText="1"/>
    </xf>
    <xf numFmtId="3" fontId="51" fillId="4" borderId="27" applyAlignment="1" pivotButton="0" quotePrefix="0" xfId="1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3" fontId="51" fillId="4" borderId="11" applyAlignment="1" pivotButton="0" quotePrefix="0" xfId="1">
      <alignment horizontal="center" vertical="center" wrapText="1"/>
    </xf>
    <xf numFmtId="0" fontId="0" fillId="0" borderId="33" applyAlignment="1" pivotButton="0" quotePrefix="0" xfId="0">
      <alignment horizontal="center" vertical="center"/>
    </xf>
    <xf numFmtId="3" fontId="51" fillId="4" borderId="15" applyAlignment="1" pivotButton="0" quotePrefix="0" xfId="1">
      <alignment horizontal="center" vertical="center" wrapText="1"/>
    </xf>
    <xf numFmtId="0" fontId="0" fillId="0" borderId="57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3" fontId="51" fillId="4" borderId="3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5" fontId="51" fillId="4" borderId="34" applyAlignment="1" pivotButton="0" quotePrefix="0" xfId="0">
      <alignment horizontal="center" vertical="center"/>
    </xf>
    <xf numFmtId="165" fontId="51" fillId="4" borderId="35" applyAlignment="1" pivotButton="0" quotePrefix="0" xfId="0">
      <alignment horizontal="center" vertical="center"/>
    </xf>
    <xf numFmtId="0" fontId="55" fillId="4" borderId="26" applyAlignment="1" pivotButton="0" quotePrefix="0" xfId="0">
      <alignment horizontal="center" vertical="center"/>
    </xf>
    <xf numFmtId="0" fontId="55" fillId="4" borderId="27" applyAlignment="1" pivotButton="0" quotePrefix="0" xfId="0">
      <alignment horizontal="center" vertical="center"/>
    </xf>
    <xf numFmtId="0" fontId="55" fillId="5" borderId="26" applyAlignment="1" pivotButton="0" quotePrefix="0" xfId="1">
      <alignment horizontal="center" vertical="center"/>
    </xf>
    <xf numFmtId="0" fontId="51" fillId="5" borderId="21" applyAlignment="1" pivotButton="0" quotePrefix="0" xfId="1">
      <alignment horizontal="center" vertical="center"/>
    </xf>
    <xf numFmtId="0" fontId="55" fillId="4" borderId="24" applyAlignment="1" pivotButton="0" quotePrefix="0" xfId="0">
      <alignment horizontal="center" vertical="center"/>
    </xf>
    <xf numFmtId="165" fontId="51" fillId="11" borderId="34" applyAlignment="1" pivotButton="0" quotePrefix="0" xfId="0">
      <alignment horizontal="center" vertical="center"/>
    </xf>
    <xf numFmtId="0" fontId="0" fillId="11" borderId="35" applyAlignment="1" pivotButton="0" quotePrefix="0" xfId="0">
      <alignment horizontal="center" vertical="center"/>
    </xf>
    <xf numFmtId="3" fontId="51" fillId="11" borderId="34" applyAlignment="1" pivotButton="0" quotePrefix="0" xfId="0">
      <alignment horizontal="center" vertical="center"/>
    </xf>
    <xf numFmtId="0" fontId="51" fillId="11" borderId="34" applyAlignment="1" pivotButton="0" quotePrefix="0" xfId="0">
      <alignment horizontal="center" vertical="center"/>
    </xf>
    <xf numFmtId="0" fontId="51" fillId="4" borderId="34" applyAlignment="1" pivotButton="0" quotePrefix="0" xfId="0">
      <alignment horizontal="center" vertical="center"/>
    </xf>
    <xf numFmtId="0" fontId="82" fillId="0" borderId="25" applyAlignment="1" pivotButton="0" quotePrefix="0" xfId="0">
      <alignment horizontal="center" vertical="center"/>
    </xf>
    <xf numFmtId="0" fontId="55" fillId="5" borderId="27" applyAlignment="1" pivotButton="0" quotePrefix="0" xfId="1">
      <alignment horizontal="center" vertical="center"/>
    </xf>
    <xf numFmtId="0" fontId="55" fillId="5" borderId="25" applyAlignment="1" pivotButton="0" quotePrefix="0" xfId="1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0" fillId="4" borderId="35" applyAlignment="1" pivotButton="0" quotePrefix="0" xfId="0">
      <alignment horizontal="center" vertical="center"/>
    </xf>
    <xf numFmtId="164" fontId="49" fillId="0" borderId="2" applyAlignment="1" pivotButton="0" quotePrefix="0" xfId="1">
      <alignment horizontal="left" vertical="center"/>
    </xf>
    <xf numFmtId="165" fontId="49" fillId="0" borderId="2" applyAlignment="1" pivotButton="0" quotePrefix="0" xfId="1">
      <alignment horizontal="left" vertical="center"/>
    </xf>
    <xf numFmtId="166" fontId="47" fillId="0" borderId="5" applyAlignment="1" pivotButton="0" quotePrefix="0" xfId="2">
      <alignment horizontal="center" vertical="center"/>
    </xf>
    <xf numFmtId="166" fontId="49" fillId="0" borderId="5" applyAlignment="1" pivotButton="0" quotePrefix="0" xfId="1">
      <alignment horizontal="center" vertical="center" wrapText="1"/>
    </xf>
    <xf numFmtId="165" fontId="49" fillId="0" borderId="5" applyAlignment="1" pivotButton="0" quotePrefix="0" xfId="1">
      <alignment horizontal="center" vertical="center" wrapText="1"/>
    </xf>
    <xf numFmtId="167" fontId="49" fillId="0" borderId="5" applyAlignment="1" pivotButton="0" quotePrefix="0" xfId="1">
      <alignment horizontal="center" vertical="center"/>
    </xf>
    <xf numFmtId="168" fontId="49" fillId="0" borderId="6" applyAlignment="1" pivotButton="0" quotePrefix="0" xfId="1">
      <alignment horizontal="center" vertical="center" wrapText="1"/>
    </xf>
    <xf numFmtId="169" fontId="49" fillId="0" borderId="0" applyAlignment="1" pivotButton="0" quotePrefix="0" xfId="1">
      <alignment horizontal="center" vertical="center" wrapText="1"/>
    </xf>
    <xf numFmtId="164" fontId="49" fillId="4" borderId="5" applyAlignment="1" pivotButton="0" quotePrefix="0" xfId="1">
      <alignment horizontal="center" vertical="center" wrapText="1"/>
    </xf>
    <xf numFmtId="166" fontId="49" fillId="4" borderId="5" applyAlignment="1" pivotButton="0" quotePrefix="0" xfId="1">
      <alignment horizontal="center" vertical="center" wrapText="1"/>
    </xf>
    <xf numFmtId="165" fontId="49" fillId="4" borderId="5" applyAlignment="1" pivotButton="0" quotePrefix="0" xfId="1">
      <alignment horizontal="center" vertical="center" wrapText="1"/>
    </xf>
    <xf numFmtId="167" fontId="49" fillId="4" borderId="5" applyAlignment="1" pivotButton="0" quotePrefix="0" xfId="1">
      <alignment horizontal="center" vertical="center"/>
    </xf>
    <xf numFmtId="164" fontId="49" fillId="0" borderId="8" applyAlignment="1" pivotButton="0" quotePrefix="0" xfId="1">
      <alignment horizontal="center" vertical="center" wrapText="1"/>
    </xf>
    <xf numFmtId="166" fontId="49" fillId="0" borderId="8" applyAlignment="1" pivotButton="0" quotePrefix="0" xfId="1">
      <alignment horizontal="center" vertical="center" wrapText="1"/>
    </xf>
    <xf numFmtId="165" fontId="49" fillId="0" borderId="8" applyAlignment="1" pivotButton="0" quotePrefix="0" xfId="1">
      <alignment horizontal="center" vertical="center" wrapText="1"/>
    </xf>
    <xf numFmtId="165" fontId="49" fillId="0" borderId="10" applyAlignment="1" pivotButton="0" quotePrefix="0" xfId="1">
      <alignment horizontal="center" vertical="center" wrapText="1"/>
    </xf>
    <xf numFmtId="167" fontId="49" fillId="0" borderId="8" applyAlignment="1" pivotButton="0" quotePrefix="0" xfId="1">
      <alignment horizontal="center" vertical="center"/>
    </xf>
    <xf numFmtId="169" fontId="47" fillId="0" borderId="5" applyAlignment="1" pivotButton="0" quotePrefix="0" xfId="2">
      <alignment horizontal="center" vertical="center"/>
    </xf>
    <xf numFmtId="178" fontId="49" fillId="0" borderId="5" applyAlignment="1" pivotButton="0" quotePrefix="0" xfId="1">
      <alignment horizontal="center" vertical="center" wrapText="1"/>
    </xf>
    <xf numFmtId="0" fontId="0" fillId="0" borderId="12" pivotButton="0" quotePrefix="0" xfId="0"/>
    <xf numFmtId="0" fontId="0" fillId="0" borderId="33" pivotButton="0" quotePrefix="0" xfId="0"/>
    <xf numFmtId="0" fontId="0" fillId="0" borderId="15" pivotButton="0" quotePrefix="0" xfId="0"/>
    <xf numFmtId="0" fontId="0" fillId="0" borderId="57" pivotButton="0" quotePrefix="0" xfId="0"/>
    <xf numFmtId="0" fontId="0" fillId="0" borderId="27" pivotButton="0" quotePrefix="0" xfId="0"/>
    <xf numFmtId="165" fontId="51" fillId="4" borderId="44" applyAlignment="1" pivotButton="0" quotePrefix="0" xfId="1">
      <alignment horizontal="center" vertical="center"/>
    </xf>
    <xf numFmtId="167" fontId="51" fillId="4" borderId="44" applyAlignment="1" pivotButton="0" quotePrefix="0" xfId="1">
      <alignment horizontal="center" vertical="center"/>
    </xf>
    <xf numFmtId="165" fontId="51" fillId="4" borderId="25" applyAlignment="1" pivotButton="0" quotePrefix="0" xfId="1">
      <alignment horizontal="center" vertical="center"/>
    </xf>
    <xf numFmtId="0" fontId="0" fillId="0" borderId="44" pivotButton="0" quotePrefix="0" xfId="0"/>
    <xf numFmtId="167" fontId="51" fillId="4" borderId="25" applyAlignment="1" pivotButton="0" quotePrefix="0" xfId="1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5" pivotButton="0" quotePrefix="0" xfId="0"/>
    <xf numFmtId="180" fontId="51" fillId="7" borderId="0" applyAlignment="1" pivotButton="0" quotePrefix="0" xfId="0">
      <alignment horizontal="center" vertical="center"/>
    </xf>
    <xf numFmtId="172" fontId="0" fillId="0" borderId="0" applyAlignment="1" pivotButton="0" quotePrefix="0" xfId="0">
      <alignment vertical="center"/>
    </xf>
    <xf numFmtId="171" fontId="58" fillId="0" borderId="0" pivotButton="0" quotePrefix="0" xfId="0"/>
    <xf numFmtId="165" fontId="51" fillId="0" borderId="0" pivotButton="0" quotePrefix="0" xfId="0"/>
    <xf numFmtId="180" fontId="58" fillId="0" borderId="0" pivotButton="0" quotePrefix="0" xfId="0"/>
    <xf numFmtId="180" fontId="51" fillId="0" borderId="0" applyAlignment="1" pivotButton="0" quotePrefix="0" xfId="0">
      <alignment vertical="center"/>
    </xf>
    <xf numFmtId="180" fontId="51" fillId="0" borderId="0" pivotButton="0" quotePrefix="0" xfId="0"/>
    <xf numFmtId="165" fontId="0" fillId="0" borderId="0" pivotButton="0" quotePrefix="0" xfId="0"/>
    <xf numFmtId="180" fontId="57" fillId="0" borderId="0" applyAlignment="1" pivotButton="0" quotePrefix="0" xfId="0">
      <alignment vertical="center"/>
    </xf>
    <xf numFmtId="172" fontId="0" fillId="4" borderId="0" applyAlignment="1" pivotButton="0" quotePrefix="0" xfId="0">
      <alignment vertical="center"/>
    </xf>
    <xf numFmtId="171" fontId="58" fillId="4" borderId="0" pivotButton="0" quotePrefix="0" xfId="0"/>
    <xf numFmtId="165" fontId="51" fillId="4" borderId="0" pivotButton="0" quotePrefix="0" xfId="0"/>
    <xf numFmtId="180" fontId="58" fillId="4" borderId="0" pivotButton="0" quotePrefix="0" xfId="0"/>
    <xf numFmtId="180" fontId="57" fillId="4" borderId="0" applyAlignment="1" pivotButton="0" quotePrefix="0" xfId="0">
      <alignment vertical="center"/>
    </xf>
    <xf numFmtId="180" fontId="51" fillId="4" borderId="0" pivotButton="0" quotePrefix="0" xfId="0"/>
    <xf numFmtId="172" fontId="0" fillId="9" borderId="0" applyAlignment="1" pivotButton="0" quotePrefix="0" xfId="0">
      <alignment vertical="center"/>
    </xf>
    <xf numFmtId="171" fontId="58" fillId="9" borderId="0" pivotButton="0" quotePrefix="0" xfId="0"/>
    <xf numFmtId="165" fontId="51" fillId="9" borderId="0" pivotButton="0" quotePrefix="0" xfId="0"/>
    <xf numFmtId="180" fontId="58" fillId="9" borderId="0" pivotButton="0" quotePrefix="0" xfId="0"/>
    <xf numFmtId="180" fontId="57" fillId="9" borderId="0" applyAlignment="1" pivotButton="0" quotePrefix="0" xfId="0">
      <alignment vertical="center"/>
    </xf>
    <xf numFmtId="180" fontId="51" fillId="9" borderId="0" pivotButton="0" quotePrefix="0" xfId="0"/>
    <xf numFmtId="172" fontId="0" fillId="13" borderId="0" applyAlignment="1" pivotButton="0" quotePrefix="0" xfId="0">
      <alignment vertical="center"/>
    </xf>
    <xf numFmtId="171" fontId="58" fillId="13" borderId="0" pivotButton="0" quotePrefix="0" xfId="0"/>
    <xf numFmtId="165" fontId="51" fillId="13" borderId="0" pivotButton="0" quotePrefix="0" xfId="0"/>
    <xf numFmtId="180" fontId="58" fillId="13" borderId="0" pivotButton="0" quotePrefix="0" xfId="0"/>
    <xf numFmtId="180" fontId="57" fillId="13" borderId="0" applyAlignment="1" pivotButton="0" quotePrefix="0" xfId="0">
      <alignment vertical="center"/>
    </xf>
    <xf numFmtId="180" fontId="51" fillId="13" borderId="0" pivotButton="0" quotePrefix="0" xfId="0"/>
    <xf numFmtId="172" fontId="0" fillId="10" borderId="0" applyAlignment="1" pivotButton="0" quotePrefix="0" xfId="0">
      <alignment vertical="center"/>
    </xf>
    <xf numFmtId="171" fontId="58" fillId="10" borderId="0" pivotButton="0" quotePrefix="0" xfId="0"/>
    <xf numFmtId="165" fontId="51" fillId="10" borderId="0" pivotButton="0" quotePrefix="0" xfId="0"/>
    <xf numFmtId="180" fontId="58" fillId="10" borderId="0" pivotButton="0" quotePrefix="0" xfId="0"/>
    <xf numFmtId="180" fontId="51" fillId="10" borderId="0" applyAlignment="1" pivotButton="0" quotePrefix="0" xfId="0">
      <alignment vertical="center"/>
    </xf>
    <xf numFmtId="180" fontId="51" fillId="10" borderId="0" pivotButton="0" quotePrefix="0" xfId="0"/>
    <xf numFmtId="171" fontId="0" fillId="10" borderId="0" pivotButton="0" quotePrefix="0" xfId="0"/>
    <xf numFmtId="180" fontId="0" fillId="10" borderId="0" pivotButton="0" quotePrefix="0" xfId="0"/>
    <xf numFmtId="165" fontId="85" fillId="0" borderId="19" pivotButton="0" quotePrefix="0" xfId="0"/>
    <xf numFmtId="180" fontId="85" fillId="0" borderId="19" pivotButton="0" quotePrefix="0" xfId="0"/>
    <xf numFmtId="164" fontId="51" fillId="8" borderId="19" applyAlignment="1" pivotButton="0" quotePrefix="0" xfId="1">
      <alignment horizontal="center" vertical="center"/>
    </xf>
    <xf numFmtId="165" fontId="51" fillId="6" borderId="19" pivotButton="0" quotePrefix="0" xfId="0"/>
    <xf numFmtId="170" fontId="51" fillId="6" borderId="19" pivotButton="0" quotePrefix="0" xfId="0"/>
    <xf numFmtId="165" fontId="51" fillId="7" borderId="19" pivotButton="0" quotePrefix="0" xfId="0"/>
    <xf numFmtId="170" fontId="51" fillId="7" borderId="19" pivotButton="0" quotePrefix="0" xfId="0"/>
    <xf numFmtId="165" fontId="51" fillId="14" borderId="19" pivotButton="0" quotePrefix="0" xfId="0"/>
    <xf numFmtId="170" fontId="51" fillId="14" borderId="19" pivotButton="0" quotePrefix="0" xfId="0"/>
    <xf numFmtId="165" fontId="51" fillId="8" borderId="19" pivotButton="0" quotePrefix="0" xfId="0"/>
    <xf numFmtId="170" fontId="51" fillId="8" borderId="19" pivotButton="0" quotePrefix="0" xfId="0"/>
    <xf numFmtId="170" fontId="51" fillId="11" borderId="19" pivotButton="0" quotePrefix="0" xfId="0"/>
    <xf numFmtId="164" fontId="49" fillId="2" borderId="5" applyAlignment="1" pivotButton="0" quotePrefix="0" xfId="1">
      <alignment horizontal="center" vertical="center" wrapText="1"/>
    </xf>
    <xf numFmtId="166" fontId="49" fillId="2" borderId="5" applyAlignment="1" pivotButton="0" quotePrefix="0" xfId="1">
      <alignment horizontal="center" vertical="center" wrapText="1"/>
    </xf>
    <xf numFmtId="165" fontId="49" fillId="2" borderId="5" applyAlignment="1" pivotButton="0" quotePrefix="0" xfId="1">
      <alignment horizontal="center" vertical="center" wrapText="1"/>
    </xf>
    <xf numFmtId="167" fontId="49" fillId="2" borderId="5" applyAlignment="1" pivotButton="0" quotePrefix="0" xfId="1">
      <alignment horizontal="center" vertical="center"/>
    </xf>
    <xf numFmtId="164" fontId="49" fillId="0" borderId="0" applyAlignment="1" pivotButton="0" quotePrefix="0" xfId="1">
      <alignment horizontal="center" vertical="center" wrapText="1"/>
    </xf>
    <xf numFmtId="166" fontId="49" fillId="0" borderId="0" applyAlignment="1" pivotButton="0" quotePrefix="0" xfId="1">
      <alignment horizontal="center" vertical="center" wrapText="1"/>
    </xf>
    <xf numFmtId="165" fontId="49" fillId="0" borderId="0" applyAlignment="1" pivotButton="0" quotePrefix="0" xfId="1">
      <alignment horizontal="center" vertical="center" wrapText="1"/>
    </xf>
    <xf numFmtId="167" fontId="49" fillId="0" borderId="0" applyAlignment="1" pivotButton="0" quotePrefix="0" xfId="1">
      <alignment horizontal="center" vertical="center"/>
    </xf>
    <xf numFmtId="0" fontId="51" fillId="5" borderId="51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23" pivotButton="0" quotePrefix="0" xfId="0"/>
    <xf numFmtId="0" fontId="0" fillId="0" borderId="22" pivotButton="0" quotePrefix="0" xfId="0"/>
    <xf numFmtId="165" fontId="51" fillId="5" borderId="20" applyAlignment="1" pivotButton="0" quotePrefix="0" xfId="1">
      <alignment horizontal="center" vertical="center"/>
    </xf>
    <xf numFmtId="167" fontId="51" fillId="5" borderId="21" applyAlignment="1" pivotButton="0" quotePrefix="0" xfId="1">
      <alignment horizontal="center" vertical="center"/>
    </xf>
    <xf numFmtId="167" fontId="55" fillId="5" borderId="24" applyAlignment="1" pivotButton="0" quotePrefix="0" xfId="1">
      <alignment horizontal="center" vertical="center"/>
    </xf>
    <xf numFmtId="0" fontId="0" fillId="0" borderId="16" pivotButton="0" quotePrefix="0" xfId="0"/>
    <xf numFmtId="0" fontId="0" fillId="0" borderId="42" pivotButton="0" quotePrefix="0" xfId="0"/>
    <xf numFmtId="165" fontId="51" fillId="5" borderId="20" applyAlignment="1" pivotButton="0" quotePrefix="0" xfId="1">
      <alignment horizontal="center" vertical="center" wrapText="1"/>
    </xf>
    <xf numFmtId="0" fontId="0" fillId="0" borderId="14" pivotButton="0" quotePrefix="0" xfId="0"/>
    <xf numFmtId="0" fontId="0" fillId="0" borderId="43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20" applyAlignment="1" pivotButton="0" quotePrefix="0" xfId="0">
      <alignment horizontal="center" vertical="center"/>
    </xf>
    <xf numFmtId="167" fontId="51" fillId="5" borderId="36" applyAlignment="1" pivotButton="0" quotePrefix="0" xfId="1">
      <alignment horizontal="center" vertical="center"/>
    </xf>
    <xf numFmtId="165" fontId="16" fillId="0" borderId="0" applyAlignment="1" pivotButton="0" quotePrefix="0" xfId="39">
      <alignment horizontal="center" vertical="center"/>
    </xf>
    <xf numFmtId="164" fontId="0" fillId="0" borderId="12" applyAlignment="1" pivotButton="0" quotePrefix="0" xfId="1">
      <alignment horizontal="left" vertical="center"/>
    </xf>
    <xf numFmtId="165" fontId="0" fillId="0" borderId="12" applyAlignment="1" pivotButton="0" quotePrefix="0" xfId="1">
      <alignment horizontal="left" vertical="center"/>
    </xf>
    <xf numFmtId="165" fontId="0" fillId="0" borderId="33" applyAlignment="1" pivotButton="0" quotePrefix="0" xfId="1">
      <alignment horizontal="center" vertical="center"/>
    </xf>
    <xf numFmtId="165" fontId="16" fillId="0" borderId="0" applyAlignment="1" pivotButton="0" quotePrefix="0" xfId="39">
      <alignment horizontal="left" vertical="center"/>
    </xf>
    <xf numFmtId="172" fontId="70" fillId="0" borderId="4" applyAlignment="1" pivotButton="0" quotePrefix="0" xfId="39">
      <alignment horizontal="center" vertical="center"/>
    </xf>
    <xf numFmtId="165" fontId="70" fillId="0" borderId="5" applyAlignment="1" pivotButton="0" quotePrefix="0" xfId="39">
      <alignment horizontal="center" vertical="center"/>
    </xf>
    <xf numFmtId="165" fontId="71" fillId="0" borderId="5" applyAlignment="1" pivotButton="0" quotePrefix="0" xfId="1">
      <alignment horizontal="center" vertical="center" wrapText="1"/>
    </xf>
    <xf numFmtId="165" fontId="71" fillId="0" borderId="6" applyAlignment="1" pivotButton="0" quotePrefix="0" xfId="1">
      <alignment horizontal="center" vertical="center" wrapText="1"/>
    </xf>
    <xf numFmtId="165" fontId="52" fillId="0" borderId="0" applyAlignment="1" pivotButton="0" quotePrefix="0" xfId="39">
      <alignment horizontal="center" vertical="center"/>
    </xf>
    <xf numFmtId="172" fontId="16" fillId="0" borderId="4" applyAlignment="1" pivotButton="0" quotePrefix="0" xfId="39">
      <alignment horizontal="center" vertical="center"/>
    </xf>
    <xf numFmtId="165" fontId="16" fillId="0" borderId="5" applyAlignment="1" pivotButton="0" quotePrefix="0" xfId="39">
      <alignment horizontal="center" vertical="center"/>
    </xf>
    <xf numFmtId="174" fontId="16" fillId="0" borderId="5" applyAlignment="1" pivotButton="0" quotePrefix="0" xfId="39">
      <alignment horizontal="center" vertical="center"/>
    </xf>
    <xf numFmtId="165" fontId="49" fillId="0" borderId="6" applyAlignment="1" pivotButton="0" quotePrefix="0" xfId="1">
      <alignment horizontal="center" vertical="center" wrapText="1"/>
    </xf>
    <xf numFmtId="165" fontId="51" fillId="4" borderId="24" applyAlignment="1" pivotButton="0" quotePrefix="0" xfId="0">
      <alignment horizontal="center" vertical="center"/>
    </xf>
    <xf numFmtId="0" fontId="0" fillId="0" borderId="35" pivotButton="0" quotePrefix="0" xfId="0"/>
    <xf numFmtId="166" fontId="52" fillId="4" borderId="23" applyAlignment="1" pivotButton="0" quotePrefix="0" xfId="39">
      <alignment horizontal="center" vertical="center"/>
    </xf>
    <xf numFmtId="166" fontId="51" fillId="4" borderId="23" applyAlignment="1" pivotButton="0" quotePrefix="0" xfId="1">
      <alignment horizontal="center" vertical="center" wrapText="1"/>
    </xf>
    <xf numFmtId="165" fontId="51" fillId="4" borderId="34" applyAlignment="1" pivotButton="0" quotePrefix="0" xfId="1">
      <alignment horizontal="center" vertical="center" wrapText="1"/>
    </xf>
    <xf numFmtId="165" fontId="51" fillId="4" borderId="24" applyAlignment="1" pivotButton="0" quotePrefix="0" xfId="1">
      <alignment horizontal="center" vertical="center" wrapText="1"/>
    </xf>
    <xf numFmtId="166" fontId="51" fillId="0" borderId="0" applyAlignment="1" pivotButton="0" quotePrefix="0" xfId="1">
      <alignment horizontal="center" vertical="center" wrapText="1"/>
    </xf>
    <xf numFmtId="172" fontId="72" fillId="0" borderId="4" applyAlignment="1" pivotButton="0" quotePrefix="0" xfId="39">
      <alignment horizontal="center" vertical="center"/>
    </xf>
    <xf numFmtId="165" fontId="72" fillId="0" borderId="5" applyAlignment="1" pivotButton="0" quotePrefix="0" xfId="39">
      <alignment horizontal="center" vertical="center"/>
    </xf>
    <xf numFmtId="165" fontId="73" fillId="0" borderId="5" applyAlignment="1" pivotButton="0" quotePrefix="0" xfId="1">
      <alignment horizontal="center" vertical="center" wrapText="1"/>
    </xf>
    <xf numFmtId="165" fontId="73" fillId="0" borderId="6" applyAlignment="1" pivotButton="0" quotePrefix="0" xfId="1">
      <alignment horizontal="center" vertical="center" wrapText="1"/>
    </xf>
    <xf numFmtId="172" fontId="52" fillId="0" borderId="4" applyAlignment="1" pivotButton="0" quotePrefix="0" xfId="39">
      <alignment horizontal="center" vertical="center"/>
    </xf>
    <xf numFmtId="165" fontId="52" fillId="0" borderId="5" applyAlignment="1" pivotButton="0" quotePrefix="0" xfId="39">
      <alignment horizontal="center" vertical="center"/>
    </xf>
    <xf numFmtId="165" fontId="51" fillId="0" borderId="5" applyAlignment="1" pivotButton="0" quotePrefix="0" xfId="1">
      <alignment horizontal="center" vertical="center" wrapText="1"/>
    </xf>
    <xf numFmtId="165" fontId="51" fillId="0" borderId="6" applyAlignment="1" pivotButton="0" quotePrefix="0" xfId="1">
      <alignment horizontal="center" vertical="center" wrapText="1"/>
    </xf>
    <xf numFmtId="166" fontId="16" fillId="11" borderId="23" applyAlignment="1" pivotButton="0" quotePrefix="0" xfId="39">
      <alignment horizontal="center" vertical="center"/>
    </xf>
    <xf numFmtId="166" fontId="49" fillId="11" borderId="23" applyAlignment="1" pivotButton="0" quotePrefix="0" xfId="1">
      <alignment horizontal="center" vertical="center" wrapText="1"/>
    </xf>
    <xf numFmtId="165" fontId="49" fillId="11" borderId="24" applyAlignment="1" pivotButton="0" quotePrefix="0" xfId="1">
      <alignment horizontal="center" vertical="center" wrapText="1"/>
    </xf>
    <xf numFmtId="172" fontId="16" fillId="4" borderId="34" applyAlignment="1" pivotButton="0" quotePrefix="0" xfId="39">
      <alignment horizontal="center" vertical="center"/>
    </xf>
    <xf numFmtId="166" fontId="16" fillId="4" borderId="23" applyAlignment="1" pivotButton="0" quotePrefix="0" xfId="39">
      <alignment horizontal="center" vertical="center"/>
    </xf>
    <xf numFmtId="166" fontId="49" fillId="4" borderId="23" applyAlignment="1" pivotButton="0" quotePrefix="0" xfId="1">
      <alignment horizontal="center" vertical="center" wrapText="1"/>
    </xf>
    <xf numFmtId="166" fontId="49" fillId="4" borderId="35" applyAlignment="1" pivotButton="0" quotePrefix="0" xfId="1">
      <alignment horizontal="center" vertical="center" wrapText="1"/>
    </xf>
    <xf numFmtId="165" fontId="0" fillId="0" borderId="0" applyAlignment="1" pivotButton="0" quotePrefix="0" xfId="1">
      <alignment horizontal="center" vertical="center" wrapText="1"/>
    </xf>
    <xf numFmtId="165" fontId="51" fillId="4" borderId="23" applyAlignment="1" pivotButton="0" quotePrefix="0" xfId="1">
      <alignment horizontal="center" vertical="center" wrapText="1"/>
    </xf>
    <xf numFmtId="167" fontId="51" fillId="4" borderId="36" applyAlignment="1" pivotButton="0" quotePrefix="0" xfId="1">
      <alignment horizontal="center" vertical="center"/>
    </xf>
    <xf numFmtId="165" fontId="16" fillId="0" borderId="0" applyAlignment="1" pivotButton="0" quotePrefix="0" xfId="39">
      <alignment horizontal="center" vertical="center" wrapText="1"/>
    </xf>
    <xf numFmtId="167" fontId="51" fillId="4" borderId="24" applyAlignment="1" pivotButton="0" quotePrefix="0" xfId="1">
      <alignment horizontal="center" vertical="center"/>
    </xf>
    <xf numFmtId="167" fontId="55" fillId="4" borderId="24" applyAlignment="1" pivotButton="0" quotePrefix="0" xfId="0">
      <alignment horizontal="center" vertical="center"/>
    </xf>
    <xf numFmtId="3" fontId="51" fillId="4" borderId="24" applyAlignment="1" pivotButton="0" quotePrefix="0" xfId="0">
      <alignment horizontal="center" vertical="center"/>
    </xf>
    <xf numFmtId="169" fontId="0" fillId="0" borderId="0" pivotButton="0" quotePrefix="0" xfId="0"/>
    <xf numFmtId="168" fontId="0" fillId="0" borderId="0" pivotButton="0" quotePrefix="0" xfId="0"/>
    <xf numFmtId="173" fontId="0" fillId="0" borderId="0" pivotButton="0" quotePrefix="0" xfId="0"/>
    <xf numFmtId="168" fontId="61" fillId="12" borderId="37" applyAlignment="1" pivotButton="0" quotePrefix="0" xfId="0">
      <alignment horizontal="center" vertical="center" wrapText="1"/>
    </xf>
    <xf numFmtId="179" fontId="0" fillId="0" borderId="0" pivotButton="0" quotePrefix="0" xfId="0"/>
    <xf numFmtId="175" fontId="16" fillId="0" borderId="4" applyAlignment="1" pivotButton="0" quotePrefix="0" xfId="39">
      <alignment horizontal="center" vertical="center"/>
    </xf>
    <xf numFmtId="168" fontId="49" fillId="4" borderId="6" applyAlignment="1" pivotButton="0" quotePrefix="0" xfId="1">
      <alignment horizontal="center" vertical="center" wrapText="1"/>
    </xf>
    <xf numFmtId="0" fontId="51" fillId="5" borderId="20" applyAlignment="1" pivotButton="0" quotePrefix="0" xfId="1">
      <alignment horizontal="center" vertical="center"/>
    </xf>
    <xf numFmtId="167" fontId="16" fillId="0" borderId="0" applyAlignment="1" pivotButton="0" quotePrefix="0" xfId="39">
      <alignment horizontal="center" vertical="center"/>
    </xf>
    <xf numFmtId="165" fontId="49" fillId="0" borderId="0" applyAlignment="1" pivotButton="0" quotePrefix="0" xfId="1">
      <alignment horizontal="left" vertical="center"/>
    </xf>
    <xf numFmtId="165" fontId="0" fillId="0" borderId="0" applyAlignment="1" pivotButton="0" quotePrefix="0" xfId="0">
      <alignment vertical="center"/>
    </xf>
    <xf numFmtId="172" fontId="16" fillId="14" borderId="4" applyAlignment="1" pivotButton="0" quotePrefix="0" xfId="39">
      <alignment horizontal="center" vertical="center"/>
    </xf>
    <xf numFmtId="165" fontId="16" fillId="14" borderId="5" applyAlignment="1" pivotButton="0" quotePrefix="0" xfId="39">
      <alignment horizontal="center" vertical="center"/>
    </xf>
    <xf numFmtId="165" fontId="49" fillId="14" borderId="5" applyAlignment="1" pivotButton="0" quotePrefix="0" xfId="1">
      <alignment horizontal="center" vertical="center" wrapText="1"/>
    </xf>
    <xf numFmtId="165" fontId="49" fillId="14" borderId="6" applyAlignment="1" pivotButton="0" quotePrefix="0" xfId="1">
      <alignment horizontal="center" vertical="center" wrapText="1"/>
    </xf>
    <xf numFmtId="165" fontId="51" fillId="0" borderId="0" applyAlignment="1" pivotButton="0" quotePrefix="0" xfId="1">
      <alignment horizontal="center" vertical="center" wrapText="1"/>
    </xf>
    <xf numFmtId="165" fontId="51" fillId="0" borderId="0" applyAlignment="1" pivotButton="0" quotePrefix="0" xfId="0">
      <alignment vertical="center"/>
    </xf>
    <xf numFmtId="167" fontId="55" fillId="11" borderId="24" applyAlignment="1" pivotButton="0" quotePrefix="0" xfId="0">
      <alignment horizontal="center" vertical="center"/>
    </xf>
    <xf numFmtId="165" fontId="51" fillId="11" borderId="24" applyAlignment="1" pivotButton="0" quotePrefix="0" xfId="0">
      <alignment horizontal="center" vertical="center"/>
    </xf>
    <xf numFmtId="3" fontId="51" fillId="11" borderId="24" applyAlignment="1" pivotButton="0" quotePrefix="0" xfId="0">
      <alignment horizontal="center" vertical="center"/>
    </xf>
    <xf numFmtId="165" fontId="0" fillId="0" borderId="5" applyAlignment="1" pivotButton="0" quotePrefix="0" xfId="1">
      <alignment horizontal="center" vertical="center" wrapText="1"/>
    </xf>
    <xf numFmtId="165" fontId="49" fillId="11" borderId="34" applyAlignment="1" pivotButton="0" quotePrefix="0" xfId="1">
      <alignment horizontal="center" vertical="center" wrapText="1"/>
    </xf>
    <xf numFmtId="165" fontId="49" fillId="11" borderId="36" applyAlignment="1" pivotButton="0" quotePrefix="0" xfId="1">
      <alignment horizontal="center" vertical="center" wrapText="1"/>
    </xf>
    <xf numFmtId="165" fontId="75" fillId="0" borderId="5" applyAlignment="1" pivotButton="0" quotePrefix="0" xfId="39">
      <alignment horizontal="center" vertical="center"/>
    </xf>
    <xf numFmtId="165" fontId="74" fillId="0" borderId="5" applyAlignment="1" pivotButton="0" quotePrefix="0" xfId="39">
      <alignment horizontal="center" vertical="center"/>
    </xf>
    <xf numFmtId="176" fontId="16" fillId="0" borderId="0" applyAlignment="1" pivotButton="0" quotePrefix="0" xfId="39">
      <alignment horizontal="center" vertical="center"/>
    </xf>
    <xf numFmtId="168" fontId="16" fillId="0" borderId="0" applyAlignment="1" pivotButton="0" quotePrefix="0" xfId="39">
      <alignment horizontal="center" vertical="center"/>
    </xf>
    <xf numFmtId="176" fontId="16" fillId="0" borderId="0" applyAlignment="1" pivotButton="0" quotePrefix="0" xfId="39">
      <alignment horizontal="left" vertical="center"/>
    </xf>
    <xf numFmtId="168" fontId="16" fillId="0" borderId="0" applyAlignment="1" pivotButton="0" quotePrefix="0" xfId="39">
      <alignment horizontal="left" vertical="center"/>
    </xf>
    <xf numFmtId="176" fontId="52" fillId="0" borderId="0" applyAlignment="1" pivotButton="0" quotePrefix="0" xfId="39">
      <alignment horizontal="center" vertical="center"/>
    </xf>
    <xf numFmtId="168" fontId="52" fillId="0" borderId="0" applyAlignment="1" pivotButton="0" quotePrefix="0" xfId="39">
      <alignment horizontal="center" vertical="center"/>
    </xf>
    <xf numFmtId="166" fontId="49" fillId="4" borderId="0" applyAlignment="1" pivotButton="0" quotePrefix="0" xfId="1">
      <alignment horizontal="center" vertical="center" wrapText="1"/>
    </xf>
    <xf numFmtId="165" fontId="0" fillId="4" borderId="0" applyAlignment="1" pivotButton="0" quotePrefix="0" xfId="1">
      <alignment horizontal="center" vertical="center" wrapText="1"/>
    </xf>
    <xf numFmtId="166" fontId="49" fillId="11" borderId="0" applyAlignment="1" pivotButton="0" quotePrefix="0" xfId="1">
      <alignment horizontal="center" vertical="center" wrapText="1"/>
    </xf>
    <xf numFmtId="165" fontId="51" fillId="11" borderId="0" applyAlignment="1" pivotButton="0" quotePrefix="0" xfId="1">
      <alignment horizontal="center" vertical="center" wrapText="1"/>
    </xf>
    <xf numFmtId="165" fontId="49" fillId="14" borderId="0" applyAlignment="1" pivotButton="0" quotePrefix="0" xfId="1">
      <alignment horizontal="center" vertical="center" wrapText="1"/>
    </xf>
    <xf numFmtId="174" fontId="16" fillId="14" borderId="5" applyAlignment="1" pivotButton="0" quotePrefix="0" xfId="39">
      <alignment horizontal="center" vertical="center"/>
    </xf>
    <xf numFmtId="172" fontId="16" fillId="0" borderId="52" applyAlignment="1" pivotButton="0" quotePrefix="0" xfId="39">
      <alignment horizontal="center" vertical="center"/>
    </xf>
    <xf numFmtId="165" fontId="16" fillId="0" borderId="53" applyAlignment="1" pivotButton="0" quotePrefix="0" xfId="39">
      <alignment horizontal="center" vertical="center"/>
    </xf>
    <xf numFmtId="174" fontId="16" fillId="0" borderId="53" applyAlignment="1" pivotButton="0" quotePrefix="0" xfId="39">
      <alignment horizontal="center" vertical="center"/>
    </xf>
    <xf numFmtId="165" fontId="49" fillId="0" borderId="53" applyAlignment="1" pivotButton="0" quotePrefix="0" xfId="1">
      <alignment horizontal="center" vertical="center" wrapText="1"/>
    </xf>
    <xf numFmtId="177" fontId="16" fillId="0" borderId="53" applyAlignment="1" pivotButton="0" quotePrefix="0" xfId="39">
      <alignment horizontal="center" vertical="center"/>
    </xf>
    <xf numFmtId="165" fontId="49" fillId="0" borderId="2" applyAlignment="1" pivotButton="0" quotePrefix="0" xfId="1">
      <alignment horizontal="center" vertical="center" wrapText="1"/>
    </xf>
    <xf numFmtId="165" fontId="49" fillId="0" borderId="3" applyAlignment="1" pivotButton="0" quotePrefix="0" xfId="1">
      <alignment horizontal="center" vertical="center" wrapText="1"/>
    </xf>
    <xf numFmtId="165" fontId="51" fillId="4" borderId="36" applyAlignment="1" pivotButton="0" quotePrefix="0" xfId="1">
      <alignment horizontal="center" vertical="center" wrapText="1"/>
    </xf>
    <xf numFmtId="166" fontId="51" fillId="4" borderId="0" applyAlignment="1" pivotButton="0" quotePrefix="0" xfId="1">
      <alignment horizontal="center" vertical="center" wrapText="1"/>
    </xf>
    <xf numFmtId="165" fontId="51" fillId="4" borderId="0" applyAlignment="1" pivotButton="0" quotePrefix="0" xfId="1">
      <alignment horizontal="center" vertical="center" wrapText="1"/>
    </xf>
    <xf numFmtId="165" fontId="0" fillId="0" borderId="33" applyAlignment="1" pivotButton="0" quotePrefix="0" xfId="1">
      <alignment horizontal="left" vertical="center"/>
    </xf>
    <xf numFmtId="165" fontId="16" fillId="14" borderId="55" applyAlignment="1" pivotButton="0" quotePrefix="0" xfId="39">
      <alignment horizontal="center" vertical="center"/>
    </xf>
    <xf numFmtId="165" fontId="49" fillId="14" borderId="55" applyAlignment="1" pivotButton="0" quotePrefix="0" xfId="1">
      <alignment horizontal="center" vertical="center" wrapText="1"/>
    </xf>
    <xf numFmtId="165" fontId="49" fillId="14" borderId="56" applyAlignment="1" pivotButton="0" quotePrefix="0" xfId="1">
      <alignment horizontal="center" vertical="center" wrapText="1"/>
    </xf>
    <xf numFmtId="165" fontId="16" fillId="14" borderId="0" applyAlignment="1" pivotButton="0" quotePrefix="0" xfId="39">
      <alignment horizontal="center" vertical="center"/>
    </xf>
    <xf numFmtId="166" fontId="16" fillId="4" borderId="12" applyAlignment="1" pivotButton="0" quotePrefix="0" xfId="39">
      <alignment horizontal="center" vertical="center"/>
    </xf>
    <xf numFmtId="166" fontId="49" fillId="4" borderId="12" applyAlignment="1" pivotButton="0" quotePrefix="0" xfId="1">
      <alignment horizontal="center" vertical="center" wrapText="1"/>
    </xf>
    <xf numFmtId="166" fontId="49" fillId="4" borderId="33" applyAlignment="1" pivotButton="0" quotePrefix="0" xfId="1">
      <alignment horizontal="center" vertical="center" wrapText="1"/>
    </xf>
    <xf numFmtId="165" fontId="49" fillId="4" borderId="0" applyAlignment="1" pivotButton="0" quotePrefix="0" xfId="1">
      <alignment horizontal="center" vertical="center" wrapText="1"/>
    </xf>
    <xf numFmtId="165" fontId="16" fillId="14" borderId="53" applyAlignment="1" pivotButton="0" quotePrefix="0" xfId="39">
      <alignment horizontal="center" vertical="center"/>
    </xf>
    <xf numFmtId="165" fontId="49" fillId="14" borderId="53" applyAlignment="1" pivotButton="0" quotePrefix="0" xfId="1">
      <alignment horizontal="center" vertical="center" wrapText="1"/>
    </xf>
    <xf numFmtId="165" fontId="49" fillId="0" borderId="57" applyAlignment="1" pivotButton="0" quotePrefix="0" xfId="1">
      <alignment horizontal="center" vertical="center" wrapText="1"/>
    </xf>
    <xf numFmtId="165" fontId="49" fillId="0" borderId="17" applyAlignment="1" pivotButton="0" quotePrefix="0" xfId="1">
      <alignment horizontal="center" vertical="center" wrapText="1"/>
    </xf>
    <xf numFmtId="167" fontId="51" fillId="4" borderId="21" applyAlignment="1" pivotButton="0" quotePrefix="0" xfId="1">
      <alignment horizontal="center" vertical="center"/>
    </xf>
    <xf numFmtId="0" fontId="51" fillId="11" borderId="24" applyAlignment="1" pivotButton="0" quotePrefix="0" xfId="0">
      <alignment horizontal="center" vertical="center"/>
    </xf>
    <xf numFmtId="168" fontId="49" fillId="0" borderId="0" applyAlignment="1" pivotButton="0" quotePrefix="0" xfId="1">
      <alignment horizontal="center" vertical="center" wrapText="1"/>
    </xf>
    <xf numFmtId="164" fontId="49" fillId="0" borderId="5" applyAlignment="1" pivotButton="0" quotePrefix="0" xfId="1">
      <alignment horizontal="center" vertical="center" wrapText="1"/>
    </xf>
    <xf numFmtId="166" fontId="49" fillId="10" borderId="5" applyAlignment="1" pivotButton="0" quotePrefix="0" xfId="1">
      <alignment horizontal="center" vertical="center" wrapText="1"/>
    </xf>
    <xf numFmtId="165" fontId="49" fillId="10" borderId="5" applyAlignment="1" pivotButton="0" quotePrefix="0" xfId="1">
      <alignment horizontal="center" vertical="center" wrapText="1"/>
    </xf>
    <xf numFmtId="167" fontId="49" fillId="10" borderId="5" applyAlignment="1" pivotButton="0" quotePrefix="0" xfId="1">
      <alignment horizontal="center" vertical="center"/>
    </xf>
    <xf numFmtId="168" fontId="49" fillId="10" borderId="6" applyAlignment="1" pivotButton="0" quotePrefix="0" xfId="1">
      <alignment horizontal="center" vertical="center" wrapText="1"/>
    </xf>
    <xf numFmtId="0" fontId="51" fillId="4" borderId="24" applyAlignment="1" pivotButton="0" quotePrefix="0" xfId="0">
      <alignment horizontal="center" vertical="center"/>
    </xf>
    <xf numFmtId="167" fontId="51" fillId="11" borderId="21" applyAlignment="1" pivotButton="0" quotePrefix="0" xfId="1">
      <alignment horizontal="center" vertical="center"/>
    </xf>
    <xf numFmtId="164" fontId="0" fillId="0" borderId="2" applyAlignment="1" pivotButton="0" quotePrefix="0" xfId="1">
      <alignment horizontal="left" vertical="center"/>
    </xf>
    <xf numFmtId="165" fontId="0" fillId="0" borderId="2" applyAlignment="1" pivotButton="0" quotePrefix="0" xfId="1">
      <alignment horizontal="left" vertical="center"/>
    </xf>
    <xf numFmtId="164" fontId="49" fillId="11" borderId="5" applyAlignment="1" pivotButton="0" quotePrefix="0" xfId="1">
      <alignment horizontal="center" vertical="center" wrapText="1"/>
    </xf>
    <xf numFmtId="166" fontId="49" fillId="11" borderId="5" applyAlignment="1" pivotButton="0" quotePrefix="0" xfId="1">
      <alignment horizontal="center" vertical="center" wrapText="1"/>
    </xf>
    <xf numFmtId="165" fontId="49" fillId="11" borderId="5" applyAlignment="1" pivotButton="0" quotePrefix="0" xfId="1">
      <alignment horizontal="center" vertical="center" wrapText="1"/>
    </xf>
    <xf numFmtId="167" fontId="51" fillId="11" borderId="5" applyAlignment="1" pivotButton="0" quotePrefix="0" xfId="1">
      <alignment horizontal="center" vertical="center"/>
    </xf>
    <xf numFmtId="168" fontId="49" fillId="11" borderId="6" applyAlignment="1" pivotButton="0" quotePrefix="0" xfId="1">
      <alignment horizontal="center" vertical="center" wrapText="1"/>
    </xf>
    <xf numFmtId="167" fontId="49" fillId="11" borderId="5" applyAlignment="1" pivotButton="0" quotePrefix="0" xfId="1">
      <alignment horizontal="center" vertical="center"/>
    </xf>
    <xf numFmtId="164" fontId="68" fillId="4" borderId="5" applyAlignment="1" pivotButton="0" quotePrefix="0" xfId="1">
      <alignment horizontal="center" vertical="center" wrapText="1"/>
    </xf>
    <xf numFmtId="166" fontId="68" fillId="4" borderId="5" applyAlignment="1" pivotButton="0" quotePrefix="0" xfId="1">
      <alignment horizontal="center" vertical="center" wrapText="1"/>
    </xf>
    <xf numFmtId="165" fontId="68" fillId="4" borderId="5" applyAlignment="1" pivotButton="0" quotePrefix="0" xfId="1">
      <alignment horizontal="center" vertical="center" wrapText="1"/>
    </xf>
    <xf numFmtId="167" fontId="68" fillId="4" borderId="5" applyAlignment="1" pivotButton="0" quotePrefix="0" xfId="1">
      <alignment horizontal="center" vertical="center"/>
    </xf>
    <xf numFmtId="164" fontId="49" fillId="9" borderId="5" applyAlignment="1" pivotButton="0" quotePrefix="0" xfId="1">
      <alignment horizontal="center" vertical="center" wrapText="1"/>
    </xf>
    <xf numFmtId="166" fontId="49" fillId="9" borderId="5" applyAlignment="1" pivotButton="0" quotePrefix="0" xfId="1">
      <alignment horizontal="center" vertical="center" wrapText="1"/>
    </xf>
    <xf numFmtId="165" fontId="49" fillId="9" borderId="5" applyAlignment="1" pivotButton="0" quotePrefix="0" xfId="1">
      <alignment horizontal="center" vertical="center" wrapText="1"/>
    </xf>
    <xf numFmtId="167" fontId="49" fillId="9" borderId="5" applyAlignment="1" pivotButton="0" quotePrefix="0" xfId="1">
      <alignment horizontal="center" vertical="center"/>
    </xf>
    <xf numFmtId="168" fontId="49" fillId="9" borderId="6" applyAlignment="1" pivotButton="0" quotePrefix="0" xfId="1">
      <alignment horizontal="center" vertical="center" wrapText="1"/>
    </xf>
    <xf numFmtId="167" fontId="51" fillId="5" borderId="47" applyAlignment="1" pivotButton="0" quotePrefix="0" xfId="1">
      <alignment horizontal="center" vertical="center"/>
    </xf>
    <xf numFmtId="167" fontId="51" fillId="4" borderId="20" applyAlignment="1" pivotButton="0" quotePrefix="0" xfId="1">
      <alignment horizontal="center" vertical="center"/>
    </xf>
    <xf numFmtId="0" fontId="0" fillId="4" borderId="36" applyAlignment="1" pivotButton="0" quotePrefix="0" xfId="0">
      <alignment horizontal="center" vertical="center"/>
    </xf>
  </cellXfs>
  <cellStyles count="41">
    <cellStyle name="一般" xfId="0" builtinId="0"/>
    <cellStyle name="一般 2" xfId="1"/>
    <cellStyle name="一般 3" xfId="2"/>
    <cellStyle name="好_運彩交易紀錄" xfId="3"/>
    <cellStyle name="一般 4" xfId="4"/>
    <cellStyle name="一般 3 2" xfId="5"/>
    <cellStyle name="一般 4 2" xfId="6"/>
    <cellStyle name="一般 5" xfId="7"/>
    <cellStyle name="一般 6" xfId="8"/>
    <cellStyle name="一般 7" xfId="9"/>
    <cellStyle name="一般 3 3" xfId="10"/>
    <cellStyle name="一般 4 3" xfId="11"/>
    <cellStyle name="一般 3 2 2" xfId="12"/>
    <cellStyle name="一般 4 2 2" xfId="13"/>
    <cellStyle name="一般 5 2" xfId="14"/>
    <cellStyle name="一般 6 2" xfId="15"/>
    <cellStyle name="一般 7 2" xfId="16"/>
    <cellStyle name="一般 8" xfId="17"/>
    <cellStyle name="一般 9" xfId="18"/>
    <cellStyle name="一般 10" xfId="19"/>
    <cellStyle name="一般 11" xfId="20"/>
    <cellStyle name="一般 12" xfId="21"/>
    <cellStyle name="一般 13" xfId="22"/>
    <cellStyle name="一般 14" xfId="23"/>
    <cellStyle name="一般 15" xfId="24"/>
    <cellStyle name="一般 16" xfId="25"/>
    <cellStyle name="一般 17" xfId="26"/>
    <cellStyle name="一般 18" xfId="27"/>
    <cellStyle name="一般 19" xfId="28"/>
    <cellStyle name="一般 20" xfId="29"/>
    <cellStyle name="一般 21" xfId="30"/>
    <cellStyle name="一般 22" xfId="31"/>
    <cellStyle name="一般 23" xfId="32"/>
    <cellStyle name="一般 4 4" xfId="33"/>
    <cellStyle name="一般 24" xfId="34"/>
    <cellStyle name="一般 3 4" xfId="35"/>
    <cellStyle name="一般 25" xfId="36"/>
    <cellStyle name="超連結" xfId="37" builtinId="8"/>
    <cellStyle name="一般 26" xfId="38"/>
    <cellStyle name="一般 3 4 2" xfId="39"/>
    <cellStyle name="一般 23 2" xfId="40"/>
  </cellStyles>
  <dxfs count="6850"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/>
    </dxf>
    <dxf>
      <alignment horizontal="general" vertical="center"/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even_hsu</author>
  </authors>
  <commentList>
    <comment ref="H25" authorId="0" shapeId="0">
      <text>
        <t>恒耀
興采
謚源
陸海
晉椿
萬國通</t>
      </text>
    </comment>
  </commentList>
</comments>
</file>

<file path=xl/comments/comment2.xml><?xml version="1.0" encoding="utf-8"?>
<comments xmlns="http://schemas.openxmlformats.org/spreadsheetml/2006/main">
  <authors>
    <author>even_hsu</author>
  </authors>
  <commentList>
    <comment ref="H49" authorId="0" shapeId="0">
      <text>
        <t>恒耀
興采
謚源
陸海
晉椿
萬國通</t>
      </text>
    </comment>
  </commentList>
</comments>
</file>

<file path=xl/tables/table1.xml><?xml version="1.0" encoding="utf-8"?>
<table xmlns="http://schemas.openxmlformats.org/spreadsheetml/2006/main" id="1" name="表格3" displayName="表格3" ref="A1:J21" headerRowCount="1" totalsRowShown="0">
  <autoFilter ref="A1:J21"/>
  <tableColumns count="10">
    <tableColumn id="2" name="代號" dataDxfId="39"/>
    <tableColumn id="1" name="名稱" dataDxfId="38"/>
    <tableColumn id="3" name="最新"/>
    <tableColumn id="4" name="開市"/>
    <tableColumn id="5" name="高"/>
    <tableColumn id="6" name="低"/>
    <tableColumn id="7" name="升跌"/>
    <tableColumn id="8" name="升跌率%"/>
    <tableColumn id="9" name="成交量"/>
    <tableColumn id="10" name="時間" dataDxfId="3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資料表_1__2" displayName="資料表_1__2" ref="A1:E31" tableType="queryTable" headerRowCount="1" totalsRowShown="0">
  <autoFilter ref="A1:E31"/>
  <tableColumns count="5">
    <tableColumn id="1" uniqueName="1" name="Column1" queryTableFieldId="1" dataDxfId="36"/>
    <tableColumn id="2" uniqueName="2" name="現鈔買入" queryTableFieldId="2"/>
    <tableColumn id="3" uniqueName="3" name="現鈔賣出" queryTableFieldId="3"/>
    <tableColumn id="4" uniqueName="4" name="即期買入" queryTableFieldId="4"/>
    <tableColumn id="5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www.wantgoo.com/global/us-stocks" TargetMode="External" Id="rId1"/><Relationship Type="http://schemas.openxmlformats.org/officeDocument/2006/relationships/hyperlink" Target="https://finance.yahoo.com/portfolio/p_0/view/fv" TargetMode="External" Id="rId2"/><Relationship Type="http://schemas.openxmlformats.org/officeDocument/2006/relationships/hyperlink" Target="https://hk.investing.com/portfolio/?portfolioID=ZWU1ZzJtN25kMDwzbzs4Pg%3D%3D" TargetMode="External" Id="rId3"/><Relationship Type="http://schemas.openxmlformats.org/officeDocument/2006/relationships/table" Target="/xl/tables/table1.xml" Id="rId4"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21">
    <outlinePr summaryBelow="0" summaryRight="0"/>
    <pageSetUpPr/>
  </sheetPr>
  <dimension ref="A1:AD120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A62" sqref="A62:Z64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68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9" min="27" max="28"/>
    <col width="9" customWidth="1" style="9" min="29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6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175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509" t="inlineStr">
        <is>
          <t>分類</t>
        </is>
      </c>
    </row>
    <row r="2" outlineLevel="1">
      <c r="A2" s="95" t="n">
        <v>45707</v>
      </c>
      <c r="B2" s="11" t="n"/>
      <c r="C2" s="11" t="n">
        <v>3078</v>
      </c>
      <c r="D2" s="163" t="inlineStr">
        <is>
          <t>僑威</t>
        </is>
      </c>
      <c r="E2" s="11" t="n">
        <v>1000</v>
      </c>
      <c r="F2" s="11" t="n">
        <v>87.90000000000001</v>
      </c>
      <c r="G2" s="583">
        <f>E2*F2</f>
        <v/>
      </c>
      <c r="H2" s="11" t="n">
        <v>75</v>
      </c>
      <c r="I2" s="99" t="n">
        <v>45709</v>
      </c>
      <c r="J2" s="16" t="n">
        <v>85.3</v>
      </c>
      <c r="K2" s="11">
        <f>E2*J2</f>
        <v/>
      </c>
      <c r="L2" s="17" t="n">
        <v>72</v>
      </c>
      <c r="M2" s="11" t="n">
        <v>255</v>
      </c>
      <c r="N2" s="11" t="n">
        <v>0</v>
      </c>
      <c r="O2" s="584">
        <f>IF(I2="",E2*Y2,0)</f>
        <v/>
      </c>
      <c r="P2" s="585">
        <f>IF(I2="",R2-H2,(K2-H2-SUM(L2:N2)+R2-S2-T2)-G2)+(ROUND(R2*V2,0)-ROUND(R2*(1+V2),0)*W2)</f>
        <v/>
      </c>
      <c r="Q2" s="585">
        <f>IF(I2="",(O2-G2-(O2*0.1425%*0.65)-(O2*0.3%)-S2-T2),0)</f>
        <v/>
      </c>
      <c r="R2" s="585" t="n"/>
      <c r="S2" s="585" t="n">
        <v>10</v>
      </c>
      <c r="T2" s="585" t="n"/>
      <c r="U2" s="65">
        <f>(V2*50%)/(1+50%*V2)</f>
        <v/>
      </c>
      <c r="V2" s="65" t="n"/>
      <c r="W2" s="66" t="n">
        <v>0.11</v>
      </c>
      <c r="X2" s="586">
        <f>(P2+Q2)/G2</f>
        <v/>
      </c>
      <c r="Y2" s="16">
        <f>VLOOKUP(C2,每日行情!A:D,4,FALSE)</f>
        <v/>
      </c>
      <c r="Z2" s="587">
        <f>VLOOKUP(C2,每日行情!A:E,5,FALSE)</f>
        <v/>
      </c>
      <c r="AA2" s="588">
        <f>IF(I2="",((TODAY()-A2)*G2)/365.24,((I2-A2)*G2)/365.24)</f>
        <v/>
      </c>
      <c r="AB2" s="588" t="inlineStr">
        <is>
          <t>台股</t>
        </is>
      </c>
    </row>
    <row r="3" outlineLevel="1">
      <c r="A3" s="95" t="n">
        <v>45698</v>
      </c>
      <c r="B3" s="11" t="n"/>
      <c r="C3" s="11" t="n">
        <v>6245</v>
      </c>
      <c r="D3" s="163" t="inlineStr">
        <is>
          <t>立端</t>
        </is>
      </c>
      <c r="E3" s="11" t="n">
        <v>1000</v>
      </c>
      <c r="F3" s="11" t="n">
        <v>113.5</v>
      </c>
      <c r="G3" s="583">
        <f>E3*F3</f>
        <v/>
      </c>
      <c r="H3" s="11" t="n">
        <v>97</v>
      </c>
      <c r="I3" s="99" t="n">
        <v>45713</v>
      </c>
      <c r="J3" s="16" t="n">
        <v>115.5</v>
      </c>
      <c r="K3" s="11">
        <f>E3*J3</f>
        <v/>
      </c>
      <c r="L3" s="17" t="n">
        <v>98</v>
      </c>
      <c r="M3" s="11" t="n">
        <v>346</v>
      </c>
      <c r="N3" s="11" t="n">
        <v>0</v>
      </c>
      <c r="O3" s="584">
        <f>IF(I3="",E3*Y3,0)</f>
        <v/>
      </c>
      <c r="P3" s="585">
        <f>IF(I3="",R3-H3,(K3-H3-SUM(L3:N3)+R3-S3-T3)-G3)+(ROUND(R3*V3,0)-ROUND(R3*(1+V3),0)*W3)</f>
        <v/>
      </c>
      <c r="Q3" s="585">
        <f>IF(I3="",(O3-G3-(O3*0.1425%*0.65)-(O3*0.3%)-S3-T3),0)</f>
        <v/>
      </c>
      <c r="R3" s="585" t="n"/>
      <c r="S3" s="585" t="n">
        <v>10</v>
      </c>
      <c r="T3" s="585" t="n"/>
      <c r="U3" s="65">
        <f>(V3*50%)/(1+50%*V3)</f>
        <v/>
      </c>
      <c r="V3" s="65" t="n"/>
      <c r="W3" s="66" t="n">
        <v>0.11</v>
      </c>
      <c r="X3" s="586">
        <f>(P3+Q3)/G3</f>
        <v/>
      </c>
      <c r="Y3" s="16">
        <f>VLOOKUP(C3,每日行情!A:D,4,FALSE)</f>
        <v/>
      </c>
      <c r="Z3" s="587">
        <f>VLOOKUP(C3,每日行情!A:E,5,FALSE)</f>
        <v/>
      </c>
      <c r="AA3" s="588">
        <f>IF(I3="",((TODAY()-A3)*G3)/365.24,((I3-A3)*G3)/365.24)</f>
        <v/>
      </c>
      <c r="AB3" s="588" t="inlineStr">
        <is>
          <t>台股</t>
        </is>
      </c>
    </row>
    <row r="4" outlineLevel="1">
      <c r="A4" s="95" t="n">
        <v>45699</v>
      </c>
      <c r="B4" s="11" t="n"/>
      <c r="C4" s="11" t="n">
        <v>6596</v>
      </c>
      <c r="D4" s="163" t="inlineStr">
        <is>
          <t>寬宏藝術</t>
        </is>
      </c>
      <c r="E4" s="11" t="n">
        <v>1000</v>
      </c>
      <c r="F4" s="11" t="n">
        <v>92.5</v>
      </c>
      <c r="G4" s="583">
        <f>E4*F4</f>
        <v/>
      </c>
      <c r="H4" s="11" t="n">
        <v>79</v>
      </c>
      <c r="I4" s="99" t="n">
        <v>45714</v>
      </c>
      <c r="J4" s="16" t="n">
        <v>91.90000000000001</v>
      </c>
      <c r="K4" s="11">
        <f>E4*J4</f>
        <v/>
      </c>
      <c r="L4" s="17" t="n">
        <v>78</v>
      </c>
      <c r="M4" s="11" t="n">
        <v>275</v>
      </c>
      <c r="N4" s="11" t="n">
        <v>0</v>
      </c>
      <c r="O4" s="584">
        <f>IF(I4="",E4*Y4,0)</f>
        <v/>
      </c>
      <c r="P4" s="585">
        <f>IF(I4="",R4-H4,(K4-H4-SUM(L4:N4)+R4-S4-T4)-G4)+(ROUND(R4*V4,0)-ROUND(R4*(1+V4),0)*W4)</f>
        <v/>
      </c>
      <c r="Q4" s="585">
        <f>IF(I4="",(O4-G4-(O4*0.1425%*0.65)-(O4*0.3%)-S4-T4),0)</f>
        <v/>
      </c>
      <c r="R4" s="585" t="n"/>
      <c r="S4" s="585" t="n">
        <v>10</v>
      </c>
      <c r="T4" s="585" t="n"/>
      <c r="U4" s="65">
        <f>(V4*50%)/(1+50%*V4)</f>
        <v/>
      </c>
      <c r="V4" s="65" t="n"/>
      <c r="W4" s="66" t="n">
        <v>0.11</v>
      </c>
      <c r="X4" s="586">
        <f>(P4+Q4)/G4</f>
        <v/>
      </c>
      <c r="Y4" s="16">
        <f>VLOOKUP(C4,每日行情!A:D,4,FALSE)</f>
        <v/>
      </c>
      <c r="Z4" s="587">
        <f>VLOOKUP(C4,每日行情!A:E,5,FALSE)</f>
        <v/>
      </c>
      <c r="AA4" s="588">
        <f>IF(I4="",((TODAY()-A4)*G4)/365.24,((I4-A4)*G4)/365.24)</f>
        <v/>
      </c>
      <c r="AB4" s="588" t="inlineStr">
        <is>
          <t>台股</t>
        </is>
      </c>
    </row>
    <row r="5" outlineLevel="1">
      <c r="A5" s="95" t="n">
        <v>45702</v>
      </c>
      <c r="B5" s="11" t="n"/>
      <c r="C5" s="11" t="n">
        <v>2301</v>
      </c>
      <c r="D5" s="163" t="inlineStr">
        <is>
          <t>光寶科</t>
        </is>
      </c>
      <c r="E5" s="11" t="n">
        <v>1000</v>
      </c>
      <c r="F5" s="11" t="n">
        <v>110.5</v>
      </c>
      <c r="G5" s="583">
        <f>E5*F5</f>
        <v/>
      </c>
      <c r="H5" s="11" t="n">
        <v>94</v>
      </c>
      <c r="I5" s="99" t="n">
        <v>45715</v>
      </c>
      <c r="J5" s="16" t="n">
        <v>110</v>
      </c>
      <c r="K5" s="11">
        <f>E5*J5</f>
        <v/>
      </c>
      <c r="L5" s="17" t="n">
        <v>94</v>
      </c>
      <c r="M5" s="11" t="n">
        <v>330</v>
      </c>
      <c r="N5" s="11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/>
      <c r="S5" s="585" t="n">
        <v>10</v>
      </c>
      <c r="T5" s="585" t="n"/>
      <c r="U5" s="65">
        <f>(V5*50%)/(1+50%*V5)</f>
        <v/>
      </c>
      <c r="V5" s="65" t="n"/>
      <c r="W5" s="66" t="n">
        <v>0.11</v>
      </c>
      <c r="X5" s="586">
        <f>(P5+Q5)/G5</f>
        <v/>
      </c>
      <c r="Y5" s="16">
        <f>VLOOKUP(C5,每日行情!A:D,4,FALSE)</f>
        <v/>
      </c>
      <c r="Z5" s="587">
        <f>VLOOKUP(C5,每日行情!A:E,5,FALSE)</f>
        <v/>
      </c>
      <c r="AA5" s="588">
        <f>IF(I5="",((TODAY()-A5)*G5)/365.24,((I5-A5)*G5)/365.24)</f>
        <v/>
      </c>
      <c r="AB5" s="588" t="inlineStr">
        <is>
          <t>台股</t>
        </is>
      </c>
    </row>
    <row r="6" outlineLevel="1">
      <c r="A6" s="95" t="n">
        <v>45706</v>
      </c>
      <c r="B6" s="11" t="n"/>
      <c r="C6" s="11" t="n">
        <v>2883</v>
      </c>
      <c r="D6" s="163" t="inlineStr">
        <is>
          <t>凱基金</t>
        </is>
      </c>
      <c r="E6" s="11" t="n">
        <v>1000</v>
      </c>
      <c r="F6" s="11" t="n">
        <v>17.9</v>
      </c>
      <c r="G6" s="583">
        <f>E6*F6</f>
        <v/>
      </c>
      <c r="H6" s="11" t="n">
        <v>20</v>
      </c>
      <c r="I6" s="99" t="n">
        <v>45715</v>
      </c>
      <c r="J6" s="16" t="n">
        <v>18.15</v>
      </c>
      <c r="K6" s="11">
        <f>E6*J6</f>
        <v/>
      </c>
      <c r="L6" s="17" t="n">
        <v>20</v>
      </c>
      <c r="M6" s="11" t="n">
        <v>54</v>
      </c>
      <c r="N6" s="11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>
        <v>10</v>
      </c>
      <c r="T6" s="585" t="n"/>
      <c r="U6" s="65">
        <f>(V6*50%)/(1+50%*V6)</f>
        <v/>
      </c>
      <c r="V6" s="65" t="n"/>
      <c r="W6" s="66" t="n">
        <v>0.11</v>
      </c>
      <c r="X6" s="586">
        <f>(P6+Q6)/G6</f>
        <v/>
      </c>
      <c r="Y6" s="16">
        <f>VLOOKUP(C6,每日行情!A:D,4,FALSE)</f>
        <v/>
      </c>
      <c r="Z6" s="587">
        <f>VLOOKUP(C6,每日行情!A:E,5,FALSE)</f>
        <v/>
      </c>
      <c r="AA6" s="588">
        <f>IF(I6="",((TODAY()-A6)*G6)/365.24,((I6-A6)*G6)/365.24)</f>
        <v/>
      </c>
      <c r="AB6" s="588" t="inlineStr">
        <is>
          <t>台股</t>
        </is>
      </c>
    </row>
    <row r="7" outlineLevel="1">
      <c r="A7" s="95" t="n">
        <v>45702</v>
      </c>
      <c r="B7" s="11" t="n"/>
      <c r="C7" s="11" t="n">
        <v>2884</v>
      </c>
      <c r="D7" s="163" t="inlineStr">
        <is>
          <t>玉山金</t>
        </is>
      </c>
      <c r="E7" s="11" t="n">
        <v>1000</v>
      </c>
      <c r="F7" s="11" t="n">
        <v>29.1</v>
      </c>
      <c r="G7" s="583">
        <f>E7*F7</f>
        <v/>
      </c>
      <c r="H7" s="11" t="n">
        <v>24</v>
      </c>
      <c r="I7" s="99" t="n">
        <v>45715</v>
      </c>
      <c r="J7" s="16" t="n">
        <v>29.5</v>
      </c>
      <c r="K7" s="11">
        <f>E7*J7</f>
        <v/>
      </c>
      <c r="L7" s="17" t="n">
        <v>25</v>
      </c>
      <c r="M7" s="11" t="n">
        <v>88</v>
      </c>
      <c r="N7" s="11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>
        <v>10</v>
      </c>
      <c r="T7" s="585" t="n"/>
      <c r="U7" s="65">
        <f>(V7*50%)/(1+50%*V7)</f>
        <v/>
      </c>
      <c r="V7" s="65" t="n"/>
      <c r="W7" s="66" t="n">
        <v>0.11</v>
      </c>
      <c r="X7" s="586">
        <f>(P7+Q7)/G7</f>
        <v/>
      </c>
      <c r="Y7" s="16">
        <f>VLOOKUP(C7,每日行情!A:D,4,FALSE)</f>
        <v/>
      </c>
      <c r="Z7" s="587">
        <f>VLOOKUP(C7,每日行情!A:E,5,FALSE)</f>
        <v/>
      </c>
      <c r="AA7" s="588">
        <f>IF(I7="",((TODAY()-A7)*G7)/365.24,((I7-A7)*G7)/365.24)</f>
        <v/>
      </c>
      <c r="AB7" s="588" t="inlineStr">
        <is>
          <t>台股</t>
        </is>
      </c>
    </row>
    <row r="8" outlineLevel="1">
      <c r="A8" s="95" t="n">
        <v>45698</v>
      </c>
      <c r="B8" s="11" t="n"/>
      <c r="C8" s="11" t="n">
        <v>6206</v>
      </c>
      <c r="D8" s="163" t="inlineStr">
        <is>
          <t>飛捷</t>
        </is>
      </c>
      <c r="E8" s="11" t="n">
        <v>1000</v>
      </c>
      <c r="F8" s="11" t="n">
        <v>118.5</v>
      </c>
      <c r="G8" s="583">
        <f>E8*F8</f>
        <v/>
      </c>
      <c r="H8" s="11" t="n">
        <v>101</v>
      </c>
      <c r="I8" s="99" t="n">
        <v>45715</v>
      </c>
      <c r="J8" s="16" t="n">
        <v>162.5</v>
      </c>
      <c r="K8" s="11">
        <f>E8*J8</f>
        <v/>
      </c>
      <c r="L8" s="17" t="n">
        <v>138</v>
      </c>
      <c r="M8" s="11" t="n">
        <v>487</v>
      </c>
      <c r="N8" s="11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>
        <v>10</v>
      </c>
      <c r="T8" s="585" t="n"/>
      <c r="U8" s="65">
        <f>(V8*50%)/(1+50%*V8)</f>
        <v/>
      </c>
      <c r="V8" s="65" t="n"/>
      <c r="W8" s="66" t="n">
        <v>0.11</v>
      </c>
      <c r="X8" s="586">
        <f>(P8+Q8)/G8</f>
        <v/>
      </c>
      <c r="Y8" s="16">
        <f>VLOOKUP(C8,每日行情!A:D,4,FALSE)</f>
        <v/>
      </c>
      <c r="Z8" s="587">
        <f>VLOOKUP(C8,每日行情!A:E,5,FALSE)</f>
        <v/>
      </c>
      <c r="AA8" s="588">
        <f>IF(I8="",((TODAY()-A8)*G8)/365.24,((I8-A8)*G8)/365.24)</f>
        <v/>
      </c>
      <c r="AB8" s="588" t="inlineStr">
        <is>
          <t>台股</t>
        </is>
      </c>
    </row>
    <row r="9" outlineLevel="1">
      <c r="A9" s="95" t="n">
        <v>45702</v>
      </c>
      <c r="B9" s="11" t="n"/>
      <c r="C9" s="11" t="n">
        <v>1605</v>
      </c>
      <c r="D9" s="163" t="inlineStr">
        <is>
          <t>華新</t>
        </is>
      </c>
      <c r="E9" s="11" t="n">
        <v>1000</v>
      </c>
      <c r="F9" s="11" t="n">
        <v>26.65</v>
      </c>
      <c r="G9" s="583">
        <f>E9*F9</f>
        <v/>
      </c>
      <c r="H9" s="11" t="n">
        <v>23</v>
      </c>
      <c r="I9" s="99" t="n">
        <v>45720</v>
      </c>
      <c r="J9" s="16" t="n">
        <v>27.6</v>
      </c>
      <c r="K9" s="11">
        <f>E9*J9</f>
        <v/>
      </c>
      <c r="L9" s="17" t="n">
        <v>23</v>
      </c>
      <c r="M9" s="11" t="n">
        <v>82</v>
      </c>
      <c r="N9" s="11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>
        <v>10</v>
      </c>
      <c r="T9" s="585" t="n"/>
      <c r="U9" s="65">
        <f>(V9*50%)/(1+50%*V9)</f>
        <v/>
      </c>
      <c r="V9" s="65" t="n"/>
      <c r="W9" s="66" t="n">
        <v>0.11</v>
      </c>
      <c r="X9" s="586">
        <f>(P9+Q9)/G9</f>
        <v/>
      </c>
      <c r="Y9" s="16">
        <f>VLOOKUP(C9,每日行情!A:D,4,FALSE)</f>
        <v/>
      </c>
      <c r="Z9" s="587">
        <f>VLOOKUP(C9,每日行情!A:E,5,FALSE)</f>
        <v/>
      </c>
      <c r="AA9" s="588">
        <f>IF(I9="",((TODAY()-A9)*G9)/365.24,((I9-A9)*G9)/365.24)</f>
        <v/>
      </c>
      <c r="AB9" s="588" t="inlineStr">
        <is>
          <t>台股</t>
        </is>
      </c>
    </row>
    <row r="10" outlineLevel="1">
      <c r="A10" s="95" t="n">
        <v>45702</v>
      </c>
      <c r="B10" s="11" t="n"/>
      <c r="C10" s="11" t="n">
        <v>1605</v>
      </c>
      <c r="D10" s="163" t="inlineStr">
        <is>
          <t>華新</t>
        </is>
      </c>
      <c r="E10" s="11" t="n">
        <v>1000</v>
      </c>
      <c r="F10" s="11" t="n">
        <v>26.65</v>
      </c>
      <c r="G10" s="583">
        <f>E10*F10</f>
        <v/>
      </c>
      <c r="H10" s="11" t="n">
        <v>22</v>
      </c>
      <c r="I10" s="99" t="n">
        <v>45721</v>
      </c>
      <c r="J10" s="16" t="n">
        <v>27.75</v>
      </c>
      <c r="K10" s="11">
        <f>E10*J10</f>
        <v/>
      </c>
      <c r="L10" s="17" t="n">
        <v>23</v>
      </c>
      <c r="M10" s="11" t="n">
        <v>83</v>
      </c>
      <c r="N10" s="11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>
        <v>10</v>
      </c>
      <c r="T10" s="585" t="n"/>
      <c r="U10" s="65">
        <f>(V10*50%)/(1+50%*V10)</f>
        <v/>
      </c>
      <c r="V10" s="65" t="n"/>
      <c r="W10" s="66" t="n">
        <v>0.11</v>
      </c>
      <c r="X10" s="586">
        <f>(P10+Q10)/G10</f>
        <v/>
      </c>
      <c r="Y10" s="16">
        <f>VLOOKUP(C10,每日行情!A:D,4,FALSE)</f>
        <v/>
      </c>
      <c r="Z10" s="587">
        <f>VLOOKUP(C10,每日行情!A:E,5,FALSE)</f>
        <v/>
      </c>
      <c r="AA10" s="588">
        <f>IF(I10="",((TODAY()-A10)*G10)/365.24,((I10-A10)*G10)/365.24)</f>
        <v/>
      </c>
      <c r="AB10" s="588" t="inlineStr">
        <is>
          <t>台股</t>
        </is>
      </c>
    </row>
    <row r="11" outlineLevel="1">
      <c r="A11" s="95" t="n">
        <v>45709</v>
      </c>
      <c r="B11" s="11" t="n"/>
      <c r="C11" s="11" t="n">
        <v>2357</v>
      </c>
      <c r="D11" s="163" t="inlineStr">
        <is>
          <t>華碩</t>
        </is>
      </c>
      <c r="E11" s="11" t="n">
        <v>100</v>
      </c>
      <c r="F11" s="11" t="n">
        <v>700</v>
      </c>
      <c r="G11" s="583">
        <f>E11*F11</f>
        <v/>
      </c>
      <c r="H11" s="11" t="n">
        <v>59</v>
      </c>
      <c r="I11" s="99" t="n">
        <v>45727</v>
      </c>
      <c r="J11" s="16" t="n">
        <v>646</v>
      </c>
      <c r="K11" s="11">
        <f>E11*J11</f>
        <v/>
      </c>
      <c r="L11" s="17" t="n">
        <v>55</v>
      </c>
      <c r="M11" s="11" t="n">
        <v>193</v>
      </c>
      <c r="N11" s="11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>
        <v>10</v>
      </c>
      <c r="T11" s="585" t="n"/>
      <c r="U11" s="65">
        <f>(V11*50%)/(1+50%*V11)</f>
        <v/>
      </c>
      <c r="V11" s="65" t="n"/>
      <c r="W11" s="66" t="n">
        <v>0.11</v>
      </c>
      <c r="X11" s="586">
        <f>(P11+Q11)/G11</f>
        <v/>
      </c>
      <c r="Y11" s="16">
        <f>VLOOKUP(C11,每日行情!A:D,4,FALSE)</f>
        <v/>
      </c>
      <c r="Z11" s="587">
        <f>VLOOKUP(C11,每日行情!A:E,5,FALSE)</f>
        <v/>
      </c>
      <c r="AA11" s="588">
        <f>IF(I11="",((TODAY()-A11)*G11)/365.24,((I11-A11)*G11)/365.24)</f>
        <v/>
      </c>
      <c r="AB11" s="588" t="inlineStr">
        <is>
          <t>台股</t>
        </is>
      </c>
    </row>
    <row r="12" outlineLevel="1">
      <c r="A12" s="95" t="n">
        <v>45713</v>
      </c>
      <c r="B12" s="11" t="n"/>
      <c r="C12" s="11" t="n">
        <v>1519</v>
      </c>
      <c r="D12" s="163" t="inlineStr">
        <is>
          <t>華城</t>
        </is>
      </c>
      <c r="E12" s="11" t="n">
        <v>1000</v>
      </c>
      <c r="F12" s="11" t="n">
        <v>654</v>
      </c>
      <c r="G12" s="583">
        <f>E12*F12</f>
        <v/>
      </c>
      <c r="H12" s="11" t="n">
        <v>559</v>
      </c>
      <c r="I12" s="99" t="n">
        <v>45727</v>
      </c>
      <c r="J12" s="16" t="n">
        <v>590</v>
      </c>
      <c r="K12" s="11">
        <f>E12*J12</f>
        <v/>
      </c>
      <c r="L12" s="17" t="n">
        <v>504</v>
      </c>
      <c r="M12" s="11" t="n">
        <v>1770</v>
      </c>
      <c r="N12" s="11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>
        <v>10</v>
      </c>
      <c r="T12" s="585" t="n"/>
      <c r="U12" s="65">
        <f>(V12*50%)/(1+50%*V12)</f>
        <v/>
      </c>
      <c r="V12" s="65" t="n"/>
      <c r="W12" s="66" t="n">
        <v>0.11</v>
      </c>
      <c r="X12" s="586">
        <f>(P12+Q12)/G12</f>
        <v/>
      </c>
      <c r="Y12" s="16">
        <f>VLOOKUP(C12,每日行情!A:D,4,FALSE)</f>
        <v/>
      </c>
      <c r="Z12" s="587">
        <f>VLOOKUP(C12,每日行情!A:E,5,FALSE)</f>
        <v/>
      </c>
      <c r="AA12" s="588">
        <f>IF(I12="",((TODAY()-A12)*G12)/365.24,((I12-A12)*G12)/365.24)</f>
        <v/>
      </c>
      <c r="AB12" s="588" t="inlineStr">
        <is>
          <t>台股</t>
        </is>
      </c>
    </row>
    <row r="13" outlineLevel="1">
      <c r="A13" s="95" t="n">
        <v>45723</v>
      </c>
      <c r="B13" s="11" t="n"/>
      <c r="C13" s="11" t="n">
        <v>6257</v>
      </c>
      <c r="D13" s="163" t="inlineStr">
        <is>
          <t>矽格</t>
        </is>
      </c>
      <c r="E13" s="11" t="n">
        <v>1000</v>
      </c>
      <c r="F13" s="11" t="n">
        <v>81.7</v>
      </c>
      <c r="G13" s="583">
        <f>E13*F13</f>
        <v/>
      </c>
      <c r="H13" s="11" t="n">
        <v>69</v>
      </c>
      <c r="I13" s="99" t="n">
        <v>45727</v>
      </c>
      <c r="J13" s="16" t="n">
        <v>75.5</v>
      </c>
      <c r="K13" s="11">
        <f>E13*J13</f>
        <v/>
      </c>
      <c r="L13" s="17" t="n">
        <v>64</v>
      </c>
      <c r="M13" s="11" t="n">
        <v>226</v>
      </c>
      <c r="N13" s="11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>
        <v>10</v>
      </c>
      <c r="T13" s="585" t="n"/>
      <c r="U13" s="65">
        <f>(V13*50%)/(1+50%*V13)</f>
        <v/>
      </c>
      <c r="V13" s="65" t="n"/>
      <c r="W13" s="66" t="n">
        <v>0.11</v>
      </c>
      <c r="X13" s="586">
        <f>(P13+Q13)/G13</f>
        <v/>
      </c>
      <c r="Y13" s="16">
        <f>VLOOKUP(C13,每日行情!A:D,4,FALSE)</f>
        <v/>
      </c>
      <c r="Z13" s="587">
        <f>VLOOKUP(C13,每日行情!A:E,5,FALSE)</f>
        <v/>
      </c>
      <c r="AA13" s="588">
        <f>IF(I13="",((TODAY()-A13)*G13)/365.24,((I13-A13)*G13)/365.24)</f>
        <v/>
      </c>
      <c r="AB13" s="588" t="inlineStr">
        <is>
          <t>台股</t>
        </is>
      </c>
    </row>
    <row r="14" outlineLevel="1">
      <c r="A14" s="95" t="n">
        <v>45723</v>
      </c>
      <c r="B14" s="11" t="n"/>
      <c r="C14" s="11" t="n">
        <v>2027</v>
      </c>
      <c r="D14" s="163">
        <f>VLOOKUP(C14,每日行情!A:B,2,FALSE)</f>
        <v/>
      </c>
      <c r="E14" s="11" t="n">
        <v>1000</v>
      </c>
      <c r="F14" s="11" t="n">
        <v>49.2</v>
      </c>
      <c r="G14" s="583">
        <f>E14*F14</f>
        <v/>
      </c>
      <c r="H14" s="11" t="n">
        <v>42</v>
      </c>
      <c r="I14" s="99" t="n">
        <v>45728</v>
      </c>
      <c r="J14" s="16" t="n">
        <v>48.85</v>
      </c>
      <c r="K14" s="11">
        <f>E14*J14</f>
        <v/>
      </c>
      <c r="L14" s="17" t="n">
        <v>41</v>
      </c>
      <c r="M14" s="11" t="n">
        <v>146</v>
      </c>
      <c r="N14" s="11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>
        <v>10</v>
      </c>
      <c r="T14" s="585" t="n"/>
      <c r="U14" s="65">
        <f>(V14*50%)/(1+50%*V14)</f>
        <v/>
      </c>
      <c r="V14" s="65" t="n"/>
      <c r="W14" s="66" t="n">
        <v>0.11</v>
      </c>
      <c r="X14" s="586">
        <f>(P14+Q14)/G14</f>
        <v/>
      </c>
      <c r="Y14" s="16">
        <f>VLOOKUP(C14,每日行情!A:D,4,FALSE)</f>
        <v/>
      </c>
      <c r="Z14" s="587">
        <f>VLOOKUP(C14,每日行情!A:E,5,FALSE)</f>
        <v/>
      </c>
      <c r="AA14" s="588">
        <f>IF(I14="",((TODAY()-A14)*G14)/365.24,((I14-A14)*G14)/365.24)</f>
        <v/>
      </c>
      <c r="AB14" s="588" t="inlineStr">
        <is>
          <t>台股</t>
        </is>
      </c>
    </row>
    <row r="15" outlineLevel="1">
      <c r="A15" s="95" t="n">
        <v>45702</v>
      </c>
      <c r="B15" s="11" t="n"/>
      <c r="C15" s="11" t="n">
        <v>2606</v>
      </c>
      <c r="D15" s="163">
        <f>VLOOKUP(C15,每日行情!A:B,2,FALSE)</f>
        <v/>
      </c>
      <c r="E15" s="11" t="n">
        <v>1000</v>
      </c>
      <c r="F15" s="11" t="n">
        <v>69.3</v>
      </c>
      <c r="G15" s="583">
        <f>E15*F15</f>
        <v/>
      </c>
      <c r="H15" s="11" t="n">
        <v>59</v>
      </c>
      <c r="I15" s="99" t="n">
        <v>45728</v>
      </c>
      <c r="J15" s="16" t="n">
        <v>70.59999999999999</v>
      </c>
      <c r="K15" s="11">
        <f>E15*J15</f>
        <v/>
      </c>
      <c r="L15" s="17" t="n">
        <v>60</v>
      </c>
      <c r="M15" s="11" t="n">
        <v>211</v>
      </c>
      <c r="N15" s="11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>
        <v>10</v>
      </c>
      <c r="T15" s="585" t="n"/>
      <c r="U15" s="65">
        <f>(V15*50%)/(1+50%*V15)</f>
        <v/>
      </c>
      <c r="V15" s="65" t="n"/>
      <c r="W15" s="66" t="n">
        <v>0.11</v>
      </c>
      <c r="X15" s="586">
        <f>(P15+Q15)/G15</f>
        <v/>
      </c>
      <c r="Y15" s="16">
        <f>VLOOKUP(C15,每日行情!A:D,4,FALSE)</f>
        <v/>
      </c>
      <c r="Z15" s="587">
        <f>VLOOKUP(C15,每日行情!A:E,5,FALSE)</f>
        <v/>
      </c>
      <c r="AA15" s="588">
        <f>IF(I15="",((TODAY()-A15)*G15)/365.24,((I15-A15)*G15)/365.24)</f>
        <v/>
      </c>
      <c r="AB15" s="588" t="inlineStr">
        <is>
          <t>台股</t>
        </is>
      </c>
    </row>
    <row r="16" outlineLevel="1">
      <c r="A16" s="95" t="n">
        <v>45729</v>
      </c>
      <c r="B16" s="11" t="n"/>
      <c r="C16" s="11" t="n">
        <v>3211</v>
      </c>
      <c r="D16" s="163">
        <f>VLOOKUP(C16,每日行情!A:B,2,FALSE)</f>
        <v/>
      </c>
      <c r="E16" s="11" t="n">
        <v>1000</v>
      </c>
      <c r="F16" s="11" t="n">
        <v>210.5</v>
      </c>
      <c r="G16" s="583">
        <f>E16*F16</f>
        <v/>
      </c>
      <c r="H16" s="11" t="n">
        <v>179</v>
      </c>
      <c r="I16" s="99" t="n">
        <v>45729</v>
      </c>
      <c r="J16" s="16" t="n">
        <v>213.5</v>
      </c>
      <c r="K16" s="11">
        <f>E16*J16</f>
        <v/>
      </c>
      <c r="L16" s="17" t="n">
        <v>182</v>
      </c>
      <c r="M16" s="11" t="n">
        <v>320</v>
      </c>
      <c r="N16" s="11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>
        <v>10</v>
      </c>
      <c r="T16" s="585" t="n"/>
      <c r="U16" s="65">
        <f>(V16*50%)/(1+50%*V16)</f>
        <v/>
      </c>
      <c r="V16" s="65" t="n"/>
      <c r="W16" s="66" t="n">
        <v>0.11</v>
      </c>
      <c r="X16" s="586">
        <f>(P16+Q16)/G16</f>
        <v/>
      </c>
      <c r="Y16" s="16">
        <f>VLOOKUP(C16,每日行情!A:D,4,FALSE)</f>
        <v/>
      </c>
      <c r="Z16" s="587">
        <f>VLOOKUP(C16,每日行情!A:E,5,FALSE)</f>
        <v/>
      </c>
      <c r="AA16" s="588">
        <f>IF(I16="",((TODAY()-A16)*G16)/365.24,((I16-A16)*G16)/365.24)</f>
        <v/>
      </c>
      <c r="AB16" s="588" t="inlineStr">
        <is>
          <t>台股</t>
        </is>
      </c>
    </row>
    <row r="17" outlineLevel="1">
      <c r="A17" s="95" t="n">
        <v>45721</v>
      </c>
      <c r="B17" s="11" t="n"/>
      <c r="C17" s="11" t="n">
        <v>6196</v>
      </c>
      <c r="D17" s="163">
        <f>VLOOKUP(C17,每日行情!A:B,2,FALSE)</f>
        <v/>
      </c>
      <c r="E17" s="11" t="n">
        <v>1000</v>
      </c>
      <c r="F17" s="11" t="n">
        <v>172</v>
      </c>
      <c r="G17" s="583">
        <f>E17*F17</f>
        <v/>
      </c>
      <c r="H17" s="11" t="n">
        <v>147</v>
      </c>
      <c r="I17" s="99" t="n">
        <v>45729</v>
      </c>
      <c r="J17" s="16" t="n">
        <v>162</v>
      </c>
      <c r="K17" s="11">
        <f>E17*J17</f>
        <v/>
      </c>
      <c r="L17" s="17" t="n">
        <v>138</v>
      </c>
      <c r="M17" s="11" t="n">
        <v>486</v>
      </c>
      <c r="N17" s="11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>
        <v>10</v>
      </c>
      <c r="T17" s="585" t="n"/>
      <c r="U17" s="65">
        <f>(V17*50%)/(1+50%*V17)</f>
        <v/>
      </c>
      <c r="V17" s="65" t="n"/>
      <c r="W17" s="66" t="n">
        <v>0.11</v>
      </c>
      <c r="X17" s="586">
        <f>(P17+Q17)/G17</f>
        <v/>
      </c>
      <c r="Y17" s="16">
        <f>VLOOKUP(C17,每日行情!A:D,4,FALSE)</f>
        <v/>
      </c>
      <c r="Z17" s="587">
        <f>VLOOKUP(C17,每日行情!A:E,5,FALSE)</f>
        <v/>
      </c>
      <c r="AA17" s="588">
        <f>IF(I17="",((TODAY()-A17)*G17)/365.24,((I17-A17)*G17)/365.24)</f>
        <v/>
      </c>
      <c r="AB17" s="588" t="inlineStr">
        <is>
          <t>台股</t>
        </is>
      </c>
    </row>
    <row r="18" outlineLevel="1">
      <c r="A18" s="95" t="n">
        <v>45728</v>
      </c>
      <c r="B18" s="11" t="n"/>
      <c r="C18" s="11" t="n">
        <v>4931</v>
      </c>
      <c r="D18" s="163">
        <f>VLOOKUP(C18,每日行情!A:B,2,FALSE)</f>
        <v/>
      </c>
      <c r="E18" s="11" t="n">
        <v>1000</v>
      </c>
      <c r="F18" s="11" t="n">
        <v>86.8</v>
      </c>
      <c r="G18" s="583">
        <f>E18*F18</f>
        <v/>
      </c>
      <c r="H18" s="11" t="n">
        <v>74</v>
      </c>
      <c r="I18" s="99" t="n">
        <v>45730</v>
      </c>
      <c r="J18" s="16" t="n">
        <v>87.59999999999999</v>
      </c>
      <c r="K18" s="11">
        <f>E18*J18</f>
        <v/>
      </c>
      <c r="L18" s="17" t="n">
        <v>74</v>
      </c>
      <c r="M18" s="11" t="n">
        <v>262</v>
      </c>
      <c r="N18" s="11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>
        <v>10</v>
      </c>
      <c r="T18" s="585" t="n"/>
      <c r="U18" s="65">
        <f>(V18*50%)/(1+50%*V18)</f>
        <v/>
      </c>
      <c r="V18" s="65" t="n"/>
      <c r="W18" s="66" t="n">
        <v>0.11</v>
      </c>
      <c r="X18" s="586">
        <f>(P18+Q18)/G18</f>
        <v/>
      </c>
      <c r="Y18" s="16">
        <f>VLOOKUP(C18,每日行情!A:D,4,FALSE)</f>
        <v/>
      </c>
      <c r="Z18" s="587">
        <f>VLOOKUP(C18,每日行情!A:E,5,FALSE)</f>
        <v/>
      </c>
      <c r="AA18" s="588">
        <f>IF(I18="",((TODAY()-A18)*G18)/365.24,((I18-A18)*G18)/365.24)</f>
        <v/>
      </c>
      <c r="AB18" s="588" t="inlineStr">
        <is>
          <t>台股</t>
        </is>
      </c>
    </row>
    <row r="19" outlineLevel="1">
      <c r="A19" s="95" t="n">
        <v>45730</v>
      </c>
      <c r="B19" s="11" t="n"/>
      <c r="C19" s="11" t="n">
        <v>3163</v>
      </c>
      <c r="D19" s="163">
        <f>VLOOKUP(C19,每日行情!A:B,2,FALSE)</f>
        <v/>
      </c>
      <c r="E19" s="11" t="n">
        <v>1000</v>
      </c>
      <c r="F19" s="11" t="n">
        <v>170</v>
      </c>
      <c r="G19" s="583">
        <f>E19*F19</f>
        <v/>
      </c>
      <c r="H19" s="11" t="n">
        <v>145</v>
      </c>
      <c r="I19" s="99" t="n">
        <v>45730</v>
      </c>
      <c r="J19" s="16" t="n">
        <v>173</v>
      </c>
      <c r="K19" s="11">
        <f>E19*J19</f>
        <v/>
      </c>
      <c r="L19" s="17" t="n">
        <v>147</v>
      </c>
      <c r="M19" s="11" t="n">
        <v>259</v>
      </c>
      <c r="N19" s="11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>
        <v>10</v>
      </c>
      <c r="T19" s="585" t="n"/>
      <c r="U19" s="65">
        <f>(V19*50%)/(1+50%*V19)</f>
        <v/>
      </c>
      <c r="V19" s="65" t="n"/>
      <c r="W19" s="66" t="n">
        <v>0.11</v>
      </c>
      <c r="X19" s="586">
        <f>(P19+Q19)/G19</f>
        <v/>
      </c>
      <c r="Y19" s="16">
        <f>VLOOKUP(C19,每日行情!A:D,4,FALSE)</f>
        <v/>
      </c>
      <c r="Z19" s="587">
        <f>VLOOKUP(C19,每日行情!A:E,5,FALSE)</f>
        <v/>
      </c>
      <c r="AA19" s="588">
        <f>IF(I19="",((TODAY()-A19)*G19)/365.24,((I19-A19)*G19)/365.24)</f>
        <v/>
      </c>
      <c r="AB19" s="588" t="inlineStr">
        <is>
          <t>台股</t>
        </is>
      </c>
    </row>
    <row r="20" outlineLevel="1">
      <c r="A20" s="95" t="n">
        <v>45736</v>
      </c>
      <c r="B20" s="11" t="n"/>
      <c r="C20" s="11" t="n">
        <v>2634</v>
      </c>
      <c r="D20" s="163">
        <f>VLOOKUP(C20,每日行情!A:B,2,FALSE)</f>
        <v/>
      </c>
      <c r="E20" s="11" t="n">
        <v>1000</v>
      </c>
      <c r="F20" s="11" t="n">
        <v>52.9</v>
      </c>
      <c r="G20" s="583">
        <f>E20*F20</f>
        <v/>
      </c>
      <c r="H20" s="11" t="n">
        <v>45</v>
      </c>
      <c r="I20" s="99" t="n">
        <v>45736</v>
      </c>
      <c r="J20" s="16" t="n">
        <v>51.1</v>
      </c>
      <c r="K20" s="11">
        <f>E20*J20</f>
        <v/>
      </c>
      <c r="L20" s="17" t="n">
        <v>43</v>
      </c>
      <c r="M20" s="11" t="n">
        <v>76</v>
      </c>
      <c r="N20" s="11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>
        <v>10</v>
      </c>
      <c r="T20" s="585" t="n"/>
      <c r="U20" s="65">
        <f>(V20*50%)/(1+50%*V20)</f>
        <v/>
      </c>
      <c r="V20" s="65" t="n"/>
      <c r="W20" s="66" t="n">
        <v>0.11</v>
      </c>
      <c r="X20" s="586">
        <f>(P20+Q20)/G20</f>
        <v/>
      </c>
      <c r="Y20" s="16">
        <f>VLOOKUP(C20,每日行情!A:D,4,FALSE)</f>
        <v/>
      </c>
      <c r="Z20" s="587">
        <f>VLOOKUP(C20,每日行情!A:E,5,FALSE)</f>
        <v/>
      </c>
      <c r="AA20" s="588">
        <f>IF(I20="",((TODAY()-A20)*G20)/365.24,((I20-A20)*G20)/365.24)</f>
        <v/>
      </c>
      <c r="AB20" s="588" t="inlineStr">
        <is>
          <t>台股</t>
        </is>
      </c>
    </row>
    <row r="21" outlineLevel="1">
      <c r="A21" s="95" t="n">
        <v>45714</v>
      </c>
      <c r="B21" s="11" t="n"/>
      <c r="C21" s="11" t="n">
        <v>8299</v>
      </c>
      <c r="D21" s="163">
        <f>VLOOKUP(C21,每日行情!A:B,2,FALSE)</f>
        <v/>
      </c>
      <c r="E21" s="11" t="n">
        <v>1000</v>
      </c>
      <c r="F21" s="11" t="n">
        <v>564</v>
      </c>
      <c r="G21" s="583">
        <f>E21*F21</f>
        <v/>
      </c>
      <c r="H21" s="11" t="n">
        <v>482</v>
      </c>
      <c r="I21" s="99" t="n">
        <v>45741</v>
      </c>
      <c r="J21" s="16" t="n">
        <v>573</v>
      </c>
      <c r="K21" s="11">
        <f>E21*J21</f>
        <v/>
      </c>
      <c r="L21" s="17" t="n">
        <v>489</v>
      </c>
      <c r="M21" s="11" t="n">
        <v>1719</v>
      </c>
      <c r="N21" s="11" t="n">
        <v>0</v>
      </c>
      <c r="O21" s="584">
        <f>IF(I21="",E21*Y21,0)</f>
        <v/>
      </c>
      <c r="P21" s="585">
        <f>IF(I21="",R21-H21,(K21-H21-SUM(L21:N21)+R21-S21-T21)-G21)+(ROUND(R21*V21,0)-ROUND(R21*(1+V21),0)*W21)</f>
        <v/>
      </c>
      <c r="Q21" s="585">
        <f>IF(I21="",(O21-G21-(O21*0.1425%*0.65)-(O21*0.3%)-S21-T21),0)</f>
        <v/>
      </c>
      <c r="R21" s="585" t="n"/>
      <c r="S21" s="585" t="n">
        <v>10</v>
      </c>
      <c r="T21" s="585" t="n"/>
      <c r="U21" s="65">
        <f>(V21*50%)/(1+50%*V21)</f>
        <v/>
      </c>
      <c r="V21" s="65" t="n"/>
      <c r="W21" s="66" t="n">
        <v>0.11</v>
      </c>
      <c r="X21" s="586">
        <f>(P21+Q21)/G21</f>
        <v/>
      </c>
      <c r="Y21" s="16">
        <f>VLOOKUP(C21,每日行情!A:D,4,FALSE)</f>
        <v/>
      </c>
      <c r="Z21" s="587">
        <f>VLOOKUP(C21,每日行情!A:E,5,FALSE)</f>
        <v/>
      </c>
      <c r="AA21" s="588">
        <f>IF(I21="",((TODAY()-A21)*G21)/365.24,((I21-A21)*G21)/365.24)</f>
        <v/>
      </c>
      <c r="AB21" s="588" t="inlineStr">
        <is>
          <t>台股</t>
        </is>
      </c>
    </row>
    <row r="22" outlineLevel="1">
      <c r="A22" s="95" t="n">
        <v>45737</v>
      </c>
      <c r="B22" s="11" t="n"/>
      <c r="C22" s="11" t="n">
        <v>1319</v>
      </c>
      <c r="D22" s="163">
        <f>VLOOKUP(C22,每日行情!A:B,2,FALSE)</f>
        <v/>
      </c>
      <c r="E22" s="11" t="n">
        <v>1000</v>
      </c>
      <c r="F22" s="11" t="n">
        <v>138</v>
      </c>
      <c r="G22" s="583">
        <f>E22*F22</f>
        <v/>
      </c>
      <c r="H22" s="11" t="n">
        <v>117</v>
      </c>
      <c r="I22" s="99" t="n">
        <v>45742</v>
      </c>
      <c r="J22" s="16" t="n">
        <v>133</v>
      </c>
      <c r="K22" s="11">
        <f>E22*J22</f>
        <v/>
      </c>
      <c r="L22" s="17" t="n">
        <v>113</v>
      </c>
      <c r="M22" s="11" t="n">
        <v>399</v>
      </c>
      <c r="N22" s="11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>
        <v>10</v>
      </c>
      <c r="T22" s="585" t="n"/>
      <c r="U22" s="65">
        <f>(V22*50%)/(1+50%*V22)</f>
        <v/>
      </c>
      <c r="V22" s="65" t="n"/>
      <c r="W22" s="66" t="n">
        <v>0.11</v>
      </c>
      <c r="X22" s="586">
        <f>(P22+Q22)/G22</f>
        <v/>
      </c>
      <c r="Y22" s="16">
        <f>VLOOKUP(C22,每日行情!A:D,4,FALSE)</f>
        <v/>
      </c>
      <c r="Z22" s="587">
        <f>VLOOKUP(C22,每日行情!A:E,5,FALSE)</f>
        <v/>
      </c>
      <c r="AA22" s="588">
        <f>IF(I22="",((TODAY()-A22)*G22)/365.24,((I22-A22)*G22)/365.24)</f>
        <v/>
      </c>
      <c r="AB22" s="588" t="inlineStr">
        <is>
          <t>台股</t>
        </is>
      </c>
    </row>
    <row r="23" outlineLevel="1">
      <c r="A23" s="95" t="n">
        <v>45735</v>
      </c>
      <c r="B23" s="11" t="n"/>
      <c r="C23" s="11" t="n">
        <v>2609</v>
      </c>
      <c r="D23" s="163">
        <f>VLOOKUP(C23,每日行情!A:B,2,FALSE)</f>
        <v/>
      </c>
      <c r="E23" s="11" t="n">
        <v>1000</v>
      </c>
      <c r="F23" s="11" t="n">
        <v>77.2</v>
      </c>
      <c r="G23" s="583">
        <f>E23*F23</f>
        <v/>
      </c>
      <c r="H23" s="11" t="n">
        <v>45</v>
      </c>
      <c r="I23" s="99" t="n">
        <v>45743</v>
      </c>
      <c r="J23" s="16" t="n">
        <v>76.2</v>
      </c>
      <c r="K23" s="11">
        <f>E23*J23</f>
        <v/>
      </c>
      <c r="L23" s="17" t="n">
        <v>65</v>
      </c>
      <c r="M23" s="11" t="n">
        <v>228</v>
      </c>
      <c r="N23" s="11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>
        <v>10</v>
      </c>
      <c r="T23" s="585" t="n"/>
      <c r="U23" s="65">
        <f>(V23*50%)/(1+50%*V23)</f>
        <v/>
      </c>
      <c r="V23" s="65" t="n"/>
      <c r="W23" s="66" t="n">
        <v>0.11</v>
      </c>
      <c r="X23" s="586">
        <f>(P23+Q23)/G23</f>
        <v/>
      </c>
      <c r="Y23" s="16">
        <f>VLOOKUP(C23,每日行情!A:D,4,FALSE)</f>
        <v/>
      </c>
      <c r="Z23" s="587">
        <f>VLOOKUP(C23,每日行情!A:E,5,FALSE)</f>
        <v/>
      </c>
      <c r="AA23" s="588">
        <f>IF(I23="",((TODAY()-A23)*G23)/365.24,((I23-A23)*G23)/365.24)</f>
        <v/>
      </c>
      <c r="AB23" s="588" t="inlineStr">
        <is>
          <t>台股</t>
        </is>
      </c>
    </row>
    <row r="24" outlineLevel="1">
      <c r="A24" s="95" t="n">
        <v>45737</v>
      </c>
      <c r="B24" s="11" t="n"/>
      <c r="C24" s="11" t="n">
        <v>2634</v>
      </c>
      <c r="D24" s="163">
        <f>VLOOKUP(C24,每日行情!A:B,2,FALSE)</f>
        <v/>
      </c>
      <c r="E24" s="11" t="n">
        <v>1000</v>
      </c>
      <c r="F24" s="11" t="n">
        <v>51.7</v>
      </c>
      <c r="G24" s="583">
        <f>E24*F24</f>
        <v/>
      </c>
      <c r="H24" s="11" t="n">
        <v>44</v>
      </c>
      <c r="I24" s="99" t="n">
        <v>45743</v>
      </c>
      <c r="J24" s="16" t="n">
        <v>52.5</v>
      </c>
      <c r="K24" s="11">
        <f>E24*J24</f>
        <v/>
      </c>
      <c r="L24" s="17" t="n">
        <v>44</v>
      </c>
      <c r="M24" s="11" t="n">
        <v>157</v>
      </c>
      <c r="N24" s="11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>
        <v>10</v>
      </c>
      <c r="T24" s="585" t="n"/>
      <c r="U24" s="65">
        <f>(V24*50%)/(1+50%*V24)</f>
        <v/>
      </c>
      <c r="V24" s="65" t="n"/>
      <c r="W24" s="66" t="n">
        <v>0.11</v>
      </c>
      <c r="X24" s="586">
        <f>(P24+Q24)/G24</f>
        <v/>
      </c>
      <c r="Y24" s="16">
        <f>VLOOKUP(C24,每日行情!A:D,4,FALSE)</f>
        <v/>
      </c>
      <c r="Z24" s="587">
        <f>VLOOKUP(C24,每日行情!A:E,5,FALSE)</f>
        <v/>
      </c>
      <c r="AA24" s="588">
        <f>IF(I24="",((TODAY()-A24)*G24)/365.24,((I24-A24)*G24)/365.24)</f>
        <v/>
      </c>
      <c r="AB24" s="588" t="inlineStr">
        <is>
          <t>台股</t>
        </is>
      </c>
    </row>
    <row r="25" outlineLevel="1">
      <c r="A25" s="95" t="n">
        <v>45740</v>
      </c>
      <c r="B25" s="11" t="n"/>
      <c r="C25" s="11" t="n">
        <v>3035</v>
      </c>
      <c r="D25" s="163">
        <f>VLOOKUP(C25,每日行情!A:B,2,FALSE)</f>
        <v/>
      </c>
      <c r="E25" s="11" t="n">
        <v>1000</v>
      </c>
      <c r="F25" s="11" t="n">
        <v>249</v>
      </c>
      <c r="G25" s="583">
        <f>E25*F25</f>
        <v/>
      </c>
      <c r="H25" s="11" t="n">
        <v>212</v>
      </c>
      <c r="I25" s="99" t="n">
        <v>45743</v>
      </c>
      <c r="J25" s="16" t="n">
        <v>242</v>
      </c>
      <c r="K25" s="11">
        <f>E25*J25</f>
        <v/>
      </c>
      <c r="L25" s="17" t="n">
        <v>206</v>
      </c>
      <c r="M25" s="11" t="n">
        <v>726</v>
      </c>
      <c r="N25" s="11" t="n">
        <v>0</v>
      </c>
      <c r="O25" s="584">
        <f>IF(I25="",E25*Y25,0)</f>
        <v/>
      </c>
      <c r="P25" s="585">
        <f>IF(I25="",R25-H25,(K25-H25-SUM(L25:N25)+R25-S25-T25)-G25)+(ROUND(R25*V25,0)-ROUND(R25*(1+V25),0)*W25)</f>
        <v/>
      </c>
      <c r="Q25" s="585">
        <f>IF(I25="",(O25-G25-(O25*0.1425%*0.65)-(O25*0.3%)-S25-T25),0)</f>
        <v/>
      </c>
      <c r="R25" s="585" t="n"/>
      <c r="S25" s="585" t="n">
        <v>10</v>
      </c>
      <c r="T25" s="585" t="n"/>
      <c r="U25" s="65">
        <f>(V25*50%)/(1+50%*V25)</f>
        <v/>
      </c>
      <c r="V25" s="65" t="n"/>
      <c r="W25" s="66" t="n">
        <v>0.11</v>
      </c>
      <c r="X25" s="586">
        <f>(P25+Q25)/G25</f>
        <v/>
      </c>
      <c r="Y25" s="16">
        <f>VLOOKUP(C25,每日行情!A:D,4,FALSE)</f>
        <v/>
      </c>
      <c r="Z25" s="587">
        <f>VLOOKUP(C25,每日行情!A:E,5,FALSE)</f>
        <v/>
      </c>
      <c r="AA25" s="588">
        <f>IF(I25="",((TODAY()-A25)*G25)/365.24,((I25-A25)*G25)/365.24)</f>
        <v/>
      </c>
      <c r="AB25" s="588" t="inlineStr">
        <is>
          <t>台股</t>
        </is>
      </c>
    </row>
    <row r="26" outlineLevel="1">
      <c r="A26" s="95" t="n">
        <v>45740</v>
      </c>
      <c r="B26" s="11" t="n"/>
      <c r="C26" s="11" t="n">
        <v>5534</v>
      </c>
      <c r="D26" s="163">
        <f>VLOOKUP(C26,每日行情!A:B,2,FALSE)</f>
        <v/>
      </c>
      <c r="E26" s="11" t="n">
        <v>1000</v>
      </c>
      <c r="F26" s="11" t="n">
        <v>108</v>
      </c>
      <c r="G26" s="583">
        <f>E26*F26</f>
        <v/>
      </c>
      <c r="H26" s="11" t="n">
        <v>92</v>
      </c>
      <c r="I26" s="99" t="n">
        <v>45743</v>
      </c>
      <c r="J26" s="16" t="n">
        <v>105.5</v>
      </c>
      <c r="K26" s="11">
        <f>E26*J26</f>
        <v/>
      </c>
      <c r="L26" s="17" t="n">
        <v>90</v>
      </c>
      <c r="M26" s="11" t="n">
        <v>316</v>
      </c>
      <c r="N26" s="11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>
        <v>10</v>
      </c>
      <c r="T26" s="585" t="n"/>
      <c r="U26" s="65">
        <f>(V26*50%)/(1+50%*V26)</f>
        <v/>
      </c>
      <c r="V26" s="65" t="n"/>
      <c r="W26" s="66" t="n">
        <v>0.11</v>
      </c>
      <c r="X26" s="586">
        <f>(P26+Q26)/G26</f>
        <v/>
      </c>
      <c r="Y26" s="16">
        <f>VLOOKUP(C26,每日行情!A:D,4,FALSE)</f>
        <v/>
      </c>
      <c r="Z26" s="587">
        <f>VLOOKUP(C26,每日行情!A:E,5,FALSE)</f>
        <v/>
      </c>
      <c r="AA26" s="588">
        <f>IF(I26="",((TODAY()-A26)*G26)/365.24,((I26-A26)*G26)/365.24)</f>
        <v/>
      </c>
      <c r="AB26" s="588" t="inlineStr">
        <is>
          <t>台股</t>
        </is>
      </c>
    </row>
    <row r="27">
      <c r="A27" s="95" t="n">
        <v>45910</v>
      </c>
      <c r="B27" s="11" t="n"/>
      <c r="C27" s="11" t="n">
        <v>1711</v>
      </c>
      <c r="D27" s="163">
        <f>VLOOKUP(C27,每日行情!A:B,2,FALSE)</f>
        <v/>
      </c>
      <c r="E27" s="11" t="n">
        <v>3000</v>
      </c>
      <c r="F27" s="11" t="n">
        <v>20.3</v>
      </c>
      <c r="G27" s="583">
        <f>E27*F27</f>
        <v/>
      </c>
      <c r="H27" s="11" t="n">
        <v>52</v>
      </c>
      <c r="I27" s="99" t="n">
        <v>45924</v>
      </c>
      <c r="J27" s="16" t="n">
        <v>19.65</v>
      </c>
      <c r="K27" s="11">
        <f>E27*J27</f>
        <v/>
      </c>
      <c r="L27" s="17" t="n">
        <v>50</v>
      </c>
      <c r="M27" s="11" t="n">
        <v>176</v>
      </c>
      <c r="N27" s="11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/>
      <c r="S27" s="585" t="n"/>
      <c r="T27" s="585" t="n"/>
      <c r="U27" s="65">
        <f>(V27*50%)/(1+50%*V27)</f>
        <v/>
      </c>
      <c r="V27" s="65" t="n"/>
      <c r="W27" s="66" t="n">
        <v>0.11</v>
      </c>
      <c r="X27" s="586">
        <f>(P27+Q27)/G27</f>
        <v/>
      </c>
      <c r="Y27" s="16">
        <f>VLOOKUP(C27,每日行情!A:D,4,FALSE)</f>
        <v/>
      </c>
      <c r="Z27" s="587">
        <f>VLOOKUP(C27,每日行情!A:E,5,FALSE)</f>
        <v/>
      </c>
      <c r="AA27" s="588">
        <f>IF(I27="",((TODAY()-A27)*G27)/365.24,((I27-A27)*G27)/365.24)</f>
        <v/>
      </c>
      <c r="AB27" s="588" t="inlineStr">
        <is>
          <t>台股</t>
        </is>
      </c>
    </row>
    <row r="28">
      <c r="A28" s="95" t="n">
        <v>45917</v>
      </c>
      <c r="B28" s="11" t="n"/>
      <c r="C28" s="11" t="n">
        <v>3006</v>
      </c>
      <c r="D28" s="163">
        <f>VLOOKUP(C28,每日行情!A:B,2,FALSE)</f>
        <v/>
      </c>
      <c r="E28" s="11" t="n">
        <v>1000</v>
      </c>
      <c r="F28" s="11" t="n">
        <v>65.40000000000001</v>
      </c>
      <c r="G28" s="583">
        <f>E28*F28</f>
        <v/>
      </c>
      <c r="H28" s="11" t="n">
        <v>55</v>
      </c>
      <c r="I28" s="99" t="n">
        <v>45925</v>
      </c>
      <c r="J28" s="16" t="n">
        <v>72.5</v>
      </c>
      <c r="K28" s="11">
        <f>E28*J28</f>
        <v/>
      </c>
      <c r="L28" s="17" t="n">
        <v>61</v>
      </c>
      <c r="M28" s="11" t="n">
        <v>217</v>
      </c>
      <c r="N28" s="11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/>
      <c r="T28" s="585" t="n"/>
      <c r="U28" s="65">
        <f>(V28*50%)/(1+50%*V28)</f>
        <v/>
      </c>
      <c r="V28" s="65" t="n"/>
      <c r="W28" s="66" t="n">
        <v>0.11</v>
      </c>
      <c r="X28" s="586">
        <f>(P28+Q28)/G28</f>
        <v/>
      </c>
      <c r="Y28" s="16">
        <f>VLOOKUP(C28,每日行情!A:D,4,FALSE)</f>
        <v/>
      </c>
      <c r="Z28" s="587">
        <f>VLOOKUP(C28,每日行情!A:E,5,FALSE)</f>
        <v/>
      </c>
      <c r="AA28" s="588">
        <f>IF(I28="",((TODAY()-A28)*G28)/365.24,((I28-A28)*G28)/365.24)</f>
        <v/>
      </c>
      <c r="AB28" s="588" t="inlineStr">
        <is>
          <t>台股</t>
        </is>
      </c>
    </row>
    <row r="29">
      <c r="A29" s="95" t="n">
        <v>45917</v>
      </c>
      <c r="B29" s="11" t="n"/>
      <c r="C29" s="11" t="n">
        <v>3042</v>
      </c>
      <c r="D29" s="163">
        <f>VLOOKUP(C29,每日行情!A:B,2,FALSE)</f>
        <v/>
      </c>
      <c r="E29" s="11" t="n">
        <v>1000</v>
      </c>
      <c r="F29" s="11" t="n">
        <v>92.8</v>
      </c>
      <c r="G29" s="583">
        <f>E29*F29</f>
        <v/>
      </c>
      <c r="H29" s="11" t="n">
        <v>79</v>
      </c>
      <c r="I29" s="99" t="n">
        <v>45925</v>
      </c>
      <c r="J29" s="16" t="n">
        <v>91.40000000000001</v>
      </c>
      <c r="K29" s="11">
        <f>E29*J29</f>
        <v/>
      </c>
      <c r="L29" s="17" t="n">
        <v>78</v>
      </c>
      <c r="M29" s="11" t="n">
        <v>274</v>
      </c>
      <c r="N29" s="11" t="n">
        <v>0</v>
      </c>
      <c r="O29" s="584">
        <f>IF(I29="",E29*Y29,0)</f>
        <v/>
      </c>
      <c r="P29" s="585">
        <f>IF(I29="",R29-H29,(K29-H29-SUM(L29:N29)+R29-S29-T29)-G29)+(ROUND(R29*V29,0)-ROUND(R29*(1+V29),0)*W29)</f>
        <v/>
      </c>
      <c r="Q29" s="585">
        <f>IF(I29="",(O29-G29-(O29*0.1425%*0.65)-(O29*0.3%)-S29-T29),0)</f>
        <v/>
      </c>
      <c r="R29" s="585" t="n"/>
      <c r="S29" s="585" t="n"/>
      <c r="T29" s="585" t="n"/>
      <c r="U29" s="65">
        <f>(V29*50%)/(1+50%*V29)</f>
        <v/>
      </c>
      <c r="V29" s="65" t="n"/>
      <c r="W29" s="66" t="n">
        <v>0.11</v>
      </c>
      <c r="X29" s="586">
        <f>(P29+Q29)/G29</f>
        <v/>
      </c>
      <c r="Y29" s="16">
        <f>VLOOKUP(C29,每日行情!A:D,4,FALSE)</f>
        <v/>
      </c>
      <c r="Z29" s="587">
        <f>VLOOKUP(C29,每日行情!A:E,5,FALSE)</f>
        <v/>
      </c>
      <c r="AA29" s="588">
        <f>IF(I29="",((TODAY()-A29)*G29)/365.24,((I29-A29)*G29)/365.24)</f>
        <v/>
      </c>
      <c r="AB29" s="588" t="inlineStr">
        <is>
          <t>台股</t>
        </is>
      </c>
    </row>
    <row r="30">
      <c r="A30" s="95" t="n">
        <v>45917</v>
      </c>
      <c r="B30" s="11" t="n"/>
      <c r="C30" s="11" t="n">
        <v>3532</v>
      </c>
      <c r="D30" s="163">
        <f>VLOOKUP(C30,每日行情!A:B,2,FALSE)</f>
        <v/>
      </c>
      <c r="E30" s="11" t="n">
        <v>1000</v>
      </c>
      <c r="F30" s="11" t="n">
        <v>95</v>
      </c>
      <c r="G30" s="583">
        <f>E30*F30</f>
        <v/>
      </c>
      <c r="H30" s="11" t="n">
        <v>81</v>
      </c>
      <c r="I30" s="99" t="n">
        <v>45925</v>
      </c>
      <c r="J30" s="16" t="n">
        <v>106.5</v>
      </c>
      <c r="K30" s="11">
        <f>E30*J30</f>
        <v/>
      </c>
      <c r="L30" s="17" t="n">
        <v>91</v>
      </c>
      <c r="M30" s="11" t="n">
        <v>319</v>
      </c>
      <c r="N30" s="11" t="n">
        <v>0</v>
      </c>
      <c r="O30" s="584">
        <f>IF(I30="",E30*Y30,0)</f>
        <v/>
      </c>
      <c r="P30" s="585">
        <f>IF(I30="",R30-H30,(K30-H30-SUM(L30:N30)+R30-S30-T30)-G30)+(ROUND(R30*V30,0)-ROUND(R30*(1+V30),0)*W30)</f>
        <v/>
      </c>
      <c r="Q30" s="585">
        <f>IF(I30="",(O30-G30-(O30*0.1425%*0.65)-(O30*0.3%)-S30-T30),0)</f>
        <v/>
      </c>
      <c r="R30" s="585" t="n"/>
      <c r="S30" s="585" t="n"/>
      <c r="T30" s="585" t="n"/>
      <c r="U30" s="65">
        <f>(V30*50%)/(1+50%*V30)</f>
        <v/>
      </c>
      <c r="V30" s="65" t="n"/>
      <c r="W30" s="66" t="n">
        <v>0.11</v>
      </c>
      <c r="X30" s="586">
        <f>(P30+Q30)/G30</f>
        <v/>
      </c>
      <c r="Y30" s="16">
        <f>VLOOKUP(C30,每日行情!A:D,4,FALSE)</f>
        <v/>
      </c>
      <c r="Z30" s="587">
        <f>VLOOKUP(C30,每日行情!A:E,5,FALSE)</f>
        <v/>
      </c>
      <c r="AA30" s="588">
        <f>IF(I30="",((TODAY()-A30)*G30)/365.24,((I30-A30)*G30)/365.24)</f>
        <v/>
      </c>
      <c r="AB30" s="588" t="inlineStr">
        <is>
          <t>台股</t>
        </is>
      </c>
    </row>
    <row r="31">
      <c r="A31" s="95" t="n">
        <v>45925</v>
      </c>
      <c r="B31" s="11" t="n"/>
      <c r="C31" s="11" t="n">
        <v>2324</v>
      </c>
      <c r="D31" s="163">
        <f>VLOOKUP(C31,每日行情!A:B,2,FALSE)</f>
        <v/>
      </c>
      <c r="E31" s="11" t="n">
        <v>2000</v>
      </c>
      <c r="F31" s="11" t="n">
        <v>37.1</v>
      </c>
      <c r="G31" s="583">
        <f>E31*F31</f>
        <v/>
      </c>
      <c r="H31" s="11" t="n">
        <v>63</v>
      </c>
      <c r="I31" s="99" t="n">
        <v>45930</v>
      </c>
      <c r="J31" s="16" t="n">
        <v>32.4</v>
      </c>
      <c r="K31" s="11">
        <f>E31*J31</f>
        <v/>
      </c>
      <c r="L31" s="17" t="n">
        <v>55</v>
      </c>
      <c r="M31" s="11" t="n">
        <v>194</v>
      </c>
      <c r="N31" s="11" t="n">
        <v>0</v>
      </c>
      <c r="O31" s="584">
        <f>IF(I31="",E31*Y31,0)</f>
        <v/>
      </c>
      <c r="P31" s="585">
        <f>IF(I31="",R31-H31,(K31-H31-SUM(L31:N31)+R31-S31-T31)-G31)+(ROUND(R31*V31,0)-ROUND(R31*(1+V31),0)*W31)</f>
        <v/>
      </c>
      <c r="Q31" s="585">
        <f>IF(I31="",(O31-G31-(O31*0.1425%*0.65)-(O31*0.3%)-S31-T31),0)</f>
        <v/>
      </c>
      <c r="R31" s="585" t="n"/>
      <c r="S31" s="585" t="n"/>
      <c r="T31" s="585" t="n"/>
      <c r="U31" s="65">
        <f>(V31*50%)/(1+50%*V31)</f>
        <v/>
      </c>
      <c r="V31" s="65" t="n"/>
      <c r="W31" s="66" t="n">
        <v>0.11</v>
      </c>
      <c r="X31" s="586">
        <f>(P31+Q31)/G31</f>
        <v/>
      </c>
      <c r="Y31" s="16">
        <f>VLOOKUP(C31,每日行情!A:D,4,FALSE)</f>
        <v/>
      </c>
      <c r="Z31" s="587">
        <f>VLOOKUP(C31,每日行情!A:E,5,FALSE)</f>
        <v/>
      </c>
      <c r="AA31" s="588">
        <f>IF(I31="",((TODAY()-A31)*G31)/365.24,((I31-A31)*G31)/365.24)</f>
        <v/>
      </c>
      <c r="AB31" s="588" t="inlineStr">
        <is>
          <t>台股</t>
        </is>
      </c>
    </row>
    <row r="32">
      <c r="A32" s="95" t="n">
        <v>45925</v>
      </c>
      <c r="B32" s="11" t="n"/>
      <c r="C32" s="11" t="n">
        <v>6548</v>
      </c>
      <c r="D32" s="163">
        <f>VLOOKUP(C32,每日行情!A:B,2,FALSE)</f>
        <v/>
      </c>
      <c r="E32" s="11" t="n">
        <v>2000</v>
      </c>
      <c r="F32" s="11" t="n">
        <v>35.35</v>
      </c>
      <c r="G32" s="583">
        <f>E32*F32</f>
        <v/>
      </c>
      <c r="H32" s="11" t="n">
        <v>60</v>
      </c>
      <c r="I32" s="99" t="n">
        <v>45933</v>
      </c>
      <c r="J32" s="16" t="n">
        <v>36</v>
      </c>
      <c r="K32" s="11">
        <f>E32*J32</f>
        <v/>
      </c>
      <c r="L32" s="17" t="n">
        <v>61</v>
      </c>
      <c r="M32" s="11" t="n">
        <v>216</v>
      </c>
      <c r="N32" s="11" t="n">
        <v>0</v>
      </c>
      <c r="O32" s="584">
        <f>IF(I32="",E32*Y32,0)</f>
        <v/>
      </c>
      <c r="P32" s="585">
        <f>IF(I32="",R32-H32,(K32-H32-SUM(L32:N32)+R32-S32-T32)-G32)+(ROUND(R32*V32,0)-ROUND(R32*(1+V32),0)*W32)</f>
        <v/>
      </c>
      <c r="Q32" s="585">
        <f>IF(I32="",(O32-G32-(O32*0.1425%*0.65)-(O32*0.3%)-S32-T32),0)</f>
        <v/>
      </c>
      <c r="R32" s="585" t="n"/>
      <c r="S32" s="585" t="n"/>
      <c r="T32" s="585" t="n"/>
      <c r="U32" s="65">
        <f>(V32*50%)/(1+50%*V32)</f>
        <v/>
      </c>
      <c r="V32" s="65" t="n"/>
      <c r="W32" s="66" t="n">
        <v>0.11</v>
      </c>
      <c r="X32" s="586">
        <f>(P32+Q32)/G32</f>
        <v/>
      </c>
      <c r="Y32" s="16">
        <f>VLOOKUP(C32,每日行情!A:D,4,FALSE)</f>
        <v/>
      </c>
      <c r="Z32" s="587">
        <f>VLOOKUP(C32,每日行情!A:E,5,FALSE)</f>
        <v/>
      </c>
      <c r="AA32" s="588">
        <f>IF(I32="",((TODAY()-A32)*G32)/365.24,((I32-A32)*G32)/365.24)</f>
        <v/>
      </c>
      <c r="AB32" s="588" t="inlineStr">
        <is>
          <t>台股</t>
        </is>
      </c>
    </row>
    <row r="33">
      <c r="A33" s="95" t="n">
        <v>45925</v>
      </c>
      <c r="B33" s="11" t="n"/>
      <c r="C33" s="11" t="n">
        <v>2375</v>
      </c>
      <c r="D33" s="163">
        <f>VLOOKUP(C33,每日行情!A:B,2,FALSE)</f>
        <v/>
      </c>
      <c r="E33" s="11" t="n">
        <v>1000</v>
      </c>
      <c r="F33" s="11" t="n">
        <v>78.8</v>
      </c>
      <c r="G33" s="583">
        <f>E33*F33</f>
        <v/>
      </c>
      <c r="H33" s="11" t="n">
        <v>67</v>
      </c>
      <c r="I33" s="99" t="n">
        <v>45944</v>
      </c>
      <c r="J33" s="16" t="n">
        <v>76.8</v>
      </c>
      <c r="K33" s="11">
        <f>E33*J33</f>
        <v/>
      </c>
      <c r="L33" s="17" t="n">
        <v>65</v>
      </c>
      <c r="M33" s="11" t="n">
        <v>230</v>
      </c>
      <c r="N33" s="11" t="n">
        <v>0</v>
      </c>
      <c r="O33" s="584">
        <f>IF(I33="",E33*Y33,0)</f>
        <v/>
      </c>
      <c r="P33" s="585">
        <f>IF(I33="",R33-H33,(K33-H33-SUM(L33:N33)+R33-S33-T33)-G33)+(ROUND(R33*V33,0)-ROUND(R33*(1+V33),0)*W33)</f>
        <v/>
      </c>
      <c r="Q33" s="585">
        <f>IF(I33="",(O33-G33-(O33*0.1425%*0.65)-(O33*0.3%)-S33-T33),0)</f>
        <v/>
      </c>
      <c r="R33" s="585" t="n"/>
      <c r="S33" s="585" t="n"/>
      <c r="T33" s="585" t="n"/>
      <c r="U33" s="65">
        <f>(V33*50%)/(1+50%*V33)</f>
        <v/>
      </c>
      <c r="V33" s="65" t="n"/>
      <c r="W33" s="66" t="n">
        <v>0.11</v>
      </c>
      <c r="X33" s="586">
        <f>(P33+Q33)/G33</f>
        <v/>
      </c>
      <c r="Y33" s="16">
        <f>VLOOKUP(C33,每日行情!A:D,4,FALSE)</f>
        <v/>
      </c>
      <c r="Z33" s="587">
        <f>VLOOKUP(C33,每日行情!A:E,5,FALSE)</f>
        <v/>
      </c>
      <c r="AA33" s="588">
        <f>IF(I33="",((TODAY()-A33)*G33)/365.24,((I33-A33)*G33)/365.24)</f>
        <v/>
      </c>
      <c r="AB33" s="588" t="inlineStr">
        <is>
          <t>台股</t>
        </is>
      </c>
    </row>
    <row r="34">
      <c r="A34" s="95" t="n">
        <v>45925</v>
      </c>
      <c r="B34" s="11" t="n"/>
      <c r="C34" s="11" t="n">
        <v>3628</v>
      </c>
      <c r="D34" s="163">
        <f>VLOOKUP(C34,每日行情!A:B,2,FALSE)</f>
        <v/>
      </c>
      <c r="E34" s="11" t="n">
        <v>1000</v>
      </c>
      <c r="F34" s="11" t="n">
        <v>59.1</v>
      </c>
      <c r="G34" s="583">
        <f>E34*F34</f>
        <v/>
      </c>
      <c r="H34" s="11" t="n">
        <v>50</v>
      </c>
      <c r="I34" s="99" t="n">
        <v>45939</v>
      </c>
      <c r="J34" s="16" t="n">
        <v>73.5</v>
      </c>
      <c r="K34" s="11">
        <f>E34*J34</f>
        <v/>
      </c>
      <c r="L34" s="17" t="n">
        <v>62</v>
      </c>
      <c r="M34" s="11" t="n">
        <v>220</v>
      </c>
      <c r="N34" s="11" t="n">
        <v>0</v>
      </c>
      <c r="O34" s="584">
        <f>IF(I34="",E34*Y34,0)</f>
        <v/>
      </c>
      <c r="P34" s="585">
        <f>IF(I34="",R34-H34,(K34-H34-SUM(L34:N34)+R34-S34-T34)-G34)+(ROUND(R34*V34,0)-ROUND(R34*(1+V34),0)*W34)</f>
        <v/>
      </c>
      <c r="Q34" s="585">
        <f>IF(I34="",(O34-G34-(O34*0.1425%*0.65)-(O34*0.3%)-S34-T34),0)</f>
        <v/>
      </c>
      <c r="R34" s="585" t="n"/>
      <c r="S34" s="585" t="n"/>
      <c r="T34" s="585" t="n"/>
      <c r="U34" s="65">
        <f>(V34*50%)/(1+50%*V34)</f>
        <v/>
      </c>
      <c r="V34" s="65" t="n"/>
      <c r="W34" s="66" t="n">
        <v>0.11</v>
      </c>
      <c r="X34" s="586">
        <f>(P34+Q34)/G34</f>
        <v/>
      </c>
      <c r="Y34" s="16">
        <f>VLOOKUP(C34,每日行情!A:D,4,FALSE)</f>
        <v/>
      </c>
      <c r="Z34" s="587">
        <f>VLOOKUP(C34,每日行情!A:E,5,FALSE)</f>
        <v/>
      </c>
      <c r="AA34" s="588">
        <f>IF(I34="",((TODAY()-A34)*G34)/365.24,((I34-A34)*G34)/365.24)</f>
        <v/>
      </c>
      <c r="AB34" s="588" t="inlineStr">
        <is>
          <t>台股</t>
        </is>
      </c>
    </row>
    <row r="35">
      <c r="A35" s="95" t="n">
        <v>45889</v>
      </c>
      <c r="B35" s="11" t="n"/>
      <c r="C35" s="11" t="n">
        <v>3661</v>
      </c>
      <c r="D35" s="163">
        <f>VLOOKUP(C35,每日行情!A:B,2,FALSE)</f>
        <v/>
      </c>
      <c r="E35" s="11" t="n">
        <v>10</v>
      </c>
      <c r="F35" s="11" t="n">
        <v>3760</v>
      </c>
      <c r="G35" s="583">
        <f>E35*F35</f>
        <v/>
      </c>
      <c r="H35" s="11" t="n">
        <v>32</v>
      </c>
      <c r="I35" s="99" t="n">
        <v>45964</v>
      </c>
      <c r="J35" s="16" t="n">
        <v>3460</v>
      </c>
      <c r="K35" s="11">
        <f>E35*J35</f>
        <v/>
      </c>
      <c r="L35" s="17" t="n">
        <v>30</v>
      </c>
      <c r="M35" s="11" t="n">
        <v>104</v>
      </c>
      <c r="N35" s="11" t="n">
        <v>0</v>
      </c>
      <c r="O35" s="584">
        <f>IF(I35="",E35*Y35,0)</f>
        <v/>
      </c>
      <c r="P35" s="585">
        <f>IF(I35="",R35-H35,(K35-H35-SUM(L35:N35)+R35-S35-T35)-G35)+(ROUND(R35*V35,0)-ROUND(R35*(1+V35),0)*W35)</f>
        <v/>
      </c>
      <c r="Q35" s="585">
        <f>IF(I35="",(O35-G35-(O35*0.1425%*0.65)-(O35*0.3%)-S35-T35),0)</f>
        <v/>
      </c>
      <c r="R35" s="585" t="n">
        <v>364</v>
      </c>
      <c r="S35" s="585" t="n">
        <v>10</v>
      </c>
      <c r="T35" s="585" t="n"/>
      <c r="U35" s="65">
        <f>(V35*50%)/(1+50%*V35)</f>
        <v/>
      </c>
      <c r="V35" s="65" t="n"/>
      <c r="W35" s="66" t="n">
        <v>0.11</v>
      </c>
      <c r="X35" s="586">
        <f>(P35+Q35)/G35</f>
        <v/>
      </c>
      <c r="Y35" s="16">
        <f>VLOOKUP(C35,每日行情!A:D,4,FALSE)</f>
        <v/>
      </c>
      <c r="Z35" s="587">
        <f>VLOOKUP(C35,每日行情!A:E,5,FALSE)</f>
        <v/>
      </c>
      <c r="AA35" s="588">
        <f>IF(I35="",((TODAY()-A35)*G35)/365.24,((I35-A35)*G35)/365.24)</f>
        <v/>
      </c>
      <c r="AB35" s="588" t="inlineStr">
        <is>
          <t>台股</t>
        </is>
      </c>
    </row>
    <row r="36">
      <c r="A36" s="95" t="n">
        <v>45924</v>
      </c>
      <c r="B36" s="11" t="n"/>
      <c r="C36" s="11" t="n">
        <v>3661</v>
      </c>
      <c r="D36" s="163">
        <f>VLOOKUP(C36,每日行情!A:B,2,FALSE)</f>
        <v/>
      </c>
      <c r="E36" s="11" t="n">
        <v>10</v>
      </c>
      <c r="F36" s="11" t="n">
        <v>3420</v>
      </c>
      <c r="G36" s="583">
        <f>E36*F36</f>
        <v/>
      </c>
      <c r="H36" s="11" t="n">
        <v>29</v>
      </c>
      <c r="I36" s="99" t="n">
        <v>45964</v>
      </c>
      <c r="J36" s="16" t="n">
        <v>3460</v>
      </c>
      <c r="K36" s="11">
        <f>E36*J36</f>
        <v/>
      </c>
      <c r="L36" s="17" t="n">
        <v>30</v>
      </c>
      <c r="M36" s="11" t="n">
        <v>104</v>
      </c>
      <c r="N36" s="11" t="n">
        <v>0</v>
      </c>
      <c r="O36" s="584">
        <f>IF(I36="",E36*Y36,0)</f>
        <v/>
      </c>
      <c r="P36" s="585">
        <f>IF(I36="",R36-H36,(K36-H36-SUM(L36:N36)+R36-S36-T36)-G36)+(ROUND(R36*V36,0)-ROUND(R36*(1+V36),0)*W36)</f>
        <v/>
      </c>
      <c r="Q36" s="585">
        <f>IF(I36="",(O36-G36-(O36*0.1425%*0.65)-(O36*0.3%)-S36-T36),0)</f>
        <v/>
      </c>
      <c r="R36" s="585" t="n"/>
      <c r="S36" s="585" t="n"/>
      <c r="T36" s="585" t="n"/>
      <c r="U36" s="65">
        <f>(V36*50%)/(1+50%*V36)</f>
        <v/>
      </c>
      <c r="V36" s="65" t="n"/>
      <c r="W36" s="66" t="n">
        <v>0.11</v>
      </c>
      <c r="X36" s="586">
        <f>(P36+Q36)/G36</f>
        <v/>
      </c>
      <c r="Y36" s="16">
        <f>VLOOKUP(C36,每日行情!A:D,4,FALSE)</f>
        <v/>
      </c>
      <c r="Z36" s="587">
        <f>VLOOKUP(C36,每日行情!A:E,5,FALSE)</f>
        <v/>
      </c>
      <c r="AA36" s="588">
        <f>IF(I36="",((TODAY()-A36)*G36)/365.24,((I36-A36)*G36)/365.24)</f>
        <v/>
      </c>
      <c r="AB36" s="588" t="inlineStr">
        <is>
          <t>台股</t>
        </is>
      </c>
    </row>
    <row r="37">
      <c r="A37" s="95" t="n">
        <v>45926</v>
      </c>
      <c r="B37" s="11" t="n"/>
      <c r="C37" s="11" t="n">
        <v>3661</v>
      </c>
      <c r="D37" s="163">
        <f>VLOOKUP(C37,每日行情!A:B,2,FALSE)</f>
        <v/>
      </c>
      <c r="E37" s="11" t="n">
        <v>10</v>
      </c>
      <c r="F37" s="11" t="n">
        <v>3260</v>
      </c>
      <c r="G37" s="583">
        <f>E37*F37</f>
        <v/>
      </c>
      <c r="H37" s="11" t="n">
        <v>27</v>
      </c>
      <c r="I37" s="99" t="n">
        <v>45964</v>
      </c>
      <c r="J37" s="16" t="n">
        <v>3460</v>
      </c>
      <c r="K37" s="11">
        <f>E37*J37</f>
        <v/>
      </c>
      <c r="L37" s="17" t="n">
        <v>29</v>
      </c>
      <c r="M37" s="11" t="n">
        <v>104</v>
      </c>
      <c r="N37" s="11" t="n">
        <v>0</v>
      </c>
      <c r="O37" s="584">
        <f>IF(I37="",E37*Y37,0)</f>
        <v/>
      </c>
      <c r="P37" s="585">
        <f>IF(I37="",R37-H37,(K37-H37-SUM(L37:N37)+R37-S37-T37)-G37)+(ROUND(R37*V37,0)-ROUND(R37*(1+V37),0)*W37)</f>
        <v/>
      </c>
      <c r="Q37" s="585">
        <f>IF(I37="",(O37-G37-(O37*0.1425%*0.65)-(O37*0.3%)-S37-T37),0)</f>
        <v/>
      </c>
      <c r="R37" s="585" t="n"/>
      <c r="S37" s="585" t="n"/>
      <c r="T37" s="585" t="n"/>
      <c r="U37" s="65">
        <f>(V37*50%)/(1+50%*V37)</f>
        <v/>
      </c>
      <c r="V37" s="65" t="n"/>
      <c r="W37" s="66" t="n">
        <v>0.11</v>
      </c>
      <c r="X37" s="586">
        <f>(P37+Q37)/G37</f>
        <v/>
      </c>
      <c r="Y37" s="16">
        <f>VLOOKUP(C37,每日行情!A:D,4,FALSE)</f>
        <v/>
      </c>
      <c r="Z37" s="587">
        <f>VLOOKUP(C37,每日行情!A:E,5,FALSE)</f>
        <v/>
      </c>
      <c r="AA37" s="588">
        <f>IF(I37="",((TODAY()-A37)*G37)/365.24,((I37-A37)*G37)/365.24)</f>
        <v/>
      </c>
      <c r="AB37" s="588" t="inlineStr">
        <is>
          <t>台股</t>
        </is>
      </c>
    </row>
    <row r="38">
      <c r="A38" s="99" t="n">
        <v>45944</v>
      </c>
      <c r="B38" s="11" t="n"/>
      <c r="C38" s="11" t="n">
        <v>3661</v>
      </c>
      <c r="D38" s="163">
        <f>VLOOKUP(C38,每日行情!A:B,2,FALSE)</f>
        <v/>
      </c>
      <c r="E38" s="11" t="n">
        <v>10</v>
      </c>
      <c r="F38" s="11" t="n">
        <v>3170</v>
      </c>
      <c r="G38" s="583">
        <f>E38*F38</f>
        <v/>
      </c>
      <c r="H38" s="11" t="n">
        <v>27</v>
      </c>
      <c r="I38" s="99" t="n">
        <v>45964</v>
      </c>
      <c r="J38" s="16" t="n">
        <v>3460</v>
      </c>
      <c r="K38" s="11">
        <f>E38*J38</f>
        <v/>
      </c>
      <c r="L38" s="17" t="n">
        <v>29</v>
      </c>
      <c r="M38" s="11" t="n">
        <v>103</v>
      </c>
      <c r="N38" s="11" t="n">
        <v>0</v>
      </c>
      <c r="O38" s="584">
        <f>IF(I38="",E38*Y38,0)</f>
        <v/>
      </c>
      <c r="P38" s="585">
        <f>IF(I38="",R38-H38,(K38-H38-SUM(L38:N38)+R38-S38-T38)-G38)+(ROUND(R38*V38,0)-ROUND(R38*(1+V38),0)*W38)</f>
        <v/>
      </c>
      <c r="Q38" s="585">
        <f>IF(I38="",(O38-G38-(O38*0.1425%*0.65)-(O38*0.3%)-S38-T38),0)</f>
        <v/>
      </c>
      <c r="R38" s="585" t="n"/>
      <c r="S38" s="585" t="n"/>
      <c r="T38" s="585" t="n"/>
      <c r="U38" s="65">
        <f>(V38*50%)/(1+50%*V38)</f>
        <v/>
      </c>
      <c r="V38" s="65" t="n"/>
      <c r="W38" s="66" t="n">
        <v>0.11</v>
      </c>
      <c r="X38" s="586">
        <f>(P38+Q38)/G38</f>
        <v/>
      </c>
      <c r="Y38" s="16">
        <f>VLOOKUP(C38,每日行情!A:D,4,FALSE)</f>
        <v/>
      </c>
      <c r="Z38" s="587">
        <f>VLOOKUP(C38,每日行情!A:E,5,FALSE)</f>
        <v/>
      </c>
      <c r="AA38" s="588">
        <f>IF(I38="",((TODAY()-A38)*G38)/365.24,((I38-A38)*G38)/365.24)</f>
        <v/>
      </c>
      <c r="AB38" s="588" t="inlineStr">
        <is>
          <t>台股</t>
        </is>
      </c>
    </row>
    <row r="39">
      <c r="A39" s="95" t="n">
        <v>46043</v>
      </c>
      <c r="B39" s="11" t="n"/>
      <c r="C39" s="11" t="n">
        <v>50</v>
      </c>
      <c r="D39" s="163">
        <f>VLOOKUP(C39,每日行情!A:B,2,FALSE)</f>
        <v/>
      </c>
      <c r="E39" s="11" t="n">
        <v>2000</v>
      </c>
      <c r="F39" s="11" t="n">
        <v>72.45</v>
      </c>
      <c r="G39" s="583">
        <f>E39*F39</f>
        <v/>
      </c>
      <c r="H39" s="11" t="n">
        <v>123</v>
      </c>
      <c r="I39" s="99" t="n">
        <v>46050</v>
      </c>
      <c r="J39" s="16" t="n">
        <v>74</v>
      </c>
      <c r="K39" s="11">
        <f>E39*J39</f>
        <v/>
      </c>
      <c r="L39" s="17" t="n">
        <v>126</v>
      </c>
      <c r="M39" s="11" t="n">
        <v>148</v>
      </c>
      <c r="N39" s="11" t="n">
        <v>0</v>
      </c>
      <c r="O39" s="584">
        <f>IF(I39="",E39*Y39,0)</f>
        <v/>
      </c>
      <c r="P39" s="585">
        <f>IF(I39="",R39-H39,(K39-H39-SUM(L39:N39)+R39-S39-T39)-G39)+(ROUND(R39*V39,0)-ROUND(R39*(1+V39),0)*W39)</f>
        <v/>
      </c>
      <c r="Q39" s="585">
        <f>IF(I39="",(O39-G39-(O39*0.1425%*0.65)-(O39*0.3%)-S39-T39),0)</f>
        <v/>
      </c>
      <c r="R39" s="585" t="n">
        <v>2000</v>
      </c>
      <c r="S39" s="585" t="n">
        <v>10</v>
      </c>
      <c r="T39" s="585" t="n"/>
      <c r="U39" s="65">
        <f>(V39*50%)/(1+50%*V39)</f>
        <v/>
      </c>
      <c r="V39" s="65" t="n"/>
      <c r="W39" s="66" t="n">
        <v>0.11</v>
      </c>
      <c r="X39" s="586">
        <f>(P39+Q39)/G39</f>
        <v/>
      </c>
      <c r="Y39" s="16">
        <f>VLOOKUP(C39,每日行情!A:D,4,FALSE)</f>
        <v/>
      </c>
      <c r="Z39" s="587">
        <f>VLOOKUP(C39,每日行情!A:E,5,FALSE)</f>
        <v/>
      </c>
      <c r="AA39" s="588">
        <f>IF(I39="",((TODAY()-A39)*G39)/365.24,((I39-A39)*G39)/365.24)</f>
        <v/>
      </c>
      <c r="AB39" s="588" t="inlineStr">
        <is>
          <t>台股 ETF</t>
        </is>
      </c>
    </row>
    <row r="40">
      <c r="A40" s="95" t="n">
        <v>45901</v>
      </c>
      <c r="B40" s="11" t="n"/>
      <c r="C40" s="11" t="n">
        <v>56</v>
      </c>
      <c r="D40" s="163">
        <f>VLOOKUP(C40,每日行情!A:B,2,FALSE)</f>
        <v/>
      </c>
      <c r="E40" s="11" t="n">
        <v>285</v>
      </c>
      <c r="F40" s="11" t="n">
        <v>34.69</v>
      </c>
      <c r="G40" s="583" t="n">
        <v>9886</v>
      </c>
      <c r="H40" s="11" t="n">
        <v>1</v>
      </c>
      <c r="I40" s="99" t="n">
        <v>46051</v>
      </c>
      <c r="J40" s="16" t="n">
        <v>38.23</v>
      </c>
      <c r="K40" s="11">
        <f>E40*J40</f>
        <v/>
      </c>
      <c r="L40" s="17" t="n">
        <v>32</v>
      </c>
      <c r="M40" s="11" t="n">
        <v>38</v>
      </c>
      <c r="N40" s="11" t="n">
        <v>0</v>
      </c>
      <c r="O40" s="584">
        <f>IF(I40="",E40*Y40,0)</f>
        <v/>
      </c>
      <c r="P40" s="585">
        <f>IF(I40="",R40-H40,(K40-H40-SUM(L40:N40)+R40-S40-T40)-G40)+(ROUND(R40*V40,0)-ROUND(R40*(1+V40),0)*W40)</f>
        <v/>
      </c>
      <c r="Q40" s="585">
        <f>IF(I40="",(O40-G40-(O40*0.1425%*0.65)-(O40*0.3%)-S40-T40),0)</f>
        <v/>
      </c>
      <c r="R40" s="585" t="n">
        <v>331</v>
      </c>
      <c r="S40" s="585" t="n">
        <v>10</v>
      </c>
      <c r="T40" s="585" t="n"/>
      <c r="U40" s="65">
        <f>(V40*50%)/(1+50%*V40)</f>
        <v/>
      </c>
      <c r="V40" s="65" t="n"/>
      <c r="W40" s="66" t="n">
        <v>0.11</v>
      </c>
      <c r="X40" s="586">
        <f>(P40+Q40)/G40</f>
        <v/>
      </c>
      <c r="Y40" s="16">
        <f>VLOOKUP(C40,每日行情!A:D,4,FALSE)</f>
        <v/>
      </c>
      <c r="Z40" s="587">
        <f>VLOOKUP(C40,每日行情!A:E,5,FALSE)</f>
        <v/>
      </c>
      <c r="AA40" s="588">
        <f>IF(I40="",((TODAY()-A40)*G40)/365.24,((I40-A40)*G40)/365.24)</f>
        <v/>
      </c>
      <c r="AB40" s="588" t="inlineStr">
        <is>
          <t>台股 ETF</t>
        </is>
      </c>
    </row>
    <row r="41" outlineLevel="1">
      <c r="A41" s="95" t="n">
        <v>45931</v>
      </c>
      <c r="B41" s="11" t="n"/>
      <c r="C41" s="11" t="n">
        <v>56</v>
      </c>
      <c r="D41" s="163">
        <f>VLOOKUP(C41,每日行情!A:B,2,FALSE)</f>
        <v/>
      </c>
      <c r="E41" s="11" t="n">
        <v>268</v>
      </c>
      <c r="F41" s="11" t="n">
        <v>36.89</v>
      </c>
      <c r="G41" s="583" t="n">
        <v>9886</v>
      </c>
      <c r="H41" s="11" t="n">
        <v>1</v>
      </c>
      <c r="I41" s="99" t="n">
        <v>46051</v>
      </c>
      <c r="J41" s="16" t="n">
        <v>38.23</v>
      </c>
      <c r="K41" s="11">
        <f>E41*J41</f>
        <v/>
      </c>
      <c r="L41" s="17" t="n">
        <v>11</v>
      </c>
      <c r="M41" s="11" t="n">
        <v>13</v>
      </c>
      <c r="N41" s="11" t="n">
        <v>0</v>
      </c>
      <c r="O41" s="584">
        <f>IF(I41="",E41*Y41,0)</f>
        <v/>
      </c>
      <c r="P41" s="585">
        <f>IF(I41="",R41-H41,(K41-H41-SUM(L41:N41)+R41-S41-T41)-G41)+(ROUND(R41*V41,0)-ROUND(R41*(1+V41),0)*W41)</f>
        <v/>
      </c>
      <c r="Q41" s="585">
        <f>IF(I41="",(O41-G41-(O41*0.1425%*0.65)-(O41*0.3%)-S41-T41),0)</f>
        <v/>
      </c>
      <c r="R41" s="585" t="n">
        <v>330</v>
      </c>
      <c r="S41" s="585" t="n">
        <v>10</v>
      </c>
      <c r="T41" s="585" t="n"/>
      <c r="U41" s="65">
        <f>(V41*50%)/(1+50%*V41)</f>
        <v/>
      </c>
      <c r="V41" s="65" t="n"/>
      <c r="W41" s="66" t="n">
        <v>0.11</v>
      </c>
      <c r="X41" s="586">
        <f>(P41+Q41)/G41</f>
        <v/>
      </c>
      <c r="Y41" s="16">
        <f>VLOOKUP(C41,每日行情!A:D,4,FALSE)</f>
        <v/>
      </c>
      <c r="Z41" s="587">
        <f>VLOOKUP(C41,每日行情!A:E,5,FALSE)</f>
        <v/>
      </c>
      <c r="AA41" s="588">
        <f>IF(I41="",((TODAY()-A41)*G41)/365.24,((I41-A41)*G41)/365.24)</f>
        <v/>
      </c>
      <c r="AB41" s="588" t="inlineStr">
        <is>
          <t>台股 ETF</t>
        </is>
      </c>
    </row>
    <row r="42" outlineLevel="1">
      <c r="A42" s="95" t="n">
        <v>45964</v>
      </c>
      <c r="B42" s="11" t="n"/>
      <c r="C42" s="11" t="n">
        <v>56</v>
      </c>
      <c r="D42" s="163">
        <f>VLOOKUP(C42,每日行情!A:B,2,FALSE)</f>
        <v/>
      </c>
      <c r="E42" s="11" t="n">
        <v>264</v>
      </c>
      <c r="F42" s="11" t="n">
        <v>37.35</v>
      </c>
      <c r="G42" s="583" t="n">
        <v>9860</v>
      </c>
      <c r="H42" s="11" t="n">
        <v>1</v>
      </c>
      <c r="I42" s="99" t="n">
        <v>46051</v>
      </c>
      <c r="J42" s="16" t="n">
        <v>38.23</v>
      </c>
      <c r="K42" s="11">
        <f>E42*J42</f>
        <v/>
      </c>
      <c r="L42" s="17" t="n"/>
      <c r="M42" s="11" t="n"/>
      <c r="N42" s="11" t="n">
        <v>0</v>
      </c>
      <c r="O42" s="584">
        <f>IF(I42="",E42*Y42,0)</f>
        <v/>
      </c>
      <c r="P42" s="585">
        <f>IF(I42="",R42-H42,(K42-H42-SUM(L42:N42)+R42-S42-T42)-G42)+(ROUND(R42*V42,0)-ROUND(R42*(1+V42),0)*W42)</f>
        <v/>
      </c>
      <c r="Q42" s="585">
        <f>IF(I42="",(O42-G42-(O42*0.1425%*0.65)-(O42*0.3%)-S42-T42),0)</f>
        <v/>
      </c>
      <c r="R42" s="585" t="n">
        <v>330</v>
      </c>
      <c r="S42" s="585" t="n">
        <v>10</v>
      </c>
      <c r="T42" s="585" t="n"/>
      <c r="U42" s="65">
        <f>(V42*50%)/(1+50%*V42)</f>
        <v/>
      </c>
      <c r="V42" s="65" t="n"/>
      <c r="W42" s="66" t="n">
        <v>0.11</v>
      </c>
      <c r="X42" s="586">
        <f>(P42+Q42)/G42</f>
        <v/>
      </c>
      <c r="Y42" s="16">
        <f>VLOOKUP(C42,每日行情!A:D,4,FALSE)</f>
        <v/>
      </c>
      <c r="Z42" s="587">
        <f>VLOOKUP(C42,每日行情!A:E,5,FALSE)</f>
        <v/>
      </c>
      <c r="AA42" s="588">
        <f>IF(I42="",((TODAY()-A42)*G42)/365.24,((I42-A42)*G42)/365.24)</f>
        <v/>
      </c>
      <c r="AB42" s="588" t="inlineStr">
        <is>
          <t>台股 ETF</t>
        </is>
      </c>
    </row>
    <row r="43" outlineLevel="1">
      <c r="A43" s="95" t="n">
        <v>45992</v>
      </c>
      <c r="B43" s="11" t="n"/>
      <c r="C43" s="11" t="n">
        <v>56</v>
      </c>
      <c r="D43" s="163">
        <f>VLOOKUP(C43,每日行情!A:B,2,FALSE)</f>
        <v/>
      </c>
      <c r="E43" s="11" t="n">
        <v>275</v>
      </c>
      <c r="F43" s="11" t="n">
        <v>36.03</v>
      </c>
      <c r="G43" s="583" t="n">
        <v>9908</v>
      </c>
      <c r="H43" s="11" t="n">
        <v>1</v>
      </c>
      <c r="I43" s="99" t="n">
        <v>46051</v>
      </c>
      <c r="J43" s="16" t="n">
        <v>38.23</v>
      </c>
      <c r="K43" s="11">
        <f>E43*J43</f>
        <v/>
      </c>
      <c r="L43" s="17" t="n"/>
      <c r="M43" s="11" t="n"/>
      <c r="N43" s="11" t="n">
        <v>0</v>
      </c>
      <c r="O43" s="584">
        <f>IF(I43="",E43*Y43,0)</f>
        <v/>
      </c>
      <c r="P43" s="585">
        <f>IF(I43="",R43-H43,(K43-H43-SUM(L43:N43)+R43-S43-T43)-G43)+(ROUND(R43*V43,0)-ROUND(R43*(1+V43),0)*W43)</f>
        <v/>
      </c>
      <c r="Q43" s="585">
        <f>IF(I43="",(O43-G43-(O43*0.1425%*0.65)-(O43*0.3%)-S43-T43),0)</f>
        <v/>
      </c>
      <c r="R43" s="585" t="n">
        <v>330</v>
      </c>
      <c r="S43" s="585" t="n">
        <v>10</v>
      </c>
      <c r="T43" s="585" t="n"/>
      <c r="U43" s="65">
        <f>(V43*50%)/(1+50%*V43)</f>
        <v/>
      </c>
      <c r="V43" s="65" t="n"/>
      <c r="W43" s="66" t="n">
        <v>0.11</v>
      </c>
      <c r="X43" s="586">
        <f>(P43+Q43)/G43</f>
        <v/>
      </c>
      <c r="Y43" s="16">
        <f>VLOOKUP(C43,每日行情!A:D,4,FALSE)</f>
        <v/>
      </c>
      <c r="Z43" s="587">
        <f>VLOOKUP(C43,每日行情!A:E,5,FALSE)</f>
        <v/>
      </c>
      <c r="AA43" s="588">
        <f>IF(I43="",((TODAY()-A43)*G43)/365.24,((I43-A43)*G43)/365.24)</f>
        <v/>
      </c>
      <c r="AB43" s="588" t="inlineStr">
        <is>
          <t>台股 ETF</t>
        </is>
      </c>
    </row>
    <row r="44" outlineLevel="1">
      <c r="A44" s="95" t="n">
        <v>46024</v>
      </c>
      <c r="B44" s="11" t="n"/>
      <c r="C44" s="11" t="n">
        <v>56</v>
      </c>
      <c r="D44" s="163">
        <f>VLOOKUP(C44,每日行情!A:B,2,FALSE)</f>
        <v/>
      </c>
      <c r="E44" s="11" t="n">
        <v>267</v>
      </c>
      <c r="F44" s="11" t="n">
        <v>37.02</v>
      </c>
      <c r="G44" s="583" t="n">
        <v>9884</v>
      </c>
      <c r="H44" s="11" t="n">
        <v>1</v>
      </c>
      <c r="I44" s="99" t="n">
        <v>46051</v>
      </c>
      <c r="J44" s="16" t="n">
        <v>38.23</v>
      </c>
      <c r="K44" s="11">
        <f>E44*J44</f>
        <v/>
      </c>
      <c r="L44" s="17" t="n"/>
      <c r="M44" s="11" t="n"/>
      <c r="N44" s="11" t="n">
        <v>0</v>
      </c>
      <c r="O44" s="584">
        <f>IF(I44="",E44*Y44,0)</f>
        <v/>
      </c>
      <c r="P44" s="585">
        <f>IF(I44="",R44-H44,(K44-H44-SUM(L44:N44)+R44-S44-T44)-G44)+(ROUND(R44*V44,0)-ROUND(R44*(1+V44),0)*W44)</f>
        <v/>
      </c>
      <c r="Q44" s="585">
        <f>IF(I44="",(O44-G44-(O44*0.1425%*0.65)-(O44*0.3%)-S44-T44),0)</f>
        <v/>
      </c>
      <c r="R44" s="585" t="n">
        <v>330</v>
      </c>
      <c r="S44" s="585" t="n">
        <v>10</v>
      </c>
      <c r="T44" s="585" t="n"/>
      <c r="U44" s="65">
        <f>(V44*50%)/(1+50%*V44)</f>
        <v/>
      </c>
      <c r="V44" s="65" t="n"/>
      <c r="W44" s="66" t="n">
        <v>0.11</v>
      </c>
      <c r="X44" s="586">
        <f>(P44+Q44)/G44</f>
        <v/>
      </c>
      <c r="Y44" s="16">
        <f>VLOOKUP(C44,每日行情!A:D,4,FALSE)</f>
        <v/>
      </c>
      <c r="Z44" s="587">
        <f>VLOOKUP(C44,每日行情!A:E,5,FALSE)</f>
        <v/>
      </c>
      <c r="AA44" s="588">
        <f>IF(I44="",((TODAY()-A44)*G44)/365.24,((I44-A44)*G44)/365.24)</f>
        <v/>
      </c>
      <c r="AB44" s="588" t="inlineStr">
        <is>
          <t>台股 ETF</t>
        </is>
      </c>
    </row>
    <row r="45">
      <c r="A45" s="95" t="n">
        <v>45908</v>
      </c>
      <c r="B45" s="11" t="n"/>
      <c r="C45" s="11" t="n">
        <v>770</v>
      </c>
      <c r="D45" s="163">
        <f>VLOOKUP(C45,每日行情!A:B,2,FALSE)</f>
        <v/>
      </c>
      <c r="E45" s="11" t="n">
        <v>192</v>
      </c>
      <c r="F45" s="11" t="n">
        <v>51.02</v>
      </c>
      <c r="G45" s="583" t="n">
        <v>9795</v>
      </c>
      <c r="H45" s="11" t="n">
        <v>1</v>
      </c>
      <c r="I45" s="99" t="n">
        <v>46090</v>
      </c>
      <c r="J45" s="16" t="n">
        <v>50.05</v>
      </c>
      <c r="K45" s="11">
        <f>E45*J45</f>
        <v/>
      </c>
      <c r="L45" s="17" t="n">
        <v>8</v>
      </c>
      <c r="M45" s="11" t="n">
        <v>10</v>
      </c>
      <c r="N45" s="11" t="n">
        <v>0</v>
      </c>
      <c r="O45" s="584">
        <f>IF(I45="",E45*Y45,0)</f>
        <v/>
      </c>
      <c r="P45" s="585">
        <f>IF(I45="",R45-H45,(K45-H45-SUM(L45:N45)+R45-S45-T45)-G45)+(ROUND(R45*V45,0)-ROUND(R45*(1+V45),0)*W45)</f>
        <v/>
      </c>
      <c r="Q45" s="585">
        <f>IF(I45="",(O45-G45-(O45*0.1425%*0.65)-(O45*0.3%)-S45-T45),0)</f>
        <v/>
      </c>
      <c r="R45" s="585" t="n">
        <v>743</v>
      </c>
      <c r="S45" s="585" t="n">
        <v>10</v>
      </c>
      <c r="T45" s="585" t="n"/>
      <c r="U45" s="65">
        <f>(V45*50%)/(1+50%*V45)</f>
        <v/>
      </c>
      <c r="V45" s="65" t="n"/>
      <c r="W45" s="66" t="n">
        <v>0.11</v>
      </c>
      <c r="X45" s="586">
        <f>(P45+Q45)/G45</f>
        <v/>
      </c>
      <c r="Y45" s="16">
        <f>VLOOKUP(C45,每日行情!A:D,4,FALSE)</f>
        <v/>
      </c>
      <c r="Z45" s="587">
        <f>VLOOKUP(C45,每日行情!A:E,5,FALSE)</f>
        <v/>
      </c>
      <c r="AA45" s="588">
        <f>IF(I45="",((TODAY()-A45)*G45)/365.24,((I45-A45)*G45)/365.24)</f>
        <v/>
      </c>
      <c r="AB45" s="588" t="inlineStr">
        <is>
          <t>台股 ETF</t>
        </is>
      </c>
    </row>
    <row r="46" outlineLevel="1">
      <c r="A46" s="95" t="n">
        <v>45937</v>
      </c>
      <c r="B46" s="11" t="n"/>
      <c r="C46" s="11" t="n">
        <v>770</v>
      </c>
      <c r="D46" s="163">
        <f>VLOOKUP(C46,每日行情!A:B,2,FALSE)</f>
        <v/>
      </c>
      <c r="E46" s="11" t="n">
        <v>179</v>
      </c>
      <c r="F46" s="11" t="n">
        <v>54.96</v>
      </c>
      <c r="G46" s="583" t="n">
        <v>9837</v>
      </c>
      <c r="H46" s="11" t="n">
        <v>1</v>
      </c>
      <c r="I46" s="99" t="n">
        <v>46090</v>
      </c>
      <c r="J46" s="16" t="n">
        <v>50.05</v>
      </c>
      <c r="K46" s="11">
        <f>E46*J46</f>
        <v/>
      </c>
      <c r="L46" s="17" t="n">
        <v>8</v>
      </c>
      <c r="M46" s="11" t="n">
        <v>10</v>
      </c>
      <c r="N46" s="11" t="n">
        <v>0</v>
      </c>
      <c r="O46" s="584">
        <f>IF(I46="",E46*Y46,0)</f>
        <v/>
      </c>
      <c r="P46" s="585">
        <f>IF(I46="",R46-H46,(K46-H46-SUM(L46:N46)+R46-S46-T46)-G46)+(ROUND(R46*V46,0)-ROUND(R46*(1+V46),0)*W46)</f>
        <v/>
      </c>
      <c r="Q46" s="585">
        <f>IF(I46="",(O46-G46-(O46*0.1425%*0.65)-(O46*0.3%)-S46-T46),0)</f>
        <v/>
      </c>
      <c r="R46" s="585" t="n">
        <v>742</v>
      </c>
      <c r="S46" s="585" t="n">
        <v>10</v>
      </c>
      <c r="T46" s="585" t="n"/>
      <c r="U46" s="65">
        <f>(V46*50%)/(1+50%*V46)</f>
        <v/>
      </c>
      <c r="V46" s="65" t="n"/>
      <c r="W46" s="66" t="n">
        <v>0.11</v>
      </c>
      <c r="X46" s="586">
        <f>(P46+Q46)/G46</f>
        <v/>
      </c>
      <c r="Y46" s="16">
        <f>VLOOKUP(C46,每日行情!A:D,4,FALSE)</f>
        <v/>
      </c>
      <c r="Z46" s="587">
        <f>VLOOKUP(C46,每日行情!A:E,5,FALSE)</f>
        <v/>
      </c>
      <c r="AA46" s="588">
        <f>IF(I46="",((TODAY()-A46)*G46)/365.24,((I46-A46)*G46)/365.24)</f>
        <v/>
      </c>
      <c r="AB46" s="588" t="inlineStr">
        <is>
          <t>台股 ETF</t>
        </is>
      </c>
    </row>
    <row r="47" outlineLevel="1">
      <c r="A47" s="95" t="n">
        <v>45967</v>
      </c>
      <c r="B47" s="11" t="n"/>
      <c r="C47" s="11" t="n">
        <v>770</v>
      </c>
      <c r="D47" s="163">
        <f>VLOOKUP(C47,每日行情!A:B,2,FALSE)</f>
        <v/>
      </c>
      <c r="E47" s="11" t="n">
        <v>173</v>
      </c>
      <c r="F47" s="11" t="n">
        <v>57.55</v>
      </c>
      <c r="G47" s="583" t="n">
        <v>9956</v>
      </c>
      <c r="H47" s="11" t="n">
        <v>1</v>
      </c>
      <c r="I47" s="99" t="n">
        <v>46090</v>
      </c>
      <c r="J47" s="16" t="n">
        <v>50.05</v>
      </c>
      <c r="K47" s="11">
        <f>E47*J47</f>
        <v/>
      </c>
      <c r="L47" s="17" t="n">
        <v>8</v>
      </c>
      <c r="M47" s="11" t="n">
        <v>10</v>
      </c>
      <c r="N47" s="11" t="n">
        <v>0</v>
      </c>
      <c r="O47" s="584">
        <f>IF(I47="",E47*Y47,0)</f>
        <v/>
      </c>
      <c r="P47" s="585">
        <f>IF(I47="",R47-H47,(K47-H47-SUM(L47:N47)+R47-S47-T47)-G47)+(ROUND(R47*V47,0)-ROUND(R47*(1+V47),0)*W47)</f>
        <v/>
      </c>
      <c r="Q47" s="585">
        <f>IF(I47="",(O47-G47-(O47*0.1425%*0.65)-(O47*0.3%)-S47-T47),0)</f>
        <v/>
      </c>
      <c r="R47" s="585" t="n">
        <v>742</v>
      </c>
      <c r="S47" s="585" t="n">
        <v>10</v>
      </c>
      <c r="T47" s="585" t="n"/>
      <c r="U47" s="65">
        <f>(V47*50%)/(1+50%*V47)</f>
        <v/>
      </c>
      <c r="V47" s="65" t="n"/>
      <c r="W47" s="66" t="n">
        <v>0.11</v>
      </c>
      <c r="X47" s="586">
        <f>(P47+Q47)/G47</f>
        <v/>
      </c>
      <c r="Y47" s="16">
        <f>VLOOKUP(C47,每日行情!A:D,4,FALSE)</f>
        <v/>
      </c>
      <c r="Z47" s="587">
        <f>VLOOKUP(C47,每日行情!A:E,5,FALSE)</f>
        <v/>
      </c>
      <c r="AA47" s="588">
        <f>IF(I47="",((TODAY()-A47)*G47)/365.24,((I47-A47)*G47)/365.24)</f>
        <v/>
      </c>
      <c r="AB47" s="588" t="inlineStr">
        <is>
          <t>台股 ETF</t>
        </is>
      </c>
    </row>
    <row r="48" outlineLevel="1">
      <c r="A48" s="95" t="n">
        <v>45999</v>
      </c>
      <c r="B48" s="11" t="n"/>
      <c r="C48" s="11" t="n">
        <v>770</v>
      </c>
      <c r="D48" s="163">
        <f>VLOOKUP(C48,每日行情!A:B,2,FALSE)</f>
        <v/>
      </c>
      <c r="E48" s="11" t="n">
        <v>170</v>
      </c>
      <c r="F48" s="11" t="n">
        <v>58.65</v>
      </c>
      <c r="G48" s="583" t="n">
        <v>9970</v>
      </c>
      <c r="H48" s="11" t="n">
        <v>1</v>
      </c>
      <c r="I48" s="99" t="n">
        <v>46090</v>
      </c>
      <c r="J48" s="16" t="n">
        <v>50.05</v>
      </c>
      <c r="K48" s="11">
        <f>E48*J48</f>
        <v/>
      </c>
      <c r="L48" s="17" t="n">
        <v>9</v>
      </c>
      <c r="M48" s="11" t="n">
        <v>10</v>
      </c>
      <c r="N48" s="11" t="n">
        <v>0</v>
      </c>
      <c r="O48" s="584">
        <f>IF(I48="",E48*Y48,0)</f>
        <v/>
      </c>
      <c r="P48" s="585">
        <f>IF(I48="",R48-H48,(K48-H48-SUM(L48:N48)+R48-S48-T48)-G48)+(ROUND(R48*V48,0)-ROUND(R48*(1+V48),0)*W48)</f>
        <v/>
      </c>
      <c r="Q48" s="585">
        <f>IF(I48="",(O48-G48-(O48*0.1425%*0.65)-(O48*0.3%)-S48-T48),0)</f>
        <v/>
      </c>
      <c r="R48" s="585" t="n">
        <v>742</v>
      </c>
      <c r="S48" s="585" t="n">
        <v>10</v>
      </c>
      <c r="T48" s="585" t="n"/>
      <c r="U48" s="65">
        <f>(V48*50%)/(1+50%*V48)</f>
        <v/>
      </c>
      <c r="V48" s="65" t="n"/>
      <c r="W48" s="66" t="n">
        <v>0.11</v>
      </c>
      <c r="X48" s="586">
        <f>(P48+Q48)/G48</f>
        <v/>
      </c>
      <c r="Y48" s="16">
        <f>VLOOKUP(C48,每日行情!A:D,4,FALSE)</f>
        <v/>
      </c>
      <c r="Z48" s="587">
        <f>VLOOKUP(C48,每日行情!A:E,5,FALSE)</f>
        <v/>
      </c>
      <c r="AA48" s="588">
        <f>IF(I48="",((TODAY()-A48)*G48)/365.24,((I48-A48)*G48)/365.24)</f>
        <v/>
      </c>
      <c r="AB48" s="588" t="inlineStr">
        <is>
          <t>台股 ETF</t>
        </is>
      </c>
    </row>
    <row r="49" outlineLevel="1">
      <c r="A49" s="95" t="n">
        <v>46028</v>
      </c>
      <c r="B49" s="11" t="n"/>
      <c r="C49" s="11" t="n">
        <v>770</v>
      </c>
      <c r="D49" s="163">
        <f>VLOOKUP(C49,每日行情!A:B,2,FALSE)</f>
        <v/>
      </c>
      <c r="E49" s="11" t="n">
        <v>170</v>
      </c>
      <c r="F49" s="11" t="n">
        <v>58.18</v>
      </c>
      <c r="G49" s="583" t="n">
        <v>9890</v>
      </c>
      <c r="H49" s="11" t="n">
        <v>1</v>
      </c>
      <c r="I49" s="99" t="n">
        <v>46090</v>
      </c>
      <c r="J49" s="16" t="n">
        <v>50.05</v>
      </c>
      <c r="K49" s="11">
        <f>E49*J49</f>
        <v/>
      </c>
      <c r="L49" s="17" t="n">
        <v>9</v>
      </c>
      <c r="M49" s="11" t="n">
        <v>10</v>
      </c>
      <c r="N49" s="11" t="n">
        <v>0</v>
      </c>
      <c r="O49" s="584">
        <f>IF(I49="",E49*Y49,0)</f>
        <v/>
      </c>
      <c r="P49" s="585">
        <f>IF(I49="",R49-H49,(K49-H49-SUM(L49:N49)+R49-S49-T49)-G49)+(ROUND(R49*V49,0)-ROUND(R49*(1+V49),0)*W49)</f>
        <v/>
      </c>
      <c r="Q49" s="585">
        <f>IF(I49="",(O49-G49-(O49*0.1425%*0.65)-(O49*0.3%)-S49-T49),0)</f>
        <v/>
      </c>
      <c r="R49" s="585" t="n">
        <v>742</v>
      </c>
      <c r="S49" s="585" t="n">
        <v>10</v>
      </c>
      <c r="T49" s="585" t="n"/>
      <c r="U49" s="65">
        <f>(V49*50%)/(1+50%*V49)</f>
        <v/>
      </c>
      <c r="V49" s="65" t="n"/>
      <c r="W49" s="66" t="n">
        <v>0.11</v>
      </c>
      <c r="X49" s="586">
        <f>(P49+Q49)/G49</f>
        <v/>
      </c>
      <c r="Y49" s="16">
        <f>VLOOKUP(C49,每日行情!A:D,4,FALSE)</f>
        <v/>
      </c>
      <c r="Z49" s="587">
        <f>VLOOKUP(C49,每日行情!A:E,5,FALSE)</f>
        <v/>
      </c>
      <c r="AA49" s="588">
        <f>IF(I49="",((TODAY()-A49)*G49)/365.24,((I49-A49)*G49)/365.24)</f>
        <v/>
      </c>
      <c r="AB49" s="588" t="inlineStr">
        <is>
          <t>台股 ETF</t>
        </is>
      </c>
    </row>
    <row r="50" outlineLevel="1">
      <c r="A50" s="99" t="n">
        <v>46059</v>
      </c>
      <c r="B50" s="11" t="n"/>
      <c r="C50" s="11" t="n">
        <v>770</v>
      </c>
      <c r="D50" s="163">
        <f>VLOOKUP(C50,每日行情!A:B,2,FALSE)</f>
        <v/>
      </c>
      <c r="E50" s="11" t="n">
        <v>194</v>
      </c>
      <c r="F50" s="11" t="n">
        <v>50.71</v>
      </c>
      <c r="G50" s="583" t="n">
        <v>9837</v>
      </c>
      <c r="H50" s="11" t="n">
        <v>1</v>
      </c>
      <c r="I50" s="99" t="n">
        <v>46090</v>
      </c>
      <c r="J50" s="16" t="n">
        <v>50.2</v>
      </c>
      <c r="K50" s="11">
        <f>E50*J50</f>
        <v/>
      </c>
      <c r="L50" s="17" t="n">
        <v>3</v>
      </c>
      <c r="M50" s="11" t="n">
        <v>3</v>
      </c>
      <c r="N50" s="11" t="n">
        <v>0</v>
      </c>
      <c r="O50" s="584">
        <f>IF(I50="",E50*Y50,0)</f>
        <v/>
      </c>
      <c r="P50" s="585">
        <f>IF(I50="",R50-H50,(K50-H50-SUM(L50:N50)+R50-S50-T50)-G50)+(ROUND(R50*V50,0)-ROUND(R50*(1+V50),0)*W50)</f>
        <v/>
      </c>
      <c r="Q50" s="585">
        <f>IF(I50="",(O50-G50-(O50*0.1425%*0.65)-(O50*0.3%)-S50-T50),0)</f>
        <v/>
      </c>
      <c r="R50" s="585" t="n"/>
      <c r="S50" s="585" t="n"/>
      <c r="T50" s="585" t="n"/>
      <c r="U50" s="65">
        <f>(V50*50%)/(1+50%*V50)</f>
        <v/>
      </c>
      <c r="V50" s="65" t="n"/>
      <c r="W50" s="66" t="n">
        <v>0.11</v>
      </c>
      <c r="X50" s="586">
        <f>(P50+Q50)/G50</f>
        <v/>
      </c>
      <c r="Y50" s="16">
        <f>VLOOKUP(C50,每日行情!A:D,4,FALSE)</f>
        <v/>
      </c>
      <c r="Z50" s="587">
        <f>VLOOKUP(C50,每日行情!A:E,5,FALSE)</f>
        <v/>
      </c>
      <c r="AA50" s="588">
        <f>IF(I50="",((TODAY()-A50)*G50)/365.24,((I50-A50)*G50)/365.24)</f>
        <v/>
      </c>
      <c r="AB50" s="588" t="inlineStr">
        <is>
          <t>台股 ETF</t>
        </is>
      </c>
    </row>
    <row r="51">
      <c r="A51" s="99" t="n">
        <v>46051</v>
      </c>
      <c r="B51" s="11" t="n"/>
      <c r="C51" s="11" t="n">
        <v>3163</v>
      </c>
      <c r="D51" s="163">
        <f>VLOOKUP(C51,每日行情!A:B,2,FALSE)</f>
        <v/>
      </c>
      <c r="E51" s="11" t="n">
        <v>1000</v>
      </c>
      <c r="F51" s="11" t="n">
        <v>486</v>
      </c>
      <c r="G51" s="583">
        <f>E51*F51</f>
        <v/>
      </c>
      <c r="H51" s="11" t="n">
        <v>415</v>
      </c>
      <c r="I51" s="99" t="n">
        <v>46090</v>
      </c>
      <c r="J51" s="16" t="n">
        <v>654</v>
      </c>
      <c r="K51" s="11">
        <f>E51*J51</f>
        <v/>
      </c>
      <c r="L51" s="17" t="n">
        <v>559</v>
      </c>
      <c r="M51" s="11" t="n">
        <v>1962</v>
      </c>
      <c r="N51" s="11" t="n">
        <v>0</v>
      </c>
      <c r="O51" s="584">
        <f>IF(I51="",E51*Y51,0)</f>
        <v/>
      </c>
      <c r="P51" s="585">
        <f>IF(I51="",R51-H51,(K51-H51-SUM(L51:N51)+R51-S51-T51)-G51)+(ROUND(R51*V51,0)-ROUND(R51*(1+V51),0)*W51)</f>
        <v/>
      </c>
      <c r="Q51" s="585">
        <f>IF(I51="",(O51-G51-(O51*0.1425%*0.65)-(O51*0.3%)-S51-T51),0)</f>
        <v/>
      </c>
      <c r="R51" s="585" t="n"/>
      <c r="S51" s="585" t="n"/>
      <c r="T51" s="585" t="n"/>
      <c r="U51" s="65">
        <f>(V51*50%)/(1+50%*V51)</f>
        <v/>
      </c>
      <c r="V51" s="65" t="n"/>
      <c r="W51" s="66" t="n">
        <v>0.11</v>
      </c>
      <c r="X51" s="586">
        <f>(P51+Q51)/G51</f>
        <v/>
      </c>
      <c r="Y51" s="16">
        <f>VLOOKUP(C51,每日行情!A:D,4,FALSE)</f>
        <v/>
      </c>
      <c r="Z51" s="587">
        <f>VLOOKUP(C51,每日行情!A:E,5,FALSE)</f>
        <v/>
      </c>
      <c r="AA51" s="588">
        <f>IF(I51="",((TODAY()-A51)*G51)/365.24,((I51-A51)*G51)/365.24)</f>
        <v/>
      </c>
      <c r="AB51" s="588" t="inlineStr">
        <is>
          <t>台股</t>
        </is>
      </c>
    </row>
    <row r="52">
      <c r="A52" s="99" t="n">
        <v>46051</v>
      </c>
      <c r="B52" s="11" t="n"/>
      <c r="C52" s="11" t="n">
        <v>8299</v>
      </c>
      <c r="D52" s="163">
        <f>VLOOKUP(C52,每日行情!A:B,2,FALSE)</f>
        <v/>
      </c>
      <c r="E52" s="11" t="n">
        <v>50</v>
      </c>
      <c r="F52" s="11" t="n">
        <v>2270</v>
      </c>
      <c r="G52" s="583">
        <f>E52*F52</f>
        <v/>
      </c>
      <c r="H52" s="11" t="n">
        <v>97</v>
      </c>
      <c r="I52" s="99" t="n">
        <v>46090</v>
      </c>
      <c r="J52" s="16" t="n">
        <v>1600</v>
      </c>
      <c r="K52" s="11">
        <f>E52*J52</f>
        <v/>
      </c>
      <c r="L52" s="17" t="n">
        <v>81</v>
      </c>
      <c r="M52" s="11" t="n">
        <v>300</v>
      </c>
      <c r="N52" s="11" t="n">
        <v>0</v>
      </c>
      <c r="O52" s="584">
        <f>IF(I52="",E52*Y52,0)</f>
        <v/>
      </c>
      <c r="P52" s="585">
        <f>IF(I52="",R52-H52,(K52-H52-SUM(L52:N52)+R52-S52-T52)-G52)+(ROUND(R52*V52,0)-ROUND(R52*(1+V52),0)*W52)</f>
        <v/>
      </c>
      <c r="Q52" s="585">
        <f>IF(I52="",(O52-G52-(O52*0.1425%*0.65)-(O52*0.3%)-S52-T52),0)</f>
        <v/>
      </c>
      <c r="R52" s="585" t="n"/>
      <c r="S52" s="585" t="n"/>
      <c r="T52" s="585" t="n"/>
      <c r="U52" s="65">
        <f>(V52*50%)/(1+50%*V52)</f>
        <v/>
      </c>
      <c r="V52" s="65" t="n"/>
      <c r="W52" s="66" t="n">
        <v>0.11</v>
      </c>
      <c r="X52" s="586">
        <f>(P52+Q52)/G52</f>
        <v/>
      </c>
      <c r="Y52" s="16">
        <f>VLOOKUP(C52,每日行情!A:D,4,FALSE)</f>
        <v/>
      </c>
      <c r="Z52" s="587">
        <f>VLOOKUP(C52,每日行情!A:E,5,FALSE)</f>
        <v/>
      </c>
      <c r="AA52" s="588">
        <f>IF(I52="",((TODAY()-A52)*G52)/365.24,((I52-A52)*G52)/365.24)</f>
        <v/>
      </c>
      <c r="AB52" s="588" t="inlineStr">
        <is>
          <t>台股</t>
        </is>
      </c>
    </row>
    <row r="53">
      <c r="A53" s="99" t="n">
        <v>46064</v>
      </c>
      <c r="B53" s="11" t="n"/>
      <c r="C53" s="11" t="n">
        <v>8299</v>
      </c>
      <c r="D53" s="163">
        <f>VLOOKUP(C53,每日行情!A:B,2,FALSE)</f>
        <v/>
      </c>
      <c r="E53" s="11" t="n">
        <v>20</v>
      </c>
      <c r="F53" s="11" t="n">
        <v>1860</v>
      </c>
      <c r="G53" s="583">
        <f>E53*F53</f>
        <v/>
      </c>
      <c r="H53" s="11" t="n">
        <v>31</v>
      </c>
      <c r="I53" s="99" t="n">
        <v>46090</v>
      </c>
      <c r="J53" s="16" t="n">
        <v>1600</v>
      </c>
      <c r="K53" s="11">
        <f>E53*J53</f>
        <v/>
      </c>
      <c r="L53" s="17" t="n">
        <v>14</v>
      </c>
      <c r="M53" s="11" t="n">
        <v>36</v>
      </c>
      <c r="N53" s="11" t="n">
        <v>0</v>
      </c>
      <c r="O53" s="584">
        <f>IF(I53="",E53*Y53,0)</f>
        <v/>
      </c>
      <c r="P53" s="585">
        <f>IF(I53="",R53-H53,(K53-H53-SUM(L53:N53)+R53-S53-T53)-G53)+(ROUND(R53*V53,0)-ROUND(R53*(1+V53),0)*W53)</f>
        <v/>
      </c>
      <c r="Q53" s="585">
        <f>IF(I53="",(O53-G53-(O53*0.1425%*0.65)-(O53*0.3%)-S53-T53),0)</f>
        <v/>
      </c>
      <c r="R53" s="585" t="n"/>
      <c r="S53" s="585" t="n"/>
      <c r="T53" s="585" t="n"/>
      <c r="U53" s="65">
        <f>(V53*50%)/(1+50%*V53)</f>
        <v/>
      </c>
      <c r="V53" s="65" t="n"/>
      <c r="W53" s="66" t="n">
        <v>0.11</v>
      </c>
      <c r="X53" s="586">
        <f>(P53+Q53)/G53</f>
        <v/>
      </c>
      <c r="Y53" s="16">
        <f>VLOOKUP(C53,每日行情!A:D,4,FALSE)</f>
        <v/>
      </c>
      <c r="Z53" s="587">
        <f>VLOOKUP(C53,每日行情!A:E,5,FALSE)</f>
        <v/>
      </c>
      <c r="AA53" s="588">
        <f>IF(I53="",((TODAY()-A53)*G53)/365.24,((I53-A53)*G53)/365.24)</f>
        <v/>
      </c>
      <c r="AB53" s="588" t="inlineStr">
        <is>
          <t>台股</t>
        </is>
      </c>
    </row>
    <row r="54">
      <c r="A54" s="99" t="n">
        <v>46126</v>
      </c>
      <c r="B54" s="11" t="n"/>
      <c r="C54" s="11" t="n">
        <v>56</v>
      </c>
      <c r="D54" s="163">
        <f>VLOOKUP(C54,每日行情!A:B,2,FALSE)</f>
        <v/>
      </c>
      <c r="E54" s="11" t="n">
        <v>2000</v>
      </c>
      <c r="F54" s="11" t="n">
        <v>39.98</v>
      </c>
      <c r="G54" s="583">
        <f>E54*F54</f>
        <v/>
      </c>
      <c r="H54" s="11" t="n">
        <v>68</v>
      </c>
      <c r="I54" s="99" t="n">
        <v>46134</v>
      </c>
      <c r="J54" s="16" t="n">
        <v>42.3</v>
      </c>
      <c r="K54" s="11">
        <f>E54*J54</f>
        <v/>
      </c>
      <c r="L54" s="11" t="n">
        <v>72</v>
      </c>
      <c r="M54" s="11" t="n">
        <v>84</v>
      </c>
      <c r="N54" s="11" t="n"/>
      <c r="O54" s="584">
        <f>IF(I54="",E54*Y54,0)</f>
        <v/>
      </c>
      <c r="P54" s="585">
        <f>IF(I54="",R54-H54,(K54-H54-SUM(L54:N54)+R54-S54-T54)-G54)+(ROUND(R54*V54,0)-ROUND(R54*(1+V54),0)*W54)</f>
        <v/>
      </c>
      <c r="Q54" s="585">
        <f>IF(I54="",(O54-G54-(O54*0.1425%*0.65)-(O54*0.3%)-S54-T54),0)</f>
        <v/>
      </c>
      <c r="R54" s="585" t="n"/>
      <c r="S54" s="585" t="n"/>
      <c r="T54" s="585" t="n"/>
      <c r="U54" s="65">
        <f>(V54*50%)/(1+50%*V54)</f>
        <v/>
      </c>
      <c r="V54" s="65" t="n"/>
      <c r="W54" s="66" t="n">
        <v>0.11</v>
      </c>
      <c r="X54" s="586">
        <f>(P54+Q54)/G54</f>
        <v/>
      </c>
      <c r="Y54" s="16">
        <f>VLOOKUP(C54,每日行情!A:D,4,FALSE)</f>
        <v/>
      </c>
      <c r="Z54" s="587">
        <f>VLOOKUP(C54,每日行情!A:E,5,FALSE)</f>
        <v/>
      </c>
      <c r="AA54" s="588">
        <f>IF(I54="",((TODAY()-A54)*G54)/365.24,((I54-A54)*G54)/365.24)</f>
        <v/>
      </c>
      <c r="AB54" s="588" t="inlineStr">
        <is>
          <t>台股 ETF</t>
        </is>
      </c>
    </row>
    <row r="55">
      <c r="A55" s="99" t="n">
        <v>46126</v>
      </c>
      <c r="B55" s="11" t="n"/>
      <c r="C55" s="11" t="n">
        <v>900</v>
      </c>
      <c r="D55" s="163">
        <f>VLOOKUP(C55,每日行情!A:B,2,FALSE)</f>
        <v/>
      </c>
      <c r="E55" s="11" t="n">
        <v>1000</v>
      </c>
      <c r="F55" s="11" t="n">
        <v>14.72</v>
      </c>
      <c r="G55" s="583">
        <f>E55*F55</f>
        <v/>
      </c>
      <c r="H55" s="11" t="n">
        <v>20</v>
      </c>
      <c r="I55" s="99" t="n">
        <v>46128</v>
      </c>
      <c r="J55" s="16" t="n">
        <v>15.05</v>
      </c>
      <c r="K55" s="11">
        <f>E55*J55</f>
        <v/>
      </c>
      <c r="L55" s="11" t="n">
        <v>13</v>
      </c>
      <c r="M55" s="11" t="n">
        <v>15</v>
      </c>
      <c r="N55" s="11" t="n"/>
      <c r="O55" s="584">
        <f>IF(I55="",E55*Y55,0)</f>
        <v/>
      </c>
      <c r="P55" s="585">
        <f>IF(I55="",R55-H55,(K55-H55-SUM(L55:N55)+R55-S55-T55)-G55)+(ROUND(R55*V55,0)-ROUND(R55*(1+V55),0)*W55)</f>
        <v/>
      </c>
      <c r="Q55" s="585">
        <f>IF(I55="",(O55-G55-(O55*0.1425%*0.65)-(O55*0.3%)-S55-T55),0)</f>
        <v/>
      </c>
      <c r="R55" s="585" t="n"/>
      <c r="S55" s="585" t="n"/>
      <c r="T55" s="585" t="n"/>
      <c r="U55" s="65">
        <f>(V55*50%)/(1+50%*V55)</f>
        <v/>
      </c>
      <c r="V55" s="65" t="n"/>
      <c r="W55" s="66" t="n">
        <v>0.11</v>
      </c>
      <c r="X55" s="586">
        <f>(P55+Q55)/G55</f>
        <v/>
      </c>
      <c r="Y55" s="16">
        <f>VLOOKUP(C55,每日行情!A:D,4,FALSE)</f>
        <v/>
      </c>
      <c r="Z55" s="587">
        <f>VLOOKUP(C55,每日行情!A:E,5,FALSE)</f>
        <v/>
      </c>
      <c r="AA55" s="588">
        <f>IF(I55="",((TODAY()-A55)*G55)/365.24,((I55-A55)*G55)/365.24)</f>
        <v/>
      </c>
      <c r="AB55" s="588" t="inlineStr">
        <is>
          <t>台股 ETF</t>
        </is>
      </c>
    </row>
    <row r="56">
      <c r="A56" s="99" t="n">
        <v>46126</v>
      </c>
      <c r="B56" s="11" t="n"/>
      <c r="C56" s="11" t="n">
        <v>900</v>
      </c>
      <c r="D56" s="163">
        <f>VLOOKUP(C56,每日行情!A:B,2,FALSE)</f>
        <v/>
      </c>
      <c r="E56" s="11" t="n">
        <v>1000</v>
      </c>
      <c r="F56" s="11" t="n">
        <v>14.73</v>
      </c>
      <c r="G56" s="583">
        <f>E56*F56</f>
        <v/>
      </c>
      <c r="H56" s="11" t="n">
        <v>20</v>
      </c>
      <c r="I56" s="99" t="n">
        <v>46128</v>
      </c>
      <c r="J56" s="16" t="n">
        <v>15.05</v>
      </c>
      <c r="K56" s="11">
        <f>E56*J56</f>
        <v/>
      </c>
      <c r="L56" s="11" t="n">
        <v>13</v>
      </c>
      <c r="M56" s="11" t="n">
        <v>15</v>
      </c>
      <c r="N56" s="11" t="n"/>
      <c r="O56" s="584">
        <f>IF(I56="",E56*Y56,0)</f>
        <v/>
      </c>
      <c r="P56" s="585">
        <f>IF(I56="",R56-H56,(K56-H56-SUM(L56:N56)+R56-S56-T56)-G56)+(ROUND(R56*V56,0)-ROUND(R56*(1+V56),0)*W56)</f>
        <v/>
      </c>
      <c r="Q56" s="585">
        <f>IF(I56="",(O56-G56-(O56*0.1425%*0.65)-(O56*0.3%)-S56-T56),0)</f>
        <v/>
      </c>
      <c r="R56" s="585" t="n"/>
      <c r="S56" s="585" t="n"/>
      <c r="T56" s="585" t="n"/>
      <c r="U56" s="65">
        <f>(V56*50%)/(1+50%*V56)</f>
        <v/>
      </c>
      <c r="V56" s="65" t="n"/>
      <c r="W56" s="66" t="n">
        <v>0.11</v>
      </c>
      <c r="X56" s="586">
        <f>(P56+Q56)/G56</f>
        <v/>
      </c>
      <c r="Y56" s="16">
        <f>VLOOKUP(C56,每日行情!A:D,4,FALSE)</f>
        <v/>
      </c>
      <c r="Z56" s="587">
        <f>VLOOKUP(C56,每日行情!A:E,5,FALSE)</f>
        <v/>
      </c>
      <c r="AA56" s="588">
        <f>IF(I56="",((TODAY()-A56)*G56)/365.24,((I56-A56)*G56)/365.24)</f>
        <v/>
      </c>
      <c r="AB56" s="588" t="inlineStr">
        <is>
          <t>台股 ETF</t>
        </is>
      </c>
    </row>
    <row r="57">
      <c r="A57" s="99" t="n">
        <v>46126</v>
      </c>
      <c r="B57" s="11" t="n"/>
      <c r="C57" s="478" t="n">
        <v>934</v>
      </c>
      <c r="D57" s="163">
        <f>VLOOKUP(C57,每日行情!A:B,2,FALSE)</f>
        <v/>
      </c>
      <c r="E57" s="11" t="n">
        <v>1000</v>
      </c>
      <c r="F57" s="11" t="n">
        <v>22.36</v>
      </c>
      <c r="G57" s="583">
        <f>E57*F57</f>
        <v/>
      </c>
      <c r="H57" s="11" t="n">
        <v>20</v>
      </c>
      <c r="I57" s="99" t="n">
        <v>46128</v>
      </c>
      <c r="J57" s="16" t="n">
        <v>22.92</v>
      </c>
      <c r="K57" s="11">
        <f>E57*J57</f>
        <v/>
      </c>
      <c r="L57" s="11" t="n">
        <v>20</v>
      </c>
      <c r="M57" s="11" t="n">
        <v>22</v>
      </c>
      <c r="N57" s="11" t="n"/>
      <c r="O57" s="584">
        <f>IF(I57="",E57*Y57,0)</f>
        <v/>
      </c>
      <c r="P57" s="585">
        <f>IF(I57="",R57-H57,(K57-H57-SUM(L57:N57)+R57-S57-T57)-G57)+(ROUND(R57*V57,0)-ROUND(R57*(1+V57),0)*W57)</f>
        <v/>
      </c>
      <c r="Q57" s="585">
        <f>IF(I57="",(O57-G57-(O57*0.1425%*0.65)-(O57*0.3%)-S57-T57),0)</f>
        <v/>
      </c>
      <c r="R57" s="585" t="n"/>
      <c r="S57" s="585" t="n"/>
      <c r="T57" s="585" t="n"/>
      <c r="U57" s="65">
        <f>(V57*50%)/(1+50%*V57)</f>
        <v/>
      </c>
      <c r="V57" s="65" t="n"/>
      <c r="W57" s="66" t="n">
        <v>0.11</v>
      </c>
      <c r="X57" s="586">
        <f>(P57+Q57)/G57</f>
        <v/>
      </c>
      <c r="Y57" s="16">
        <f>VLOOKUP(C57,每日行情!A:D,4,FALSE)</f>
        <v/>
      </c>
      <c r="Z57" s="587">
        <f>VLOOKUP(C57,每日行情!A:E,5,FALSE)</f>
        <v/>
      </c>
      <c r="AA57" s="588">
        <f>IF(I57="",((TODAY()-A57)*G57)/365.24,((I57-A57)*G57)/365.24)</f>
        <v/>
      </c>
      <c r="AB57" s="588" t="inlineStr">
        <is>
          <t>台股 ETF</t>
        </is>
      </c>
    </row>
    <row r="58">
      <c r="A58" s="99" t="n">
        <v>46126</v>
      </c>
      <c r="B58" s="11" t="n"/>
      <c r="C58" s="11" t="n">
        <v>936</v>
      </c>
      <c r="D58" s="163">
        <f>VLOOKUP(C58,每日行情!A:B,2,FALSE)</f>
        <v/>
      </c>
      <c r="E58" s="11" t="n">
        <v>1000</v>
      </c>
      <c r="F58" s="11" t="n">
        <v>18.04</v>
      </c>
      <c r="G58" s="583">
        <f>E58*F58</f>
        <v/>
      </c>
      <c r="H58" s="11" t="n">
        <v>20</v>
      </c>
      <c r="I58" s="99" t="n">
        <v>46128</v>
      </c>
      <c r="J58" s="16" t="n">
        <v>18.37</v>
      </c>
      <c r="K58" s="11">
        <f>E58*J58</f>
        <v/>
      </c>
      <c r="L58" s="11" t="n">
        <v>20</v>
      </c>
      <c r="M58" s="11" t="n">
        <v>18</v>
      </c>
      <c r="N58" s="11" t="n"/>
      <c r="O58" s="584">
        <f>IF(I58="",E58*Y58,0)</f>
        <v/>
      </c>
      <c r="P58" s="585">
        <f>IF(I58="",R58-H58,(K58-H58-SUM(L58:N58)+R58-S58-T58)-G58)+(ROUND(R58*V58,0)-ROUND(R58*(1+V58),0)*W58)</f>
        <v/>
      </c>
      <c r="Q58" s="585">
        <f>IF(I58="",(O58-G58-(O58*0.1425%*0.65)-(O58*0.3%)-S58-T58),0)</f>
        <v/>
      </c>
      <c r="R58" s="585" t="n"/>
      <c r="S58" s="585" t="n"/>
      <c r="T58" s="585" t="n"/>
      <c r="U58" s="65">
        <f>(V58*50%)/(1+50%*V58)</f>
        <v/>
      </c>
      <c r="V58" s="65" t="n"/>
      <c r="W58" s="66" t="n">
        <v>0.11</v>
      </c>
      <c r="X58" s="586">
        <f>(P58+Q58)/G58</f>
        <v/>
      </c>
      <c r="Y58" s="16">
        <f>VLOOKUP(C58,每日行情!A:D,4,FALSE)</f>
        <v/>
      </c>
      <c r="Z58" s="587">
        <f>VLOOKUP(C58,每日行情!A:E,5,FALSE)</f>
        <v/>
      </c>
      <c r="AA58" s="588">
        <f>IF(I58="",((TODAY()-A58)*G58)/365.24,((I58-A58)*G58)/365.24)</f>
        <v/>
      </c>
      <c r="AB58" s="588" t="inlineStr">
        <is>
          <t>台股 ETF</t>
        </is>
      </c>
    </row>
    <row r="59">
      <c r="A59" s="99" t="n">
        <v>46126</v>
      </c>
      <c r="B59" s="11" t="n"/>
      <c r="C59" s="11" t="n">
        <v>944</v>
      </c>
      <c r="D59" s="163">
        <f>VLOOKUP(C59,每日行情!A:B,2,FALSE)</f>
        <v/>
      </c>
      <c r="E59" s="11" t="n">
        <v>1000</v>
      </c>
      <c r="F59" s="11" t="n">
        <v>16.4</v>
      </c>
      <c r="G59" s="583">
        <f>E59*F59</f>
        <v/>
      </c>
      <c r="H59" s="11" t="n">
        <v>20</v>
      </c>
      <c r="I59" s="99" t="n">
        <v>46128</v>
      </c>
      <c r="J59" s="16" t="n">
        <v>16.98</v>
      </c>
      <c r="K59" s="11">
        <f>E59*J59</f>
        <v/>
      </c>
      <c r="L59" s="11" t="n">
        <v>20</v>
      </c>
      <c r="M59" s="11" t="n">
        <v>16</v>
      </c>
      <c r="N59" s="11" t="n"/>
      <c r="O59" s="584">
        <f>IF(I59="",E59*Y59,0)</f>
        <v/>
      </c>
      <c r="P59" s="585">
        <f>IF(I59="",R59-H59,(K59-H59-SUM(L59:N59)+R59-S59-T59)-G59)+(ROUND(R59*V59,0)-ROUND(R59*(1+V59),0)*W59)</f>
        <v/>
      </c>
      <c r="Q59" s="585">
        <f>IF(I59="",(O59-G59-(O59*0.1425%*0.65)-(O59*0.3%)-S59-T59),0)</f>
        <v/>
      </c>
      <c r="R59" s="585" t="n"/>
      <c r="S59" s="585" t="n"/>
      <c r="T59" s="585" t="n"/>
      <c r="U59" s="65">
        <f>(V59*50%)/(1+50%*V59)</f>
        <v/>
      </c>
      <c r="V59" s="65" t="n"/>
      <c r="W59" s="66" t="n">
        <v>0.11</v>
      </c>
      <c r="X59" s="586">
        <f>(P59+Q59)/G59</f>
        <v/>
      </c>
      <c r="Y59" s="16">
        <f>VLOOKUP(C59,每日行情!A:D,4,FALSE)</f>
        <v/>
      </c>
      <c r="Z59" s="587">
        <f>VLOOKUP(C59,每日行情!A:E,5,FALSE)</f>
        <v/>
      </c>
      <c r="AA59" s="588">
        <f>IF(I59="",((TODAY()-A59)*G59)/365.24,((I59-A59)*G59)/365.24)</f>
        <v/>
      </c>
      <c r="AB59" s="588" t="inlineStr">
        <is>
          <t>台股 ETF</t>
        </is>
      </c>
    </row>
    <row r="60">
      <c r="A60" s="99" t="n">
        <v>46090</v>
      </c>
      <c r="B60" s="11" t="n"/>
      <c r="C60" s="11" t="n">
        <v>2609</v>
      </c>
      <c r="D60" s="163">
        <f>VLOOKUP(C60,每日行情!A:B,2,FALSE)</f>
        <v/>
      </c>
      <c r="E60" s="11" t="n">
        <v>1000</v>
      </c>
      <c r="F60" s="11" t="n">
        <v>61.09</v>
      </c>
      <c r="G60" s="583">
        <f>E60*F60</f>
        <v/>
      </c>
      <c r="H60" s="11" t="n">
        <v>52</v>
      </c>
      <c r="I60" s="99" t="n">
        <v>46153</v>
      </c>
      <c r="J60" s="16" t="n">
        <v>50.3</v>
      </c>
      <c r="K60" s="11">
        <f>E60*J60</f>
        <v/>
      </c>
      <c r="L60" s="11" t="n">
        <v>43</v>
      </c>
      <c r="M60" s="11" t="n">
        <v>150</v>
      </c>
      <c r="N60" s="11" t="n"/>
      <c r="O60" s="584">
        <f>IF(I60="",E60*Y60,0)</f>
        <v/>
      </c>
      <c r="P60" s="585">
        <f>IF(I60="",R60-H60,(K60-H60-SUM(L60:N60)+R60-S60-T60)-G60)+(ROUND(R60*V60,0)-ROUND(R60*(1+V60),0)*W60)</f>
        <v/>
      </c>
      <c r="Q60" s="585">
        <f>IF(I60="",(O60-G60-(O60*0.1425%*0.65)-(O60*0.3%)-S60-T60),0)</f>
        <v/>
      </c>
      <c r="R60" s="585" t="n"/>
      <c r="S60" s="585" t="n"/>
      <c r="T60" s="585" t="n"/>
      <c r="U60" s="65">
        <f>(V60*50%)/(1+50%*V60)</f>
        <v/>
      </c>
      <c r="V60" s="65" t="n"/>
      <c r="W60" s="66" t="n">
        <v>0.11</v>
      </c>
      <c r="X60" s="586">
        <f>(P60+Q60)/G60</f>
        <v/>
      </c>
      <c r="Y60" s="16">
        <f>VLOOKUP(C60,每日行情!A:D,4,FALSE)</f>
        <v/>
      </c>
      <c r="Z60" s="587">
        <f>VLOOKUP(C60,每日行情!A:E,5,FALSE)</f>
        <v/>
      </c>
      <c r="AA60" s="588">
        <f>IF(I60="",((TODAY()-A60)*G60)/365.24,((I60-A60)*G60)/365.24)</f>
        <v/>
      </c>
      <c r="AB60" s="588" t="inlineStr">
        <is>
          <t>台股</t>
        </is>
      </c>
    </row>
    <row r="61">
      <c r="A61" s="99" t="n">
        <v>46149</v>
      </c>
      <c r="B61" s="11" t="n"/>
      <c r="C61" s="11" t="n">
        <v>4938</v>
      </c>
      <c r="D61" s="163">
        <f>VLOOKUP(C61,每日行情!A:B,2,FALSE)</f>
        <v/>
      </c>
      <c r="E61" s="11" t="n">
        <v>1000</v>
      </c>
      <c r="F61" s="11" t="n">
        <v>83.90000000000001</v>
      </c>
      <c r="G61" s="583">
        <f>E61*F61</f>
        <v/>
      </c>
      <c r="H61" s="11" t="n">
        <v>71</v>
      </c>
      <c r="I61" s="99" t="n">
        <v>46156</v>
      </c>
      <c r="J61" s="16" t="n">
        <v>76.7</v>
      </c>
      <c r="K61" s="11">
        <f>E61*J61</f>
        <v/>
      </c>
      <c r="L61" s="11" t="n">
        <v>65</v>
      </c>
      <c r="M61" s="11">
        <f>ROUND(J61*E61*0.3%,0)</f>
        <v/>
      </c>
      <c r="N61" s="11" t="n"/>
      <c r="O61" s="584">
        <f>IF(I61="",E61*Y61,0)</f>
        <v/>
      </c>
      <c r="P61" s="585">
        <f>IF(I61="",R61-H61,(K61-H61-SUM(L61:N61)+R61-S61-T61)-G61)+(ROUND(R61*V61,0)-ROUND(R61*(1+V61),0)*W61)</f>
        <v/>
      </c>
      <c r="Q61" s="585">
        <f>IF(I61="",(O61-G61-(O61*0.1425%*0.65)-(O61*0.3%)-S61-T61),0)</f>
        <v/>
      </c>
      <c r="R61" s="585" t="n"/>
      <c r="S61" s="585" t="n"/>
      <c r="T61" s="585" t="n"/>
      <c r="U61" s="65">
        <f>(V61*50%)/(1+50%*V61)</f>
        <v/>
      </c>
      <c r="V61" s="65" t="n"/>
      <c r="W61" s="66" t="n">
        <v>0.11</v>
      </c>
      <c r="X61" s="586">
        <f>(P61+Q61)/G61</f>
        <v/>
      </c>
      <c r="Y61" s="16">
        <f>VLOOKUP(C61,每日行情!A:D,4,FALSE)</f>
        <v/>
      </c>
      <c r="Z61" s="587">
        <f>VLOOKUP(C61,每日行情!A:E,5,FALSE)</f>
        <v/>
      </c>
      <c r="AA61" s="588">
        <f>IF(I61="",((TODAY()-A61)*G61)/365.24,((I61-A61)*G61)/365.24)</f>
        <v/>
      </c>
      <c r="AB61" s="588" t="inlineStr">
        <is>
          <t>台股</t>
        </is>
      </c>
      <c r="AC61" s="213" t="n"/>
      <c r="AD61" s="200" t="n"/>
    </row>
    <row r="62">
      <c r="A62" s="99" t="n">
        <v>46157</v>
      </c>
      <c r="B62" s="11" t="n"/>
      <c r="C62" s="11" t="n">
        <v>944</v>
      </c>
      <c r="D62" s="163">
        <f>VLOOKUP(C62,每日行情!A:B,2,FALSE)</f>
        <v/>
      </c>
      <c r="E62" s="11" t="n">
        <v>1000</v>
      </c>
      <c r="F62" s="11" t="n">
        <v>18.83</v>
      </c>
      <c r="G62" s="583">
        <f>E62*F62</f>
        <v/>
      </c>
      <c r="H62" s="11" t="n">
        <v>20</v>
      </c>
      <c r="I62" s="99" t="n">
        <v>46169</v>
      </c>
      <c r="J62" s="16" t="n">
        <v>19.57</v>
      </c>
      <c r="K62" s="11">
        <f>E62*J62</f>
        <v/>
      </c>
      <c r="L62" s="11" t="n">
        <v>20</v>
      </c>
      <c r="M62" s="11" t="n">
        <v>19</v>
      </c>
      <c r="N62" s="11" t="n"/>
      <c r="O62" s="584">
        <f>IF(I62="",E62*Y62,0)</f>
        <v/>
      </c>
      <c r="P62" s="585">
        <f>IF(I62="",R62-H62,(K62-H62-SUM(L62:N62)+R62-S62-T62)-G62)+(ROUND(R62*V62,0)-ROUND(R62*(1+V62),0)*W62)</f>
        <v/>
      </c>
      <c r="Q62" s="585">
        <f>IF(I62="",(O62-G62-(O62*0.1425%*0.65)-(O62*0.3%)-S62-T62),0)</f>
        <v/>
      </c>
      <c r="R62" s="585" t="n">
        <v>660</v>
      </c>
      <c r="S62" s="585" t="n"/>
      <c r="T62" s="585" t="n"/>
      <c r="U62" s="65">
        <f>(V62*50%)/(1+50%*V62)</f>
        <v/>
      </c>
      <c r="V62" s="65" t="n"/>
      <c r="W62" s="66" t="n">
        <v>0.11</v>
      </c>
      <c r="X62" s="586">
        <f>(P62+Q62)/G62</f>
        <v/>
      </c>
      <c r="Y62" s="16">
        <f>VLOOKUP(C62,每日行情!A:D,4,FALSE)</f>
        <v/>
      </c>
      <c r="Z62" s="587">
        <f>VLOOKUP(C62,每日行情!A:E,5,FALSE)</f>
        <v/>
      </c>
      <c r="AA62" s="588">
        <f>IF(I62="",((TODAY()-A62)*G62)/365.24,((I62-A62)*G62)/365.24)</f>
        <v/>
      </c>
      <c r="AB62" s="588" t="inlineStr">
        <is>
          <t>台股 ETF</t>
        </is>
      </c>
      <c r="AC62" s="213" t="n"/>
      <c r="AD62" s="200" t="n"/>
    </row>
    <row r="63">
      <c r="A63" s="99" t="n">
        <v>46157</v>
      </c>
      <c r="B63" s="11" t="n"/>
      <c r="C63" s="11" t="n">
        <v>934</v>
      </c>
      <c r="D63" s="163">
        <f>VLOOKUP(C63,每日行情!A:B,2,FALSE)</f>
        <v/>
      </c>
      <c r="E63" s="11" t="n">
        <v>1000</v>
      </c>
      <c r="F63" s="11" t="n">
        <v>25.39</v>
      </c>
      <c r="G63" s="583">
        <f>E63*F63</f>
        <v/>
      </c>
      <c r="H63" s="11" t="n">
        <v>21</v>
      </c>
      <c r="I63" s="99" t="n">
        <v>46169</v>
      </c>
      <c r="J63" s="16" t="n">
        <v>26.92</v>
      </c>
      <c r="K63" s="11">
        <f>E63*J63</f>
        <v/>
      </c>
      <c r="L63" s="11" t="n">
        <v>23</v>
      </c>
      <c r="M63" s="11" t="n">
        <v>26</v>
      </c>
      <c r="N63" s="11" t="n"/>
      <c r="O63" s="584">
        <f>IF(I63="",E63*Y63,0)</f>
        <v/>
      </c>
      <c r="P63" s="585">
        <f>IF(I63="",R63-H63,(K63-H63-SUM(L63:N63)+R63-S63-T63)-G63)+(ROUND(R63*V63,0)-ROUND(R63*(1+V63),0)*W63)</f>
        <v/>
      </c>
      <c r="Q63" s="585">
        <f>IF(I63="",(O63-G63-(O63*0.1425%*0.65)-(O63*0.3%)-S63-T63),0)</f>
        <v/>
      </c>
      <c r="R63" s="585" t="n">
        <v>250</v>
      </c>
      <c r="S63" s="585" t="n"/>
      <c r="T63" s="585" t="n"/>
      <c r="U63" s="65">
        <f>(V63*50%)/(1+50%*V63)</f>
        <v/>
      </c>
      <c r="V63" s="65" t="n"/>
      <c r="W63" s="66" t="n">
        <v>0.11</v>
      </c>
      <c r="X63" s="586">
        <f>(P63+Q63)/G63</f>
        <v/>
      </c>
      <c r="Y63" s="16">
        <f>VLOOKUP(C63,每日行情!A:D,4,FALSE)</f>
        <v/>
      </c>
      <c r="Z63" s="587">
        <f>VLOOKUP(C63,每日行情!A:E,5,FALSE)</f>
        <v/>
      </c>
      <c r="AA63" s="588">
        <f>IF(I63="",((TODAY()-A63)*G63)/365.24,((I63-A63)*G63)/365.24)</f>
        <v/>
      </c>
      <c r="AB63" s="588" t="inlineStr">
        <is>
          <t>台股 ETF</t>
        </is>
      </c>
      <c r="AC63" s="213" t="n"/>
      <c r="AD63" s="200" t="n"/>
    </row>
    <row r="64">
      <c r="A64" s="99" t="n">
        <v>46157</v>
      </c>
      <c r="B64" s="11" t="n"/>
      <c r="C64" s="522" t="n">
        <v>878</v>
      </c>
      <c r="D64" s="163">
        <f>VLOOKUP(C64,每日行情!A:B,2,FALSE)</f>
        <v/>
      </c>
      <c r="E64" s="11" t="n">
        <v>1000</v>
      </c>
      <c r="F64" s="11" t="n">
        <v>28.2</v>
      </c>
      <c r="G64" s="583">
        <f>E64*F64</f>
        <v/>
      </c>
      <c r="H64" s="11" t="n">
        <v>24</v>
      </c>
      <c r="I64" s="99" t="n">
        <v>46169</v>
      </c>
      <c r="J64" s="16" t="n">
        <v>29.7</v>
      </c>
      <c r="K64" s="11">
        <f>E64*J64</f>
        <v/>
      </c>
      <c r="L64" s="11" t="n">
        <v>25</v>
      </c>
      <c r="M64" s="11" t="n">
        <v>29</v>
      </c>
      <c r="N64" s="11" t="n"/>
      <c r="O64" s="584">
        <f>IF(I64="",E64*Y64,0)</f>
        <v/>
      </c>
      <c r="P64" s="585">
        <f>IF(I64="",R64-H64,(K64-H64-SUM(L64:N64)+R64-S64-T64)-G64)+(ROUND(R64*V64,0)-ROUND(R64*(1+V64),0)*W64)</f>
        <v/>
      </c>
      <c r="Q64" s="585">
        <f>IF(I64="",(O64-G64-(O64*0.1425%*0.65)-(O64*0.3%)-S64-T64),0)</f>
        <v/>
      </c>
      <c r="R64" s="585" t="n">
        <v>54</v>
      </c>
      <c r="S64" s="585" t="n"/>
      <c r="T64" s="585" t="n"/>
      <c r="U64" s="65">
        <f>(V64*50%)/(1+50%*V64)</f>
        <v/>
      </c>
      <c r="V64" s="65" t="n"/>
      <c r="W64" s="66" t="n">
        <v>0.11</v>
      </c>
      <c r="X64" s="586">
        <f>(P64+Q64)/G64</f>
        <v/>
      </c>
      <c r="Y64" s="16">
        <f>VLOOKUP(C64,每日行情!A:D,4,FALSE)</f>
        <v/>
      </c>
      <c r="Z64" s="587">
        <f>VLOOKUP(C64,每日行情!A:E,5,FALSE)</f>
        <v/>
      </c>
      <c r="AA64" s="588">
        <f>IF(I64="",((TODAY()-A64)*G64)/365.24,((I64-A64)*G64)/365.24)</f>
        <v/>
      </c>
      <c r="AB64" s="588" t="inlineStr">
        <is>
          <t>台股 ETF</t>
        </is>
      </c>
      <c r="AC64" s="213" t="n"/>
      <c r="AD64" s="200" t="n"/>
    </row>
    <row r="65">
      <c r="A65" s="95" t="n"/>
      <c r="B65" s="11" t="n"/>
      <c r="C65" s="11" t="n"/>
      <c r="D65" s="163" t="n"/>
      <c r="E65" s="11" t="n"/>
      <c r="F65" s="11" t="n"/>
      <c r="G65" s="11" t="n"/>
      <c r="H65" s="11" t="n"/>
      <c r="I65" s="99" t="n"/>
      <c r="J65" s="16" t="n"/>
      <c r="K65" s="11" t="n"/>
      <c r="L65" s="17" t="n"/>
      <c r="M65" s="11" t="n"/>
      <c r="N65" s="11" t="n"/>
      <c r="O65" s="584" t="n"/>
      <c r="P65" s="585" t="n"/>
      <c r="Q65" s="585" t="n"/>
      <c r="R65" s="585" t="n"/>
      <c r="S65" s="585" t="n"/>
      <c r="T65" s="585" t="n"/>
      <c r="U65" s="65" t="n"/>
      <c r="V65" s="65" t="n"/>
      <c r="W65" s="66" t="n"/>
      <c r="X65" s="586" t="n"/>
      <c r="Y65" s="16" t="n"/>
      <c r="Z65" s="587" t="n"/>
      <c r="AA65" s="588" t="n"/>
      <c r="AB65" s="588" t="n"/>
    </row>
    <row r="66">
      <c r="A66" s="39" t="n"/>
      <c r="B66" s="40" t="n"/>
      <c r="C66" s="40" t="n"/>
      <c r="D66" s="165" t="n"/>
      <c r="E66" s="40" t="n"/>
      <c r="F66" s="40" t="n"/>
      <c r="G66" s="40" t="n"/>
      <c r="H66" s="40" t="n"/>
      <c r="I66" s="41" t="n"/>
      <c r="J66" s="42" t="n"/>
      <c r="K66" s="40" t="n"/>
      <c r="L66" s="589" t="n"/>
      <c r="M66" s="40" t="n"/>
      <c r="N66" s="40" t="n"/>
      <c r="O66" s="590" t="n"/>
      <c r="P66" s="591" t="n"/>
      <c r="Q66" s="591" t="n"/>
      <c r="R66" s="591" t="n"/>
      <c r="S66" s="591" t="n"/>
      <c r="T66" s="591" t="n"/>
      <c r="U66" s="69" t="n"/>
      <c r="V66" s="69" t="n"/>
      <c r="W66" s="71" t="n"/>
      <c r="X66" s="592" t="n"/>
      <c r="Y66" s="42" t="n"/>
      <c r="Z66" s="47" t="n"/>
      <c r="AA66" s="588" t="n"/>
      <c r="AB66" s="588" t="n"/>
    </row>
    <row r="67">
      <c r="A67" s="10" t="n"/>
      <c r="B67" s="11" t="n"/>
      <c r="C67" s="11" t="n"/>
      <c r="D67" s="163" t="n"/>
      <c r="E67" s="11" t="n"/>
      <c r="F67" s="11" t="n"/>
      <c r="G67" s="11" t="n"/>
      <c r="H67" s="11" t="n"/>
      <c r="I67" s="12" t="n"/>
      <c r="J67" s="11" t="n"/>
      <c r="K67" s="11" t="n"/>
      <c r="L67" s="11" t="n"/>
      <c r="M67" s="11" t="n"/>
      <c r="N67" s="11" t="n"/>
      <c r="O67" s="584" t="n"/>
      <c r="P67" s="585" t="n"/>
      <c r="Q67" s="585" t="n"/>
      <c r="R67" s="585" t="n"/>
      <c r="S67" s="585" t="n"/>
      <c r="T67" s="585" t="n"/>
      <c r="U67" s="585" t="n"/>
      <c r="V67" s="65" t="n"/>
      <c r="W67" s="66" t="n"/>
      <c r="X67" s="586" t="n"/>
      <c r="Y67" s="16" t="n"/>
      <c r="Z67" s="587" t="n"/>
      <c r="AA67" s="588" t="n"/>
      <c r="AB67" s="588" t="n"/>
    </row>
    <row r="68" collapsed="1">
      <c r="A68" s="95" t="n">
        <v>45614</v>
      </c>
      <c r="B68" s="11" t="n"/>
      <c r="C68" s="11" t="n">
        <v>895</v>
      </c>
      <c r="D68" s="163">
        <f>VLOOKUP(C68,每日行情!A:B,2,FALSE)</f>
        <v/>
      </c>
      <c r="E68" s="11" t="n">
        <v>160</v>
      </c>
      <c r="F68" s="11" t="n">
        <v>31.12</v>
      </c>
      <c r="G68" s="583">
        <f>E68*F68</f>
        <v/>
      </c>
      <c r="H68" s="11" t="n">
        <v>1</v>
      </c>
      <c r="I68" s="99" t="n"/>
      <c r="J68" s="16" t="n"/>
      <c r="K68" s="11">
        <f>E68*J68</f>
        <v/>
      </c>
      <c r="L68" s="11">
        <f>ROUND(J68*E68*0.1425%,0)</f>
        <v/>
      </c>
      <c r="M68" s="11">
        <f>ROUND(J68*E68*0.3%,0)</f>
        <v/>
      </c>
      <c r="N68" s="11" t="n"/>
      <c r="O68" s="584">
        <f>IF(I68="",E68*Y68,0)</f>
        <v/>
      </c>
      <c r="P68" s="585">
        <f>IF(I68="",R68-H68,(K68-H68-SUM(L68:N68)+R68-S68-T68)-G68)+(ROUND(R68*V68,0)-ROUND(R68*(1+V68),0)*W68)</f>
        <v/>
      </c>
      <c r="Q68" s="585">
        <f>IF(I68="",(O68-G68-(O68*0.1425%*0.65)-(O68*0.3%)-S68-T68),0)</f>
        <v/>
      </c>
      <c r="R68" s="585" t="n"/>
      <c r="S68" s="585" t="n"/>
      <c r="T68" s="585" t="n"/>
      <c r="U68" s="65">
        <f>(V68*50%)/(1+50%*V68)</f>
        <v/>
      </c>
      <c r="V68" s="65" t="n"/>
      <c r="W68" s="66" t="n">
        <v>0.11</v>
      </c>
      <c r="X68" s="586">
        <f>(P68+Q68)/G68</f>
        <v/>
      </c>
      <c r="Y68" s="16">
        <f>VLOOKUP(C68,每日行情!A:D,4,FALSE)</f>
        <v/>
      </c>
      <c r="Z68" s="587">
        <f>VLOOKUP(C68,每日行情!A:E,5,FALSE)</f>
        <v/>
      </c>
      <c r="AA68" s="588">
        <f>IF(I68="",((TODAY()-A68)*G68)/365.24,((I68-A68)*G68)/365.24)</f>
        <v/>
      </c>
      <c r="AB68" s="588" t="inlineStr">
        <is>
          <t>台股 ETF</t>
        </is>
      </c>
    </row>
    <row r="69" hidden="1" outlineLevel="1">
      <c r="A69" s="95" t="n">
        <v>45642</v>
      </c>
      <c r="B69" s="11" t="n"/>
      <c r="C69" s="11" t="n">
        <v>895</v>
      </c>
      <c r="D69" s="163">
        <f>VLOOKUP(C69,每日行情!A:B,2,FALSE)</f>
        <v/>
      </c>
      <c r="E69" s="11" t="n">
        <v>154</v>
      </c>
      <c r="F69" s="11" t="n">
        <v>32.37</v>
      </c>
      <c r="G69" s="583" t="n">
        <v>4984</v>
      </c>
      <c r="H69" s="11" t="n">
        <v>1</v>
      </c>
      <c r="I69" s="99" t="n"/>
      <c r="J69" s="16" t="n"/>
      <c r="K69" s="11">
        <f>E69*J69</f>
        <v/>
      </c>
      <c r="L69" s="11">
        <f>ROUND(J69*E69*0.1425%,0)</f>
        <v/>
      </c>
      <c r="M69" s="11">
        <f>ROUND(J69*E69*0.3%,0)</f>
        <v/>
      </c>
      <c r="N69" s="11" t="n"/>
      <c r="O69" s="584">
        <f>IF(I69="",E69*Y69,0)</f>
        <v/>
      </c>
      <c r="P69" s="585">
        <f>IF(I69="",R69-H69,(K69-H69-SUM(L69:N69)+R69-S69-T69)-G69)+(ROUND(R69*V69,0)-ROUND(R69*(1+V69),0)*W69)</f>
        <v/>
      </c>
      <c r="Q69" s="585">
        <f>IF(I69="",(O69-G69-(O69*0.1425%*0.65)-(O69*0.3%)-S69-T69),0)</f>
        <v/>
      </c>
      <c r="R69" s="585" t="n"/>
      <c r="S69" s="585" t="n"/>
      <c r="T69" s="585" t="n"/>
      <c r="U69" s="65">
        <f>(V69*50%)/(1+50%*V69)</f>
        <v/>
      </c>
      <c r="V69" s="65" t="n"/>
      <c r="W69" s="66" t="n">
        <v>0.11</v>
      </c>
      <c r="X69" s="586">
        <f>(P69+Q69)/G69</f>
        <v/>
      </c>
      <c r="Y69" s="16">
        <f>VLOOKUP(C69,每日行情!A:D,4,FALSE)</f>
        <v/>
      </c>
      <c r="Z69" s="587">
        <f>VLOOKUP(C69,每日行情!A:E,5,FALSE)</f>
        <v/>
      </c>
      <c r="AA69" s="588">
        <f>IF(I69="",((TODAY()-A69)*G69)/365.24,((I69-A69)*G69)/365.24)</f>
        <v/>
      </c>
      <c r="AB69" s="588" t="inlineStr">
        <is>
          <t>台股 ETF</t>
        </is>
      </c>
    </row>
    <row r="70" hidden="1" outlineLevel="1">
      <c r="A70" s="95" t="n">
        <v>45673</v>
      </c>
      <c r="B70" s="11" t="n"/>
      <c r="C70" s="11" t="n">
        <v>895</v>
      </c>
      <c r="D70" s="163">
        <f>VLOOKUP(C70,每日行情!A:B,2,FALSE)</f>
        <v/>
      </c>
      <c r="E70" s="11" t="n">
        <v>155</v>
      </c>
      <c r="F70" s="11" t="n">
        <v>32.2</v>
      </c>
      <c r="G70" s="583" t="n">
        <v>4991</v>
      </c>
      <c r="H70" s="11" t="n">
        <v>1</v>
      </c>
      <c r="I70" s="99" t="n"/>
      <c r="J70" s="16" t="n"/>
      <c r="K70" s="11">
        <f>E70*J70</f>
        <v/>
      </c>
      <c r="L70" s="11">
        <f>ROUND(J70*E70*0.1425%,0)</f>
        <v/>
      </c>
      <c r="M70" s="11">
        <f>ROUND(J70*E70*0.3%,0)</f>
        <v/>
      </c>
      <c r="N70" s="11" t="n"/>
      <c r="O70" s="584">
        <f>IF(I70="",E70*Y70,0)</f>
        <v/>
      </c>
      <c r="P70" s="585">
        <f>IF(I70="",R70-H70,(K70-H70-SUM(L70:N70)+R70-S70-T70)-G70)+(ROUND(R70*V70,0)-ROUND(R70*(1+V70),0)*W70)</f>
        <v/>
      </c>
      <c r="Q70" s="585">
        <f>IF(I70="",(O70-G70-(O70*0.1425%*0.65)-(O70*0.3%)-S70-T70),0)</f>
        <v/>
      </c>
      <c r="R70" s="585" t="n"/>
      <c r="S70" s="585" t="n"/>
      <c r="T70" s="585" t="n"/>
      <c r="U70" s="65">
        <f>(V70*50%)/(1+50%*V70)</f>
        <v/>
      </c>
      <c r="V70" s="65" t="n"/>
      <c r="W70" s="66" t="n">
        <v>0.11</v>
      </c>
      <c r="X70" s="586">
        <f>(P70+Q70)/G70</f>
        <v/>
      </c>
      <c r="Y70" s="16">
        <f>VLOOKUP(C70,每日行情!A:D,4,FALSE)</f>
        <v/>
      </c>
      <c r="Z70" s="587">
        <f>VLOOKUP(C70,每日行情!A:E,5,FALSE)</f>
        <v/>
      </c>
      <c r="AA70" s="588">
        <f>IF(I70="",((TODAY()-A70)*G70)/365.24,((I70-A70)*G70)/365.24)</f>
        <v/>
      </c>
      <c r="AB70" s="588" t="inlineStr">
        <is>
          <t>台股 ETF</t>
        </is>
      </c>
    </row>
    <row r="71" hidden="1" outlineLevel="1">
      <c r="A71" s="95" t="n">
        <v>45705</v>
      </c>
      <c r="B71" s="11" t="n"/>
      <c r="C71" s="11" t="n">
        <v>895</v>
      </c>
      <c r="D71" s="163">
        <f>VLOOKUP(C71,每日行情!A:B,2,FALSE)</f>
        <v/>
      </c>
      <c r="E71" s="11" t="n">
        <v>157</v>
      </c>
      <c r="F71" s="11" t="n">
        <v>31.68</v>
      </c>
      <c r="G71" s="583" t="n">
        <v>4973</v>
      </c>
      <c r="H71" s="11" t="n">
        <v>1</v>
      </c>
      <c r="I71" s="99" t="n"/>
      <c r="J71" s="16" t="n"/>
      <c r="K71" s="11">
        <f>E71*J71</f>
        <v/>
      </c>
      <c r="L71" s="11">
        <f>ROUND(J71*E71*0.1425%,0)</f>
        <v/>
      </c>
      <c r="M71" s="11">
        <f>ROUND(J71*E71*0.3%,0)</f>
        <v/>
      </c>
      <c r="N71" s="11" t="n"/>
      <c r="O71" s="584">
        <f>IF(I71="",E71*Y71,0)</f>
        <v/>
      </c>
      <c r="P71" s="585">
        <f>IF(I71="",R71-H71,(K71-H71-SUM(L71:N71)+R71-S71-T71)-G71)+(ROUND(R71*V71,0)-ROUND(R71*(1+V71),0)*W71)</f>
        <v/>
      </c>
      <c r="Q71" s="585">
        <f>IF(I71="",(O71-G71-(O71*0.1425%*0.65)-(O71*0.3%)-S71-T71),0)</f>
        <v/>
      </c>
      <c r="R71" s="585" t="n"/>
      <c r="S71" s="585" t="n"/>
      <c r="T71" s="585" t="n"/>
      <c r="U71" s="65">
        <f>(V71*50%)/(1+50%*V71)</f>
        <v/>
      </c>
      <c r="V71" s="65" t="n"/>
      <c r="W71" s="66" t="n">
        <v>0.11</v>
      </c>
      <c r="X71" s="586">
        <f>(P71+Q71)/G71</f>
        <v/>
      </c>
      <c r="Y71" s="16">
        <f>VLOOKUP(C71,每日行情!A:D,4,FALSE)</f>
        <v/>
      </c>
      <c r="Z71" s="587">
        <f>VLOOKUP(C71,每日行情!A:E,5,FALSE)</f>
        <v/>
      </c>
      <c r="AA71" s="588">
        <f>IF(I71="",((TODAY()-A71)*G71)/365.24,((I71-A71)*G71)/365.24)</f>
        <v/>
      </c>
      <c r="AB71" s="588" t="inlineStr">
        <is>
          <t>台股 ETF</t>
        </is>
      </c>
    </row>
    <row r="72" hidden="1" outlineLevel="1">
      <c r="A72" s="95" t="n">
        <v>45733</v>
      </c>
      <c r="B72" s="11" t="n"/>
      <c r="C72" s="11" t="n">
        <v>895</v>
      </c>
      <c r="D72" s="163">
        <f>VLOOKUP(C72,每日行情!A:B,2,FALSE)</f>
        <v/>
      </c>
      <c r="E72" s="11" t="n">
        <v>176</v>
      </c>
      <c r="F72" s="11" t="n">
        <v>28.3</v>
      </c>
      <c r="G72" s="583" t="n">
        <v>4980</v>
      </c>
      <c r="H72" s="11" t="n">
        <v>1</v>
      </c>
      <c r="I72" s="99" t="n"/>
      <c r="J72" s="16" t="n"/>
      <c r="K72" s="11">
        <f>E72*J72</f>
        <v/>
      </c>
      <c r="L72" s="11">
        <f>ROUND(J72*E72*0.1425%,0)</f>
        <v/>
      </c>
      <c r="M72" s="11">
        <f>ROUND(J72*E72*0.3%,0)</f>
        <v/>
      </c>
      <c r="N72" s="11" t="n"/>
      <c r="O72" s="584">
        <f>IF(I72="",E72*Y72,0)</f>
        <v/>
      </c>
      <c r="P72" s="585">
        <f>IF(I72="",R72-H72,(K72-H72-SUM(L72:N72)+R72-S72-T72)-G72)+(ROUND(R72*V72,0)-ROUND(R72*(1+V72),0)*W72)</f>
        <v/>
      </c>
      <c r="Q72" s="585">
        <f>IF(I72="",(O72-G72-(O72*0.1425%*0.65)-(O72*0.3%)-S72-T72),0)</f>
        <v/>
      </c>
      <c r="R72" s="585" t="n"/>
      <c r="S72" s="585" t="n"/>
      <c r="T72" s="585" t="n"/>
      <c r="U72" s="65">
        <f>(V72*50%)/(1+50%*V72)</f>
        <v/>
      </c>
      <c r="V72" s="65" t="n"/>
      <c r="W72" s="66" t="n">
        <v>0.11</v>
      </c>
      <c r="X72" s="586">
        <f>(P72+Q72)/G72</f>
        <v/>
      </c>
      <c r="Y72" s="16">
        <f>VLOOKUP(C72,每日行情!A:D,4,FALSE)</f>
        <v/>
      </c>
      <c r="Z72" s="587">
        <f>VLOOKUP(C72,每日行情!A:E,5,FALSE)</f>
        <v/>
      </c>
      <c r="AA72" s="588">
        <f>IF(I72="",((TODAY()-A72)*G72)/365.24,((I72-A72)*G72)/365.24)</f>
        <v/>
      </c>
      <c r="AB72" s="588" t="inlineStr">
        <is>
          <t>台股 ETF</t>
        </is>
      </c>
    </row>
    <row r="73" hidden="1" outlineLevel="1">
      <c r="A73" s="95" t="n">
        <v>45763</v>
      </c>
      <c r="B73" s="11" t="n"/>
      <c r="C73" s="11" t="n">
        <v>895</v>
      </c>
      <c r="D73" s="163">
        <f>VLOOKUP(C73,每日行情!A:B,2,FALSE)</f>
        <v/>
      </c>
      <c r="E73" s="11" t="n">
        <v>193</v>
      </c>
      <c r="F73" s="11" t="n">
        <v>25.84</v>
      </c>
      <c r="G73" s="583" t="n">
        <v>4987</v>
      </c>
      <c r="H73" s="11" t="n">
        <v>1</v>
      </c>
      <c r="I73" s="99" t="n"/>
      <c r="J73" s="16" t="n"/>
      <c r="K73" s="11">
        <f>E73*J73</f>
        <v/>
      </c>
      <c r="L73" s="11">
        <f>ROUND(J73*E73*0.1425%,0)</f>
        <v/>
      </c>
      <c r="M73" s="11">
        <f>ROUND(J73*E73*0.3%,0)</f>
        <v/>
      </c>
      <c r="N73" s="11" t="n"/>
      <c r="O73" s="584">
        <f>IF(I73="",E73*Y73,0)</f>
        <v/>
      </c>
      <c r="P73" s="585">
        <f>IF(I73="",R73-H73,(K73-H73-SUM(L73:N73)+R73-S73-T73)-G73)+(ROUND(R73*V73,0)-ROUND(R73*(1+V73),0)*W73)</f>
        <v/>
      </c>
      <c r="Q73" s="585">
        <f>IF(I73="",(O73-G73-(O73*0.1425%*0.65)-(O73*0.3%)-S73-T73),0)</f>
        <v/>
      </c>
      <c r="R73" s="585" t="n"/>
      <c r="S73" s="585" t="n"/>
      <c r="T73" s="585" t="n"/>
      <c r="U73" s="65">
        <f>(V73*50%)/(1+50%*V73)</f>
        <v/>
      </c>
      <c r="V73" s="65" t="n"/>
      <c r="W73" s="66" t="n">
        <v>0.11</v>
      </c>
      <c r="X73" s="586">
        <f>(P73+Q73)/G73</f>
        <v/>
      </c>
      <c r="Y73" s="16">
        <f>VLOOKUP(C73,每日行情!A:D,4,FALSE)</f>
        <v/>
      </c>
      <c r="Z73" s="587">
        <f>VLOOKUP(C73,每日行情!A:E,5,FALSE)</f>
        <v/>
      </c>
      <c r="AA73" s="588">
        <f>IF(I73="",((TODAY()-A73)*G73)/365.24,((I73-A73)*G73)/365.24)</f>
        <v/>
      </c>
      <c r="AB73" s="588" t="inlineStr">
        <is>
          <t>台股 ETF</t>
        </is>
      </c>
    </row>
    <row r="74" hidden="1" outlineLevel="1">
      <c r="A74" s="95" t="n">
        <v>45793</v>
      </c>
      <c r="B74" s="11" t="n"/>
      <c r="C74" s="11" t="n">
        <v>895</v>
      </c>
      <c r="D74" s="163">
        <f>VLOOKUP(C74,每日行情!A:B,2,FALSE)</f>
        <v/>
      </c>
      <c r="E74" s="11" t="n">
        <v>171</v>
      </c>
      <c r="F74" s="11" t="n">
        <v>29.12</v>
      </c>
      <c r="G74" s="583" t="n">
        <v>4979</v>
      </c>
      <c r="H74" s="11" t="n">
        <v>1</v>
      </c>
      <c r="I74" s="99" t="n"/>
      <c r="J74" s="16" t="n"/>
      <c r="K74" s="11">
        <f>E74*J74</f>
        <v/>
      </c>
      <c r="L74" s="11">
        <f>ROUND(J74*E74*0.1425%,0)</f>
        <v/>
      </c>
      <c r="M74" s="11">
        <f>ROUND(J74*E74*0.3%,0)</f>
        <v/>
      </c>
      <c r="N74" s="11" t="n"/>
      <c r="O74" s="584">
        <f>IF(I74="",E74*Y74,0)</f>
        <v/>
      </c>
      <c r="P74" s="585">
        <f>IF(I74="",R74-H74,(K74-H74-SUM(L74:N74)+R74-S74-T74)-G74)+(ROUND(R74*V74,0)-ROUND(R74*(1+V74),0)*W74)</f>
        <v/>
      </c>
      <c r="Q74" s="585">
        <f>IF(I74="",(O74-G74-(O74*0.1425%*0.65)-(O74*0.3%)-S74-T74),0)</f>
        <v/>
      </c>
      <c r="R74" s="585" t="n"/>
      <c r="S74" s="585" t="n"/>
      <c r="T74" s="585" t="n"/>
      <c r="U74" s="65">
        <f>(V74*50%)/(1+50%*V74)</f>
        <v/>
      </c>
      <c r="V74" s="65" t="n"/>
      <c r="W74" s="66" t="n">
        <v>0.11</v>
      </c>
      <c r="X74" s="586">
        <f>(P74+Q74)/G74</f>
        <v/>
      </c>
      <c r="Y74" s="16">
        <f>VLOOKUP(C74,每日行情!A:D,4,FALSE)</f>
        <v/>
      </c>
      <c r="Z74" s="587">
        <f>VLOOKUP(C74,每日行情!A:E,5,FALSE)</f>
        <v/>
      </c>
      <c r="AA74" s="588">
        <f>IF(I74="",((TODAY()-A74)*G74)/365.24,((I74-A74)*G74)/365.24)</f>
        <v/>
      </c>
      <c r="AB74" s="588" t="inlineStr">
        <is>
          <t>台股 ETF</t>
        </is>
      </c>
    </row>
    <row r="75" hidden="1" outlineLevel="1">
      <c r="A75" s="95" t="n">
        <v>45824</v>
      </c>
      <c r="B75" s="11" t="n"/>
      <c r="C75" s="11" t="n">
        <v>895</v>
      </c>
      <c r="D75" s="163">
        <f>VLOOKUP(C75,每日行情!A:B,2,FALSE)</f>
        <v/>
      </c>
      <c r="E75" s="11" t="n">
        <v>172</v>
      </c>
      <c r="F75" s="11" t="n">
        <v>29</v>
      </c>
      <c r="G75" s="583" t="n">
        <v>4988</v>
      </c>
      <c r="H75" s="11" t="n">
        <v>1</v>
      </c>
      <c r="I75" s="99" t="n"/>
      <c r="J75" s="16" t="n"/>
      <c r="K75" s="11">
        <f>E75*J75</f>
        <v/>
      </c>
      <c r="L75" s="11">
        <f>ROUND(J75*E75*0.1425%,0)</f>
        <v/>
      </c>
      <c r="M75" s="11">
        <f>ROUND(J75*E75*0.3%,0)</f>
        <v/>
      </c>
      <c r="N75" s="11" t="n"/>
      <c r="O75" s="584">
        <f>IF(I75="",E75*Y75,0)</f>
        <v/>
      </c>
      <c r="P75" s="585">
        <f>IF(I75="",R75-H75,(K75-H75-SUM(L75:N75)+R75-S75-T75)-G75)+(ROUND(R75*V75,0)-ROUND(R75*(1+V75),0)*W75)</f>
        <v/>
      </c>
      <c r="Q75" s="585">
        <f>IF(I75="",(O75-G75-(O75*0.1425%*0.65)-(O75*0.3%)-S75-T75),0)</f>
        <v/>
      </c>
      <c r="R75" s="585" t="n"/>
      <c r="S75" s="585" t="n"/>
      <c r="T75" s="585" t="n"/>
      <c r="U75" s="65">
        <f>(V75*50%)/(1+50%*V75)</f>
        <v/>
      </c>
      <c r="V75" s="65" t="n"/>
      <c r="W75" s="66" t="n">
        <v>0.11</v>
      </c>
      <c r="X75" s="586">
        <f>(P75+Q75)/G75</f>
        <v/>
      </c>
      <c r="Y75" s="16">
        <f>VLOOKUP(C75,每日行情!A:D,4,FALSE)</f>
        <v/>
      </c>
      <c r="Z75" s="587">
        <f>VLOOKUP(C75,每日行情!A:E,5,FALSE)</f>
        <v/>
      </c>
      <c r="AA75" s="588">
        <f>IF(I75="",((TODAY()-A75)*G75)/365.24,((I75-A75)*G75)/365.24)</f>
        <v/>
      </c>
      <c r="AB75" s="588" t="inlineStr">
        <is>
          <t>台股 ETF</t>
        </is>
      </c>
    </row>
    <row r="76" hidden="1" outlineLevel="1">
      <c r="A76" s="95" t="n">
        <v>45854</v>
      </c>
      <c r="B76" s="11" t="n"/>
      <c r="C76" s="11" t="n">
        <v>895</v>
      </c>
      <c r="D76" s="163">
        <f>VLOOKUP(C76,每日行情!A:B,2,FALSE)</f>
        <v/>
      </c>
      <c r="E76" s="11" t="n">
        <v>160</v>
      </c>
      <c r="F76" s="11" t="n">
        <v>31.14</v>
      </c>
      <c r="G76" s="583" t="n">
        <v>4982</v>
      </c>
      <c r="H76" s="11" t="n">
        <v>1</v>
      </c>
      <c r="I76" s="99" t="n"/>
      <c r="J76" s="16" t="n"/>
      <c r="K76" s="11">
        <f>E76*J76</f>
        <v/>
      </c>
      <c r="L76" s="11">
        <f>ROUND(J76*E76*0.1425%,0)</f>
        <v/>
      </c>
      <c r="M76" s="11">
        <f>ROUND(J76*E76*0.3%,0)</f>
        <v/>
      </c>
      <c r="N76" s="11" t="n"/>
      <c r="O76" s="584">
        <f>IF(I76="",E76*Y76,0)</f>
        <v/>
      </c>
      <c r="P76" s="585">
        <f>IF(I76="",R76-H76,(K76-H76-SUM(L76:N76)+R76-S76-T76)-G76)+(ROUND(R76*V76,0)-ROUND(R76*(1+V76),0)*W76)</f>
        <v/>
      </c>
      <c r="Q76" s="585">
        <f>IF(I76="",(O76-G76-(O76*0.1425%*0.65)-(O76*0.3%)-S76-T76),0)</f>
        <v/>
      </c>
      <c r="R76" s="585" t="n"/>
      <c r="S76" s="585" t="n"/>
      <c r="T76" s="585" t="n"/>
      <c r="U76" s="65">
        <f>(V76*50%)/(1+50%*V76)</f>
        <v/>
      </c>
      <c r="V76" s="65" t="n"/>
      <c r="W76" s="66" t="n">
        <v>0.11</v>
      </c>
      <c r="X76" s="586">
        <f>(P76+Q76)/G76</f>
        <v/>
      </c>
      <c r="Y76" s="16">
        <f>VLOOKUP(C76,每日行情!A:D,4,FALSE)</f>
        <v/>
      </c>
      <c r="Z76" s="587">
        <f>VLOOKUP(C76,每日行情!A:E,5,FALSE)</f>
        <v/>
      </c>
      <c r="AA76" s="588">
        <f>IF(I76="",((TODAY()-A76)*G76)/365.24,((I76-A76)*G76)/365.24)</f>
        <v/>
      </c>
      <c r="AB76" s="588" t="inlineStr">
        <is>
          <t>台股 ETF</t>
        </is>
      </c>
    </row>
    <row r="77" hidden="1" outlineLevel="1">
      <c r="A77" s="95" t="n">
        <v>45887</v>
      </c>
      <c r="B77" s="11" t="n"/>
      <c r="C77" s="11" t="n">
        <v>895</v>
      </c>
      <c r="D77" s="163">
        <f>VLOOKUP(C77,每日行情!A:B,2,FALSE)</f>
        <v/>
      </c>
      <c r="E77" s="11" t="n">
        <v>150</v>
      </c>
      <c r="F77" s="11" t="n">
        <v>33.15</v>
      </c>
      <c r="G77" s="583" t="n">
        <v>4972</v>
      </c>
      <c r="H77" s="11" t="n">
        <v>1</v>
      </c>
      <c r="I77" s="99" t="n"/>
      <c r="J77" s="16" t="n"/>
      <c r="K77" s="11">
        <f>E77*J77</f>
        <v/>
      </c>
      <c r="L77" s="11">
        <f>ROUND(J77*E77*0.1425%,0)</f>
        <v/>
      </c>
      <c r="M77" s="11">
        <f>ROUND(J77*E77*0.3%,0)</f>
        <v/>
      </c>
      <c r="N77" s="11" t="n"/>
      <c r="O77" s="584">
        <f>IF(I77="",E77*Y77,0)</f>
        <v/>
      </c>
      <c r="P77" s="585">
        <f>IF(I77="",R77-H77,(K77-H77-SUM(L77:N77)+R77-S77-T77)-G77)+(ROUND(R77*V77,0)-ROUND(R77*(1+V77),0)*W77)</f>
        <v/>
      </c>
      <c r="Q77" s="585">
        <f>IF(I77="",(O77-G77-(O77*0.1425%*0.65)-(O77*0.3%)-S77-T77),0)</f>
        <v/>
      </c>
      <c r="R77" s="585" t="n"/>
      <c r="S77" s="585" t="n"/>
      <c r="T77" s="585" t="n"/>
      <c r="U77" s="65">
        <f>(V77*50%)/(1+50%*V77)</f>
        <v/>
      </c>
      <c r="V77" s="65" t="n"/>
      <c r="W77" s="66" t="n">
        <v>0.11</v>
      </c>
      <c r="X77" s="586">
        <f>(P77+Q77)/G77</f>
        <v/>
      </c>
      <c r="Y77" s="16">
        <f>VLOOKUP(C77,每日行情!A:D,4,FALSE)</f>
        <v/>
      </c>
      <c r="Z77" s="587">
        <f>VLOOKUP(C77,每日行情!A:E,5,FALSE)</f>
        <v/>
      </c>
      <c r="AA77" s="588">
        <f>IF(I77="",((TODAY()-A77)*G77)/365.24,((I77-A77)*G77)/365.24)</f>
        <v/>
      </c>
      <c r="AB77" s="588" t="inlineStr">
        <is>
          <t>台股 ETF</t>
        </is>
      </c>
    </row>
    <row r="78" hidden="1" outlineLevel="1">
      <c r="A78" s="95" t="n">
        <v>45916</v>
      </c>
      <c r="B78" s="11" t="n"/>
      <c r="C78" s="11" t="n">
        <v>895</v>
      </c>
      <c r="D78" s="163">
        <f>VLOOKUP(C78,每日行情!A:B,2,FALSE)</f>
        <v/>
      </c>
      <c r="E78" s="11" t="n">
        <v>144</v>
      </c>
      <c r="F78" s="11" t="n">
        <v>34.64</v>
      </c>
      <c r="G78" s="583" t="n">
        <v>4988</v>
      </c>
      <c r="H78" s="11" t="n">
        <v>1</v>
      </c>
      <c r="I78" s="99" t="n"/>
      <c r="J78" s="16" t="n"/>
      <c r="K78" s="11">
        <f>E78*J78</f>
        <v/>
      </c>
      <c r="L78" s="11">
        <f>ROUND(J78*E78*0.1425%,0)</f>
        <v/>
      </c>
      <c r="M78" s="11">
        <f>ROUND(J78*E78*0.3%,0)</f>
        <v/>
      </c>
      <c r="N78" s="11" t="n"/>
      <c r="O78" s="584">
        <f>IF(I78="",E78*Y78,0)</f>
        <v/>
      </c>
      <c r="P78" s="585">
        <f>IF(I78="",R78-H78,(K78-H78-SUM(L78:N78)+R78-S78-T78)-G78)+(ROUND(R78*V78,0)-ROUND(R78*(1+V78),0)*W78)</f>
        <v/>
      </c>
      <c r="Q78" s="585">
        <f>IF(I78="",(O78-G78-(O78*0.1425%*0.65)-(O78*0.3%)-S78-T78),0)</f>
        <v/>
      </c>
      <c r="R78" s="585" t="n"/>
      <c r="S78" s="585" t="n"/>
      <c r="T78" s="585" t="n"/>
      <c r="U78" s="65">
        <f>(V78*50%)/(1+50%*V78)</f>
        <v/>
      </c>
      <c r="V78" s="65" t="n"/>
      <c r="W78" s="66" t="n">
        <v>0.11</v>
      </c>
      <c r="X78" s="586">
        <f>(P78+Q78)/G78</f>
        <v/>
      </c>
      <c r="Y78" s="16">
        <f>VLOOKUP(C78,每日行情!A:D,4,FALSE)</f>
        <v/>
      </c>
      <c r="Z78" s="587">
        <f>VLOOKUP(C78,每日行情!A:E,5,FALSE)</f>
        <v/>
      </c>
      <c r="AA78" s="588">
        <f>IF(I78="",((TODAY()-A78)*G78)/365.24,((I78-A78)*G78)/365.24)</f>
        <v/>
      </c>
      <c r="AB78" s="588" t="inlineStr">
        <is>
          <t>台股 ETF</t>
        </is>
      </c>
    </row>
    <row r="79" hidden="1" outlineLevel="1">
      <c r="A79" s="95" t="n">
        <v>45946</v>
      </c>
      <c r="B79" s="11" t="n"/>
      <c r="C79" s="11" t="n">
        <v>895</v>
      </c>
      <c r="D79" s="163">
        <f>VLOOKUP(C79,每日行情!A:B,2,FALSE)</f>
        <v/>
      </c>
      <c r="E79" s="11" t="n">
        <v>133</v>
      </c>
      <c r="F79" s="11" t="n">
        <v>37.43</v>
      </c>
      <c r="G79" s="583" t="n">
        <v>4978</v>
      </c>
      <c r="H79" s="11" t="n">
        <v>1</v>
      </c>
      <c r="I79" s="99" t="n"/>
      <c r="J79" s="16" t="n"/>
      <c r="K79" s="11">
        <f>E79*J79</f>
        <v/>
      </c>
      <c r="L79" s="11">
        <f>ROUND(J79*E79*0.1425%,0)</f>
        <v/>
      </c>
      <c r="M79" s="11">
        <f>ROUND(J79*E79*0.3%,0)</f>
        <v/>
      </c>
      <c r="N79" s="11" t="n"/>
      <c r="O79" s="584">
        <f>IF(I79="",E79*Y79,0)</f>
        <v/>
      </c>
      <c r="P79" s="585">
        <f>IF(I79="",R79-H79,(K79-H79-SUM(L79:N79)+R79-S79-T79)-G79)+(ROUND(R79*V79,0)-ROUND(R79*(1+V79),0)*W79)</f>
        <v/>
      </c>
      <c r="Q79" s="585">
        <f>IF(I79="",(O79-G79-(O79*0.1425%*0.65)-(O79*0.3%)-S79-T79),0)</f>
        <v/>
      </c>
      <c r="R79" s="585" t="n"/>
      <c r="S79" s="585" t="n"/>
      <c r="T79" s="585" t="n"/>
      <c r="U79" s="65">
        <f>(V79*50%)/(1+50%*V79)</f>
        <v/>
      </c>
      <c r="V79" s="65" t="n"/>
      <c r="W79" s="66" t="n">
        <v>0.11</v>
      </c>
      <c r="X79" s="586">
        <f>(P79+Q79)/G79</f>
        <v/>
      </c>
      <c r="Y79" s="16">
        <f>VLOOKUP(C79,每日行情!A:D,4,FALSE)</f>
        <v/>
      </c>
      <c r="Z79" s="587">
        <f>VLOOKUP(C79,每日行情!A:E,5,FALSE)</f>
        <v/>
      </c>
      <c r="AA79" s="588">
        <f>IF(I79="",((TODAY()-A79)*G79)/365.24,((I79-A79)*G79)/365.24)</f>
        <v/>
      </c>
      <c r="AB79" s="588" t="inlineStr">
        <is>
          <t>台股 ETF</t>
        </is>
      </c>
    </row>
    <row r="80" hidden="1" outlineLevel="1">
      <c r="A80" s="475" t="n">
        <v>45978</v>
      </c>
      <c r="B80" s="11" t="n"/>
      <c r="C80" s="11" t="n">
        <v>895</v>
      </c>
      <c r="D80" s="163">
        <f>VLOOKUP(C80,每日行情!A:B,2,FALSE)</f>
        <v/>
      </c>
      <c r="E80" s="11" t="n">
        <v>131</v>
      </c>
      <c r="F80" s="11" t="n">
        <v>38.04</v>
      </c>
      <c r="G80" s="583" t="n">
        <v>4983</v>
      </c>
      <c r="H80" s="11" t="n">
        <v>1</v>
      </c>
      <c r="I80" s="99" t="n"/>
      <c r="J80" s="16" t="n"/>
      <c r="K80" s="11">
        <f>E80*J80</f>
        <v/>
      </c>
      <c r="L80" s="11">
        <f>ROUND(J80*E80*0.1425%,0)</f>
        <v/>
      </c>
      <c r="M80" s="11">
        <f>ROUND(J80*E80*0.3%,0)</f>
        <v/>
      </c>
      <c r="N80" s="11" t="n"/>
      <c r="O80" s="584">
        <f>IF(I80="",E80*Y80,0)</f>
        <v/>
      </c>
      <c r="P80" s="585">
        <f>IF(I80="",R80-H80,(K80-H80-SUM(L80:N80)+R80-S80-T80)-G80)+(ROUND(R80*V80,0)-ROUND(R80*(1+V80),0)*W80)</f>
        <v/>
      </c>
      <c r="Q80" s="585">
        <f>IF(I80="",(O80-G80-(O80*0.1425%*0.65)-(O80*0.3%)-S80-T80),0)</f>
        <v/>
      </c>
      <c r="R80" s="585" t="n"/>
      <c r="S80" s="585" t="n"/>
      <c r="T80" s="585" t="n"/>
      <c r="U80" s="65">
        <f>(V80*50%)/(1+50%*V80)</f>
        <v/>
      </c>
      <c r="V80" s="65" t="n"/>
      <c r="W80" s="66" t="n">
        <v>0.11</v>
      </c>
      <c r="X80" s="586">
        <f>(P80+Q80)/G80</f>
        <v/>
      </c>
      <c r="Y80" s="16">
        <f>VLOOKUP(C80,每日行情!A:D,4,FALSE)</f>
        <v/>
      </c>
      <c r="Z80" s="587">
        <f>VLOOKUP(C80,每日行情!A:E,5,FALSE)</f>
        <v/>
      </c>
      <c r="AA80" s="588">
        <f>IF(I80="",((TODAY()-A80)*G80)/365.24,((I80-A80)*G80)/365.24)</f>
        <v/>
      </c>
      <c r="AB80" s="588" t="inlineStr">
        <is>
          <t>台股 ETF</t>
        </is>
      </c>
    </row>
    <row r="81" hidden="1" outlineLevel="1">
      <c r="A81" s="475" t="n">
        <v>46007</v>
      </c>
      <c r="B81" s="11" t="n"/>
      <c r="C81" s="11" t="n">
        <v>895</v>
      </c>
      <c r="D81" s="163">
        <f>VLOOKUP(C81,每日行情!A:B,2,FALSE)</f>
        <v/>
      </c>
      <c r="E81" s="11" t="n">
        <v>130</v>
      </c>
      <c r="F81" s="11" t="n">
        <v>38.32</v>
      </c>
      <c r="G81" s="583" t="n">
        <v>4981</v>
      </c>
      <c r="H81" s="11" t="n">
        <v>1</v>
      </c>
      <c r="I81" s="99" t="n"/>
      <c r="J81" s="16" t="n"/>
      <c r="K81" s="11">
        <f>E81*J81</f>
        <v/>
      </c>
      <c r="L81" s="11">
        <f>ROUND(J81*E81*0.1425%,0)</f>
        <v/>
      </c>
      <c r="M81" s="11">
        <f>ROUND(J81*E81*0.3%,0)</f>
        <v/>
      </c>
      <c r="N81" s="11" t="n"/>
      <c r="O81" s="584">
        <f>IF(I81="",E81*Y81,0)</f>
        <v/>
      </c>
      <c r="P81" s="585">
        <f>IF(I81="",R81-H81,(K81-H81-SUM(L81:N81)+R81-S81-T81)-G81)+(ROUND(R81*V81,0)-ROUND(R81*(1+V81),0)*W81)</f>
        <v/>
      </c>
      <c r="Q81" s="585">
        <f>IF(I81="",(O81-G81-(O81*0.1425%*0.65)-(O81*0.3%)-S81-T81),0)</f>
        <v/>
      </c>
      <c r="R81" s="585" t="n"/>
      <c r="S81" s="585" t="n"/>
      <c r="T81" s="585" t="n"/>
      <c r="U81" s="65">
        <f>(V81*50%)/(1+50%*V81)</f>
        <v/>
      </c>
      <c r="V81" s="65" t="n"/>
      <c r="W81" s="66" t="n">
        <v>0.11</v>
      </c>
      <c r="X81" s="586">
        <f>(P81+Q81)/G81</f>
        <v/>
      </c>
      <c r="Y81" s="16">
        <f>VLOOKUP(C81,每日行情!A:D,4,FALSE)</f>
        <v/>
      </c>
      <c r="Z81" s="587">
        <f>VLOOKUP(C81,每日行情!A:E,5,FALSE)</f>
        <v/>
      </c>
      <c r="AA81" s="588">
        <f>IF(I81="",((TODAY()-A81)*G81)/365.24,((I81-A81)*G81)/365.24)</f>
        <v/>
      </c>
      <c r="AB81" s="588" t="inlineStr">
        <is>
          <t>台股 ETF</t>
        </is>
      </c>
    </row>
    <row r="82">
      <c r="A82" s="99" t="n">
        <v>46038</v>
      </c>
      <c r="B82" s="11" t="n"/>
      <c r="C82" s="11" t="n">
        <v>895</v>
      </c>
      <c r="D82" s="163">
        <f>VLOOKUP(C82,每日行情!A:B,2,FALSE)</f>
        <v/>
      </c>
      <c r="E82" s="11" t="n">
        <v>122</v>
      </c>
      <c r="F82" s="11" t="n">
        <v>40.86</v>
      </c>
      <c r="G82" s="583" t="n">
        <v>4984</v>
      </c>
      <c r="H82" s="11" t="n">
        <v>1</v>
      </c>
      <c r="I82" s="99" t="n"/>
      <c r="J82" s="16" t="n"/>
      <c r="K82" s="11">
        <f>E82*J82</f>
        <v/>
      </c>
      <c r="L82" s="11">
        <f>ROUND(J82*E82*0.1425%,0)</f>
        <v/>
      </c>
      <c r="M82" s="11">
        <f>ROUND(J82*E82*0.3%,0)</f>
        <v/>
      </c>
      <c r="N82" s="11" t="n"/>
      <c r="O82" s="584">
        <f>IF(I82="",E82*Y82,0)</f>
        <v/>
      </c>
      <c r="P82" s="585">
        <f>IF(I82="",R82-H82,(K82-H82-SUM(L82:N82)+R82-S82-T82)-G82)+(ROUND(R82*V82,0)-ROUND(R82*(1+V82),0)*W82)</f>
        <v/>
      </c>
      <c r="Q82" s="585">
        <f>IF(I82="",(O82-G82-(O82*0.1425%*0.65)-(O82*0.3%)-S82-T82),0)</f>
        <v/>
      </c>
      <c r="R82" s="585" t="n"/>
      <c r="S82" s="585" t="n"/>
      <c r="T82" s="585" t="n"/>
      <c r="U82" s="65">
        <f>(V82*50%)/(1+50%*V82)</f>
        <v/>
      </c>
      <c r="V82" s="65" t="n"/>
      <c r="W82" s="66" t="n">
        <v>0.11</v>
      </c>
      <c r="X82" s="586">
        <f>(P82+Q82)/G82</f>
        <v/>
      </c>
      <c r="Y82" s="16">
        <f>VLOOKUP(C82,每日行情!A:D,4,FALSE)</f>
        <v/>
      </c>
      <c r="Z82" s="587">
        <f>VLOOKUP(C82,每日行情!A:E,5,FALSE)</f>
        <v/>
      </c>
      <c r="AA82" s="588">
        <f>IF(I82="",((TODAY()-A82)*G82)/365.24,((I82-A82)*G82)/365.24)</f>
        <v/>
      </c>
      <c r="AB82" s="588" t="inlineStr">
        <is>
          <t>台股 ETF</t>
        </is>
      </c>
    </row>
    <row r="83">
      <c r="A83" s="99" t="n">
        <v>46076</v>
      </c>
      <c r="B83" s="11" t="n"/>
      <c r="C83" s="11" t="n">
        <v>895</v>
      </c>
      <c r="D83" s="163">
        <f>VLOOKUP(C83,每日行情!A:B,2,FALSE)</f>
        <v/>
      </c>
      <c r="E83" s="11" t="n">
        <v>119</v>
      </c>
      <c r="F83" s="11" t="n">
        <v>41.74</v>
      </c>
      <c r="G83" s="583" t="n">
        <v>4967</v>
      </c>
      <c r="H83" s="11" t="n">
        <v>1</v>
      </c>
      <c r="I83" s="99" t="n"/>
      <c r="J83" s="16" t="n"/>
      <c r="K83" s="11">
        <f>E83*J83</f>
        <v/>
      </c>
      <c r="L83" s="11">
        <f>ROUND(J83*E83*0.1425%,0)</f>
        <v/>
      </c>
      <c r="M83" s="11">
        <f>ROUND(J83*E83*0.3%,0)</f>
        <v/>
      </c>
      <c r="N83" s="11" t="n"/>
      <c r="O83" s="584">
        <f>IF(I83="",E83*Y83,0)</f>
        <v/>
      </c>
      <c r="P83" s="585">
        <f>IF(I83="",R83-H83,(K83-H83-SUM(L83:N83)+R83-S83-T83)-G83)+(ROUND(R83*V83,0)-ROUND(R83*(1+V83),0)*W83)</f>
        <v/>
      </c>
      <c r="Q83" s="585">
        <f>IF(I83="",(O83-G83-(O83*0.1425%*0.65)-(O83*0.3%)-S83-T83),0)</f>
        <v/>
      </c>
      <c r="R83" s="585" t="n"/>
      <c r="S83" s="585" t="n"/>
      <c r="T83" s="585" t="n"/>
      <c r="U83" s="65">
        <f>(V83*50%)/(1+50%*V83)</f>
        <v/>
      </c>
      <c r="V83" s="65" t="n"/>
      <c r="W83" s="66" t="n">
        <v>0.11</v>
      </c>
      <c r="X83" s="586">
        <f>(P83+Q83)/G83</f>
        <v/>
      </c>
      <c r="Y83" s="16">
        <f>VLOOKUP(C83,每日行情!A:D,4,FALSE)</f>
        <v/>
      </c>
      <c r="Z83" s="587">
        <f>VLOOKUP(C83,每日行情!A:E,5,FALSE)</f>
        <v/>
      </c>
      <c r="AA83" s="588">
        <f>IF(I83="",((TODAY()-A83)*G83)/365.24,((I83-A83)*G83)/365.24)</f>
        <v/>
      </c>
      <c r="AB83" s="588" t="inlineStr">
        <is>
          <t>台股 ETF</t>
        </is>
      </c>
    </row>
    <row r="84">
      <c r="A84" s="99" t="n">
        <v>46090</v>
      </c>
      <c r="B84" s="11" t="n"/>
      <c r="C84" s="478" t="inlineStr">
        <is>
          <t>00991A</t>
        </is>
      </c>
      <c r="D84" s="163">
        <f>VLOOKUP(C84,每日行情!A:B,2,FALSE)</f>
        <v/>
      </c>
      <c r="E84" s="11" t="n">
        <v>876</v>
      </c>
      <c r="F84" s="11" t="n">
        <v>11.12</v>
      </c>
      <c r="G84" s="583" t="n">
        <v>9741</v>
      </c>
      <c r="H84" s="11" t="n">
        <v>1</v>
      </c>
      <c r="I84" s="99" t="n"/>
      <c r="J84" s="16" t="n"/>
      <c r="K84" s="11">
        <f>E84*J84</f>
        <v/>
      </c>
      <c r="L84" s="11">
        <f>ROUND(J84*E84*0.1425%,0)</f>
        <v/>
      </c>
      <c r="M84" s="11">
        <f>ROUND(J84*E84*0.3%,0)</f>
        <v/>
      </c>
      <c r="N84" s="11" t="n"/>
      <c r="O84" s="584">
        <f>IF(I84="",E84*Y84,0)</f>
        <v/>
      </c>
      <c r="P84" s="585">
        <f>IF(I84="",R84-H84,(K84-H84-SUM(L84:N84)+R84-S84-T84)-G84)+(ROUND(R84*V84,0)-ROUND(R84*(1+V84),0)*W84)</f>
        <v/>
      </c>
      <c r="Q84" s="585">
        <f>IF(I84="",(O84-G84-(O84*0.1425%*0.65)-(O84*0.3%)-S84-T84),0)</f>
        <v/>
      </c>
      <c r="R84" s="585" t="n"/>
      <c r="S84" s="585" t="n"/>
      <c r="T84" s="585" t="n"/>
      <c r="U84" s="65">
        <f>(V84*50%)/(1+50%*V84)</f>
        <v/>
      </c>
      <c r="V84" s="65" t="n"/>
      <c r="W84" s="66" t="n">
        <v>0.11</v>
      </c>
      <c r="X84" s="586">
        <f>(P84+Q84)/G84</f>
        <v/>
      </c>
      <c r="Y84" s="16">
        <f>VLOOKUP(C84,每日行情!A:D,4,FALSE)</f>
        <v/>
      </c>
      <c r="Z84" s="587">
        <f>VLOOKUP(C84,每日行情!A:E,5,FALSE)</f>
        <v/>
      </c>
      <c r="AA84" s="588">
        <f>IF(I84="",((TODAY()-A84)*G84)/365.24,((I84-A84)*G84)/365.24)</f>
        <v/>
      </c>
      <c r="AB84" s="588" t="inlineStr">
        <is>
          <t>台股 ETF</t>
        </is>
      </c>
    </row>
    <row r="85">
      <c r="A85" s="99" t="n">
        <v>46097</v>
      </c>
      <c r="B85" s="11" t="n"/>
      <c r="C85" s="11" t="n">
        <v>895</v>
      </c>
      <c r="D85" s="163">
        <f>VLOOKUP(C85,每日行情!A:B,2,FALSE)</f>
        <v/>
      </c>
      <c r="E85" s="11" t="n">
        <v>125</v>
      </c>
      <c r="F85" s="11" t="n">
        <v>40</v>
      </c>
      <c r="G85" s="583" t="n">
        <v>5000</v>
      </c>
      <c r="H85" s="11" t="n">
        <v>1</v>
      </c>
      <c r="I85" s="99" t="n"/>
      <c r="J85" s="16" t="n"/>
      <c r="K85" s="11">
        <f>E85*J85</f>
        <v/>
      </c>
      <c r="L85" s="11">
        <f>ROUND(J85*E85*0.1425%,0)</f>
        <v/>
      </c>
      <c r="M85" s="11">
        <f>ROUND(J85*E85*0.3%,0)</f>
        <v/>
      </c>
      <c r="N85" s="11" t="n"/>
      <c r="O85" s="584">
        <f>IF(I85="",E85*Y85,0)</f>
        <v/>
      </c>
      <c r="P85" s="585">
        <f>IF(I85="",R85-H85,(K85-H85-SUM(L85:N85)+R85-S85-T85)-G85)+(ROUND(R85*V85,0)-ROUND(R85*(1+V85),0)*W85)</f>
        <v/>
      </c>
      <c r="Q85" s="585">
        <f>IF(I85="",(O85-G85-(O85*0.1425%*0.65)-(O85*0.3%)-S85-T85),0)</f>
        <v/>
      </c>
      <c r="R85" s="585" t="n"/>
      <c r="S85" s="585" t="n"/>
      <c r="T85" s="585" t="n"/>
      <c r="U85" s="65">
        <f>(V85*50%)/(1+50%*V85)</f>
        <v/>
      </c>
      <c r="V85" s="65" t="n"/>
      <c r="W85" s="66" t="n">
        <v>0.11</v>
      </c>
      <c r="X85" s="586">
        <f>(P85+Q85)/G85</f>
        <v/>
      </c>
      <c r="Y85" s="16">
        <f>VLOOKUP(C85,每日行情!A:D,4,FALSE)</f>
        <v/>
      </c>
      <c r="Z85" s="587">
        <f>VLOOKUP(C85,每日行情!A:E,5,FALSE)</f>
        <v/>
      </c>
      <c r="AA85" s="588">
        <f>IF(I85="",((TODAY()-A85)*G85)/365.24,((I85-A85)*G85)/365.24)</f>
        <v/>
      </c>
      <c r="AB85" s="588" t="inlineStr">
        <is>
          <t>台股 ETF</t>
        </is>
      </c>
    </row>
    <row r="86">
      <c r="A86" s="99" t="n">
        <v>46132</v>
      </c>
      <c r="B86" s="11" t="n"/>
      <c r="C86" s="11" t="n">
        <v>2330</v>
      </c>
      <c r="D86" s="163">
        <f>VLOOKUP(C86,每日行情!A:B,2,FALSE)</f>
        <v/>
      </c>
      <c r="E86" s="11" t="n">
        <v>100</v>
      </c>
      <c r="F86" s="11" t="n">
        <v>2050</v>
      </c>
      <c r="G86" s="583">
        <f>E86*F86</f>
        <v/>
      </c>
      <c r="H86" s="11" t="n">
        <v>175</v>
      </c>
      <c r="I86" s="99" t="n"/>
      <c r="J86" s="16" t="n"/>
      <c r="K86" s="11">
        <f>E86*J86</f>
        <v/>
      </c>
      <c r="L86" s="11">
        <f>ROUND(J86*E86*0.1425%,0)</f>
        <v/>
      </c>
      <c r="M86" s="11">
        <f>ROUND(J86*E86*0.3%,0)</f>
        <v/>
      </c>
      <c r="N86" s="11" t="n"/>
      <c r="O86" s="584">
        <f>IF(I86="",E86*Y86,0)</f>
        <v/>
      </c>
      <c r="P86" s="585">
        <f>IF(I86="",R86-H86,(K86-H86-SUM(L86:N86)+R86-S86-T86)-G86)+(ROUND(R86*V86,0)-ROUND(R86*(1+V86),0)*W86)</f>
        <v/>
      </c>
      <c r="Q86" s="585">
        <f>IF(I86="",(O86-G86-(O86*0.1425%*0.65)-(O86*0.3%)-S86-T86),0)</f>
        <v/>
      </c>
      <c r="R86" s="585" t="n"/>
      <c r="S86" s="585" t="n"/>
      <c r="T86" s="585" t="n"/>
      <c r="U86" s="65">
        <f>(V86*50%)/(1+50%*V86)</f>
        <v/>
      </c>
      <c r="V86" s="65" t="n"/>
      <c r="W86" s="66" t="n">
        <v>0.11</v>
      </c>
      <c r="X86" s="586">
        <f>(P86+Q86)/G86</f>
        <v/>
      </c>
      <c r="Y86" s="16">
        <f>VLOOKUP(C86,每日行情!A:D,4,FALSE)</f>
        <v/>
      </c>
      <c r="Z86" s="587">
        <f>VLOOKUP(C86,每日行情!A:E,5,FALSE)</f>
        <v/>
      </c>
      <c r="AA86" s="588">
        <f>IF(I86="",((TODAY()-A86)*G86)/365.24,((I86-A86)*G86)/365.24)</f>
        <v/>
      </c>
      <c r="AB86" s="588" t="inlineStr">
        <is>
          <t>台股</t>
        </is>
      </c>
    </row>
    <row r="87">
      <c r="A87" s="99" t="n">
        <v>46148</v>
      </c>
      <c r="B87" s="11" t="n"/>
      <c r="C87" s="11" t="n">
        <v>6525</v>
      </c>
      <c r="D87" s="163">
        <f>VLOOKUP(C87,每日行情!A:B,2,FALSE)</f>
        <v/>
      </c>
      <c r="E87" s="11" t="n">
        <v>1000</v>
      </c>
      <c r="F87" s="11" t="n">
        <v>103.5</v>
      </c>
      <c r="G87" s="583">
        <f>E87*F87</f>
        <v/>
      </c>
      <c r="H87" s="11" t="n">
        <v>88</v>
      </c>
      <c r="I87" s="99" t="n"/>
      <c r="J87" s="16" t="n"/>
      <c r="K87" s="11">
        <f>E87*J87</f>
        <v/>
      </c>
      <c r="L87" s="11">
        <f>ROUND(J87*E87*0.1425%,0)</f>
        <v/>
      </c>
      <c r="M87" s="11">
        <f>ROUND(J87*E87*0.3%,0)</f>
        <v/>
      </c>
      <c r="N87" s="11" t="n"/>
      <c r="O87" s="584">
        <f>IF(I87="",E87*Y87,0)</f>
        <v/>
      </c>
      <c r="P87" s="585">
        <f>IF(I87="",R87-H87,(K87-H87-SUM(L87:N87)+R87-S87-T87)-G87)+(ROUND(R87*V87,0)-ROUND(R87*(1+V87),0)*W87)</f>
        <v/>
      </c>
      <c r="Q87" s="585">
        <f>IF(I87="",(O87-G87-(O87*0.1425%*0.65)-(O87*0.3%)-S87-T87),0)</f>
        <v/>
      </c>
      <c r="R87" s="585" t="n"/>
      <c r="S87" s="585" t="n"/>
      <c r="T87" s="585" t="n"/>
      <c r="U87" s="65">
        <f>(V87*50%)/(1+50%*V87)</f>
        <v/>
      </c>
      <c r="V87" s="65" t="n"/>
      <c r="W87" s="66" t="n">
        <v>0.11</v>
      </c>
      <c r="X87" s="586">
        <f>(P87+Q87)/G87</f>
        <v/>
      </c>
      <c r="Y87" s="16">
        <f>VLOOKUP(C87,每日行情!A:D,4,FALSE)</f>
        <v/>
      </c>
      <c r="Z87" s="587">
        <f>VLOOKUP(C87,每日行情!A:E,5,FALSE)</f>
        <v/>
      </c>
      <c r="AA87" s="588">
        <f>IF(I87="",((TODAY()-A87)*G87)/365.24,((I87-A87)*G87)/365.24)</f>
        <v/>
      </c>
      <c r="AB87" s="588" t="inlineStr">
        <is>
          <t>台股</t>
        </is>
      </c>
      <c r="AC87" s="213" t="n"/>
      <c r="AD87" s="200" t="n"/>
    </row>
    <row r="88">
      <c r="A88" s="99" t="n">
        <v>46150</v>
      </c>
      <c r="B88" s="11" t="n"/>
      <c r="C88" s="478" t="inlineStr">
        <is>
          <t>00991A</t>
        </is>
      </c>
      <c r="D88" s="163">
        <f>VLOOKUP(C88,每日行情!A:B,2,FALSE)</f>
        <v/>
      </c>
      <c r="E88" s="11" t="n">
        <v>563</v>
      </c>
      <c r="F88" s="11" t="n">
        <v>17.51</v>
      </c>
      <c r="G88" s="583" t="n">
        <v>9858</v>
      </c>
      <c r="H88" s="11" t="n">
        <v>1</v>
      </c>
      <c r="I88" s="99" t="n"/>
      <c r="J88" s="16" t="n"/>
      <c r="K88" s="11">
        <f>E88*J88</f>
        <v/>
      </c>
      <c r="L88" s="11">
        <f>ROUND(J88*E88*0.1425%,0)</f>
        <v/>
      </c>
      <c r="M88" s="11">
        <f>ROUND(J88*E88*0.3%,0)</f>
        <v/>
      </c>
      <c r="N88" s="11" t="n"/>
      <c r="O88" s="584">
        <f>IF(I88="",E88*Y88,0)</f>
        <v/>
      </c>
      <c r="P88" s="585">
        <f>IF(I88="",R88-H88,(K88-H88-SUM(L88:N88)+R88-S88-T88)-G88)+(ROUND(R88*V88,0)-ROUND(R88*(1+V88),0)*W88)</f>
        <v/>
      </c>
      <c r="Q88" s="585">
        <f>IF(I88="",(O88-G88-(O88*0.1425%*0.65)-(O88*0.3%)-S88-T88),0)</f>
        <v/>
      </c>
      <c r="R88" s="585" t="n"/>
      <c r="S88" s="585" t="n"/>
      <c r="T88" s="585" t="n"/>
      <c r="U88" s="65">
        <f>(V88*50%)/(1+50%*V88)</f>
        <v/>
      </c>
      <c r="V88" s="65" t="n"/>
      <c r="W88" s="66" t="n">
        <v>0.11</v>
      </c>
      <c r="X88" s="586">
        <f>(P88+Q88)/G88</f>
        <v/>
      </c>
      <c r="Y88" s="16">
        <f>VLOOKUP(C88,每日行情!A:D,4,FALSE)</f>
        <v/>
      </c>
      <c r="Z88" s="587">
        <f>VLOOKUP(C88,每日行情!A:E,5,FALSE)</f>
        <v/>
      </c>
      <c r="AA88" s="588">
        <f>IF(I88="",((TODAY()-A88)*G88)/365.24,((I88-A88)*G88)/365.24)</f>
        <v/>
      </c>
      <c r="AB88" s="588" t="inlineStr">
        <is>
          <t>台股 ETF</t>
        </is>
      </c>
      <c r="AC88" s="98" t="n"/>
      <c r="AD88" s="200" t="n"/>
    </row>
    <row r="89">
      <c r="A89" s="99" t="n">
        <v>46150</v>
      </c>
      <c r="B89" s="11" t="n"/>
      <c r="C89" s="11" t="n">
        <v>3430</v>
      </c>
      <c r="D89" s="163">
        <f>VLOOKUP(C89,每日行情!A:B,2,FALSE)</f>
        <v/>
      </c>
      <c r="E89" s="11" t="n">
        <v>1000</v>
      </c>
      <c r="F89" s="11" t="n">
        <v>148</v>
      </c>
      <c r="G89" s="583">
        <f>E89*F89</f>
        <v/>
      </c>
      <c r="H89" s="11" t="n">
        <v>126</v>
      </c>
      <c r="I89" s="99" t="n"/>
      <c r="J89" s="16" t="n"/>
      <c r="K89" s="11">
        <f>E89*J89</f>
        <v/>
      </c>
      <c r="L89" s="11">
        <f>ROUND(J89*E89*0.1425%,0)</f>
        <v/>
      </c>
      <c r="M89" s="11">
        <f>ROUND(J89*E89*0.3%,0)</f>
        <v/>
      </c>
      <c r="N89" s="11" t="n"/>
      <c r="O89" s="584">
        <f>IF(I89="",E89*Y89,0)</f>
        <v/>
      </c>
      <c r="P89" s="585">
        <f>IF(I89="",R89-H89,(K89-H89-SUM(L89:N89)+R89-S89-T89)-G89)+(ROUND(R89*V89,0)-ROUND(R89*(1+V89),0)*W89)</f>
        <v/>
      </c>
      <c r="Q89" s="585">
        <f>IF(I89="",(O89-G89-(O89*0.1425%*0.65)-(O89*0.3%)-S89-T89),0)</f>
        <v/>
      </c>
      <c r="R89" s="585" t="n"/>
      <c r="S89" s="585" t="n"/>
      <c r="T89" s="585" t="n"/>
      <c r="U89" s="65">
        <f>(V89*50%)/(1+50%*V89)</f>
        <v/>
      </c>
      <c r="V89" s="65" t="n"/>
      <c r="W89" s="66" t="n">
        <v>0.11</v>
      </c>
      <c r="X89" s="586">
        <f>(P89+Q89)/G89</f>
        <v/>
      </c>
      <c r="Y89" s="16">
        <f>VLOOKUP(C89,每日行情!A:D,4,FALSE)</f>
        <v/>
      </c>
      <c r="Z89" s="587">
        <f>VLOOKUP(C89,每日行情!A:E,5,FALSE)</f>
        <v/>
      </c>
      <c r="AA89" s="588">
        <f>IF(I89="",((TODAY()-A89)*G89)/365.24,((I89-A89)*G89)/365.24)</f>
        <v/>
      </c>
      <c r="AB89" s="588" t="inlineStr">
        <is>
          <t>台股</t>
        </is>
      </c>
      <c r="AC89" s="213" t="n"/>
      <c r="AD89" s="200" t="n"/>
    </row>
    <row r="90">
      <c r="A90" s="99" t="n">
        <v>46150</v>
      </c>
      <c r="B90" s="11" t="n"/>
      <c r="C90" s="11" t="n">
        <v>6788</v>
      </c>
      <c r="D90" s="163">
        <f>VLOOKUP(C90,每日行情!A:B,2,FALSE)</f>
        <v/>
      </c>
      <c r="E90" s="11" t="n">
        <v>200</v>
      </c>
      <c r="F90" s="11" t="n">
        <v>449.5</v>
      </c>
      <c r="G90" s="583">
        <f>E90*F90</f>
        <v/>
      </c>
      <c r="H90" s="11" t="n">
        <v>76</v>
      </c>
      <c r="I90" s="99" t="n"/>
      <c r="J90" s="16" t="n"/>
      <c r="K90" s="11">
        <f>E90*J90</f>
        <v/>
      </c>
      <c r="L90" s="11">
        <f>ROUND(J90*E90*0.1425%,0)</f>
        <v/>
      </c>
      <c r="M90" s="11">
        <f>ROUND(J90*E90*0.3%,0)</f>
        <v/>
      </c>
      <c r="N90" s="11" t="n"/>
      <c r="O90" s="584">
        <f>IF(I90="",E90*Y90,0)</f>
        <v/>
      </c>
      <c r="P90" s="585">
        <f>IF(I90="",R90-H90,(K90-H90-SUM(L90:N90)+R90-S90-T90)-G90)+(ROUND(R90*V90,0)-ROUND(R90*(1+V90),0)*W90)</f>
        <v/>
      </c>
      <c r="Q90" s="585">
        <f>IF(I90="",(O90-G90-(O90*0.1425%*0.65)-(O90*0.3%)-S90-T90),0)</f>
        <v/>
      </c>
      <c r="R90" s="585" t="n"/>
      <c r="S90" s="585" t="n"/>
      <c r="T90" s="585" t="n"/>
      <c r="U90" s="65">
        <f>(V90*50%)/(1+50%*V90)</f>
        <v/>
      </c>
      <c r="V90" s="65" t="n"/>
      <c r="W90" s="66" t="n">
        <v>0.11</v>
      </c>
      <c r="X90" s="586">
        <f>(P90+Q90)/G90</f>
        <v/>
      </c>
      <c r="Y90" s="16">
        <f>VLOOKUP(C90,每日行情!A:D,4,FALSE)</f>
        <v/>
      </c>
      <c r="Z90" s="587">
        <f>VLOOKUP(C90,每日行情!A:E,5,FALSE)</f>
        <v/>
      </c>
      <c r="AA90" s="588">
        <f>IF(I90="",((TODAY()-A90)*G90)/365.24,((I90-A90)*G90)/365.24)</f>
        <v/>
      </c>
      <c r="AB90" s="588" t="inlineStr">
        <is>
          <t>台股</t>
        </is>
      </c>
      <c r="AC90" s="213" t="n"/>
      <c r="AD90" s="200" t="n"/>
    </row>
    <row r="91">
      <c r="A91" s="99" t="n">
        <v>46153</v>
      </c>
      <c r="B91" s="11" t="n"/>
      <c r="C91" s="11" t="n">
        <v>2330</v>
      </c>
      <c r="D91" s="163">
        <f>VLOOKUP(C91,每日行情!A:B,2,FALSE)</f>
        <v/>
      </c>
      <c r="E91" s="11" t="n">
        <v>10</v>
      </c>
      <c r="F91" s="11" t="n">
        <v>2265</v>
      </c>
      <c r="G91" s="583">
        <f>E91*F91</f>
        <v/>
      </c>
      <c r="H91" s="11" t="n">
        <v>19</v>
      </c>
      <c r="I91" s="99" t="n"/>
      <c r="J91" s="16" t="n"/>
      <c r="K91" s="11">
        <f>E91*J91</f>
        <v/>
      </c>
      <c r="L91" s="11">
        <f>ROUND(J91*E91*0.1425%,0)</f>
        <v/>
      </c>
      <c r="M91" s="11">
        <f>ROUND(J91*E91*0.3%,0)</f>
        <v/>
      </c>
      <c r="N91" s="11" t="n"/>
      <c r="O91" s="584">
        <f>IF(I91="",E91*Y91,0)</f>
        <v/>
      </c>
      <c r="P91" s="585">
        <f>IF(I91="",R91-H91,(K91-H91-SUM(L91:N91)+R91-S91-T91)-G91)+(ROUND(R91*V91,0)-ROUND(R91*(1+V91),0)*W91)</f>
        <v/>
      </c>
      <c r="Q91" s="585">
        <f>IF(I91="",(O91-G91-(O91*0.1425%*0.65)-(O91*0.3%)-S91-T91),0)</f>
        <v/>
      </c>
      <c r="R91" s="585" t="n"/>
      <c r="S91" s="585" t="n"/>
      <c r="T91" s="585" t="n"/>
      <c r="U91" s="65">
        <f>(V91*50%)/(1+50%*V91)</f>
        <v/>
      </c>
      <c r="V91" s="65" t="n"/>
      <c r="W91" s="66" t="n">
        <v>0.11</v>
      </c>
      <c r="X91" s="586">
        <f>(P91+Q91)/G91</f>
        <v/>
      </c>
      <c r="Y91" s="16">
        <f>VLOOKUP(C91,每日行情!A:D,4,FALSE)</f>
        <v/>
      </c>
      <c r="Z91" s="587">
        <f>VLOOKUP(C91,每日行情!A:E,5,FALSE)</f>
        <v/>
      </c>
      <c r="AA91" s="588">
        <f>IF(I91="",((TODAY()-A91)*G91)/365.24,((I91-A91)*G91)/365.24)</f>
        <v/>
      </c>
      <c r="AB91" s="588" t="inlineStr">
        <is>
          <t>台股</t>
        </is>
      </c>
      <c r="AC91" s="213" t="n"/>
      <c r="AD91" s="200" t="n"/>
    </row>
    <row r="92">
      <c r="A92" s="99" t="n">
        <v>46153</v>
      </c>
      <c r="B92" s="11" t="n"/>
      <c r="C92" s="11" t="n">
        <v>3430</v>
      </c>
      <c r="D92" s="163">
        <f>VLOOKUP(C92,每日行情!A:B,2,FALSE)</f>
        <v/>
      </c>
      <c r="E92" s="11" t="n">
        <v>1000</v>
      </c>
      <c r="F92" s="11" t="n">
        <v>164</v>
      </c>
      <c r="G92" s="583">
        <f>E92*F92</f>
        <v/>
      </c>
      <c r="H92" s="11" t="n">
        <v>140</v>
      </c>
      <c r="I92" s="99" t="n"/>
      <c r="J92" s="16" t="n"/>
      <c r="K92" s="11">
        <f>E92*J92</f>
        <v/>
      </c>
      <c r="L92" s="11">
        <f>ROUND(J92*E92*0.1425%,0)</f>
        <v/>
      </c>
      <c r="M92" s="11">
        <f>ROUND(J92*E92*0.3%,0)</f>
        <v/>
      </c>
      <c r="N92" s="11" t="n"/>
      <c r="O92" s="584">
        <f>IF(I92="",E92*Y92,0)</f>
        <v/>
      </c>
      <c r="P92" s="585">
        <f>IF(I92="",R92-H92,(K92-H92-SUM(L92:N92)+R92-S92-T92)-G92)+(ROUND(R92*V92,0)-ROUND(R92*(1+V92),0)*W92)</f>
        <v/>
      </c>
      <c r="Q92" s="585">
        <f>IF(I92="",(O92-G92-(O92*0.1425%*0.65)-(O92*0.3%)-S92-T92),0)</f>
        <v/>
      </c>
      <c r="R92" s="585" t="n"/>
      <c r="S92" s="585" t="n"/>
      <c r="T92" s="585" t="n"/>
      <c r="U92" s="65">
        <f>(V92*50%)/(1+50%*V92)</f>
        <v/>
      </c>
      <c r="V92" s="65" t="n"/>
      <c r="W92" s="66" t="n">
        <v>0.11</v>
      </c>
      <c r="X92" s="586">
        <f>(P92+Q92)/G92</f>
        <v/>
      </c>
      <c r="Y92" s="16">
        <f>VLOOKUP(C92,每日行情!A:D,4,FALSE)</f>
        <v/>
      </c>
      <c r="Z92" s="587">
        <f>VLOOKUP(C92,每日行情!A:E,5,FALSE)</f>
        <v/>
      </c>
      <c r="AA92" s="588">
        <f>IF(I92="",((TODAY()-A92)*G92)/365.24,((I92-A92)*G92)/365.24)</f>
        <v/>
      </c>
      <c r="AB92" s="588" t="inlineStr">
        <is>
          <t>台股</t>
        </is>
      </c>
      <c r="AC92" s="213" t="n"/>
      <c r="AD92" s="200" t="n"/>
    </row>
    <row r="93">
      <c r="A93" s="99" t="n">
        <v>46155</v>
      </c>
      <c r="B93" s="11" t="n"/>
      <c r="C93" s="522" t="inlineStr">
        <is>
          <t>00631L</t>
        </is>
      </c>
      <c r="D93" s="163">
        <f>VLOOKUP(C93,每日行情!A:B,2,FALSE)</f>
        <v/>
      </c>
      <c r="E93" s="11" t="n">
        <v>2000</v>
      </c>
      <c r="F93" s="11" t="n">
        <v>31.88</v>
      </c>
      <c r="G93" s="583">
        <f>E93*F93</f>
        <v/>
      </c>
      <c r="H93" s="11" t="n">
        <v>54</v>
      </c>
      <c r="I93" s="99" t="n"/>
      <c r="J93" s="16" t="n"/>
      <c r="K93" s="11">
        <f>E93*J93</f>
        <v/>
      </c>
      <c r="L93" s="11">
        <f>ROUND(J93*E93*0.1425%,0)</f>
        <v/>
      </c>
      <c r="M93" s="11">
        <f>ROUND(J93*E93*0.3%,0)</f>
        <v/>
      </c>
      <c r="N93" s="11" t="n"/>
      <c r="O93" s="584">
        <f>IF(I93="",E93*Y93,0)</f>
        <v/>
      </c>
      <c r="P93" s="585">
        <f>IF(I93="",R93-H93,(K93-H93-SUM(L93:N93)+R93-S93-T93)-G93)+(ROUND(R93*V93,0)-ROUND(R93*(1+V93),0)*W93)</f>
        <v/>
      </c>
      <c r="Q93" s="585">
        <f>IF(I93="",(O93-G93-(O93*0.1425%*0.65)-(O93*0.3%)-S93-T93),0)</f>
        <v/>
      </c>
      <c r="R93" s="585" t="n"/>
      <c r="S93" s="585" t="n"/>
      <c r="T93" s="585" t="n"/>
      <c r="U93" s="65">
        <f>(V93*50%)/(1+50%*V93)</f>
        <v/>
      </c>
      <c r="V93" s="65" t="n"/>
      <c r="W93" s="66" t="n">
        <v>0.11</v>
      </c>
      <c r="X93" s="586">
        <f>(P93+Q93)/G93</f>
        <v/>
      </c>
      <c r="Y93" s="16">
        <f>VLOOKUP(C93,每日行情!A:D,4,FALSE)</f>
        <v/>
      </c>
      <c r="Z93" s="587">
        <f>VLOOKUP(C93,每日行情!A:E,5,FALSE)</f>
        <v/>
      </c>
      <c r="AA93" s="588">
        <f>IF(I93="",((TODAY()-A93)*G93)/365.24,((I93-A93)*G93)/365.24)</f>
        <v/>
      </c>
      <c r="AB93" s="588" t="inlineStr">
        <is>
          <t>台股 ETF</t>
        </is>
      </c>
      <c r="AC93" s="213" t="n"/>
      <c r="AD93" s="200" t="n"/>
    </row>
    <row r="94">
      <c r="A94" s="99" t="n">
        <v>46157</v>
      </c>
      <c r="B94" s="11" t="n"/>
      <c r="C94" s="11" t="n">
        <v>6788</v>
      </c>
      <c r="D94" s="163">
        <f>VLOOKUP(C94,每日行情!A:B,2,FALSE)</f>
        <v/>
      </c>
      <c r="E94" s="11" t="n">
        <v>100</v>
      </c>
      <c r="F94" s="11" t="n">
        <v>411</v>
      </c>
      <c r="G94" s="583">
        <f>E94*F94</f>
        <v/>
      </c>
      <c r="H94" s="11" t="n">
        <v>35</v>
      </c>
      <c r="I94" s="99" t="n"/>
      <c r="J94" s="16" t="n"/>
      <c r="K94" s="11">
        <f>E94*J94</f>
        <v/>
      </c>
      <c r="L94" s="11">
        <f>ROUND(J94*E94*0.1425%,0)</f>
        <v/>
      </c>
      <c r="M94" s="11">
        <f>ROUND(J94*E94*0.3%,0)</f>
        <v/>
      </c>
      <c r="N94" s="11" t="n"/>
      <c r="O94" s="584">
        <f>IF(I94="",E94*Y94,0)</f>
        <v/>
      </c>
      <c r="P94" s="585">
        <f>IF(I94="",R94-H94,(K94-H94-SUM(L94:N94)+R94-S94-T94)-G94)+(ROUND(R94*V94,0)-ROUND(R94*(1+V94),0)*W94)</f>
        <v/>
      </c>
      <c r="Q94" s="585">
        <f>IF(I94="",(O94-G94-(O94*0.1425%*0.65)-(O94*0.3%)-S94-T94),0)</f>
        <v/>
      </c>
      <c r="R94" s="585" t="n"/>
      <c r="S94" s="585" t="n"/>
      <c r="T94" s="585" t="n"/>
      <c r="U94" s="65">
        <f>(V94*50%)/(1+50%*V94)</f>
        <v/>
      </c>
      <c r="V94" s="65" t="n"/>
      <c r="W94" s="66" t="n">
        <v>0.11</v>
      </c>
      <c r="X94" s="586">
        <f>(P94+Q94)/G94</f>
        <v/>
      </c>
      <c r="Y94" s="16">
        <f>VLOOKUP(C94,每日行情!A:D,4,FALSE)</f>
        <v/>
      </c>
      <c r="Z94" s="587">
        <f>VLOOKUP(C94,每日行情!A:E,5,FALSE)</f>
        <v/>
      </c>
      <c r="AA94" s="588">
        <f>IF(I94="",((TODAY()-A94)*G94)/365.24,((I94-A94)*G94)/365.24)</f>
        <v/>
      </c>
      <c r="AB94" s="588" t="inlineStr">
        <is>
          <t>台股</t>
        </is>
      </c>
      <c r="AC94" s="213" t="n"/>
      <c r="AD94" s="200" t="n"/>
    </row>
    <row r="95">
      <c r="A95" s="99" t="n">
        <v>46160</v>
      </c>
      <c r="B95" s="11" t="n"/>
      <c r="C95" s="522" t="n">
        <v>7818</v>
      </c>
      <c r="D95" s="163">
        <f>VLOOKUP(C95,每日行情!A:B,2,FALSE)</f>
        <v/>
      </c>
      <c r="E95" s="11" t="n">
        <v>1000</v>
      </c>
      <c r="F95" s="11" t="n">
        <v>70</v>
      </c>
      <c r="G95" s="583">
        <f>E95*F95</f>
        <v/>
      </c>
      <c r="H95" s="11" t="n">
        <v>20</v>
      </c>
      <c r="I95" s="99" t="n"/>
      <c r="J95" s="16" t="n"/>
      <c r="K95" s="11">
        <f>E95*J95</f>
        <v/>
      </c>
      <c r="L95" s="11">
        <f>ROUND(J95*E95*0.1425%,0)</f>
        <v/>
      </c>
      <c r="M95" s="11">
        <f>ROUND(J95*E95*0.3%,0)</f>
        <v/>
      </c>
      <c r="N95" s="11" t="n"/>
      <c r="O95" s="584">
        <f>IF(I95="",E95*Y95,0)</f>
        <v/>
      </c>
      <c r="P95" s="585">
        <f>IF(I95="",R95-H95,(K95-H95-SUM(L95:N95)+R95-S95-T95)-G95)+(ROUND(R95*V95,0)-ROUND(R95*(1+V95),0)*W95)</f>
        <v/>
      </c>
      <c r="Q95" s="585">
        <f>IF(I95="",(O95-G95-(O95*0.1425%*0.65)-(O95*0.3%)-S95-T95),0)</f>
        <v/>
      </c>
      <c r="R95" s="585" t="n"/>
      <c r="S95" s="585" t="n"/>
      <c r="T95" s="585" t="n"/>
      <c r="U95" s="65">
        <f>(V95*50%)/(1+50%*V95)</f>
        <v/>
      </c>
      <c r="V95" s="65" t="n"/>
      <c r="W95" s="66" t="n">
        <v>0.11</v>
      </c>
      <c r="X95" s="586">
        <f>(P95+Q95)/G95</f>
        <v/>
      </c>
      <c r="Y95" s="16">
        <f>VLOOKUP(C95,每日行情!A:D,4,FALSE)</f>
        <v/>
      </c>
      <c r="Z95" s="587">
        <f>VLOOKUP(C95,每日行情!A:E,5,FALSE)</f>
        <v/>
      </c>
      <c r="AA95" s="588">
        <f>IF(I95="",((TODAY()-A95)*G95)/365.24,((I95-A95)*G95)/365.24)</f>
        <v/>
      </c>
      <c r="AB95" s="588" t="inlineStr">
        <is>
          <t>台股</t>
        </is>
      </c>
      <c r="AC95" s="213" t="n"/>
      <c r="AD95" s="200" t="n"/>
    </row>
    <row r="96" ht="17.25" customHeight="1" thickBot="1">
      <c r="A96" s="48" t="n"/>
      <c r="B96" s="49" t="n"/>
      <c r="C96" s="49" t="n"/>
      <c r="D96" s="167" t="n"/>
      <c r="E96" s="49" t="n"/>
      <c r="F96" s="49" t="n"/>
      <c r="G96" s="49" t="n"/>
      <c r="H96" s="49" t="n"/>
      <c r="I96" s="50" t="n"/>
      <c r="J96" s="51" t="n"/>
      <c r="K96" s="49" t="n"/>
      <c r="L96" s="593" t="n"/>
      <c r="M96" s="49" t="n"/>
      <c r="N96" s="49" t="n"/>
      <c r="O96" s="594" t="n"/>
      <c r="P96" s="595" t="n"/>
      <c r="Q96" s="595" t="n"/>
      <c r="R96" s="595" t="n"/>
      <c r="S96" s="595" t="n"/>
      <c r="T96" s="596" t="n"/>
      <c r="U96" s="595" t="n"/>
      <c r="V96" s="595" t="n"/>
      <c r="W96" s="73" t="n"/>
      <c r="X96" s="597" t="n"/>
      <c r="Y96" s="51" t="n"/>
      <c r="Z96" s="56" t="n"/>
      <c r="AA96" s="588" t="n"/>
      <c r="AB96" s="588" t="n"/>
    </row>
    <row r="97">
      <c r="A97" s="177" t="n">
        <v>45923</v>
      </c>
      <c r="B97" s="11" t="inlineStr">
        <is>
          <t>普通買進</t>
        </is>
      </c>
      <c r="C97" s="467" t="inlineStr">
        <is>
          <t>QQQ</t>
        </is>
      </c>
      <c r="D97" s="163">
        <f>VLOOKUP(C97,美股行情!A:B,2,FALSE)</f>
        <v/>
      </c>
      <c r="E97" s="11" t="n">
        <v>0.4981</v>
      </c>
      <c r="F97" s="598" t="n">
        <v>602.29</v>
      </c>
      <c r="G97" s="11" t="n">
        <v>300</v>
      </c>
      <c r="H97" s="11" t="n">
        <v>0.6</v>
      </c>
      <c r="I97" s="99" t="n">
        <v>45727</v>
      </c>
      <c r="J97" s="16" t="n">
        <v>594.17</v>
      </c>
      <c r="K97" s="11">
        <f>E97*J97</f>
        <v/>
      </c>
      <c r="L97" s="17" t="n">
        <v>0.73</v>
      </c>
      <c r="M97" s="11" t="n"/>
      <c r="N97" s="11" t="n">
        <v>0</v>
      </c>
      <c r="O97" s="584">
        <f>IF(I97="",E97*Y97,0)</f>
        <v/>
      </c>
      <c r="P97" s="585">
        <f>IF(I97="",R97-H97,(K97-H97-SUM(L97:N97)+R97-S97-T97)-G97)+(ROUND(R97*V97,0)-ROUND(R97*(1+V97),0)*W97)</f>
        <v/>
      </c>
      <c r="Q97" s="585">
        <f>IF(I97="",(O97-G97-(O97*0.1425%*0.65)-(O97*0.3%)-S97-T97),0)</f>
        <v/>
      </c>
      <c r="R97" s="599" t="n"/>
      <c r="S97" s="585" t="n">
        <v>0</v>
      </c>
      <c r="T97" s="585">
        <f>IF(ROUND(R97*(1+V97),0)&gt;20000,ROUND(ROUND(R97*(1+V97),0)*2%,0),0)</f>
        <v/>
      </c>
      <c r="U97" s="65">
        <f>(V97*50%)/(1+50%*V97)</f>
        <v/>
      </c>
      <c r="V97" s="65" t="n"/>
      <c r="W97" s="66" t="n">
        <v>0.11</v>
      </c>
      <c r="X97" s="586">
        <f>(P97+Q97)/G97</f>
        <v/>
      </c>
      <c r="Y97" s="16">
        <f>VLOOKUP(C97,美股行情!A:C,3,FALSE)</f>
        <v/>
      </c>
      <c r="Z97" s="587">
        <f>VLOOKUP(C97,美股行情!A:G,7,FALSE)</f>
        <v/>
      </c>
      <c r="AA97" s="98" t="n"/>
      <c r="AB97" s="509" t="inlineStr">
        <is>
          <t>美股</t>
        </is>
      </c>
    </row>
    <row r="98">
      <c r="A98" s="177" t="n">
        <v>45923</v>
      </c>
      <c r="B98" s="11" t="inlineStr">
        <is>
          <t>普通買進</t>
        </is>
      </c>
      <c r="C98" s="467" t="inlineStr">
        <is>
          <t>TSLA</t>
        </is>
      </c>
      <c r="D98" s="163">
        <f>VLOOKUP(C98,美股行情!A:B,2,FALSE)</f>
        <v/>
      </c>
      <c r="E98" s="11" t="n">
        <v>0.68204</v>
      </c>
      <c r="F98" s="598" t="n">
        <v>439.86</v>
      </c>
      <c r="G98" s="11" t="n">
        <v>300</v>
      </c>
      <c r="H98" s="11" t="n">
        <v>0.6</v>
      </c>
      <c r="I98" s="99" t="n">
        <v>46002</v>
      </c>
      <c r="J98" s="16" t="n">
        <v>448.8</v>
      </c>
      <c r="K98" s="11">
        <f>E98*J98</f>
        <v/>
      </c>
      <c r="L98" s="17" t="n">
        <v>0.8</v>
      </c>
      <c r="M98" s="11" t="n"/>
      <c r="N98" s="11" t="n">
        <v>0</v>
      </c>
      <c r="O98" s="584">
        <f>IF(I98="",E98*Y98,0)</f>
        <v/>
      </c>
      <c r="P98" s="585">
        <f>IF(I98="",R98-H98,(K98-H98-SUM(L98:N98)+R98-S98-T98)-G98)+(ROUND(R98*V98,0)-ROUND(R98*(1+V98),0)*W98)</f>
        <v/>
      </c>
      <c r="Q98" s="585">
        <f>IF(I98="",(O98-G98-(O98*0.1425%*0.65)-(O98*0.3%)-S98-T98),0)</f>
        <v/>
      </c>
      <c r="R98" s="599" t="n"/>
      <c r="S98" s="585" t="n">
        <v>0</v>
      </c>
      <c r="T98" s="585">
        <f>IF(ROUND(R98*(1+V98),0)&gt;20000,ROUND(ROUND(R98*(1+V98),0)*2%,0),0)</f>
        <v/>
      </c>
      <c r="U98" s="65">
        <f>(V98*50%)/(1+50%*V98)</f>
        <v/>
      </c>
      <c r="V98" s="65" t="n"/>
      <c r="W98" s="66" t="n">
        <v>0.11</v>
      </c>
      <c r="X98" s="586">
        <f>(P98+Q98)/G98</f>
        <v/>
      </c>
      <c r="Y98" s="16">
        <f>VLOOKUP(C98,美股行情!A:C,3,FALSE)</f>
        <v/>
      </c>
      <c r="Z98" s="587">
        <f>VLOOKUP(C98,美股行情!A:G,7,FALSE)</f>
        <v/>
      </c>
      <c r="AA98" s="98" t="n"/>
      <c r="AB98" s="509" t="inlineStr">
        <is>
          <t>美股</t>
        </is>
      </c>
    </row>
    <row r="99">
      <c r="A99" s="177" t="n">
        <v>45953</v>
      </c>
      <c r="B99" s="11" t="inlineStr">
        <is>
          <t>普通買進</t>
        </is>
      </c>
      <c r="C99" s="467" t="inlineStr">
        <is>
          <t>QQQ</t>
        </is>
      </c>
      <c r="D99" s="163">
        <f>VLOOKUP(C99,美股行情!A:B,2,FALSE)</f>
        <v/>
      </c>
      <c r="E99" s="11" t="n">
        <v>0.4959</v>
      </c>
      <c r="F99" s="598" t="n">
        <v>604.97</v>
      </c>
      <c r="G99" s="11" t="n">
        <v>300</v>
      </c>
      <c r="H99" s="11" t="n">
        <v>0.6</v>
      </c>
      <c r="I99" s="99" t="n">
        <v>45727</v>
      </c>
      <c r="J99" s="16" t="n">
        <v>594.17</v>
      </c>
      <c r="K99" s="11">
        <f>E99*J99</f>
        <v/>
      </c>
      <c r="L99" s="17" t="n">
        <v>0.73</v>
      </c>
      <c r="M99" s="11" t="n"/>
      <c r="N99" s="11" t="n">
        <v>0</v>
      </c>
      <c r="O99" s="584">
        <f>IF(I99="",E99*Y99,0)</f>
        <v/>
      </c>
      <c r="P99" s="585">
        <f>IF(I99="",R99-H99,(K99-H99-SUM(L99:N99)+R99-S99-T99)-G99)+(ROUND(R99*V99,0)-ROUND(R99*(1+V99),0)*W99)</f>
        <v/>
      </c>
      <c r="Q99" s="585">
        <f>IF(I99="",(O99-G99-(O99*0.1425%*0.65)-(O99*0.3%)-S99-T99),0)</f>
        <v/>
      </c>
      <c r="R99" s="599" t="n"/>
      <c r="S99" s="585" t="n">
        <v>0</v>
      </c>
      <c r="T99" s="585">
        <f>IF(ROUND(R99*(1+V99),0)&gt;20000,ROUND(ROUND(R99*(1+V99),0)*2%,0),0)</f>
        <v/>
      </c>
      <c r="U99" s="65">
        <f>(V99*50%)/(1+50%*V99)</f>
        <v/>
      </c>
      <c r="V99" s="65" t="n"/>
      <c r="W99" s="66" t="n">
        <v>0.11</v>
      </c>
      <c r="X99" s="586">
        <f>(P99+Q99)/G99</f>
        <v/>
      </c>
      <c r="Y99" s="16">
        <f>VLOOKUP(C99,美股行情!A:C,3,FALSE)</f>
        <v/>
      </c>
      <c r="Z99" s="587">
        <f>VLOOKUP(C99,美股行情!A:G,7,FALSE)</f>
        <v/>
      </c>
      <c r="AA99" s="98" t="n"/>
      <c r="AB99" s="509" t="inlineStr">
        <is>
          <t>美股</t>
        </is>
      </c>
    </row>
    <row r="100">
      <c r="A100" s="177" t="n">
        <v>45953</v>
      </c>
      <c r="B100" s="11" t="inlineStr">
        <is>
          <t>普通買進</t>
        </is>
      </c>
      <c r="C100" s="467" t="inlineStr">
        <is>
          <t>TSLA</t>
        </is>
      </c>
      <c r="D100" s="163">
        <f>VLOOKUP(C100,美股行情!A:B,2,FALSE)</f>
        <v/>
      </c>
      <c r="E100" s="11" t="n">
        <v>0.7142500000000001</v>
      </c>
      <c r="F100" s="598" t="n">
        <v>419.116477</v>
      </c>
      <c r="G100" s="11" t="n">
        <v>299.36</v>
      </c>
      <c r="H100" s="11" t="n">
        <v>0.6</v>
      </c>
      <c r="I100" s="99" t="n">
        <v>46002</v>
      </c>
      <c r="J100" s="16" t="n">
        <v>448.8</v>
      </c>
      <c r="K100" s="11">
        <f>E100*J100</f>
        <v/>
      </c>
      <c r="L100" s="17" t="n">
        <v>0.8</v>
      </c>
      <c r="M100" s="11" t="n"/>
      <c r="N100" s="11" t="n">
        <v>0</v>
      </c>
      <c r="O100" s="584">
        <f>IF(I100="",E100*Y100,0)</f>
        <v/>
      </c>
      <c r="P100" s="585">
        <f>IF(I100="",R100-H100,(K100-H100-SUM(L100:N100)+R100-S100-T100)-G100)+(ROUND(R100*V100,0)-ROUND(R100*(1+V100),0)*W100)</f>
        <v/>
      </c>
      <c r="Q100" s="585">
        <f>IF(I100="",(O100-G100-(O100*0.1425%*0.65)-(O100*0.3%)-S100-T100),0)</f>
        <v/>
      </c>
      <c r="R100" s="599" t="n"/>
      <c r="S100" s="585" t="n">
        <v>0</v>
      </c>
      <c r="T100" s="585">
        <f>IF(ROUND(R100*(1+V100),0)&gt;20000,ROUND(ROUND(R100*(1+V100),0)*2%,0),0)</f>
        <v/>
      </c>
      <c r="U100" s="65">
        <f>(V100*50%)/(1+50%*V100)</f>
        <v/>
      </c>
      <c r="V100" s="65" t="n"/>
      <c r="W100" s="66" t="n">
        <v>0.11</v>
      </c>
      <c r="X100" s="586">
        <f>(P100+Q100)/G100</f>
        <v/>
      </c>
      <c r="Y100" s="16">
        <f>VLOOKUP(C100,美股行情!A:C,3,FALSE)</f>
        <v/>
      </c>
      <c r="Z100" s="587">
        <f>VLOOKUP(C100,美股行情!A:G,7,FALSE)</f>
        <v/>
      </c>
      <c r="AA100" s="98" t="n"/>
      <c r="AB100" s="509" t="inlineStr">
        <is>
          <t>美股</t>
        </is>
      </c>
    </row>
    <row r="101">
      <c r="A101" s="177" t="n">
        <v>45985</v>
      </c>
      <c r="B101" s="11" t="inlineStr">
        <is>
          <t>普通買進</t>
        </is>
      </c>
      <c r="C101" s="467" t="inlineStr">
        <is>
          <t>QQQ</t>
        </is>
      </c>
      <c r="D101" s="163">
        <f>VLOOKUP(C101,美股行情!A:B,2,FALSE)</f>
        <v/>
      </c>
      <c r="E101" s="11" t="n">
        <v>0.50354</v>
      </c>
      <c r="F101" s="598" t="n">
        <v>595.78979</v>
      </c>
      <c r="G101" s="11" t="n">
        <v>300</v>
      </c>
      <c r="H101" s="11" t="n">
        <v>0.3</v>
      </c>
      <c r="I101" s="99" t="n">
        <v>45727</v>
      </c>
      <c r="J101" s="16" t="n">
        <v>594.17</v>
      </c>
      <c r="K101" s="11">
        <f>E101*J101</f>
        <v/>
      </c>
      <c r="L101" s="17" t="n">
        <v>0.73</v>
      </c>
      <c r="M101" s="11" t="n"/>
      <c r="N101" s="11" t="n">
        <v>0</v>
      </c>
      <c r="O101" s="584">
        <f>IF(I101="",E101*Y101,0)</f>
        <v/>
      </c>
      <c r="P101" s="585">
        <f>IF(I101="",R101-H101,(K101-H101-SUM(L101:N101)+R101-S101-T101)-G101)+(ROUND(R101*V101,0)-ROUND(R101*(1+V101),0)*W101)</f>
        <v/>
      </c>
      <c r="Q101" s="585">
        <f>IF(I101="",(O101-G101-(O101*0.1425%*0.65)-(O101*0.3%)-S101-T101),0)</f>
        <v/>
      </c>
      <c r="R101" s="599" t="n"/>
      <c r="S101" s="585" t="n">
        <v>0</v>
      </c>
      <c r="T101" s="585">
        <f>IF(ROUND(R101*(1+V101),0)&gt;20000,ROUND(ROUND(R101*(1+V101),0)*2%,0),0)</f>
        <v/>
      </c>
      <c r="U101" s="65">
        <f>(V101*50%)/(1+50%*V101)</f>
        <v/>
      </c>
      <c r="V101" s="65" t="n"/>
      <c r="W101" s="66" t="n">
        <v>0.11</v>
      </c>
      <c r="X101" s="586">
        <f>(P101+Q101)/G101</f>
        <v/>
      </c>
      <c r="Y101" s="16">
        <f>VLOOKUP(C101,美股行情!A:C,3,FALSE)</f>
        <v/>
      </c>
      <c r="Z101" s="587">
        <f>VLOOKUP(C101,美股行情!A:G,7,FALSE)</f>
        <v/>
      </c>
      <c r="AA101" s="98" t="n"/>
      <c r="AB101" s="509" t="inlineStr">
        <is>
          <t>美股</t>
        </is>
      </c>
    </row>
    <row r="102">
      <c r="A102" s="177" t="n">
        <v>45985</v>
      </c>
      <c r="B102" s="11" t="inlineStr">
        <is>
          <t>普通買進</t>
        </is>
      </c>
      <c r="C102" s="467" t="inlineStr">
        <is>
          <t>TSLA</t>
        </is>
      </c>
      <c r="D102" s="163">
        <f>VLOOKUP(C102,美股行情!A:B,2,FALSE)</f>
        <v/>
      </c>
      <c r="E102" s="11" t="n">
        <v>0.7448900000000001</v>
      </c>
      <c r="F102" s="598" t="n">
        <v>402.744553</v>
      </c>
      <c r="G102" s="11" t="n">
        <v>300</v>
      </c>
      <c r="H102" s="11" t="n">
        <v>0.3</v>
      </c>
      <c r="I102" s="99" t="n">
        <v>46002</v>
      </c>
      <c r="J102" s="16" t="n">
        <v>448.8</v>
      </c>
      <c r="K102" s="11">
        <f>E102*J102</f>
        <v/>
      </c>
      <c r="L102" s="17" t="n">
        <v>0.8</v>
      </c>
      <c r="M102" s="11" t="n"/>
      <c r="N102" s="11" t="n">
        <v>0</v>
      </c>
      <c r="O102" s="584">
        <f>IF(I102="",E102*Y102,0)</f>
        <v/>
      </c>
      <c r="P102" s="585">
        <f>IF(I102="",R102-H102,(K102-H102-SUM(L102:N102)+R102-S102-T102)-G102)+(ROUND(R102*V102,0)-ROUND(R102*(1+V102),0)*W102)</f>
        <v/>
      </c>
      <c r="Q102" s="585">
        <f>IF(I102="",(O102-G102-(O102*0.1425%*0.65)-(O102*0.3%)-S102-T102),0)</f>
        <v/>
      </c>
      <c r="R102" s="599" t="n"/>
      <c r="S102" s="585" t="n">
        <v>0</v>
      </c>
      <c r="T102" s="585">
        <f>IF(ROUND(R102*(1+V102),0)&gt;20000,ROUND(ROUND(R102*(1+V102),0)*2%,0),0)</f>
        <v/>
      </c>
      <c r="U102" s="65">
        <f>(V102*50%)/(1+50%*V102)</f>
        <v/>
      </c>
      <c r="V102" s="65" t="n"/>
      <c r="W102" s="66" t="n">
        <v>0.11</v>
      </c>
      <c r="X102" s="586">
        <f>(P102+Q102)/G102</f>
        <v/>
      </c>
      <c r="Y102" s="16">
        <f>VLOOKUP(C102,美股行情!A:C,3,FALSE)</f>
        <v/>
      </c>
      <c r="Z102" s="587">
        <f>VLOOKUP(C102,美股行情!A:G,7,FALSE)</f>
        <v/>
      </c>
      <c r="AA102" s="98" t="n"/>
      <c r="AB102" s="509" t="inlineStr">
        <is>
          <t>美股</t>
        </is>
      </c>
    </row>
    <row r="103">
      <c r="A103" s="177" t="n">
        <v>46015</v>
      </c>
      <c r="B103" s="11" t="inlineStr">
        <is>
          <t>普通買進</t>
        </is>
      </c>
      <c r="C103" s="467" t="inlineStr">
        <is>
          <t>QQQ</t>
        </is>
      </c>
      <c r="D103" s="163">
        <f>VLOOKUP(C103,美股行情!A:B,2,FALSE)</f>
        <v/>
      </c>
      <c r="E103" s="11" t="n">
        <v>0.4853</v>
      </c>
      <c r="F103" s="598" t="n">
        <v>618.1799999999999</v>
      </c>
      <c r="G103" s="11" t="n">
        <v>300</v>
      </c>
      <c r="H103" s="11" t="n">
        <v>0.3</v>
      </c>
      <c r="I103" s="99" t="n">
        <v>45727</v>
      </c>
      <c r="J103" s="16" t="n">
        <v>594.17</v>
      </c>
      <c r="K103" s="11">
        <f>E103*J103</f>
        <v/>
      </c>
      <c r="L103" s="17" t="n">
        <v>0.73</v>
      </c>
      <c r="M103" s="11" t="n"/>
      <c r="N103" s="11" t="n">
        <v>0</v>
      </c>
      <c r="O103" s="584">
        <f>IF(I103="",E103*Y103,0)</f>
        <v/>
      </c>
      <c r="P103" s="585">
        <f>IF(I103="",R103-H103,(K103-H103-SUM(L103:N103)+R103-S103-T103)-G103)+(ROUND(R103*V103,0)-ROUND(R103*(1+V103),0)*W103)</f>
        <v/>
      </c>
      <c r="Q103" s="585">
        <f>IF(I103="",(O103-G103-(O103*0.1425%*0.65)-(O103*0.3%)-S103-T103),0)</f>
        <v/>
      </c>
      <c r="R103" s="599" t="n">
        <v>0.83</v>
      </c>
      <c r="S103" s="585" t="n">
        <v>0</v>
      </c>
      <c r="T103" s="585">
        <f>IF(ROUND(R103*(1+V103),0)&gt;20000,ROUND(ROUND(R103*(1+V103),0)*2%,0),0)</f>
        <v/>
      </c>
      <c r="U103" s="65">
        <f>(V103*50%)/(1+50%*V103)</f>
        <v/>
      </c>
      <c r="V103" s="65" t="n"/>
      <c r="W103" s="66" t="n">
        <v>0.11</v>
      </c>
      <c r="X103" s="586">
        <f>(P103+Q103)/G103</f>
        <v/>
      </c>
      <c r="Y103" s="16">
        <f>VLOOKUP(C103,美股行情!A:C,3,FALSE)</f>
        <v/>
      </c>
      <c r="Z103" s="587">
        <f>VLOOKUP(C103,美股行情!A:G,7,FALSE)</f>
        <v/>
      </c>
      <c r="AA103" s="98" t="n"/>
      <c r="AB103" s="509" t="inlineStr">
        <is>
          <t>美股</t>
        </is>
      </c>
    </row>
    <row r="104">
      <c r="A104" s="177" t="n">
        <v>46015</v>
      </c>
      <c r="B104" s="11" t="inlineStr">
        <is>
          <t>普通買進</t>
        </is>
      </c>
      <c r="C104" s="467" t="inlineStr">
        <is>
          <t>TSLA</t>
        </is>
      </c>
      <c r="D104" s="163">
        <f>VLOOKUP(C104,美股行情!A:B,2,FALSE)</f>
        <v/>
      </c>
      <c r="E104" s="11" t="n">
        <v>0.61242</v>
      </c>
      <c r="F104" s="598" t="n">
        <v>489.86</v>
      </c>
      <c r="G104" s="11" t="n">
        <v>300</v>
      </c>
      <c r="H104" s="11" t="n">
        <v>0.3</v>
      </c>
      <c r="I104" s="99" t="n">
        <v>45727</v>
      </c>
      <c r="J104" s="16" t="n">
        <v>390</v>
      </c>
      <c r="K104" s="11">
        <f>E104*J104</f>
        <v/>
      </c>
      <c r="L104" s="17" t="n">
        <v>0.8</v>
      </c>
      <c r="M104" s="11" t="n"/>
      <c r="N104" s="11" t="n">
        <v>0</v>
      </c>
      <c r="O104" s="584">
        <f>IF(I104="",E104*Y104,0)</f>
        <v/>
      </c>
      <c r="P104" s="585">
        <f>IF(I104="",R104-H104,(K104-H104-SUM(L104:N104)+R104-S104-T104)-G104)+(ROUND(R104*V104,0)-ROUND(R104*(1+V104),0)*W104)</f>
        <v/>
      </c>
      <c r="Q104" s="585">
        <f>IF(I104="",(O104-G104-(O104*0.1425%*0.65)-(O104*0.3%)-S104-T104),0)</f>
        <v/>
      </c>
      <c r="R104" s="599" t="n"/>
      <c r="S104" s="585" t="n">
        <v>0</v>
      </c>
      <c r="T104" s="585">
        <f>IF(ROUND(R104*(1+V104),0)&gt;20000,ROUND(ROUND(R104*(1+V104),0)*2%,0),0)</f>
        <v/>
      </c>
      <c r="U104" s="65">
        <f>(V104*50%)/(1+50%*V104)</f>
        <v/>
      </c>
      <c r="V104" s="65" t="n"/>
      <c r="W104" s="66" t="n">
        <v>0.11</v>
      </c>
      <c r="X104" s="586">
        <f>(P104+Q104)/G104</f>
        <v/>
      </c>
      <c r="Y104" s="16">
        <f>VLOOKUP(C104,美股行情!A:C,3,FALSE)</f>
        <v/>
      </c>
      <c r="Z104" s="587">
        <f>VLOOKUP(C104,美股行情!A:G,7,FALSE)</f>
        <v/>
      </c>
      <c r="AA104" s="98" t="n"/>
      <c r="AB104" s="509" t="inlineStr">
        <is>
          <t>美股</t>
        </is>
      </c>
    </row>
    <row r="105">
      <c r="A105" s="177" t="n">
        <v>46048</v>
      </c>
      <c r="B105" s="11" t="inlineStr">
        <is>
          <t>普通買進</t>
        </is>
      </c>
      <c r="C105" s="467" t="inlineStr">
        <is>
          <t>QQQ</t>
        </is>
      </c>
      <c r="D105" s="163">
        <f>VLOOKUP(C105,美股行情!A:B,2,FALSE)</f>
        <v/>
      </c>
      <c r="E105" s="11" t="n">
        <v>0.48416</v>
      </c>
      <c r="F105" s="598" t="n">
        <v>619.64</v>
      </c>
      <c r="G105" s="11" t="n">
        <v>300</v>
      </c>
      <c r="H105" s="11" t="n">
        <v>0.3</v>
      </c>
      <c r="I105" s="99" t="n">
        <v>45727</v>
      </c>
      <c r="J105" s="16" t="n">
        <v>594.17</v>
      </c>
      <c r="K105" s="11">
        <f>E105*J105</f>
        <v/>
      </c>
      <c r="L105" s="17" t="n">
        <v>0.73</v>
      </c>
      <c r="M105" s="11" t="n"/>
      <c r="N105" s="11" t="n">
        <v>0</v>
      </c>
      <c r="O105" s="584">
        <f>IF(I105="",E105*Y105,0)</f>
        <v/>
      </c>
      <c r="P105" s="585">
        <f>IF(I105="",R105-H105,(K105-H105-SUM(L105:N105)+R105-S105-T105)-G105)+(ROUND(R105*V105,0)-ROUND(R105*(1+V105),0)*W105)</f>
        <v/>
      </c>
      <c r="Q105" s="585">
        <f>IF(I105="",(O105-G105-(O105*0.1425%*0.65)-(O105*0.3%)-S105-T105),0)</f>
        <v/>
      </c>
      <c r="R105" s="599" t="n"/>
      <c r="S105" s="585" t="n">
        <v>0</v>
      </c>
      <c r="T105" s="585">
        <f>IF(ROUND(R105*(1+V105),0)&gt;20000,ROUND(ROUND(R105*(1+V105),0)*2%,0),0)</f>
        <v/>
      </c>
      <c r="U105" s="65">
        <f>(V105*50%)/(1+50%*V105)</f>
        <v/>
      </c>
      <c r="V105" s="65" t="n"/>
      <c r="W105" s="66" t="n">
        <v>0.11</v>
      </c>
      <c r="X105" s="586">
        <f>(P105+Q105)/G105</f>
        <v/>
      </c>
      <c r="Y105" s="16">
        <f>VLOOKUP(C105,美股行情!A:C,3,FALSE)</f>
        <v/>
      </c>
      <c r="Z105" s="587">
        <f>VLOOKUP(C105,美股行情!A:G,7,FALSE)</f>
        <v/>
      </c>
      <c r="AA105" s="98" t="n"/>
      <c r="AB105" s="509" t="inlineStr">
        <is>
          <t>美股</t>
        </is>
      </c>
    </row>
    <row r="106">
      <c r="A106" s="177" t="n">
        <v>46048</v>
      </c>
      <c r="B106" s="11" t="inlineStr">
        <is>
          <t>普通買進</t>
        </is>
      </c>
      <c r="C106" s="467" t="inlineStr">
        <is>
          <t>TSLA</t>
        </is>
      </c>
      <c r="D106" s="163">
        <f>VLOOKUP(C106,美股行情!A:B,2,FALSE)</f>
        <v/>
      </c>
      <c r="E106" s="11" t="n">
        <v>0.67014</v>
      </c>
      <c r="F106" s="598" t="n">
        <v>447.67</v>
      </c>
      <c r="G106" s="11" t="n">
        <v>300</v>
      </c>
      <c r="H106" s="11" t="n">
        <v>0.3</v>
      </c>
      <c r="I106" s="99" t="n">
        <v>45727</v>
      </c>
      <c r="J106" s="16" t="n">
        <v>390</v>
      </c>
      <c r="K106" s="11">
        <f>E106*J106</f>
        <v/>
      </c>
      <c r="L106" s="17" t="n">
        <v>0.8</v>
      </c>
      <c r="M106" s="11" t="n"/>
      <c r="N106" s="11" t="n">
        <v>0</v>
      </c>
      <c r="O106" s="584">
        <f>IF(I106="",E106*Y106,0)</f>
        <v/>
      </c>
      <c r="P106" s="585">
        <f>IF(I106="",R106-H106,(K106-H106-SUM(L106:N106)+R106-S106-T106)-G106)+(ROUND(R106*V106,0)-ROUND(R106*(1+V106),0)*W106)</f>
        <v/>
      </c>
      <c r="Q106" s="585">
        <f>IF(I106="",(O106-G106-(O106*0.1425%*0.65)-(O106*0.3%)-S106-T106),0)</f>
        <v/>
      </c>
      <c r="R106" s="599" t="n"/>
      <c r="S106" s="585" t="n">
        <v>0</v>
      </c>
      <c r="T106" s="585">
        <f>IF(ROUND(R106*(1+V106),0)&gt;20000,ROUND(ROUND(R106*(1+V106),0)*2%,0),0)</f>
        <v/>
      </c>
      <c r="U106" s="65">
        <f>(V106*50%)/(1+50%*V106)</f>
        <v/>
      </c>
      <c r="V106" s="65" t="n"/>
      <c r="W106" s="66" t="n">
        <v>0.11</v>
      </c>
      <c r="X106" s="586">
        <f>(P106+Q106)/G106</f>
        <v/>
      </c>
      <c r="Y106" s="16">
        <f>VLOOKUP(C106,美股行情!A:C,3,FALSE)</f>
        <v/>
      </c>
      <c r="Z106" s="587">
        <f>VLOOKUP(C106,美股行情!A:G,7,FALSE)</f>
        <v/>
      </c>
      <c r="AA106" s="98" t="n"/>
      <c r="AB106" s="509" t="inlineStr">
        <is>
          <t>美股</t>
        </is>
      </c>
    </row>
    <row r="107">
      <c r="A107" s="177" t="n">
        <v>46077</v>
      </c>
      <c r="B107" s="11" t="inlineStr">
        <is>
          <t>普通買進</t>
        </is>
      </c>
      <c r="C107" s="467" t="inlineStr">
        <is>
          <t>QQQ</t>
        </is>
      </c>
      <c r="D107" s="163">
        <f>VLOOKUP(C107,美股行情!A:B,2,FALSE)</f>
        <v/>
      </c>
      <c r="E107" s="11" t="n">
        <v>0.49462</v>
      </c>
      <c r="F107" s="598" t="n">
        <v>606.53</v>
      </c>
      <c r="G107" s="11" t="n">
        <v>300</v>
      </c>
      <c r="H107" s="11" t="n">
        <v>0.3</v>
      </c>
      <c r="I107" s="99" t="n">
        <v>45727</v>
      </c>
      <c r="J107" s="16" t="n">
        <v>594.17</v>
      </c>
      <c r="K107" s="11">
        <f>E107*J107</f>
        <v/>
      </c>
      <c r="L107" s="17" t="n">
        <v>0.74</v>
      </c>
      <c r="M107" s="11" t="n"/>
      <c r="N107" s="11" t="n">
        <v>0</v>
      </c>
      <c r="O107" s="584">
        <f>IF(I107="",E107*Y107,0)</f>
        <v/>
      </c>
      <c r="P107" s="585">
        <f>IF(I107="",R107-H107,(K107-H107-SUM(L107:N107)+R107-S107-T107)-G107)+(ROUND(R107*V107,0)-ROUND(R107*(1+V107),0)*W107)</f>
        <v/>
      </c>
      <c r="Q107" s="585">
        <f>IF(I107="",(O107-G107-(O107*0.1425%*0.65)-(O107*0.3%)-S107-T107),0)</f>
        <v/>
      </c>
      <c r="R107" s="599" t="n"/>
      <c r="S107" s="585" t="n">
        <v>0</v>
      </c>
      <c r="T107" s="585">
        <f>IF(ROUND(R107*(1+V107),0)&gt;20000,ROUND(ROUND(R107*(1+V107),0)*2%,0),0)</f>
        <v/>
      </c>
      <c r="U107" s="65">
        <f>(V107*50%)/(1+50%*V107)</f>
        <v/>
      </c>
      <c r="V107" s="65" t="n"/>
      <c r="W107" s="66" t="n">
        <v>0.11</v>
      </c>
      <c r="X107" s="586">
        <f>(P107+Q107)/G107</f>
        <v/>
      </c>
      <c r="Y107" s="16">
        <f>VLOOKUP(C107,美股行情!A:C,3,FALSE)</f>
        <v/>
      </c>
      <c r="Z107" s="587">
        <f>VLOOKUP(C107,美股行情!A:G,7,FALSE)</f>
        <v/>
      </c>
      <c r="AA107" s="98" t="n"/>
      <c r="AB107" s="509" t="inlineStr">
        <is>
          <t>美股</t>
        </is>
      </c>
    </row>
    <row r="108">
      <c r="A108" s="177" t="n">
        <v>46077</v>
      </c>
      <c r="B108" s="11" t="inlineStr">
        <is>
          <t>普通買進</t>
        </is>
      </c>
      <c r="C108" s="467" t="inlineStr">
        <is>
          <t>TSLA</t>
        </is>
      </c>
      <c r="D108" s="163">
        <f>VLOOKUP(C108,美股行情!A:B,2,FALSE)</f>
        <v/>
      </c>
      <c r="E108" s="11" t="n">
        <v>0.73664</v>
      </c>
      <c r="F108" s="598" t="n">
        <v>407.259898</v>
      </c>
      <c r="G108" s="11" t="n">
        <v>300</v>
      </c>
      <c r="H108" s="11" t="n">
        <v>0.3</v>
      </c>
      <c r="I108" s="99" t="n">
        <v>45727</v>
      </c>
      <c r="J108" s="16" t="n">
        <v>390</v>
      </c>
      <c r="K108" s="11">
        <f>E108*J108</f>
        <v/>
      </c>
      <c r="L108" s="17" t="n">
        <v>0.8</v>
      </c>
      <c r="M108" s="11" t="n"/>
      <c r="N108" s="11" t="n">
        <v>0</v>
      </c>
      <c r="O108" s="584">
        <f>IF(I108="",E108*Y108,0)</f>
        <v/>
      </c>
      <c r="P108" s="585">
        <f>IF(I108="",R108-H108,(K108-H108-SUM(L108:N108)+R108-S108-T108)-G108)+(ROUND(R108*V108,0)-ROUND(R108*(1+V108),0)*W108)</f>
        <v/>
      </c>
      <c r="Q108" s="585">
        <f>IF(I108="",(O108-G108-(O108*0.1425%*0.65)-(O108*0.3%)-S108-T108),0)</f>
        <v/>
      </c>
      <c r="R108" s="599" t="n"/>
      <c r="S108" s="585" t="n">
        <v>0</v>
      </c>
      <c r="T108" s="585">
        <f>IF(ROUND(R108*(1+V108),0)&gt;20000,ROUND(ROUND(R108*(1+V108),0)*2%,0),0)</f>
        <v/>
      </c>
      <c r="U108" s="65">
        <f>(V108*50%)/(1+50%*V108)</f>
        <v/>
      </c>
      <c r="V108" s="65" t="n"/>
      <c r="W108" s="66" t="n">
        <v>0.11</v>
      </c>
      <c r="X108" s="586">
        <f>(P108+Q108)/G108</f>
        <v/>
      </c>
      <c r="Y108" s="16">
        <f>VLOOKUP(C108,美股行情!A:C,3,FALSE)</f>
        <v/>
      </c>
      <c r="Z108" s="587">
        <f>VLOOKUP(C108,美股行情!A:G,7,FALSE)</f>
        <v/>
      </c>
      <c r="AA108" s="98" t="n"/>
      <c r="AB108" s="509" t="inlineStr">
        <is>
          <t>美股</t>
        </is>
      </c>
    </row>
    <row r="109">
      <c r="A109" s="177" t="n">
        <v>46120</v>
      </c>
      <c r="B109" s="11" t="inlineStr">
        <is>
          <t>普通買進</t>
        </is>
      </c>
      <c r="C109" s="467" t="inlineStr">
        <is>
          <t>QQQ</t>
        </is>
      </c>
      <c r="D109" s="163">
        <f>VLOOKUP(C109,美股行情!A:B,2,FALSE)</f>
        <v/>
      </c>
      <c r="E109" s="11" t="n">
        <v>0.49236</v>
      </c>
      <c r="F109" s="598" t="n">
        <v>609.3200000000001</v>
      </c>
      <c r="G109" s="11" t="n">
        <v>300</v>
      </c>
      <c r="H109" s="11" t="n">
        <v>0.3</v>
      </c>
      <c r="I109" s="99" t="n"/>
      <c r="J109" s="16" t="n"/>
      <c r="K109" s="11">
        <f>E109*J109</f>
        <v/>
      </c>
      <c r="L109" s="17" t="n"/>
      <c r="M109" s="11" t="n"/>
      <c r="N109" s="11" t="n">
        <v>0</v>
      </c>
      <c r="O109" s="584">
        <f>IF(I109="",E109*Y109,0)</f>
        <v/>
      </c>
      <c r="P109" s="585">
        <f>IF(I109="",R109-H109,(K109-H109-SUM(L109:N109)+R109-S109-T109)-G109)+(ROUND(R109*V109,0)-ROUND(R109*(1+V109),0)*W109)</f>
        <v/>
      </c>
      <c r="Q109" s="585">
        <f>IF(I109="",(O109-G109-(O109*0.1425%*0.65)-(O109*0.3%)-S109-T109),0)</f>
        <v/>
      </c>
      <c r="R109" s="599" t="n"/>
      <c r="S109" s="585" t="n">
        <v>0</v>
      </c>
      <c r="T109" s="585">
        <f>IF(ROUND(R109*(1+V109),0)&gt;20000,ROUND(ROUND(R109*(1+V109),0)*2%,0),0)</f>
        <v/>
      </c>
      <c r="U109" s="65">
        <f>(V109*50%)/(1+50%*V109)</f>
        <v/>
      </c>
      <c r="V109" s="65" t="n"/>
      <c r="W109" s="66" t="n">
        <v>0.11</v>
      </c>
      <c r="X109" s="586">
        <f>(P109+Q109)/G109</f>
        <v/>
      </c>
      <c r="Y109" s="16">
        <f>VLOOKUP(C109,美股行情!A:C,3,FALSE)</f>
        <v/>
      </c>
      <c r="Z109" s="587">
        <f>VLOOKUP(C109,美股行情!A:G,7,FALSE)</f>
        <v/>
      </c>
      <c r="AA109" s="98" t="n"/>
      <c r="AB109" s="509" t="inlineStr">
        <is>
          <t>美股</t>
        </is>
      </c>
    </row>
    <row r="110">
      <c r="A110" s="177" t="n">
        <v>46120</v>
      </c>
      <c r="B110" s="11" t="inlineStr">
        <is>
          <t>普通買進</t>
        </is>
      </c>
      <c r="C110" s="521" t="inlineStr">
        <is>
          <t>VT</t>
        </is>
      </c>
      <c r="D110" s="163">
        <f>VLOOKUP(C110,美股行情!A:B,2,FALSE)</f>
        <v/>
      </c>
      <c r="E110" s="11" t="n">
        <v>2.06868</v>
      </c>
      <c r="F110" s="598" t="n">
        <v>145.020302</v>
      </c>
      <c r="G110" s="11" t="n">
        <v>300</v>
      </c>
      <c r="H110" s="11" t="n">
        <v>0.3</v>
      </c>
      <c r="I110" s="99" t="n"/>
      <c r="J110" s="16" t="n"/>
      <c r="K110" s="11">
        <f>E110*J110</f>
        <v/>
      </c>
      <c r="L110" s="17" t="n"/>
      <c r="M110" s="11" t="n"/>
      <c r="N110" s="11" t="n">
        <v>0</v>
      </c>
      <c r="O110" s="584">
        <f>IF(I110="",E110*Y110,0)</f>
        <v/>
      </c>
      <c r="P110" s="585">
        <f>IF(I110="",R110-H110,(K110-H110-SUM(L110:N110)+R110-S110-T110)-G110)+(ROUND(R110*V110,0)-ROUND(R110*(1+V110),0)*W110)</f>
        <v/>
      </c>
      <c r="Q110" s="585">
        <f>IF(I110="",(O110-G110-(O110*0.1425%*0.65)-(O110*0.3%)-S110-T110),0)</f>
        <v/>
      </c>
      <c r="R110" s="599" t="n"/>
      <c r="S110" s="585" t="n">
        <v>0</v>
      </c>
      <c r="T110" s="585">
        <f>IF(ROUND(R110*(1+V110),0)&gt;20000,ROUND(ROUND(R110*(1+V110),0)*2%,0),0)</f>
        <v/>
      </c>
      <c r="U110" s="65">
        <f>(V110*50%)/(1+50%*V110)</f>
        <v/>
      </c>
      <c r="V110" s="65" t="n"/>
      <c r="W110" s="66" t="n">
        <v>0.11</v>
      </c>
      <c r="X110" s="586">
        <f>(P110+Q110)/G110</f>
        <v/>
      </c>
      <c r="Y110" s="16">
        <f>VLOOKUP(C110,美股行情!A:C,3,FALSE)</f>
        <v/>
      </c>
      <c r="Z110" s="587">
        <f>VLOOKUP(C110,美股行情!A:G,7,FALSE)</f>
        <v/>
      </c>
      <c r="AA110" s="98" t="n"/>
      <c r="AB110" s="509" t="inlineStr">
        <is>
          <t>美股</t>
        </is>
      </c>
    </row>
    <row r="111">
      <c r="A111" s="177" t="n">
        <v>46139</v>
      </c>
      <c r="B111" s="11" t="inlineStr">
        <is>
          <t>普通買進</t>
        </is>
      </c>
      <c r="C111" s="467" t="inlineStr">
        <is>
          <t>QQQ</t>
        </is>
      </c>
      <c r="D111" s="163">
        <f>VLOOKUP(C111,美股行情!A:B,2,FALSE)</f>
        <v/>
      </c>
      <c r="E111" s="11" t="n">
        <v>4.52237</v>
      </c>
      <c r="F111" s="598" t="n">
        <v>663.370173</v>
      </c>
      <c r="G111" s="11" t="n">
        <v>3000</v>
      </c>
      <c r="H111" s="11" t="n">
        <v>3</v>
      </c>
      <c r="I111" s="99" t="n"/>
      <c r="J111" s="16" t="n"/>
      <c r="K111" s="11">
        <f>E111*J111</f>
        <v/>
      </c>
      <c r="L111" s="17" t="n"/>
      <c r="M111" s="11" t="n"/>
      <c r="N111" s="11" t="n">
        <v>0</v>
      </c>
      <c r="O111" s="584">
        <f>IF(I111="",E111*Y111,0)</f>
        <v/>
      </c>
      <c r="P111" s="585">
        <f>IF(I111="",R111-H111,(K111-H111-SUM(L111:N111)+R111-S111-T111)-G111)+(ROUND(R111*V111,0)-ROUND(R111*(1+V111),0)*W111)</f>
        <v/>
      </c>
      <c r="Q111" s="585">
        <f>IF(I111="",(O111-G111-(O111*0.1425%*0.65)-(O111*0.3%)-S111-T111),0)</f>
        <v/>
      </c>
      <c r="R111" s="599" t="n"/>
      <c r="S111" s="585" t="n">
        <v>0</v>
      </c>
      <c r="T111" s="585">
        <f>IF(ROUND(R111*(1+V111),0)&gt;20000,ROUND(ROUND(R111*(1+V111),0)*2%,0),0)</f>
        <v/>
      </c>
      <c r="U111" s="65">
        <f>(V111*50%)/(1+50%*V111)</f>
        <v/>
      </c>
      <c r="V111" s="65" t="n"/>
      <c r="W111" s="66" t="n">
        <v>0.11</v>
      </c>
      <c r="X111" s="586">
        <f>(P111+Q111)/G111</f>
        <v/>
      </c>
      <c r="Y111" s="16">
        <f>VLOOKUP(C111,美股行情!A:C,3,FALSE)</f>
        <v/>
      </c>
      <c r="Z111" s="587">
        <f>VLOOKUP(C111,美股行情!A:G,7,FALSE)</f>
        <v/>
      </c>
      <c r="AA111" s="98" t="n"/>
      <c r="AB111" s="509" t="inlineStr">
        <is>
          <t>美股</t>
        </is>
      </c>
    </row>
    <row r="112" ht="17.25" customHeight="1" thickBot="1">
      <c r="A112" s="48" t="n"/>
      <c r="B112" s="49" t="n"/>
      <c r="C112" s="49" t="n"/>
      <c r="D112" s="49" t="n"/>
      <c r="E112" s="49" t="n"/>
      <c r="F112" s="49" t="n"/>
      <c r="G112" s="49" t="n"/>
      <c r="H112" s="49" t="n"/>
      <c r="I112" s="50" t="n"/>
      <c r="J112" s="51" t="n"/>
      <c r="K112" s="49" t="n"/>
      <c r="L112" s="593" t="n"/>
      <c r="M112" s="49" t="n"/>
      <c r="N112" s="49" t="n"/>
      <c r="O112" s="594" t="n"/>
      <c r="P112" s="595" t="n"/>
      <c r="Q112" s="595" t="n"/>
      <c r="R112" s="595" t="n"/>
      <c r="S112" s="595" t="n"/>
      <c r="T112" s="596" t="n"/>
      <c r="U112" s="595" t="n"/>
      <c r="V112" s="595" t="n"/>
      <c r="W112" s="73" t="n"/>
      <c r="X112" s="597" t="n"/>
      <c r="Y112" s="51" t="n"/>
      <c r="Z112" s="56" t="n"/>
      <c r="AA112" s="28" t="n"/>
      <c r="AB112" s="509" t="n"/>
    </row>
    <row r="113" ht="17.25" customHeight="1" thickBot="1">
      <c r="AB113" s="509" t="n"/>
    </row>
    <row r="114" ht="17.25" customFormat="1" customHeight="1" s="8" thickBot="1">
      <c r="A114" s="187" t="inlineStr">
        <is>
          <t>分析</t>
        </is>
      </c>
      <c r="B114" s="600" t="n"/>
      <c r="C114" s="601" t="n"/>
      <c r="D114" s="187" t="inlineStr">
        <is>
          <t>分類</t>
        </is>
      </c>
      <c r="E114" s="403" t="n"/>
      <c r="F114" s="600" t="n"/>
      <c r="G114" s="187" t="inlineStr">
        <is>
          <t>成交金額</t>
        </is>
      </c>
      <c r="H114" s="187" t="inlineStr">
        <is>
          <t>手續費</t>
        </is>
      </c>
      <c r="I114" s="187" t="n"/>
      <c r="J114" s="510" t="n"/>
      <c r="K114" s="511" t="n"/>
      <c r="L114" s="511" t="n"/>
      <c r="M114" s="511" t="n"/>
      <c r="N114" s="512" t="n"/>
      <c r="O114" s="187" t="inlineStr">
        <is>
          <t>參考現值</t>
        </is>
      </c>
      <c r="P114" s="187" t="inlineStr">
        <is>
          <t>已實現損益</t>
        </is>
      </c>
      <c r="Q114" s="187" t="inlineStr">
        <is>
          <t>未實現損益</t>
        </is>
      </c>
      <c r="R114" s="187" t="inlineStr">
        <is>
          <t>除息</t>
        </is>
      </c>
      <c r="S114" s="187" t="inlineStr">
        <is>
          <t>手續費</t>
        </is>
      </c>
      <c r="T114" s="187" t="inlineStr">
        <is>
          <t>健保補充保費</t>
        </is>
      </c>
      <c r="U114" s="526" t="n"/>
      <c r="V114" s="526" t="inlineStr">
        <is>
          <t>扣抵稅率</t>
        </is>
      </c>
      <c r="W114" s="526" t="inlineStr">
        <is>
          <t>所得稅率</t>
        </is>
      </c>
      <c r="X114" s="187" t="inlineStr">
        <is>
          <t>投資報酬率</t>
        </is>
      </c>
      <c r="Y114" s="187" t="inlineStr">
        <is>
          <t>年化報酬率</t>
        </is>
      </c>
      <c r="Z114" s="187" t="inlineStr">
        <is>
          <t>勝率</t>
        </is>
      </c>
      <c r="AA114" s="81" t="n"/>
      <c r="AB114" s="9" t="n"/>
    </row>
    <row r="115" outlineLevel="1">
      <c r="A115" s="602" t="n"/>
      <c r="C115" s="603" t="n"/>
      <c r="D115" s="526" t="inlineStr">
        <is>
          <t>台幣活儲</t>
        </is>
      </c>
      <c r="G115" s="194" t="n"/>
      <c r="H115" s="194" t="n"/>
      <c r="I115" s="604" t="n"/>
      <c r="J115" s="513" t="n"/>
      <c r="K115" s="202" t="n"/>
      <c r="L115" s="202" t="n"/>
      <c r="M115" s="202" t="n"/>
      <c r="N115" s="203" t="n"/>
      <c r="O115" s="194">
        <f>'YuHui-帳戶紀錄'!D639</f>
        <v/>
      </c>
      <c r="P115" s="605" t="n"/>
      <c r="Q115" s="605" t="n"/>
      <c r="R115" s="194" t="n"/>
      <c r="S115" s="514" t="n"/>
      <c r="T115" s="514" t="n"/>
      <c r="U115" s="604" t="n"/>
      <c r="V115" s="192" t="n"/>
      <c r="W115" s="192" t="n"/>
      <c r="X115" s="606" t="n"/>
      <c r="Y115" s="606" t="n"/>
      <c r="Z115" s="197" t="n"/>
      <c r="AA115" s="9">
        <f>SUMIF(AB$2:AB$115,D115,AA$2:AA$115)</f>
        <v/>
      </c>
    </row>
    <row r="116" outlineLevel="1">
      <c r="A116" s="602" t="n"/>
      <c r="C116" s="603" t="n"/>
      <c r="D116" s="528" t="inlineStr">
        <is>
          <t>台股</t>
        </is>
      </c>
      <c r="G116" s="194">
        <f>SUMIF(AB$2:AB$326,D116,G$2:G$326)</f>
        <v/>
      </c>
      <c r="H116" s="194">
        <f>SUMIF(AB$2:AB$326,D116,H$2:H$326)</f>
        <v/>
      </c>
      <c r="I116" s="604" t="n"/>
      <c r="J116" s="513" t="n"/>
      <c r="K116" s="202" t="n"/>
      <c r="L116" s="202" t="n"/>
      <c r="M116" s="202" t="n"/>
      <c r="N116" s="203" t="n"/>
      <c r="O116" s="194">
        <f>SUMIF(AB$2:AB$113,D116,O$2:O$113)</f>
        <v/>
      </c>
      <c r="P116" s="605">
        <f>SUMIF(AB$2:AB$326,D116,P$2:P$326)</f>
        <v/>
      </c>
      <c r="Q116" s="605">
        <f>SUMIF(AB$2:AB$326,"*"&amp;D116&amp;"*",Q$2:Q$326)</f>
        <v/>
      </c>
      <c r="R116" s="194">
        <f>SUMIF(AB$2:AB$326,D116,R$2:R$326)</f>
        <v/>
      </c>
      <c r="S116" s="192" t="n"/>
      <c r="T116" s="192" t="n"/>
      <c r="U116" s="604" t="n"/>
      <c r="V116" s="192" t="n"/>
      <c r="W116" s="192" t="n"/>
      <c r="X116" s="606">
        <f>(SUMIF(AB$2:AB$326,D116,P$2:P$326)+SUMIF(AB$2:AB$326,"*"&amp;D116&amp;"*",Q$2:Q$326))/SUMIF(AB$2:AB$326,D116,G$2:G$326)</f>
        <v/>
      </c>
      <c r="Y116" s="606">
        <f>(P116+Q116)/(AA116)</f>
        <v/>
      </c>
      <c r="Z116" s="197">
        <f>COUNTIFS(X$2:X$326,"&gt;0",AB$2:AB$326,D116)/COUNTIF(AB$2:AB$326,D116)</f>
        <v/>
      </c>
      <c r="AA116" s="9">
        <f>SUMIF(AB$2:AB$115,D116,AA$2:AA$115)</f>
        <v/>
      </c>
      <c r="AB116" s="509" t="n"/>
    </row>
    <row r="117" outlineLevel="1" ht="17.25" customHeight="1" thickBot="1">
      <c r="A117" s="602" t="n"/>
      <c r="C117" s="603" t="n"/>
      <c r="D117" s="185" t="inlineStr">
        <is>
          <t>台股 ETF</t>
        </is>
      </c>
      <c r="G117" s="194">
        <f>SUMIF(AB$2:AB$326,D117,G$2:G$326)</f>
        <v/>
      </c>
      <c r="H117" s="194">
        <f>SUMIF(AB$2:AB$326,D117,H$2:H$326)</f>
        <v/>
      </c>
      <c r="I117" s="604" t="n"/>
      <c r="J117" s="513" t="n"/>
      <c r="K117" s="202" t="n"/>
      <c r="L117" s="202" t="n"/>
      <c r="M117" s="202" t="n"/>
      <c r="N117" s="203" t="n"/>
      <c r="O117" s="194">
        <f>SUMIF(AB$2:AB$113,D117,O$2:O$113)</f>
        <v/>
      </c>
      <c r="P117" s="605">
        <f>SUMIF(AB$2:AB$326,D117,P$2:P$326)</f>
        <v/>
      </c>
      <c r="Q117" s="605">
        <f>SUMIF(AB$2:AB$326,"*"&amp;D117&amp;"*",Q$2:Q$326)</f>
        <v/>
      </c>
      <c r="R117" s="194">
        <f>SUMIF(AB$2:AB$326,D117,R$2:R$326)</f>
        <v/>
      </c>
      <c r="S117" s="515" t="n"/>
      <c r="T117" s="515" t="n"/>
      <c r="U117" s="604" t="n"/>
      <c r="V117" s="193" t="n"/>
      <c r="W117" s="193" t="n"/>
      <c r="X117" s="606">
        <f>(SUMIF(AB$2:AB$326,D117,P$2:P$326)+SUMIF(AB$2:AB$326,"*"&amp;D117&amp;"*",Q$2:Q$326))/SUMIF(AB$2:AB$326,D117,G$2:G$326)</f>
        <v/>
      </c>
      <c r="Y117" s="606">
        <f>(P117+Q117)/(AA117)</f>
        <v/>
      </c>
      <c r="Z117" s="197">
        <f>COUNTIFS(X$2:X$326,"&gt;0",AB$2:AB$326,D117)/COUNTIF(AB$2:AB$326,D117)</f>
        <v/>
      </c>
      <c r="AA117" s="9">
        <f>SUMIF(AB$2:AB$115,D117,AA$2:AA$115)</f>
        <v/>
      </c>
    </row>
    <row r="118" outlineLevel="1">
      <c r="A118" s="602" t="n"/>
      <c r="C118" s="603" t="n"/>
      <c r="D118" s="516" t="inlineStr">
        <is>
          <t>美股</t>
        </is>
      </c>
      <c r="G118" s="194">
        <f>SUMIF(AB$2:AB$326,D118,G$2:G$326)</f>
        <v/>
      </c>
      <c r="H118" s="194">
        <f>SUMIF(AB$2:AB$326,D118,H$2:H$326)</f>
        <v/>
      </c>
      <c r="I118" s="604" t="n"/>
      <c r="J118" s="513" t="n"/>
      <c r="K118" s="202" t="n"/>
      <c r="L118" s="202" t="n"/>
      <c r="M118" s="202" t="n"/>
      <c r="N118" s="203" t="n"/>
      <c r="O118" s="194">
        <f>SUMIF(AB$2:AB$113,D118,O$2:O$113)</f>
        <v/>
      </c>
      <c r="P118" s="605">
        <f>SUMIF(AB$2:AB$326,D118,P$2:P$326)</f>
        <v/>
      </c>
      <c r="Q118" s="605">
        <f>SUMIF(AB$2:AB$326,"*"&amp;D118&amp;"*",Q$2:Q$326)</f>
        <v/>
      </c>
      <c r="R118" s="194">
        <f>SUMIF(AB$2:AB$326,D118,R$2:R$326)</f>
        <v/>
      </c>
      <c r="S118" s="192" t="n"/>
      <c r="T118" s="192" t="n"/>
      <c r="U118" s="604" t="n"/>
      <c r="V118" s="192" t="n"/>
      <c r="W118" s="192" t="n"/>
      <c r="X118" s="606">
        <f>(SUMIF(AB$2:AB$326,D118,P$2:P$326)+SUMIF(AB$2:AB$326,"*"&amp;D118&amp;"*",Q$2:Q$326))/SUMIF(AB$2:AB$326,D118,G$2:G$326)</f>
        <v/>
      </c>
      <c r="Y118" s="606">
        <f>(P118+Q118)/(AA118)</f>
        <v/>
      </c>
      <c r="Z118" s="197">
        <f>COUNTIFS(X$2:X$326,"&gt;0",AB$2:AB$326,D118)/COUNTIF(AB$2:AB$326,D118)</f>
        <v/>
      </c>
      <c r="AA118" s="9">
        <f>SUMIF(AB$2:AB$115,D118,AA$2:AA$115)</f>
        <v/>
      </c>
    </row>
    <row r="119" outlineLevel="1" ht="17.25" customHeight="1" thickBot="1">
      <c r="A119" s="602" t="n"/>
      <c r="C119" s="603" t="n"/>
      <c r="D119" s="186" t="inlineStr">
        <is>
          <t>美金儲蓄</t>
        </is>
      </c>
      <c r="G119" s="188" t="n"/>
      <c r="H119" s="188" t="n"/>
      <c r="I119" s="604" t="n"/>
      <c r="J119" s="517" t="n"/>
      <c r="K119" s="205" t="n"/>
      <c r="L119" s="205" t="n"/>
      <c r="M119" s="205" t="n"/>
      <c r="N119" s="206" t="n"/>
      <c r="O119" s="520">
        <f>'YuHui-帳戶紀錄'!G639</f>
        <v/>
      </c>
      <c r="P119" s="607" t="n"/>
      <c r="Q119" s="607" t="n"/>
      <c r="R119" s="188" t="n"/>
      <c r="S119" s="193" t="n"/>
      <c r="T119" s="193" t="n"/>
      <c r="U119" s="608" t="n"/>
      <c r="V119" s="193" t="n"/>
      <c r="W119" s="193" t="n"/>
      <c r="X119" s="609" t="n"/>
      <c r="Y119" s="609" t="n"/>
      <c r="Z119" s="191" t="n"/>
      <c r="AA119" s="9">
        <f>SUMIF(AB$2:AB$115,D119,AA$2:AA$115)</f>
        <v/>
      </c>
    </row>
    <row r="120" outlineLevel="1" ht="17.25" customHeight="1" thickBot="1">
      <c r="A120" s="610" t="n"/>
      <c r="B120" s="611" t="n"/>
      <c r="C120" s="612" t="n"/>
      <c r="D120" s="186" t="inlineStr">
        <is>
          <t>總計</t>
        </is>
      </c>
      <c r="E120" s="611" t="n"/>
      <c r="F120" s="611" t="n"/>
      <c r="G120" s="188">
        <f>SUM(G115:G119)</f>
        <v/>
      </c>
      <c r="H120" s="188">
        <f>SUM(H115:H119)</f>
        <v/>
      </c>
      <c r="I120" s="613" t="n"/>
      <c r="J120" s="518" t="n"/>
      <c r="K120" s="519" t="n"/>
      <c r="L120" s="519" t="n"/>
      <c r="M120" s="519" t="n"/>
      <c r="N120" s="519" t="n"/>
      <c r="O120" s="188">
        <f>SUM(O115:O119)</f>
        <v/>
      </c>
      <c r="P120" s="188">
        <f>SUM(P115:P119)</f>
        <v/>
      </c>
      <c r="Q120" s="188">
        <f>SUM(Q115:Q119)</f>
        <v/>
      </c>
      <c r="R120" s="188">
        <f>SUM(R115:R119)</f>
        <v/>
      </c>
      <c r="S120" s="188" t="n"/>
      <c r="T120" s="188" t="n"/>
      <c r="U120" s="188">
        <f>SUM(U115:U119)</f>
        <v/>
      </c>
      <c r="V120" s="188">
        <f>SUM(V115:V119)</f>
        <v/>
      </c>
      <c r="W120" s="188">
        <f>SUM(W115:W119)</f>
        <v/>
      </c>
      <c r="X120" s="609">
        <f>(P120+Q120)/G120</f>
        <v/>
      </c>
      <c r="Y120" s="609" t="n"/>
      <c r="Z120" s="188" t="n"/>
    </row>
  </sheetData>
  <autoFilter ref="A1:AA112"/>
  <mergeCells count="4">
    <mergeCell ref="E114:F120"/>
    <mergeCell ref="U114:U119"/>
    <mergeCell ref="A114:C120"/>
    <mergeCell ref="I114:I120"/>
  </mergeCells>
  <conditionalFormatting sqref="Z1:AA60 Z66:AA67 Z96:AA96 Z113:AA113 Z121:AA1048576 AA61:AA64">
    <cfRule type="containsText" priority="6089" operator="containsText" dxfId="1" text="△">
      <formula>NOT(ISERROR(SEARCH("△",Z1)))</formula>
    </cfRule>
    <cfRule type="containsText" priority="6090" operator="containsText" dxfId="0" text="▽">
      <formula>NOT(ISERROR(SEARCH("▽",Z1)))</formula>
    </cfRule>
  </conditionalFormatting>
  <conditionalFormatting sqref="I66:I67 I96">
    <cfRule type="expression" priority="6087" dxfId="7">
      <formula>$I66&gt;(TODAY()-7)</formula>
    </cfRule>
    <cfRule type="expression" priority="6088" dxfId="6">
      <formula>$I66&gt;(TODAY()-30)</formula>
    </cfRule>
  </conditionalFormatting>
  <conditionalFormatting sqref="Z2:Z60 Z66:Z86 Z93:Z96 Z112">
    <cfRule type="cellIs" priority="6085" operator="lessThan" dxfId="41">
      <formula>0</formula>
    </cfRule>
    <cfRule type="cellIs" priority="6086" operator="greaterThan" dxfId="40">
      <formula>0</formula>
    </cfRule>
  </conditionalFormatting>
  <conditionalFormatting sqref="Z2:AA60 Z68:AA86 Z93:AA95 AA60:AB64 AB67:AB93 AB95:AB96">
    <cfRule type="containsText" priority="6083" operator="containsText" dxfId="1" text="▲">
      <formula>NOT(ISERROR(SEARCH("▲",Z2)))</formula>
    </cfRule>
    <cfRule type="containsText" priority="6084" operator="containsText" dxfId="0" text="▼">
      <formula>NOT(ISERROR(SEARCH("▼",Z2)))</formula>
    </cfRule>
  </conditionalFormatting>
  <conditionalFormatting sqref="Z65:AA65">
    <cfRule type="containsText" priority="6081" operator="containsText" dxfId="1" text="△">
      <formula>NOT(ISERROR(SEARCH("△",Z65)))</formula>
    </cfRule>
    <cfRule type="containsText" priority="6082" operator="containsText" dxfId="0" text="▽">
      <formula>NOT(ISERROR(SEARCH("▽",Z65)))</formula>
    </cfRule>
    <cfRule type="containsText" priority="6079" operator="containsText" dxfId="1" text="▲">
      <formula>NOT(ISERROR(SEARCH("▲",Z65)))</formula>
    </cfRule>
    <cfRule type="containsText" priority="6080" operator="containsText" dxfId="0" text="▼">
      <formula>NOT(ISERROR(SEARCH("▼",Z65)))</formula>
    </cfRule>
  </conditionalFormatting>
  <conditionalFormatting sqref="Z65">
    <cfRule type="cellIs" priority="6077" operator="lessThan" dxfId="41">
      <formula>0</formula>
    </cfRule>
    <cfRule type="cellIs" priority="6078" operator="greaterThan" dxfId="40">
      <formula>0</formula>
    </cfRule>
  </conditionalFormatting>
  <conditionalFormatting sqref="Z2:AA60 AA61:AA64">
    <cfRule type="containsText" priority="6071" operator="containsText" dxfId="1" text="▲">
      <formula>NOT(ISERROR(SEARCH("▲",Z2)))</formula>
    </cfRule>
    <cfRule type="containsText" priority="6072" operator="containsText" dxfId="0" text="▼">
      <formula>NOT(ISERROR(SEARCH("▼",Z2)))</formula>
    </cfRule>
  </conditionalFormatting>
  <conditionalFormatting sqref="Z112">
    <cfRule type="containsText" priority="6069" operator="containsText" dxfId="1" text="△">
      <formula>NOT(ISERROR(SEARCH("△",Z112)))</formula>
    </cfRule>
    <cfRule type="containsText" priority="6070" operator="containsText" dxfId="0" text="▽">
      <formula>NOT(ISERROR(SEARCH("▽",Z112)))</formula>
    </cfRule>
  </conditionalFormatting>
  <conditionalFormatting sqref="I112">
    <cfRule type="expression" priority="6067" dxfId="7">
      <formula>$I112&gt;(TODAY()-7)</formula>
    </cfRule>
    <cfRule type="expression" priority="6068" dxfId="6">
      <formula>$I112&gt;(TODAY()-30)</formula>
    </cfRule>
  </conditionalFormatting>
  <conditionalFormatting sqref="Z15:AA60 AA61:AA64">
    <cfRule type="containsText" priority="6057" operator="containsText" dxfId="1" text="▲">
      <formula>NOT(ISERROR(SEARCH("▲",Z15)))</formula>
    </cfRule>
    <cfRule type="containsText" priority="6058" operator="containsText" dxfId="0" text="▼">
      <formula>NOT(ISERROR(SEARCH("▼",Z15)))</formula>
    </cfRule>
  </conditionalFormatting>
  <conditionalFormatting sqref="Z5:AA60 AA61:AA64">
    <cfRule type="containsText" priority="6055" operator="containsText" dxfId="1" text="▲">
      <formula>NOT(ISERROR(SEARCH("▲",Z5)))</formula>
    </cfRule>
    <cfRule type="containsText" priority="6056" operator="containsText" dxfId="0" text="▼">
      <formula>NOT(ISERROR(SEARCH("▼",Z5)))</formula>
    </cfRule>
  </conditionalFormatting>
  <conditionalFormatting sqref="Z4:AA60 AA61:AA64">
    <cfRule type="containsText" priority="6053" operator="containsText" dxfId="1" text="▲">
      <formula>NOT(ISERROR(SEARCH("▲",Z4)))</formula>
    </cfRule>
    <cfRule type="containsText" priority="6054" operator="containsText" dxfId="0" text="▼">
      <formula>NOT(ISERROR(SEARCH("▼",Z4)))</formula>
    </cfRule>
  </conditionalFormatting>
  <conditionalFormatting sqref="Z3:AA60 AA61:AA64">
    <cfRule type="containsText" priority="6051" operator="containsText" dxfId="1" text="▲">
      <formula>NOT(ISERROR(SEARCH("▲",Z3)))</formula>
    </cfRule>
    <cfRule type="containsText" priority="6052" operator="containsText" dxfId="0" text="▼">
      <formula>NOT(ISERROR(SEARCH("▼",Z3)))</formula>
    </cfRule>
  </conditionalFormatting>
  <conditionalFormatting sqref="Z7:AA60 AA61:AA64">
    <cfRule type="containsText" priority="6049" operator="containsText" dxfId="1" text="▲">
      <formula>NOT(ISERROR(SEARCH("▲",Z7)))</formula>
    </cfRule>
    <cfRule type="containsText" priority="6050" operator="containsText" dxfId="0" text="▼">
      <formula>NOT(ISERROR(SEARCH("▼",Z7)))</formula>
    </cfRule>
  </conditionalFormatting>
  <conditionalFormatting sqref="Z11:AA11">
    <cfRule type="containsText" priority="6047" operator="containsText" dxfId="1" text="▲">
      <formula>NOT(ISERROR(SEARCH("▲",Z11)))</formula>
    </cfRule>
    <cfRule type="containsText" priority="6048" operator="containsText" dxfId="0" text="▼">
      <formula>NOT(ISERROR(SEARCH("▼",Z11)))</formula>
    </cfRule>
  </conditionalFormatting>
  <conditionalFormatting sqref="Z6:AA60 AA61:AA64">
    <cfRule type="containsText" priority="6045" operator="containsText" dxfId="1" text="▲">
      <formula>NOT(ISERROR(SEARCH("▲",Z6)))</formula>
    </cfRule>
    <cfRule type="containsText" priority="6046" operator="containsText" dxfId="0" text="▼">
      <formula>NOT(ISERROR(SEARCH("▼",Z6)))</formula>
    </cfRule>
  </conditionalFormatting>
  <conditionalFormatting sqref="Z13:AA60 AA61:AA64">
    <cfRule type="containsText" priority="6043" operator="containsText" dxfId="1" text="▲">
      <formula>NOT(ISERROR(SEARCH("▲",Z13)))</formula>
    </cfRule>
    <cfRule type="containsText" priority="6044" operator="containsText" dxfId="0" text="▼">
      <formula>NOT(ISERROR(SEARCH("▼",Z13)))</formula>
    </cfRule>
  </conditionalFormatting>
  <conditionalFormatting sqref="Z33:AA60 AA61:AA64">
    <cfRule type="containsText" priority="6041" operator="containsText" dxfId="1" text="▲">
      <formula>NOT(ISERROR(SEARCH("▲",Z33)))</formula>
    </cfRule>
    <cfRule type="containsText" priority="6042" operator="containsText" dxfId="0" text="▼">
      <formula>NOT(ISERROR(SEARCH("▼",Z33)))</formula>
    </cfRule>
  </conditionalFormatting>
  <conditionalFormatting sqref="Z12:AA60 AA61:AA64">
    <cfRule type="containsText" priority="6039" operator="containsText" dxfId="1" text="▲">
      <formula>NOT(ISERROR(SEARCH("▲",Z12)))</formula>
    </cfRule>
    <cfRule type="containsText" priority="6040" operator="containsText" dxfId="0" text="▼">
      <formula>NOT(ISERROR(SEARCH("▼",Z12)))</formula>
    </cfRule>
  </conditionalFormatting>
  <conditionalFormatting sqref="Z16:AA60 AA61:AA64">
    <cfRule type="containsText" priority="6037" operator="containsText" dxfId="1" text="▲">
      <formula>NOT(ISERROR(SEARCH("▲",Z16)))</formula>
    </cfRule>
    <cfRule type="containsText" priority="6038" operator="containsText" dxfId="0" text="▼">
      <formula>NOT(ISERROR(SEARCH("▼",Z16)))</formula>
    </cfRule>
  </conditionalFormatting>
  <conditionalFormatting sqref="Z17:AA60 AA61:AA64">
    <cfRule type="containsText" priority="6035" operator="containsText" dxfId="1" text="▲">
      <formula>NOT(ISERROR(SEARCH("▲",Z17)))</formula>
    </cfRule>
    <cfRule type="containsText" priority="6036" operator="containsText" dxfId="0" text="▼">
      <formula>NOT(ISERROR(SEARCH("▼",Z17)))</formula>
    </cfRule>
  </conditionalFormatting>
  <conditionalFormatting sqref="Z20:AA60 AA61:AA64">
    <cfRule type="containsText" priority="6033" operator="containsText" dxfId="1" text="▲">
      <formula>NOT(ISERROR(SEARCH("▲",Z20)))</formula>
    </cfRule>
    <cfRule type="containsText" priority="6034" operator="containsText" dxfId="0" text="▼">
      <formula>NOT(ISERROR(SEARCH("▼",Z20)))</formula>
    </cfRule>
  </conditionalFormatting>
  <conditionalFormatting sqref="Z14:AA14">
    <cfRule type="containsText" priority="6031" operator="containsText" dxfId="1" text="▲">
      <formula>NOT(ISERROR(SEARCH("▲",Z14)))</formula>
    </cfRule>
    <cfRule type="containsText" priority="6032" operator="containsText" dxfId="0" text="▼">
      <formula>NOT(ISERROR(SEARCH("▼",Z14)))</formula>
    </cfRule>
  </conditionalFormatting>
  <conditionalFormatting sqref="Z19:AA60 AA61:AA64">
    <cfRule type="containsText" priority="6029" operator="containsText" dxfId="1" text="▲">
      <formula>NOT(ISERROR(SEARCH("▲",Z19)))</formula>
    </cfRule>
    <cfRule type="containsText" priority="6030" operator="containsText" dxfId="0" text="▼">
      <formula>NOT(ISERROR(SEARCH("▼",Z19)))</formula>
    </cfRule>
  </conditionalFormatting>
  <conditionalFormatting sqref="Z18:AA18">
    <cfRule type="containsText" priority="6027" operator="containsText" dxfId="1" text="▲">
      <formula>NOT(ISERROR(SEARCH("▲",Z18)))</formula>
    </cfRule>
    <cfRule type="containsText" priority="6028" operator="containsText" dxfId="0" text="▼">
      <formula>NOT(ISERROR(SEARCH("▼",Z18)))</formula>
    </cfRule>
  </conditionalFormatting>
  <conditionalFormatting sqref="Z40:AA60 AA61:AA64">
    <cfRule type="containsText" priority="6025" operator="containsText" dxfId="1" text="▲">
      <formula>NOT(ISERROR(SEARCH("▲",Z40)))</formula>
    </cfRule>
    <cfRule type="containsText" priority="6026" operator="containsText" dxfId="0" text="▼">
      <formula>NOT(ISERROR(SEARCH("▼",Z40)))</formula>
    </cfRule>
  </conditionalFormatting>
  <conditionalFormatting sqref="Z26:AA60 AA61:AA64">
    <cfRule type="containsText" priority="6023" operator="containsText" dxfId="1" text="▲">
      <formula>NOT(ISERROR(SEARCH("▲",Z26)))</formula>
    </cfRule>
    <cfRule type="containsText" priority="6024" operator="containsText" dxfId="0" text="▼">
      <formula>NOT(ISERROR(SEARCH("▼",Z26)))</formula>
    </cfRule>
    <cfRule type="containsText" priority="6021" operator="containsText" dxfId="1" text="▲">
      <formula>NOT(ISERROR(SEARCH("▲",Z26)))</formula>
    </cfRule>
    <cfRule type="containsText" priority="6022" operator="containsText" dxfId="0" text="▼">
      <formula>NOT(ISERROR(SEARCH("▼",Z26)))</formula>
    </cfRule>
  </conditionalFormatting>
  <conditionalFormatting sqref="Z21:AA60 AA61:AA64">
    <cfRule type="containsText" priority="6019" operator="containsText" dxfId="1" text="▲">
      <formula>NOT(ISERROR(SEARCH("▲",Z21)))</formula>
    </cfRule>
    <cfRule type="containsText" priority="6020" operator="containsText" dxfId="0" text="▼">
      <formula>NOT(ISERROR(SEARCH("▼",Z21)))</formula>
    </cfRule>
  </conditionalFormatting>
  <conditionalFormatting sqref="Z23:AA23">
    <cfRule type="containsText" priority="6017" operator="containsText" dxfId="1" text="▲">
      <formula>NOT(ISERROR(SEARCH("▲",Z23)))</formula>
    </cfRule>
    <cfRule type="containsText" priority="6018" operator="containsText" dxfId="0" text="▼">
      <formula>NOT(ISERROR(SEARCH("▼",Z23)))</formula>
    </cfRule>
    <cfRule type="containsText" priority="6015" operator="containsText" dxfId="1" text="▲">
      <formula>NOT(ISERROR(SEARCH("▲",Z23)))</formula>
    </cfRule>
    <cfRule type="containsText" priority="6016" operator="containsText" dxfId="0" text="▼">
      <formula>NOT(ISERROR(SEARCH("▼",Z23)))</formula>
    </cfRule>
  </conditionalFormatting>
  <conditionalFormatting sqref="Z22:AA60 AA61:AA64">
    <cfRule type="containsText" priority="6013" operator="containsText" dxfId="1" text="▲">
      <formula>NOT(ISERROR(SEARCH("▲",Z22)))</formula>
    </cfRule>
    <cfRule type="containsText" priority="6014" operator="containsText" dxfId="0" text="▼">
      <formula>NOT(ISERROR(SEARCH("▼",Z22)))</formula>
    </cfRule>
  </conditionalFormatting>
  <conditionalFormatting sqref="Z24:AA24">
    <cfRule type="containsText" priority="6011" operator="containsText" dxfId="1" text="▲">
      <formula>NOT(ISERROR(SEARCH("▲",Z24)))</formula>
    </cfRule>
    <cfRule type="containsText" priority="6012" operator="containsText" dxfId="0" text="▼">
      <formula>NOT(ISERROR(SEARCH("▼",Z24)))</formula>
    </cfRule>
    <cfRule type="containsText" priority="6009" operator="containsText" dxfId="1" text="▲">
      <formula>NOT(ISERROR(SEARCH("▲",Z24)))</formula>
    </cfRule>
    <cfRule type="containsText" priority="6010" operator="containsText" dxfId="0" text="▼">
      <formula>NOT(ISERROR(SEARCH("▼",Z24)))</formula>
    </cfRule>
  </conditionalFormatting>
  <conditionalFormatting sqref="Z72:AA72">
    <cfRule type="containsText" priority="6007" operator="containsText" dxfId="1" text="▲">
      <formula>NOT(ISERROR(SEARCH("▲",Z72)))</formula>
    </cfRule>
    <cfRule type="containsText" priority="6008" operator="containsText" dxfId="0" text="▼">
      <formula>NOT(ISERROR(SEARCH("▼",Z72)))</formula>
    </cfRule>
  </conditionalFormatting>
  <conditionalFormatting sqref="Z71:AA71">
    <cfRule type="containsText" priority="6005" operator="containsText" dxfId="1" text="▲">
      <formula>NOT(ISERROR(SEARCH("▲",Z71)))</formula>
    </cfRule>
    <cfRule type="containsText" priority="6006" operator="containsText" dxfId="0" text="▼">
      <formula>NOT(ISERROR(SEARCH("▼",Z71)))</formula>
    </cfRule>
  </conditionalFormatting>
  <conditionalFormatting sqref="Z45:AA45">
    <cfRule type="containsText" priority="6003" operator="containsText" dxfId="1" text="▲">
      <formula>NOT(ISERROR(SEARCH("▲",Z45)))</formula>
    </cfRule>
    <cfRule type="containsText" priority="6004" operator="containsText" dxfId="0" text="▼">
      <formula>NOT(ISERROR(SEARCH("▼",Z45)))</formula>
    </cfRule>
  </conditionalFormatting>
  <conditionalFormatting sqref="Z35:AA60 AA61:AA64">
    <cfRule type="containsText" priority="6001" operator="containsText" dxfId="1" text="▲">
      <formula>NOT(ISERROR(SEARCH("▲",Z35)))</formula>
    </cfRule>
    <cfRule type="containsText" priority="6002" operator="containsText" dxfId="0" text="▼">
      <formula>NOT(ISERROR(SEARCH("▼",Z35)))</formula>
    </cfRule>
  </conditionalFormatting>
  <conditionalFormatting sqref="Z75:AA75">
    <cfRule type="containsText" priority="5999" operator="containsText" dxfId="1" text="▲">
      <formula>NOT(ISERROR(SEARCH("▲",Z75)))</formula>
    </cfRule>
    <cfRule type="containsText" priority="6000" operator="containsText" dxfId="0" text="▼">
      <formula>NOT(ISERROR(SEARCH("▼",Z75)))</formula>
    </cfRule>
  </conditionalFormatting>
  <conditionalFormatting sqref="Z77:AA77">
    <cfRule type="containsText" priority="5997" operator="containsText" dxfId="1" text="▲">
      <formula>NOT(ISERROR(SEARCH("▲",Z77)))</formula>
    </cfRule>
    <cfRule type="containsText" priority="5998" operator="containsText" dxfId="0" text="▼">
      <formula>NOT(ISERROR(SEARCH("▼",Z77)))</formula>
    </cfRule>
  </conditionalFormatting>
  <conditionalFormatting sqref="Z76:AA76">
    <cfRule type="containsText" priority="5995" operator="containsText" dxfId="1" text="▲">
      <formula>NOT(ISERROR(SEARCH("▲",Z76)))</formula>
    </cfRule>
    <cfRule type="containsText" priority="5996" operator="containsText" dxfId="0" text="▼">
      <formula>NOT(ISERROR(SEARCH("▼",Z76)))</formula>
    </cfRule>
  </conditionalFormatting>
  <conditionalFormatting sqref="Z33:AA33">
    <cfRule type="containsText" priority="5993" operator="containsText" dxfId="1" text="▲">
      <formula>NOT(ISERROR(SEARCH("▲",Z33)))</formula>
    </cfRule>
    <cfRule type="containsText" priority="5994" operator="containsText" dxfId="0" text="▼">
      <formula>NOT(ISERROR(SEARCH("▼",Z33)))</formula>
    </cfRule>
  </conditionalFormatting>
  <conditionalFormatting sqref="Z27:AA28 Z31:AA60 AA61:AA64">
    <cfRule type="containsText" priority="5991" operator="containsText" dxfId="1" text="▲">
      <formula>NOT(ISERROR(SEARCH("▲",Z27)))</formula>
    </cfRule>
    <cfRule type="containsText" priority="5992" operator="containsText" dxfId="0" text="▼">
      <formula>NOT(ISERROR(SEARCH("▼",Z27)))</formula>
    </cfRule>
  </conditionalFormatting>
  <conditionalFormatting sqref="Z27:AA27">
    <cfRule type="containsText" priority="5989" operator="containsText" dxfId="1" text="▲">
      <formula>NOT(ISERROR(SEARCH("▲",Z27)))</formula>
    </cfRule>
    <cfRule type="containsText" priority="5990" operator="containsText" dxfId="0" text="▼">
      <formula>NOT(ISERROR(SEARCH("▼",Z27)))</formula>
    </cfRule>
  </conditionalFormatting>
  <conditionalFormatting sqref="Z81:AA81">
    <cfRule type="containsText" priority="5987" operator="containsText" dxfId="1" text="▲">
      <formula>NOT(ISERROR(SEARCH("▲",Z81)))</formula>
    </cfRule>
    <cfRule type="containsText" priority="5988" operator="containsText" dxfId="0" text="▼">
      <formula>NOT(ISERROR(SEARCH("▼",Z81)))</formula>
    </cfRule>
  </conditionalFormatting>
  <conditionalFormatting sqref="Z32:AA60 AA61:AA64">
    <cfRule type="containsText" priority="5985" operator="containsText" dxfId="1" text="▲">
      <formula>NOT(ISERROR(SEARCH("▲",Z32)))</formula>
    </cfRule>
    <cfRule type="containsText" priority="5986" operator="containsText" dxfId="0" text="▼">
      <formula>NOT(ISERROR(SEARCH("▼",Z32)))</formula>
    </cfRule>
  </conditionalFormatting>
  <conditionalFormatting sqref="Z29:AA60 AA61:AA64">
    <cfRule type="containsText" priority="5983" operator="containsText" dxfId="1" text="▲">
      <formula>NOT(ISERROR(SEARCH("▲",Z29)))</formula>
    </cfRule>
    <cfRule type="containsText" priority="5984" operator="containsText" dxfId="0" text="▼">
      <formula>NOT(ISERROR(SEARCH("▼",Z29)))</formula>
    </cfRule>
  </conditionalFormatting>
  <conditionalFormatting sqref="Z29:AA29">
    <cfRule type="containsText" priority="5981" operator="containsText" dxfId="1" text="▲">
      <formula>NOT(ISERROR(SEARCH("▲",Z29)))</formula>
    </cfRule>
    <cfRule type="containsText" priority="5982" operator="containsText" dxfId="0" text="▼">
      <formula>NOT(ISERROR(SEARCH("▼",Z29)))</formula>
    </cfRule>
  </conditionalFormatting>
  <conditionalFormatting sqref="Z37:AA60 AA61:AA64">
    <cfRule type="containsText" priority="5979" operator="containsText" dxfId="1" text="▲">
      <formula>NOT(ISERROR(SEARCH("▲",Z37)))</formula>
    </cfRule>
    <cfRule type="containsText" priority="5980" operator="containsText" dxfId="0" text="▼">
      <formula>NOT(ISERROR(SEARCH("▼",Z37)))</formula>
    </cfRule>
  </conditionalFormatting>
  <conditionalFormatting sqref="Z38:AA60 AA61:AA64">
    <cfRule type="containsText" priority="5977" operator="containsText" dxfId="1" text="▲">
      <formula>NOT(ISERROR(SEARCH("▲",Z38)))</formula>
    </cfRule>
    <cfRule type="containsText" priority="5978" operator="containsText" dxfId="0" text="▼">
      <formula>NOT(ISERROR(SEARCH("▼",Z38)))</formula>
    </cfRule>
  </conditionalFormatting>
  <conditionalFormatting sqref="Z78:AA78">
    <cfRule type="containsText" priority="5975" operator="containsText" dxfId="1" text="▲">
      <formula>NOT(ISERROR(SEARCH("▲",Z78)))</formula>
    </cfRule>
    <cfRule type="containsText" priority="5976" operator="containsText" dxfId="0" text="▼">
      <formula>NOT(ISERROR(SEARCH("▼",Z78)))</formula>
    </cfRule>
  </conditionalFormatting>
  <conditionalFormatting sqref="Z36:AA36">
    <cfRule type="containsText" priority="5973" operator="containsText" dxfId="1" text="▲">
      <formula>NOT(ISERROR(SEARCH("▲",Z36)))</formula>
    </cfRule>
    <cfRule type="containsText" priority="5974" operator="containsText" dxfId="0" text="▼">
      <formula>NOT(ISERROR(SEARCH("▼",Z36)))</formula>
    </cfRule>
  </conditionalFormatting>
  <conditionalFormatting sqref="Z41:AA60 AA61:AA64">
    <cfRule type="containsText" priority="5971" operator="containsText" dxfId="1" text="▲">
      <formula>NOT(ISERROR(SEARCH("▲",Z41)))</formula>
    </cfRule>
    <cfRule type="containsText" priority="5972" operator="containsText" dxfId="0" text="▼">
      <formula>NOT(ISERROR(SEARCH("▼",Z41)))</formula>
    </cfRule>
  </conditionalFormatting>
  <conditionalFormatting sqref="Z46:AA46">
    <cfRule type="containsText" priority="5969" operator="containsText" dxfId="1" text="▲">
      <formula>NOT(ISERROR(SEARCH("▲",Z46)))</formula>
    </cfRule>
    <cfRule type="containsText" priority="5970" operator="containsText" dxfId="0" text="▼">
      <formula>NOT(ISERROR(SEARCH("▼",Z46)))</formula>
    </cfRule>
  </conditionalFormatting>
  <conditionalFormatting sqref="Z44:AA60 AA61:AA64">
    <cfRule type="containsText" priority="5967" operator="containsText" dxfId="1" text="▲">
      <formula>NOT(ISERROR(SEARCH("▲",Z44)))</formula>
    </cfRule>
    <cfRule type="containsText" priority="5968" operator="containsText" dxfId="0" text="▼">
      <formula>NOT(ISERROR(SEARCH("▼",Z44)))</formula>
    </cfRule>
  </conditionalFormatting>
  <conditionalFormatting sqref="Z42:AA60 AA61:AA64">
    <cfRule type="containsText" priority="5965" operator="containsText" dxfId="1" text="▲">
      <formula>NOT(ISERROR(SEARCH("▲",Z42)))</formula>
    </cfRule>
    <cfRule type="containsText" priority="5966" operator="containsText" dxfId="0" text="▼">
      <formula>NOT(ISERROR(SEARCH("▼",Z42)))</formula>
    </cfRule>
  </conditionalFormatting>
  <conditionalFormatting sqref="Z47:AA47">
    <cfRule type="containsText" priority="5963" operator="containsText" dxfId="1" text="▲">
      <formula>NOT(ISERROR(SEARCH("▲",Z47)))</formula>
    </cfRule>
    <cfRule type="containsText" priority="5964" operator="containsText" dxfId="0" text="▼">
      <formula>NOT(ISERROR(SEARCH("▼",Z47)))</formula>
    </cfRule>
  </conditionalFormatting>
  <conditionalFormatting sqref="Z43:AA60 AA61:AA64">
    <cfRule type="containsText" priority="5961" operator="containsText" dxfId="1" text="▲">
      <formula>NOT(ISERROR(SEARCH("▲",Z43)))</formula>
    </cfRule>
    <cfRule type="containsText" priority="5962" operator="containsText" dxfId="0" text="▼">
      <formula>NOT(ISERROR(SEARCH("▼",Z43)))</formula>
    </cfRule>
  </conditionalFormatting>
  <conditionalFormatting sqref="Z48:AA48">
    <cfRule type="containsText" priority="5959" operator="containsText" dxfId="1" text="▲">
      <formula>NOT(ISERROR(SEARCH("▲",Z48)))</formula>
    </cfRule>
    <cfRule type="containsText" priority="5960" operator="containsText" dxfId="0" text="▼">
      <formula>NOT(ISERROR(SEARCH("▼",Z48)))</formula>
    </cfRule>
  </conditionalFormatting>
  <conditionalFormatting sqref="Z49:AA60 AA61:AA64">
    <cfRule type="containsText" priority="5957" operator="containsText" dxfId="1" text="▲">
      <formula>NOT(ISERROR(SEARCH("▲",Z49)))</formula>
    </cfRule>
    <cfRule type="containsText" priority="5958" operator="containsText" dxfId="0" text="▼">
      <formula>NOT(ISERROR(SEARCH("▼",Z49)))</formula>
    </cfRule>
  </conditionalFormatting>
  <conditionalFormatting sqref="Z39:AA60 AA61:AA64">
    <cfRule type="containsText" priority="5955" operator="containsText" dxfId="1" text="△">
      <formula>NOT(ISERROR(SEARCH("△",Z39)))</formula>
    </cfRule>
    <cfRule type="containsText" priority="5956" operator="containsText" dxfId="0" text="▽">
      <formula>NOT(ISERROR(SEARCH("▽",Z39)))</formula>
    </cfRule>
    <cfRule type="containsText" priority="5953" operator="containsText" dxfId="1" text="▲">
      <formula>NOT(ISERROR(SEARCH("▲",Z39)))</formula>
    </cfRule>
    <cfRule type="containsText" priority="5954" operator="containsText" dxfId="0" text="▼">
      <formula>NOT(ISERROR(SEARCH("▼",Z39)))</formula>
    </cfRule>
    <cfRule type="containsText" priority="5951" operator="containsText" dxfId="1" text="▲">
      <formula>NOT(ISERROR(SEARCH("▲",Z39)))</formula>
    </cfRule>
    <cfRule type="containsText" priority="5952" operator="containsText" dxfId="0" text="▼">
      <formula>NOT(ISERROR(SEARCH("▼",Z39)))</formula>
    </cfRule>
    <cfRule type="containsText" priority="5949" operator="containsText" dxfId="1" text="▲">
      <formula>NOT(ISERROR(SEARCH("▲",Z39)))</formula>
    </cfRule>
    <cfRule type="containsText" priority="5950" operator="containsText" dxfId="0" text="▼">
      <formula>NOT(ISERROR(SEARCH("▼",Z39)))</formula>
    </cfRule>
    <cfRule type="containsText" priority="5947" operator="containsText" dxfId="1" text="▲">
      <formula>NOT(ISERROR(SEARCH("▲",Z39)))</formula>
    </cfRule>
    <cfRule type="containsText" priority="5948" operator="containsText" dxfId="0" text="▼">
      <formula>NOT(ISERROR(SEARCH("▼",Z39)))</formula>
    </cfRule>
    <cfRule type="containsText" priority="5945" operator="containsText" dxfId="1" text="▲">
      <formula>NOT(ISERROR(SEARCH("▲",Z39)))</formula>
    </cfRule>
    <cfRule type="containsText" priority="5946" operator="containsText" dxfId="0" text="▼">
      <formula>NOT(ISERROR(SEARCH("▼",Z39)))</formula>
    </cfRule>
    <cfRule type="containsText" priority="5943" operator="containsText" dxfId="1" text="▲">
      <formula>NOT(ISERROR(SEARCH("▲",Z39)))</formula>
    </cfRule>
    <cfRule type="containsText" priority="5944" operator="containsText" dxfId="0" text="▼">
      <formula>NOT(ISERROR(SEARCH("▼",Z39)))</formula>
    </cfRule>
    <cfRule type="containsText" priority="5941" operator="containsText" dxfId="1" text="▲">
      <formula>NOT(ISERROR(SEARCH("▲",Z39)))</formula>
    </cfRule>
    <cfRule type="containsText" priority="5942" operator="containsText" dxfId="0" text="▼">
      <formula>NOT(ISERROR(SEARCH("▼",Z39)))</formula>
    </cfRule>
    <cfRule type="containsText" priority="5939" operator="containsText" dxfId="1" text="▲">
      <formula>NOT(ISERROR(SEARCH("▲",Z39)))</formula>
    </cfRule>
    <cfRule type="containsText" priority="5940" operator="containsText" dxfId="0" text="▼">
      <formula>NOT(ISERROR(SEARCH("▼",Z39)))</formula>
    </cfRule>
    <cfRule type="containsText" priority="5937" operator="containsText" dxfId="1" text="▲">
      <formula>NOT(ISERROR(SEARCH("▲",Z39)))</formula>
    </cfRule>
    <cfRule type="containsText" priority="5938" operator="containsText" dxfId="0" text="▼">
      <formula>NOT(ISERROR(SEARCH("▼",Z39)))</formula>
    </cfRule>
    <cfRule type="containsText" priority="5935" operator="containsText" dxfId="1" text="▲">
      <formula>NOT(ISERROR(SEARCH("▲",Z39)))</formula>
    </cfRule>
    <cfRule type="containsText" priority="5936" operator="containsText" dxfId="0" text="▼">
      <formula>NOT(ISERROR(SEARCH("▼",Z39)))</formula>
    </cfRule>
    <cfRule type="containsText" priority="5933" operator="containsText" dxfId="1" text="▲">
      <formula>NOT(ISERROR(SEARCH("▲",Z39)))</formula>
    </cfRule>
    <cfRule type="containsText" priority="5934" operator="containsText" dxfId="0" text="▼">
      <formula>NOT(ISERROR(SEARCH("▼",Z39)))</formula>
    </cfRule>
    <cfRule type="containsText" priority="5931" operator="containsText" dxfId="1" text="▲">
      <formula>NOT(ISERROR(SEARCH("▲",Z39)))</formula>
    </cfRule>
    <cfRule type="containsText" priority="5932" operator="containsText" dxfId="0" text="▼">
      <formula>NOT(ISERROR(SEARCH("▼",Z39)))</formula>
    </cfRule>
    <cfRule type="containsText" priority="5929" operator="containsText" dxfId="1" text="▲">
      <formula>NOT(ISERROR(SEARCH("▲",Z39)))</formula>
    </cfRule>
    <cfRule type="containsText" priority="5930" operator="containsText" dxfId="0" text="▼">
      <formula>NOT(ISERROR(SEARCH("▼",Z39)))</formula>
    </cfRule>
    <cfRule type="containsText" priority="5927" operator="containsText" dxfId="1" text="▲">
      <formula>NOT(ISERROR(SEARCH("▲",Z39)))</formula>
    </cfRule>
    <cfRule type="containsText" priority="5928" operator="containsText" dxfId="0" text="▼">
      <formula>NOT(ISERROR(SEARCH("▼",Z39)))</formula>
    </cfRule>
    <cfRule type="containsText" priority="5925" operator="containsText" dxfId="1" text="▲">
      <formula>NOT(ISERROR(SEARCH("▲",Z39)))</formula>
    </cfRule>
    <cfRule type="containsText" priority="5926" operator="containsText" dxfId="0" text="▼">
      <formula>NOT(ISERROR(SEARCH("▼",Z39)))</formula>
    </cfRule>
    <cfRule type="containsText" priority="5923" operator="containsText" dxfId="1" text="▲">
      <formula>NOT(ISERROR(SEARCH("▲",Z39)))</formula>
    </cfRule>
    <cfRule type="containsText" priority="5924" operator="containsText" dxfId="0" text="▼">
      <formula>NOT(ISERROR(SEARCH("▼",Z39)))</formula>
    </cfRule>
    <cfRule type="containsText" priority="5921" operator="containsText" dxfId="1" text="▲">
      <formula>NOT(ISERROR(SEARCH("▲",Z39)))</formula>
    </cfRule>
    <cfRule type="containsText" priority="5922" operator="containsText" dxfId="0" text="▼">
      <formula>NOT(ISERROR(SEARCH("▼",Z39)))</formula>
    </cfRule>
    <cfRule type="containsText" priority="5919" operator="containsText" dxfId="1" text="▲">
      <formula>NOT(ISERROR(SEARCH("▲",Z39)))</formula>
    </cfRule>
    <cfRule type="containsText" priority="5920" operator="containsText" dxfId="0" text="▼">
      <formula>NOT(ISERROR(SEARCH("▼",Z39)))</formula>
    </cfRule>
    <cfRule type="containsText" priority="5917" operator="containsText" dxfId="1" text="▲">
      <formula>NOT(ISERROR(SEARCH("▲",Z39)))</formula>
    </cfRule>
    <cfRule type="containsText" priority="5918" operator="containsText" dxfId="0" text="▼">
      <formula>NOT(ISERROR(SEARCH("▼",Z39)))</formula>
    </cfRule>
    <cfRule type="containsText" priority="5915" operator="containsText" dxfId="1" text="▲">
      <formula>NOT(ISERROR(SEARCH("▲",Z39)))</formula>
    </cfRule>
    <cfRule type="containsText" priority="5916" operator="containsText" dxfId="0" text="▼">
      <formula>NOT(ISERROR(SEARCH("▼",Z39)))</formula>
    </cfRule>
    <cfRule type="containsText" priority="5913" operator="containsText" dxfId="1" text="▲">
      <formula>NOT(ISERROR(SEARCH("▲",Z39)))</formula>
    </cfRule>
    <cfRule type="containsText" priority="5914" operator="containsText" dxfId="0" text="▼">
      <formula>NOT(ISERROR(SEARCH("▼",Z39)))</formula>
    </cfRule>
    <cfRule type="containsText" priority="5911" operator="containsText" dxfId="1" text="▲">
      <formula>NOT(ISERROR(SEARCH("▲",Z39)))</formula>
    </cfRule>
    <cfRule type="containsText" priority="5912" operator="containsText" dxfId="0" text="▼">
      <formula>NOT(ISERROR(SEARCH("▼",Z39)))</formula>
    </cfRule>
    <cfRule type="containsText" priority="5909" operator="containsText" dxfId="1" text="▲">
      <formula>NOT(ISERROR(SEARCH("▲",Z39)))</formula>
    </cfRule>
    <cfRule type="containsText" priority="5910" operator="containsText" dxfId="0" text="▼">
      <formula>NOT(ISERROR(SEARCH("▼",Z39)))</formula>
    </cfRule>
    <cfRule type="containsText" priority="5907" operator="containsText" dxfId="1" text="▲">
      <formula>NOT(ISERROR(SEARCH("▲",Z39)))</formula>
    </cfRule>
    <cfRule type="containsText" priority="5908" operator="containsText" dxfId="0" text="▼">
      <formula>NOT(ISERROR(SEARCH("▼",Z39)))</formula>
    </cfRule>
  </conditionalFormatting>
  <conditionalFormatting sqref="Z52:AA52">
    <cfRule type="containsText" priority="5905" operator="containsText" dxfId="1" text="△">
      <formula>NOT(ISERROR(SEARCH("△",Z52)))</formula>
    </cfRule>
    <cfRule type="containsText" priority="5906" operator="containsText" dxfId="0" text="▽">
      <formula>NOT(ISERROR(SEARCH("▽",Z52)))</formula>
    </cfRule>
    <cfRule type="containsText" priority="5903" operator="containsText" dxfId="1" text="▲">
      <formula>NOT(ISERROR(SEARCH("▲",Z52)))</formula>
    </cfRule>
    <cfRule type="containsText" priority="5904" operator="containsText" dxfId="0" text="▼">
      <formula>NOT(ISERROR(SEARCH("▼",Z52)))</formula>
    </cfRule>
    <cfRule type="containsText" priority="5901" operator="containsText" dxfId="1" text="▲">
      <formula>NOT(ISERROR(SEARCH("▲",Z52)))</formula>
    </cfRule>
    <cfRule type="containsText" priority="5902" operator="containsText" dxfId="0" text="▼">
      <formula>NOT(ISERROR(SEARCH("▼",Z52)))</formula>
    </cfRule>
    <cfRule type="containsText" priority="5899" operator="containsText" dxfId="1" text="▲">
      <formula>NOT(ISERROR(SEARCH("▲",Z52)))</formula>
    </cfRule>
    <cfRule type="containsText" priority="5900" operator="containsText" dxfId="0" text="▼">
      <formula>NOT(ISERROR(SEARCH("▼",Z52)))</formula>
    </cfRule>
    <cfRule type="containsText" priority="5897" operator="containsText" dxfId="1" text="▲">
      <formula>NOT(ISERROR(SEARCH("▲",Z52)))</formula>
    </cfRule>
    <cfRule type="containsText" priority="5898" operator="containsText" dxfId="0" text="▼">
      <formula>NOT(ISERROR(SEARCH("▼",Z52)))</formula>
    </cfRule>
    <cfRule type="containsText" priority="5895" operator="containsText" dxfId="1" text="▲">
      <formula>NOT(ISERROR(SEARCH("▲",Z52)))</formula>
    </cfRule>
    <cfRule type="containsText" priority="5896" operator="containsText" dxfId="0" text="▼">
      <formula>NOT(ISERROR(SEARCH("▼",Z52)))</formula>
    </cfRule>
    <cfRule type="containsText" priority="5893" operator="containsText" dxfId="1" text="▲">
      <formula>NOT(ISERROR(SEARCH("▲",Z52)))</formula>
    </cfRule>
    <cfRule type="containsText" priority="5894" operator="containsText" dxfId="0" text="▼">
      <formula>NOT(ISERROR(SEARCH("▼",Z52)))</formula>
    </cfRule>
    <cfRule type="containsText" priority="5891" operator="containsText" dxfId="1" text="▲">
      <formula>NOT(ISERROR(SEARCH("▲",Z52)))</formula>
    </cfRule>
    <cfRule type="containsText" priority="5892" operator="containsText" dxfId="0" text="▼">
      <formula>NOT(ISERROR(SEARCH("▼",Z52)))</formula>
    </cfRule>
    <cfRule type="containsText" priority="5889" operator="containsText" dxfId="1" text="▲">
      <formula>NOT(ISERROR(SEARCH("▲",Z52)))</formula>
    </cfRule>
    <cfRule type="containsText" priority="5890" operator="containsText" dxfId="0" text="▼">
      <formula>NOT(ISERROR(SEARCH("▼",Z52)))</formula>
    </cfRule>
    <cfRule type="containsText" priority="5887" operator="containsText" dxfId="1" text="▲">
      <formula>NOT(ISERROR(SEARCH("▲",Z52)))</formula>
    </cfRule>
    <cfRule type="containsText" priority="5888" operator="containsText" dxfId="0" text="▼">
      <formula>NOT(ISERROR(SEARCH("▼",Z52)))</formula>
    </cfRule>
    <cfRule type="containsText" priority="5885" operator="containsText" dxfId="1" text="▲">
      <formula>NOT(ISERROR(SEARCH("▲",Z52)))</formula>
    </cfRule>
    <cfRule type="containsText" priority="5886" operator="containsText" dxfId="0" text="▼">
      <formula>NOT(ISERROR(SEARCH("▼",Z52)))</formula>
    </cfRule>
    <cfRule type="containsText" priority="5883" operator="containsText" dxfId="1" text="▲">
      <formula>NOT(ISERROR(SEARCH("▲",Z52)))</formula>
    </cfRule>
    <cfRule type="containsText" priority="5884" operator="containsText" dxfId="0" text="▼">
      <formula>NOT(ISERROR(SEARCH("▼",Z52)))</formula>
    </cfRule>
    <cfRule type="containsText" priority="5881" operator="containsText" dxfId="1" text="▲">
      <formula>NOT(ISERROR(SEARCH("▲",Z52)))</formula>
    </cfRule>
    <cfRule type="containsText" priority="5882" operator="containsText" dxfId="0" text="▼">
      <formula>NOT(ISERROR(SEARCH("▼",Z52)))</formula>
    </cfRule>
    <cfRule type="containsText" priority="5879" operator="containsText" dxfId="1" text="▲">
      <formula>NOT(ISERROR(SEARCH("▲",Z52)))</formula>
    </cfRule>
    <cfRule type="containsText" priority="5880" operator="containsText" dxfId="0" text="▼">
      <formula>NOT(ISERROR(SEARCH("▼",Z52)))</formula>
    </cfRule>
    <cfRule type="containsText" priority="5877" operator="containsText" dxfId="1" text="▲">
      <formula>NOT(ISERROR(SEARCH("▲",Z52)))</formula>
    </cfRule>
    <cfRule type="containsText" priority="5878" operator="containsText" dxfId="0" text="▼">
      <formula>NOT(ISERROR(SEARCH("▼",Z52)))</formula>
    </cfRule>
    <cfRule type="containsText" priority="5875" operator="containsText" dxfId="1" text="▲">
      <formula>NOT(ISERROR(SEARCH("▲",Z52)))</formula>
    </cfRule>
    <cfRule type="containsText" priority="5876" operator="containsText" dxfId="0" text="▼">
      <formula>NOT(ISERROR(SEARCH("▼",Z52)))</formula>
    </cfRule>
    <cfRule type="containsText" priority="5873" operator="containsText" dxfId="1" text="▲">
      <formula>NOT(ISERROR(SEARCH("▲",Z52)))</formula>
    </cfRule>
    <cfRule type="containsText" priority="5874" operator="containsText" dxfId="0" text="▼">
      <formula>NOT(ISERROR(SEARCH("▼",Z52)))</formula>
    </cfRule>
    <cfRule type="containsText" priority="5871" operator="containsText" dxfId="1" text="▲">
      <formula>NOT(ISERROR(SEARCH("▲",Z52)))</formula>
    </cfRule>
    <cfRule type="containsText" priority="5872" operator="containsText" dxfId="0" text="▼">
      <formula>NOT(ISERROR(SEARCH("▼",Z52)))</formula>
    </cfRule>
    <cfRule type="containsText" priority="5869" operator="containsText" dxfId="1" text="▲">
      <formula>NOT(ISERROR(SEARCH("▲",Z52)))</formula>
    </cfRule>
    <cfRule type="containsText" priority="5870" operator="containsText" dxfId="0" text="▼">
      <formula>NOT(ISERROR(SEARCH("▼",Z52)))</formula>
    </cfRule>
    <cfRule type="containsText" priority="5867" operator="containsText" dxfId="1" text="▲">
      <formula>NOT(ISERROR(SEARCH("▲",Z52)))</formula>
    </cfRule>
    <cfRule type="containsText" priority="5868" operator="containsText" dxfId="0" text="▼">
      <formula>NOT(ISERROR(SEARCH("▼",Z52)))</formula>
    </cfRule>
    <cfRule type="containsText" priority="5865" operator="containsText" dxfId="1" text="▲">
      <formula>NOT(ISERROR(SEARCH("▲",Z52)))</formula>
    </cfRule>
    <cfRule type="containsText" priority="5866" operator="containsText" dxfId="0" text="▼">
      <formula>NOT(ISERROR(SEARCH("▼",Z52)))</formula>
    </cfRule>
    <cfRule type="containsText" priority="5863" operator="containsText" dxfId="1" text="▲">
      <formula>NOT(ISERROR(SEARCH("▲",Z52)))</formula>
    </cfRule>
    <cfRule type="containsText" priority="5864" operator="containsText" dxfId="0" text="▼">
      <formula>NOT(ISERROR(SEARCH("▼",Z52)))</formula>
    </cfRule>
    <cfRule type="containsText" priority="5861" operator="containsText" dxfId="1" text="▲">
      <formula>NOT(ISERROR(SEARCH("▲",Z52)))</formula>
    </cfRule>
    <cfRule type="containsText" priority="5862" operator="containsText" dxfId="0" text="▼">
      <formula>NOT(ISERROR(SEARCH("▼",Z52)))</formula>
    </cfRule>
    <cfRule type="containsText" priority="5859" operator="containsText" dxfId="1" text="▲">
      <formula>NOT(ISERROR(SEARCH("▲",Z52)))</formula>
    </cfRule>
    <cfRule type="containsText" priority="5860" operator="containsText" dxfId="0" text="▼">
      <formula>NOT(ISERROR(SEARCH("▼",Z52)))</formula>
    </cfRule>
    <cfRule type="containsText" priority="5857" operator="containsText" dxfId="1" text="▲">
      <formula>NOT(ISERROR(SEARCH("▲",Z52)))</formula>
    </cfRule>
    <cfRule type="containsText" priority="5858" operator="containsText" dxfId="0" text="▼">
      <formula>NOT(ISERROR(SEARCH("▼",Z52)))</formula>
    </cfRule>
  </conditionalFormatting>
  <conditionalFormatting sqref="Z51:AA51">
    <cfRule type="containsText" priority="5855" operator="containsText" dxfId="1" text="△">
      <formula>NOT(ISERROR(SEARCH("△",Z51)))</formula>
    </cfRule>
    <cfRule type="containsText" priority="5856" operator="containsText" dxfId="0" text="▽">
      <formula>NOT(ISERROR(SEARCH("▽",Z51)))</formula>
    </cfRule>
    <cfRule type="containsText" priority="5853" operator="containsText" dxfId="1" text="▲">
      <formula>NOT(ISERROR(SEARCH("▲",Z51)))</formula>
    </cfRule>
    <cfRule type="containsText" priority="5854" operator="containsText" dxfId="0" text="▼">
      <formula>NOT(ISERROR(SEARCH("▼",Z51)))</formula>
    </cfRule>
    <cfRule type="containsText" priority="5851" operator="containsText" dxfId="1" text="▲">
      <formula>NOT(ISERROR(SEARCH("▲",Z51)))</formula>
    </cfRule>
    <cfRule type="containsText" priority="5852" operator="containsText" dxfId="0" text="▼">
      <formula>NOT(ISERROR(SEARCH("▼",Z51)))</formula>
    </cfRule>
    <cfRule type="containsText" priority="5849" operator="containsText" dxfId="1" text="▲">
      <formula>NOT(ISERROR(SEARCH("▲",Z51)))</formula>
    </cfRule>
    <cfRule type="containsText" priority="5850" operator="containsText" dxfId="0" text="▼">
      <formula>NOT(ISERROR(SEARCH("▼",Z51)))</formula>
    </cfRule>
    <cfRule type="containsText" priority="5847" operator="containsText" dxfId="1" text="▲">
      <formula>NOT(ISERROR(SEARCH("▲",Z51)))</formula>
    </cfRule>
    <cfRule type="containsText" priority="5848" operator="containsText" dxfId="0" text="▼">
      <formula>NOT(ISERROR(SEARCH("▼",Z51)))</formula>
    </cfRule>
    <cfRule type="containsText" priority="5845" operator="containsText" dxfId="1" text="▲">
      <formula>NOT(ISERROR(SEARCH("▲",Z51)))</formula>
    </cfRule>
    <cfRule type="containsText" priority="5846" operator="containsText" dxfId="0" text="▼">
      <formula>NOT(ISERROR(SEARCH("▼",Z51)))</formula>
    </cfRule>
    <cfRule type="containsText" priority="5843" operator="containsText" dxfId="1" text="▲">
      <formula>NOT(ISERROR(SEARCH("▲",Z51)))</formula>
    </cfRule>
    <cfRule type="containsText" priority="5844" operator="containsText" dxfId="0" text="▼">
      <formula>NOT(ISERROR(SEARCH("▼",Z51)))</formula>
    </cfRule>
    <cfRule type="containsText" priority="5841" operator="containsText" dxfId="1" text="▲">
      <formula>NOT(ISERROR(SEARCH("▲",Z51)))</formula>
    </cfRule>
    <cfRule type="containsText" priority="5842" operator="containsText" dxfId="0" text="▼">
      <formula>NOT(ISERROR(SEARCH("▼",Z51)))</formula>
    </cfRule>
    <cfRule type="containsText" priority="5839" operator="containsText" dxfId="1" text="▲">
      <formula>NOT(ISERROR(SEARCH("▲",Z51)))</formula>
    </cfRule>
    <cfRule type="containsText" priority="5840" operator="containsText" dxfId="0" text="▼">
      <formula>NOT(ISERROR(SEARCH("▼",Z51)))</formula>
    </cfRule>
    <cfRule type="containsText" priority="5837" operator="containsText" dxfId="1" text="▲">
      <formula>NOT(ISERROR(SEARCH("▲",Z51)))</formula>
    </cfRule>
    <cfRule type="containsText" priority="5838" operator="containsText" dxfId="0" text="▼">
      <formula>NOT(ISERROR(SEARCH("▼",Z51)))</formula>
    </cfRule>
    <cfRule type="containsText" priority="5835" operator="containsText" dxfId="1" text="▲">
      <formula>NOT(ISERROR(SEARCH("▲",Z51)))</formula>
    </cfRule>
    <cfRule type="containsText" priority="5836" operator="containsText" dxfId="0" text="▼">
      <formula>NOT(ISERROR(SEARCH("▼",Z51)))</formula>
    </cfRule>
    <cfRule type="containsText" priority="5833" operator="containsText" dxfId="1" text="▲">
      <formula>NOT(ISERROR(SEARCH("▲",Z51)))</formula>
    </cfRule>
    <cfRule type="containsText" priority="5834" operator="containsText" dxfId="0" text="▼">
      <formula>NOT(ISERROR(SEARCH("▼",Z51)))</formula>
    </cfRule>
    <cfRule type="containsText" priority="5831" operator="containsText" dxfId="1" text="▲">
      <formula>NOT(ISERROR(SEARCH("▲",Z51)))</formula>
    </cfRule>
    <cfRule type="containsText" priority="5832" operator="containsText" dxfId="0" text="▼">
      <formula>NOT(ISERROR(SEARCH("▼",Z51)))</formula>
    </cfRule>
    <cfRule type="containsText" priority="5829" operator="containsText" dxfId="1" text="▲">
      <formula>NOT(ISERROR(SEARCH("▲",Z51)))</formula>
    </cfRule>
    <cfRule type="containsText" priority="5830" operator="containsText" dxfId="0" text="▼">
      <formula>NOT(ISERROR(SEARCH("▼",Z51)))</formula>
    </cfRule>
    <cfRule type="containsText" priority="5827" operator="containsText" dxfId="1" text="▲">
      <formula>NOT(ISERROR(SEARCH("▲",Z51)))</formula>
    </cfRule>
    <cfRule type="containsText" priority="5828" operator="containsText" dxfId="0" text="▼">
      <formula>NOT(ISERROR(SEARCH("▼",Z51)))</formula>
    </cfRule>
    <cfRule type="containsText" priority="5825" operator="containsText" dxfId="1" text="▲">
      <formula>NOT(ISERROR(SEARCH("▲",Z51)))</formula>
    </cfRule>
    <cfRule type="containsText" priority="5826" operator="containsText" dxfId="0" text="▼">
      <formula>NOT(ISERROR(SEARCH("▼",Z51)))</formula>
    </cfRule>
    <cfRule type="containsText" priority="5823" operator="containsText" dxfId="1" text="▲">
      <formula>NOT(ISERROR(SEARCH("▲",Z51)))</formula>
    </cfRule>
    <cfRule type="containsText" priority="5824" operator="containsText" dxfId="0" text="▼">
      <formula>NOT(ISERROR(SEARCH("▼",Z51)))</formula>
    </cfRule>
    <cfRule type="containsText" priority="5821" operator="containsText" dxfId="1" text="▲">
      <formula>NOT(ISERROR(SEARCH("▲",Z51)))</formula>
    </cfRule>
    <cfRule type="containsText" priority="5822" operator="containsText" dxfId="0" text="▼">
      <formula>NOT(ISERROR(SEARCH("▼",Z51)))</formula>
    </cfRule>
    <cfRule type="containsText" priority="5819" operator="containsText" dxfId="1" text="▲">
      <formula>NOT(ISERROR(SEARCH("▲",Z51)))</formula>
    </cfRule>
    <cfRule type="containsText" priority="5820" operator="containsText" dxfId="0" text="▼">
      <formula>NOT(ISERROR(SEARCH("▼",Z51)))</formula>
    </cfRule>
    <cfRule type="containsText" priority="5817" operator="containsText" dxfId="1" text="▲">
      <formula>NOT(ISERROR(SEARCH("▲",Z51)))</formula>
    </cfRule>
    <cfRule type="containsText" priority="5818" operator="containsText" dxfId="0" text="▼">
      <formula>NOT(ISERROR(SEARCH("▼",Z51)))</formula>
    </cfRule>
    <cfRule type="containsText" priority="5815" operator="containsText" dxfId="1" text="▲">
      <formula>NOT(ISERROR(SEARCH("▲",Z51)))</formula>
    </cfRule>
    <cfRule type="containsText" priority="5816" operator="containsText" dxfId="0" text="▼">
      <formula>NOT(ISERROR(SEARCH("▼",Z51)))</formula>
    </cfRule>
    <cfRule type="containsText" priority="5813" operator="containsText" dxfId="1" text="▲">
      <formula>NOT(ISERROR(SEARCH("▲",Z51)))</formula>
    </cfRule>
    <cfRule type="containsText" priority="5814" operator="containsText" dxfId="0" text="▼">
      <formula>NOT(ISERROR(SEARCH("▼",Z51)))</formula>
    </cfRule>
    <cfRule type="containsText" priority="5811" operator="containsText" dxfId="1" text="▲">
      <formula>NOT(ISERROR(SEARCH("▲",Z51)))</formula>
    </cfRule>
    <cfRule type="containsText" priority="5812" operator="containsText" dxfId="0" text="▼">
      <formula>NOT(ISERROR(SEARCH("▼",Z51)))</formula>
    </cfRule>
    <cfRule type="containsText" priority="5809" operator="containsText" dxfId="1" text="▲">
      <formula>NOT(ISERROR(SEARCH("▲",Z51)))</formula>
    </cfRule>
    <cfRule type="containsText" priority="5810" operator="containsText" dxfId="0" text="▼">
      <formula>NOT(ISERROR(SEARCH("▼",Z51)))</formula>
    </cfRule>
    <cfRule type="containsText" priority="5807" operator="containsText" dxfId="1" text="▲">
      <formula>NOT(ISERROR(SEARCH("▲",Z51)))</formula>
    </cfRule>
    <cfRule type="containsText" priority="5808" operator="containsText" dxfId="0" text="▼">
      <formula>NOT(ISERROR(SEARCH("▼",Z51)))</formula>
    </cfRule>
  </conditionalFormatting>
  <conditionalFormatting sqref="Z50:AA60 AA61:AA64">
    <cfRule type="containsText" priority="5805" operator="containsText" dxfId="1" text="▲">
      <formula>NOT(ISERROR(SEARCH("▲",Z50)))</formula>
    </cfRule>
    <cfRule type="containsText" priority="5806" operator="containsText" dxfId="0" text="▼">
      <formula>NOT(ISERROR(SEARCH("▼",Z50)))</formula>
    </cfRule>
  </conditionalFormatting>
  <conditionalFormatting sqref="Z79:AA79">
    <cfRule type="containsText" priority="5803" operator="containsText" dxfId="1" text="▲">
      <formula>NOT(ISERROR(SEARCH("▲",Z79)))</formula>
    </cfRule>
    <cfRule type="containsText" priority="5804" operator="containsText" dxfId="0" text="▼">
      <formula>NOT(ISERROR(SEARCH("▼",Z79)))</formula>
    </cfRule>
  </conditionalFormatting>
  <conditionalFormatting sqref="Z80:AA80">
    <cfRule type="containsText" priority="5801" operator="containsText" dxfId="1" text="▲">
      <formula>NOT(ISERROR(SEARCH("▲",Z80)))</formula>
    </cfRule>
    <cfRule type="containsText" priority="5802" operator="containsText" dxfId="0" text="▼">
      <formula>NOT(ISERROR(SEARCH("▼",Z80)))</formula>
    </cfRule>
  </conditionalFormatting>
  <conditionalFormatting sqref="Z54:AA54">
    <cfRule type="containsText" priority="5799" operator="containsText" dxfId="1" text="▲">
      <formula>NOT(ISERROR(SEARCH("▲",Z54)))</formula>
    </cfRule>
    <cfRule type="containsText" priority="5800" operator="containsText" dxfId="0" text="▼">
      <formula>NOT(ISERROR(SEARCH("▼",Z54)))</formula>
    </cfRule>
  </conditionalFormatting>
  <conditionalFormatting sqref="Z56:AA56">
    <cfRule type="containsText" priority="5797" operator="containsText" dxfId="1" text="▲">
      <formula>NOT(ISERROR(SEARCH("▲",Z56)))</formula>
    </cfRule>
    <cfRule type="containsText" priority="5798" operator="containsText" dxfId="0" text="▼">
      <formula>NOT(ISERROR(SEARCH("▼",Z56)))</formula>
    </cfRule>
  </conditionalFormatting>
  <conditionalFormatting sqref="Z53:AA60 AA61:AA64">
    <cfRule type="containsText" priority="5795" operator="containsText" dxfId="1" text="△">
      <formula>NOT(ISERROR(SEARCH("△",Z53)))</formula>
    </cfRule>
    <cfRule type="containsText" priority="5796" operator="containsText" dxfId="0" text="▽">
      <formula>NOT(ISERROR(SEARCH("▽",Z53)))</formula>
    </cfRule>
    <cfRule type="containsText" priority="5793" operator="containsText" dxfId="1" text="▲">
      <formula>NOT(ISERROR(SEARCH("▲",Z53)))</formula>
    </cfRule>
    <cfRule type="containsText" priority="5794" operator="containsText" dxfId="0" text="▼">
      <formula>NOT(ISERROR(SEARCH("▼",Z53)))</formula>
    </cfRule>
    <cfRule type="containsText" priority="5791" operator="containsText" dxfId="1" text="▲">
      <formula>NOT(ISERROR(SEARCH("▲",Z53)))</formula>
    </cfRule>
    <cfRule type="containsText" priority="5792" operator="containsText" dxfId="0" text="▼">
      <formula>NOT(ISERROR(SEARCH("▼",Z53)))</formula>
    </cfRule>
    <cfRule type="containsText" priority="5789" operator="containsText" dxfId="1" text="▲">
      <formula>NOT(ISERROR(SEARCH("▲",Z53)))</formula>
    </cfRule>
    <cfRule type="containsText" priority="5790" operator="containsText" dxfId="0" text="▼">
      <formula>NOT(ISERROR(SEARCH("▼",Z53)))</formula>
    </cfRule>
    <cfRule type="containsText" priority="5787" operator="containsText" dxfId="1" text="▲">
      <formula>NOT(ISERROR(SEARCH("▲",Z53)))</formula>
    </cfRule>
    <cfRule type="containsText" priority="5788" operator="containsText" dxfId="0" text="▼">
      <formula>NOT(ISERROR(SEARCH("▼",Z53)))</formula>
    </cfRule>
    <cfRule type="containsText" priority="5785" operator="containsText" dxfId="1" text="▲">
      <formula>NOT(ISERROR(SEARCH("▲",Z53)))</formula>
    </cfRule>
    <cfRule type="containsText" priority="5786" operator="containsText" dxfId="0" text="▼">
      <formula>NOT(ISERROR(SEARCH("▼",Z53)))</formula>
    </cfRule>
    <cfRule type="containsText" priority="5783" operator="containsText" dxfId="1" text="▲">
      <formula>NOT(ISERROR(SEARCH("▲",Z53)))</formula>
    </cfRule>
    <cfRule type="containsText" priority="5784" operator="containsText" dxfId="0" text="▼">
      <formula>NOT(ISERROR(SEARCH("▼",Z53)))</formula>
    </cfRule>
    <cfRule type="containsText" priority="5781" operator="containsText" dxfId="1" text="▲">
      <formula>NOT(ISERROR(SEARCH("▲",Z53)))</formula>
    </cfRule>
    <cfRule type="containsText" priority="5782" operator="containsText" dxfId="0" text="▼">
      <formula>NOT(ISERROR(SEARCH("▼",Z53)))</formula>
    </cfRule>
    <cfRule type="containsText" priority="5779" operator="containsText" dxfId="1" text="▲">
      <formula>NOT(ISERROR(SEARCH("▲",Z53)))</formula>
    </cfRule>
    <cfRule type="containsText" priority="5780" operator="containsText" dxfId="0" text="▼">
      <formula>NOT(ISERROR(SEARCH("▼",Z53)))</formula>
    </cfRule>
    <cfRule type="containsText" priority="5777" operator="containsText" dxfId="1" text="▲">
      <formula>NOT(ISERROR(SEARCH("▲",Z53)))</formula>
    </cfRule>
    <cfRule type="containsText" priority="5778" operator="containsText" dxfId="0" text="▼">
      <formula>NOT(ISERROR(SEARCH("▼",Z53)))</formula>
    </cfRule>
    <cfRule type="containsText" priority="5775" operator="containsText" dxfId="1" text="▲">
      <formula>NOT(ISERROR(SEARCH("▲",Z53)))</formula>
    </cfRule>
    <cfRule type="containsText" priority="5776" operator="containsText" dxfId="0" text="▼">
      <formula>NOT(ISERROR(SEARCH("▼",Z53)))</formula>
    </cfRule>
    <cfRule type="containsText" priority="5773" operator="containsText" dxfId="1" text="▲">
      <formula>NOT(ISERROR(SEARCH("▲",Z53)))</formula>
    </cfRule>
    <cfRule type="containsText" priority="5774" operator="containsText" dxfId="0" text="▼">
      <formula>NOT(ISERROR(SEARCH("▼",Z53)))</formula>
    </cfRule>
    <cfRule type="containsText" priority="5771" operator="containsText" dxfId="1" text="▲">
      <formula>NOT(ISERROR(SEARCH("▲",Z53)))</formula>
    </cfRule>
    <cfRule type="containsText" priority="5772" operator="containsText" dxfId="0" text="▼">
      <formula>NOT(ISERROR(SEARCH("▼",Z53)))</formula>
    </cfRule>
    <cfRule type="containsText" priority="5769" operator="containsText" dxfId="1" text="▲">
      <formula>NOT(ISERROR(SEARCH("▲",Z53)))</formula>
    </cfRule>
    <cfRule type="containsText" priority="5770" operator="containsText" dxfId="0" text="▼">
      <formula>NOT(ISERROR(SEARCH("▼",Z53)))</formula>
    </cfRule>
    <cfRule type="containsText" priority="5767" operator="containsText" dxfId="1" text="▲">
      <formula>NOT(ISERROR(SEARCH("▲",Z53)))</formula>
    </cfRule>
    <cfRule type="containsText" priority="5768" operator="containsText" dxfId="0" text="▼">
      <formula>NOT(ISERROR(SEARCH("▼",Z53)))</formula>
    </cfRule>
    <cfRule type="containsText" priority="5765" operator="containsText" dxfId="1" text="▲">
      <formula>NOT(ISERROR(SEARCH("▲",Z53)))</formula>
    </cfRule>
    <cfRule type="containsText" priority="5766" operator="containsText" dxfId="0" text="▼">
      <formula>NOT(ISERROR(SEARCH("▼",Z53)))</formula>
    </cfRule>
    <cfRule type="containsText" priority="5763" operator="containsText" dxfId="1" text="▲">
      <formula>NOT(ISERROR(SEARCH("▲",Z53)))</formula>
    </cfRule>
    <cfRule type="containsText" priority="5764" operator="containsText" dxfId="0" text="▼">
      <formula>NOT(ISERROR(SEARCH("▼",Z53)))</formula>
    </cfRule>
    <cfRule type="containsText" priority="5761" operator="containsText" dxfId="1" text="▲">
      <formula>NOT(ISERROR(SEARCH("▲",Z53)))</formula>
    </cfRule>
    <cfRule type="containsText" priority="5762" operator="containsText" dxfId="0" text="▼">
      <formula>NOT(ISERROR(SEARCH("▼",Z53)))</formula>
    </cfRule>
    <cfRule type="containsText" priority="5759" operator="containsText" dxfId="1" text="▲">
      <formula>NOT(ISERROR(SEARCH("▲",Z53)))</formula>
    </cfRule>
    <cfRule type="containsText" priority="5760" operator="containsText" dxfId="0" text="▼">
      <formula>NOT(ISERROR(SEARCH("▼",Z53)))</formula>
    </cfRule>
    <cfRule type="containsText" priority="5757" operator="containsText" dxfId="1" text="▲">
      <formula>NOT(ISERROR(SEARCH("▲",Z53)))</formula>
    </cfRule>
    <cfRule type="containsText" priority="5758" operator="containsText" dxfId="0" text="▼">
      <formula>NOT(ISERROR(SEARCH("▼",Z53)))</formula>
    </cfRule>
    <cfRule type="containsText" priority="5755" operator="containsText" dxfId="1" text="▲">
      <formula>NOT(ISERROR(SEARCH("▲",Z53)))</formula>
    </cfRule>
    <cfRule type="containsText" priority="5756" operator="containsText" dxfId="0" text="▼">
      <formula>NOT(ISERROR(SEARCH("▼",Z53)))</formula>
    </cfRule>
    <cfRule type="containsText" priority="5753" operator="containsText" dxfId="1" text="▲">
      <formula>NOT(ISERROR(SEARCH("▲",Z53)))</formula>
    </cfRule>
    <cfRule type="containsText" priority="5754" operator="containsText" dxfId="0" text="▼">
      <formula>NOT(ISERROR(SEARCH("▼",Z53)))</formula>
    </cfRule>
    <cfRule type="containsText" priority="5751" operator="containsText" dxfId="1" text="▲">
      <formula>NOT(ISERROR(SEARCH("▲",Z53)))</formula>
    </cfRule>
    <cfRule type="containsText" priority="5752" operator="containsText" dxfId="0" text="▼">
      <formula>NOT(ISERROR(SEARCH("▼",Z53)))</formula>
    </cfRule>
    <cfRule type="containsText" priority="5749" operator="containsText" dxfId="1" text="▲">
      <formula>NOT(ISERROR(SEARCH("▲",Z53)))</formula>
    </cfRule>
    <cfRule type="containsText" priority="5750" operator="containsText" dxfId="0" text="▼">
      <formula>NOT(ISERROR(SEARCH("▼",Z53)))</formula>
    </cfRule>
    <cfRule type="containsText" priority="5747" operator="containsText" dxfId="1" text="▲">
      <formula>NOT(ISERROR(SEARCH("▲",Z53)))</formula>
    </cfRule>
    <cfRule type="containsText" priority="5748" operator="containsText" dxfId="0" text="▼">
      <formula>NOT(ISERROR(SEARCH("▼",Z53)))</formula>
    </cfRule>
  </conditionalFormatting>
  <conditionalFormatting sqref="Z57:AA57">
    <cfRule type="containsText" priority="5745" operator="containsText" dxfId="1" text="▲">
      <formula>NOT(ISERROR(SEARCH("▲",Z57)))</formula>
    </cfRule>
    <cfRule type="containsText" priority="5746" operator="containsText" dxfId="0" text="▼">
      <formula>NOT(ISERROR(SEARCH("▼",Z57)))</formula>
    </cfRule>
  </conditionalFormatting>
  <conditionalFormatting sqref="Z58:AA60 AA61:AA64">
    <cfRule type="containsText" priority="5743" operator="containsText" dxfId="1" text="△">
      <formula>NOT(ISERROR(SEARCH("△",Z58)))</formula>
    </cfRule>
    <cfRule type="containsText" priority="5744" operator="containsText" dxfId="0" text="▽">
      <formula>NOT(ISERROR(SEARCH("▽",Z58)))</formula>
    </cfRule>
    <cfRule type="containsText" priority="5741" operator="containsText" dxfId="1" text="▲">
      <formula>NOT(ISERROR(SEARCH("▲",Z58)))</formula>
    </cfRule>
    <cfRule type="containsText" priority="5742" operator="containsText" dxfId="0" text="▼">
      <formula>NOT(ISERROR(SEARCH("▼",Z58)))</formula>
    </cfRule>
    <cfRule type="containsText" priority="5739" operator="containsText" dxfId="1" text="▲">
      <formula>NOT(ISERROR(SEARCH("▲",Z58)))</formula>
    </cfRule>
    <cfRule type="containsText" priority="5740" operator="containsText" dxfId="0" text="▼">
      <formula>NOT(ISERROR(SEARCH("▼",Z58)))</formula>
    </cfRule>
    <cfRule type="containsText" priority="5737" operator="containsText" dxfId="1" text="▲">
      <formula>NOT(ISERROR(SEARCH("▲",Z58)))</formula>
    </cfRule>
    <cfRule type="containsText" priority="5738" operator="containsText" dxfId="0" text="▼">
      <formula>NOT(ISERROR(SEARCH("▼",Z58)))</formula>
    </cfRule>
    <cfRule type="containsText" priority="5735" operator="containsText" dxfId="1" text="▲">
      <formula>NOT(ISERROR(SEARCH("▲",Z58)))</formula>
    </cfRule>
    <cfRule type="containsText" priority="5736" operator="containsText" dxfId="0" text="▼">
      <formula>NOT(ISERROR(SEARCH("▼",Z58)))</formula>
    </cfRule>
    <cfRule type="containsText" priority="5733" operator="containsText" dxfId="1" text="▲">
      <formula>NOT(ISERROR(SEARCH("▲",Z58)))</formula>
    </cfRule>
    <cfRule type="containsText" priority="5734" operator="containsText" dxfId="0" text="▼">
      <formula>NOT(ISERROR(SEARCH("▼",Z58)))</formula>
    </cfRule>
    <cfRule type="containsText" priority="5731" operator="containsText" dxfId="1" text="▲">
      <formula>NOT(ISERROR(SEARCH("▲",Z58)))</formula>
    </cfRule>
    <cfRule type="containsText" priority="5732" operator="containsText" dxfId="0" text="▼">
      <formula>NOT(ISERROR(SEARCH("▼",Z58)))</formula>
    </cfRule>
    <cfRule type="containsText" priority="5729" operator="containsText" dxfId="1" text="▲">
      <formula>NOT(ISERROR(SEARCH("▲",Z58)))</formula>
    </cfRule>
    <cfRule type="containsText" priority="5730" operator="containsText" dxfId="0" text="▼">
      <formula>NOT(ISERROR(SEARCH("▼",Z58)))</formula>
    </cfRule>
    <cfRule type="containsText" priority="5727" operator="containsText" dxfId="1" text="▲">
      <formula>NOT(ISERROR(SEARCH("▲",Z58)))</formula>
    </cfRule>
    <cfRule type="containsText" priority="5728" operator="containsText" dxfId="0" text="▼">
      <formula>NOT(ISERROR(SEARCH("▼",Z58)))</formula>
    </cfRule>
    <cfRule type="containsText" priority="5725" operator="containsText" dxfId="1" text="▲">
      <formula>NOT(ISERROR(SEARCH("▲",Z58)))</formula>
    </cfRule>
    <cfRule type="containsText" priority="5726" operator="containsText" dxfId="0" text="▼">
      <formula>NOT(ISERROR(SEARCH("▼",Z58)))</formula>
    </cfRule>
    <cfRule type="containsText" priority="5723" operator="containsText" dxfId="1" text="▲">
      <formula>NOT(ISERROR(SEARCH("▲",Z58)))</formula>
    </cfRule>
    <cfRule type="containsText" priority="5724" operator="containsText" dxfId="0" text="▼">
      <formula>NOT(ISERROR(SEARCH("▼",Z58)))</formula>
    </cfRule>
    <cfRule type="containsText" priority="5721" operator="containsText" dxfId="1" text="▲">
      <formula>NOT(ISERROR(SEARCH("▲",Z58)))</formula>
    </cfRule>
    <cfRule type="containsText" priority="5722" operator="containsText" dxfId="0" text="▼">
      <formula>NOT(ISERROR(SEARCH("▼",Z58)))</formula>
    </cfRule>
    <cfRule type="containsText" priority="5719" operator="containsText" dxfId="1" text="▲">
      <formula>NOT(ISERROR(SEARCH("▲",Z58)))</formula>
    </cfRule>
    <cfRule type="containsText" priority="5720" operator="containsText" dxfId="0" text="▼">
      <formula>NOT(ISERROR(SEARCH("▼",Z58)))</formula>
    </cfRule>
    <cfRule type="containsText" priority="5717" operator="containsText" dxfId="1" text="▲">
      <formula>NOT(ISERROR(SEARCH("▲",Z58)))</formula>
    </cfRule>
    <cfRule type="containsText" priority="5718" operator="containsText" dxfId="0" text="▼">
      <formula>NOT(ISERROR(SEARCH("▼",Z58)))</formula>
    </cfRule>
    <cfRule type="containsText" priority="5715" operator="containsText" dxfId="1" text="▲">
      <formula>NOT(ISERROR(SEARCH("▲",Z58)))</formula>
    </cfRule>
    <cfRule type="containsText" priority="5716" operator="containsText" dxfId="0" text="▼">
      <formula>NOT(ISERROR(SEARCH("▼",Z58)))</formula>
    </cfRule>
    <cfRule type="containsText" priority="5713" operator="containsText" dxfId="1" text="▲">
      <formula>NOT(ISERROR(SEARCH("▲",Z58)))</formula>
    </cfRule>
    <cfRule type="containsText" priority="5714" operator="containsText" dxfId="0" text="▼">
      <formula>NOT(ISERROR(SEARCH("▼",Z58)))</formula>
    </cfRule>
    <cfRule type="containsText" priority="5711" operator="containsText" dxfId="1" text="▲">
      <formula>NOT(ISERROR(SEARCH("▲",Z58)))</formula>
    </cfRule>
    <cfRule type="containsText" priority="5712" operator="containsText" dxfId="0" text="▼">
      <formula>NOT(ISERROR(SEARCH("▼",Z58)))</formula>
    </cfRule>
    <cfRule type="containsText" priority="5709" operator="containsText" dxfId="1" text="▲">
      <formula>NOT(ISERROR(SEARCH("▲",Z58)))</formula>
    </cfRule>
    <cfRule type="containsText" priority="5710" operator="containsText" dxfId="0" text="▼">
      <formula>NOT(ISERROR(SEARCH("▼",Z58)))</formula>
    </cfRule>
    <cfRule type="containsText" priority="5707" operator="containsText" dxfId="1" text="▲">
      <formula>NOT(ISERROR(SEARCH("▲",Z58)))</formula>
    </cfRule>
    <cfRule type="containsText" priority="5708" operator="containsText" dxfId="0" text="▼">
      <formula>NOT(ISERROR(SEARCH("▼",Z58)))</formula>
    </cfRule>
    <cfRule type="containsText" priority="5705" operator="containsText" dxfId="1" text="▲">
      <formula>NOT(ISERROR(SEARCH("▲",Z58)))</formula>
    </cfRule>
    <cfRule type="containsText" priority="5706" operator="containsText" dxfId="0" text="▼">
      <formula>NOT(ISERROR(SEARCH("▼",Z58)))</formula>
    </cfRule>
    <cfRule type="containsText" priority="5703" operator="containsText" dxfId="1" text="▲">
      <formula>NOT(ISERROR(SEARCH("▲",Z58)))</formula>
    </cfRule>
    <cfRule type="containsText" priority="5704" operator="containsText" dxfId="0" text="▼">
      <formula>NOT(ISERROR(SEARCH("▼",Z58)))</formula>
    </cfRule>
    <cfRule type="containsText" priority="5701" operator="containsText" dxfId="1" text="▲">
      <formula>NOT(ISERROR(SEARCH("▲",Z58)))</formula>
    </cfRule>
    <cfRule type="containsText" priority="5702" operator="containsText" dxfId="0" text="▼">
      <formula>NOT(ISERROR(SEARCH("▼",Z58)))</formula>
    </cfRule>
    <cfRule type="containsText" priority="5699" operator="containsText" dxfId="1" text="▲">
      <formula>NOT(ISERROR(SEARCH("▲",Z58)))</formula>
    </cfRule>
    <cfRule type="containsText" priority="5700" operator="containsText" dxfId="0" text="▼">
      <formula>NOT(ISERROR(SEARCH("▼",Z58)))</formula>
    </cfRule>
    <cfRule type="containsText" priority="5697" operator="containsText" dxfId="1" text="▲">
      <formula>NOT(ISERROR(SEARCH("▲",Z58)))</formula>
    </cfRule>
    <cfRule type="containsText" priority="5698" operator="containsText" dxfId="0" text="▼">
      <formula>NOT(ISERROR(SEARCH("▼",Z58)))</formula>
    </cfRule>
    <cfRule type="containsText" priority="5695" operator="containsText" dxfId="1" text="▲">
      <formula>NOT(ISERROR(SEARCH("▲",Z58)))</formula>
    </cfRule>
    <cfRule type="containsText" priority="5696" operator="containsText" dxfId="0" text="▼">
      <formula>NOT(ISERROR(SEARCH("▼",Z58)))</formula>
    </cfRule>
  </conditionalFormatting>
  <conditionalFormatting sqref="Z59:AA60 AA61:AA64">
    <cfRule type="containsText" priority="5693" operator="containsText" dxfId="1" text="▲">
      <formula>NOT(ISERROR(SEARCH("▲",Z59)))</formula>
    </cfRule>
    <cfRule type="containsText" priority="5694" operator="containsText" dxfId="0" text="▼">
      <formula>NOT(ISERROR(SEARCH("▼",Z59)))</formula>
    </cfRule>
  </conditionalFormatting>
  <conditionalFormatting sqref="Z82:AA82">
    <cfRule type="containsText" priority="5691" operator="containsText" dxfId="1" text="▲">
      <formula>NOT(ISERROR(SEARCH("▲",Z82)))</formula>
    </cfRule>
    <cfRule type="containsText" priority="5692" operator="containsText" dxfId="0" text="▼">
      <formula>NOT(ISERROR(SEARCH("▼",Z82)))</formula>
    </cfRule>
  </conditionalFormatting>
  <conditionalFormatting sqref="Z83:AA83">
    <cfRule type="containsText" priority="5689" operator="containsText" dxfId="1" text="▲">
      <formula>NOT(ISERROR(SEARCH("▲",Z83)))</formula>
    </cfRule>
    <cfRule type="containsText" priority="5690" operator="containsText" dxfId="0" text="▼">
      <formula>NOT(ISERROR(SEARCH("▼",Z83)))</formula>
    </cfRule>
  </conditionalFormatting>
  <conditionalFormatting sqref="Z84:AA84">
    <cfRule type="containsText" priority="5687" operator="containsText" dxfId="1" text="▲">
      <formula>NOT(ISERROR(SEARCH("▲",Z84)))</formula>
    </cfRule>
    <cfRule type="containsText" priority="5688" operator="containsText" dxfId="0" text="▼">
      <formula>NOT(ISERROR(SEARCH("▼",Z84)))</formula>
    </cfRule>
  </conditionalFormatting>
  <conditionalFormatting sqref="AA60:AA64">
    <cfRule type="containsText" priority="5685" operator="containsText" dxfId="1" text="△">
      <formula>NOT(ISERROR(SEARCH("△",AA60)))</formula>
    </cfRule>
    <cfRule type="containsText" priority="5686" operator="containsText" dxfId="0" text="▽">
      <formula>NOT(ISERROR(SEARCH("▽",AA60)))</formula>
    </cfRule>
    <cfRule type="containsText" priority="5683" operator="containsText" dxfId="1" text="▲">
      <formula>NOT(ISERROR(SEARCH("▲",AA60)))</formula>
    </cfRule>
    <cfRule type="containsText" priority="5684" operator="containsText" dxfId="0" text="▼">
      <formula>NOT(ISERROR(SEARCH("▼",AA60)))</formula>
    </cfRule>
    <cfRule type="containsText" priority="5681" operator="containsText" dxfId="1" text="▲">
      <formula>NOT(ISERROR(SEARCH("▲",AA60)))</formula>
    </cfRule>
    <cfRule type="containsText" priority="5682" operator="containsText" dxfId="0" text="▼">
      <formula>NOT(ISERROR(SEARCH("▼",AA60)))</formula>
    </cfRule>
    <cfRule type="containsText" priority="5679" operator="containsText" dxfId="1" text="▲">
      <formula>NOT(ISERROR(SEARCH("▲",AA60)))</formula>
    </cfRule>
    <cfRule type="containsText" priority="5680" operator="containsText" dxfId="0" text="▼">
      <formula>NOT(ISERROR(SEARCH("▼",AA60)))</formula>
    </cfRule>
    <cfRule type="containsText" priority="5677" operator="containsText" dxfId="1" text="▲">
      <formula>NOT(ISERROR(SEARCH("▲",AA60)))</formula>
    </cfRule>
    <cfRule type="containsText" priority="5678" operator="containsText" dxfId="0" text="▼">
      <formula>NOT(ISERROR(SEARCH("▼",AA60)))</formula>
    </cfRule>
    <cfRule type="containsText" priority="5675" operator="containsText" dxfId="1" text="▲">
      <formula>NOT(ISERROR(SEARCH("▲",AA60)))</formula>
    </cfRule>
    <cfRule type="containsText" priority="5676" operator="containsText" dxfId="0" text="▼">
      <formula>NOT(ISERROR(SEARCH("▼",AA60)))</formula>
    </cfRule>
    <cfRule type="containsText" priority="5673" operator="containsText" dxfId="1" text="▲">
      <formula>NOT(ISERROR(SEARCH("▲",AA60)))</formula>
    </cfRule>
    <cfRule type="containsText" priority="5674" operator="containsText" dxfId="0" text="▼">
      <formula>NOT(ISERROR(SEARCH("▼",AA60)))</formula>
    </cfRule>
    <cfRule type="containsText" priority="5671" operator="containsText" dxfId="1" text="▲">
      <formula>NOT(ISERROR(SEARCH("▲",AA60)))</formula>
    </cfRule>
    <cfRule type="containsText" priority="5672" operator="containsText" dxfId="0" text="▼">
      <formula>NOT(ISERROR(SEARCH("▼",AA60)))</formula>
    </cfRule>
    <cfRule type="containsText" priority="5669" operator="containsText" dxfId="1" text="▲">
      <formula>NOT(ISERROR(SEARCH("▲",AA60)))</formula>
    </cfRule>
    <cfRule type="containsText" priority="5670" operator="containsText" dxfId="0" text="▼">
      <formula>NOT(ISERROR(SEARCH("▼",AA60)))</formula>
    </cfRule>
    <cfRule type="containsText" priority="5667" operator="containsText" dxfId="1" text="▲">
      <formula>NOT(ISERROR(SEARCH("▲",AA60)))</formula>
    </cfRule>
    <cfRule type="containsText" priority="5668" operator="containsText" dxfId="0" text="▼">
      <formula>NOT(ISERROR(SEARCH("▼",AA60)))</formula>
    </cfRule>
    <cfRule type="containsText" priority="5665" operator="containsText" dxfId="1" text="▲">
      <formula>NOT(ISERROR(SEARCH("▲",AA60)))</formula>
    </cfRule>
    <cfRule type="containsText" priority="5666" operator="containsText" dxfId="0" text="▼">
      <formula>NOT(ISERROR(SEARCH("▼",AA60)))</formula>
    </cfRule>
    <cfRule type="containsText" priority="5663" operator="containsText" dxfId="1" text="▲">
      <formula>NOT(ISERROR(SEARCH("▲",AA60)))</formula>
    </cfRule>
    <cfRule type="containsText" priority="5664" operator="containsText" dxfId="0" text="▼">
      <formula>NOT(ISERROR(SEARCH("▼",AA60)))</formula>
    </cfRule>
    <cfRule type="containsText" priority="5661" operator="containsText" dxfId="1" text="▲">
      <formula>NOT(ISERROR(SEARCH("▲",AA60)))</formula>
    </cfRule>
    <cfRule type="containsText" priority="5662" operator="containsText" dxfId="0" text="▼">
      <formula>NOT(ISERROR(SEARCH("▼",AA60)))</formula>
    </cfRule>
    <cfRule type="containsText" priority="5659" operator="containsText" dxfId="1" text="▲">
      <formula>NOT(ISERROR(SEARCH("▲",AA60)))</formula>
    </cfRule>
    <cfRule type="containsText" priority="5660" operator="containsText" dxfId="0" text="▼">
      <formula>NOT(ISERROR(SEARCH("▼",AA60)))</formula>
    </cfRule>
    <cfRule type="containsText" priority="5657" operator="containsText" dxfId="1" text="▲">
      <formula>NOT(ISERROR(SEARCH("▲",AA60)))</formula>
    </cfRule>
    <cfRule type="containsText" priority="5658" operator="containsText" dxfId="0" text="▼">
      <formula>NOT(ISERROR(SEARCH("▼",AA60)))</formula>
    </cfRule>
    <cfRule type="containsText" priority="5655" operator="containsText" dxfId="1" text="▲">
      <formula>NOT(ISERROR(SEARCH("▲",AA60)))</formula>
    </cfRule>
    <cfRule type="containsText" priority="5656" operator="containsText" dxfId="0" text="▼">
      <formula>NOT(ISERROR(SEARCH("▼",AA60)))</formula>
    </cfRule>
    <cfRule type="containsText" priority="5653" operator="containsText" dxfId="1" text="▲">
      <formula>NOT(ISERROR(SEARCH("▲",AA60)))</formula>
    </cfRule>
    <cfRule type="containsText" priority="5654" operator="containsText" dxfId="0" text="▼">
      <formula>NOT(ISERROR(SEARCH("▼",AA60)))</formula>
    </cfRule>
    <cfRule type="containsText" priority="5651" operator="containsText" dxfId="1" text="▲">
      <formula>NOT(ISERROR(SEARCH("▲",AA60)))</formula>
    </cfRule>
    <cfRule type="containsText" priority="5652" operator="containsText" dxfId="0" text="▼">
      <formula>NOT(ISERROR(SEARCH("▼",AA60)))</formula>
    </cfRule>
    <cfRule type="containsText" priority="5649" operator="containsText" dxfId="1" text="▲">
      <formula>NOT(ISERROR(SEARCH("▲",AA60)))</formula>
    </cfRule>
    <cfRule type="containsText" priority="5650" operator="containsText" dxfId="0" text="▼">
      <formula>NOT(ISERROR(SEARCH("▼",AA60)))</formula>
    </cfRule>
    <cfRule type="containsText" priority="5647" operator="containsText" dxfId="1" text="▲">
      <formula>NOT(ISERROR(SEARCH("▲",AA60)))</formula>
    </cfRule>
    <cfRule type="containsText" priority="5648" operator="containsText" dxfId="0" text="▼">
      <formula>NOT(ISERROR(SEARCH("▼",AA60)))</formula>
    </cfRule>
    <cfRule type="containsText" priority="5645" operator="containsText" dxfId="1" text="▲">
      <formula>NOT(ISERROR(SEARCH("▲",AA60)))</formula>
    </cfRule>
    <cfRule type="containsText" priority="5646" operator="containsText" dxfId="0" text="▼">
      <formula>NOT(ISERROR(SEARCH("▼",AA60)))</formula>
    </cfRule>
    <cfRule type="containsText" priority="5643" operator="containsText" dxfId="1" text="▲">
      <formula>NOT(ISERROR(SEARCH("▲",AA60)))</formula>
    </cfRule>
    <cfRule type="containsText" priority="5644" operator="containsText" dxfId="0" text="▼">
      <formula>NOT(ISERROR(SEARCH("▼",AA60)))</formula>
    </cfRule>
    <cfRule type="containsText" priority="5641" operator="containsText" dxfId="1" text="▲">
      <formula>NOT(ISERROR(SEARCH("▲",AA60)))</formula>
    </cfRule>
    <cfRule type="containsText" priority="5642" operator="containsText" dxfId="0" text="▼">
      <formula>NOT(ISERROR(SEARCH("▼",AA60)))</formula>
    </cfRule>
    <cfRule type="containsText" priority="5639" operator="containsText" dxfId="1" text="▲">
      <formula>NOT(ISERROR(SEARCH("▲",AA60)))</formula>
    </cfRule>
    <cfRule type="containsText" priority="5640" operator="containsText" dxfId="0" text="▼">
      <formula>NOT(ISERROR(SEARCH("▼",AA60)))</formula>
    </cfRule>
    <cfRule type="containsText" priority="5637" operator="containsText" dxfId="1" text="▲">
      <formula>NOT(ISERROR(SEARCH("▲",AA60)))</formula>
    </cfRule>
    <cfRule type="containsText" priority="5638" operator="containsText" dxfId="0" text="▼">
      <formula>NOT(ISERROR(SEARCH("▼",AA60)))</formula>
    </cfRule>
  </conditionalFormatting>
  <conditionalFormatting sqref="Z85:AA85">
    <cfRule type="containsText" priority="5635" operator="containsText" dxfId="1" text="▲">
      <formula>NOT(ISERROR(SEARCH("▲",Z85)))</formula>
    </cfRule>
    <cfRule type="containsText" priority="5636" operator="containsText" dxfId="0" text="▼">
      <formula>NOT(ISERROR(SEARCH("▼",Z85)))</formula>
    </cfRule>
  </conditionalFormatting>
  <conditionalFormatting sqref="Z55:AA55">
    <cfRule type="containsText" priority="5633" operator="containsText" dxfId="1" text="▲">
      <formula>NOT(ISERROR(SEARCH("▲",Z55)))</formula>
    </cfRule>
    <cfRule type="containsText" priority="5634" operator="containsText" dxfId="0" text="▼">
      <formula>NOT(ISERROR(SEARCH("▼",Z55)))</formula>
    </cfRule>
  </conditionalFormatting>
  <conditionalFormatting sqref="Z86:AA86">
    <cfRule type="containsText" priority="5631" operator="containsText" dxfId="1" text="△">
      <formula>NOT(ISERROR(SEARCH("△",Z86)))</formula>
    </cfRule>
    <cfRule type="containsText" priority="5632" operator="containsText" dxfId="0" text="▽">
      <formula>NOT(ISERROR(SEARCH("▽",Z86)))</formula>
    </cfRule>
    <cfRule type="containsText" priority="5629" operator="containsText" dxfId="1" text="▲">
      <formula>NOT(ISERROR(SEARCH("▲",Z86)))</formula>
    </cfRule>
    <cfRule type="containsText" priority="5630" operator="containsText" dxfId="0" text="▼">
      <formula>NOT(ISERROR(SEARCH("▼",Z86)))</formula>
    </cfRule>
    <cfRule type="containsText" priority="5627" operator="containsText" dxfId="1" text="▲">
      <formula>NOT(ISERROR(SEARCH("▲",Z86)))</formula>
    </cfRule>
    <cfRule type="containsText" priority="5628" operator="containsText" dxfId="0" text="▼">
      <formula>NOT(ISERROR(SEARCH("▼",Z86)))</formula>
    </cfRule>
    <cfRule type="containsText" priority="5625" operator="containsText" dxfId="1" text="▲">
      <formula>NOT(ISERROR(SEARCH("▲",Z86)))</formula>
    </cfRule>
    <cfRule type="containsText" priority="5626" operator="containsText" dxfId="0" text="▼">
      <formula>NOT(ISERROR(SEARCH("▼",Z86)))</formula>
    </cfRule>
    <cfRule type="containsText" priority="5623" operator="containsText" dxfId="1" text="▲">
      <formula>NOT(ISERROR(SEARCH("▲",Z86)))</formula>
    </cfRule>
    <cfRule type="containsText" priority="5624" operator="containsText" dxfId="0" text="▼">
      <formula>NOT(ISERROR(SEARCH("▼",Z86)))</formula>
    </cfRule>
    <cfRule type="containsText" priority="5621" operator="containsText" dxfId="1" text="▲">
      <formula>NOT(ISERROR(SEARCH("▲",Z86)))</formula>
    </cfRule>
    <cfRule type="containsText" priority="5622" operator="containsText" dxfId="0" text="▼">
      <formula>NOT(ISERROR(SEARCH("▼",Z86)))</formula>
    </cfRule>
    <cfRule type="containsText" priority="5619" operator="containsText" dxfId="1" text="▲">
      <formula>NOT(ISERROR(SEARCH("▲",Z86)))</formula>
    </cfRule>
    <cfRule type="containsText" priority="5620" operator="containsText" dxfId="0" text="▼">
      <formula>NOT(ISERROR(SEARCH("▼",Z86)))</formula>
    </cfRule>
    <cfRule type="containsText" priority="5617" operator="containsText" dxfId="1" text="▲">
      <formula>NOT(ISERROR(SEARCH("▲",Z86)))</formula>
    </cfRule>
    <cfRule type="containsText" priority="5618" operator="containsText" dxfId="0" text="▼">
      <formula>NOT(ISERROR(SEARCH("▼",Z86)))</formula>
    </cfRule>
    <cfRule type="containsText" priority="5615" operator="containsText" dxfId="1" text="▲">
      <formula>NOT(ISERROR(SEARCH("▲",Z86)))</formula>
    </cfRule>
    <cfRule type="containsText" priority="5616" operator="containsText" dxfId="0" text="▼">
      <formula>NOT(ISERROR(SEARCH("▼",Z86)))</formula>
    </cfRule>
    <cfRule type="containsText" priority="5613" operator="containsText" dxfId="1" text="▲">
      <formula>NOT(ISERROR(SEARCH("▲",Z86)))</formula>
    </cfRule>
    <cfRule type="containsText" priority="5614" operator="containsText" dxfId="0" text="▼">
      <formula>NOT(ISERROR(SEARCH("▼",Z86)))</formula>
    </cfRule>
    <cfRule type="containsText" priority="5611" operator="containsText" dxfId="1" text="▲">
      <formula>NOT(ISERROR(SEARCH("▲",Z86)))</formula>
    </cfRule>
    <cfRule type="containsText" priority="5612" operator="containsText" dxfId="0" text="▼">
      <formula>NOT(ISERROR(SEARCH("▼",Z86)))</formula>
    </cfRule>
    <cfRule type="containsText" priority="5609" operator="containsText" dxfId="1" text="▲">
      <formula>NOT(ISERROR(SEARCH("▲",Z86)))</formula>
    </cfRule>
    <cfRule type="containsText" priority="5610" operator="containsText" dxfId="0" text="▼">
      <formula>NOT(ISERROR(SEARCH("▼",Z86)))</formula>
    </cfRule>
    <cfRule type="containsText" priority="5607" operator="containsText" dxfId="1" text="▲">
      <formula>NOT(ISERROR(SEARCH("▲",Z86)))</formula>
    </cfRule>
    <cfRule type="containsText" priority="5608" operator="containsText" dxfId="0" text="▼">
      <formula>NOT(ISERROR(SEARCH("▼",Z86)))</formula>
    </cfRule>
    <cfRule type="containsText" priority="5605" operator="containsText" dxfId="1" text="▲">
      <formula>NOT(ISERROR(SEARCH("▲",Z86)))</formula>
    </cfRule>
    <cfRule type="containsText" priority="5606" operator="containsText" dxfId="0" text="▼">
      <formula>NOT(ISERROR(SEARCH("▼",Z86)))</formula>
    </cfRule>
    <cfRule type="containsText" priority="5603" operator="containsText" dxfId="1" text="▲">
      <formula>NOT(ISERROR(SEARCH("▲",Z86)))</formula>
    </cfRule>
    <cfRule type="containsText" priority="5604" operator="containsText" dxfId="0" text="▼">
      <formula>NOT(ISERROR(SEARCH("▼",Z86)))</formula>
    </cfRule>
    <cfRule type="containsText" priority="5601" operator="containsText" dxfId="1" text="▲">
      <formula>NOT(ISERROR(SEARCH("▲",Z86)))</formula>
    </cfRule>
    <cfRule type="containsText" priority="5602" operator="containsText" dxfId="0" text="▼">
      <formula>NOT(ISERROR(SEARCH("▼",Z86)))</formula>
    </cfRule>
    <cfRule type="containsText" priority="5599" operator="containsText" dxfId="1" text="▲">
      <formula>NOT(ISERROR(SEARCH("▲",Z86)))</formula>
    </cfRule>
    <cfRule type="containsText" priority="5600" operator="containsText" dxfId="0" text="▼">
      <formula>NOT(ISERROR(SEARCH("▼",Z86)))</formula>
    </cfRule>
    <cfRule type="containsText" priority="5597" operator="containsText" dxfId="1" text="▲">
      <formula>NOT(ISERROR(SEARCH("▲",Z86)))</formula>
    </cfRule>
    <cfRule type="containsText" priority="5598" operator="containsText" dxfId="0" text="▼">
      <formula>NOT(ISERROR(SEARCH("▼",Z86)))</formula>
    </cfRule>
    <cfRule type="containsText" priority="5595" operator="containsText" dxfId="1" text="▲">
      <formula>NOT(ISERROR(SEARCH("▲",Z86)))</formula>
    </cfRule>
    <cfRule type="containsText" priority="5596" operator="containsText" dxfId="0" text="▼">
      <formula>NOT(ISERROR(SEARCH("▼",Z86)))</formula>
    </cfRule>
    <cfRule type="containsText" priority="5593" operator="containsText" dxfId="1" text="▲">
      <formula>NOT(ISERROR(SEARCH("▲",Z86)))</formula>
    </cfRule>
    <cfRule type="containsText" priority="5594" operator="containsText" dxfId="0" text="▼">
      <formula>NOT(ISERROR(SEARCH("▼",Z86)))</formula>
    </cfRule>
    <cfRule type="containsText" priority="5591" operator="containsText" dxfId="1" text="▲">
      <formula>NOT(ISERROR(SEARCH("▲",Z86)))</formula>
    </cfRule>
    <cfRule type="containsText" priority="5592" operator="containsText" dxfId="0" text="▼">
      <formula>NOT(ISERROR(SEARCH("▼",Z86)))</formula>
    </cfRule>
    <cfRule type="containsText" priority="5589" operator="containsText" dxfId="1" text="▲">
      <formula>NOT(ISERROR(SEARCH("▲",Z86)))</formula>
    </cfRule>
    <cfRule type="containsText" priority="5590" operator="containsText" dxfId="0" text="▼">
      <formula>NOT(ISERROR(SEARCH("▼",Z86)))</formula>
    </cfRule>
    <cfRule type="containsText" priority="5587" operator="containsText" dxfId="1" text="▲">
      <formula>NOT(ISERROR(SEARCH("▲",Z86)))</formula>
    </cfRule>
    <cfRule type="containsText" priority="5588" operator="containsText" dxfId="0" text="▼">
      <formula>NOT(ISERROR(SEARCH("▼",Z86)))</formula>
    </cfRule>
    <cfRule type="containsText" priority="5585" operator="containsText" dxfId="1" text="▲">
      <formula>NOT(ISERROR(SEARCH("▲",Z86)))</formula>
    </cfRule>
    <cfRule type="containsText" priority="5586" operator="containsText" dxfId="0" text="▼">
      <formula>NOT(ISERROR(SEARCH("▼",Z86)))</formula>
    </cfRule>
    <cfRule type="containsText" priority="5583" operator="containsText" dxfId="1" text="▲">
      <formula>NOT(ISERROR(SEARCH("▲",Z86)))</formula>
    </cfRule>
    <cfRule type="containsText" priority="5584" operator="containsText" dxfId="0" text="▼">
      <formula>NOT(ISERROR(SEARCH("▼",Z86)))</formula>
    </cfRule>
  </conditionalFormatting>
  <conditionalFormatting sqref="Z114:AA119 AA120">
    <cfRule type="containsText" priority="5581" operator="containsText" dxfId="1" text="△">
      <formula>NOT(ISERROR(SEARCH("△",Z114)))</formula>
    </cfRule>
    <cfRule type="containsText" priority="5582" operator="containsText" dxfId="0" text="▽">
      <formula>NOT(ISERROR(SEARCH("▽",Z114)))</formula>
    </cfRule>
  </conditionalFormatting>
  <conditionalFormatting sqref="AA114">
    <cfRule type="containsText" priority="5579" operator="containsText" dxfId="1" text="△">
      <formula>NOT(ISERROR(SEARCH("△",AA114)))</formula>
    </cfRule>
    <cfRule type="containsText" priority="5580" operator="containsText" dxfId="0" text="▽">
      <formula>NOT(ISERROR(SEARCH("▽",AA114)))</formula>
    </cfRule>
  </conditionalFormatting>
  <conditionalFormatting sqref="AB2:AB64 AB67:AB69 AB98 AB123:AB1048576">
    <cfRule type="containsText" priority="5578" operator="containsText" dxfId="0" text="▽">
      <formula>NOT(ISERROR(SEARCH("▽",AB2)))</formula>
    </cfRule>
    <cfRule type="containsText" priority="5577" operator="containsText" dxfId="1" text="△">
      <formula>NOT(ISERROR(SEARCH("△",AB2)))</formula>
    </cfRule>
  </conditionalFormatting>
  <conditionalFormatting sqref="AB2:AB64">
    <cfRule type="containsText" priority="5571" operator="containsText" dxfId="1" text="▲">
      <formula>NOT(ISERROR(SEARCH("▲",AB2)))</formula>
    </cfRule>
    <cfRule type="containsText" priority="5572" operator="containsText" dxfId="0" text="▼">
      <formula>NOT(ISERROR(SEARCH("▼",AB2)))</formula>
    </cfRule>
    <cfRule type="containsText" priority="5563" operator="containsText" dxfId="1" text="▲">
      <formula>NOT(ISERROR(SEARCH("▲",AB2)))</formula>
    </cfRule>
    <cfRule type="containsText" priority="5564" operator="containsText" dxfId="0" text="▼">
      <formula>NOT(ISERROR(SEARCH("▼",AB2)))</formula>
    </cfRule>
    <cfRule type="containsText" priority="5565" operator="containsText" dxfId="1" text="▲">
      <formula>NOT(ISERROR(SEARCH("▲",AB2)))</formula>
    </cfRule>
    <cfRule type="containsText" priority="5566" operator="containsText" dxfId="0" text="▼">
      <formula>NOT(ISERROR(SEARCH("▼",AB2)))</formula>
    </cfRule>
    <cfRule type="containsText" priority="5567" operator="containsText" dxfId="1" text="▲">
      <formula>NOT(ISERROR(SEARCH("▲",AB2)))</formula>
    </cfRule>
    <cfRule type="containsText" priority="5568" operator="containsText" dxfId="0" text="▼">
      <formula>NOT(ISERROR(SEARCH("▼",AB2)))</formula>
    </cfRule>
    <cfRule type="containsText" priority="5557" operator="containsText" dxfId="1" text="▲">
      <formula>NOT(ISERROR(SEARCH("▲",AB2)))</formula>
    </cfRule>
    <cfRule type="containsText" priority="5558" operator="containsText" dxfId="0" text="▼">
      <formula>NOT(ISERROR(SEARCH("▼",AB2)))</formula>
    </cfRule>
    <cfRule type="containsText" priority="5561" operator="containsText" dxfId="1" text="▲">
      <formula>NOT(ISERROR(SEARCH("▲",AB2)))</formula>
    </cfRule>
    <cfRule type="containsText" priority="5562" operator="containsText" dxfId="0" text="▼">
      <formula>NOT(ISERROR(SEARCH("▼",AB2)))</formula>
    </cfRule>
    <cfRule type="containsText" priority="5551" operator="containsText" dxfId="1" text="▲">
      <formula>NOT(ISERROR(SEARCH("▲",AB2)))</formula>
    </cfRule>
    <cfRule type="containsText" priority="5552" operator="containsText" dxfId="0" text="▼">
      <formula>NOT(ISERROR(SEARCH("▼",AB2)))</formula>
    </cfRule>
    <cfRule type="containsText" priority="5555" operator="containsText" dxfId="1" text="▲">
      <formula>NOT(ISERROR(SEARCH("▲",AB2)))</formula>
    </cfRule>
    <cfRule type="containsText" priority="5556" operator="containsText" dxfId="0" text="▼">
      <formula>NOT(ISERROR(SEARCH("▼",AB2)))</formula>
    </cfRule>
    <cfRule type="containsText" priority="5569" operator="containsText" dxfId="1" text="▲">
      <formula>NOT(ISERROR(SEARCH("▲",AB2)))</formula>
    </cfRule>
    <cfRule type="containsText" priority="5570" operator="containsText" dxfId="0" text="▼">
      <formula>NOT(ISERROR(SEARCH("▼",AB2)))</formula>
    </cfRule>
    <cfRule type="containsText" priority="5549" operator="containsText" dxfId="1" text="▲">
      <formula>NOT(ISERROR(SEARCH("▲",AB2)))</formula>
    </cfRule>
    <cfRule type="containsText" priority="5550" operator="containsText" dxfId="0" text="▼">
      <formula>NOT(ISERROR(SEARCH("▼",AB2)))</formula>
    </cfRule>
    <cfRule type="containsText" priority="5547" operator="containsText" dxfId="1" text="▲">
      <formula>NOT(ISERROR(SEARCH("▲",AB2)))</formula>
    </cfRule>
    <cfRule type="containsText" priority="5548" operator="containsText" dxfId="0" text="▼">
      <formula>NOT(ISERROR(SEARCH("▼",AB2)))</formula>
    </cfRule>
    <cfRule type="containsText" priority="5541" operator="containsText" dxfId="1" text="▲">
      <formula>NOT(ISERROR(SEARCH("▲",AB2)))</formula>
    </cfRule>
    <cfRule type="containsText" priority="5542" operator="containsText" dxfId="0" text="▼">
      <formula>NOT(ISERROR(SEARCH("▼",AB2)))</formula>
    </cfRule>
    <cfRule type="containsText" priority="5545" operator="containsText" dxfId="1" text="▲">
      <formula>NOT(ISERROR(SEARCH("▲",AB2)))</formula>
    </cfRule>
    <cfRule type="containsText" priority="5546" operator="containsText" dxfId="0" text="▼">
      <formula>NOT(ISERROR(SEARCH("▼",AB2)))</formula>
    </cfRule>
    <cfRule type="containsText" priority="5533" operator="containsText" dxfId="1" text="▲">
      <formula>NOT(ISERROR(SEARCH("▲",AB2)))</formula>
    </cfRule>
    <cfRule type="containsText" priority="5534" operator="containsText" dxfId="0" text="▼">
      <formula>NOT(ISERROR(SEARCH("▼",AB2)))</formula>
    </cfRule>
    <cfRule type="containsText" priority="5527" operator="containsText" dxfId="1" text="▲">
      <formula>NOT(ISERROR(SEARCH("▲",AB2)))</formula>
    </cfRule>
    <cfRule type="containsText" priority="5528" operator="containsText" dxfId="0" text="▼">
      <formula>NOT(ISERROR(SEARCH("▼",AB2)))</formula>
    </cfRule>
    <cfRule type="containsText" priority="5535" operator="containsText" dxfId="1" text="▲">
      <formula>NOT(ISERROR(SEARCH("▲",AB2)))</formula>
    </cfRule>
    <cfRule type="containsText" priority="5536" operator="containsText" dxfId="0" text="▼">
      <formula>NOT(ISERROR(SEARCH("▼",AB2)))</formula>
    </cfRule>
    <cfRule type="containsText" priority="5537" operator="containsText" dxfId="1" text="▲">
      <formula>NOT(ISERROR(SEARCH("▲",AB2)))</formula>
    </cfRule>
    <cfRule type="containsText" priority="5538" operator="containsText" dxfId="0" text="▼">
      <formula>NOT(ISERROR(SEARCH("▼",AB2)))</formula>
    </cfRule>
    <cfRule type="containsText" priority="5515" operator="containsText" dxfId="1" text="▲">
      <formula>NOT(ISERROR(SEARCH("▲",AB2)))</formula>
    </cfRule>
    <cfRule type="containsText" priority="5516" operator="containsText" dxfId="0" text="▼">
      <formula>NOT(ISERROR(SEARCH("▼",AB2)))</formula>
    </cfRule>
    <cfRule type="containsText" priority="5509" operator="containsText" dxfId="1" text="▲">
      <formula>NOT(ISERROR(SEARCH("▲",AB2)))</formula>
    </cfRule>
    <cfRule type="containsText" priority="5510" operator="containsText" dxfId="0" text="▼">
      <formula>NOT(ISERROR(SEARCH("▼",AB2)))</formula>
    </cfRule>
    <cfRule type="containsText" priority="5511" operator="containsText" dxfId="1" text="▲">
      <formula>NOT(ISERROR(SEARCH("▲",AB2)))</formula>
    </cfRule>
    <cfRule type="containsText" priority="5512" operator="containsText" dxfId="0" text="▼">
      <formula>NOT(ISERROR(SEARCH("▼",AB2)))</formula>
    </cfRule>
    <cfRule type="containsText" priority="5553" operator="containsText" dxfId="1" text="▲">
      <formula>NOT(ISERROR(SEARCH("▲",AB2)))</formula>
    </cfRule>
    <cfRule type="containsText" priority="5554" operator="containsText" dxfId="0" text="▼">
      <formula>NOT(ISERROR(SEARCH("▼",AB2)))</formula>
    </cfRule>
    <cfRule type="containsText" priority="5519" operator="containsText" dxfId="1" text="▲">
      <formula>NOT(ISERROR(SEARCH("▲",AB2)))</formula>
    </cfRule>
    <cfRule type="containsText" priority="5520" operator="containsText" dxfId="0" text="▼">
      <formula>NOT(ISERROR(SEARCH("▼",AB2)))</formula>
    </cfRule>
    <cfRule type="containsText" priority="5505" operator="containsText" dxfId="1" text="▲">
      <formula>NOT(ISERROR(SEARCH("▲",AB2)))</formula>
    </cfRule>
    <cfRule type="containsText" priority="5506" operator="containsText" dxfId="0" text="▼">
      <formula>NOT(ISERROR(SEARCH("▼",AB2)))</formula>
    </cfRule>
    <cfRule type="containsText" priority="5503" operator="containsText" dxfId="1" text="▲">
      <formula>NOT(ISERROR(SEARCH("▲",AB2)))</formula>
    </cfRule>
    <cfRule type="containsText" priority="5504" operator="containsText" dxfId="0" text="▼">
      <formula>NOT(ISERROR(SEARCH("▼",AB2)))</formula>
    </cfRule>
  </conditionalFormatting>
  <conditionalFormatting sqref="AB2:AB66">
    <cfRule type="containsText" priority="5573" operator="containsText" dxfId="1" text="▲">
      <formula>NOT(ISERROR(SEARCH("▲",AB2)))</formula>
    </cfRule>
    <cfRule type="containsText" priority="5574" operator="containsText" dxfId="0" text="▼">
      <formula>NOT(ISERROR(SEARCH("▼",AB2)))</formula>
    </cfRule>
  </conditionalFormatting>
  <conditionalFormatting sqref="AB11">
    <cfRule type="containsText" priority="5559" operator="containsText" dxfId="1" text="▲">
      <formula>NOT(ISERROR(SEARCH("▲",AB11)))</formula>
    </cfRule>
    <cfRule type="containsText" priority="5560" operator="containsText" dxfId="0" text="▼">
      <formula>NOT(ISERROR(SEARCH("▼",AB11)))</formula>
    </cfRule>
  </conditionalFormatting>
  <conditionalFormatting sqref="AB14">
    <cfRule type="containsText" priority="5543" operator="containsText" dxfId="1" text="▲">
      <formula>NOT(ISERROR(SEARCH("▲",AB14)))</formula>
    </cfRule>
    <cfRule type="containsText" priority="5544" operator="containsText" dxfId="0" text="▼">
      <formula>NOT(ISERROR(SEARCH("▼",AB14)))</formula>
    </cfRule>
  </conditionalFormatting>
  <conditionalFormatting sqref="AB23">
    <cfRule type="containsText" priority="5529" operator="containsText" dxfId="1" text="▲">
      <formula>NOT(ISERROR(SEARCH("▲",AB23)))</formula>
    </cfRule>
    <cfRule type="containsText" priority="5530" operator="containsText" dxfId="0" text="▼">
      <formula>NOT(ISERROR(SEARCH("▼",AB23)))</formula>
    </cfRule>
    <cfRule type="containsText" priority="5531" operator="containsText" dxfId="1" text="▲">
      <formula>NOT(ISERROR(SEARCH("▲",AB23)))</formula>
    </cfRule>
    <cfRule type="containsText" priority="5532" operator="containsText" dxfId="0" text="▼">
      <formula>NOT(ISERROR(SEARCH("▼",AB23)))</formula>
    </cfRule>
  </conditionalFormatting>
  <conditionalFormatting sqref="AB24">
    <cfRule type="containsText" priority="5523" operator="containsText" dxfId="1" text="▲">
      <formula>NOT(ISERROR(SEARCH("▲",AB24)))</formula>
    </cfRule>
    <cfRule type="containsText" priority="5524" operator="containsText" dxfId="0" text="▼">
      <formula>NOT(ISERROR(SEARCH("▼",AB24)))</formula>
    </cfRule>
    <cfRule type="containsText" priority="5525" operator="containsText" dxfId="1" text="▲">
      <formula>NOT(ISERROR(SEARCH("▲",AB24)))</formula>
    </cfRule>
    <cfRule type="containsText" priority="5526" operator="containsText" dxfId="0" text="▼">
      <formula>NOT(ISERROR(SEARCH("▼",AB24)))</formula>
    </cfRule>
  </conditionalFormatting>
  <conditionalFormatting sqref="AB2:AB27">
    <cfRule type="containsText" priority="5513" operator="containsText" dxfId="1" text="▲">
      <formula>NOT(ISERROR(SEARCH("▲",AB2)))</formula>
    </cfRule>
    <cfRule type="containsText" priority="5514" operator="containsText" dxfId="0" text="▼">
      <formula>NOT(ISERROR(SEARCH("▼",AB2)))</formula>
    </cfRule>
  </conditionalFormatting>
  <conditionalFormatting sqref="AB29">
    <cfRule type="containsText" priority="5507" operator="containsText" dxfId="1" text="▲">
      <formula>NOT(ISERROR(SEARCH("▲",AB29)))</formula>
    </cfRule>
    <cfRule type="containsText" priority="5508" operator="containsText" dxfId="0" text="▼">
      <formula>NOT(ISERROR(SEARCH("▼",AB29)))</formula>
    </cfRule>
  </conditionalFormatting>
  <conditionalFormatting sqref="AB33">
    <cfRule type="containsText" priority="5517" operator="containsText" dxfId="1" text="▲">
      <formula>NOT(ISERROR(SEARCH("▲",AB33)))</formula>
    </cfRule>
    <cfRule type="containsText" priority="5518" operator="containsText" dxfId="0" text="▼">
      <formula>NOT(ISERROR(SEARCH("▼",AB33)))</formula>
    </cfRule>
  </conditionalFormatting>
  <conditionalFormatting sqref="AB36">
    <cfRule type="containsText" priority="5501" operator="containsText" dxfId="1" text="▲">
      <formula>NOT(ISERROR(SEARCH("▲",AB36)))</formula>
    </cfRule>
    <cfRule type="containsText" priority="5502" operator="containsText" dxfId="0" text="▼">
      <formula>NOT(ISERROR(SEARCH("▼",AB36)))</formula>
    </cfRule>
  </conditionalFormatting>
  <conditionalFormatting sqref="AB39:AB64">
    <cfRule type="containsText" priority="5437" operator="containsText" dxfId="1" text="▲">
      <formula>NOT(ISERROR(SEARCH("▲",AB39)))</formula>
    </cfRule>
    <cfRule type="containsText" priority="5438" operator="containsText" dxfId="0" text="▼">
      <formula>NOT(ISERROR(SEARCH("▼",AB39)))</formula>
    </cfRule>
    <cfRule type="containsText" priority="5439" operator="containsText" dxfId="1" text="▲">
      <formula>NOT(ISERROR(SEARCH("▲",AB39)))</formula>
    </cfRule>
    <cfRule type="containsText" priority="5440" operator="containsText" dxfId="0" text="▼">
      <formula>NOT(ISERROR(SEARCH("▼",AB39)))</formula>
    </cfRule>
    <cfRule type="containsText" priority="5441" operator="containsText" dxfId="1" text="▲">
      <formula>NOT(ISERROR(SEARCH("▲",AB39)))</formula>
    </cfRule>
    <cfRule type="containsText" priority="5442" operator="containsText" dxfId="0" text="▼">
      <formula>NOT(ISERROR(SEARCH("▼",AB39)))</formula>
    </cfRule>
    <cfRule type="containsText" priority="5443" operator="containsText" dxfId="1" text="▲">
      <formula>NOT(ISERROR(SEARCH("▲",AB39)))</formula>
    </cfRule>
    <cfRule type="containsText" priority="5444" operator="containsText" dxfId="0" text="▼">
      <formula>NOT(ISERROR(SEARCH("▼",AB39)))</formula>
    </cfRule>
    <cfRule type="containsText" priority="5445" operator="containsText" dxfId="1" text="▲">
      <formula>NOT(ISERROR(SEARCH("▲",AB39)))</formula>
    </cfRule>
    <cfRule type="containsText" priority="5446" operator="containsText" dxfId="0" text="▼">
      <formula>NOT(ISERROR(SEARCH("▼",AB39)))</formula>
    </cfRule>
    <cfRule type="containsText" priority="5447" operator="containsText" dxfId="1" text="▲">
      <formula>NOT(ISERROR(SEARCH("▲",AB39)))</formula>
    </cfRule>
    <cfRule type="containsText" priority="5448" operator="containsText" dxfId="0" text="▼">
      <formula>NOT(ISERROR(SEARCH("▼",AB39)))</formula>
    </cfRule>
    <cfRule type="containsText" priority="5449" operator="containsText" dxfId="1" text="▲">
      <formula>NOT(ISERROR(SEARCH("▲",AB39)))</formula>
    </cfRule>
    <cfRule type="containsText" priority="5450" operator="containsText" dxfId="0" text="▼">
      <formula>NOT(ISERROR(SEARCH("▼",AB39)))</formula>
    </cfRule>
    <cfRule type="containsText" priority="5451" operator="containsText" dxfId="1" text="▲">
      <formula>NOT(ISERROR(SEARCH("▲",AB39)))</formula>
    </cfRule>
    <cfRule type="containsText" priority="5452" operator="containsText" dxfId="0" text="▼">
      <formula>NOT(ISERROR(SEARCH("▼",AB39)))</formula>
    </cfRule>
    <cfRule type="containsText" priority="5453" operator="containsText" dxfId="1" text="▲">
      <formula>NOT(ISERROR(SEARCH("▲",AB39)))</formula>
    </cfRule>
    <cfRule type="containsText" priority="5454" operator="containsText" dxfId="0" text="▼">
      <formula>NOT(ISERROR(SEARCH("▼",AB39)))</formula>
    </cfRule>
    <cfRule type="containsText" priority="5455" operator="containsText" dxfId="1" text="▲">
      <formula>NOT(ISERROR(SEARCH("▲",AB39)))</formula>
    </cfRule>
    <cfRule type="containsText" priority="5456" operator="containsText" dxfId="0" text="▼">
      <formula>NOT(ISERROR(SEARCH("▼",AB39)))</formula>
    </cfRule>
    <cfRule type="containsText" priority="5457" operator="containsText" dxfId="1" text="▲">
      <formula>NOT(ISERROR(SEARCH("▲",AB39)))</formula>
    </cfRule>
    <cfRule type="containsText" priority="5458" operator="containsText" dxfId="0" text="▼">
      <formula>NOT(ISERROR(SEARCH("▼",AB39)))</formula>
    </cfRule>
    <cfRule type="containsText" priority="5459" operator="containsText" dxfId="1" text="▲">
      <formula>NOT(ISERROR(SEARCH("▲",AB39)))</formula>
    </cfRule>
    <cfRule type="containsText" priority="5460" operator="containsText" dxfId="0" text="▼">
      <formula>NOT(ISERROR(SEARCH("▼",AB39)))</formula>
    </cfRule>
    <cfRule type="containsText" priority="5461" operator="containsText" dxfId="1" text="▲">
      <formula>NOT(ISERROR(SEARCH("▲",AB39)))</formula>
    </cfRule>
    <cfRule type="containsText" priority="5462" operator="containsText" dxfId="0" text="▼">
      <formula>NOT(ISERROR(SEARCH("▼",AB39)))</formula>
    </cfRule>
    <cfRule type="containsText" priority="5463" operator="containsText" dxfId="1" text="▲">
      <formula>NOT(ISERROR(SEARCH("▲",AB39)))</formula>
    </cfRule>
    <cfRule type="containsText" priority="5464" operator="containsText" dxfId="0" text="▼">
      <formula>NOT(ISERROR(SEARCH("▼",AB39)))</formula>
    </cfRule>
    <cfRule type="containsText" priority="5465" operator="containsText" dxfId="1" text="▲">
      <formula>NOT(ISERROR(SEARCH("▲",AB39)))</formula>
    </cfRule>
    <cfRule type="containsText" priority="5466" operator="containsText" dxfId="0" text="▼">
      <formula>NOT(ISERROR(SEARCH("▼",AB39)))</formula>
    </cfRule>
    <cfRule type="containsText" priority="5467" operator="containsText" dxfId="1" text="▲">
      <formula>NOT(ISERROR(SEARCH("▲",AB39)))</formula>
    </cfRule>
    <cfRule type="containsText" priority="5468" operator="containsText" dxfId="0" text="▼">
      <formula>NOT(ISERROR(SEARCH("▼",AB39)))</formula>
    </cfRule>
    <cfRule type="containsText" priority="5469" operator="containsText" dxfId="1" text="▲">
      <formula>NOT(ISERROR(SEARCH("▲",AB39)))</formula>
    </cfRule>
    <cfRule type="containsText" priority="5470" operator="containsText" dxfId="0" text="▼">
      <formula>NOT(ISERROR(SEARCH("▼",AB39)))</formula>
    </cfRule>
    <cfRule type="containsText" priority="5471" operator="containsText" dxfId="1" text="▲">
      <formula>NOT(ISERROR(SEARCH("▲",AB39)))</formula>
    </cfRule>
    <cfRule type="containsText" priority="5472" operator="containsText" dxfId="0" text="▼">
      <formula>NOT(ISERROR(SEARCH("▼",AB39)))</formula>
    </cfRule>
    <cfRule type="containsText" priority="5473" operator="containsText" dxfId="1" text="▲">
      <formula>NOT(ISERROR(SEARCH("▲",AB39)))</formula>
    </cfRule>
    <cfRule type="containsText" priority="5474" operator="containsText" dxfId="0" text="▼">
      <formula>NOT(ISERROR(SEARCH("▼",AB39)))</formula>
    </cfRule>
    <cfRule type="containsText" priority="5475" operator="containsText" dxfId="1" text="▲">
      <formula>NOT(ISERROR(SEARCH("▲",AB39)))</formula>
    </cfRule>
    <cfRule type="containsText" priority="5476" operator="containsText" dxfId="0" text="▼">
      <formula>NOT(ISERROR(SEARCH("▼",AB39)))</formula>
    </cfRule>
    <cfRule type="containsText" priority="5477" operator="containsText" dxfId="1" text="▲">
      <formula>NOT(ISERROR(SEARCH("▲",AB39)))</formula>
    </cfRule>
    <cfRule type="containsText" priority="5478" operator="containsText" dxfId="0" text="▼">
      <formula>NOT(ISERROR(SEARCH("▼",AB39)))</formula>
    </cfRule>
    <cfRule type="containsText" priority="5479" operator="containsText" dxfId="1" text="▲">
      <formula>NOT(ISERROR(SEARCH("▲",AB39)))</formula>
    </cfRule>
    <cfRule type="containsText" priority="5480" operator="containsText" dxfId="0" text="▼">
      <formula>NOT(ISERROR(SEARCH("▼",AB39)))</formula>
    </cfRule>
    <cfRule type="containsText" priority="5481" operator="containsText" dxfId="1" text="▲">
      <formula>NOT(ISERROR(SEARCH("▲",AB39)))</formula>
    </cfRule>
    <cfRule type="containsText" priority="5482" operator="containsText" dxfId="0" text="▼">
      <formula>NOT(ISERROR(SEARCH("▼",AB39)))</formula>
    </cfRule>
    <cfRule type="containsText" priority="5483" operator="containsText" dxfId="1" text="▲">
      <formula>NOT(ISERROR(SEARCH("▲",AB39)))</formula>
    </cfRule>
    <cfRule type="containsText" priority="5484" operator="containsText" dxfId="0" text="▼">
      <formula>NOT(ISERROR(SEARCH("▼",AB39)))</formula>
    </cfRule>
    <cfRule type="containsText" priority="5485" operator="containsText" dxfId="1" text="△">
      <formula>NOT(ISERROR(SEARCH("△",AB39)))</formula>
    </cfRule>
    <cfRule type="containsText" priority="5486" operator="containsText" dxfId="0" text="▽">
      <formula>NOT(ISERROR(SEARCH("▽",AB39)))</formula>
    </cfRule>
  </conditionalFormatting>
  <conditionalFormatting sqref="AB40:AB64">
    <cfRule type="containsText" priority="5539" operator="containsText" dxfId="1" text="▲">
      <formula>NOT(ISERROR(SEARCH("▲",AB40)))</formula>
    </cfRule>
    <cfRule type="containsText" priority="5540" operator="containsText" dxfId="0" text="▼">
      <formula>NOT(ISERROR(SEARCH("▼",AB40)))</formula>
    </cfRule>
  </conditionalFormatting>
  <conditionalFormatting sqref="AB41:AB64">
    <cfRule type="containsText" priority="5499" operator="containsText" dxfId="1" text="▲">
      <formula>NOT(ISERROR(SEARCH("▲",AB41)))</formula>
    </cfRule>
    <cfRule type="containsText" priority="5500" operator="containsText" dxfId="0" text="▼">
      <formula>NOT(ISERROR(SEARCH("▼",AB41)))</formula>
    </cfRule>
  </conditionalFormatting>
  <conditionalFormatting sqref="AB42:AB64">
    <cfRule type="containsText" priority="5493" operator="containsText" dxfId="1" text="▲">
      <formula>NOT(ISERROR(SEARCH("▲",AB42)))</formula>
    </cfRule>
    <cfRule type="containsText" priority="5494" operator="containsText" dxfId="0" text="▼">
      <formula>NOT(ISERROR(SEARCH("▼",AB42)))</formula>
    </cfRule>
  </conditionalFormatting>
  <conditionalFormatting sqref="AB43:AB64">
    <cfRule type="containsText" priority="5489" operator="containsText" dxfId="1" text="▲">
      <formula>NOT(ISERROR(SEARCH("▲",AB43)))</formula>
    </cfRule>
    <cfRule type="containsText" priority="5490" operator="containsText" dxfId="0" text="▼">
      <formula>NOT(ISERROR(SEARCH("▼",AB43)))</formula>
    </cfRule>
  </conditionalFormatting>
  <conditionalFormatting sqref="AB44:AB64">
    <cfRule type="containsText" priority="5495" operator="containsText" dxfId="1" text="▲">
      <formula>NOT(ISERROR(SEARCH("▲",AB44)))</formula>
    </cfRule>
    <cfRule type="containsText" priority="5496" operator="containsText" dxfId="0" text="▼">
      <formula>NOT(ISERROR(SEARCH("▼",AB44)))</formula>
    </cfRule>
  </conditionalFormatting>
  <conditionalFormatting sqref="AB45">
    <cfRule type="containsText" priority="5521" operator="containsText" dxfId="1" text="▲">
      <formula>NOT(ISERROR(SEARCH("▲",AB45)))</formula>
    </cfRule>
    <cfRule type="containsText" priority="5522" operator="containsText" dxfId="0" text="▼">
      <formula>NOT(ISERROR(SEARCH("▼",AB45)))</formula>
    </cfRule>
  </conditionalFormatting>
  <conditionalFormatting sqref="AB46">
    <cfRule type="containsText" priority="5497" operator="containsText" dxfId="1" text="▲">
      <formula>NOT(ISERROR(SEARCH("▲",AB46)))</formula>
    </cfRule>
    <cfRule type="containsText" priority="5498" operator="containsText" dxfId="0" text="▼">
      <formula>NOT(ISERROR(SEARCH("▼",AB46)))</formula>
    </cfRule>
  </conditionalFormatting>
  <conditionalFormatting sqref="AB47">
    <cfRule type="containsText" priority="5491" operator="containsText" dxfId="1" text="▲">
      <formula>NOT(ISERROR(SEARCH("▲",AB47)))</formula>
    </cfRule>
    <cfRule type="containsText" priority="5492" operator="containsText" dxfId="0" text="▼">
      <formula>NOT(ISERROR(SEARCH("▼",AB47)))</formula>
    </cfRule>
  </conditionalFormatting>
  <conditionalFormatting sqref="AB48:AB64">
    <cfRule type="containsText" priority="5487" operator="containsText" dxfId="1" text="▲">
      <formula>NOT(ISERROR(SEARCH("▲",AB48)))</formula>
    </cfRule>
    <cfRule type="containsText" priority="5488" operator="containsText" dxfId="0" text="▼">
      <formula>NOT(ISERROR(SEARCH("▼",AB48)))</formula>
    </cfRule>
  </conditionalFormatting>
  <conditionalFormatting sqref="AB50:AB64">
    <cfRule type="containsText" priority="5337" operator="containsText" dxfId="1" text="▲">
      <formula>NOT(ISERROR(SEARCH("▲",AB50)))</formula>
    </cfRule>
    <cfRule type="containsText" priority="5338" operator="containsText" dxfId="0" text="▼">
      <formula>NOT(ISERROR(SEARCH("▼",AB50)))</formula>
    </cfRule>
  </conditionalFormatting>
  <conditionalFormatting sqref="AB51:AB53">
    <cfRule type="containsText" priority="5339" operator="containsText" dxfId="1" text="▲">
      <formula>NOT(ISERROR(SEARCH("▲",AB51)))</formula>
    </cfRule>
    <cfRule type="containsText" priority="5340" operator="containsText" dxfId="0" text="▼">
      <formula>NOT(ISERROR(SEARCH("▼",AB51)))</formula>
    </cfRule>
    <cfRule type="containsText" priority="5341" operator="containsText" dxfId="1" text="▲">
      <formula>NOT(ISERROR(SEARCH("▲",AB51)))</formula>
    </cfRule>
    <cfRule type="containsText" priority="5342" operator="containsText" dxfId="0" text="▼">
      <formula>NOT(ISERROR(SEARCH("▼",AB51)))</formula>
    </cfRule>
    <cfRule type="containsText" priority="5343" operator="containsText" dxfId="1" text="▲">
      <formula>NOT(ISERROR(SEARCH("▲",AB51)))</formula>
    </cfRule>
    <cfRule type="containsText" priority="5344" operator="containsText" dxfId="0" text="▼">
      <formula>NOT(ISERROR(SEARCH("▼",AB51)))</formula>
    </cfRule>
    <cfRule type="containsText" priority="5345" operator="containsText" dxfId="1" text="▲">
      <formula>NOT(ISERROR(SEARCH("▲",AB51)))</formula>
    </cfRule>
    <cfRule type="containsText" priority="5346" operator="containsText" dxfId="0" text="▼">
      <formula>NOT(ISERROR(SEARCH("▼",AB51)))</formula>
    </cfRule>
    <cfRule type="containsText" priority="5347" operator="containsText" dxfId="1" text="▲">
      <formula>NOT(ISERROR(SEARCH("▲",AB51)))</formula>
    </cfRule>
    <cfRule type="containsText" priority="5348" operator="containsText" dxfId="0" text="▼">
      <formula>NOT(ISERROR(SEARCH("▼",AB51)))</formula>
    </cfRule>
    <cfRule type="containsText" priority="5349" operator="containsText" dxfId="1" text="▲">
      <formula>NOT(ISERROR(SEARCH("▲",AB51)))</formula>
    </cfRule>
    <cfRule type="containsText" priority="5350" operator="containsText" dxfId="0" text="▼">
      <formula>NOT(ISERROR(SEARCH("▼",AB51)))</formula>
    </cfRule>
    <cfRule type="containsText" priority="5351" operator="containsText" dxfId="1" text="▲">
      <formula>NOT(ISERROR(SEARCH("▲",AB51)))</formula>
    </cfRule>
    <cfRule type="containsText" priority="5352" operator="containsText" dxfId="0" text="▼">
      <formula>NOT(ISERROR(SEARCH("▼",AB51)))</formula>
    </cfRule>
    <cfRule type="containsText" priority="5353" operator="containsText" dxfId="1" text="▲">
      <formula>NOT(ISERROR(SEARCH("▲",AB51)))</formula>
    </cfRule>
    <cfRule type="containsText" priority="5354" operator="containsText" dxfId="0" text="▼">
      <formula>NOT(ISERROR(SEARCH("▼",AB51)))</formula>
    </cfRule>
    <cfRule type="containsText" priority="5355" operator="containsText" dxfId="1" text="▲">
      <formula>NOT(ISERROR(SEARCH("▲",AB51)))</formula>
    </cfRule>
    <cfRule type="containsText" priority="5356" operator="containsText" dxfId="0" text="▼">
      <formula>NOT(ISERROR(SEARCH("▼",AB51)))</formula>
    </cfRule>
    <cfRule type="containsText" priority="5357" operator="containsText" dxfId="1" text="▲">
      <formula>NOT(ISERROR(SEARCH("▲",AB51)))</formula>
    </cfRule>
    <cfRule type="containsText" priority="5358" operator="containsText" dxfId="0" text="▼">
      <formula>NOT(ISERROR(SEARCH("▼",AB51)))</formula>
    </cfRule>
    <cfRule type="containsText" priority="5359" operator="containsText" dxfId="1" text="▲">
      <formula>NOT(ISERROR(SEARCH("▲",AB51)))</formula>
    </cfRule>
    <cfRule type="containsText" priority="5360" operator="containsText" dxfId="0" text="▼">
      <formula>NOT(ISERROR(SEARCH("▼",AB51)))</formula>
    </cfRule>
    <cfRule type="containsText" priority="5361" operator="containsText" dxfId="1" text="▲">
      <formula>NOT(ISERROR(SEARCH("▲",AB51)))</formula>
    </cfRule>
    <cfRule type="containsText" priority="5362" operator="containsText" dxfId="0" text="▼">
      <formula>NOT(ISERROR(SEARCH("▼",AB51)))</formula>
    </cfRule>
    <cfRule type="containsText" priority="5363" operator="containsText" dxfId="1" text="▲">
      <formula>NOT(ISERROR(SEARCH("▲",AB51)))</formula>
    </cfRule>
    <cfRule type="containsText" priority="5364" operator="containsText" dxfId="0" text="▼">
      <formula>NOT(ISERROR(SEARCH("▼",AB51)))</formula>
    </cfRule>
    <cfRule type="containsText" priority="5365" operator="containsText" dxfId="1" text="▲">
      <formula>NOT(ISERROR(SEARCH("▲",AB51)))</formula>
    </cfRule>
    <cfRule type="containsText" priority="5366" operator="containsText" dxfId="0" text="▼">
      <formula>NOT(ISERROR(SEARCH("▼",AB51)))</formula>
    </cfRule>
    <cfRule type="containsText" priority="5367" operator="containsText" dxfId="1" text="▲">
      <formula>NOT(ISERROR(SEARCH("▲",AB51)))</formula>
    </cfRule>
    <cfRule type="containsText" priority="5368" operator="containsText" dxfId="0" text="▼">
      <formula>NOT(ISERROR(SEARCH("▼",AB51)))</formula>
    </cfRule>
    <cfRule type="containsText" priority="5369" operator="containsText" dxfId="1" text="▲">
      <formula>NOT(ISERROR(SEARCH("▲",AB51)))</formula>
    </cfRule>
    <cfRule type="containsText" priority="5370" operator="containsText" dxfId="0" text="▼">
      <formula>NOT(ISERROR(SEARCH("▼",AB51)))</formula>
    </cfRule>
    <cfRule type="containsText" priority="5371" operator="containsText" dxfId="1" text="▲">
      <formula>NOT(ISERROR(SEARCH("▲",AB51)))</formula>
    </cfRule>
    <cfRule type="containsText" priority="5372" operator="containsText" dxfId="0" text="▼">
      <formula>NOT(ISERROR(SEARCH("▼",AB51)))</formula>
    </cfRule>
    <cfRule type="containsText" priority="5373" operator="containsText" dxfId="1" text="▲">
      <formula>NOT(ISERROR(SEARCH("▲",AB51)))</formula>
    </cfRule>
    <cfRule type="containsText" priority="5374" operator="containsText" dxfId="0" text="▼">
      <formula>NOT(ISERROR(SEARCH("▼",AB51)))</formula>
    </cfRule>
    <cfRule type="containsText" priority="5375" operator="containsText" dxfId="1" text="▲">
      <formula>NOT(ISERROR(SEARCH("▲",AB51)))</formula>
    </cfRule>
    <cfRule type="containsText" priority="5376" operator="containsText" dxfId="0" text="▼">
      <formula>NOT(ISERROR(SEARCH("▼",AB51)))</formula>
    </cfRule>
    <cfRule type="containsText" priority="5377" operator="containsText" dxfId="1" text="▲">
      <formula>NOT(ISERROR(SEARCH("▲",AB51)))</formula>
    </cfRule>
    <cfRule type="containsText" priority="5378" operator="containsText" dxfId="0" text="▼">
      <formula>NOT(ISERROR(SEARCH("▼",AB51)))</formula>
    </cfRule>
    <cfRule type="containsText" priority="5379" operator="containsText" dxfId="1" text="▲">
      <formula>NOT(ISERROR(SEARCH("▲",AB51)))</formula>
    </cfRule>
    <cfRule type="containsText" priority="5380" operator="containsText" dxfId="0" text="▼">
      <formula>NOT(ISERROR(SEARCH("▼",AB51)))</formula>
    </cfRule>
    <cfRule type="containsText" priority="5381" operator="containsText" dxfId="1" text="▲">
      <formula>NOT(ISERROR(SEARCH("▲",AB51)))</formula>
    </cfRule>
    <cfRule type="containsText" priority="5382" operator="containsText" dxfId="0" text="▼">
      <formula>NOT(ISERROR(SEARCH("▼",AB51)))</formula>
    </cfRule>
    <cfRule type="containsText" priority="5383" operator="containsText" dxfId="1" text="▲">
      <formula>NOT(ISERROR(SEARCH("▲",AB51)))</formula>
    </cfRule>
    <cfRule type="containsText" priority="5384" operator="containsText" dxfId="0" text="▼">
      <formula>NOT(ISERROR(SEARCH("▼",AB51)))</formula>
    </cfRule>
    <cfRule type="containsText" priority="5387" operator="containsText" dxfId="1" text="△">
      <formula>NOT(ISERROR(SEARCH("△",AB51)))</formula>
    </cfRule>
    <cfRule type="containsText" priority="5388" operator="containsText" dxfId="0" text="▽">
      <formula>NOT(ISERROR(SEARCH("▽",AB51)))</formula>
    </cfRule>
    <cfRule type="containsText" priority="5385" operator="containsText" dxfId="1" text="▲">
      <formula>NOT(ISERROR(SEARCH("▲",AB51)))</formula>
    </cfRule>
    <cfRule type="containsText" priority="5386" operator="containsText" dxfId="0" text="▼">
      <formula>NOT(ISERROR(SEARCH("▼",AB51)))</formula>
    </cfRule>
  </conditionalFormatting>
  <conditionalFormatting sqref="AB52">
    <cfRule type="containsText" priority="5389" operator="containsText" dxfId="1" text="▲">
      <formula>NOT(ISERROR(SEARCH("▲",AB52)))</formula>
    </cfRule>
    <cfRule type="containsText" priority="5390" operator="containsText" dxfId="0" text="▼">
      <formula>NOT(ISERROR(SEARCH("▼",AB52)))</formula>
    </cfRule>
    <cfRule type="containsText" priority="5391" operator="containsText" dxfId="1" text="▲">
      <formula>NOT(ISERROR(SEARCH("▲",AB52)))</formula>
    </cfRule>
    <cfRule type="containsText" priority="5392" operator="containsText" dxfId="0" text="▼">
      <formula>NOT(ISERROR(SEARCH("▼",AB52)))</formula>
    </cfRule>
    <cfRule type="containsText" priority="5393" operator="containsText" dxfId="1" text="▲">
      <formula>NOT(ISERROR(SEARCH("▲",AB52)))</formula>
    </cfRule>
    <cfRule type="containsText" priority="5394" operator="containsText" dxfId="0" text="▼">
      <formula>NOT(ISERROR(SEARCH("▼",AB52)))</formula>
    </cfRule>
    <cfRule type="containsText" priority="5395" operator="containsText" dxfId="1" text="▲">
      <formula>NOT(ISERROR(SEARCH("▲",AB52)))</formula>
    </cfRule>
    <cfRule type="containsText" priority="5396" operator="containsText" dxfId="0" text="▼">
      <formula>NOT(ISERROR(SEARCH("▼",AB52)))</formula>
    </cfRule>
    <cfRule type="containsText" priority="5397" operator="containsText" dxfId="1" text="▲">
      <formula>NOT(ISERROR(SEARCH("▲",AB52)))</formula>
    </cfRule>
    <cfRule type="containsText" priority="5398" operator="containsText" dxfId="0" text="▼">
      <formula>NOT(ISERROR(SEARCH("▼",AB52)))</formula>
    </cfRule>
    <cfRule type="containsText" priority="5399" operator="containsText" dxfId="1" text="▲">
      <formula>NOT(ISERROR(SEARCH("▲",AB52)))</formula>
    </cfRule>
    <cfRule type="containsText" priority="5400" operator="containsText" dxfId="0" text="▼">
      <formula>NOT(ISERROR(SEARCH("▼",AB52)))</formula>
    </cfRule>
    <cfRule type="containsText" priority="5401" operator="containsText" dxfId="1" text="▲">
      <formula>NOT(ISERROR(SEARCH("▲",AB52)))</formula>
    </cfRule>
    <cfRule type="containsText" priority="5402" operator="containsText" dxfId="0" text="▼">
      <formula>NOT(ISERROR(SEARCH("▼",AB52)))</formula>
    </cfRule>
    <cfRule type="containsText" priority="5403" operator="containsText" dxfId="1" text="▲">
      <formula>NOT(ISERROR(SEARCH("▲",AB52)))</formula>
    </cfRule>
    <cfRule type="containsText" priority="5404" operator="containsText" dxfId="0" text="▼">
      <formula>NOT(ISERROR(SEARCH("▼",AB52)))</formula>
    </cfRule>
    <cfRule type="containsText" priority="5405" operator="containsText" dxfId="1" text="▲">
      <formula>NOT(ISERROR(SEARCH("▲",AB52)))</formula>
    </cfRule>
    <cfRule type="containsText" priority="5406" operator="containsText" dxfId="0" text="▼">
      <formula>NOT(ISERROR(SEARCH("▼",AB52)))</formula>
    </cfRule>
    <cfRule type="containsText" priority="5407" operator="containsText" dxfId="1" text="▲">
      <formula>NOT(ISERROR(SEARCH("▲",AB52)))</formula>
    </cfRule>
    <cfRule type="containsText" priority="5408" operator="containsText" dxfId="0" text="▼">
      <formula>NOT(ISERROR(SEARCH("▼",AB52)))</formula>
    </cfRule>
    <cfRule type="containsText" priority="5409" operator="containsText" dxfId="1" text="▲">
      <formula>NOT(ISERROR(SEARCH("▲",AB52)))</formula>
    </cfRule>
    <cfRule type="containsText" priority="5410" operator="containsText" dxfId="0" text="▼">
      <formula>NOT(ISERROR(SEARCH("▼",AB52)))</formula>
    </cfRule>
    <cfRule type="containsText" priority="5411" operator="containsText" dxfId="1" text="▲">
      <formula>NOT(ISERROR(SEARCH("▲",AB52)))</formula>
    </cfRule>
    <cfRule type="containsText" priority="5412" operator="containsText" dxfId="0" text="▼">
      <formula>NOT(ISERROR(SEARCH("▼",AB52)))</formula>
    </cfRule>
    <cfRule type="containsText" priority="5413" operator="containsText" dxfId="1" text="▲">
      <formula>NOT(ISERROR(SEARCH("▲",AB52)))</formula>
    </cfRule>
    <cfRule type="containsText" priority="5414" operator="containsText" dxfId="0" text="▼">
      <formula>NOT(ISERROR(SEARCH("▼",AB52)))</formula>
    </cfRule>
    <cfRule type="containsText" priority="5415" operator="containsText" dxfId="1" text="▲">
      <formula>NOT(ISERROR(SEARCH("▲",AB52)))</formula>
    </cfRule>
    <cfRule type="containsText" priority="5416" operator="containsText" dxfId="0" text="▼">
      <formula>NOT(ISERROR(SEARCH("▼",AB52)))</formula>
    </cfRule>
    <cfRule type="containsText" priority="5417" operator="containsText" dxfId="1" text="▲">
      <formula>NOT(ISERROR(SEARCH("▲",AB52)))</formula>
    </cfRule>
    <cfRule type="containsText" priority="5418" operator="containsText" dxfId="0" text="▼">
      <formula>NOT(ISERROR(SEARCH("▼",AB52)))</formula>
    </cfRule>
    <cfRule type="containsText" priority="5419" operator="containsText" dxfId="1" text="▲">
      <formula>NOT(ISERROR(SEARCH("▲",AB52)))</formula>
    </cfRule>
    <cfRule type="containsText" priority="5420" operator="containsText" dxfId="0" text="▼">
      <formula>NOT(ISERROR(SEARCH("▼",AB52)))</formula>
    </cfRule>
    <cfRule type="containsText" priority="5421" operator="containsText" dxfId="1" text="▲">
      <formula>NOT(ISERROR(SEARCH("▲",AB52)))</formula>
    </cfRule>
    <cfRule type="containsText" priority="5422" operator="containsText" dxfId="0" text="▼">
      <formula>NOT(ISERROR(SEARCH("▼",AB52)))</formula>
    </cfRule>
    <cfRule type="containsText" priority="5423" operator="containsText" dxfId="1" text="▲">
      <formula>NOT(ISERROR(SEARCH("▲",AB52)))</formula>
    </cfRule>
    <cfRule type="containsText" priority="5424" operator="containsText" dxfId="0" text="▼">
      <formula>NOT(ISERROR(SEARCH("▼",AB52)))</formula>
    </cfRule>
    <cfRule type="containsText" priority="5425" operator="containsText" dxfId="1" text="▲">
      <formula>NOT(ISERROR(SEARCH("▲",AB52)))</formula>
    </cfRule>
    <cfRule type="containsText" priority="5426" operator="containsText" dxfId="0" text="▼">
      <formula>NOT(ISERROR(SEARCH("▼",AB52)))</formula>
    </cfRule>
    <cfRule type="containsText" priority="5427" operator="containsText" dxfId="1" text="▲">
      <formula>NOT(ISERROR(SEARCH("▲",AB52)))</formula>
    </cfRule>
    <cfRule type="containsText" priority="5428" operator="containsText" dxfId="0" text="▼">
      <formula>NOT(ISERROR(SEARCH("▼",AB52)))</formula>
    </cfRule>
    <cfRule type="containsText" priority="5429" operator="containsText" dxfId="1" text="▲">
      <formula>NOT(ISERROR(SEARCH("▲",AB52)))</formula>
    </cfRule>
    <cfRule type="containsText" priority="5430" operator="containsText" dxfId="0" text="▼">
      <formula>NOT(ISERROR(SEARCH("▼",AB52)))</formula>
    </cfRule>
    <cfRule type="containsText" priority="5431" operator="containsText" dxfId="1" text="▲">
      <formula>NOT(ISERROR(SEARCH("▲",AB52)))</formula>
    </cfRule>
    <cfRule type="containsText" priority="5432" operator="containsText" dxfId="0" text="▼">
      <formula>NOT(ISERROR(SEARCH("▼",AB52)))</formula>
    </cfRule>
    <cfRule type="containsText" priority="5433" operator="containsText" dxfId="1" text="▲">
      <formula>NOT(ISERROR(SEARCH("▲",AB52)))</formula>
    </cfRule>
    <cfRule type="containsText" priority="5434" operator="containsText" dxfId="0" text="▼">
      <formula>NOT(ISERROR(SEARCH("▼",AB52)))</formula>
    </cfRule>
    <cfRule type="containsText" priority="5435" operator="containsText" dxfId="1" text="△">
      <formula>NOT(ISERROR(SEARCH("△",AB52)))</formula>
    </cfRule>
    <cfRule type="containsText" priority="5436" operator="containsText" dxfId="0" text="▽">
      <formula>NOT(ISERROR(SEARCH("▽",AB52)))</formula>
    </cfRule>
  </conditionalFormatting>
  <conditionalFormatting sqref="AB53:AB64">
    <cfRule type="containsText" priority="5283" operator="containsText" dxfId="1" text="▲">
      <formula>NOT(ISERROR(SEARCH("▲",AB53)))</formula>
    </cfRule>
    <cfRule type="containsText" priority="5284" operator="containsText" dxfId="0" text="▼">
      <formula>NOT(ISERROR(SEARCH("▼",AB53)))</formula>
    </cfRule>
    <cfRule type="containsText" priority="5285" operator="containsText" dxfId="1" text="▲">
      <formula>NOT(ISERROR(SEARCH("▲",AB53)))</formula>
    </cfRule>
    <cfRule type="containsText" priority="5286" operator="containsText" dxfId="0" text="▼">
      <formula>NOT(ISERROR(SEARCH("▼",AB53)))</formula>
    </cfRule>
    <cfRule type="containsText" priority="5287" operator="containsText" dxfId="1" text="▲">
      <formula>NOT(ISERROR(SEARCH("▲",AB53)))</formula>
    </cfRule>
    <cfRule type="containsText" priority="5288" operator="containsText" dxfId="0" text="▼">
      <formula>NOT(ISERROR(SEARCH("▼",AB53)))</formula>
    </cfRule>
    <cfRule type="containsText" priority="5289" operator="containsText" dxfId="1" text="▲">
      <formula>NOT(ISERROR(SEARCH("▲",AB53)))</formula>
    </cfRule>
    <cfRule type="containsText" priority="5290" operator="containsText" dxfId="0" text="▼">
      <formula>NOT(ISERROR(SEARCH("▼",AB53)))</formula>
    </cfRule>
    <cfRule type="containsText" priority="5291" operator="containsText" dxfId="1" text="▲">
      <formula>NOT(ISERROR(SEARCH("▲",AB53)))</formula>
    </cfRule>
    <cfRule type="containsText" priority="5292" operator="containsText" dxfId="0" text="▼">
      <formula>NOT(ISERROR(SEARCH("▼",AB53)))</formula>
    </cfRule>
    <cfRule type="containsText" priority="5293" operator="containsText" dxfId="1" text="▲">
      <formula>NOT(ISERROR(SEARCH("▲",AB53)))</formula>
    </cfRule>
    <cfRule type="containsText" priority="5294" operator="containsText" dxfId="0" text="▼">
      <formula>NOT(ISERROR(SEARCH("▼",AB53)))</formula>
    </cfRule>
    <cfRule type="containsText" priority="5295" operator="containsText" dxfId="1" text="▲">
      <formula>NOT(ISERROR(SEARCH("▲",AB53)))</formula>
    </cfRule>
    <cfRule type="containsText" priority="5296" operator="containsText" dxfId="0" text="▼">
      <formula>NOT(ISERROR(SEARCH("▼",AB53)))</formula>
    </cfRule>
    <cfRule type="containsText" priority="5297" operator="containsText" dxfId="1" text="▲">
      <formula>NOT(ISERROR(SEARCH("▲",AB53)))</formula>
    </cfRule>
    <cfRule type="containsText" priority="5298" operator="containsText" dxfId="0" text="▼">
      <formula>NOT(ISERROR(SEARCH("▼",AB53)))</formula>
    </cfRule>
    <cfRule type="containsText" priority="5299" operator="containsText" dxfId="1" text="▲">
      <formula>NOT(ISERROR(SEARCH("▲",AB53)))</formula>
    </cfRule>
    <cfRule type="containsText" priority="5300" operator="containsText" dxfId="0" text="▼">
      <formula>NOT(ISERROR(SEARCH("▼",AB53)))</formula>
    </cfRule>
    <cfRule type="containsText" priority="5301" operator="containsText" dxfId="1" text="▲">
      <formula>NOT(ISERROR(SEARCH("▲",AB53)))</formula>
    </cfRule>
    <cfRule type="containsText" priority="5302" operator="containsText" dxfId="0" text="▼">
      <formula>NOT(ISERROR(SEARCH("▼",AB53)))</formula>
    </cfRule>
    <cfRule type="containsText" priority="5303" operator="containsText" dxfId="1" text="▲">
      <formula>NOT(ISERROR(SEARCH("▲",AB53)))</formula>
    </cfRule>
    <cfRule type="containsText" priority="5304" operator="containsText" dxfId="0" text="▼">
      <formula>NOT(ISERROR(SEARCH("▼",AB53)))</formula>
    </cfRule>
    <cfRule type="containsText" priority="5305" operator="containsText" dxfId="1" text="▲">
      <formula>NOT(ISERROR(SEARCH("▲",AB53)))</formula>
    </cfRule>
    <cfRule type="containsText" priority="5306" operator="containsText" dxfId="0" text="▼">
      <formula>NOT(ISERROR(SEARCH("▼",AB53)))</formula>
    </cfRule>
    <cfRule type="containsText" priority="5307" operator="containsText" dxfId="1" text="▲">
      <formula>NOT(ISERROR(SEARCH("▲",AB53)))</formula>
    </cfRule>
    <cfRule type="containsText" priority="5308" operator="containsText" dxfId="0" text="▼">
      <formula>NOT(ISERROR(SEARCH("▼",AB53)))</formula>
    </cfRule>
    <cfRule type="containsText" priority="5309" operator="containsText" dxfId="1" text="▲">
      <formula>NOT(ISERROR(SEARCH("▲",AB53)))</formula>
    </cfRule>
    <cfRule type="containsText" priority="5310" operator="containsText" dxfId="0" text="▼">
      <formula>NOT(ISERROR(SEARCH("▼",AB53)))</formula>
    </cfRule>
    <cfRule type="containsText" priority="5311" operator="containsText" dxfId="1" text="▲">
      <formula>NOT(ISERROR(SEARCH("▲",AB53)))</formula>
    </cfRule>
    <cfRule type="containsText" priority="5312" operator="containsText" dxfId="0" text="▼">
      <formula>NOT(ISERROR(SEARCH("▼",AB53)))</formula>
    </cfRule>
    <cfRule type="containsText" priority="5313" operator="containsText" dxfId="1" text="▲">
      <formula>NOT(ISERROR(SEARCH("▲",AB53)))</formula>
    </cfRule>
    <cfRule type="containsText" priority="5314" operator="containsText" dxfId="0" text="▼">
      <formula>NOT(ISERROR(SEARCH("▼",AB53)))</formula>
    </cfRule>
    <cfRule type="containsText" priority="5315" operator="containsText" dxfId="1" text="▲">
      <formula>NOT(ISERROR(SEARCH("▲",AB53)))</formula>
    </cfRule>
    <cfRule type="containsText" priority="5316" operator="containsText" dxfId="0" text="▼">
      <formula>NOT(ISERROR(SEARCH("▼",AB53)))</formula>
    </cfRule>
    <cfRule type="containsText" priority="5317" operator="containsText" dxfId="1" text="▲">
      <formula>NOT(ISERROR(SEARCH("▲",AB53)))</formula>
    </cfRule>
    <cfRule type="containsText" priority="5318" operator="containsText" dxfId="0" text="▼">
      <formula>NOT(ISERROR(SEARCH("▼",AB53)))</formula>
    </cfRule>
    <cfRule type="containsText" priority="5319" operator="containsText" dxfId="1" text="▲">
      <formula>NOT(ISERROR(SEARCH("▲",AB53)))</formula>
    </cfRule>
    <cfRule type="containsText" priority="5320" operator="containsText" dxfId="0" text="▼">
      <formula>NOT(ISERROR(SEARCH("▼",AB53)))</formula>
    </cfRule>
    <cfRule type="containsText" priority="5321" operator="containsText" dxfId="1" text="▲">
      <formula>NOT(ISERROR(SEARCH("▲",AB53)))</formula>
    </cfRule>
    <cfRule type="containsText" priority="5322" operator="containsText" dxfId="0" text="▼">
      <formula>NOT(ISERROR(SEARCH("▼",AB53)))</formula>
    </cfRule>
    <cfRule type="containsText" priority="5323" operator="containsText" dxfId="1" text="▲">
      <formula>NOT(ISERROR(SEARCH("▲",AB53)))</formula>
    </cfRule>
    <cfRule type="containsText" priority="5324" operator="containsText" dxfId="0" text="▼">
      <formula>NOT(ISERROR(SEARCH("▼",AB53)))</formula>
    </cfRule>
    <cfRule type="containsText" priority="5325" operator="containsText" dxfId="1" text="▲">
      <formula>NOT(ISERROR(SEARCH("▲",AB53)))</formula>
    </cfRule>
    <cfRule type="containsText" priority="5326" operator="containsText" dxfId="0" text="▼">
      <formula>NOT(ISERROR(SEARCH("▼",AB53)))</formula>
    </cfRule>
    <cfRule type="containsText" priority="5327" operator="containsText" dxfId="1" text="▲">
      <formula>NOT(ISERROR(SEARCH("▲",AB53)))</formula>
    </cfRule>
    <cfRule type="containsText" priority="5328" operator="containsText" dxfId="0" text="▼">
      <formula>NOT(ISERROR(SEARCH("▼",AB53)))</formula>
    </cfRule>
    <cfRule type="containsText" priority="5329" operator="containsText" dxfId="1" text="▲">
      <formula>NOT(ISERROR(SEARCH("▲",AB53)))</formula>
    </cfRule>
    <cfRule type="containsText" priority="5330" operator="containsText" dxfId="0" text="▼">
      <formula>NOT(ISERROR(SEARCH("▼",AB53)))</formula>
    </cfRule>
    <cfRule type="containsText" priority="5331" operator="containsText" dxfId="1" text="△">
      <formula>NOT(ISERROR(SEARCH("△",AB53)))</formula>
    </cfRule>
    <cfRule type="containsText" priority="5332" operator="containsText" dxfId="0" text="▽">
      <formula>NOT(ISERROR(SEARCH("▽",AB53)))</formula>
    </cfRule>
  </conditionalFormatting>
  <conditionalFormatting sqref="AB54">
    <cfRule type="containsText" priority="5335" operator="containsText" dxfId="1" text="▲">
      <formula>NOT(ISERROR(SEARCH("▲",AB54)))</formula>
    </cfRule>
    <cfRule type="containsText" priority="5336" operator="containsText" dxfId="0" text="▼">
      <formula>NOT(ISERROR(SEARCH("▼",AB54)))</formula>
    </cfRule>
  </conditionalFormatting>
  <conditionalFormatting sqref="AB55">
    <cfRule type="containsText" priority="5229" operator="containsText" dxfId="1" text="▲">
      <formula>NOT(ISERROR(SEARCH("▲",AB55)))</formula>
    </cfRule>
    <cfRule type="containsText" priority="5230" operator="containsText" dxfId="0" text="▼">
      <formula>NOT(ISERROR(SEARCH("▼",AB55)))</formula>
    </cfRule>
  </conditionalFormatting>
  <conditionalFormatting sqref="AB56">
    <cfRule type="containsText" priority="5333" operator="containsText" dxfId="1" text="▲">
      <formula>NOT(ISERROR(SEARCH("▲",AB56)))</formula>
    </cfRule>
    <cfRule type="containsText" priority="5334" operator="containsText" dxfId="0" text="▼">
      <formula>NOT(ISERROR(SEARCH("▼",AB56)))</formula>
    </cfRule>
  </conditionalFormatting>
  <conditionalFormatting sqref="AB57:AB64">
    <cfRule type="containsText" priority="5279" operator="containsText" dxfId="1" text="▲">
      <formula>NOT(ISERROR(SEARCH("▲",AB57)))</formula>
    </cfRule>
    <cfRule type="containsText" priority="5280" operator="containsText" dxfId="0" text="▼">
      <formula>NOT(ISERROR(SEARCH("▼",AB57)))</formula>
    </cfRule>
  </conditionalFormatting>
  <conditionalFormatting sqref="AB58:AB64">
    <cfRule type="containsText" priority="5233" operator="containsText" dxfId="1" text="▲">
      <formula>NOT(ISERROR(SEARCH("▲",AB58)))</formula>
    </cfRule>
    <cfRule type="containsText" priority="5234" operator="containsText" dxfId="0" text="▼">
      <formula>NOT(ISERROR(SEARCH("▼",AB58)))</formula>
    </cfRule>
    <cfRule type="containsText" priority="5235" operator="containsText" dxfId="1" text="▲">
      <formula>NOT(ISERROR(SEARCH("▲",AB58)))</formula>
    </cfRule>
    <cfRule type="containsText" priority="5236" operator="containsText" dxfId="0" text="▼">
      <formula>NOT(ISERROR(SEARCH("▼",AB58)))</formula>
    </cfRule>
    <cfRule type="containsText" priority="5237" operator="containsText" dxfId="1" text="▲">
      <formula>NOT(ISERROR(SEARCH("▲",AB58)))</formula>
    </cfRule>
    <cfRule type="containsText" priority="5238" operator="containsText" dxfId="0" text="▼">
      <formula>NOT(ISERROR(SEARCH("▼",AB58)))</formula>
    </cfRule>
    <cfRule type="containsText" priority="5239" operator="containsText" dxfId="1" text="▲">
      <formula>NOT(ISERROR(SEARCH("▲",AB58)))</formula>
    </cfRule>
    <cfRule type="containsText" priority="5240" operator="containsText" dxfId="0" text="▼">
      <formula>NOT(ISERROR(SEARCH("▼",AB58)))</formula>
    </cfRule>
    <cfRule type="containsText" priority="5241" operator="containsText" dxfId="1" text="▲">
      <formula>NOT(ISERROR(SEARCH("▲",AB58)))</formula>
    </cfRule>
    <cfRule type="containsText" priority="5242" operator="containsText" dxfId="0" text="▼">
      <formula>NOT(ISERROR(SEARCH("▼",AB58)))</formula>
    </cfRule>
    <cfRule type="containsText" priority="5243" operator="containsText" dxfId="1" text="▲">
      <formula>NOT(ISERROR(SEARCH("▲",AB58)))</formula>
    </cfRule>
    <cfRule type="containsText" priority="5244" operator="containsText" dxfId="0" text="▼">
      <formula>NOT(ISERROR(SEARCH("▼",AB58)))</formula>
    </cfRule>
    <cfRule type="containsText" priority="5245" operator="containsText" dxfId="1" text="▲">
      <formula>NOT(ISERROR(SEARCH("▲",AB58)))</formula>
    </cfRule>
    <cfRule type="containsText" priority="5246" operator="containsText" dxfId="0" text="▼">
      <formula>NOT(ISERROR(SEARCH("▼",AB58)))</formula>
    </cfRule>
    <cfRule type="containsText" priority="5247" operator="containsText" dxfId="1" text="▲">
      <formula>NOT(ISERROR(SEARCH("▲",AB58)))</formula>
    </cfRule>
    <cfRule type="containsText" priority="5248" operator="containsText" dxfId="0" text="▼">
      <formula>NOT(ISERROR(SEARCH("▼",AB58)))</formula>
    </cfRule>
    <cfRule type="containsText" priority="5249" operator="containsText" dxfId="1" text="▲">
      <formula>NOT(ISERROR(SEARCH("▲",AB58)))</formula>
    </cfRule>
    <cfRule type="containsText" priority="5250" operator="containsText" dxfId="0" text="▼">
      <formula>NOT(ISERROR(SEARCH("▼",AB58)))</formula>
    </cfRule>
    <cfRule type="containsText" priority="5251" operator="containsText" dxfId="1" text="▲">
      <formula>NOT(ISERROR(SEARCH("▲",AB58)))</formula>
    </cfRule>
    <cfRule type="containsText" priority="5252" operator="containsText" dxfId="0" text="▼">
      <formula>NOT(ISERROR(SEARCH("▼",AB58)))</formula>
    </cfRule>
    <cfRule type="containsText" priority="5253" operator="containsText" dxfId="1" text="▲">
      <formula>NOT(ISERROR(SEARCH("▲",AB58)))</formula>
    </cfRule>
    <cfRule type="containsText" priority="5254" operator="containsText" dxfId="0" text="▼">
      <formula>NOT(ISERROR(SEARCH("▼",AB58)))</formula>
    </cfRule>
    <cfRule type="containsText" priority="5255" operator="containsText" dxfId="1" text="▲">
      <formula>NOT(ISERROR(SEARCH("▲",AB58)))</formula>
    </cfRule>
    <cfRule type="containsText" priority="5256" operator="containsText" dxfId="0" text="▼">
      <formula>NOT(ISERROR(SEARCH("▼",AB58)))</formula>
    </cfRule>
    <cfRule type="containsText" priority="5257" operator="containsText" dxfId="1" text="▲">
      <formula>NOT(ISERROR(SEARCH("▲",AB58)))</formula>
    </cfRule>
    <cfRule type="containsText" priority="5258" operator="containsText" dxfId="0" text="▼">
      <formula>NOT(ISERROR(SEARCH("▼",AB58)))</formula>
    </cfRule>
    <cfRule type="containsText" priority="5259" operator="containsText" dxfId="1" text="▲">
      <formula>NOT(ISERROR(SEARCH("▲",AB58)))</formula>
    </cfRule>
    <cfRule type="containsText" priority="5260" operator="containsText" dxfId="0" text="▼">
      <formula>NOT(ISERROR(SEARCH("▼",AB58)))</formula>
    </cfRule>
    <cfRule type="containsText" priority="5261" operator="containsText" dxfId="1" text="▲">
      <formula>NOT(ISERROR(SEARCH("▲",AB58)))</formula>
    </cfRule>
    <cfRule type="containsText" priority="5262" operator="containsText" dxfId="0" text="▼">
      <formula>NOT(ISERROR(SEARCH("▼",AB58)))</formula>
    </cfRule>
    <cfRule type="containsText" priority="5263" operator="containsText" dxfId="1" text="▲">
      <formula>NOT(ISERROR(SEARCH("▲",AB58)))</formula>
    </cfRule>
    <cfRule type="containsText" priority="5264" operator="containsText" dxfId="0" text="▼">
      <formula>NOT(ISERROR(SEARCH("▼",AB58)))</formula>
    </cfRule>
    <cfRule type="containsText" priority="5265" operator="containsText" dxfId="1" text="▲">
      <formula>NOT(ISERROR(SEARCH("▲",AB58)))</formula>
    </cfRule>
    <cfRule type="containsText" priority="5266" operator="containsText" dxfId="0" text="▼">
      <formula>NOT(ISERROR(SEARCH("▼",AB58)))</formula>
    </cfRule>
    <cfRule type="containsText" priority="5267" operator="containsText" dxfId="1" text="▲">
      <formula>NOT(ISERROR(SEARCH("▲",AB58)))</formula>
    </cfRule>
    <cfRule type="containsText" priority="5268" operator="containsText" dxfId="0" text="▼">
      <formula>NOT(ISERROR(SEARCH("▼",AB58)))</formula>
    </cfRule>
    <cfRule type="containsText" priority="5269" operator="containsText" dxfId="1" text="▲">
      <formula>NOT(ISERROR(SEARCH("▲",AB58)))</formula>
    </cfRule>
    <cfRule type="containsText" priority="5270" operator="containsText" dxfId="0" text="▼">
      <formula>NOT(ISERROR(SEARCH("▼",AB58)))</formula>
    </cfRule>
    <cfRule type="containsText" priority="5271" operator="containsText" dxfId="1" text="▲">
      <formula>NOT(ISERROR(SEARCH("▲",AB58)))</formula>
    </cfRule>
    <cfRule type="containsText" priority="5272" operator="containsText" dxfId="0" text="▼">
      <formula>NOT(ISERROR(SEARCH("▼",AB58)))</formula>
    </cfRule>
    <cfRule type="containsText" priority="5273" operator="containsText" dxfId="1" text="▲">
      <formula>NOT(ISERROR(SEARCH("▲",AB58)))</formula>
    </cfRule>
    <cfRule type="containsText" priority="5274" operator="containsText" dxfId="0" text="▼">
      <formula>NOT(ISERROR(SEARCH("▼",AB58)))</formula>
    </cfRule>
    <cfRule type="containsText" priority="5275" operator="containsText" dxfId="1" text="▲">
      <formula>NOT(ISERROR(SEARCH("▲",AB58)))</formula>
    </cfRule>
    <cfRule type="containsText" priority="5276" operator="containsText" dxfId="0" text="▼">
      <formula>NOT(ISERROR(SEARCH("▼",AB58)))</formula>
    </cfRule>
    <cfRule type="containsText" priority="5277" operator="containsText" dxfId="1" text="▲">
      <formula>NOT(ISERROR(SEARCH("▲",AB58)))</formula>
    </cfRule>
    <cfRule type="containsText" priority="5278" operator="containsText" dxfId="0" text="▼">
      <formula>NOT(ISERROR(SEARCH("▼",AB58)))</formula>
    </cfRule>
    <cfRule type="containsText" priority="5281" operator="containsText" dxfId="1" text="△">
      <formula>NOT(ISERROR(SEARCH("△",AB58)))</formula>
    </cfRule>
    <cfRule type="containsText" priority="5282" operator="containsText" dxfId="0" text="▽">
      <formula>NOT(ISERROR(SEARCH("▽",AB58)))</formula>
    </cfRule>
  </conditionalFormatting>
  <conditionalFormatting sqref="AB59:AB64">
    <cfRule type="containsText" priority="5231" operator="containsText" dxfId="1" text="▲">
      <formula>NOT(ISERROR(SEARCH("▲",AB59)))</formula>
    </cfRule>
    <cfRule type="containsText" priority="5232" operator="containsText" dxfId="0" text="▼">
      <formula>NOT(ISERROR(SEARCH("▼",AB59)))</formula>
    </cfRule>
  </conditionalFormatting>
  <conditionalFormatting sqref="AB65">
    <cfRule type="containsText" priority="5575" operator="containsText" dxfId="1" text="△">
      <formula>NOT(ISERROR(SEARCH("△",AB65)))</formula>
    </cfRule>
    <cfRule type="containsText" priority="5576" operator="containsText" dxfId="0" text="▽">
      <formula>NOT(ISERROR(SEARCH("▽",AB65)))</formula>
    </cfRule>
  </conditionalFormatting>
  <conditionalFormatting sqref="AB97">
    <cfRule type="containsText" priority="4413" operator="containsText" dxfId="1" text="▲">
      <formula>NOT(ISERROR(SEARCH("▲",AB97)))</formula>
    </cfRule>
    <cfRule type="containsText" priority="4414" operator="containsText" dxfId="0" text="▼">
      <formula>NOT(ISERROR(SEARCH("▼",AB97)))</formula>
    </cfRule>
    <cfRule type="containsText" priority="4203" operator="containsText" dxfId="1" text="▲">
      <formula>NOT(ISERROR(SEARCH("▲",AB97)))</formula>
    </cfRule>
    <cfRule type="containsText" priority="4204" operator="containsText" dxfId="0" text="▼">
      <formula>NOT(ISERROR(SEARCH("▼",AB97)))</formula>
    </cfRule>
    <cfRule type="containsText" priority="4205" operator="containsText" dxfId="1" text="▲">
      <formula>NOT(ISERROR(SEARCH("▲",AB97)))</formula>
    </cfRule>
    <cfRule type="containsText" priority="4206" operator="containsText" dxfId="0" text="▼">
      <formula>NOT(ISERROR(SEARCH("▼",AB97)))</formula>
    </cfRule>
    <cfRule type="containsText" priority="4207" operator="containsText" dxfId="1" text="▲">
      <formula>NOT(ISERROR(SEARCH("▲",AB97)))</formula>
    </cfRule>
    <cfRule type="containsText" priority="4208" operator="containsText" dxfId="0" text="▼">
      <formula>NOT(ISERROR(SEARCH("▼",AB97)))</formula>
    </cfRule>
    <cfRule type="containsText" priority="4209" operator="containsText" dxfId="1" text="▲">
      <formula>NOT(ISERROR(SEARCH("▲",AB97)))</formula>
    </cfRule>
    <cfRule type="containsText" priority="4210" operator="containsText" dxfId="0" text="▼">
      <formula>NOT(ISERROR(SEARCH("▼",AB97)))</formula>
    </cfRule>
    <cfRule type="containsText" priority="4211" operator="containsText" dxfId="1" text="▲">
      <formula>NOT(ISERROR(SEARCH("▲",AB97)))</formula>
    </cfRule>
    <cfRule type="containsText" priority="4212" operator="containsText" dxfId="0" text="▼">
      <formula>NOT(ISERROR(SEARCH("▼",AB97)))</formula>
    </cfRule>
    <cfRule type="containsText" priority="4213" operator="containsText" dxfId="1" text="▲">
      <formula>NOT(ISERROR(SEARCH("▲",AB97)))</formula>
    </cfRule>
    <cfRule type="containsText" priority="4214" operator="containsText" dxfId="0" text="▼">
      <formula>NOT(ISERROR(SEARCH("▼",AB97)))</formula>
    </cfRule>
    <cfRule type="containsText" priority="4215" operator="containsText" dxfId="1" text="▲">
      <formula>NOT(ISERROR(SEARCH("▲",AB97)))</formula>
    </cfRule>
    <cfRule type="containsText" priority="4216" operator="containsText" dxfId="0" text="▼">
      <formula>NOT(ISERROR(SEARCH("▼",AB97)))</formula>
    </cfRule>
    <cfRule type="containsText" priority="4217" operator="containsText" dxfId="1" text="▲">
      <formula>NOT(ISERROR(SEARCH("▲",AB97)))</formula>
    </cfRule>
    <cfRule type="containsText" priority="4218" operator="containsText" dxfId="0" text="▼">
      <formula>NOT(ISERROR(SEARCH("▼",AB97)))</formula>
    </cfRule>
    <cfRule type="containsText" priority="4219" operator="containsText" dxfId="1" text="▲">
      <formula>NOT(ISERROR(SEARCH("▲",AB97)))</formula>
    </cfRule>
    <cfRule type="containsText" priority="4220" operator="containsText" dxfId="0" text="▼">
      <formula>NOT(ISERROR(SEARCH("▼",AB97)))</formula>
    </cfRule>
    <cfRule type="containsText" priority="4221" operator="containsText" dxfId="1" text="▲">
      <formula>NOT(ISERROR(SEARCH("▲",AB97)))</formula>
    </cfRule>
    <cfRule type="containsText" priority="4222" operator="containsText" dxfId="0" text="▼">
      <formula>NOT(ISERROR(SEARCH("▼",AB97)))</formula>
    </cfRule>
    <cfRule type="containsText" priority="4223" operator="containsText" dxfId="1" text="▲">
      <formula>NOT(ISERROR(SEARCH("▲",AB97)))</formula>
    </cfRule>
    <cfRule type="containsText" priority="4224" operator="containsText" dxfId="0" text="▼">
      <formula>NOT(ISERROR(SEARCH("▼",AB97)))</formula>
    </cfRule>
    <cfRule type="containsText" priority="4225" operator="containsText" dxfId="1" text="▲">
      <formula>NOT(ISERROR(SEARCH("▲",AB97)))</formula>
    </cfRule>
    <cfRule type="containsText" priority="4226" operator="containsText" dxfId="0" text="▼">
      <formula>NOT(ISERROR(SEARCH("▼",AB97)))</formula>
    </cfRule>
    <cfRule type="containsText" priority="4227" operator="containsText" dxfId="1" text="▲">
      <formula>NOT(ISERROR(SEARCH("▲",AB97)))</formula>
    </cfRule>
    <cfRule type="containsText" priority="4228" operator="containsText" dxfId="0" text="▼">
      <formula>NOT(ISERROR(SEARCH("▼",AB97)))</formula>
    </cfRule>
    <cfRule type="containsText" priority="4229" operator="containsText" dxfId="1" text="▲">
      <formula>NOT(ISERROR(SEARCH("▲",AB97)))</formula>
    </cfRule>
    <cfRule type="containsText" priority="4230" operator="containsText" dxfId="0" text="▼">
      <formula>NOT(ISERROR(SEARCH("▼",AB97)))</formula>
    </cfRule>
    <cfRule type="containsText" priority="4231" operator="containsText" dxfId="1" text="▲">
      <formula>NOT(ISERROR(SEARCH("▲",AB97)))</formula>
    </cfRule>
    <cfRule type="containsText" priority="4232" operator="containsText" dxfId="0" text="▼">
      <formula>NOT(ISERROR(SEARCH("▼",AB97)))</formula>
    </cfRule>
    <cfRule type="containsText" priority="4233" operator="containsText" dxfId="1" text="▲">
      <formula>NOT(ISERROR(SEARCH("▲",AB97)))</formula>
    </cfRule>
    <cfRule type="containsText" priority="4234" operator="containsText" dxfId="0" text="▼">
      <formula>NOT(ISERROR(SEARCH("▼",AB97)))</formula>
    </cfRule>
    <cfRule type="containsText" priority="4235" operator="containsText" dxfId="1" text="▲">
      <formula>NOT(ISERROR(SEARCH("▲",AB97)))</formula>
    </cfRule>
    <cfRule type="containsText" priority="4236" operator="containsText" dxfId="0" text="▼">
      <formula>NOT(ISERROR(SEARCH("▼",AB97)))</formula>
    </cfRule>
    <cfRule type="containsText" priority="4237" operator="containsText" dxfId="1" text="▲">
      <formula>NOT(ISERROR(SEARCH("▲",AB97)))</formula>
    </cfRule>
    <cfRule type="containsText" priority="4238" operator="containsText" dxfId="0" text="▼">
      <formula>NOT(ISERROR(SEARCH("▼",AB97)))</formula>
    </cfRule>
    <cfRule type="containsText" priority="4239" operator="containsText" dxfId="1" text="▲">
      <formula>NOT(ISERROR(SEARCH("▲",AB97)))</formula>
    </cfRule>
    <cfRule type="containsText" priority="4240" operator="containsText" dxfId="0" text="▼">
      <formula>NOT(ISERROR(SEARCH("▼",AB97)))</formula>
    </cfRule>
    <cfRule type="containsText" priority="4241" operator="containsText" dxfId="1" text="▲">
      <formula>NOT(ISERROR(SEARCH("▲",AB97)))</formula>
    </cfRule>
    <cfRule type="containsText" priority="4242" operator="containsText" dxfId="0" text="▼">
      <formula>NOT(ISERROR(SEARCH("▼",AB97)))</formula>
    </cfRule>
    <cfRule type="containsText" priority="4243" operator="containsText" dxfId="1" text="▲">
      <formula>NOT(ISERROR(SEARCH("▲",AB97)))</formula>
    </cfRule>
    <cfRule type="containsText" priority="4244" operator="containsText" dxfId="0" text="▼">
      <formula>NOT(ISERROR(SEARCH("▼",AB97)))</formula>
    </cfRule>
    <cfRule type="containsText" priority="4245" operator="containsText" dxfId="1" text="▲">
      <formula>NOT(ISERROR(SEARCH("▲",AB97)))</formula>
    </cfRule>
    <cfRule type="containsText" priority="4246" operator="containsText" dxfId="0" text="▼">
      <formula>NOT(ISERROR(SEARCH("▼",AB97)))</formula>
    </cfRule>
    <cfRule type="containsText" priority="4247" operator="containsText" dxfId="1" text="▲">
      <formula>NOT(ISERROR(SEARCH("▲",AB97)))</formula>
    </cfRule>
    <cfRule type="containsText" priority="4248" operator="containsText" dxfId="0" text="▼">
      <formula>NOT(ISERROR(SEARCH("▼",AB97)))</formula>
    </cfRule>
    <cfRule type="containsText" priority="4249" operator="containsText" dxfId="1" text="▲">
      <formula>NOT(ISERROR(SEARCH("▲",AB97)))</formula>
    </cfRule>
    <cfRule type="containsText" priority="4250" operator="containsText" dxfId="0" text="▼">
      <formula>NOT(ISERROR(SEARCH("▼",AB97)))</formula>
    </cfRule>
    <cfRule type="containsText" priority="4251" operator="containsText" dxfId="1" text="▲">
      <formula>NOT(ISERROR(SEARCH("▲",AB97)))</formula>
    </cfRule>
    <cfRule type="containsText" priority="4252" operator="containsText" dxfId="0" text="▼">
      <formula>NOT(ISERROR(SEARCH("▼",AB97)))</formula>
    </cfRule>
    <cfRule type="containsText" priority="4253" operator="containsText" dxfId="1" text="△">
      <formula>NOT(ISERROR(SEARCH("△",AB97)))</formula>
    </cfRule>
    <cfRule type="containsText" priority="4254" operator="containsText" dxfId="0" text="▽">
      <formula>NOT(ISERROR(SEARCH("▽",AB97)))</formula>
    </cfRule>
    <cfRule type="containsText" priority="4255" operator="containsText" dxfId="1" text="▲">
      <formula>NOT(ISERROR(SEARCH("▲",AB97)))</formula>
    </cfRule>
    <cfRule type="containsText" priority="4256" operator="containsText" dxfId="0" text="▼">
      <formula>NOT(ISERROR(SEARCH("▼",AB97)))</formula>
    </cfRule>
    <cfRule type="containsText" priority="4257" operator="containsText" dxfId="1" text="▲">
      <formula>NOT(ISERROR(SEARCH("▲",AB97)))</formula>
    </cfRule>
    <cfRule type="containsText" priority="4258" operator="containsText" dxfId="0" text="▼">
      <formula>NOT(ISERROR(SEARCH("▼",AB97)))</formula>
    </cfRule>
    <cfRule type="containsText" priority="4259" operator="containsText" dxfId="1" text="▲">
      <formula>NOT(ISERROR(SEARCH("▲",AB97)))</formula>
    </cfRule>
    <cfRule type="containsText" priority="4260" operator="containsText" dxfId="0" text="▼">
      <formula>NOT(ISERROR(SEARCH("▼",AB97)))</formula>
    </cfRule>
    <cfRule type="containsText" priority="4261" operator="containsText" dxfId="1" text="▲">
      <formula>NOT(ISERROR(SEARCH("▲",AB97)))</formula>
    </cfRule>
    <cfRule type="containsText" priority="4262" operator="containsText" dxfId="0" text="▼">
      <formula>NOT(ISERROR(SEARCH("▼",AB97)))</formula>
    </cfRule>
    <cfRule type="containsText" priority="4263" operator="containsText" dxfId="1" text="▲">
      <formula>NOT(ISERROR(SEARCH("▲",AB97)))</formula>
    </cfRule>
    <cfRule type="containsText" priority="4264" operator="containsText" dxfId="0" text="▼">
      <formula>NOT(ISERROR(SEARCH("▼",AB97)))</formula>
    </cfRule>
    <cfRule type="containsText" priority="4265" operator="containsText" dxfId="1" text="▲">
      <formula>NOT(ISERROR(SEARCH("▲",AB97)))</formula>
    </cfRule>
    <cfRule type="containsText" priority="4266" operator="containsText" dxfId="0" text="▼">
      <formula>NOT(ISERROR(SEARCH("▼",AB97)))</formula>
    </cfRule>
    <cfRule type="containsText" priority="4267" operator="containsText" dxfId="1" text="▲">
      <formula>NOT(ISERROR(SEARCH("▲",AB97)))</formula>
    </cfRule>
    <cfRule type="containsText" priority="4268" operator="containsText" dxfId="0" text="▼">
      <formula>NOT(ISERROR(SEARCH("▼",AB97)))</formula>
    </cfRule>
    <cfRule type="containsText" priority="4269" operator="containsText" dxfId="1" text="▲">
      <formula>NOT(ISERROR(SEARCH("▲",AB97)))</formula>
    </cfRule>
    <cfRule type="containsText" priority="4270" operator="containsText" dxfId="0" text="▼">
      <formula>NOT(ISERROR(SEARCH("▼",AB97)))</formula>
    </cfRule>
    <cfRule type="containsText" priority="4271" operator="containsText" dxfId="1" text="▲">
      <formula>NOT(ISERROR(SEARCH("▲",AB97)))</formula>
    </cfRule>
    <cfRule type="containsText" priority="4272" operator="containsText" dxfId="0" text="▼">
      <formula>NOT(ISERROR(SEARCH("▼",AB97)))</formula>
    </cfRule>
    <cfRule type="containsText" priority="4273" operator="containsText" dxfId="1" text="▲">
      <formula>NOT(ISERROR(SEARCH("▲",AB97)))</formula>
    </cfRule>
    <cfRule type="containsText" priority="4274" operator="containsText" dxfId="0" text="▼">
      <formula>NOT(ISERROR(SEARCH("▼",AB97)))</formula>
    </cfRule>
    <cfRule type="containsText" priority="4275" operator="containsText" dxfId="1" text="▲">
      <formula>NOT(ISERROR(SEARCH("▲",AB97)))</formula>
    </cfRule>
    <cfRule type="containsText" priority="4276" operator="containsText" dxfId="0" text="▼">
      <formula>NOT(ISERROR(SEARCH("▼",AB97)))</formula>
    </cfRule>
    <cfRule type="containsText" priority="4277" operator="containsText" dxfId="1" text="▲">
      <formula>NOT(ISERROR(SEARCH("▲",AB97)))</formula>
    </cfRule>
    <cfRule type="containsText" priority="4278" operator="containsText" dxfId="0" text="▼">
      <formula>NOT(ISERROR(SEARCH("▼",AB97)))</formula>
    </cfRule>
    <cfRule type="containsText" priority="4279" operator="containsText" dxfId="1" text="▲">
      <formula>NOT(ISERROR(SEARCH("▲",AB97)))</formula>
    </cfRule>
    <cfRule type="containsText" priority="4280" operator="containsText" dxfId="0" text="▼">
      <formula>NOT(ISERROR(SEARCH("▼",AB97)))</formula>
    </cfRule>
    <cfRule type="containsText" priority="4281" operator="containsText" dxfId="1" text="▲">
      <formula>NOT(ISERROR(SEARCH("▲",AB97)))</formula>
    </cfRule>
    <cfRule type="containsText" priority="4282" operator="containsText" dxfId="0" text="▼">
      <formula>NOT(ISERROR(SEARCH("▼",AB97)))</formula>
    </cfRule>
    <cfRule type="containsText" priority="4283" operator="containsText" dxfId="1" text="▲">
      <formula>NOT(ISERROR(SEARCH("▲",AB97)))</formula>
    </cfRule>
    <cfRule type="containsText" priority="4284" operator="containsText" dxfId="0" text="▼">
      <formula>NOT(ISERROR(SEARCH("▼",AB97)))</formula>
    </cfRule>
    <cfRule type="containsText" priority="4285" operator="containsText" dxfId="1" text="▲">
      <formula>NOT(ISERROR(SEARCH("▲",AB97)))</formula>
    </cfRule>
    <cfRule type="containsText" priority="4286" operator="containsText" dxfId="0" text="▼">
      <formula>NOT(ISERROR(SEARCH("▼",AB97)))</formula>
    </cfRule>
    <cfRule type="containsText" priority="4287" operator="containsText" dxfId="1" text="▲">
      <formula>NOT(ISERROR(SEARCH("▲",AB97)))</formula>
    </cfRule>
    <cfRule type="containsText" priority="4288" operator="containsText" dxfId="0" text="▼">
      <formula>NOT(ISERROR(SEARCH("▼",AB97)))</formula>
    </cfRule>
    <cfRule type="containsText" priority="4289" operator="containsText" dxfId="1" text="▲">
      <formula>NOT(ISERROR(SEARCH("▲",AB97)))</formula>
    </cfRule>
    <cfRule type="containsText" priority="4290" operator="containsText" dxfId="0" text="▼">
      <formula>NOT(ISERROR(SEARCH("▼",AB97)))</formula>
    </cfRule>
    <cfRule type="containsText" priority="4291" operator="containsText" dxfId="1" text="▲">
      <formula>NOT(ISERROR(SEARCH("▲",AB97)))</formula>
    </cfRule>
    <cfRule type="containsText" priority="4292" operator="containsText" dxfId="0" text="▼">
      <formula>NOT(ISERROR(SEARCH("▼",AB97)))</formula>
    </cfRule>
    <cfRule type="containsText" priority="4293" operator="containsText" dxfId="1" text="▲">
      <formula>NOT(ISERROR(SEARCH("▲",AB97)))</formula>
    </cfRule>
    <cfRule type="containsText" priority="4294" operator="containsText" dxfId="0" text="▼">
      <formula>NOT(ISERROR(SEARCH("▼",AB97)))</formula>
    </cfRule>
    <cfRule type="containsText" priority="4295" operator="containsText" dxfId="1" text="▲">
      <formula>NOT(ISERROR(SEARCH("▲",AB97)))</formula>
    </cfRule>
    <cfRule type="containsText" priority="4296" operator="containsText" dxfId="0" text="▼">
      <formula>NOT(ISERROR(SEARCH("▼",AB97)))</formula>
    </cfRule>
    <cfRule type="containsText" priority="4297" operator="containsText" dxfId="1" text="▲">
      <formula>NOT(ISERROR(SEARCH("▲",AB97)))</formula>
    </cfRule>
    <cfRule type="containsText" priority="4298" operator="containsText" dxfId="0" text="▼">
      <formula>NOT(ISERROR(SEARCH("▼",AB97)))</formula>
    </cfRule>
    <cfRule type="containsText" priority="4299" operator="containsText" dxfId="1" text="▲">
      <formula>NOT(ISERROR(SEARCH("▲",AB97)))</formula>
    </cfRule>
    <cfRule type="containsText" priority="4300" operator="containsText" dxfId="0" text="▼">
      <formula>NOT(ISERROR(SEARCH("▼",AB97)))</formula>
    </cfRule>
    <cfRule type="containsText" priority="4301" operator="containsText" dxfId="1" text="△">
      <formula>NOT(ISERROR(SEARCH("△",AB97)))</formula>
    </cfRule>
    <cfRule type="containsText" priority="4302" operator="containsText" dxfId="0" text="▽">
      <formula>NOT(ISERROR(SEARCH("▽",AB97)))</formula>
    </cfRule>
    <cfRule type="containsText" priority="4303" operator="containsText" dxfId="1" text="▲">
      <formula>NOT(ISERROR(SEARCH("▲",AB97)))</formula>
    </cfRule>
    <cfRule type="containsText" priority="4304" operator="containsText" dxfId="0" text="▼">
      <formula>NOT(ISERROR(SEARCH("▼",AB97)))</formula>
    </cfRule>
    <cfRule type="containsText" priority="4305" operator="containsText" dxfId="1" text="▲">
      <formula>NOT(ISERROR(SEARCH("▲",AB97)))</formula>
    </cfRule>
    <cfRule type="containsText" priority="4306" operator="containsText" dxfId="0" text="▼">
      <formula>NOT(ISERROR(SEARCH("▼",AB97)))</formula>
    </cfRule>
    <cfRule type="containsText" priority="4307" operator="containsText" dxfId="1" text="▲">
      <formula>NOT(ISERROR(SEARCH("▲",AB97)))</formula>
    </cfRule>
    <cfRule type="containsText" priority="4308" operator="containsText" dxfId="0" text="▼">
      <formula>NOT(ISERROR(SEARCH("▼",AB97)))</formula>
    </cfRule>
    <cfRule type="containsText" priority="4309" operator="containsText" dxfId="1" text="▲">
      <formula>NOT(ISERROR(SEARCH("▲",AB97)))</formula>
    </cfRule>
    <cfRule type="containsText" priority="4310" operator="containsText" dxfId="0" text="▼">
      <formula>NOT(ISERROR(SEARCH("▼",AB97)))</formula>
    </cfRule>
    <cfRule type="containsText" priority="4311" operator="containsText" dxfId="1" text="▲">
      <formula>NOT(ISERROR(SEARCH("▲",AB97)))</formula>
    </cfRule>
    <cfRule type="containsText" priority="4312" operator="containsText" dxfId="0" text="▼">
      <formula>NOT(ISERROR(SEARCH("▼",AB97)))</formula>
    </cfRule>
    <cfRule type="containsText" priority="4313" operator="containsText" dxfId="1" text="▲">
      <formula>NOT(ISERROR(SEARCH("▲",AB97)))</formula>
    </cfRule>
    <cfRule type="containsText" priority="4314" operator="containsText" dxfId="0" text="▼">
      <formula>NOT(ISERROR(SEARCH("▼",AB97)))</formula>
    </cfRule>
    <cfRule type="containsText" priority="4315" operator="containsText" dxfId="1" text="▲">
      <formula>NOT(ISERROR(SEARCH("▲",AB97)))</formula>
    </cfRule>
    <cfRule type="containsText" priority="4316" operator="containsText" dxfId="0" text="▼">
      <formula>NOT(ISERROR(SEARCH("▼",AB97)))</formula>
    </cfRule>
    <cfRule type="containsText" priority="4317" operator="containsText" dxfId="1" text="▲">
      <formula>NOT(ISERROR(SEARCH("▲",AB97)))</formula>
    </cfRule>
    <cfRule type="containsText" priority="4318" operator="containsText" dxfId="0" text="▼">
      <formula>NOT(ISERROR(SEARCH("▼",AB97)))</formula>
    </cfRule>
    <cfRule type="containsText" priority="4319" operator="containsText" dxfId="1" text="▲">
      <formula>NOT(ISERROR(SEARCH("▲",AB97)))</formula>
    </cfRule>
    <cfRule type="containsText" priority="4320" operator="containsText" dxfId="0" text="▼">
      <formula>NOT(ISERROR(SEARCH("▼",AB97)))</formula>
    </cfRule>
    <cfRule type="containsText" priority="4321" operator="containsText" dxfId="1" text="▲">
      <formula>NOT(ISERROR(SEARCH("▲",AB97)))</formula>
    </cfRule>
    <cfRule type="containsText" priority="4322" operator="containsText" dxfId="0" text="▼">
      <formula>NOT(ISERROR(SEARCH("▼",AB97)))</formula>
    </cfRule>
    <cfRule type="containsText" priority="4323" operator="containsText" dxfId="1" text="▲">
      <formula>NOT(ISERROR(SEARCH("▲",AB97)))</formula>
    </cfRule>
    <cfRule type="containsText" priority="4324" operator="containsText" dxfId="0" text="▼">
      <formula>NOT(ISERROR(SEARCH("▼",AB97)))</formula>
    </cfRule>
    <cfRule type="containsText" priority="4325" operator="containsText" dxfId="1" text="▲">
      <formula>NOT(ISERROR(SEARCH("▲",AB97)))</formula>
    </cfRule>
    <cfRule type="containsText" priority="4326" operator="containsText" dxfId="0" text="▼">
      <formula>NOT(ISERROR(SEARCH("▼",AB97)))</formula>
    </cfRule>
    <cfRule type="containsText" priority="4327" operator="containsText" dxfId="1" text="▲">
      <formula>NOT(ISERROR(SEARCH("▲",AB97)))</formula>
    </cfRule>
    <cfRule type="containsText" priority="4328" operator="containsText" dxfId="0" text="▼">
      <formula>NOT(ISERROR(SEARCH("▼",AB97)))</formula>
    </cfRule>
    <cfRule type="containsText" priority="4329" operator="containsText" dxfId="1" text="▲">
      <formula>NOT(ISERROR(SEARCH("▲",AB97)))</formula>
    </cfRule>
    <cfRule type="containsText" priority="4330" operator="containsText" dxfId="0" text="▼">
      <formula>NOT(ISERROR(SEARCH("▼",AB97)))</formula>
    </cfRule>
    <cfRule type="containsText" priority="4331" operator="containsText" dxfId="1" text="▲">
      <formula>NOT(ISERROR(SEARCH("▲",AB97)))</formula>
    </cfRule>
    <cfRule type="containsText" priority="4332" operator="containsText" dxfId="0" text="▼">
      <formula>NOT(ISERROR(SEARCH("▼",AB97)))</formula>
    </cfRule>
    <cfRule type="containsText" priority="4333" operator="containsText" dxfId="1" text="▲">
      <formula>NOT(ISERROR(SEARCH("▲",AB97)))</formula>
    </cfRule>
    <cfRule type="containsText" priority="4334" operator="containsText" dxfId="0" text="▼">
      <formula>NOT(ISERROR(SEARCH("▼",AB97)))</formula>
    </cfRule>
    <cfRule type="containsText" priority="4335" operator="containsText" dxfId="1" text="▲">
      <formula>NOT(ISERROR(SEARCH("▲",AB97)))</formula>
    </cfRule>
    <cfRule type="containsText" priority="4336" operator="containsText" dxfId="0" text="▼">
      <formula>NOT(ISERROR(SEARCH("▼",AB97)))</formula>
    </cfRule>
    <cfRule type="containsText" priority="4337" operator="containsText" dxfId="1" text="▲">
      <formula>NOT(ISERROR(SEARCH("▲",AB97)))</formula>
    </cfRule>
    <cfRule type="containsText" priority="4338" operator="containsText" dxfId="0" text="▼">
      <formula>NOT(ISERROR(SEARCH("▼",AB97)))</formula>
    </cfRule>
    <cfRule type="containsText" priority="4339" operator="containsText" dxfId="1" text="▲">
      <formula>NOT(ISERROR(SEARCH("▲",AB97)))</formula>
    </cfRule>
    <cfRule type="containsText" priority="4340" operator="containsText" dxfId="0" text="▼">
      <formula>NOT(ISERROR(SEARCH("▼",AB97)))</formula>
    </cfRule>
    <cfRule type="containsText" priority="4341" operator="containsText" dxfId="1" text="▲">
      <formula>NOT(ISERROR(SEARCH("▲",AB97)))</formula>
    </cfRule>
    <cfRule type="containsText" priority="4342" operator="containsText" dxfId="0" text="▼">
      <formula>NOT(ISERROR(SEARCH("▼",AB97)))</formula>
    </cfRule>
    <cfRule type="containsText" priority="4343" operator="containsText" dxfId="1" text="▲">
      <formula>NOT(ISERROR(SEARCH("▲",AB97)))</formula>
    </cfRule>
    <cfRule type="containsText" priority="4344" operator="containsText" dxfId="0" text="▼">
      <formula>NOT(ISERROR(SEARCH("▼",AB97)))</formula>
    </cfRule>
    <cfRule type="containsText" priority="4345" operator="containsText" dxfId="1" text="▲">
      <formula>NOT(ISERROR(SEARCH("▲",AB97)))</formula>
    </cfRule>
    <cfRule type="containsText" priority="4346" operator="containsText" dxfId="0" text="▼">
      <formula>NOT(ISERROR(SEARCH("▼",AB97)))</formula>
    </cfRule>
    <cfRule type="containsText" priority="4347" operator="containsText" dxfId="1" text="▲">
      <formula>NOT(ISERROR(SEARCH("▲",AB97)))</formula>
    </cfRule>
    <cfRule type="containsText" priority="4348" operator="containsText" dxfId="0" text="▼">
      <formula>NOT(ISERROR(SEARCH("▼",AB97)))</formula>
    </cfRule>
    <cfRule type="containsText" priority="4349" operator="containsText" dxfId="1" text="▲">
      <formula>NOT(ISERROR(SEARCH("▲",AB97)))</formula>
    </cfRule>
    <cfRule type="containsText" priority="4350" operator="containsText" dxfId="0" text="▼">
      <formula>NOT(ISERROR(SEARCH("▼",AB97)))</formula>
    </cfRule>
    <cfRule type="containsText" priority="4351" operator="containsText" dxfId="1" text="△">
      <formula>NOT(ISERROR(SEARCH("△",AB97)))</formula>
    </cfRule>
    <cfRule type="containsText" priority="4352" operator="containsText" dxfId="0" text="▽">
      <formula>NOT(ISERROR(SEARCH("▽",AB97)))</formula>
    </cfRule>
    <cfRule type="containsText" priority="4353" operator="containsText" dxfId="1" text="▲">
      <formula>NOT(ISERROR(SEARCH("▲",AB97)))</formula>
    </cfRule>
    <cfRule type="containsText" priority="4354" operator="containsText" dxfId="0" text="▼">
      <formula>NOT(ISERROR(SEARCH("▼",AB97)))</formula>
    </cfRule>
    <cfRule type="containsText" priority="4355" operator="containsText" dxfId="1" text="▲">
      <formula>NOT(ISERROR(SEARCH("▲",AB97)))</formula>
    </cfRule>
    <cfRule type="containsText" priority="4356" operator="containsText" dxfId="0" text="▼">
      <formula>NOT(ISERROR(SEARCH("▼",AB97)))</formula>
    </cfRule>
    <cfRule type="containsText" priority="4357" operator="containsText" dxfId="1" text="▲">
      <formula>NOT(ISERROR(SEARCH("▲",AB97)))</formula>
    </cfRule>
    <cfRule type="containsText" priority="4358" operator="containsText" dxfId="0" text="▼">
      <formula>NOT(ISERROR(SEARCH("▼",AB97)))</formula>
    </cfRule>
    <cfRule type="containsText" priority="4359" operator="containsText" dxfId="1" text="▲">
      <formula>NOT(ISERROR(SEARCH("▲",AB97)))</formula>
    </cfRule>
    <cfRule type="containsText" priority="4360" operator="containsText" dxfId="0" text="▼">
      <formula>NOT(ISERROR(SEARCH("▼",AB97)))</formula>
    </cfRule>
    <cfRule type="containsText" priority="4361" operator="containsText" dxfId="1" text="▲">
      <formula>NOT(ISERROR(SEARCH("▲",AB97)))</formula>
    </cfRule>
    <cfRule type="containsText" priority="4362" operator="containsText" dxfId="0" text="▼">
      <formula>NOT(ISERROR(SEARCH("▼",AB97)))</formula>
    </cfRule>
    <cfRule type="containsText" priority="4363" operator="containsText" dxfId="1" text="▲">
      <formula>NOT(ISERROR(SEARCH("▲",AB97)))</formula>
    </cfRule>
    <cfRule type="containsText" priority="4364" operator="containsText" dxfId="0" text="▼">
      <formula>NOT(ISERROR(SEARCH("▼",AB97)))</formula>
    </cfRule>
    <cfRule type="containsText" priority="4365" operator="containsText" dxfId="1" text="▲">
      <formula>NOT(ISERROR(SEARCH("▲",AB97)))</formula>
    </cfRule>
    <cfRule type="containsText" priority="4366" operator="containsText" dxfId="0" text="▼">
      <formula>NOT(ISERROR(SEARCH("▼",AB97)))</formula>
    </cfRule>
    <cfRule type="containsText" priority="4367" operator="containsText" dxfId="1" text="▲">
      <formula>NOT(ISERROR(SEARCH("▲",AB97)))</formula>
    </cfRule>
    <cfRule type="containsText" priority="4368" operator="containsText" dxfId="0" text="▼">
      <formula>NOT(ISERROR(SEARCH("▼",AB97)))</formula>
    </cfRule>
    <cfRule type="containsText" priority="4369" operator="containsText" dxfId="1" text="▲">
      <formula>NOT(ISERROR(SEARCH("▲",AB97)))</formula>
    </cfRule>
    <cfRule type="containsText" priority="4370" operator="containsText" dxfId="0" text="▼">
      <formula>NOT(ISERROR(SEARCH("▼",AB97)))</formula>
    </cfRule>
    <cfRule type="containsText" priority="4371" operator="containsText" dxfId="1" text="▲">
      <formula>NOT(ISERROR(SEARCH("▲",AB97)))</formula>
    </cfRule>
    <cfRule type="containsText" priority="4372" operator="containsText" dxfId="0" text="▼">
      <formula>NOT(ISERROR(SEARCH("▼",AB97)))</formula>
    </cfRule>
    <cfRule type="containsText" priority="4373" operator="containsText" dxfId="1" text="▲">
      <formula>NOT(ISERROR(SEARCH("▲",AB97)))</formula>
    </cfRule>
    <cfRule type="containsText" priority="4374" operator="containsText" dxfId="0" text="▼">
      <formula>NOT(ISERROR(SEARCH("▼",AB97)))</formula>
    </cfRule>
    <cfRule type="containsText" priority="4375" operator="containsText" dxfId="1" text="▲">
      <formula>NOT(ISERROR(SEARCH("▲",AB97)))</formula>
    </cfRule>
    <cfRule type="containsText" priority="4376" operator="containsText" dxfId="0" text="▼">
      <formula>NOT(ISERROR(SEARCH("▼",AB97)))</formula>
    </cfRule>
    <cfRule type="containsText" priority="4377" operator="containsText" dxfId="1" text="▲">
      <formula>NOT(ISERROR(SEARCH("▲",AB97)))</formula>
    </cfRule>
    <cfRule type="containsText" priority="4378" operator="containsText" dxfId="0" text="▼">
      <formula>NOT(ISERROR(SEARCH("▼",AB97)))</formula>
    </cfRule>
    <cfRule type="containsText" priority="4379" operator="containsText" dxfId="1" text="▲">
      <formula>NOT(ISERROR(SEARCH("▲",AB97)))</formula>
    </cfRule>
    <cfRule type="containsText" priority="4380" operator="containsText" dxfId="0" text="▼">
      <formula>NOT(ISERROR(SEARCH("▼",AB97)))</formula>
    </cfRule>
    <cfRule type="containsText" priority="4381" operator="containsText" dxfId="1" text="▲">
      <formula>NOT(ISERROR(SEARCH("▲",AB97)))</formula>
    </cfRule>
    <cfRule type="containsText" priority="4382" operator="containsText" dxfId="0" text="▼">
      <formula>NOT(ISERROR(SEARCH("▼",AB97)))</formula>
    </cfRule>
    <cfRule type="containsText" priority="4383" operator="containsText" dxfId="1" text="▲">
      <formula>NOT(ISERROR(SEARCH("▲",AB97)))</formula>
    </cfRule>
    <cfRule type="containsText" priority="4384" operator="containsText" dxfId="0" text="▼">
      <formula>NOT(ISERROR(SEARCH("▼",AB97)))</formula>
    </cfRule>
    <cfRule type="containsText" priority="4385" operator="containsText" dxfId="1" text="▲">
      <formula>NOT(ISERROR(SEARCH("▲",AB97)))</formula>
    </cfRule>
    <cfRule type="containsText" priority="4386" operator="containsText" dxfId="0" text="▼">
      <formula>NOT(ISERROR(SEARCH("▼",AB97)))</formula>
    </cfRule>
    <cfRule type="containsText" priority="4387" operator="containsText" dxfId="1" text="▲">
      <formula>NOT(ISERROR(SEARCH("▲",AB97)))</formula>
    </cfRule>
    <cfRule type="containsText" priority="4388" operator="containsText" dxfId="0" text="▼">
      <formula>NOT(ISERROR(SEARCH("▼",AB97)))</formula>
    </cfRule>
    <cfRule type="containsText" priority="4389" operator="containsText" dxfId="1" text="▲">
      <formula>NOT(ISERROR(SEARCH("▲",AB97)))</formula>
    </cfRule>
    <cfRule type="containsText" priority="4390" operator="containsText" dxfId="0" text="▼">
      <formula>NOT(ISERROR(SEARCH("▼",AB97)))</formula>
    </cfRule>
    <cfRule type="containsText" priority="4391" operator="containsText" dxfId="1" text="▲">
      <formula>NOT(ISERROR(SEARCH("▲",AB97)))</formula>
    </cfRule>
    <cfRule type="containsText" priority="4392" operator="containsText" dxfId="0" text="▼">
      <formula>NOT(ISERROR(SEARCH("▼",AB97)))</formula>
    </cfRule>
    <cfRule type="containsText" priority="4393" operator="containsText" dxfId="1" text="▲">
      <formula>NOT(ISERROR(SEARCH("▲",AB97)))</formula>
    </cfRule>
    <cfRule type="containsText" priority="4394" operator="containsText" dxfId="0" text="▼">
      <formula>NOT(ISERROR(SEARCH("▼",AB97)))</formula>
    </cfRule>
    <cfRule type="containsText" priority="4395" operator="containsText" dxfId="1" text="▲">
      <formula>NOT(ISERROR(SEARCH("▲",AB97)))</formula>
    </cfRule>
    <cfRule type="containsText" priority="4396" operator="containsText" dxfId="0" text="▼">
      <formula>NOT(ISERROR(SEARCH("▼",AB97)))</formula>
    </cfRule>
    <cfRule type="containsText" priority="4397" operator="containsText" dxfId="1" text="▲">
      <formula>NOT(ISERROR(SEARCH("▲",AB97)))</formula>
    </cfRule>
    <cfRule type="containsText" priority="4398" operator="containsText" dxfId="0" text="▼">
      <formula>NOT(ISERROR(SEARCH("▼",AB97)))</formula>
    </cfRule>
    <cfRule type="containsText" priority="4399" operator="containsText" dxfId="1" text="▲">
      <formula>NOT(ISERROR(SEARCH("▲",AB97)))</formula>
    </cfRule>
    <cfRule type="containsText" priority="4400" operator="containsText" dxfId="0" text="▼">
      <formula>NOT(ISERROR(SEARCH("▼",AB97)))</formula>
    </cfRule>
    <cfRule type="containsText" priority="4401" operator="containsText" dxfId="1" text="▲">
      <formula>NOT(ISERROR(SEARCH("▲",AB97)))</formula>
    </cfRule>
    <cfRule type="containsText" priority="4402" operator="containsText" dxfId="0" text="▼">
      <formula>NOT(ISERROR(SEARCH("▼",AB97)))</formula>
    </cfRule>
    <cfRule type="containsText" priority="4403" operator="containsText" dxfId="1" text="▲">
      <formula>NOT(ISERROR(SEARCH("▲",AB97)))</formula>
    </cfRule>
    <cfRule type="containsText" priority="4404" operator="containsText" dxfId="0" text="▼">
      <formula>NOT(ISERROR(SEARCH("▼",AB97)))</formula>
    </cfRule>
    <cfRule type="containsText" priority="4405" operator="containsText" dxfId="1" text="▲">
      <formula>NOT(ISERROR(SEARCH("▲",AB97)))</formula>
    </cfRule>
    <cfRule type="containsText" priority="4406" operator="containsText" dxfId="0" text="▼">
      <formula>NOT(ISERROR(SEARCH("▼",AB97)))</formula>
    </cfRule>
    <cfRule type="containsText" priority="4407" operator="containsText" dxfId="1" text="▲">
      <formula>NOT(ISERROR(SEARCH("▲",AB97)))</formula>
    </cfRule>
    <cfRule type="containsText" priority="4408" operator="containsText" dxfId="0" text="▼">
      <formula>NOT(ISERROR(SEARCH("▼",AB97)))</formula>
    </cfRule>
    <cfRule type="containsText" priority="4409" operator="containsText" dxfId="1" text="▲">
      <formula>NOT(ISERROR(SEARCH("▲",AB97)))</formula>
    </cfRule>
    <cfRule type="containsText" priority="4410" operator="containsText" dxfId="0" text="▼">
      <formula>NOT(ISERROR(SEARCH("▼",AB97)))</formula>
    </cfRule>
    <cfRule type="containsText" priority="4411" operator="containsText" dxfId="1" text="▲">
      <formula>NOT(ISERROR(SEARCH("▲",AB97)))</formula>
    </cfRule>
    <cfRule type="containsText" priority="4412" operator="containsText" dxfId="0" text="▼">
      <formula>NOT(ISERROR(SEARCH("▼",AB97)))</formula>
    </cfRule>
    <cfRule type="containsText" priority="4415" operator="containsText" dxfId="1" text="△">
      <formula>NOT(ISERROR(SEARCH("△",AB97)))</formula>
    </cfRule>
    <cfRule type="containsText" priority="4416" operator="containsText" dxfId="0" text="▽">
      <formula>NOT(ISERROR(SEARCH("▽",AB97)))</formula>
    </cfRule>
  </conditionalFormatting>
  <conditionalFormatting sqref="AB115">
    <cfRule type="containsText" priority="5227" operator="containsText" dxfId="1" text="△">
      <formula>NOT(ISERROR(SEARCH("△",AB115)))</formula>
    </cfRule>
    <cfRule type="containsText" priority="5228" operator="containsText" dxfId="0" text="▽">
      <formula>NOT(ISERROR(SEARCH("▽",AB115)))</formula>
    </cfRule>
  </conditionalFormatting>
  <conditionalFormatting sqref="AB2:AB38">
    <cfRule type="containsText" priority="5063" operator="containsText" dxfId="1" text="▲">
      <formula>NOT(ISERROR(SEARCH("▲",AB2)))</formula>
    </cfRule>
    <cfRule type="containsText" priority="5064" operator="containsText" dxfId="0" text="▼">
      <formula>NOT(ISERROR(SEARCH("▼",AB2)))</formula>
    </cfRule>
    <cfRule type="containsText" priority="5065" operator="containsText" dxfId="1" text="▲">
      <formula>NOT(ISERROR(SEARCH("▲",AB2)))</formula>
    </cfRule>
    <cfRule type="containsText" priority="5066" operator="containsText" dxfId="0" text="▼">
      <formula>NOT(ISERROR(SEARCH("▼",AB2)))</formula>
    </cfRule>
    <cfRule type="containsText" priority="5067" operator="containsText" dxfId="1" text="▲">
      <formula>NOT(ISERROR(SEARCH("▲",AB2)))</formula>
    </cfRule>
    <cfRule type="containsText" priority="5068" operator="containsText" dxfId="0" text="▼">
      <formula>NOT(ISERROR(SEARCH("▼",AB2)))</formula>
    </cfRule>
    <cfRule type="containsText" priority="5069" operator="containsText" dxfId="1" text="▲">
      <formula>NOT(ISERROR(SEARCH("▲",AB2)))</formula>
    </cfRule>
    <cfRule type="containsText" priority="5070" operator="containsText" dxfId="0" text="▼">
      <formula>NOT(ISERROR(SEARCH("▼",AB2)))</formula>
    </cfRule>
    <cfRule type="containsText" priority="5071" operator="containsText" dxfId="1" text="▲">
      <formula>NOT(ISERROR(SEARCH("▲",AB2)))</formula>
    </cfRule>
    <cfRule type="containsText" priority="5072" operator="containsText" dxfId="0" text="▼">
      <formula>NOT(ISERROR(SEARCH("▼",AB2)))</formula>
    </cfRule>
    <cfRule type="containsText" priority="5073" operator="containsText" dxfId="1" text="▲">
      <formula>NOT(ISERROR(SEARCH("▲",AB2)))</formula>
    </cfRule>
    <cfRule type="containsText" priority="5074" operator="containsText" dxfId="0" text="▼">
      <formula>NOT(ISERROR(SEARCH("▼",AB2)))</formula>
    </cfRule>
    <cfRule type="containsText" priority="5075" operator="containsText" dxfId="1" text="▲">
      <formula>NOT(ISERROR(SEARCH("▲",AB2)))</formula>
    </cfRule>
    <cfRule type="containsText" priority="5076" operator="containsText" dxfId="0" text="▼">
      <formula>NOT(ISERROR(SEARCH("▼",AB2)))</formula>
    </cfRule>
    <cfRule type="containsText" priority="5077" operator="containsText" dxfId="1" text="▲">
      <formula>NOT(ISERROR(SEARCH("▲",AB2)))</formula>
    </cfRule>
    <cfRule type="containsText" priority="5078" operator="containsText" dxfId="0" text="▼">
      <formula>NOT(ISERROR(SEARCH("▼",AB2)))</formula>
    </cfRule>
    <cfRule type="containsText" priority="5079" operator="containsText" dxfId="1" text="▲">
      <formula>NOT(ISERROR(SEARCH("▲",AB2)))</formula>
    </cfRule>
    <cfRule type="containsText" priority="5080" operator="containsText" dxfId="0" text="▼">
      <formula>NOT(ISERROR(SEARCH("▼",AB2)))</formula>
    </cfRule>
    <cfRule type="containsText" priority="5081" operator="containsText" dxfId="1" text="▲">
      <formula>NOT(ISERROR(SEARCH("▲",AB2)))</formula>
    </cfRule>
    <cfRule type="containsText" priority="5082" operator="containsText" dxfId="0" text="▼">
      <formula>NOT(ISERROR(SEARCH("▼",AB2)))</formula>
    </cfRule>
    <cfRule type="containsText" priority="5083" operator="containsText" dxfId="1" text="▲">
      <formula>NOT(ISERROR(SEARCH("▲",AB2)))</formula>
    </cfRule>
    <cfRule type="containsText" priority="5084" operator="containsText" dxfId="0" text="▼">
      <formula>NOT(ISERROR(SEARCH("▼",AB2)))</formula>
    </cfRule>
    <cfRule type="containsText" priority="5085" operator="containsText" dxfId="1" text="▲">
      <formula>NOT(ISERROR(SEARCH("▲",AB2)))</formula>
    </cfRule>
    <cfRule type="containsText" priority="5086" operator="containsText" dxfId="0" text="▼">
      <formula>NOT(ISERROR(SEARCH("▼",AB2)))</formula>
    </cfRule>
    <cfRule type="containsText" priority="5087" operator="containsText" dxfId="1" text="▲">
      <formula>NOT(ISERROR(SEARCH("▲",AB2)))</formula>
    </cfRule>
    <cfRule type="containsText" priority="5088" operator="containsText" dxfId="0" text="▼">
      <formula>NOT(ISERROR(SEARCH("▼",AB2)))</formula>
    </cfRule>
    <cfRule type="containsText" priority="5089" operator="containsText" dxfId="1" text="▲">
      <formula>NOT(ISERROR(SEARCH("▲",AB2)))</formula>
    </cfRule>
    <cfRule type="containsText" priority="5090" operator="containsText" dxfId="0" text="▼">
      <formula>NOT(ISERROR(SEARCH("▼",AB2)))</formula>
    </cfRule>
    <cfRule type="containsText" priority="5091" operator="containsText" dxfId="1" text="▲">
      <formula>NOT(ISERROR(SEARCH("▲",AB2)))</formula>
    </cfRule>
    <cfRule type="containsText" priority="5092" operator="containsText" dxfId="0" text="▼">
      <formula>NOT(ISERROR(SEARCH("▼",AB2)))</formula>
    </cfRule>
    <cfRule type="containsText" priority="5093" operator="containsText" dxfId="1" text="▲">
      <formula>NOT(ISERROR(SEARCH("▲",AB2)))</formula>
    </cfRule>
    <cfRule type="containsText" priority="5094" operator="containsText" dxfId="0" text="▼">
      <formula>NOT(ISERROR(SEARCH("▼",AB2)))</formula>
    </cfRule>
    <cfRule type="containsText" priority="5095" operator="containsText" dxfId="1" text="▲">
      <formula>NOT(ISERROR(SEARCH("▲",AB2)))</formula>
    </cfRule>
    <cfRule type="containsText" priority="5096" operator="containsText" dxfId="0" text="▼">
      <formula>NOT(ISERROR(SEARCH("▼",AB2)))</formula>
    </cfRule>
    <cfRule type="containsText" priority="5097" operator="containsText" dxfId="1" text="▲">
      <formula>NOT(ISERROR(SEARCH("▲",AB2)))</formula>
    </cfRule>
    <cfRule type="containsText" priority="5098" operator="containsText" dxfId="0" text="▼">
      <formula>NOT(ISERROR(SEARCH("▼",AB2)))</formula>
    </cfRule>
    <cfRule type="containsText" priority="5099" operator="containsText" dxfId="1" text="▲">
      <formula>NOT(ISERROR(SEARCH("▲",AB2)))</formula>
    </cfRule>
    <cfRule type="containsText" priority="5100" operator="containsText" dxfId="0" text="▼">
      <formula>NOT(ISERROR(SEARCH("▼",AB2)))</formula>
    </cfRule>
    <cfRule type="containsText" priority="5101" operator="containsText" dxfId="1" text="▲">
      <formula>NOT(ISERROR(SEARCH("▲",AB2)))</formula>
    </cfRule>
    <cfRule type="containsText" priority="5102" operator="containsText" dxfId="0" text="▼">
      <formula>NOT(ISERROR(SEARCH("▼",AB2)))</formula>
    </cfRule>
    <cfRule type="containsText" priority="5103" operator="containsText" dxfId="1" text="▲">
      <formula>NOT(ISERROR(SEARCH("▲",AB2)))</formula>
    </cfRule>
    <cfRule type="containsText" priority="5104" operator="containsText" dxfId="0" text="▼">
      <formula>NOT(ISERROR(SEARCH("▼",AB2)))</formula>
    </cfRule>
    <cfRule type="containsText" priority="5105" operator="containsText" dxfId="1" text="▲">
      <formula>NOT(ISERROR(SEARCH("▲",AB2)))</formula>
    </cfRule>
    <cfRule type="containsText" priority="5106" operator="containsText" dxfId="0" text="▼">
      <formula>NOT(ISERROR(SEARCH("▼",AB2)))</formula>
    </cfRule>
    <cfRule type="containsText" priority="5107" operator="containsText" dxfId="1" text="▲">
      <formula>NOT(ISERROR(SEARCH("▲",AB2)))</formula>
    </cfRule>
    <cfRule type="containsText" priority="5108" operator="containsText" dxfId="0" text="▼">
      <formula>NOT(ISERROR(SEARCH("▼",AB2)))</formula>
    </cfRule>
    <cfRule type="containsText" priority="5109" operator="containsText" dxfId="1" text="▲">
      <formula>NOT(ISERROR(SEARCH("▲",AB2)))</formula>
    </cfRule>
    <cfRule type="containsText" priority="5110" operator="containsText" dxfId="0" text="▼">
      <formula>NOT(ISERROR(SEARCH("▼",AB2)))</formula>
    </cfRule>
    <cfRule type="containsText" priority="5111" operator="containsText" dxfId="1" text="△">
      <formula>NOT(ISERROR(SEARCH("△",AB2)))</formula>
    </cfRule>
    <cfRule type="containsText" priority="5112" operator="containsText" dxfId="0" text="▽">
      <formula>NOT(ISERROR(SEARCH("▽",AB2)))</formula>
    </cfRule>
    <cfRule type="containsText" priority="5113" operator="containsText" dxfId="1" text="▲">
      <formula>NOT(ISERROR(SEARCH("▲",AB2)))</formula>
    </cfRule>
    <cfRule type="containsText" priority="5114" operator="containsText" dxfId="0" text="▼">
      <formula>NOT(ISERROR(SEARCH("▼",AB2)))</formula>
    </cfRule>
    <cfRule type="containsText" priority="5115" operator="containsText" dxfId="1" text="▲">
      <formula>NOT(ISERROR(SEARCH("▲",AB2)))</formula>
    </cfRule>
    <cfRule type="containsText" priority="5116" operator="containsText" dxfId="0" text="▼">
      <formula>NOT(ISERROR(SEARCH("▼",AB2)))</formula>
    </cfRule>
    <cfRule type="containsText" priority="5117" operator="containsText" dxfId="1" text="▲">
      <formula>NOT(ISERROR(SEARCH("▲",AB2)))</formula>
    </cfRule>
    <cfRule type="containsText" priority="5118" operator="containsText" dxfId="0" text="▼">
      <formula>NOT(ISERROR(SEARCH("▼",AB2)))</formula>
    </cfRule>
    <cfRule type="containsText" priority="5119" operator="containsText" dxfId="1" text="▲">
      <formula>NOT(ISERROR(SEARCH("▲",AB2)))</formula>
    </cfRule>
    <cfRule type="containsText" priority="5120" operator="containsText" dxfId="0" text="▼">
      <formula>NOT(ISERROR(SEARCH("▼",AB2)))</formula>
    </cfRule>
    <cfRule type="containsText" priority="5121" operator="containsText" dxfId="1" text="▲">
      <formula>NOT(ISERROR(SEARCH("▲",AB2)))</formula>
    </cfRule>
    <cfRule type="containsText" priority="5122" operator="containsText" dxfId="0" text="▼">
      <formula>NOT(ISERROR(SEARCH("▼",AB2)))</formula>
    </cfRule>
    <cfRule type="containsText" priority="5123" operator="containsText" dxfId="1" text="▲">
      <formula>NOT(ISERROR(SEARCH("▲",AB2)))</formula>
    </cfRule>
    <cfRule type="containsText" priority="5124" operator="containsText" dxfId="0" text="▼">
      <formula>NOT(ISERROR(SEARCH("▼",AB2)))</formula>
    </cfRule>
    <cfRule type="containsText" priority="5125" operator="containsText" dxfId="1" text="▲">
      <formula>NOT(ISERROR(SEARCH("▲",AB2)))</formula>
    </cfRule>
    <cfRule type="containsText" priority="5126" operator="containsText" dxfId="0" text="▼">
      <formula>NOT(ISERROR(SEARCH("▼",AB2)))</formula>
    </cfRule>
    <cfRule type="containsText" priority="5127" operator="containsText" dxfId="1" text="▲">
      <formula>NOT(ISERROR(SEARCH("▲",AB2)))</formula>
    </cfRule>
    <cfRule type="containsText" priority="5128" operator="containsText" dxfId="0" text="▼">
      <formula>NOT(ISERROR(SEARCH("▼",AB2)))</formula>
    </cfRule>
    <cfRule type="containsText" priority="5129" operator="containsText" dxfId="1" text="▲">
      <formula>NOT(ISERROR(SEARCH("▲",AB2)))</formula>
    </cfRule>
    <cfRule type="containsText" priority="5130" operator="containsText" dxfId="0" text="▼">
      <formula>NOT(ISERROR(SEARCH("▼",AB2)))</formula>
    </cfRule>
    <cfRule type="containsText" priority="5131" operator="containsText" dxfId="1" text="▲">
      <formula>NOT(ISERROR(SEARCH("▲",AB2)))</formula>
    </cfRule>
    <cfRule type="containsText" priority="5132" operator="containsText" dxfId="0" text="▼">
      <formula>NOT(ISERROR(SEARCH("▼",AB2)))</formula>
    </cfRule>
    <cfRule type="containsText" priority="5133" operator="containsText" dxfId="1" text="▲">
      <formula>NOT(ISERROR(SEARCH("▲",AB2)))</formula>
    </cfRule>
    <cfRule type="containsText" priority="5134" operator="containsText" dxfId="0" text="▼">
      <formula>NOT(ISERROR(SEARCH("▼",AB2)))</formula>
    </cfRule>
    <cfRule type="containsText" priority="5135" operator="containsText" dxfId="1" text="▲">
      <formula>NOT(ISERROR(SEARCH("▲",AB2)))</formula>
    </cfRule>
    <cfRule type="containsText" priority="5136" operator="containsText" dxfId="0" text="▼">
      <formula>NOT(ISERROR(SEARCH("▼",AB2)))</formula>
    </cfRule>
    <cfRule type="containsText" priority="5137" operator="containsText" dxfId="1" text="▲">
      <formula>NOT(ISERROR(SEARCH("▲",AB2)))</formula>
    </cfRule>
    <cfRule type="containsText" priority="5138" operator="containsText" dxfId="0" text="▼">
      <formula>NOT(ISERROR(SEARCH("▼",AB2)))</formula>
    </cfRule>
    <cfRule type="containsText" priority="5139" operator="containsText" dxfId="1" text="▲">
      <formula>NOT(ISERROR(SEARCH("▲",AB2)))</formula>
    </cfRule>
    <cfRule type="containsText" priority="5140" operator="containsText" dxfId="0" text="▼">
      <formula>NOT(ISERROR(SEARCH("▼",AB2)))</formula>
    </cfRule>
    <cfRule type="containsText" priority="5141" operator="containsText" dxfId="1" text="▲">
      <formula>NOT(ISERROR(SEARCH("▲",AB2)))</formula>
    </cfRule>
    <cfRule type="containsText" priority="5142" operator="containsText" dxfId="0" text="▼">
      <formula>NOT(ISERROR(SEARCH("▼",AB2)))</formula>
    </cfRule>
    <cfRule type="containsText" priority="5143" operator="containsText" dxfId="1" text="▲">
      <formula>NOT(ISERROR(SEARCH("▲",AB2)))</formula>
    </cfRule>
    <cfRule type="containsText" priority="5144" operator="containsText" dxfId="0" text="▼">
      <formula>NOT(ISERROR(SEARCH("▼",AB2)))</formula>
    </cfRule>
    <cfRule type="containsText" priority="5145" operator="containsText" dxfId="1" text="▲">
      <formula>NOT(ISERROR(SEARCH("▲",AB2)))</formula>
    </cfRule>
    <cfRule type="containsText" priority="5146" operator="containsText" dxfId="0" text="▼">
      <formula>NOT(ISERROR(SEARCH("▼",AB2)))</formula>
    </cfRule>
    <cfRule type="containsText" priority="5147" operator="containsText" dxfId="1" text="▲">
      <formula>NOT(ISERROR(SEARCH("▲",AB2)))</formula>
    </cfRule>
    <cfRule type="containsText" priority="5148" operator="containsText" dxfId="0" text="▼">
      <formula>NOT(ISERROR(SEARCH("▼",AB2)))</formula>
    </cfRule>
    <cfRule type="containsText" priority="5149" operator="containsText" dxfId="1" text="▲">
      <formula>NOT(ISERROR(SEARCH("▲",AB2)))</formula>
    </cfRule>
    <cfRule type="containsText" priority="5150" operator="containsText" dxfId="0" text="▼">
      <formula>NOT(ISERROR(SEARCH("▼",AB2)))</formula>
    </cfRule>
    <cfRule type="containsText" priority="5151" operator="containsText" dxfId="1" text="▲">
      <formula>NOT(ISERROR(SEARCH("▲",AB2)))</formula>
    </cfRule>
    <cfRule type="containsText" priority="5152" operator="containsText" dxfId="0" text="▼">
      <formula>NOT(ISERROR(SEARCH("▼",AB2)))</formula>
    </cfRule>
    <cfRule type="containsText" priority="5153" operator="containsText" dxfId="1" text="▲">
      <formula>NOT(ISERROR(SEARCH("▲",AB2)))</formula>
    </cfRule>
    <cfRule type="containsText" priority="5154" operator="containsText" dxfId="0" text="▼">
      <formula>NOT(ISERROR(SEARCH("▼",AB2)))</formula>
    </cfRule>
    <cfRule type="containsText" priority="5155" operator="containsText" dxfId="1" text="▲">
      <formula>NOT(ISERROR(SEARCH("▲",AB2)))</formula>
    </cfRule>
    <cfRule type="containsText" priority="5156" operator="containsText" dxfId="0" text="▼">
      <formula>NOT(ISERROR(SEARCH("▼",AB2)))</formula>
    </cfRule>
    <cfRule type="containsText" priority="5157" operator="containsText" dxfId="1" text="▲">
      <formula>NOT(ISERROR(SEARCH("▲",AB2)))</formula>
    </cfRule>
    <cfRule type="containsText" priority="5158" operator="containsText" dxfId="0" text="▼">
      <formula>NOT(ISERROR(SEARCH("▼",AB2)))</formula>
    </cfRule>
    <cfRule type="containsText" priority="5159" operator="containsText" dxfId="1" text="▲">
      <formula>NOT(ISERROR(SEARCH("▲",AB2)))</formula>
    </cfRule>
    <cfRule type="containsText" priority="5160" operator="containsText" dxfId="0" text="▼">
      <formula>NOT(ISERROR(SEARCH("▼",AB2)))</formula>
    </cfRule>
    <cfRule type="containsText" priority="5161" operator="containsText" dxfId="1" text="▲">
      <formula>NOT(ISERROR(SEARCH("▲",AB2)))</formula>
    </cfRule>
    <cfRule type="containsText" priority="5162" operator="containsText" dxfId="0" text="▼">
      <formula>NOT(ISERROR(SEARCH("▼",AB2)))</formula>
    </cfRule>
    <cfRule type="containsText" priority="5163" operator="containsText" dxfId="1" text="△">
      <formula>NOT(ISERROR(SEARCH("△",AB2)))</formula>
    </cfRule>
    <cfRule type="containsText" priority="5164" operator="containsText" dxfId="0" text="▽">
      <formula>NOT(ISERROR(SEARCH("▽",AB2)))</formula>
    </cfRule>
    <cfRule type="containsText" priority="5165" operator="containsText" dxfId="1" text="▲">
      <formula>NOT(ISERROR(SEARCH("▲",AB2)))</formula>
    </cfRule>
    <cfRule type="containsText" priority="5166" operator="containsText" dxfId="0" text="▼">
      <formula>NOT(ISERROR(SEARCH("▼",AB2)))</formula>
    </cfRule>
    <cfRule type="containsText" priority="5167" operator="containsText" dxfId="1" text="▲">
      <formula>NOT(ISERROR(SEARCH("▲",AB2)))</formula>
    </cfRule>
    <cfRule type="containsText" priority="5168" operator="containsText" dxfId="0" text="▼">
      <formula>NOT(ISERROR(SEARCH("▼",AB2)))</formula>
    </cfRule>
    <cfRule type="containsText" priority="5169" operator="containsText" dxfId="1" text="▲">
      <formula>NOT(ISERROR(SEARCH("▲",AB2)))</formula>
    </cfRule>
    <cfRule type="containsText" priority="5170" operator="containsText" dxfId="0" text="▼">
      <formula>NOT(ISERROR(SEARCH("▼",AB2)))</formula>
    </cfRule>
    <cfRule type="containsText" priority="5171" operator="containsText" dxfId="1" text="▲">
      <formula>NOT(ISERROR(SEARCH("▲",AB2)))</formula>
    </cfRule>
    <cfRule type="containsText" priority="5172" operator="containsText" dxfId="0" text="▼">
      <formula>NOT(ISERROR(SEARCH("▼",AB2)))</formula>
    </cfRule>
    <cfRule type="containsText" priority="5173" operator="containsText" dxfId="1" text="▲">
      <formula>NOT(ISERROR(SEARCH("▲",AB2)))</formula>
    </cfRule>
    <cfRule type="containsText" priority="5174" operator="containsText" dxfId="0" text="▼">
      <formula>NOT(ISERROR(SEARCH("▼",AB2)))</formula>
    </cfRule>
    <cfRule type="containsText" priority="5175" operator="containsText" dxfId="1" text="▲">
      <formula>NOT(ISERROR(SEARCH("▲",AB2)))</formula>
    </cfRule>
    <cfRule type="containsText" priority="5176" operator="containsText" dxfId="0" text="▼">
      <formula>NOT(ISERROR(SEARCH("▼",AB2)))</formula>
    </cfRule>
    <cfRule type="containsText" priority="5177" operator="containsText" dxfId="1" text="▲">
      <formula>NOT(ISERROR(SEARCH("▲",AB2)))</formula>
    </cfRule>
    <cfRule type="containsText" priority="5178" operator="containsText" dxfId="0" text="▼">
      <formula>NOT(ISERROR(SEARCH("▼",AB2)))</formula>
    </cfRule>
    <cfRule type="containsText" priority="5179" operator="containsText" dxfId="1" text="▲">
      <formula>NOT(ISERROR(SEARCH("▲",AB2)))</formula>
    </cfRule>
    <cfRule type="containsText" priority="5180" operator="containsText" dxfId="0" text="▼">
      <formula>NOT(ISERROR(SEARCH("▼",AB2)))</formula>
    </cfRule>
    <cfRule type="containsText" priority="5181" operator="containsText" dxfId="1" text="▲">
      <formula>NOT(ISERROR(SEARCH("▲",AB2)))</formula>
    </cfRule>
    <cfRule type="containsText" priority="5182" operator="containsText" dxfId="0" text="▼">
      <formula>NOT(ISERROR(SEARCH("▼",AB2)))</formula>
    </cfRule>
    <cfRule type="containsText" priority="5183" operator="containsText" dxfId="1" text="▲">
      <formula>NOT(ISERROR(SEARCH("▲",AB2)))</formula>
    </cfRule>
    <cfRule type="containsText" priority="5184" operator="containsText" dxfId="0" text="▼">
      <formula>NOT(ISERROR(SEARCH("▼",AB2)))</formula>
    </cfRule>
    <cfRule type="containsText" priority="5185" operator="containsText" dxfId="1" text="▲">
      <formula>NOT(ISERROR(SEARCH("▲",AB2)))</formula>
    </cfRule>
    <cfRule type="containsText" priority="5186" operator="containsText" dxfId="0" text="▼">
      <formula>NOT(ISERROR(SEARCH("▼",AB2)))</formula>
    </cfRule>
    <cfRule type="containsText" priority="5187" operator="containsText" dxfId="1" text="▲">
      <formula>NOT(ISERROR(SEARCH("▲",AB2)))</formula>
    </cfRule>
    <cfRule type="containsText" priority="5188" operator="containsText" dxfId="0" text="▼">
      <formula>NOT(ISERROR(SEARCH("▼",AB2)))</formula>
    </cfRule>
    <cfRule type="containsText" priority="5189" operator="containsText" dxfId="1" text="▲">
      <formula>NOT(ISERROR(SEARCH("▲",AB2)))</formula>
    </cfRule>
    <cfRule type="containsText" priority="5190" operator="containsText" dxfId="0" text="▼">
      <formula>NOT(ISERROR(SEARCH("▼",AB2)))</formula>
    </cfRule>
    <cfRule type="containsText" priority="5191" operator="containsText" dxfId="1" text="▲">
      <formula>NOT(ISERROR(SEARCH("▲",AB2)))</formula>
    </cfRule>
    <cfRule type="containsText" priority="5192" operator="containsText" dxfId="0" text="▼">
      <formula>NOT(ISERROR(SEARCH("▼",AB2)))</formula>
    </cfRule>
    <cfRule type="containsText" priority="5193" operator="containsText" dxfId="1" text="▲">
      <formula>NOT(ISERROR(SEARCH("▲",AB2)))</formula>
    </cfRule>
    <cfRule type="containsText" priority="5194" operator="containsText" dxfId="0" text="▼">
      <formula>NOT(ISERROR(SEARCH("▼",AB2)))</formula>
    </cfRule>
    <cfRule type="containsText" priority="5195" operator="containsText" dxfId="1" text="▲">
      <formula>NOT(ISERROR(SEARCH("▲",AB2)))</formula>
    </cfRule>
    <cfRule type="containsText" priority="5196" operator="containsText" dxfId="0" text="▼">
      <formula>NOT(ISERROR(SEARCH("▼",AB2)))</formula>
    </cfRule>
    <cfRule type="containsText" priority="5197" operator="containsText" dxfId="1" text="▲">
      <formula>NOT(ISERROR(SEARCH("▲",AB2)))</formula>
    </cfRule>
    <cfRule type="containsText" priority="5198" operator="containsText" dxfId="0" text="▼">
      <formula>NOT(ISERROR(SEARCH("▼",AB2)))</formula>
    </cfRule>
    <cfRule type="containsText" priority="5199" operator="containsText" dxfId="1" text="▲">
      <formula>NOT(ISERROR(SEARCH("▲",AB2)))</formula>
    </cfRule>
    <cfRule type="containsText" priority="5200" operator="containsText" dxfId="0" text="▼">
      <formula>NOT(ISERROR(SEARCH("▼",AB2)))</formula>
    </cfRule>
    <cfRule type="containsText" priority="5201" operator="containsText" dxfId="1" text="▲">
      <formula>NOT(ISERROR(SEARCH("▲",AB2)))</formula>
    </cfRule>
    <cfRule type="containsText" priority="5202" operator="containsText" dxfId="0" text="▼">
      <formula>NOT(ISERROR(SEARCH("▼",AB2)))</formula>
    </cfRule>
    <cfRule type="containsText" priority="5203" operator="containsText" dxfId="1" text="▲">
      <formula>NOT(ISERROR(SEARCH("▲",AB2)))</formula>
    </cfRule>
    <cfRule type="containsText" priority="5204" operator="containsText" dxfId="0" text="▼">
      <formula>NOT(ISERROR(SEARCH("▼",AB2)))</formula>
    </cfRule>
    <cfRule type="containsText" priority="5205" operator="containsText" dxfId="1" text="▲">
      <formula>NOT(ISERROR(SEARCH("▲",AB2)))</formula>
    </cfRule>
    <cfRule type="containsText" priority="5206" operator="containsText" dxfId="0" text="▼">
      <formula>NOT(ISERROR(SEARCH("▼",AB2)))</formula>
    </cfRule>
    <cfRule type="containsText" priority="5207" operator="containsText" dxfId="1" text="▲">
      <formula>NOT(ISERROR(SEARCH("▲",AB2)))</formula>
    </cfRule>
    <cfRule type="containsText" priority="5208" operator="containsText" dxfId="0" text="▼">
      <formula>NOT(ISERROR(SEARCH("▼",AB2)))</formula>
    </cfRule>
    <cfRule type="containsText" priority="5209" operator="containsText" dxfId="1" text="▲">
      <formula>NOT(ISERROR(SEARCH("▲",AB2)))</formula>
    </cfRule>
    <cfRule type="containsText" priority="5210" operator="containsText" dxfId="0" text="▼">
      <formula>NOT(ISERROR(SEARCH("▼",AB2)))</formula>
    </cfRule>
    <cfRule type="containsText" priority="5211" operator="containsText" dxfId="1" text="▲">
      <formula>NOT(ISERROR(SEARCH("▲",AB2)))</formula>
    </cfRule>
    <cfRule type="containsText" priority="5212" operator="containsText" dxfId="0" text="▼">
      <formula>NOT(ISERROR(SEARCH("▼",AB2)))</formula>
    </cfRule>
    <cfRule type="containsText" priority="5213" operator="containsText" dxfId="1" text="△">
      <formula>NOT(ISERROR(SEARCH("△",AB2)))</formula>
    </cfRule>
    <cfRule type="containsText" priority="5214" operator="containsText" dxfId="0" text="▽">
      <formula>NOT(ISERROR(SEARCH("▽",AB2)))</formula>
    </cfRule>
    <cfRule type="containsText" priority="5215" operator="containsText" dxfId="1" text="▲">
      <formula>NOT(ISERROR(SEARCH("▲",AB2)))</formula>
    </cfRule>
    <cfRule type="containsText" priority="5216" operator="containsText" dxfId="0" text="▼">
      <formula>NOT(ISERROR(SEARCH("▼",AB2)))</formula>
    </cfRule>
    <cfRule type="containsText" priority="5217" operator="containsText" dxfId="1" text="▲">
      <formula>NOT(ISERROR(SEARCH("▲",AB2)))</formula>
    </cfRule>
    <cfRule type="containsText" priority="5218" operator="containsText" dxfId="0" text="▼">
      <formula>NOT(ISERROR(SEARCH("▼",AB2)))</formula>
    </cfRule>
    <cfRule type="containsText" priority="5219" operator="containsText" dxfId="1" text="▲">
      <formula>NOT(ISERROR(SEARCH("▲",AB2)))</formula>
    </cfRule>
    <cfRule type="containsText" priority="5220" operator="containsText" dxfId="0" text="▼">
      <formula>NOT(ISERROR(SEARCH("▼",AB2)))</formula>
    </cfRule>
    <cfRule type="containsText" priority="5221" operator="containsText" dxfId="1" text="▲">
      <formula>NOT(ISERROR(SEARCH("▲",AB2)))</formula>
    </cfRule>
    <cfRule type="containsText" priority="5222" operator="containsText" dxfId="0" text="▼">
      <formula>NOT(ISERROR(SEARCH("▼",AB2)))</formula>
    </cfRule>
    <cfRule type="containsText" priority="5223" operator="containsText" dxfId="1" text="▲">
      <formula>NOT(ISERROR(SEARCH("▲",AB2)))</formula>
    </cfRule>
    <cfRule type="containsText" priority="5224" operator="containsText" dxfId="0" text="▼">
      <formula>NOT(ISERROR(SEARCH("▼",AB2)))</formula>
    </cfRule>
    <cfRule type="containsText" priority="5225" operator="containsText" dxfId="1" text="▲">
      <formula>NOT(ISERROR(SEARCH("▲",AB2)))</formula>
    </cfRule>
    <cfRule type="containsText" priority="5226" operator="containsText" dxfId="0" text="▼">
      <formula>NOT(ISERROR(SEARCH("▼",AB2)))</formula>
    </cfRule>
  </conditionalFormatting>
  <conditionalFormatting sqref="AB60:AB64 AB67:AB85">
    <cfRule type="containsText" priority="4847" operator="containsText" dxfId="1" text="▲">
      <formula>NOT(ISERROR(SEARCH("▲",AB60)))</formula>
    </cfRule>
    <cfRule type="containsText" priority="4848" operator="containsText" dxfId="0" text="▼">
      <formula>NOT(ISERROR(SEARCH("▼",AB60)))</formula>
    </cfRule>
    <cfRule type="containsText" priority="4849" operator="containsText" dxfId="1" text="▲">
      <formula>NOT(ISERROR(SEARCH("▲",AB60)))</formula>
    </cfRule>
    <cfRule type="containsText" priority="4850" operator="containsText" dxfId="0" text="▼">
      <formula>NOT(ISERROR(SEARCH("▼",AB60)))</formula>
    </cfRule>
    <cfRule type="containsText" priority="4851" operator="containsText" dxfId="1" text="▲">
      <formula>NOT(ISERROR(SEARCH("▲",AB60)))</formula>
    </cfRule>
    <cfRule type="containsText" priority="4852" operator="containsText" dxfId="0" text="▼">
      <formula>NOT(ISERROR(SEARCH("▼",AB60)))</formula>
    </cfRule>
    <cfRule type="containsText" priority="4853" operator="containsText" dxfId="1" text="▲">
      <formula>NOT(ISERROR(SEARCH("▲",AB60)))</formula>
    </cfRule>
    <cfRule type="containsText" priority="4854" operator="containsText" dxfId="0" text="▼">
      <formula>NOT(ISERROR(SEARCH("▼",AB60)))</formula>
    </cfRule>
    <cfRule type="containsText" priority="4855" operator="containsText" dxfId="1" text="▲">
      <formula>NOT(ISERROR(SEARCH("▲",AB60)))</formula>
    </cfRule>
    <cfRule type="containsText" priority="4856" operator="containsText" dxfId="0" text="▼">
      <formula>NOT(ISERROR(SEARCH("▼",AB60)))</formula>
    </cfRule>
    <cfRule type="containsText" priority="4857" operator="containsText" dxfId="1" text="▲">
      <formula>NOT(ISERROR(SEARCH("▲",AB60)))</formula>
    </cfRule>
    <cfRule type="containsText" priority="4858" operator="containsText" dxfId="0" text="▼">
      <formula>NOT(ISERROR(SEARCH("▼",AB60)))</formula>
    </cfRule>
    <cfRule type="containsText" priority="4859" operator="containsText" dxfId="1" text="▲">
      <formula>NOT(ISERROR(SEARCH("▲",AB60)))</formula>
    </cfRule>
    <cfRule type="containsText" priority="4860" operator="containsText" dxfId="0" text="▼">
      <formula>NOT(ISERROR(SEARCH("▼",AB60)))</formula>
    </cfRule>
    <cfRule type="containsText" priority="4861" operator="containsText" dxfId="1" text="▲">
      <formula>NOT(ISERROR(SEARCH("▲",AB60)))</formula>
    </cfRule>
    <cfRule type="containsText" priority="4862" operator="containsText" dxfId="0" text="▼">
      <formula>NOT(ISERROR(SEARCH("▼",AB60)))</formula>
    </cfRule>
    <cfRule type="containsText" priority="4863" operator="containsText" dxfId="1" text="▲">
      <formula>NOT(ISERROR(SEARCH("▲",AB60)))</formula>
    </cfRule>
    <cfRule type="containsText" priority="4864" operator="containsText" dxfId="0" text="▼">
      <formula>NOT(ISERROR(SEARCH("▼",AB60)))</formula>
    </cfRule>
    <cfRule type="containsText" priority="4865" operator="containsText" dxfId="1" text="▲">
      <formula>NOT(ISERROR(SEARCH("▲",AB60)))</formula>
    </cfRule>
    <cfRule type="containsText" priority="4866" operator="containsText" dxfId="0" text="▼">
      <formula>NOT(ISERROR(SEARCH("▼",AB60)))</formula>
    </cfRule>
    <cfRule type="containsText" priority="4867" operator="containsText" dxfId="1" text="▲">
      <formula>NOT(ISERROR(SEARCH("▲",AB60)))</formula>
    </cfRule>
    <cfRule type="containsText" priority="4868" operator="containsText" dxfId="0" text="▼">
      <formula>NOT(ISERROR(SEARCH("▼",AB60)))</formula>
    </cfRule>
    <cfRule type="containsText" priority="4869" operator="containsText" dxfId="1" text="▲">
      <formula>NOT(ISERROR(SEARCH("▲",AB60)))</formula>
    </cfRule>
    <cfRule type="containsText" priority="4870" operator="containsText" dxfId="0" text="▼">
      <formula>NOT(ISERROR(SEARCH("▼",AB60)))</formula>
    </cfRule>
    <cfRule type="containsText" priority="4871" operator="containsText" dxfId="1" text="▲">
      <formula>NOT(ISERROR(SEARCH("▲",AB60)))</formula>
    </cfRule>
    <cfRule type="containsText" priority="4872" operator="containsText" dxfId="0" text="▼">
      <formula>NOT(ISERROR(SEARCH("▼",AB60)))</formula>
    </cfRule>
    <cfRule type="containsText" priority="4873" operator="containsText" dxfId="1" text="▲">
      <formula>NOT(ISERROR(SEARCH("▲",AB60)))</formula>
    </cfRule>
    <cfRule type="containsText" priority="4874" operator="containsText" dxfId="0" text="▼">
      <formula>NOT(ISERROR(SEARCH("▼",AB60)))</formula>
    </cfRule>
    <cfRule type="containsText" priority="4875" operator="containsText" dxfId="1" text="▲">
      <formula>NOT(ISERROR(SEARCH("▲",AB60)))</formula>
    </cfRule>
    <cfRule type="containsText" priority="4876" operator="containsText" dxfId="0" text="▼">
      <formula>NOT(ISERROR(SEARCH("▼",AB60)))</formula>
    </cfRule>
    <cfRule type="containsText" priority="4877" operator="containsText" dxfId="1" text="▲">
      <formula>NOT(ISERROR(SEARCH("▲",AB60)))</formula>
    </cfRule>
    <cfRule type="containsText" priority="4878" operator="containsText" dxfId="0" text="▼">
      <formula>NOT(ISERROR(SEARCH("▼",AB60)))</formula>
    </cfRule>
    <cfRule type="containsText" priority="4879" operator="containsText" dxfId="1" text="▲">
      <formula>NOT(ISERROR(SEARCH("▲",AB60)))</formula>
    </cfRule>
    <cfRule type="containsText" priority="4880" operator="containsText" dxfId="0" text="▼">
      <formula>NOT(ISERROR(SEARCH("▼",AB60)))</formula>
    </cfRule>
    <cfRule type="containsText" priority="4881" operator="containsText" dxfId="1" text="▲">
      <formula>NOT(ISERROR(SEARCH("▲",AB60)))</formula>
    </cfRule>
    <cfRule type="containsText" priority="4882" operator="containsText" dxfId="0" text="▼">
      <formula>NOT(ISERROR(SEARCH("▼",AB60)))</formula>
    </cfRule>
    <cfRule type="containsText" priority="4883" operator="containsText" dxfId="1" text="▲">
      <formula>NOT(ISERROR(SEARCH("▲",AB60)))</formula>
    </cfRule>
    <cfRule type="containsText" priority="4884" operator="containsText" dxfId="0" text="▼">
      <formula>NOT(ISERROR(SEARCH("▼",AB60)))</formula>
    </cfRule>
    <cfRule type="containsText" priority="4885" operator="containsText" dxfId="1" text="▲">
      <formula>NOT(ISERROR(SEARCH("▲",AB60)))</formula>
    </cfRule>
    <cfRule type="containsText" priority="4886" operator="containsText" dxfId="0" text="▼">
      <formula>NOT(ISERROR(SEARCH("▼",AB60)))</formula>
    </cfRule>
    <cfRule type="containsText" priority="4887" operator="containsText" dxfId="1" text="▲">
      <formula>NOT(ISERROR(SEARCH("▲",AB60)))</formula>
    </cfRule>
    <cfRule type="containsText" priority="4888" operator="containsText" dxfId="0" text="▼">
      <formula>NOT(ISERROR(SEARCH("▼",AB60)))</formula>
    </cfRule>
    <cfRule type="containsText" priority="4889" operator="containsText" dxfId="1" text="▲">
      <formula>NOT(ISERROR(SEARCH("▲",AB60)))</formula>
    </cfRule>
    <cfRule type="containsText" priority="4890" operator="containsText" dxfId="0" text="▼">
      <formula>NOT(ISERROR(SEARCH("▼",AB60)))</formula>
    </cfRule>
    <cfRule type="containsText" priority="4891" operator="containsText" dxfId="1" text="▲">
      <formula>NOT(ISERROR(SEARCH("▲",AB60)))</formula>
    </cfRule>
    <cfRule type="containsText" priority="4892" operator="containsText" dxfId="0" text="▼">
      <formula>NOT(ISERROR(SEARCH("▼",AB60)))</formula>
    </cfRule>
    <cfRule type="containsText" priority="4893" operator="containsText" dxfId="1" text="▲">
      <formula>NOT(ISERROR(SEARCH("▲",AB60)))</formula>
    </cfRule>
    <cfRule type="containsText" priority="4894" operator="containsText" dxfId="0" text="▼">
      <formula>NOT(ISERROR(SEARCH("▼",AB60)))</formula>
    </cfRule>
    <cfRule type="containsText" priority="4895" operator="containsText" dxfId="1" text="△">
      <formula>NOT(ISERROR(SEARCH("△",AB60)))</formula>
    </cfRule>
    <cfRule type="containsText" priority="4896" operator="containsText" dxfId="0" text="▽">
      <formula>NOT(ISERROR(SEARCH("▽",AB60)))</formula>
    </cfRule>
    <cfRule type="containsText" priority="4897" operator="containsText" dxfId="1" text="▲">
      <formula>NOT(ISERROR(SEARCH("▲",AB60)))</formula>
    </cfRule>
    <cfRule type="containsText" priority="4898" operator="containsText" dxfId="0" text="▼">
      <formula>NOT(ISERROR(SEARCH("▼",AB60)))</formula>
    </cfRule>
    <cfRule type="containsText" priority="4899" operator="containsText" dxfId="1" text="▲">
      <formula>NOT(ISERROR(SEARCH("▲",AB60)))</formula>
    </cfRule>
    <cfRule type="containsText" priority="4900" operator="containsText" dxfId="0" text="▼">
      <formula>NOT(ISERROR(SEARCH("▼",AB60)))</formula>
    </cfRule>
    <cfRule type="containsText" priority="4901" operator="containsText" dxfId="1" text="▲">
      <formula>NOT(ISERROR(SEARCH("▲",AB60)))</formula>
    </cfRule>
    <cfRule type="containsText" priority="4902" operator="containsText" dxfId="0" text="▼">
      <formula>NOT(ISERROR(SEARCH("▼",AB60)))</formula>
    </cfRule>
    <cfRule type="containsText" priority="4903" operator="containsText" dxfId="1" text="▲">
      <formula>NOT(ISERROR(SEARCH("▲",AB60)))</formula>
    </cfRule>
    <cfRule type="containsText" priority="4904" operator="containsText" dxfId="0" text="▼">
      <formula>NOT(ISERROR(SEARCH("▼",AB60)))</formula>
    </cfRule>
    <cfRule type="containsText" priority="4905" operator="containsText" dxfId="1" text="▲">
      <formula>NOT(ISERROR(SEARCH("▲",AB60)))</formula>
    </cfRule>
    <cfRule type="containsText" priority="4906" operator="containsText" dxfId="0" text="▼">
      <formula>NOT(ISERROR(SEARCH("▼",AB60)))</formula>
    </cfRule>
    <cfRule type="containsText" priority="4907" operator="containsText" dxfId="1" text="▲">
      <formula>NOT(ISERROR(SEARCH("▲",AB60)))</formula>
    </cfRule>
    <cfRule type="containsText" priority="4908" operator="containsText" dxfId="0" text="▼">
      <formula>NOT(ISERROR(SEARCH("▼",AB60)))</formula>
    </cfRule>
    <cfRule type="containsText" priority="4909" operator="containsText" dxfId="1" text="▲">
      <formula>NOT(ISERROR(SEARCH("▲",AB60)))</formula>
    </cfRule>
    <cfRule type="containsText" priority="4910" operator="containsText" dxfId="0" text="▼">
      <formula>NOT(ISERROR(SEARCH("▼",AB60)))</formula>
    </cfRule>
    <cfRule type="containsText" priority="4911" operator="containsText" dxfId="1" text="▲">
      <formula>NOT(ISERROR(SEARCH("▲",AB60)))</formula>
    </cfRule>
    <cfRule type="containsText" priority="4912" operator="containsText" dxfId="0" text="▼">
      <formula>NOT(ISERROR(SEARCH("▼",AB60)))</formula>
    </cfRule>
    <cfRule type="containsText" priority="4913" operator="containsText" dxfId="1" text="▲">
      <formula>NOT(ISERROR(SEARCH("▲",AB60)))</formula>
    </cfRule>
    <cfRule type="containsText" priority="4914" operator="containsText" dxfId="0" text="▼">
      <formula>NOT(ISERROR(SEARCH("▼",AB60)))</formula>
    </cfRule>
    <cfRule type="containsText" priority="4915" operator="containsText" dxfId="1" text="▲">
      <formula>NOT(ISERROR(SEARCH("▲",AB60)))</formula>
    </cfRule>
    <cfRule type="containsText" priority="4916" operator="containsText" dxfId="0" text="▼">
      <formula>NOT(ISERROR(SEARCH("▼",AB60)))</formula>
    </cfRule>
    <cfRule type="containsText" priority="4917" operator="containsText" dxfId="1" text="▲">
      <formula>NOT(ISERROR(SEARCH("▲",AB60)))</formula>
    </cfRule>
    <cfRule type="containsText" priority="4918" operator="containsText" dxfId="0" text="▼">
      <formula>NOT(ISERROR(SEARCH("▼",AB60)))</formula>
    </cfRule>
    <cfRule type="containsText" priority="4919" operator="containsText" dxfId="1" text="▲">
      <formula>NOT(ISERROR(SEARCH("▲",AB60)))</formula>
    </cfRule>
    <cfRule type="containsText" priority="4920" operator="containsText" dxfId="0" text="▼">
      <formula>NOT(ISERROR(SEARCH("▼",AB60)))</formula>
    </cfRule>
    <cfRule type="containsText" priority="4921" operator="containsText" dxfId="1" text="▲">
      <formula>NOT(ISERROR(SEARCH("▲",AB60)))</formula>
    </cfRule>
    <cfRule type="containsText" priority="4922" operator="containsText" dxfId="0" text="▼">
      <formula>NOT(ISERROR(SEARCH("▼",AB60)))</formula>
    </cfRule>
    <cfRule type="containsText" priority="4923" operator="containsText" dxfId="1" text="▲">
      <formula>NOT(ISERROR(SEARCH("▲",AB60)))</formula>
    </cfRule>
    <cfRule type="containsText" priority="4924" operator="containsText" dxfId="0" text="▼">
      <formula>NOT(ISERROR(SEARCH("▼",AB60)))</formula>
    </cfRule>
    <cfRule type="containsText" priority="4925" operator="containsText" dxfId="1" text="▲">
      <formula>NOT(ISERROR(SEARCH("▲",AB60)))</formula>
    </cfRule>
    <cfRule type="containsText" priority="4926" operator="containsText" dxfId="0" text="▼">
      <formula>NOT(ISERROR(SEARCH("▼",AB60)))</formula>
    </cfRule>
    <cfRule type="containsText" priority="4927" operator="containsText" dxfId="1" text="▲">
      <formula>NOT(ISERROR(SEARCH("▲",AB60)))</formula>
    </cfRule>
    <cfRule type="containsText" priority="4928" operator="containsText" dxfId="0" text="▼">
      <formula>NOT(ISERROR(SEARCH("▼",AB60)))</formula>
    </cfRule>
    <cfRule type="containsText" priority="4929" operator="containsText" dxfId="1" text="▲">
      <formula>NOT(ISERROR(SEARCH("▲",AB60)))</formula>
    </cfRule>
    <cfRule type="containsText" priority="4930" operator="containsText" dxfId="0" text="▼">
      <formula>NOT(ISERROR(SEARCH("▼",AB60)))</formula>
    </cfRule>
    <cfRule type="containsText" priority="4931" operator="containsText" dxfId="1" text="▲">
      <formula>NOT(ISERROR(SEARCH("▲",AB60)))</formula>
    </cfRule>
    <cfRule type="containsText" priority="4932" operator="containsText" dxfId="0" text="▼">
      <formula>NOT(ISERROR(SEARCH("▼",AB60)))</formula>
    </cfRule>
    <cfRule type="containsText" priority="4933" operator="containsText" dxfId="1" text="▲">
      <formula>NOT(ISERROR(SEARCH("▲",AB60)))</formula>
    </cfRule>
    <cfRule type="containsText" priority="4934" operator="containsText" dxfId="0" text="▼">
      <formula>NOT(ISERROR(SEARCH("▼",AB60)))</formula>
    </cfRule>
    <cfRule type="containsText" priority="4935" operator="containsText" dxfId="1" text="▲">
      <formula>NOT(ISERROR(SEARCH("▲",AB60)))</formula>
    </cfRule>
    <cfRule type="containsText" priority="4936" operator="containsText" dxfId="0" text="▼">
      <formula>NOT(ISERROR(SEARCH("▼",AB60)))</formula>
    </cfRule>
    <cfRule type="containsText" priority="4937" operator="containsText" dxfId="1" text="▲">
      <formula>NOT(ISERROR(SEARCH("▲",AB60)))</formula>
    </cfRule>
    <cfRule type="containsText" priority="4938" operator="containsText" dxfId="0" text="▼">
      <formula>NOT(ISERROR(SEARCH("▼",AB60)))</formula>
    </cfRule>
    <cfRule type="containsText" priority="4939" operator="containsText" dxfId="1" text="▲">
      <formula>NOT(ISERROR(SEARCH("▲",AB60)))</formula>
    </cfRule>
    <cfRule type="containsText" priority="4940" operator="containsText" dxfId="0" text="▼">
      <formula>NOT(ISERROR(SEARCH("▼",AB60)))</formula>
    </cfRule>
    <cfRule type="containsText" priority="4941" operator="containsText" dxfId="1" text="▲">
      <formula>NOT(ISERROR(SEARCH("▲",AB60)))</formula>
    </cfRule>
    <cfRule type="containsText" priority="4942" operator="containsText" dxfId="0" text="▼">
      <formula>NOT(ISERROR(SEARCH("▼",AB60)))</formula>
    </cfRule>
    <cfRule type="containsText" priority="4943" operator="containsText" dxfId="1" text="▲">
      <formula>NOT(ISERROR(SEARCH("▲",AB60)))</formula>
    </cfRule>
    <cfRule type="containsText" priority="4944" operator="containsText" dxfId="0" text="▼">
      <formula>NOT(ISERROR(SEARCH("▼",AB60)))</formula>
    </cfRule>
    <cfRule type="containsText" priority="4945" operator="containsText" dxfId="1" text="△">
      <formula>NOT(ISERROR(SEARCH("△",AB60)))</formula>
    </cfRule>
    <cfRule type="containsText" priority="4946" operator="containsText" dxfId="0" text="▽">
      <formula>NOT(ISERROR(SEARCH("▽",AB60)))</formula>
    </cfRule>
    <cfRule type="containsText" priority="4947" operator="containsText" dxfId="1" text="▲">
      <formula>NOT(ISERROR(SEARCH("▲",AB60)))</formula>
    </cfRule>
    <cfRule type="containsText" priority="4948" operator="containsText" dxfId="0" text="▼">
      <formula>NOT(ISERROR(SEARCH("▼",AB60)))</formula>
    </cfRule>
    <cfRule type="containsText" priority="4949" operator="containsText" dxfId="1" text="▲">
      <formula>NOT(ISERROR(SEARCH("▲",AB60)))</formula>
    </cfRule>
    <cfRule type="containsText" priority="4950" operator="containsText" dxfId="0" text="▼">
      <formula>NOT(ISERROR(SEARCH("▼",AB60)))</formula>
    </cfRule>
    <cfRule type="containsText" priority="4951" operator="containsText" dxfId="1" text="▲">
      <formula>NOT(ISERROR(SEARCH("▲",AB60)))</formula>
    </cfRule>
    <cfRule type="containsText" priority="4952" operator="containsText" dxfId="0" text="▼">
      <formula>NOT(ISERROR(SEARCH("▼",AB60)))</formula>
    </cfRule>
    <cfRule type="containsText" priority="4953" operator="containsText" dxfId="1" text="▲">
      <formula>NOT(ISERROR(SEARCH("▲",AB60)))</formula>
    </cfRule>
    <cfRule type="containsText" priority="4954" operator="containsText" dxfId="0" text="▼">
      <formula>NOT(ISERROR(SEARCH("▼",AB60)))</formula>
    </cfRule>
    <cfRule type="containsText" priority="4955" operator="containsText" dxfId="1" text="▲">
      <formula>NOT(ISERROR(SEARCH("▲",AB60)))</formula>
    </cfRule>
    <cfRule type="containsText" priority="4956" operator="containsText" dxfId="0" text="▼">
      <formula>NOT(ISERROR(SEARCH("▼",AB60)))</formula>
    </cfRule>
    <cfRule type="containsText" priority="4957" operator="containsText" dxfId="1" text="▲">
      <formula>NOT(ISERROR(SEARCH("▲",AB60)))</formula>
    </cfRule>
    <cfRule type="containsText" priority="4958" operator="containsText" dxfId="0" text="▼">
      <formula>NOT(ISERROR(SEARCH("▼",AB60)))</formula>
    </cfRule>
    <cfRule type="containsText" priority="4959" operator="containsText" dxfId="1" text="▲">
      <formula>NOT(ISERROR(SEARCH("▲",AB60)))</formula>
    </cfRule>
    <cfRule type="containsText" priority="4960" operator="containsText" dxfId="0" text="▼">
      <formula>NOT(ISERROR(SEARCH("▼",AB60)))</formula>
    </cfRule>
    <cfRule type="containsText" priority="4961" operator="containsText" dxfId="1" text="▲">
      <formula>NOT(ISERROR(SEARCH("▲",AB60)))</formula>
    </cfRule>
    <cfRule type="containsText" priority="4962" operator="containsText" dxfId="0" text="▼">
      <formula>NOT(ISERROR(SEARCH("▼",AB60)))</formula>
    </cfRule>
    <cfRule type="containsText" priority="4963" operator="containsText" dxfId="1" text="▲">
      <formula>NOT(ISERROR(SEARCH("▲",AB60)))</formula>
    </cfRule>
    <cfRule type="containsText" priority="4964" operator="containsText" dxfId="0" text="▼">
      <formula>NOT(ISERROR(SEARCH("▼",AB60)))</formula>
    </cfRule>
    <cfRule type="containsText" priority="4965" operator="containsText" dxfId="1" text="▲">
      <formula>NOT(ISERROR(SEARCH("▲",AB60)))</formula>
    </cfRule>
    <cfRule type="containsText" priority="4966" operator="containsText" dxfId="0" text="▼">
      <formula>NOT(ISERROR(SEARCH("▼",AB60)))</formula>
    </cfRule>
    <cfRule type="containsText" priority="4967" operator="containsText" dxfId="1" text="▲">
      <formula>NOT(ISERROR(SEARCH("▲",AB60)))</formula>
    </cfRule>
    <cfRule type="containsText" priority="4968" operator="containsText" dxfId="0" text="▼">
      <formula>NOT(ISERROR(SEARCH("▼",AB60)))</formula>
    </cfRule>
    <cfRule type="containsText" priority="4969" operator="containsText" dxfId="1" text="▲">
      <formula>NOT(ISERROR(SEARCH("▲",AB60)))</formula>
    </cfRule>
    <cfRule type="containsText" priority="4970" operator="containsText" dxfId="0" text="▼">
      <formula>NOT(ISERROR(SEARCH("▼",AB60)))</formula>
    </cfRule>
    <cfRule type="containsText" priority="4971" operator="containsText" dxfId="1" text="▲">
      <formula>NOT(ISERROR(SEARCH("▲",AB60)))</formula>
    </cfRule>
    <cfRule type="containsText" priority="4972" operator="containsText" dxfId="0" text="▼">
      <formula>NOT(ISERROR(SEARCH("▼",AB60)))</formula>
    </cfRule>
    <cfRule type="containsText" priority="4973" operator="containsText" dxfId="1" text="▲">
      <formula>NOT(ISERROR(SEARCH("▲",AB60)))</formula>
    </cfRule>
    <cfRule type="containsText" priority="4974" operator="containsText" dxfId="0" text="▼">
      <formula>NOT(ISERROR(SEARCH("▼",AB60)))</formula>
    </cfRule>
    <cfRule type="containsText" priority="4975" operator="containsText" dxfId="1" text="▲">
      <formula>NOT(ISERROR(SEARCH("▲",AB60)))</formula>
    </cfRule>
    <cfRule type="containsText" priority="4976" operator="containsText" dxfId="0" text="▼">
      <formula>NOT(ISERROR(SEARCH("▼",AB60)))</formula>
    </cfRule>
    <cfRule type="containsText" priority="4977" operator="containsText" dxfId="1" text="▲">
      <formula>NOT(ISERROR(SEARCH("▲",AB60)))</formula>
    </cfRule>
    <cfRule type="containsText" priority="4978" operator="containsText" dxfId="0" text="▼">
      <formula>NOT(ISERROR(SEARCH("▼",AB60)))</formula>
    </cfRule>
    <cfRule type="containsText" priority="4979" operator="containsText" dxfId="1" text="▲">
      <formula>NOT(ISERROR(SEARCH("▲",AB60)))</formula>
    </cfRule>
    <cfRule type="containsText" priority="4980" operator="containsText" dxfId="0" text="▼">
      <formula>NOT(ISERROR(SEARCH("▼",AB60)))</formula>
    </cfRule>
    <cfRule type="containsText" priority="4981" operator="containsText" dxfId="1" text="▲">
      <formula>NOT(ISERROR(SEARCH("▲",AB60)))</formula>
    </cfRule>
    <cfRule type="containsText" priority="4982" operator="containsText" dxfId="0" text="▼">
      <formula>NOT(ISERROR(SEARCH("▼",AB60)))</formula>
    </cfRule>
    <cfRule type="containsText" priority="4983" operator="containsText" dxfId="1" text="▲">
      <formula>NOT(ISERROR(SEARCH("▲",AB60)))</formula>
    </cfRule>
    <cfRule type="containsText" priority="4984" operator="containsText" dxfId="0" text="▼">
      <formula>NOT(ISERROR(SEARCH("▼",AB60)))</formula>
    </cfRule>
    <cfRule type="containsText" priority="4985" operator="containsText" dxfId="1" text="▲">
      <formula>NOT(ISERROR(SEARCH("▲",AB60)))</formula>
    </cfRule>
    <cfRule type="containsText" priority="4986" operator="containsText" dxfId="0" text="▼">
      <formula>NOT(ISERROR(SEARCH("▼",AB60)))</formula>
    </cfRule>
    <cfRule type="containsText" priority="4987" operator="containsText" dxfId="1" text="▲">
      <formula>NOT(ISERROR(SEARCH("▲",AB60)))</formula>
    </cfRule>
    <cfRule type="containsText" priority="4988" operator="containsText" dxfId="0" text="▼">
      <formula>NOT(ISERROR(SEARCH("▼",AB60)))</formula>
    </cfRule>
    <cfRule type="containsText" priority="4989" operator="containsText" dxfId="1" text="▲">
      <formula>NOT(ISERROR(SEARCH("▲",AB60)))</formula>
    </cfRule>
    <cfRule type="containsText" priority="4990" operator="containsText" dxfId="0" text="▼">
      <formula>NOT(ISERROR(SEARCH("▼",AB60)))</formula>
    </cfRule>
    <cfRule type="containsText" priority="4991" operator="containsText" dxfId="1" text="▲">
      <formula>NOT(ISERROR(SEARCH("▲",AB60)))</formula>
    </cfRule>
    <cfRule type="containsText" priority="4992" operator="containsText" dxfId="0" text="▼">
      <formula>NOT(ISERROR(SEARCH("▼",AB60)))</formula>
    </cfRule>
    <cfRule type="containsText" priority="4993" operator="containsText" dxfId="1" text="▲">
      <formula>NOT(ISERROR(SEARCH("▲",AB60)))</formula>
    </cfRule>
    <cfRule type="containsText" priority="4994" operator="containsText" dxfId="0" text="▼">
      <formula>NOT(ISERROR(SEARCH("▼",AB60)))</formula>
    </cfRule>
    <cfRule type="containsText" priority="4995" operator="containsText" dxfId="1" text="▲">
      <formula>NOT(ISERROR(SEARCH("▲",AB60)))</formula>
    </cfRule>
    <cfRule type="containsText" priority="4996" operator="containsText" dxfId="0" text="▼">
      <formula>NOT(ISERROR(SEARCH("▼",AB60)))</formula>
    </cfRule>
    <cfRule type="containsText" priority="4997" operator="containsText" dxfId="1" text="△">
      <formula>NOT(ISERROR(SEARCH("△",AB60)))</formula>
    </cfRule>
    <cfRule type="containsText" priority="4998" operator="containsText" dxfId="0" text="▽">
      <formula>NOT(ISERROR(SEARCH("▽",AB60)))</formula>
    </cfRule>
    <cfRule type="containsText" priority="4999" operator="containsText" dxfId="1" text="▲">
      <formula>NOT(ISERROR(SEARCH("▲",AB60)))</formula>
    </cfRule>
    <cfRule type="containsText" priority="5000" operator="containsText" dxfId="0" text="▼">
      <formula>NOT(ISERROR(SEARCH("▼",AB60)))</formula>
    </cfRule>
    <cfRule type="containsText" priority="5001" operator="containsText" dxfId="1" text="▲">
      <formula>NOT(ISERROR(SEARCH("▲",AB60)))</formula>
    </cfRule>
    <cfRule type="containsText" priority="5002" operator="containsText" dxfId="0" text="▼">
      <formula>NOT(ISERROR(SEARCH("▼",AB60)))</formula>
    </cfRule>
    <cfRule type="containsText" priority="5003" operator="containsText" dxfId="1" text="▲">
      <formula>NOT(ISERROR(SEARCH("▲",AB60)))</formula>
    </cfRule>
    <cfRule type="containsText" priority="5004" operator="containsText" dxfId="0" text="▼">
      <formula>NOT(ISERROR(SEARCH("▼",AB60)))</formula>
    </cfRule>
    <cfRule type="containsText" priority="5005" operator="containsText" dxfId="1" text="▲">
      <formula>NOT(ISERROR(SEARCH("▲",AB60)))</formula>
    </cfRule>
    <cfRule type="containsText" priority="5006" operator="containsText" dxfId="0" text="▼">
      <formula>NOT(ISERROR(SEARCH("▼",AB60)))</formula>
    </cfRule>
    <cfRule type="containsText" priority="5007" operator="containsText" dxfId="1" text="▲">
      <formula>NOT(ISERROR(SEARCH("▲",AB60)))</formula>
    </cfRule>
    <cfRule type="containsText" priority="5008" operator="containsText" dxfId="0" text="▼">
      <formula>NOT(ISERROR(SEARCH("▼",AB60)))</formula>
    </cfRule>
    <cfRule type="containsText" priority="5009" operator="containsText" dxfId="1" text="▲">
      <formula>NOT(ISERROR(SEARCH("▲",AB60)))</formula>
    </cfRule>
    <cfRule type="containsText" priority="5010" operator="containsText" dxfId="0" text="▼">
      <formula>NOT(ISERROR(SEARCH("▼",AB60)))</formula>
    </cfRule>
    <cfRule type="containsText" priority="5011" operator="containsText" dxfId="1" text="▲">
      <formula>NOT(ISERROR(SEARCH("▲",AB60)))</formula>
    </cfRule>
    <cfRule type="containsText" priority="5012" operator="containsText" dxfId="0" text="▼">
      <formula>NOT(ISERROR(SEARCH("▼",AB60)))</formula>
    </cfRule>
    <cfRule type="containsText" priority="5013" operator="containsText" dxfId="1" text="▲">
      <formula>NOT(ISERROR(SEARCH("▲",AB60)))</formula>
    </cfRule>
    <cfRule type="containsText" priority="5014" operator="containsText" dxfId="0" text="▼">
      <formula>NOT(ISERROR(SEARCH("▼",AB60)))</formula>
    </cfRule>
    <cfRule type="containsText" priority="5015" operator="containsText" dxfId="1" text="▲">
      <formula>NOT(ISERROR(SEARCH("▲",AB60)))</formula>
    </cfRule>
    <cfRule type="containsText" priority="5016" operator="containsText" dxfId="0" text="▼">
      <formula>NOT(ISERROR(SEARCH("▼",AB60)))</formula>
    </cfRule>
    <cfRule type="containsText" priority="5017" operator="containsText" dxfId="1" text="▲">
      <formula>NOT(ISERROR(SEARCH("▲",AB60)))</formula>
    </cfRule>
    <cfRule type="containsText" priority="5018" operator="containsText" dxfId="0" text="▼">
      <formula>NOT(ISERROR(SEARCH("▼",AB60)))</formula>
    </cfRule>
    <cfRule type="containsText" priority="5019" operator="containsText" dxfId="1" text="▲">
      <formula>NOT(ISERROR(SEARCH("▲",AB60)))</formula>
    </cfRule>
    <cfRule type="containsText" priority="5020" operator="containsText" dxfId="0" text="▼">
      <formula>NOT(ISERROR(SEARCH("▼",AB60)))</formula>
    </cfRule>
    <cfRule type="containsText" priority="5021" operator="containsText" dxfId="1" text="▲">
      <formula>NOT(ISERROR(SEARCH("▲",AB60)))</formula>
    </cfRule>
    <cfRule type="containsText" priority="5022" operator="containsText" dxfId="0" text="▼">
      <formula>NOT(ISERROR(SEARCH("▼",AB60)))</formula>
    </cfRule>
    <cfRule type="containsText" priority="5023" operator="containsText" dxfId="1" text="▲">
      <formula>NOT(ISERROR(SEARCH("▲",AB60)))</formula>
    </cfRule>
    <cfRule type="containsText" priority="5024" operator="containsText" dxfId="0" text="▼">
      <formula>NOT(ISERROR(SEARCH("▼",AB60)))</formula>
    </cfRule>
    <cfRule type="containsText" priority="5025" operator="containsText" dxfId="1" text="▲">
      <formula>NOT(ISERROR(SEARCH("▲",AB60)))</formula>
    </cfRule>
    <cfRule type="containsText" priority="5026" operator="containsText" dxfId="0" text="▼">
      <formula>NOT(ISERROR(SEARCH("▼",AB60)))</formula>
    </cfRule>
    <cfRule type="containsText" priority="5027" operator="containsText" dxfId="1" text="▲">
      <formula>NOT(ISERROR(SEARCH("▲",AB60)))</formula>
    </cfRule>
    <cfRule type="containsText" priority="5028" operator="containsText" dxfId="0" text="▼">
      <formula>NOT(ISERROR(SEARCH("▼",AB60)))</formula>
    </cfRule>
    <cfRule type="containsText" priority="5029" operator="containsText" dxfId="1" text="▲">
      <formula>NOT(ISERROR(SEARCH("▲",AB60)))</formula>
    </cfRule>
    <cfRule type="containsText" priority="5030" operator="containsText" dxfId="0" text="▼">
      <formula>NOT(ISERROR(SEARCH("▼",AB60)))</formula>
    </cfRule>
    <cfRule type="containsText" priority="5031" operator="containsText" dxfId="1" text="▲">
      <formula>NOT(ISERROR(SEARCH("▲",AB60)))</formula>
    </cfRule>
    <cfRule type="containsText" priority="5032" operator="containsText" dxfId="0" text="▼">
      <formula>NOT(ISERROR(SEARCH("▼",AB60)))</formula>
    </cfRule>
    <cfRule type="containsText" priority="5033" operator="containsText" dxfId="1" text="▲">
      <formula>NOT(ISERROR(SEARCH("▲",AB60)))</formula>
    </cfRule>
    <cfRule type="containsText" priority="5034" operator="containsText" dxfId="0" text="▼">
      <formula>NOT(ISERROR(SEARCH("▼",AB60)))</formula>
    </cfRule>
    <cfRule type="containsText" priority="5035" operator="containsText" dxfId="1" text="▲">
      <formula>NOT(ISERROR(SEARCH("▲",AB60)))</formula>
    </cfRule>
    <cfRule type="containsText" priority="5036" operator="containsText" dxfId="0" text="▼">
      <formula>NOT(ISERROR(SEARCH("▼",AB60)))</formula>
    </cfRule>
    <cfRule type="containsText" priority="5037" operator="containsText" dxfId="1" text="▲">
      <formula>NOT(ISERROR(SEARCH("▲",AB60)))</formula>
    </cfRule>
    <cfRule type="containsText" priority="5038" operator="containsText" dxfId="0" text="▼">
      <formula>NOT(ISERROR(SEARCH("▼",AB60)))</formula>
    </cfRule>
    <cfRule type="containsText" priority="5039" operator="containsText" dxfId="1" text="▲">
      <formula>NOT(ISERROR(SEARCH("▲",AB60)))</formula>
    </cfRule>
    <cfRule type="containsText" priority="5040" operator="containsText" dxfId="0" text="▼">
      <formula>NOT(ISERROR(SEARCH("▼",AB60)))</formula>
    </cfRule>
    <cfRule type="containsText" priority="5041" operator="containsText" dxfId="1" text="▲">
      <formula>NOT(ISERROR(SEARCH("▲",AB60)))</formula>
    </cfRule>
    <cfRule type="containsText" priority="5042" operator="containsText" dxfId="0" text="▼">
      <formula>NOT(ISERROR(SEARCH("▼",AB60)))</formula>
    </cfRule>
    <cfRule type="containsText" priority="5043" operator="containsText" dxfId="1" text="▲">
      <formula>NOT(ISERROR(SEARCH("▲",AB60)))</formula>
    </cfRule>
    <cfRule type="containsText" priority="5044" operator="containsText" dxfId="0" text="▼">
      <formula>NOT(ISERROR(SEARCH("▼",AB60)))</formula>
    </cfRule>
    <cfRule type="containsText" priority="5045" operator="containsText" dxfId="1" text="▲">
      <formula>NOT(ISERROR(SEARCH("▲",AB60)))</formula>
    </cfRule>
    <cfRule type="containsText" priority="5046" operator="containsText" dxfId="0" text="▼">
      <formula>NOT(ISERROR(SEARCH("▼",AB60)))</formula>
    </cfRule>
    <cfRule type="containsText" priority="5047" operator="containsText" dxfId="1" text="▲">
      <formula>NOT(ISERROR(SEARCH("▲",AB60)))</formula>
    </cfRule>
    <cfRule type="containsText" priority="5048" operator="containsText" dxfId="0" text="▼">
      <formula>NOT(ISERROR(SEARCH("▼",AB60)))</formula>
    </cfRule>
    <cfRule type="containsText" priority="5049" operator="containsText" dxfId="1" text="▲">
      <formula>NOT(ISERROR(SEARCH("▲",AB60)))</formula>
    </cfRule>
    <cfRule type="containsText" priority="5050" operator="containsText" dxfId="0" text="▼">
      <formula>NOT(ISERROR(SEARCH("▼",AB60)))</formula>
    </cfRule>
    <cfRule type="containsText" priority="5051" operator="containsText" dxfId="1" text="▲">
      <formula>NOT(ISERROR(SEARCH("▲",AB60)))</formula>
    </cfRule>
    <cfRule type="containsText" priority="5052" operator="containsText" dxfId="0" text="▼">
      <formula>NOT(ISERROR(SEARCH("▼",AB60)))</formula>
    </cfRule>
    <cfRule type="containsText" priority="5053" operator="containsText" dxfId="1" text="▲">
      <formula>NOT(ISERROR(SEARCH("▲",AB60)))</formula>
    </cfRule>
    <cfRule type="containsText" priority="5054" operator="containsText" dxfId="0" text="▼">
      <formula>NOT(ISERROR(SEARCH("▼",AB60)))</formula>
    </cfRule>
    <cfRule type="containsText" priority="5055" operator="containsText" dxfId="1" text="▲">
      <formula>NOT(ISERROR(SEARCH("▲",AB60)))</formula>
    </cfRule>
    <cfRule type="containsText" priority="5056" operator="containsText" dxfId="0" text="▼">
      <formula>NOT(ISERROR(SEARCH("▼",AB60)))</formula>
    </cfRule>
    <cfRule type="containsText" priority="5057" operator="containsText" dxfId="1" text="▲">
      <formula>NOT(ISERROR(SEARCH("▲",AB60)))</formula>
    </cfRule>
    <cfRule type="containsText" priority="5058" operator="containsText" dxfId="0" text="▼">
      <formula>NOT(ISERROR(SEARCH("▼",AB60)))</formula>
    </cfRule>
    <cfRule type="containsText" priority="5059" operator="containsText" dxfId="1" text="▲">
      <formula>NOT(ISERROR(SEARCH("▲",AB60)))</formula>
    </cfRule>
    <cfRule type="containsText" priority="5060" operator="containsText" dxfId="0" text="▼">
      <formula>NOT(ISERROR(SEARCH("▼",AB60)))</formula>
    </cfRule>
    <cfRule type="containsText" priority="5061" operator="containsText" dxfId="1" text="△">
      <formula>NOT(ISERROR(SEARCH("△",AB60)))</formula>
    </cfRule>
    <cfRule type="containsText" priority="5062" operator="containsText" dxfId="0" text="▽">
      <formula>NOT(ISERROR(SEARCH("▽",AB60)))</formula>
    </cfRule>
  </conditionalFormatting>
  <conditionalFormatting sqref="AB60:AB64 AB84 AB86:AB87">
    <cfRule type="containsText" priority="4417" operator="containsText" dxfId="1" text="▲">
      <formula>NOT(ISERROR(SEARCH("▲",AB60)))</formula>
    </cfRule>
    <cfRule type="containsText" priority="4418" operator="containsText" dxfId="0" text="▼">
      <formula>NOT(ISERROR(SEARCH("▼",AB60)))</formula>
    </cfRule>
    <cfRule type="containsText" priority="4419" operator="containsText" dxfId="1" text="▲">
      <formula>NOT(ISERROR(SEARCH("▲",AB60)))</formula>
    </cfRule>
    <cfRule type="containsText" priority="4420" operator="containsText" dxfId="0" text="▼">
      <formula>NOT(ISERROR(SEARCH("▼",AB60)))</formula>
    </cfRule>
    <cfRule type="containsText" priority="4421" operator="containsText" dxfId="1" text="▲">
      <formula>NOT(ISERROR(SEARCH("▲",AB60)))</formula>
    </cfRule>
    <cfRule type="containsText" priority="4422" operator="containsText" dxfId="0" text="▼">
      <formula>NOT(ISERROR(SEARCH("▼",AB60)))</formula>
    </cfRule>
    <cfRule type="containsText" priority="4423" operator="containsText" dxfId="1" text="▲">
      <formula>NOT(ISERROR(SEARCH("▲",AB60)))</formula>
    </cfRule>
    <cfRule type="containsText" priority="4424" operator="containsText" dxfId="0" text="▼">
      <formula>NOT(ISERROR(SEARCH("▼",AB60)))</formula>
    </cfRule>
    <cfRule type="containsText" priority="4425" operator="containsText" dxfId="1" text="▲">
      <formula>NOT(ISERROR(SEARCH("▲",AB60)))</formula>
    </cfRule>
    <cfRule type="containsText" priority="4426" operator="containsText" dxfId="0" text="▼">
      <formula>NOT(ISERROR(SEARCH("▼",AB60)))</formula>
    </cfRule>
    <cfRule type="containsText" priority="4427" operator="containsText" dxfId="1" text="▲">
      <formula>NOT(ISERROR(SEARCH("▲",AB60)))</formula>
    </cfRule>
    <cfRule type="containsText" priority="4428" operator="containsText" dxfId="0" text="▼">
      <formula>NOT(ISERROR(SEARCH("▼",AB60)))</formula>
    </cfRule>
    <cfRule type="containsText" priority="4429" operator="containsText" dxfId="1" text="▲">
      <formula>NOT(ISERROR(SEARCH("▲",AB60)))</formula>
    </cfRule>
    <cfRule type="containsText" priority="4430" operator="containsText" dxfId="0" text="▼">
      <formula>NOT(ISERROR(SEARCH("▼",AB60)))</formula>
    </cfRule>
    <cfRule type="containsText" priority="4431" operator="containsText" dxfId="1" text="▲">
      <formula>NOT(ISERROR(SEARCH("▲",AB60)))</formula>
    </cfRule>
    <cfRule type="containsText" priority="4432" operator="containsText" dxfId="0" text="▼">
      <formula>NOT(ISERROR(SEARCH("▼",AB60)))</formula>
    </cfRule>
    <cfRule type="containsText" priority="4433" operator="containsText" dxfId="1" text="▲">
      <formula>NOT(ISERROR(SEARCH("▲",AB60)))</formula>
    </cfRule>
    <cfRule type="containsText" priority="4434" operator="containsText" dxfId="0" text="▼">
      <formula>NOT(ISERROR(SEARCH("▼",AB60)))</formula>
    </cfRule>
    <cfRule type="containsText" priority="4435" operator="containsText" dxfId="1" text="▲">
      <formula>NOT(ISERROR(SEARCH("▲",AB60)))</formula>
    </cfRule>
    <cfRule type="containsText" priority="4436" operator="containsText" dxfId="0" text="▼">
      <formula>NOT(ISERROR(SEARCH("▼",AB60)))</formula>
    </cfRule>
    <cfRule type="containsText" priority="4437" operator="containsText" dxfId="1" text="▲">
      <formula>NOT(ISERROR(SEARCH("▲",AB60)))</formula>
    </cfRule>
    <cfRule type="containsText" priority="4438" operator="containsText" dxfId="0" text="▼">
      <formula>NOT(ISERROR(SEARCH("▼",AB60)))</formula>
    </cfRule>
    <cfRule type="containsText" priority="4439" operator="containsText" dxfId="1" text="▲">
      <formula>NOT(ISERROR(SEARCH("▲",AB60)))</formula>
    </cfRule>
    <cfRule type="containsText" priority="4440" operator="containsText" dxfId="0" text="▼">
      <formula>NOT(ISERROR(SEARCH("▼",AB60)))</formula>
    </cfRule>
    <cfRule type="containsText" priority="4441" operator="containsText" dxfId="1" text="▲">
      <formula>NOT(ISERROR(SEARCH("▲",AB60)))</formula>
    </cfRule>
    <cfRule type="containsText" priority="4442" operator="containsText" dxfId="0" text="▼">
      <formula>NOT(ISERROR(SEARCH("▼",AB60)))</formula>
    </cfRule>
    <cfRule type="containsText" priority="4443" operator="containsText" dxfId="1" text="▲">
      <formula>NOT(ISERROR(SEARCH("▲",AB60)))</formula>
    </cfRule>
    <cfRule type="containsText" priority="4444" operator="containsText" dxfId="0" text="▼">
      <formula>NOT(ISERROR(SEARCH("▼",AB60)))</formula>
    </cfRule>
    <cfRule type="containsText" priority="4445" operator="containsText" dxfId="1" text="▲">
      <formula>NOT(ISERROR(SEARCH("▲",AB60)))</formula>
    </cfRule>
    <cfRule type="containsText" priority="4446" operator="containsText" dxfId="0" text="▼">
      <formula>NOT(ISERROR(SEARCH("▼",AB60)))</formula>
    </cfRule>
    <cfRule type="containsText" priority="4447" operator="containsText" dxfId="1" text="▲">
      <formula>NOT(ISERROR(SEARCH("▲",AB60)))</formula>
    </cfRule>
    <cfRule type="containsText" priority="4448" operator="containsText" dxfId="0" text="▼">
      <formula>NOT(ISERROR(SEARCH("▼",AB60)))</formula>
    </cfRule>
    <cfRule type="containsText" priority="4449" operator="containsText" dxfId="1" text="▲">
      <formula>NOT(ISERROR(SEARCH("▲",AB60)))</formula>
    </cfRule>
    <cfRule type="containsText" priority="4450" operator="containsText" dxfId="0" text="▼">
      <formula>NOT(ISERROR(SEARCH("▼",AB60)))</formula>
    </cfRule>
    <cfRule type="containsText" priority="4451" operator="containsText" dxfId="1" text="▲">
      <formula>NOT(ISERROR(SEARCH("▲",AB60)))</formula>
    </cfRule>
    <cfRule type="containsText" priority="4452" operator="containsText" dxfId="0" text="▼">
      <formula>NOT(ISERROR(SEARCH("▼",AB60)))</formula>
    </cfRule>
    <cfRule type="containsText" priority="4453" operator="containsText" dxfId="1" text="▲">
      <formula>NOT(ISERROR(SEARCH("▲",AB60)))</formula>
    </cfRule>
    <cfRule type="containsText" priority="4454" operator="containsText" dxfId="0" text="▼">
      <formula>NOT(ISERROR(SEARCH("▼",AB60)))</formula>
    </cfRule>
    <cfRule type="containsText" priority="4455" operator="containsText" dxfId="1" text="▲">
      <formula>NOT(ISERROR(SEARCH("▲",AB60)))</formula>
    </cfRule>
    <cfRule type="containsText" priority="4456" operator="containsText" dxfId="0" text="▼">
      <formula>NOT(ISERROR(SEARCH("▼",AB60)))</formula>
    </cfRule>
    <cfRule type="containsText" priority="4457" operator="containsText" dxfId="1" text="▲">
      <formula>NOT(ISERROR(SEARCH("▲",AB60)))</formula>
    </cfRule>
    <cfRule type="containsText" priority="4458" operator="containsText" dxfId="0" text="▼">
      <formula>NOT(ISERROR(SEARCH("▼",AB60)))</formula>
    </cfRule>
    <cfRule type="containsText" priority="4459" operator="containsText" dxfId="1" text="▲">
      <formula>NOT(ISERROR(SEARCH("▲",AB60)))</formula>
    </cfRule>
    <cfRule type="containsText" priority="4460" operator="containsText" dxfId="0" text="▼">
      <formula>NOT(ISERROR(SEARCH("▼",AB60)))</formula>
    </cfRule>
    <cfRule type="containsText" priority="4461" operator="containsText" dxfId="1" text="▲">
      <formula>NOT(ISERROR(SEARCH("▲",AB60)))</formula>
    </cfRule>
    <cfRule type="containsText" priority="4462" operator="containsText" dxfId="0" text="▼">
      <formula>NOT(ISERROR(SEARCH("▼",AB60)))</formula>
    </cfRule>
    <cfRule type="containsText" priority="4463" operator="containsText" dxfId="1" text="▲">
      <formula>NOT(ISERROR(SEARCH("▲",AB60)))</formula>
    </cfRule>
    <cfRule type="containsText" priority="4464" operator="containsText" dxfId="0" text="▼">
      <formula>NOT(ISERROR(SEARCH("▼",AB60)))</formula>
    </cfRule>
    <cfRule type="containsText" priority="4465" operator="containsText" dxfId="1" text="▲">
      <formula>NOT(ISERROR(SEARCH("▲",AB60)))</formula>
    </cfRule>
    <cfRule type="containsText" priority="4466" operator="containsText" dxfId="0" text="▼">
      <formula>NOT(ISERROR(SEARCH("▼",AB60)))</formula>
    </cfRule>
    <cfRule type="containsText" priority="4467" operator="containsText" dxfId="1" text="△">
      <formula>NOT(ISERROR(SEARCH("△",AB60)))</formula>
    </cfRule>
    <cfRule type="containsText" priority="4468" operator="containsText" dxfId="0" text="▽">
      <formula>NOT(ISERROR(SEARCH("▽",AB60)))</formula>
    </cfRule>
    <cfRule type="containsText" priority="4469" operator="containsText" dxfId="1" text="▲">
      <formula>NOT(ISERROR(SEARCH("▲",AB60)))</formula>
    </cfRule>
    <cfRule type="containsText" priority="4470" operator="containsText" dxfId="0" text="▼">
      <formula>NOT(ISERROR(SEARCH("▼",AB60)))</formula>
    </cfRule>
    <cfRule type="containsText" priority="4471" operator="containsText" dxfId="1" text="▲">
      <formula>NOT(ISERROR(SEARCH("▲",AB60)))</formula>
    </cfRule>
    <cfRule type="containsText" priority="4472" operator="containsText" dxfId="0" text="▼">
      <formula>NOT(ISERROR(SEARCH("▼",AB60)))</formula>
    </cfRule>
    <cfRule type="containsText" priority="4473" operator="containsText" dxfId="1" text="▲">
      <formula>NOT(ISERROR(SEARCH("▲",AB60)))</formula>
    </cfRule>
    <cfRule type="containsText" priority="4474" operator="containsText" dxfId="0" text="▼">
      <formula>NOT(ISERROR(SEARCH("▼",AB60)))</formula>
    </cfRule>
    <cfRule type="containsText" priority="4475" operator="containsText" dxfId="1" text="▲">
      <formula>NOT(ISERROR(SEARCH("▲",AB60)))</formula>
    </cfRule>
    <cfRule type="containsText" priority="4476" operator="containsText" dxfId="0" text="▼">
      <formula>NOT(ISERROR(SEARCH("▼",AB60)))</formula>
    </cfRule>
    <cfRule type="containsText" priority="4477" operator="containsText" dxfId="1" text="▲">
      <formula>NOT(ISERROR(SEARCH("▲",AB60)))</formula>
    </cfRule>
    <cfRule type="containsText" priority="4478" operator="containsText" dxfId="0" text="▼">
      <formula>NOT(ISERROR(SEARCH("▼",AB60)))</formula>
    </cfRule>
    <cfRule type="containsText" priority="4479" operator="containsText" dxfId="1" text="▲">
      <formula>NOT(ISERROR(SEARCH("▲",AB60)))</formula>
    </cfRule>
    <cfRule type="containsText" priority="4480" operator="containsText" dxfId="0" text="▼">
      <formula>NOT(ISERROR(SEARCH("▼",AB60)))</formula>
    </cfRule>
    <cfRule type="containsText" priority="4481" operator="containsText" dxfId="1" text="▲">
      <formula>NOT(ISERROR(SEARCH("▲",AB60)))</formula>
    </cfRule>
    <cfRule type="containsText" priority="4482" operator="containsText" dxfId="0" text="▼">
      <formula>NOT(ISERROR(SEARCH("▼",AB60)))</formula>
    </cfRule>
    <cfRule type="containsText" priority="4483" operator="containsText" dxfId="1" text="▲">
      <formula>NOT(ISERROR(SEARCH("▲",AB60)))</formula>
    </cfRule>
    <cfRule type="containsText" priority="4484" operator="containsText" dxfId="0" text="▼">
      <formula>NOT(ISERROR(SEARCH("▼",AB60)))</formula>
    </cfRule>
    <cfRule type="containsText" priority="4485" operator="containsText" dxfId="1" text="▲">
      <formula>NOT(ISERROR(SEARCH("▲",AB60)))</formula>
    </cfRule>
    <cfRule type="containsText" priority="4486" operator="containsText" dxfId="0" text="▼">
      <formula>NOT(ISERROR(SEARCH("▼",AB60)))</formula>
    </cfRule>
    <cfRule type="containsText" priority="4487" operator="containsText" dxfId="1" text="▲">
      <formula>NOT(ISERROR(SEARCH("▲",AB60)))</formula>
    </cfRule>
    <cfRule type="containsText" priority="4488" operator="containsText" dxfId="0" text="▼">
      <formula>NOT(ISERROR(SEARCH("▼",AB60)))</formula>
    </cfRule>
    <cfRule type="containsText" priority="4489" operator="containsText" dxfId="1" text="▲">
      <formula>NOT(ISERROR(SEARCH("▲",AB60)))</formula>
    </cfRule>
    <cfRule type="containsText" priority="4490" operator="containsText" dxfId="0" text="▼">
      <formula>NOT(ISERROR(SEARCH("▼",AB60)))</formula>
    </cfRule>
    <cfRule type="containsText" priority="4491" operator="containsText" dxfId="1" text="▲">
      <formula>NOT(ISERROR(SEARCH("▲",AB60)))</formula>
    </cfRule>
    <cfRule type="containsText" priority="4492" operator="containsText" dxfId="0" text="▼">
      <formula>NOT(ISERROR(SEARCH("▼",AB60)))</formula>
    </cfRule>
    <cfRule type="containsText" priority="4493" operator="containsText" dxfId="1" text="▲">
      <formula>NOT(ISERROR(SEARCH("▲",AB60)))</formula>
    </cfRule>
    <cfRule type="containsText" priority="4494" operator="containsText" dxfId="0" text="▼">
      <formula>NOT(ISERROR(SEARCH("▼",AB60)))</formula>
    </cfRule>
    <cfRule type="containsText" priority="4495" operator="containsText" dxfId="1" text="▲">
      <formula>NOT(ISERROR(SEARCH("▲",AB60)))</formula>
    </cfRule>
    <cfRule type="containsText" priority="4496" operator="containsText" dxfId="0" text="▼">
      <formula>NOT(ISERROR(SEARCH("▼",AB60)))</formula>
    </cfRule>
    <cfRule type="containsText" priority="4497" operator="containsText" dxfId="1" text="▲">
      <formula>NOT(ISERROR(SEARCH("▲",AB60)))</formula>
    </cfRule>
    <cfRule type="containsText" priority="4498" operator="containsText" dxfId="0" text="▼">
      <formula>NOT(ISERROR(SEARCH("▼",AB60)))</formula>
    </cfRule>
    <cfRule type="containsText" priority="4499" operator="containsText" dxfId="1" text="▲">
      <formula>NOT(ISERROR(SEARCH("▲",AB60)))</formula>
    </cfRule>
    <cfRule type="containsText" priority="4500" operator="containsText" dxfId="0" text="▼">
      <formula>NOT(ISERROR(SEARCH("▼",AB60)))</formula>
    </cfRule>
    <cfRule type="containsText" priority="4501" operator="containsText" dxfId="1" text="▲">
      <formula>NOT(ISERROR(SEARCH("▲",AB60)))</formula>
    </cfRule>
    <cfRule type="containsText" priority="4502" operator="containsText" dxfId="0" text="▼">
      <formula>NOT(ISERROR(SEARCH("▼",AB60)))</formula>
    </cfRule>
    <cfRule type="containsText" priority="4503" operator="containsText" dxfId="1" text="▲">
      <formula>NOT(ISERROR(SEARCH("▲",AB60)))</formula>
    </cfRule>
    <cfRule type="containsText" priority="4504" operator="containsText" dxfId="0" text="▼">
      <formula>NOT(ISERROR(SEARCH("▼",AB60)))</formula>
    </cfRule>
    <cfRule type="containsText" priority="4505" operator="containsText" dxfId="1" text="▲">
      <formula>NOT(ISERROR(SEARCH("▲",AB60)))</formula>
    </cfRule>
    <cfRule type="containsText" priority="4506" operator="containsText" dxfId="0" text="▼">
      <formula>NOT(ISERROR(SEARCH("▼",AB60)))</formula>
    </cfRule>
    <cfRule type="containsText" priority="4507" operator="containsText" dxfId="1" text="▲">
      <formula>NOT(ISERROR(SEARCH("▲",AB60)))</formula>
    </cfRule>
    <cfRule type="containsText" priority="4508" operator="containsText" dxfId="0" text="▼">
      <formula>NOT(ISERROR(SEARCH("▼",AB60)))</formula>
    </cfRule>
    <cfRule type="containsText" priority="4509" operator="containsText" dxfId="1" text="▲">
      <formula>NOT(ISERROR(SEARCH("▲",AB60)))</formula>
    </cfRule>
    <cfRule type="containsText" priority="4510" operator="containsText" dxfId="0" text="▼">
      <formula>NOT(ISERROR(SEARCH("▼",AB60)))</formula>
    </cfRule>
    <cfRule type="containsText" priority="4511" operator="containsText" dxfId="1" text="▲">
      <formula>NOT(ISERROR(SEARCH("▲",AB60)))</formula>
    </cfRule>
    <cfRule type="containsText" priority="4512" operator="containsText" dxfId="0" text="▼">
      <formula>NOT(ISERROR(SEARCH("▼",AB60)))</formula>
    </cfRule>
    <cfRule type="containsText" priority="4513" operator="containsText" dxfId="1" text="▲">
      <formula>NOT(ISERROR(SEARCH("▲",AB60)))</formula>
    </cfRule>
    <cfRule type="containsText" priority="4514" operator="containsText" dxfId="0" text="▼">
      <formula>NOT(ISERROR(SEARCH("▼",AB60)))</formula>
    </cfRule>
    <cfRule type="containsText" priority="4515" operator="containsText" dxfId="1" text="△">
      <formula>NOT(ISERROR(SEARCH("△",AB60)))</formula>
    </cfRule>
    <cfRule type="containsText" priority="4516" operator="containsText" dxfId="0" text="▽">
      <formula>NOT(ISERROR(SEARCH("▽",AB60)))</formula>
    </cfRule>
    <cfRule type="containsText" priority="4517" operator="containsText" dxfId="1" text="▲">
      <formula>NOT(ISERROR(SEARCH("▲",AB60)))</formula>
    </cfRule>
    <cfRule type="containsText" priority="4518" operator="containsText" dxfId="0" text="▼">
      <formula>NOT(ISERROR(SEARCH("▼",AB60)))</formula>
    </cfRule>
    <cfRule type="containsText" priority="4519" operator="containsText" dxfId="1" text="▲">
      <formula>NOT(ISERROR(SEARCH("▲",AB60)))</formula>
    </cfRule>
    <cfRule type="containsText" priority="4520" operator="containsText" dxfId="0" text="▼">
      <formula>NOT(ISERROR(SEARCH("▼",AB60)))</formula>
    </cfRule>
    <cfRule type="containsText" priority="4521" operator="containsText" dxfId="1" text="▲">
      <formula>NOT(ISERROR(SEARCH("▲",AB60)))</formula>
    </cfRule>
    <cfRule type="containsText" priority="4522" operator="containsText" dxfId="0" text="▼">
      <formula>NOT(ISERROR(SEARCH("▼",AB60)))</formula>
    </cfRule>
    <cfRule type="containsText" priority="4523" operator="containsText" dxfId="1" text="▲">
      <formula>NOT(ISERROR(SEARCH("▲",AB60)))</formula>
    </cfRule>
    <cfRule type="containsText" priority="4524" operator="containsText" dxfId="0" text="▼">
      <formula>NOT(ISERROR(SEARCH("▼",AB60)))</formula>
    </cfRule>
    <cfRule type="containsText" priority="4525" operator="containsText" dxfId="1" text="▲">
      <formula>NOT(ISERROR(SEARCH("▲",AB60)))</formula>
    </cfRule>
    <cfRule type="containsText" priority="4526" operator="containsText" dxfId="0" text="▼">
      <formula>NOT(ISERROR(SEARCH("▼",AB60)))</formula>
    </cfRule>
    <cfRule type="containsText" priority="4527" operator="containsText" dxfId="1" text="▲">
      <formula>NOT(ISERROR(SEARCH("▲",AB60)))</formula>
    </cfRule>
    <cfRule type="containsText" priority="4528" operator="containsText" dxfId="0" text="▼">
      <formula>NOT(ISERROR(SEARCH("▼",AB60)))</formula>
    </cfRule>
    <cfRule type="containsText" priority="4529" operator="containsText" dxfId="1" text="▲">
      <formula>NOT(ISERROR(SEARCH("▲",AB60)))</formula>
    </cfRule>
    <cfRule type="containsText" priority="4530" operator="containsText" dxfId="0" text="▼">
      <formula>NOT(ISERROR(SEARCH("▼",AB60)))</formula>
    </cfRule>
    <cfRule type="containsText" priority="4531" operator="containsText" dxfId="1" text="▲">
      <formula>NOT(ISERROR(SEARCH("▲",AB60)))</formula>
    </cfRule>
    <cfRule type="containsText" priority="4532" operator="containsText" dxfId="0" text="▼">
      <formula>NOT(ISERROR(SEARCH("▼",AB60)))</formula>
    </cfRule>
    <cfRule type="containsText" priority="4533" operator="containsText" dxfId="1" text="▲">
      <formula>NOT(ISERROR(SEARCH("▲",AB60)))</formula>
    </cfRule>
    <cfRule type="containsText" priority="4534" operator="containsText" dxfId="0" text="▼">
      <formula>NOT(ISERROR(SEARCH("▼",AB60)))</formula>
    </cfRule>
    <cfRule type="containsText" priority="4535" operator="containsText" dxfId="1" text="▲">
      <formula>NOT(ISERROR(SEARCH("▲",AB60)))</formula>
    </cfRule>
    <cfRule type="containsText" priority="4536" operator="containsText" dxfId="0" text="▼">
      <formula>NOT(ISERROR(SEARCH("▼",AB60)))</formula>
    </cfRule>
    <cfRule type="containsText" priority="4537" operator="containsText" dxfId="1" text="▲">
      <formula>NOT(ISERROR(SEARCH("▲",AB60)))</formula>
    </cfRule>
    <cfRule type="containsText" priority="4538" operator="containsText" dxfId="0" text="▼">
      <formula>NOT(ISERROR(SEARCH("▼",AB60)))</formula>
    </cfRule>
    <cfRule type="containsText" priority="4539" operator="containsText" dxfId="1" text="▲">
      <formula>NOT(ISERROR(SEARCH("▲",AB60)))</formula>
    </cfRule>
    <cfRule type="containsText" priority="4540" operator="containsText" dxfId="0" text="▼">
      <formula>NOT(ISERROR(SEARCH("▼",AB60)))</formula>
    </cfRule>
    <cfRule type="containsText" priority="4541" operator="containsText" dxfId="1" text="▲">
      <formula>NOT(ISERROR(SEARCH("▲",AB60)))</formula>
    </cfRule>
    <cfRule type="containsText" priority="4542" operator="containsText" dxfId="0" text="▼">
      <formula>NOT(ISERROR(SEARCH("▼",AB60)))</formula>
    </cfRule>
    <cfRule type="containsText" priority="4543" operator="containsText" dxfId="1" text="▲">
      <formula>NOT(ISERROR(SEARCH("▲",AB60)))</formula>
    </cfRule>
    <cfRule type="containsText" priority="4544" operator="containsText" dxfId="0" text="▼">
      <formula>NOT(ISERROR(SEARCH("▼",AB60)))</formula>
    </cfRule>
    <cfRule type="containsText" priority="4545" operator="containsText" dxfId="1" text="▲">
      <formula>NOT(ISERROR(SEARCH("▲",AB60)))</formula>
    </cfRule>
    <cfRule type="containsText" priority="4546" operator="containsText" dxfId="0" text="▼">
      <formula>NOT(ISERROR(SEARCH("▼",AB60)))</formula>
    </cfRule>
    <cfRule type="containsText" priority="4547" operator="containsText" dxfId="1" text="▲">
      <formula>NOT(ISERROR(SEARCH("▲",AB60)))</formula>
    </cfRule>
    <cfRule type="containsText" priority="4548" operator="containsText" dxfId="0" text="▼">
      <formula>NOT(ISERROR(SEARCH("▼",AB60)))</formula>
    </cfRule>
    <cfRule type="containsText" priority="4549" operator="containsText" dxfId="1" text="▲">
      <formula>NOT(ISERROR(SEARCH("▲",AB60)))</formula>
    </cfRule>
    <cfRule type="containsText" priority="4550" operator="containsText" dxfId="0" text="▼">
      <formula>NOT(ISERROR(SEARCH("▼",AB60)))</formula>
    </cfRule>
    <cfRule type="containsText" priority="4551" operator="containsText" dxfId="1" text="▲">
      <formula>NOT(ISERROR(SEARCH("▲",AB60)))</formula>
    </cfRule>
    <cfRule type="containsText" priority="4552" operator="containsText" dxfId="0" text="▼">
      <formula>NOT(ISERROR(SEARCH("▼",AB60)))</formula>
    </cfRule>
    <cfRule type="containsText" priority="4553" operator="containsText" dxfId="1" text="▲">
      <formula>NOT(ISERROR(SEARCH("▲",AB60)))</formula>
    </cfRule>
    <cfRule type="containsText" priority="4554" operator="containsText" dxfId="0" text="▼">
      <formula>NOT(ISERROR(SEARCH("▼",AB60)))</formula>
    </cfRule>
    <cfRule type="containsText" priority="4555" operator="containsText" dxfId="1" text="▲">
      <formula>NOT(ISERROR(SEARCH("▲",AB60)))</formula>
    </cfRule>
    <cfRule type="containsText" priority="4556" operator="containsText" dxfId="0" text="▼">
      <formula>NOT(ISERROR(SEARCH("▼",AB60)))</formula>
    </cfRule>
    <cfRule type="containsText" priority="4557" operator="containsText" dxfId="1" text="▲">
      <formula>NOT(ISERROR(SEARCH("▲",AB60)))</formula>
    </cfRule>
    <cfRule type="containsText" priority="4558" operator="containsText" dxfId="0" text="▼">
      <formula>NOT(ISERROR(SEARCH("▼",AB60)))</formula>
    </cfRule>
    <cfRule type="containsText" priority="4559" operator="containsText" dxfId="1" text="▲">
      <formula>NOT(ISERROR(SEARCH("▲",AB60)))</formula>
    </cfRule>
    <cfRule type="containsText" priority="4560" operator="containsText" dxfId="0" text="▼">
      <formula>NOT(ISERROR(SEARCH("▼",AB60)))</formula>
    </cfRule>
    <cfRule type="containsText" priority="4561" operator="containsText" dxfId="1" text="▲">
      <formula>NOT(ISERROR(SEARCH("▲",AB60)))</formula>
    </cfRule>
    <cfRule type="containsText" priority="4562" operator="containsText" dxfId="0" text="▼">
      <formula>NOT(ISERROR(SEARCH("▼",AB60)))</formula>
    </cfRule>
    <cfRule type="containsText" priority="4563" operator="containsText" dxfId="1" text="▲">
      <formula>NOT(ISERROR(SEARCH("▲",AB60)))</formula>
    </cfRule>
    <cfRule type="containsText" priority="4564" operator="containsText" dxfId="0" text="▼">
      <formula>NOT(ISERROR(SEARCH("▼",AB60)))</formula>
    </cfRule>
    <cfRule type="containsText" priority="4565" operator="containsText" dxfId="1" text="△">
      <formula>NOT(ISERROR(SEARCH("△",AB60)))</formula>
    </cfRule>
    <cfRule type="containsText" priority="4566" operator="containsText" dxfId="0" text="▽">
      <formula>NOT(ISERROR(SEARCH("▽",AB60)))</formula>
    </cfRule>
    <cfRule type="containsText" priority="4567" operator="containsText" dxfId="1" text="▲">
      <formula>NOT(ISERROR(SEARCH("▲",AB60)))</formula>
    </cfRule>
    <cfRule type="containsText" priority="4568" operator="containsText" dxfId="0" text="▼">
      <formula>NOT(ISERROR(SEARCH("▼",AB60)))</formula>
    </cfRule>
    <cfRule type="containsText" priority="4569" operator="containsText" dxfId="1" text="▲">
      <formula>NOT(ISERROR(SEARCH("▲",AB60)))</formula>
    </cfRule>
    <cfRule type="containsText" priority="4570" operator="containsText" dxfId="0" text="▼">
      <formula>NOT(ISERROR(SEARCH("▼",AB60)))</formula>
    </cfRule>
    <cfRule type="containsText" priority="4571" operator="containsText" dxfId="1" text="▲">
      <formula>NOT(ISERROR(SEARCH("▲",AB60)))</formula>
    </cfRule>
    <cfRule type="containsText" priority="4572" operator="containsText" dxfId="0" text="▼">
      <formula>NOT(ISERROR(SEARCH("▼",AB60)))</formula>
    </cfRule>
    <cfRule type="containsText" priority="4573" operator="containsText" dxfId="1" text="▲">
      <formula>NOT(ISERROR(SEARCH("▲",AB60)))</formula>
    </cfRule>
    <cfRule type="containsText" priority="4574" operator="containsText" dxfId="0" text="▼">
      <formula>NOT(ISERROR(SEARCH("▼",AB60)))</formula>
    </cfRule>
    <cfRule type="containsText" priority="4575" operator="containsText" dxfId="1" text="▲">
      <formula>NOT(ISERROR(SEARCH("▲",AB60)))</formula>
    </cfRule>
    <cfRule type="containsText" priority="4576" operator="containsText" dxfId="0" text="▼">
      <formula>NOT(ISERROR(SEARCH("▼",AB60)))</formula>
    </cfRule>
    <cfRule type="containsText" priority="4577" operator="containsText" dxfId="1" text="▲">
      <formula>NOT(ISERROR(SEARCH("▲",AB60)))</formula>
    </cfRule>
    <cfRule type="containsText" priority="4578" operator="containsText" dxfId="0" text="▼">
      <formula>NOT(ISERROR(SEARCH("▼",AB60)))</formula>
    </cfRule>
    <cfRule type="containsText" priority="4579" operator="containsText" dxfId="1" text="▲">
      <formula>NOT(ISERROR(SEARCH("▲",AB60)))</formula>
    </cfRule>
    <cfRule type="containsText" priority="4580" operator="containsText" dxfId="0" text="▼">
      <formula>NOT(ISERROR(SEARCH("▼",AB60)))</formula>
    </cfRule>
    <cfRule type="containsText" priority="4581" operator="containsText" dxfId="1" text="▲">
      <formula>NOT(ISERROR(SEARCH("▲",AB60)))</formula>
    </cfRule>
    <cfRule type="containsText" priority="4582" operator="containsText" dxfId="0" text="▼">
      <formula>NOT(ISERROR(SEARCH("▼",AB60)))</formula>
    </cfRule>
    <cfRule type="containsText" priority="4583" operator="containsText" dxfId="1" text="▲">
      <formula>NOT(ISERROR(SEARCH("▲",AB60)))</formula>
    </cfRule>
    <cfRule type="containsText" priority="4584" operator="containsText" dxfId="0" text="▼">
      <formula>NOT(ISERROR(SEARCH("▼",AB60)))</formula>
    </cfRule>
    <cfRule type="containsText" priority="4585" operator="containsText" dxfId="1" text="▲">
      <formula>NOT(ISERROR(SEARCH("▲",AB60)))</formula>
    </cfRule>
    <cfRule type="containsText" priority="4586" operator="containsText" dxfId="0" text="▼">
      <formula>NOT(ISERROR(SEARCH("▼",AB60)))</formula>
    </cfRule>
    <cfRule type="containsText" priority="4587" operator="containsText" dxfId="1" text="▲">
      <formula>NOT(ISERROR(SEARCH("▲",AB60)))</formula>
    </cfRule>
    <cfRule type="containsText" priority="4588" operator="containsText" dxfId="0" text="▼">
      <formula>NOT(ISERROR(SEARCH("▼",AB60)))</formula>
    </cfRule>
    <cfRule type="containsText" priority="4589" operator="containsText" dxfId="1" text="▲">
      <formula>NOT(ISERROR(SEARCH("▲",AB60)))</formula>
    </cfRule>
    <cfRule type="containsText" priority="4590" operator="containsText" dxfId="0" text="▼">
      <formula>NOT(ISERROR(SEARCH("▼",AB60)))</formula>
    </cfRule>
    <cfRule type="containsText" priority="4591" operator="containsText" dxfId="1" text="▲">
      <formula>NOT(ISERROR(SEARCH("▲",AB60)))</formula>
    </cfRule>
    <cfRule type="containsText" priority="4592" operator="containsText" dxfId="0" text="▼">
      <formula>NOT(ISERROR(SEARCH("▼",AB60)))</formula>
    </cfRule>
    <cfRule type="containsText" priority="4593" operator="containsText" dxfId="1" text="▲">
      <formula>NOT(ISERROR(SEARCH("▲",AB60)))</formula>
    </cfRule>
    <cfRule type="containsText" priority="4594" operator="containsText" dxfId="0" text="▼">
      <formula>NOT(ISERROR(SEARCH("▼",AB60)))</formula>
    </cfRule>
    <cfRule type="containsText" priority="4595" operator="containsText" dxfId="1" text="▲">
      <formula>NOT(ISERROR(SEARCH("▲",AB60)))</formula>
    </cfRule>
    <cfRule type="containsText" priority="4596" operator="containsText" dxfId="0" text="▼">
      <formula>NOT(ISERROR(SEARCH("▼",AB60)))</formula>
    </cfRule>
    <cfRule type="containsText" priority="4597" operator="containsText" dxfId="1" text="▲">
      <formula>NOT(ISERROR(SEARCH("▲",AB60)))</formula>
    </cfRule>
    <cfRule type="containsText" priority="4598" operator="containsText" dxfId="0" text="▼">
      <formula>NOT(ISERROR(SEARCH("▼",AB60)))</formula>
    </cfRule>
    <cfRule type="containsText" priority="4599" operator="containsText" dxfId="1" text="▲">
      <formula>NOT(ISERROR(SEARCH("▲",AB60)))</formula>
    </cfRule>
    <cfRule type="containsText" priority="4600" operator="containsText" dxfId="0" text="▼">
      <formula>NOT(ISERROR(SEARCH("▼",AB60)))</formula>
    </cfRule>
    <cfRule type="containsText" priority="4601" operator="containsText" dxfId="1" text="▲">
      <formula>NOT(ISERROR(SEARCH("▲",AB60)))</formula>
    </cfRule>
    <cfRule type="containsText" priority="4602" operator="containsText" dxfId="0" text="▼">
      <formula>NOT(ISERROR(SEARCH("▼",AB60)))</formula>
    </cfRule>
    <cfRule type="containsText" priority="4603" operator="containsText" dxfId="1" text="▲">
      <formula>NOT(ISERROR(SEARCH("▲",AB60)))</formula>
    </cfRule>
    <cfRule type="containsText" priority="4604" operator="containsText" dxfId="0" text="▼">
      <formula>NOT(ISERROR(SEARCH("▼",AB60)))</formula>
    </cfRule>
    <cfRule type="containsText" priority="4605" operator="containsText" dxfId="1" text="▲">
      <formula>NOT(ISERROR(SEARCH("▲",AB60)))</formula>
    </cfRule>
    <cfRule type="containsText" priority="4606" operator="containsText" dxfId="0" text="▼">
      <formula>NOT(ISERROR(SEARCH("▼",AB60)))</formula>
    </cfRule>
    <cfRule type="containsText" priority="4607" operator="containsText" dxfId="1" text="▲">
      <formula>NOT(ISERROR(SEARCH("▲",AB60)))</formula>
    </cfRule>
    <cfRule type="containsText" priority="4608" operator="containsText" dxfId="0" text="▼">
      <formula>NOT(ISERROR(SEARCH("▼",AB60)))</formula>
    </cfRule>
    <cfRule type="containsText" priority="4609" operator="containsText" dxfId="1" text="▲">
      <formula>NOT(ISERROR(SEARCH("▲",AB60)))</formula>
    </cfRule>
    <cfRule type="containsText" priority="4610" operator="containsText" dxfId="0" text="▼">
      <formula>NOT(ISERROR(SEARCH("▼",AB60)))</formula>
    </cfRule>
    <cfRule type="containsText" priority="4611" operator="containsText" dxfId="1" text="▲">
      <formula>NOT(ISERROR(SEARCH("▲",AB60)))</formula>
    </cfRule>
    <cfRule type="containsText" priority="4612" operator="containsText" dxfId="0" text="▼">
      <formula>NOT(ISERROR(SEARCH("▼",AB60)))</formula>
    </cfRule>
    <cfRule type="containsText" priority="4613" operator="containsText" dxfId="1" text="▲">
      <formula>NOT(ISERROR(SEARCH("▲",AB60)))</formula>
    </cfRule>
    <cfRule type="containsText" priority="4614" operator="containsText" dxfId="0" text="▼">
      <formula>NOT(ISERROR(SEARCH("▼",AB60)))</formula>
    </cfRule>
    <cfRule type="containsText" priority="4615" operator="containsText" dxfId="1" text="▲">
      <formula>NOT(ISERROR(SEARCH("▲",AB60)))</formula>
    </cfRule>
    <cfRule type="containsText" priority="4616" operator="containsText" dxfId="0" text="▼">
      <formula>NOT(ISERROR(SEARCH("▼",AB60)))</formula>
    </cfRule>
    <cfRule type="containsText" priority="4617" operator="containsText" dxfId="1" text="▲">
      <formula>NOT(ISERROR(SEARCH("▲",AB60)))</formula>
    </cfRule>
    <cfRule type="containsText" priority="4618" operator="containsText" dxfId="0" text="▼">
      <formula>NOT(ISERROR(SEARCH("▼",AB60)))</formula>
    </cfRule>
    <cfRule type="containsText" priority="4619" operator="containsText" dxfId="1" text="▲">
      <formula>NOT(ISERROR(SEARCH("▲",AB60)))</formula>
    </cfRule>
    <cfRule type="containsText" priority="4620" operator="containsText" dxfId="0" text="▼">
      <formula>NOT(ISERROR(SEARCH("▼",AB60)))</formula>
    </cfRule>
    <cfRule type="containsText" priority="4621" operator="containsText" dxfId="1" text="▲">
      <formula>NOT(ISERROR(SEARCH("▲",AB60)))</formula>
    </cfRule>
    <cfRule type="containsText" priority="4622" operator="containsText" dxfId="0" text="▼">
      <formula>NOT(ISERROR(SEARCH("▼",AB60)))</formula>
    </cfRule>
    <cfRule type="containsText" priority="4623" operator="containsText" dxfId="1" text="▲">
      <formula>NOT(ISERROR(SEARCH("▲",AB60)))</formula>
    </cfRule>
    <cfRule type="containsText" priority="4624" operator="containsText" dxfId="0" text="▼">
      <formula>NOT(ISERROR(SEARCH("▼",AB60)))</formula>
    </cfRule>
    <cfRule type="containsText" priority="4625" operator="containsText" dxfId="1" text="▲">
      <formula>NOT(ISERROR(SEARCH("▲",AB60)))</formula>
    </cfRule>
    <cfRule type="containsText" priority="4626" operator="containsText" dxfId="0" text="▼">
      <formula>NOT(ISERROR(SEARCH("▼",AB60)))</formula>
    </cfRule>
    <cfRule type="containsText" priority="4629" operator="containsText" dxfId="1" text="△">
      <formula>NOT(ISERROR(SEARCH("△",AB60)))</formula>
    </cfRule>
    <cfRule type="containsText" priority="4630" operator="containsText" dxfId="0" text="▽">
      <formula>NOT(ISERROR(SEARCH("▽",AB60)))</formula>
    </cfRule>
  </conditionalFormatting>
  <conditionalFormatting sqref="AB96">
    <cfRule type="containsText" priority="4631" operator="containsText" dxfId="1" text="▲">
      <formula>NOT(ISERROR(SEARCH("▲",AB96)))</formula>
    </cfRule>
    <cfRule type="containsText" priority="4632" operator="containsText" dxfId="0" text="▼">
      <formula>NOT(ISERROR(SEARCH("▼",AB96)))</formula>
    </cfRule>
    <cfRule type="containsText" priority="4633" operator="containsText" dxfId="1" text="▲">
      <formula>NOT(ISERROR(SEARCH("▲",AB96)))</formula>
    </cfRule>
    <cfRule type="containsText" priority="4634" operator="containsText" dxfId="0" text="▼">
      <formula>NOT(ISERROR(SEARCH("▼",AB96)))</formula>
    </cfRule>
    <cfRule type="containsText" priority="4635" operator="containsText" dxfId="1" text="▲">
      <formula>NOT(ISERROR(SEARCH("▲",AB96)))</formula>
    </cfRule>
    <cfRule type="containsText" priority="4636" operator="containsText" dxfId="0" text="▼">
      <formula>NOT(ISERROR(SEARCH("▼",AB96)))</formula>
    </cfRule>
    <cfRule type="containsText" priority="4637" operator="containsText" dxfId="1" text="▲">
      <formula>NOT(ISERROR(SEARCH("▲",AB96)))</formula>
    </cfRule>
    <cfRule type="containsText" priority="4638" operator="containsText" dxfId="0" text="▼">
      <formula>NOT(ISERROR(SEARCH("▼",AB96)))</formula>
    </cfRule>
    <cfRule type="containsText" priority="4639" operator="containsText" dxfId="1" text="▲">
      <formula>NOT(ISERROR(SEARCH("▲",AB96)))</formula>
    </cfRule>
    <cfRule type="containsText" priority="4640" operator="containsText" dxfId="0" text="▼">
      <formula>NOT(ISERROR(SEARCH("▼",AB96)))</formula>
    </cfRule>
    <cfRule type="containsText" priority="4641" operator="containsText" dxfId="1" text="▲">
      <formula>NOT(ISERROR(SEARCH("▲",AB96)))</formula>
    </cfRule>
    <cfRule type="containsText" priority="4642" operator="containsText" dxfId="0" text="▼">
      <formula>NOT(ISERROR(SEARCH("▼",AB96)))</formula>
    </cfRule>
    <cfRule type="containsText" priority="4643" operator="containsText" dxfId="1" text="▲">
      <formula>NOT(ISERROR(SEARCH("▲",AB96)))</formula>
    </cfRule>
    <cfRule type="containsText" priority="4644" operator="containsText" dxfId="0" text="▼">
      <formula>NOT(ISERROR(SEARCH("▼",AB96)))</formula>
    </cfRule>
    <cfRule type="containsText" priority="4645" operator="containsText" dxfId="1" text="▲">
      <formula>NOT(ISERROR(SEARCH("▲",AB96)))</formula>
    </cfRule>
    <cfRule type="containsText" priority="4646" operator="containsText" dxfId="0" text="▼">
      <formula>NOT(ISERROR(SEARCH("▼",AB96)))</formula>
    </cfRule>
    <cfRule type="containsText" priority="4647" operator="containsText" dxfId="1" text="▲">
      <formula>NOT(ISERROR(SEARCH("▲",AB96)))</formula>
    </cfRule>
    <cfRule type="containsText" priority="4648" operator="containsText" dxfId="0" text="▼">
      <formula>NOT(ISERROR(SEARCH("▼",AB96)))</formula>
    </cfRule>
    <cfRule type="containsText" priority="4649" operator="containsText" dxfId="1" text="▲">
      <formula>NOT(ISERROR(SEARCH("▲",AB96)))</formula>
    </cfRule>
    <cfRule type="containsText" priority="4650" operator="containsText" dxfId="0" text="▼">
      <formula>NOT(ISERROR(SEARCH("▼",AB96)))</formula>
    </cfRule>
    <cfRule type="containsText" priority="4651" operator="containsText" dxfId="1" text="▲">
      <formula>NOT(ISERROR(SEARCH("▲",AB96)))</formula>
    </cfRule>
    <cfRule type="containsText" priority="4652" operator="containsText" dxfId="0" text="▼">
      <formula>NOT(ISERROR(SEARCH("▼",AB96)))</formula>
    </cfRule>
    <cfRule type="containsText" priority="4653" operator="containsText" dxfId="1" text="▲">
      <formula>NOT(ISERROR(SEARCH("▲",AB96)))</formula>
    </cfRule>
    <cfRule type="containsText" priority="4654" operator="containsText" dxfId="0" text="▼">
      <formula>NOT(ISERROR(SEARCH("▼",AB96)))</formula>
    </cfRule>
    <cfRule type="containsText" priority="4655" operator="containsText" dxfId="1" text="▲">
      <formula>NOT(ISERROR(SEARCH("▲",AB96)))</formula>
    </cfRule>
    <cfRule type="containsText" priority="4656" operator="containsText" dxfId="0" text="▼">
      <formula>NOT(ISERROR(SEARCH("▼",AB96)))</formula>
    </cfRule>
    <cfRule type="containsText" priority="4657" operator="containsText" dxfId="1" text="▲">
      <formula>NOT(ISERROR(SEARCH("▲",AB96)))</formula>
    </cfRule>
    <cfRule type="containsText" priority="4658" operator="containsText" dxfId="0" text="▼">
      <formula>NOT(ISERROR(SEARCH("▼",AB96)))</formula>
    </cfRule>
    <cfRule type="containsText" priority="4659" operator="containsText" dxfId="1" text="▲">
      <formula>NOT(ISERROR(SEARCH("▲",AB96)))</formula>
    </cfRule>
    <cfRule type="containsText" priority="4660" operator="containsText" dxfId="0" text="▼">
      <formula>NOT(ISERROR(SEARCH("▼",AB96)))</formula>
    </cfRule>
    <cfRule type="containsText" priority="4661" operator="containsText" dxfId="1" text="▲">
      <formula>NOT(ISERROR(SEARCH("▲",AB96)))</formula>
    </cfRule>
    <cfRule type="containsText" priority="4662" operator="containsText" dxfId="0" text="▼">
      <formula>NOT(ISERROR(SEARCH("▼",AB96)))</formula>
    </cfRule>
    <cfRule type="containsText" priority="4663" operator="containsText" dxfId="1" text="▲">
      <formula>NOT(ISERROR(SEARCH("▲",AB96)))</formula>
    </cfRule>
    <cfRule type="containsText" priority="4664" operator="containsText" dxfId="0" text="▼">
      <formula>NOT(ISERROR(SEARCH("▼",AB96)))</formula>
    </cfRule>
    <cfRule type="containsText" priority="4665" operator="containsText" dxfId="1" text="▲">
      <formula>NOT(ISERROR(SEARCH("▲",AB96)))</formula>
    </cfRule>
    <cfRule type="containsText" priority="4666" operator="containsText" dxfId="0" text="▼">
      <formula>NOT(ISERROR(SEARCH("▼",AB96)))</formula>
    </cfRule>
    <cfRule type="containsText" priority="4667" operator="containsText" dxfId="1" text="▲">
      <formula>NOT(ISERROR(SEARCH("▲",AB96)))</formula>
    </cfRule>
    <cfRule type="containsText" priority="4668" operator="containsText" dxfId="0" text="▼">
      <formula>NOT(ISERROR(SEARCH("▼",AB96)))</formula>
    </cfRule>
    <cfRule type="containsText" priority="4669" operator="containsText" dxfId="1" text="▲">
      <formula>NOT(ISERROR(SEARCH("▲",AB96)))</formula>
    </cfRule>
    <cfRule type="containsText" priority="4670" operator="containsText" dxfId="0" text="▼">
      <formula>NOT(ISERROR(SEARCH("▼",AB96)))</formula>
    </cfRule>
    <cfRule type="containsText" priority="4671" operator="containsText" dxfId="1" text="▲">
      <formula>NOT(ISERROR(SEARCH("▲",AB96)))</formula>
    </cfRule>
    <cfRule type="containsText" priority="4672" operator="containsText" dxfId="0" text="▼">
      <formula>NOT(ISERROR(SEARCH("▼",AB96)))</formula>
    </cfRule>
    <cfRule type="containsText" priority="4673" operator="containsText" dxfId="1" text="▲">
      <formula>NOT(ISERROR(SEARCH("▲",AB96)))</formula>
    </cfRule>
    <cfRule type="containsText" priority="4674" operator="containsText" dxfId="0" text="▼">
      <formula>NOT(ISERROR(SEARCH("▼",AB96)))</formula>
    </cfRule>
    <cfRule type="containsText" priority="4675" operator="containsText" dxfId="1" text="▲">
      <formula>NOT(ISERROR(SEARCH("▲",AB96)))</formula>
    </cfRule>
    <cfRule type="containsText" priority="4676" operator="containsText" dxfId="0" text="▼">
      <formula>NOT(ISERROR(SEARCH("▼",AB96)))</formula>
    </cfRule>
    <cfRule type="containsText" priority="4677" operator="containsText" dxfId="1" text="▲">
      <formula>NOT(ISERROR(SEARCH("▲",AB96)))</formula>
    </cfRule>
    <cfRule type="containsText" priority="4678" operator="containsText" dxfId="0" text="▼">
      <formula>NOT(ISERROR(SEARCH("▼",AB96)))</formula>
    </cfRule>
    <cfRule type="containsText" priority="4679" operator="containsText" dxfId="1" text="△">
      <formula>NOT(ISERROR(SEARCH("△",AB96)))</formula>
    </cfRule>
    <cfRule type="containsText" priority="4680" operator="containsText" dxfId="0" text="▽">
      <formula>NOT(ISERROR(SEARCH("▽",AB96)))</formula>
    </cfRule>
    <cfRule type="containsText" priority="4681" operator="containsText" dxfId="1" text="▲">
      <formula>NOT(ISERROR(SEARCH("▲",AB96)))</formula>
    </cfRule>
    <cfRule type="containsText" priority="4682" operator="containsText" dxfId="0" text="▼">
      <formula>NOT(ISERROR(SEARCH("▼",AB96)))</formula>
    </cfRule>
    <cfRule type="containsText" priority="4683" operator="containsText" dxfId="1" text="▲">
      <formula>NOT(ISERROR(SEARCH("▲",AB96)))</formula>
    </cfRule>
    <cfRule type="containsText" priority="4684" operator="containsText" dxfId="0" text="▼">
      <formula>NOT(ISERROR(SEARCH("▼",AB96)))</formula>
    </cfRule>
    <cfRule type="containsText" priority="4685" operator="containsText" dxfId="1" text="▲">
      <formula>NOT(ISERROR(SEARCH("▲",AB96)))</formula>
    </cfRule>
    <cfRule type="containsText" priority="4686" operator="containsText" dxfId="0" text="▼">
      <formula>NOT(ISERROR(SEARCH("▼",AB96)))</formula>
    </cfRule>
    <cfRule type="containsText" priority="4687" operator="containsText" dxfId="1" text="▲">
      <formula>NOT(ISERROR(SEARCH("▲",AB96)))</formula>
    </cfRule>
    <cfRule type="containsText" priority="4688" operator="containsText" dxfId="0" text="▼">
      <formula>NOT(ISERROR(SEARCH("▼",AB96)))</formula>
    </cfRule>
    <cfRule type="containsText" priority="4689" operator="containsText" dxfId="1" text="▲">
      <formula>NOT(ISERROR(SEARCH("▲",AB96)))</formula>
    </cfRule>
    <cfRule type="containsText" priority="4690" operator="containsText" dxfId="0" text="▼">
      <formula>NOT(ISERROR(SEARCH("▼",AB96)))</formula>
    </cfRule>
    <cfRule type="containsText" priority="4691" operator="containsText" dxfId="1" text="▲">
      <formula>NOT(ISERROR(SEARCH("▲",AB96)))</formula>
    </cfRule>
    <cfRule type="containsText" priority="4692" operator="containsText" dxfId="0" text="▼">
      <formula>NOT(ISERROR(SEARCH("▼",AB96)))</formula>
    </cfRule>
    <cfRule type="containsText" priority="4693" operator="containsText" dxfId="1" text="▲">
      <formula>NOT(ISERROR(SEARCH("▲",AB96)))</formula>
    </cfRule>
    <cfRule type="containsText" priority="4694" operator="containsText" dxfId="0" text="▼">
      <formula>NOT(ISERROR(SEARCH("▼",AB96)))</formula>
    </cfRule>
    <cfRule type="containsText" priority="4695" operator="containsText" dxfId="1" text="▲">
      <formula>NOT(ISERROR(SEARCH("▲",AB96)))</formula>
    </cfRule>
    <cfRule type="containsText" priority="4696" operator="containsText" dxfId="0" text="▼">
      <formula>NOT(ISERROR(SEARCH("▼",AB96)))</formula>
    </cfRule>
    <cfRule type="containsText" priority="4697" operator="containsText" dxfId="1" text="▲">
      <formula>NOT(ISERROR(SEARCH("▲",AB96)))</formula>
    </cfRule>
    <cfRule type="containsText" priority="4698" operator="containsText" dxfId="0" text="▼">
      <formula>NOT(ISERROR(SEARCH("▼",AB96)))</formula>
    </cfRule>
    <cfRule type="containsText" priority="4699" operator="containsText" dxfId="1" text="▲">
      <formula>NOT(ISERROR(SEARCH("▲",AB96)))</formula>
    </cfRule>
    <cfRule type="containsText" priority="4700" operator="containsText" dxfId="0" text="▼">
      <formula>NOT(ISERROR(SEARCH("▼",AB96)))</formula>
    </cfRule>
    <cfRule type="containsText" priority="4701" operator="containsText" dxfId="1" text="▲">
      <formula>NOT(ISERROR(SEARCH("▲",AB96)))</formula>
    </cfRule>
    <cfRule type="containsText" priority="4702" operator="containsText" dxfId="0" text="▼">
      <formula>NOT(ISERROR(SEARCH("▼",AB96)))</formula>
    </cfRule>
    <cfRule type="containsText" priority="4703" operator="containsText" dxfId="1" text="▲">
      <formula>NOT(ISERROR(SEARCH("▲",AB96)))</formula>
    </cfRule>
    <cfRule type="containsText" priority="4704" operator="containsText" dxfId="0" text="▼">
      <formula>NOT(ISERROR(SEARCH("▼",AB96)))</formula>
    </cfRule>
    <cfRule type="containsText" priority="4705" operator="containsText" dxfId="1" text="▲">
      <formula>NOT(ISERROR(SEARCH("▲",AB96)))</formula>
    </cfRule>
    <cfRule type="containsText" priority="4706" operator="containsText" dxfId="0" text="▼">
      <formula>NOT(ISERROR(SEARCH("▼",AB96)))</formula>
    </cfRule>
    <cfRule type="containsText" priority="4707" operator="containsText" dxfId="1" text="▲">
      <formula>NOT(ISERROR(SEARCH("▲",AB96)))</formula>
    </cfRule>
    <cfRule type="containsText" priority="4708" operator="containsText" dxfId="0" text="▼">
      <formula>NOT(ISERROR(SEARCH("▼",AB96)))</formula>
    </cfRule>
    <cfRule type="containsText" priority="4709" operator="containsText" dxfId="1" text="▲">
      <formula>NOT(ISERROR(SEARCH("▲",AB96)))</formula>
    </cfRule>
    <cfRule type="containsText" priority="4710" operator="containsText" dxfId="0" text="▼">
      <formula>NOT(ISERROR(SEARCH("▼",AB96)))</formula>
    </cfRule>
    <cfRule type="containsText" priority="4711" operator="containsText" dxfId="1" text="▲">
      <formula>NOT(ISERROR(SEARCH("▲",AB96)))</formula>
    </cfRule>
    <cfRule type="containsText" priority="4712" operator="containsText" dxfId="0" text="▼">
      <formula>NOT(ISERROR(SEARCH("▼",AB96)))</formula>
    </cfRule>
    <cfRule type="containsText" priority="4713" operator="containsText" dxfId="1" text="▲">
      <formula>NOT(ISERROR(SEARCH("▲",AB96)))</formula>
    </cfRule>
    <cfRule type="containsText" priority="4714" operator="containsText" dxfId="0" text="▼">
      <formula>NOT(ISERROR(SEARCH("▼",AB96)))</formula>
    </cfRule>
    <cfRule type="containsText" priority="4715" operator="containsText" dxfId="1" text="▲">
      <formula>NOT(ISERROR(SEARCH("▲",AB96)))</formula>
    </cfRule>
    <cfRule type="containsText" priority="4716" operator="containsText" dxfId="0" text="▼">
      <formula>NOT(ISERROR(SEARCH("▼",AB96)))</formula>
    </cfRule>
    <cfRule type="containsText" priority="4717" operator="containsText" dxfId="1" text="▲">
      <formula>NOT(ISERROR(SEARCH("▲",AB96)))</formula>
    </cfRule>
    <cfRule type="containsText" priority="4718" operator="containsText" dxfId="0" text="▼">
      <formula>NOT(ISERROR(SEARCH("▼",AB96)))</formula>
    </cfRule>
    <cfRule type="containsText" priority="4719" operator="containsText" dxfId="1" text="▲">
      <formula>NOT(ISERROR(SEARCH("▲",AB96)))</formula>
    </cfRule>
    <cfRule type="containsText" priority="4720" operator="containsText" dxfId="0" text="▼">
      <formula>NOT(ISERROR(SEARCH("▼",AB96)))</formula>
    </cfRule>
    <cfRule type="containsText" priority="4721" operator="containsText" dxfId="1" text="▲">
      <formula>NOT(ISERROR(SEARCH("▲",AB96)))</formula>
    </cfRule>
    <cfRule type="containsText" priority="4722" operator="containsText" dxfId="0" text="▼">
      <formula>NOT(ISERROR(SEARCH("▼",AB96)))</formula>
    </cfRule>
    <cfRule type="containsText" priority="4723" operator="containsText" dxfId="1" text="▲">
      <formula>NOT(ISERROR(SEARCH("▲",AB96)))</formula>
    </cfRule>
    <cfRule type="containsText" priority="4724" operator="containsText" dxfId="0" text="▼">
      <formula>NOT(ISERROR(SEARCH("▼",AB96)))</formula>
    </cfRule>
    <cfRule type="containsText" priority="4725" operator="containsText" dxfId="1" text="▲">
      <formula>NOT(ISERROR(SEARCH("▲",AB96)))</formula>
    </cfRule>
    <cfRule type="containsText" priority="4726" operator="containsText" dxfId="0" text="▼">
      <formula>NOT(ISERROR(SEARCH("▼",AB96)))</formula>
    </cfRule>
    <cfRule type="containsText" priority="4727" operator="containsText" dxfId="1" text="▲">
      <formula>NOT(ISERROR(SEARCH("▲",AB96)))</formula>
    </cfRule>
    <cfRule type="containsText" priority="4728" operator="containsText" dxfId="0" text="▼">
      <formula>NOT(ISERROR(SEARCH("▼",AB96)))</formula>
    </cfRule>
    <cfRule type="containsText" priority="4729" operator="containsText" dxfId="1" text="△">
      <formula>NOT(ISERROR(SEARCH("△",AB96)))</formula>
    </cfRule>
    <cfRule type="containsText" priority="4730" operator="containsText" dxfId="0" text="▽">
      <formula>NOT(ISERROR(SEARCH("▽",AB96)))</formula>
    </cfRule>
    <cfRule type="containsText" priority="4731" operator="containsText" dxfId="1" text="▲">
      <formula>NOT(ISERROR(SEARCH("▲",AB96)))</formula>
    </cfRule>
    <cfRule type="containsText" priority="4732" operator="containsText" dxfId="0" text="▼">
      <formula>NOT(ISERROR(SEARCH("▼",AB96)))</formula>
    </cfRule>
    <cfRule type="containsText" priority="4733" operator="containsText" dxfId="1" text="▲">
      <formula>NOT(ISERROR(SEARCH("▲",AB96)))</formula>
    </cfRule>
    <cfRule type="containsText" priority="4734" operator="containsText" dxfId="0" text="▼">
      <formula>NOT(ISERROR(SEARCH("▼",AB96)))</formula>
    </cfRule>
    <cfRule type="containsText" priority="4735" operator="containsText" dxfId="1" text="▲">
      <formula>NOT(ISERROR(SEARCH("▲",AB96)))</formula>
    </cfRule>
    <cfRule type="containsText" priority="4736" operator="containsText" dxfId="0" text="▼">
      <formula>NOT(ISERROR(SEARCH("▼",AB96)))</formula>
    </cfRule>
    <cfRule type="containsText" priority="4737" operator="containsText" dxfId="1" text="▲">
      <formula>NOT(ISERROR(SEARCH("▲",AB96)))</formula>
    </cfRule>
    <cfRule type="containsText" priority="4738" operator="containsText" dxfId="0" text="▼">
      <formula>NOT(ISERROR(SEARCH("▼",AB96)))</formula>
    </cfRule>
    <cfRule type="containsText" priority="4739" operator="containsText" dxfId="1" text="▲">
      <formula>NOT(ISERROR(SEARCH("▲",AB96)))</formula>
    </cfRule>
    <cfRule type="containsText" priority="4740" operator="containsText" dxfId="0" text="▼">
      <formula>NOT(ISERROR(SEARCH("▼",AB96)))</formula>
    </cfRule>
    <cfRule type="containsText" priority="4741" operator="containsText" dxfId="1" text="▲">
      <formula>NOT(ISERROR(SEARCH("▲",AB96)))</formula>
    </cfRule>
    <cfRule type="containsText" priority="4742" operator="containsText" dxfId="0" text="▼">
      <formula>NOT(ISERROR(SEARCH("▼",AB96)))</formula>
    </cfRule>
    <cfRule type="containsText" priority="4743" operator="containsText" dxfId="1" text="▲">
      <formula>NOT(ISERROR(SEARCH("▲",AB96)))</formula>
    </cfRule>
    <cfRule type="containsText" priority="4744" operator="containsText" dxfId="0" text="▼">
      <formula>NOT(ISERROR(SEARCH("▼",AB96)))</formula>
    </cfRule>
    <cfRule type="containsText" priority="4745" operator="containsText" dxfId="1" text="▲">
      <formula>NOT(ISERROR(SEARCH("▲",AB96)))</formula>
    </cfRule>
    <cfRule type="containsText" priority="4746" operator="containsText" dxfId="0" text="▼">
      <formula>NOT(ISERROR(SEARCH("▼",AB96)))</formula>
    </cfRule>
    <cfRule type="containsText" priority="4747" operator="containsText" dxfId="1" text="▲">
      <formula>NOT(ISERROR(SEARCH("▲",AB96)))</formula>
    </cfRule>
    <cfRule type="containsText" priority="4748" operator="containsText" dxfId="0" text="▼">
      <formula>NOT(ISERROR(SEARCH("▼",AB96)))</formula>
    </cfRule>
    <cfRule type="containsText" priority="4749" operator="containsText" dxfId="1" text="▲">
      <formula>NOT(ISERROR(SEARCH("▲",AB96)))</formula>
    </cfRule>
    <cfRule type="containsText" priority="4750" operator="containsText" dxfId="0" text="▼">
      <formula>NOT(ISERROR(SEARCH("▼",AB96)))</formula>
    </cfRule>
    <cfRule type="containsText" priority="4751" operator="containsText" dxfId="1" text="▲">
      <formula>NOT(ISERROR(SEARCH("▲",AB96)))</formula>
    </cfRule>
    <cfRule type="containsText" priority="4752" operator="containsText" dxfId="0" text="▼">
      <formula>NOT(ISERROR(SEARCH("▼",AB96)))</formula>
    </cfRule>
    <cfRule type="containsText" priority="4753" operator="containsText" dxfId="1" text="▲">
      <formula>NOT(ISERROR(SEARCH("▲",AB96)))</formula>
    </cfRule>
    <cfRule type="containsText" priority="4754" operator="containsText" dxfId="0" text="▼">
      <formula>NOT(ISERROR(SEARCH("▼",AB96)))</formula>
    </cfRule>
    <cfRule type="containsText" priority="4755" operator="containsText" dxfId="1" text="▲">
      <formula>NOT(ISERROR(SEARCH("▲",AB96)))</formula>
    </cfRule>
    <cfRule type="containsText" priority="4756" operator="containsText" dxfId="0" text="▼">
      <formula>NOT(ISERROR(SEARCH("▼",AB96)))</formula>
    </cfRule>
    <cfRule type="containsText" priority="4757" operator="containsText" dxfId="1" text="▲">
      <formula>NOT(ISERROR(SEARCH("▲",AB96)))</formula>
    </cfRule>
    <cfRule type="containsText" priority="4758" operator="containsText" dxfId="0" text="▼">
      <formula>NOT(ISERROR(SEARCH("▼",AB96)))</formula>
    </cfRule>
    <cfRule type="containsText" priority="4759" operator="containsText" dxfId="1" text="▲">
      <formula>NOT(ISERROR(SEARCH("▲",AB96)))</formula>
    </cfRule>
    <cfRule type="containsText" priority="4760" operator="containsText" dxfId="0" text="▼">
      <formula>NOT(ISERROR(SEARCH("▼",AB96)))</formula>
    </cfRule>
    <cfRule type="containsText" priority="4761" operator="containsText" dxfId="1" text="▲">
      <formula>NOT(ISERROR(SEARCH("▲",AB96)))</formula>
    </cfRule>
    <cfRule type="containsText" priority="4762" operator="containsText" dxfId="0" text="▼">
      <formula>NOT(ISERROR(SEARCH("▼",AB96)))</formula>
    </cfRule>
    <cfRule type="containsText" priority="4763" operator="containsText" dxfId="1" text="▲">
      <formula>NOT(ISERROR(SEARCH("▲",AB96)))</formula>
    </cfRule>
    <cfRule type="containsText" priority="4764" operator="containsText" dxfId="0" text="▼">
      <formula>NOT(ISERROR(SEARCH("▼",AB96)))</formula>
    </cfRule>
    <cfRule type="containsText" priority="4765" operator="containsText" dxfId="1" text="▲">
      <formula>NOT(ISERROR(SEARCH("▲",AB96)))</formula>
    </cfRule>
    <cfRule type="containsText" priority="4766" operator="containsText" dxfId="0" text="▼">
      <formula>NOT(ISERROR(SEARCH("▼",AB96)))</formula>
    </cfRule>
    <cfRule type="containsText" priority="4767" operator="containsText" dxfId="1" text="▲">
      <formula>NOT(ISERROR(SEARCH("▲",AB96)))</formula>
    </cfRule>
    <cfRule type="containsText" priority="4768" operator="containsText" dxfId="0" text="▼">
      <formula>NOT(ISERROR(SEARCH("▼",AB96)))</formula>
    </cfRule>
    <cfRule type="containsText" priority="4769" operator="containsText" dxfId="1" text="▲">
      <formula>NOT(ISERROR(SEARCH("▲",AB96)))</formula>
    </cfRule>
    <cfRule type="containsText" priority="4770" operator="containsText" dxfId="0" text="▼">
      <formula>NOT(ISERROR(SEARCH("▼",AB96)))</formula>
    </cfRule>
    <cfRule type="containsText" priority="4771" operator="containsText" dxfId="1" text="▲">
      <formula>NOT(ISERROR(SEARCH("▲",AB96)))</formula>
    </cfRule>
    <cfRule type="containsText" priority="4772" operator="containsText" dxfId="0" text="▼">
      <formula>NOT(ISERROR(SEARCH("▼",AB96)))</formula>
    </cfRule>
    <cfRule type="containsText" priority="4773" operator="containsText" dxfId="1" text="▲">
      <formula>NOT(ISERROR(SEARCH("▲",AB96)))</formula>
    </cfRule>
    <cfRule type="containsText" priority="4774" operator="containsText" dxfId="0" text="▼">
      <formula>NOT(ISERROR(SEARCH("▼",AB96)))</formula>
    </cfRule>
    <cfRule type="containsText" priority="4775" operator="containsText" dxfId="1" text="▲">
      <formula>NOT(ISERROR(SEARCH("▲",AB96)))</formula>
    </cfRule>
    <cfRule type="containsText" priority="4776" operator="containsText" dxfId="0" text="▼">
      <formula>NOT(ISERROR(SEARCH("▼",AB96)))</formula>
    </cfRule>
    <cfRule type="containsText" priority="4777" operator="containsText" dxfId="1" text="▲">
      <formula>NOT(ISERROR(SEARCH("▲",AB96)))</formula>
    </cfRule>
    <cfRule type="containsText" priority="4778" operator="containsText" dxfId="0" text="▼">
      <formula>NOT(ISERROR(SEARCH("▼",AB96)))</formula>
    </cfRule>
    <cfRule type="containsText" priority="4779" operator="containsText" dxfId="1" text="▲">
      <formula>NOT(ISERROR(SEARCH("▲",AB96)))</formula>
    </cfRule>
    <cfRule type="containsText" priority="4780" operator="containsText" dxfId="0" text="▼">
      <formula>NOT(ISERROR(SEARCH("▼",AB96)))</formula>
    </cfRule>
    <cfRule type="containsText" priority="4781" operator="containsText" dxfId="1" text="△">
      <formula>NOT(ISERROR(SEARCH("△",AB96)))</formula>
    </cfRule>
    <cfRule type="containsText" priority="4782" operator="containsText" dxfId="0" text="▽">
      <formula>NOT(ISERROR(SEARCH("▽",AB96)))</formula>
    </cfRule>
    <cfRule type="containsText" priority="4783" operator="containsText" dxfId="1" text="▲">
      <formula>NOT(ISERROR(SEARCH("▲",AB96)))</formula>
    </cfRule>
    <cfRule type="containsText" priority="4784" operator="containsText" dxfId="0" text="▼">
      <formula>NOT(ISERROR(SEARCH("▼",AB96)))</formula>
    </cfRule>
    <cfRule type="containsText" priority="4785" operator="containsText" dxfId="1" text="▲">
      <formula>NOT(ISERROR(SEARCH("▲",AB96)))</formula>
    </cfRule>
    <cfRule type="containsText" priority="4786" operator="containsText" dxfId="0" text="▼">
      <formula>NOT(ISERROR(SEARCH("▼",AB96)))</formula>
    </cfRule>
    <cfRule type="containsText" priority="4787" operator="containsText" dxfId="1" text="▲">
      <formula>NOT(ISERROR(SEARCH("▲",AB96)))</formula>
    </cfRule>
    <cfRule type="containsText" priority="4788" operator="containsText" dxfId="0" text="▼">
      <formula>NOT(ISERROR(SEARCH("▼",AB96)))</formula>
    </cfRule>
    <cfRule type="containsText" priority="4789" operator="containsText" dxfId="1" text="▲">
      <formula>NOT(ISERROR(SEARCH("▲",AB96)))</formula>
    </cfRule>
    <cfRule type="containsText" priority="4790" operator="containsText" dxfId="0" text="▼">
      <formula>NOT(ISERROR(SEARCH("▼",AB96)))</formula>
    </cfRule>
    <cfRule type="containsText" priority="4791" operator="containsText" dxfId="1" text="▲">
      <formula>NOT(ISERROR(SEARCH("▲",AB96)))</formula>
    </cfRule>
    <cfRule type="containsText" priority="4792" operator="containsText" dxfId="0" text="▼">
      <formula>NOT(ISERROR(SEARCH("▼",AB96)))</formula>
    </cfRule>
    <cfRule type="containsText" priority="4793" operator="containsText" dxfId="1" text="▲">
      <formula>NOT(ISERROR(SEARCH("▲",AB96)))</formula>
    </cfRule>
    <cfRule type="containsText" priority="4794" operator="containsText" dxfId="0" text="▼">
      <formula>NOT(ISERROR(SEARCH("▼",AB96)))</formula>
    </cfRule>
    <cfRule type="containsText" priority="4795" operator="containsText" dxfId="1" text="▲">
      <formula>NOT(ISERROR(SEARCH("▲",AB96)))</formula>
    </cfRule>
    <cfRule type="containsText" priority="4796" operator="containsText" dxfId="0" text="▼">
      <formula>NOT(ISERROR(SEARCH("▼",AB96)))</formula>
    </cfRule>
    <cfRule type="containsText" priority="4797" operator="containsText" dxfId="1" text="▲">
      <formula>NOT(ISERROR(SEARCH("▲",AB96)))</formula>
    </cfRule>
    <cfRule type="containsText" priority="4798" operator="containsText" dxfId="0" text="▼">
      <formula>NOT(ISERROR(SEARCH("▼",AB96)))</formula>
    </cfRule>
    <cfRule type="containsText" priority="4799" operator="containsText" dxfId="1" text="▲">
      <formula>NOT(ISERROR(SEARCH("▲",AB96)))</formula>
    </cfRule>
    <cfRule type="containsText" priority="4800" operator="containsText" dxfId="0" text="▼">
      <formula>NOT(ISERROR(SEARCH("▼",AB96)))</formula>
    </cfRule>
    <cfRule type="containsText" priority="4801" operator="containsText" dxfId="1" text="▲">
      <formula>NOT(ISERROR(SEARCH("▲",AB96)))</formula>
    </cfRule>
    <cfRule type="containsText" priority="4802" operator="containsText" dxfId="0" text="▼">
      <formula>NOT(ISERROR(SEARCH("▼",AB96)))</formula>
    </cfRule>
    <cfRule type="containsText" priority="4803" operator="containsText" dxfId="1" text="▲">
      <formula>NOT(ISERROR(SEARCH("▲",AB96)))</formula>
    </cfRule>
    <cfRule type="containsText" priority="4804" operator="containsText" dxfId="0" text="▼">
      <formula>NOT(ISERROR(SEARCH("▼",AB96)))</formula>
    </cfRule>
    <cfRule type="containsText" priority="4805" operator="containsText" dxfId="1" text="▲">
      <formula>NOT(ISERROR(SEARCH("▲",AB96)))</formula>
    </cfRule>
    <cfRule type="containsText" priority="4806" operator="containsText" dxfId="0" text="▼">
      <formula>NOT(ISERROR(SEARCH("▼",AB96)))</formula>
    </cfRule>
    <cfRule type="containsText" priority="4807" operator="containsText" dxfId="1" text="▲">
      <formula>NOT(ISERROR(SEARCH("▲",AB96)))</formula>
    </cfRule>
    <cfRule type="containsText" priority="4808" operator="containsText" dxfId="0" text="▼">
      <formula>NOT(ISERROR(SEARCH("▼",AB96)))</formula>
    </cfRule>
    <cfRule type="containsText" priority="4809" operator="containsText" dxfId="1" text="▲">
      <formula>NOT(ISERROR(SEARCH("▲",AB96)))</formula>
    </cfRule>
    <cfRule type="containsText" priority="4810" operator="containsText" dxfId="0" text="▼">
      <formula>NOT(ISERROR(SEARCH("▼",AB96)))</formula>
    </cfRule>
    <cfRule type="containsText" priority="4811" operator="containsText" dxfId="1" text="▲">
      <formula>NOT(ISERROR(SEARCH("▲",AB96)))</formula>
    </cfRule>
    <cfRule type="containsText" priority="4812" operator="containsText" dxfId="0" text="▼">
      <formula>NOT(ISERROR(SEARCH("▼",AB96)))</formula>
    </cfRule>
    <cfRule type="containsText" priority="4813" operator="containsText" dxfId="1" text="▲">
      <formula>NOT(ISERROR(SEARCH("▲",AB96)))</formula>
    </cfRule>
    <cfRule type="containsText" priority="4814" operator="containsText" dxfId="0" text="▼">
      <formula>NOT(ISERROR(SEARCH("▼",AB96)))</formula>
    </cfRule>
    <cfRule type="containsText" priority="4815" operator="containsText" dxfId="1" text="▲">
      <formula>NOT(ISERROR(SEARCH("▲",AB96)))</formula>
    </cfRule>
    <cfRule type="containsText" priority="4816" operator="containsText" dxfId="0" text="▼">
      <formula>NOT(ISERROR(SEARCH("▼",AB96)))</formula>
    </cfRule>
    <cfRule type="containsText" priority="4817" operator="containsText" dxfId="1" text="▲">
      <formula>NOT(ISERROR(SEARCH("▲",AB96)))</formula>
    </cfRule>
    <cfRule type="containsText" priority="4818" operator="containsText" dxfId="0" text="▼">
      <formula>NOT(ISERROR(SEARCH("▼",AB96)))</formula>
    </cfRule>
    <cfRule type="containsText" priority="4819" operator="containsText" dxfId="1" text="▲">
      <formula>NOT(ISERROR(SEARCH("▲",AB96)))</formula>
    </cfRule>
    <cfRule type="containsText" priority="4820" operator="containsText" dxfId="0" text="▼">
      <formula>NOT(ISERROR(SEARCH("▼",AB96)))</formula>
    </cfRule>
    <cfRule type="containsText" priority="4821" operator="containsText" dxfId="1" text="▲">
      <formula>NOT(ISERROR(SEARCH("▲",AB96)))</formula>
    </cfRule>
    <cfRule type="containsText" priority="4822" operator="containsText" dxfId="0" text="▼">
      <formula>NOT(ISERROR(SEARCH("▼",AB96)))</formula>
    </cfRule>
    <cfRule type="containsText" priority="4823" operator="containsText" dxfId="1" text="▲">
      <formula>NOT(ISERROR(SEARCH("▲",AB96)))</formula>
    </cfRule>
    <cfRule type="containsText" priority="4824" operator="containsText" dxfId="0" text="▼">
      <formula>NOT(ISERROR(SEARCH("▼",AB96)))</formula>
    </cfRule>
    <cfRule type="containsText" priority="4825" operator="containsText" dxfId="1" text="▲">
      <formula>NOT(ISERROR(SEARCH("▲",AB96)))</formula>
    </cfRule>
    <cfRule type="containsText" priority="4826" operator="containsText" dxfId="0" text="▼">
      <formula>NOT(ISERROR(SEARCH("▼",AB96)))</formula>
    </cfRule>
    <cfRule type="containsText" priority="4827" operator="containsText" dxfId="1" text="▲">
      <formula>NOT(ISERROR(SEARCH("▲",AB96)))</formula>
    </cfRule>
    <cfRule type="containsText" priority="4828" operator="containsText" dxfId="0" text="▼">
      <formula>NOT(ISERROR(SEARCH("▼",AB96)))</formula>
    </cfRule>
    <cfRule type="containsText" priority="4829" operator="containsText" dxfId="1" text="▲">
      <formula>NOT(ISERROR(SEARCH("▲",AB96)))</formula>
    </cfRule>
    <cfRule type="containsText" priority="4830" operator="containsText" dxfId="0" text="▼">
      <formula>NOT(ISERROR(SEARCH("▼",AB96)))</formula>
    </cfRule>
    <cfRule type="containsText" priority="4831" operator="containsText" dxfId="1" text="▲">
      <formula>NOT(ISERROR(SEARCH("▲",AB96)))</formula>
    </cfRule>
    <cfRule type="containsText" priority="4832" operator="containsText" dxfId="0" text="▼">
      <formula>NOT(ISERROR(SEARCH("▼",AB96)))</formula>
    </cfRule>
    <cfRule type="containsText" priority="4833" operator="containsText" dxfId="1" text="▲">
      <formula>NOT(ISERROR(SEARCH("▲",AB96)))</formula>
    </cfRule>
    <cfRule type="containsText" priority="4834" operator="containsText" dxfId="0" text="▼">
      <formula>NOT(ISERROR(SEARCH("▼",AB96)))</formula>
    </cfRule>
    <cfRule type="containsText" priority="4835" operator="containsText" dxfId="1" text="▲">
      <formula>NOT(ISERROR(SEARCH("▲",AB96)))</formula>
    </cfRule>
    <cfRule type="containsText" priority="4836" operator="containsText" dxfId="0" text="▼">
      <formula>NOT(ISERROR(SEARCH("▼",AB96)))</formula>
    </cfRule>
    <cfRule type="containsText" priority="4837" operator="containsText" dxfId="1" text="▲">
      <formula>NOT(ISERROR(SEARCH("▲",AB96)))</formula>
    </cfRule>
    <cfRule type="containsText" priority="4838" operator="containsText" dxfId="0" text="▼">
      <formula>NOT(ISERROR(SEARCH("▼",AB96)))</formula>
    </cfRule>
    <cfRule type="containsText" priority="4839" operator="containsText" dxfId="1" text="▲">
      <formula>NOT(ISERROR(SEARCH("▲",AB96)))</formula>
    </cfRule>
    <cfRule type="containsText" priority="4840" operator="containsText" dxfId="0" text="▼">
      <formula>NOT(ISERROR(SEARCH("▼",AB96)))</formula>
    </cfRule>
    <cfRule type="containsText" priority="4841" operator="containsText" dxfId="1" text="▲">
      <formula>NOT(ISERROR(SEARCH("▲",AB96)))</formula>
    </cfRule>
    <cfRule type="containsText" priority="4842" operator="containsText" dxfId="0" text="▼">
      <formula>NOT(ISERROR(SEARCH("▼",AB96)))</formula>
    </cfRule>
    <cfRule type="containsText" priority="4843" operator="containsText" dxfId="1" text="▲">
      <formula>NOT(ISERROR(SEARCH("▲",AB96)))</formula>
    </cfRule>
    <cfRule type="containsText" priority="4844" operator="containsText" dxfId="0" text="▼">
      <formula>NOT(ISERROR(SEARCH("▼",AB96)))</formula>
    </cfRule>
    <cfRule type="containsText" priority="4845" operator="containsText" dxfId="1" text="△">
      <formula>NOT(ISERROR(SEARCH("△",AB96)))</formula>
    </cfRule>
    <cfRule type="containsText" priority="4846" operator="containsText" dxfId="0" text="▽">
      <formula>NOT(ISERROR(SEARCH("▽",AB96)))</formula>
    </cfRule>
  </conditionalFormatting>
  <conditionalFormatting sqref="AB85">
    <cfRule type="containsText" priority="3771" operator="containsText" dxfId="1" text="▲">
      <formula>NOT(ISERROR(SEARCH("▲",AB85)))</formula>
    </cfRule>
    <cfRule type="containsText" priority="3772" operator="containsText" dxfId="0" text="▼">
      <formula>NOT(ISERROR(SEARCH("▼",AB85)))</formula>
    </cfRule>
    <cfRule type="containsText" priority="3561" operator="containsText" dxfId="1" text="▲">
      <formula>NOT(ISERROR(SEARCH("▲",AB85)))</formula>
    </cfRule>
    <cfRule type="containsText" priority="3562" operator="containsText" dxfId="0" text="▼">
      <formula>NOT(ISERROR(SEARCH("▼",AB85)))</formula>
    </cfRule>
    <cfRule type="containsText" priority="3563" operator="containsText" dxfId="1" text="▲">
      <formula>NOT(ISERROR(SEARCH("▲",AB85)))</formula>
    </cfRule>
    <cfRule type="containsText" priority="3564" operator="containsText" dxfId="0" text="▼">
      <formula>NOT(ISERROR(SEARCH("▼",AB85)))</formula>
    </cfRule>
    <cfRule type="containsText" priority="3565" operator="containsText" dxfId="1" text="▲">
      <formula>NOT(ISERROR(SEARCH("▲",AB85)))</formula>
    </cfRule>
    <cfRule type="containsText" priority="3566" operator="containsText" dxfId="0" text="▼">
      <formula>NOT(ISERROR(SEARCH("▼",AB85)))</formula>
    </cfRule>
    <cfRule type="containsText" priority="3567" operator="containsText" dxfId="1" text="▲">
      <formula>NOT(ISERROR(SEARCH("▲",AB85)))</formula>
    </cfRule>
    <cfRule type="containsText" priority="3568" operator="containsText" dxfId="0" text="▼">
      <formula>NOT(ISERROR(SEARCH("▼",AB85)))</formula>
    </cfRule>
    <cfRule type="containsText" priority="3569" operator="containsText" dxfId="1" text="▲">
      <formula>NOT(ISERROR(SEARCH("▲",AB85)))</formula>
    </cfRule>
    <cfRule type="containsText" priority="3570" operator="containsText" dxfId="0" text="▼">
      <formula>NOT(ISERROR(SEARCH("▼",AB85)))</formula>
    </cfRule>
    <cfRule type="containsText" priority="3571" operator="containsText" dxfId="1" text="▲">
      <formula>NOT(ISERROR(SEARCH("▲",AB85)))</formula>
    </cfRule>
    <cfRule type="containsText" priority="3572" operator="containsText" dxfId="0" text="▼">
      <formula>NOT(ISERROR(SEARCH("▼",AB85)))</formula>
    </cfRule>
    <cfRule type="containsText" priority="3573" operator="containsText" dxfId="1" text="▲">
      <formula>NOT(ISERROR(SEARCH("▲",AB85)))</formula>
    </cfRule>
    <cfRule type="containsText" priority="3574" operator="containsText" dxfId="0" text="▼">
      <formula>NOT(ISERROR(SEARCH("▼",AB85)))</formula>
    </cfRule>
    <cfRule type="containsText" priority="3575" operator="containsText" dxfId="1" text="▲">
      <formula>NOT(ISERROR(SEARCH("▲",AB85)))</formula>
    </cfRule>
    <cfRule type="containsText" priority="3576" operator="containsText" dxfId="0" text="▼">
      <formula>NOT(ISERROR(SEARCH("▼",AB85)))</formula>
    </cfRule>
    <cfRule type="containsText" priority="3577" operator="containsText" dxfId="1" text="▲">
      <formula>NOT(ISERROR(SEARCH("▲",AB85)))</formula>
    </cfRule>
    <cfRule type="containsText" priority="3578" operator="containsText" dxfId="0" text="▼">
      <formula>NOT(ISERROR(SEARCH("▼",AB85)))</formula>
    </cfRule>
    <cfRule type="containsText" priority="3579" operator="containsText" dxfId="1" text="▲">
      <formula>NOT(ISERROR(SEARCH("▲",AB85)))</formula>
    </cfRule>
    <cfRule type="containsText" priority="3580" operator="containsText" dxfId="0" text="▼">
      <formula>NOT(ISERROR(SEARCH("▼",AB85)))</formula>
    </cfRule>
    <cfRule type="containsText" priority="3581" operator="containsText" dxfId="1" text="▲">
      <formula>NOT(ISERROR(SEARCH("▲",AB85)))</formula>
    </cfRule>
    <cfRule type="containsText" priority="3582" operator="containsText" dxfId="0" text="▼">
      <formula>NOT(ISERROR(SEARCH("▼",AB85)))</formula>
    </cfRule>
    <cfRule type="containsText" priority="3583" operator="containsText" dxfId="1" text="▲">
      <formula>NOT(ISERROR(SEARCH("▲",AB85)))</formula>
    </cfRule>
    <cfRule type="containsText" priority="3584" operator="containsText" dxfId="0" text="▼">
      <formula>NOT(ISERROR(SEARCH("▼",AB85)))</formula>
    </cfRule>
    <cfRule type="containsText" priority="3585" operator="containsText" dxfId="1" text="▲">
      <formula>NOT(ISERROR(SEARCH("▲",AB85)))</formula>
    </cfRule>
    <cfRule type="containsText" priority="3586" operator="containsText" dxfId="0" text="▼">
      <formula>NOT(ISERROR(SEARCH("▼",AB85)))</formula>
    </cfRule>
    <cfRule type="containsText" priority="3587" operator="containsText" dxfId="1" text="▲">
      <formula>NOT(ISERROR(SEARCH("▲",AB85)))</formula>
    </cfRule>
    <cfRule type="containsText" priority="3588" operator="containsText" dxfId="0" text="▼">
      <formula>NOT(ISERROR(SEARCH("▼",AB85)))</formula>
    </cfRule>
    <cfRule type="containsText" priority="3589" operator="containsText" dxfId="1" text="▲">
      <formula>NOT(ISERROR(SEARCH("▲",AB85)))</formula>
    </cfRule>
    <cfRule type="containsText" priority="3590" operator="containsText" dxfId="0" text="▼">
      <formula>NOT(ISERROR(SEARCH("▼",AB85)))</formula>
    </cfRule>
    <cfRule type="containsText" priority="3591" operator="containsText" dxfId="1" text="▲">
      <formula>NOT(ISERROR(SEARCH("▲",AB85)))</formula>
    </cfRule>
    <cfRule type="containsText" priority="3592" operator="containsText" dxfId="0" text="▼">
      <formula>NOT(ISERROR(SEARCH("▼",AB85)))</formula>
    </cfRule>
    <cfRule type="containsText" priority="3593" operator="containsText" dxfId="1" text="▲">
      <formula>NOT(ISERROR(SEARCH("▲",AB85)))</formula>
    </cfRule>
    <cfRule type="containsText" priority="3594" operator="containsText" dxfId="0" text="▼">
      <formula>NOT(ISERROR(SEARCH("▼",AB85)))</formula>
    </cfRule>
    <cfRule type="containsText" priority="3595" operator="containsText" dxfId="1" text="▲">
      <formula>NOT(ISERROR(SEARCH("▲",AB85)))</formula>
    </cfRule>
    <cfRule type="containsText" priority="3596" operator="containsText" dxfId="0" text="▼">
      <formula>NOT(ISERROR(SEARCH("▼",AB85)))</formula>
    </cfRule>
    <cfRule type="containsText" priority="3597" operator="containsText" dxfId="1" text="▲">
      <formula>NOT(ISERROR(SEARCH("▲",AB85)))</formula>
    </cfRule>
    <cfRule type="containsText" priority="3598" operator="containsText" dxfId="0" text="▼">
      <formula>NOT(ISERROR(SEARCH("▼",AB85)))</formula>
    </cfRule>
    <cfRule type="containsText" priority="3599" operator="containsText" dxfId="1" text="▲">
      <formula>NOT(ISERROR(SEARCH("▲",AB85)))</formula>
    </cfRule>
    <cfRule type="containsText" priority="3600" operator="containsText" dxfId="0" text="▼">
      <formula>NOT(ISERROR(SEARCH("▼",AB85)))</formula>
    </cfRule>
    <cfRule type="containsText" priority="3601" operator="containsText" dxfId="1" text="▲">
      <formula>NOT(ISERROR(SEARCH("▲",AB85)))</formula>
    </cfRule>
    <cfRule type="containsText" priority="3602" operator="containsText" dxfId="0" text="▼">
      <formula>NOT(ISERROR(SEARCH("▼",AB85)))</formula>
    </cfRule>
    <cfRule type="containsText" priority="3603" operator="containsText" dxfId="1" text="▲">
      <formula>NOT(ISERROR(SEARCH("▲",AB85)))</formula>
    </cfRule>
    <cfRule type="containsText" priority="3604" operator="containsText" dxfId="0" text="▼">
      <formula>NOT(ISERROR(SEARCH("▼",AB85)))</formula>
    </cfRule>
    <cfRule type="containsText" priority="3605" operator="containsText" dxfId="1" text="▲">
      <formula>NOT(ISERROR(SEARCH("▲",AB85)))</formula>
    </cfRule>
    <cfRule type="containsText" priority="3606" operator="containsText" dxfId="0" text="▼">
      <formula>NOT(ISERROR(SEARCH("▼",AB85)))</formula>
    </cfRule>
    <cfRule type="containsText" priority="3607" operator="containsText" dxfId="1" text="▲">
      <formula>NOT(ISERROR(SEARCH("▲",AB85)))</formula>
    </cfRule>
    <cfRule type="containsText" priority="3608" operator="containsText" dxfId="0" text="▼">
      <formula>NOT(ISERROR(SEARCH("▼",AB85)))</formula>
    </cfRule>
    <cfRule type="containsText" priority="3609" operator="containsText" dxfId="1" text="▲">
      <formula>NOT(ISERROR(SEARCH("▲",AB85)))</formula>
    </cfRule>
    <cfRule type="containsText" priority="3610" operator="containsText" dxfId="0" text="▼">
      <formula>NOT(ISERROR(SEARCH("▼",AB85)))</formula>
    </cfRule>
    <cfRule type="containsText" priority="3611" operator="containsText" dxfId="1" text="△">
      <formula>NOT(ISERROR(SEARCH("△",AB85)))</formula>
    </cfRule>
    <cfRule type="containsText" priority="3612" operator="containsText" dxfId="0" text="▽">
      <formula>NOT(ISERROR(SEARCH("▽",AB85)))</formula>
    </cfRule>
    <cfRule type="containsText" priority="3613" operator="containsText" dxfId="1" text="▲">
      <formula>NOT(ISERROR(SEARCH("▲",AB85)))</formula>
    </cfRule>
    <cfRule type="containsText" priority="3614" operator="containsText" dxfId="0" text="▼">
      <formula>NOT(ISERROR(SEARCH("▼",AB85)))</formula>
    </cfRule>
    <cfRule type="containsText" priority="3615" operator="containsText" dxfId="1" text="▲">
      <formula>NOT(ISERROR(SEARCH("▲",AB85)))</formula>
    </cfRule>
    <cfRule type="containsText" priority="3616" operator="containsText" dxfId="0" text="▼">
      <formula>NOT(ISERROR(SEARCH("▼",AB85)))</formula>
    </cfRule>
    <cfRule type="containsText" priority="3617" operator="containsText" dxfId="1" text="▲">
      <formula>NOT(ISERROR(SEARCH("▲",AB85)))</formula>
    </cfRule>
    <cfRule type="containsText" priority="3618" operator="containsText" dxfId="0" text="▼">
      <formula>NOT(ISERROR(SEARCH("▼",AB85)))</formula>
    </cfRule>
    <cfRule type="containsText" priority="3619" operator="containsText" dxfId="1" text="▲">
      <formula>NOT(ISERROR(SEARCH("▲",AB85)))</formula>
    </cfRule>
    <cfRule type="containsText" priority="3620" operator="containsText" dxfId="0" text="▼">
      <formula>NOT(ISERROR(SEARCH("▼",AB85)))</formula>
    </cfRule>
    <cfRule type="containsText" priority="3621" operator="containsText" dxfId="1" text="▲">
      <formula>NOT(ISERROR(SEARCH("▲",AB85)))</formula>
    </cfRule>
    <cfRule type="containsText" priority="3622" operator="containsText" dxfId="0" text="▼">
      <formula>NOT(ISERROR(SEARCH("▼",AB85)))</formula>
    </cfRule>
    <cfRule type="containsText" priority="3623" operator="containsText" dxfId="1" text="▲">
      <formula>NOT(ISERROR(SEARCH("▲",AB85)))</formula>
    </cfRule>
    <cfRule type="containsText" priority="3624" operator="containsText" dxfId="0" text="▼">
      <formula>NOT(ISERROR(SEARCH("▼",AB85)))</formula>
    </cfRule>
    <cfRule type="containsText" priority="3625" operator="containsText" dxfId="1" text="▲">
      <formula>NOT(ISERROR(SEARCH("▲",AB85)))</formula>
    </cfRule>
    <cfRule type="containsText" priority="3626" operator="containsText" dxfId="0" text="▼">
      <formula>NOT(ISERROR(SEARCH("▼",AB85)))</formula>
    </cfRule>
    <cfRule type="containsText" priority="3627" operator="containsText" dxfId="1" text="▲">
      <formula>NOT(ISERROR(SEARCH("▲",AB85)))</formula>
    </cfRule>
    <cfRule type="containsText" priority="3628" operator="containsText" dxfId="0" text="▼">
      <formula>NOT(ISERROR(SEARCH("▼",AB85)))</formula>
    </cfRule>
    <cfRule type="containsText" priority="3629" operator="containsText" dxfId="1" text="▲">
      <formula>NOT(ISERROR(SEARCH("▲",AB85)))</formula>
    </cfRule>
    <cfRule type="containsText" priority="3630" operator="containsText" dxfId="0" text="▼">
      <formula>NOT(ISERROR(SEARCH("▼",AB85)))</formula>
    </cfRule>
    <cfRule type="containsText" priority="3631" operator="containsText" dxfId="1" text="▲">
      <formula>NOT(ISERROR(SEARCH("▲",AB85)))</formula>
    </cfRule>
    <cfRule type="containsText" priority="3632" operator="containsText" dxfId="0" text="▼">
      <formula>NOT(ISERROR(SEARCH("▼",AB85)))</formula>
    </cfRule>
    <cfRule type="containsText" priority="3633" operator="containsText" dxfId="1" text="▲">
      <formula>NOT(ISERROR(SEARCH("▲",AB85)))</formula>
    </cfRule>
    <cfRule type="containsText" priority="3634" operator="containsText" dxfId="0" text="▼">
      <formula>NOT(ISERROR(SEARCH("▼",AB85)))</formula>
    </cfRule>
    <cfRule type="containsText" priority="3635" operator="containsText" dxfId="1" text="▲">
      <formula>NOT(ISERROR(SEARCH("▲",AB85)))</formula>
    </cfRule>
    <cfRule type="containsText" priority="3636" operator="containsText" dxfId="0" text="▼">
      <formula>NOT(ISERROR(SEARCH("▼",AB85)))</formula>
    </cfRule>
    <cfRule type="containsText" priority="3637" operator="containsText" dxfId="1" text="▲">
      <formula>NOT(ISERROR(SEARCH("▲",AB85)))</formula>
    </cfRule>
    <cfRule type="containsText" priority="3638" operator="containsText" dxfId="0" text="▼">
      <formula>NOT(ISERROR(SEARCH("▼",AB85)))</formula>
    </cfRule>
    <cfRule type="containsText" priority="3639" operator="containsText" dxfId="1" text="▲">
      <formula>NOT(ISERROR(SEARCH("▲",AB85)))</formula>
    </cfRule>
    <cfRule type="containsText" priority="3640" operator="containsText" dxfId="0" text="▼">
      <formula>NOT(ISERROR(SEARCH("▼",AB85)))</formula>
    </cfRule>
    <cfRule type="containsText" priority="3641" operator="containsText" dxfId="1" text="▲">
      <formula>NOT(ISERROR(SEARCH("▲",AB85)))</formula>
    </cfRule>
    <cfRule type="containsText" priority="3642" operator="containsText" dxfId="0" text="▼">
      <formula>NOT(ISERROR(SEARCH("▼",AB85)))</formula>
    </cfRule>
    <cfRule type="containsText" priority="3643" operator="containsText" dxfId="1" text="▲">
      <formula>NOT(ISERROR(SEARCH("▲",AB85)))</formula>
    </cfRule>
    <cfRule type="containsText" priority="3644" operator="containsText" dxfId="0" text="▼">
      <formula>NOT(ISERROR(SEARCH("▼",AB85)))</formula>
    </cfRule>
    <cfRule type="containsText" priority="3645" operator="containsText" dxfId="1" text="▲">
      <formula>NOT(ISERROR(SEARCH("▲",AB85)))</formula>
    </cfRule>
    <cfRule type="containsText" priority="3646" operator="containsText" dxfId="0" text="▼">
      <formula>NOT(ISERROR(SEARCH("▼",AB85)))</formula>
    </cfRule>
    <cfRule type="containsText" priority="3647" operator="containsText" dxfId="1" text="▲">
      <formula>NOT(ISERROR(SEARCH("▲",AB85)))</formula>
    </cfRule>
    <cfRule type="containsText" priority="3648" operator="containsText" dxfId="0" text="▼">
      <formula>NOT(ISERROR(SEARCH("▼",AB85)))</formula>
    </cfRule>
    <cfRule type="containsText" priority="3649" operator="containsText" dxfId="1" text="▲">
      <formula>NOT(ISERROR(SEARCH("▲",AB85)))</formula>
    </cfRule>
    <cfRule type="containsText" priority="3650" operator="containsText" dxfId="0" text="▼">
      <formula>NOT(ISERROR(SEARCH("▼",AB85)))</formula>
    </cfRule>
    <cfRule type="containsText" priority="3651" operator="containsText" dxfId="1" text="▲">
      <formula>NOT(ISERROR(SEARCH("▲",AB85)))</formula>
    </cfRule>
    <cfRule type="containsText" priority="3652" operator="containsText" dxfId="0" text="▼">
      <formula>NOT(ISERROR(SEARCH("▼",AB85)))</formula>
    </cfRule>
    <cfRule type="containsText" priority="3653" operator="containsText" dxfId="1" text="▲">
      <formula>NOT(ISERROR(SEARCH("▲",AB85)))</formula>
    </cfRule>
    <cfRule type="containsText" priority="3654" operator="containsText" dxfId="0" text="▼">
      <formula>NOT(ISERROR(SEARCH("▼",AB85)))</formula>
    </cfRule>
    <cfRule type="containsText" priority="3655" operator="containsText" dxfId="1" text="▲">
      <formula>NOT(ISERROR(SEARCH("▲",AB85)))</formula>
    </cfRule>
    <cfRule type="containsText" priority="3656" operator="containsText" dxfId="0" text="▼">
      <formula>NOT(ISERROR(SEARCH("▼",AB85)))</formula>
    </cfRule>
    <cfRule type="containsText" priority="3657" operator="containsText" dxfId="1" text="▲">
      <formula>NOT(ISERROR(SEARCH("▲",AB85)))</formula>
    </cfRule>
    <cfRule type="containsText" priority="3658" operator="containsText" dxfId="0" text="▼">
      <formula>NOT(ISERROR(SEARCH("▼",AB85)))</formula>
    </cfRule>
    <cfRule type="containsText" priority="3659" operator="containsText" dxfId="1" text="△">
      <formula>NOT(ISERROR(SEARCH("△",AB85)))</formula>
    </cfRule>
    <cfRule type="containsText" priority="3660" operator="containsText" dxfId="0" text="▽">
      <formula>NOT(ISERROR(SEARCH("▽",AB85)))</formula>
    </cfRule>
    <cfRule type="containsText" priority="3661" operator="containsText" dxfId="1" text="▲">
      <formula>NOT(ISERROR(SEARCH("▲",AB85)))</formula>
    </cfRule>
    <cfRule type="containsText" priority="3662" operator="containsText" dxfId="0" text="▼">
      <formula>NOT(ISERROR(SEARCH("▼",AB85)))</formula>
    </cfRule>
    <cfRule type="containsText" priority="3663" operator="containsText" dxfId="1" text="▲">
      <formula>NOT(ISERROR(SEARCH("▲",AB85)))</formula>
    </cfRule>
    <cfRule type="containsText" priority="3664" operator="containsText" dxfId="0" text="▼">
      <formula>NOT(ISERROR(SEARCH("▼",AB85)))</formula>
    </cfRule>
    <cfRule type="containsText" priority="3665" operator="containsText" dxfId="1" text="▲">
      <formula>NOT(ISERROR(SEARCH("▲",AB85)))</formula>
    </cfRule>
    <cfRule type="containsText" priority="3666" operator="containsText" dxfId="0" text="▼">
      <formula>NOT(ISERROR(SEARCH("▼",AB85)))</formula>
    </cfRule>
    <cfRule type="containsText" priority="3667" operator="containsText" dxfId="1" text="▲">
      <formula>NOT(ISERROR(SEARCH("▲",AB85)))</formula>
    </cfRule>
    <cfRule type="containsText" priority="3668" operator="containsText" dxfId="0" text="▼">
      <formula>NOT(ISERROR(SEARCH("▼",AB85)))</formula>
    </cfRule>
    <cfRule type="containsText" priority="3669" operator="containsText" dxfId="1" text="▲">
      <formula>NOT(ISERROR(SEARCH("▲",AB85)))</formula>
    </cfRule>
    <cfRule type="containsText" priority="3670" operator="containsText" dxfId="0" text="▼">
      <formula>NOT(ISERROR(SEARCH("▼",AB85)))</formula>
    </cfRule>
    <cfRule type="containsText" priority="3671" operator="containsText" dxfId="1" text="▲">
      <formula>NOT(ISERROR(SEARCH("▲",AB85)))</formula>
    </cfRule>
    <cfRule type="containsText" priority="3672" operator="containsText" dxfId="0" text="▼">
      <formula>NOT(ISERROR(SEARCH("▼",AB85)))</formula>
    </cfRule>
    <cfRule type="containsText" priority="3673" operator="containsText" dxfId="1" text="▲">
      <formula>NOT(ISERROR(SEARCH("▲",AB85)))</formula>
    </cfRule>
    <cfRule type="containsText" priority="3674" operator="containsText" dxfId="0" text="▼">
      <formula>NOT(ISERROR(SEARCH("▼",AB85)))</formula>
    </cfRule>
    <cfRule type="containsText" priority="3675" operator="containsText" dxfId="1" text="▲">
      <formula>NOT(ISERROR(SEARCH("▲",AB85)))</formula>
    </cfRule>
    <cfRule type="containsText" priority="3676" operator="containsText" dxfId="0" text="▼">
      <formula>NOT(ISERROR(SEARCH("▼",AB85)))</formula>
    </cfRule>
    <cfRule type="containsText" priority="3677" operator="containsText" dxfId="1" text="▲">
      <formula>NOT(ISERROR(SEARCH("▲",AB85)))</formula>
    </cfRule>
    <cfRule type="containsText" priority="3678" operator="containsText" dxfId="0" text="▼">
      <formula>NOT(ISERROR(SEARCH("▼",AB85)))</formula>
    </cfRule>
    <cfRule type="containsText" priority="3679" operator="containsText" dxfId="1" text="▲">
      <formula>NOT(ISERROR(SEARCH("▲",AB85)))</formula>
    </cfRule>
    <cfRule type="containsText" priority="3680" operator="containsText" dxfId="0" text="▼">
      <formula>NOT(ISERROR(SEARCH("▼",AB85)))</formula>
    </cfRule>
    <cfRule type="containsText" priority="3681" operator="containsText" dxfId="1" text="▲">
      <formula>NOT(ISERROR(SEARCH("▲",AB85)))</formula>
    </cfRule>
    <cfRule type="containsText" priority="3682" operator="containsText" dxfId="0" text="▼">
      <formula>NOT(ISERROR(SEARCH("▼",AB85)))</formula>
    </cfRule>
    <cfRule type="containsText" priority="3683" operator="containsText" dxfId="1" text="▲">
      <formula>NOT(ISERROR(SEARCH("▲",AB85)))</formula>
    </cfRule>
    <cfRule type="containsText" priority="3684" operator="containsText" dxfId="0" text="▼">
      <formula>NOT(ISERROR(SEARCH("▼",AB85)))</formula>
    </cfRule>
    <cfRule type="containsText" priority="3685" operator="containsText" dxfId="1" text="▲">
      <formula>NOT(ISERROR(SEARCH("▲",AB85)))</formula>
    </cfRule>
    <cfRule type="containsText" priority="3686" operator="containsText" dxfId="0" text="▼">
      <formula>NOT(ISERROR(SEARCH("▼",AB85)))</formula>
    </cfRule>
    <cfRule type="containsText" priority="3687" operator="containsText" dxfId="1" text="▲">
      <formula>NOT(ISERROR(SEARCH("▲",AB85)))</formula>
    </cfRule>
    <cfRule type="containsText" priority="3688" operator="containsText" dxfId="0" text="▼">
      <formula>NOT(ISERROR(SEARCH("▼",AB85)))</formula>
    </cfRule>
    <cfRule type="containsText" priority="3689" operator="containsText" dxfId="1" text="▲">
      <formula>NOT(ISERROR(SEARCH("▲",AB85)))</formula>
    </cfRule>
    <cfRule type="containsText" priority="3690" operator="containsText" dxfId="0" text="▼">
      <formula>NOT(ISERROR(SEARCH("▼",AB85)))</formula>
    </cfRule>
    <cfRule type="containsText" priority="3691" operator="containsText" dxfId="1" text="▲">
      <formula>NOT(ISERROR(SEARCH("▲",AB85)))</formula>
    </cfRule>
    <cfRule type="containsText" priority="3692" operator="containsText" dxfId="0" text="▼">
      <formula>NOT(ISERROR(SEARCH("▼",AB85)))</formula>
    </cfRule>
    <cfRule type="containsText" priority="3693" operator="containsText" dxfId="1" text="▲">
      <formula>NOT(ISERROR(SEARCH("▲",AB85)))</formula>
    </cfRule>
    <cfRule type="containsText" priority="3694" operator="containsText" dxfId="0" text="▼">
      <formula>NOT(ISERROR(SEARCH("▼",AB85)))</formula>
    </cfRule>
    <cfRule type="containsText" priority="3695" operator="containsText" dxfId="1" text="▲">
      <formula>NOT(ISERROR(SEARCH("▲",AB85)))</formula>
    </cfRule>
    <cfRule type="containsText" priority="3696" operator="containsText" dxfId="0" text="▼">
      <formula>NOT(ISERROR(SEARCH("▼",AB85)))</formula>
    </cfRule>
    <cfRule type="containsText" priority="3697" operator="containsText" dxfId="1" text="▲">
      <formula>NOT(ISERROR(SEARCH("▲",AB85)))</formula>
    </cfRule>
    <cfRule type="containsText" priority="3698" operator="containsText" dxfId="0" text="▼">
      <formula>NOT(ISERROR(SEARCH("▼",AB85)))</formula>
    </cfRule>
    <cfRule type="containsText" priority="3699" operator="containsText" dxfId="1" text="▲">
      <formula>NOT(ISERROR(SEARCH("▲",AB85)))</formula>
    </cfRule>
    <cfRule type="containsText" priority="3700" operator="containsText" dxfId="0" text="▼">
      <formula>NOT(ISERROR(SEARCH("▼",AB85)))</formula>
    </cfRule>
    <cfRule type="containsText" priority="3701" operator="containsText" dxfId="1" text="▲">
      <formula>NOT(ISERROR(SEARCH("▲",AB85)))</formula>
    </cfRule>
    <cfRule type="containsText" priority="3702" operator="containsText" dxfId="0" text="▼">
      <formula>NOT(ISERROR(SEARCH("▼",AB85)))</formula>
    </cfRule>
    <cfRule type="containsText" priority="3703" operator="containsText" dxfId="1" text="▲">
      <formula>NOT(ISERROR(SEARCH("▲",AB85)))</formula>
    </cfRule>
    <cfRule type="containsText" priority="3704" operator="containsText" dxfId="0" text="▼">
      <formula>NOT(ISERROR(SEARCH("▼",AB85)))</formula>
    </cfRule>
    <cfRule type="containsText" priority="3705" operator="containsText" dxfId="1" text="▲">
      <formula>NOT(ISERROR(SEARCH("▲",AB85)))</formula>
    </cfRule>
    <cfRule type="containsText" priority="3706" operator="containsText" dxfId="0" text="▼">
      <formula>NOT(ISERROR(SEARCH("▼",AB85)))</formula>
    </cfRule>
    <cfRule type="containsText" priority="3707" operator="containsText" dxfId="1" text="▲">
      <formula>NOT(ISERROR(SEARCH("▲",AB85)))</formula>
    </cfRule>
    <cfRule type="containsText" priority="3708" operator="containsText" dxfId="0" text="▼">
      <formula>NOT(ISERROR(SEARCH("▼",AB85)))</formula>
    </cfRule>
    <cfRule type="containsText" priority="3709" operator="containsText" dxfId="1" text="△">
      <formula>NOT(ISERROR(SEARCH("△",AB85)))</formula>
    </cfRule>
    <cfRule type="containsText" priority="3710" operator="containsText" dxfId="0" text="▽">
      <formula>NOT(ISERROR(SEARCH("▽",AB85)))</formula>
    </cfRule>
    <cfRule type="containsText" priority="3711" operator="containsText" dxfId="1" text="▲">
      <formula>NOT(ISERROR(SEARCH("▲",AB85)))</formula>
    </cfRule>
    <cfRule type="containsText" priority="3712" operator="containsText" dxfId="0" text="▼">
      <formula>NOT(ISERROR(SEARCH("▼",AB85)))</formula>
    </cfRule>
    <cfRule type="containsText" priority="3713" operator="containsText" dxfId="1" text="▲">
      <formula>NOT(ISERROR(SEARCH("▲",AB85)))</formula>
    </cfRule>
    <cfRule type="containsText" priority="3714" operator="containsText" dxfId="0" text="▼">
      <formula>NOT(ISERROR(SEARCH("▼",AB85)))</formula>
    </cfRule>
    <cfRule type="containsText" priority="3715" operator="containsText" dxfId="1" text="▲">
      <formula>NOT(ISERROR(SEARCH("▲",AB85)))</formula>
    </cfRule>
    <cfRule type="containsText" priority="3716" operator="containsText" dxfId="0" text="▼">
      <formula>NOT(ISERROR(SEARCH("▼",AB85)))</formula>
    </cfRule>
    <cfRule type="containsText" priority="3717" operator="containsText" dxfId="1" text="▲">
      <formula>NOT(ISERROR(SEARCH("▲",AB85)))</formula>
    </cfRule>
    <cfRule type="containsText" priority="3718" operator="containsText" dxfId="0" text="▼">
      <formula>NOT(ISERROR(SEARCH("▼",AB85)))</formula>
    </cfRule>
    <cfRule type="containsText" priority="3719" operator="containsText" dxfId="1" text="▲">
      <formula>NOT(ISERROR(SEARCH("▲",AB85)))</formula>
    </cfRule>
    <cfRule type="containsText" priority="3720" operator="containsText" dxfId="0" text="▼">
      <formula>NOT(ISERROR(SEARCH("▼",AB85)))</formula>
    </cfRule>
    <cfRule type="containsText" priority="3721" operator="containsText" dxfId="1" text="▲">
      <formula>NOT(ISERROR(SEARCH("▲",AB85)))</formula>
    </cfRule>
    <cfRule type="containsText" priority="3722" operator="containsText" dxfId="0" text="▼">
      <formula>NOT(ISERROR(SEARCH("▼",AB85)))</formula>
    </cfRule>
    <cfRule type="containsText" priority="3723" operator="containsText" dxfId="1" text="▲">
      <formula>NOT(ISERROR(SEARCH("▲",AB85)))</formula>
    </cfRule>
    <cfRule type="containsText" priority="3724" operator="containsText" dxfId="0" text="▼">
      <formula>NOT(ISERROR(SEARCH("▼",AB85)))</formula>
    </cfRule>
    <cfRule type="containsText" priority="3725" operator="containsText" dxfId="1" text="▲">
      <formula>NOT(ISERROR(SEARCH("▲",AB85)))</formula>
    </cfRule>
    <cfRule type="containsText" priority="3726" operator="containsText" dxfId="0" text="▼">
      <formula>NOT(ISERROR(SEARCH("▼",AB85)))</formula>
    </cfRule>
    <cfRule type="containsText" priority="3727" operator="containsText" dxfId="1" text="▲">
      <formula>NOT(ISERROR(SEARCH("▲",AB85)))</formula>
    </cfRule>
    <cfRule type="containsText" priority="3728" operator="containsText" dxfId="0" text="▼">
      <formula>NOT(ISERROR(SEARCH("▼",AB85)))</formula>
    </cfRule>
    <cfRule type="containsText" priority="3729" operator="containsText" dxfId="1" text="▲">
      <formula>NOT(ISERROR(SEARCH("▲",AB85)))</formula>
    </cfRule>
    <cfRule type="containsText" priority="3730" operator="containsText" dxfId="0" text="▼">
      <formula>NOT(ISERROR(SEARCH("▼",AB85)))</formula>
    </cfRule>
    <cfRule type="containsText" priority="3731" operator="containsText" dxfId="1" text="▲">
      <formula>NOT(ISERROR(SEARCH("▲",AB85)))</formula>
    </cfRule>
    <cfRule type="containsText" priority="3732" operator="containsText" dxfId="0" text="▼">
      <formula>NOT(ISERROR(SEARCH("▼",AB85)))</formula>
    </cfRule>
    <cfRule type="containsText" priority="3733" operator="containsText" dxfId="1" text="▲">
      <formula>NOT(ISERROR(SEARCH("▲",AB85)))</formula>
    </cfRule>
    <cfRule type="containsText" priority="3734" operator="containsText" dxfId="0" text="▼">
      <formula>NOT(ISERROR(SEARCH("▼",AB85)))</formula>
    </cfRule>
    <cfRule type="containsText" priority="3735" operator="containsText" dxfId="1" text="▲">
      <formula>NOT(ISERROR(SEARCH("▲",AB85)))</formula>
    </cfRule>
    <cfRule type="containsText" priority="3736" operator="containsText" dxfId="0" text="▼">
      <formula>NOT(ISERROR(SEARCH("▼",AB85)))</formula>
    </cfRule>
    <cfRule type="containsText" priority="3737" operator="containsText" dxfId="1" text="▲">
      <formula>NOT(ISERROR(SEARCH("▲",AB85)))</formula>
    </cfRule>
    <cfRule type="containsText" priority="3738" operator="containsText" dxfId="0" text="▼">
      <formula>NOT(ISERROR(SEARCH("▼",AB85)))</formula>
    </cfRule>
    <cfRule type="containsText" priority="3739" operator="containsText" dxfId="1" text="▲">
      <formula>NOT(ISERROR(SEARCH("▲",AB85)))</formula>
    </cfRule>
    <cfRule type="containsText" priority="3740" operator="containsText" dxfId="0" text="▼">
      <formula>NOT(ISERROR(SEARCH("▼",AB85)))</formula>
    </cfRule>
    <cfRule type="containsText" priority="3741" operator="containsText" dxfId="1" text="▲">
      <formula>NOT(ISERROR(SEARCH("▲",AB85)))</formula>
    </cfRule>
    <cfRule type="containsText" priority="3742" operator="containsText" dxfId="0" text="▼">
      <formula>NOT(ISERROR(SEARCH("▼",AB85)))</formula>
    </cfRule>
    <cfRule type="containsText" priority="3743" operator="containsText" dxfId="1" text="▲">
      <formula>NOT(ISERROR(SEARCH("▲",AB85)))</formula>
    </cfRule>
    <cfRule type="containsText" priority="3744" operator="containsText" dxfId="0" text="▼">
      <formula>NOT(ISERROR(SEARCH("▼",AB85)))</formula>
    </cfRule>
    <cfRule type="containsText" priority="3745" operator="containsText" dxfId="1" text="▲">
      <formula>NOT(ISERROR(SEARCH("▲",AB85)))</formula>
    </cfRule>
    <cfRule type="containsText" priority="3746" operator="containsText" dxfId="0" text="▼">
      <formula>NOT(ISERROR(SEARCH("▼",AB85)))</formula>
    </cfRule>
    <cfRule type="containsText" priority="3747" operator="containsText" dxfId="1" text="▲">
      <formula>NOT(ISERROR(SEARCH("▲",AB85)))</formula>
    </cfRule>
    <cfRule type="containsText" priority="3748" operator="containsText" dxfId="0" text="▼">
      <formula>NOT(ISERROR(SEARCH("▼",AB85)))</formula>
    </cfRule>
    <cfRule type="containsText" priority="3749" operator="containsText" dxfId="1" text="▲">
      <formula>NOT(ISERROR(SEARCH("▲",AB85)))</formula>
    </cfRule>
    <cfRule type="containsText" priority="3750" operator="containsText" dxfId="0" text="▼">
      <formula>NOT(ISERROR(SEARCH("▼",AB85)))</formula>
    </cfRule>
    <cfRule type="containsText" priority="3751" operator="containsText" dxfId="1" text="▲">
      <formula>NOT(ISERROR(SEARCH("▲",AB85)))</formula>
    </cfRule>
    <cfRule type="containsText" priority="3752" operator="containsText" dxfId="0" text="▼">
      <formula>NOT(ISERROR(SEARCH("▼",AB85)))</formula>
    </cfRule>
    <cfRule type="containsText" priority="3753" operator="containsText" dxfId="1" text="▲">
      <formula>NOT(ISERROR(SEARCH("▲",AB85)))</formula>
    </cfRule>
    <cfRule type="containsText" priority="3754" operator="containsText" dxfId="0" text="▼">
      <formula>NOT(ISERROR(SEARCH("▼",AB85)))</formula>
    </cfRule>
    <cfRule type="containsText" priority="3755" operator="containsText" dxfId="1" text="▲">
      <formula>NOT(ISERROR(SEARCH("▲",AB85)))</formula>
    </cfRule>
    <cfRule type="containsText" priority="3756" operator="containsText" dxfId="0" text="▼">
      <formula>NOT(ISERROR(SEARCH("▼",AB85)))</formula>
    </cfRule>
    <cfRule type="containsText" priority="3757" operator="containsText" dxfId="1" text="▲">
      <formula>NOT(ISERROR(SEARCH("▲",AB85)))</formula>
    </cfRule>
    <cfRule type="containsText" priority="3758" operator="containsText" dxfId="0" text="▼">
      <formula>NOT(ISERROR(SEARCH("▼",AB85)))</formula>
    </cfRule>
    <cfRule type="containsText" priority="3759" operator="containsText" dxfId="1" text="▲">
      <formula>NOT(ISERROR(SEARCH("▲",AB85)))</formula>
    </cfRule>
    <cfRule type="containsText" priority="3760" operator="containsText" dxfId="0" text="▼">
      <formula>NOT(ISERROR(SEARCH("▼",AB85)))</formula>
    </cfRule>
    <cfRule type="containsText" priority="3761" operator="containsText" dxfId="1" text="▲">
      <formula>NOT(ISERROR(SEARCH("▲",AB85)))</formula>
    </cfRule>
    <cfRule type="containsText" priority="3762" operator="containsText" dxfId="0" text="▼">
      <formula>NOT(ISERROR(SEARCH("▼",AB85)))</formula>
    </cfRule>
    <cfRule type="containsText" priority="3763" operator="containsText" dxfId="1" text="▲">
      <formula>NOT(ISERROR(SEARCH("▲",AB85)))</formula>
    </cfRule>
    <cfRule type="containsText" priority="3764" operator="containsText" dxfId="0" text="▼">
      <formula>NOT(ISERROR(SEARCH("▼",AB85)))</formula>
    </cfRule>
    <cfRule type="containsText" priority="3765" operator="containsText" dxfId="1" text="▲">
      <formula>NOT(ISERROR(SEARCH("▲",AB85)))</formula>
    </cfRule>
    <cfRule type="containsText" priority="3766" operator="containsText" dxfId="0" text="▼">
      <formula>NOT(ISERROR(SEARCH("▼",AB85)))</formula>
    </cfRule>
    <cfRule type="containsText" priority="3767" operator="containsText" dxfId="1" text="▲">
      <formula>NOT(ISERROR(SEARCH("▲",AB85)))</formula>
    </cfRule>
    <cfRule type="containsText" priority="3768" operator="containsText" dxfId="0" text="▼">
      <formula>NOT(ISERROR(SEARCH("▼",AB85)))</formula>
    </cfRule>
    <cfRule type="containsText" priority="3769" operator="containsText" dxfId="1" text="▲">
      <formula>NOT(ISERROR(SEARCH("▲",AB85)))</formula>
    </cfRule>
    <cfRule type="containsText" priority="3770" operator="containsText" dxfId="0" text="▼">
      <formula>NOT(ISERROR(SEARCH("▼",AB85)))</formula>
    </cfRule>
    <cfRule type="containsText" priority="3773" operator="containsText" dxfId="1" text="△">
      <formula>NOT(ISERROR(SEARCH("△",AB85)))</formula>
    </cfRule>
    <cfRule type="containsText" priority="3774" operator="containsText" dxfId="0" text="▽">
      <formula>NOT(ISERROR(SEARCH("▽",AB85)))</formula>
    </cfRule>
  </conditionalFormatting>
  <conditionalFormatting sqref="Z97:Z111">
    <cfRule type="cellIs" priority="3559" operator="lessThan" dxfId="41">
      <formula>0</formula>
    </cfRule>
    <cfRule type="cellIs" priority="3560" operator="greaterThan" dxfId="40">
      <formula>0</formula>
    </cfRule>
    <cfRule type="containsText" priority="3557" operator="containsText" dxfId="1" text="▲">
      <formula>NOT(ISERROR(SEARCH("▲",Z97)))</formula>
    </cfRule>
    <cfRule type="containsText" priority="3558" operator="containsText" dxfId="0" text="▼">
      <formula>NOT(ISERROR(SEARCH("▼",Z97)))</formula>
    </cfRule>
  </conditionalFormatting>
  <conditionalFormatting sqref="Z87">
    <cfRule type="cellIs" priority="3555" operator="lessThan" dxfId="41">
      <formula>0</formula>
    </cfRule>
    <cfRule type="cellIs" priority="3556" operator="greaterThan" dxfId="40">
      <formula>0</formula>
    </cfRule>
  </conditionalFormatting>
  <conditionalFormatting sqref="Z87:AA87">
    <cfRule type="containsText" priority="3553" operator="containsText" dxfId="1" text="▲">
      <formula>NOT(ISERROR(SEARCH("▲",Z87)))</formula>
    </cfRule>
    <cfRule type="containsText" priority="3554" operator="containsText" dxfId="0" text="▼">
      <formula>NOT(ISERROR(SEARCH("▼",Z87)))</formula>
    </cfRule>
    <cfRule type="containsText" priority="3551" operator="containsText" dxfId="1" text="△">
      <formula>NOT(ISERROR(SEARCH("△",Z87)))</formula>
    </cfRule>
    <cfRule type="containsText" priority="3552" operator="containsText" dxfId="0" text="▽">
      <formula>NOT(ISERROR(SEARCH("▽",Z87)))</formula>
    </cfRule>
    <cfRule type="containsText" priority="3549" operator="containsText" dxfId="1" text="▲">
      <formula>NOT(ISERROR(SEARCH("▲",Z87)))</formula>
    </cfRule>
    <cfRule type="containsText" priority="3550" operator="containsText" dxfId="0" text="▼">
      <formula>NOT(ISERROR(SEARCH("▼",Z87)))</formula>
    </cfRule>
    <cfRule type="containsText" priority="3547" operator="containsText" dxfId="1" text="▲">
      <formula>NOT(ISERROR(SEARCH("▲",Z87)))</formula>
    </cfRule>
    <cfRule type="containsText" priority="3548" operator="containsText" dxfId="0" text="▼">
      <formula>NOT(ISERROR(SEARCH("▼",Z87)))</formula>
    </cfRule>
    <cfRule type="containsText" priority="3545" operator="containsText" dxfId="1" text="▲">
      <formula>NOT(ISERROR(SEARCH("▲",Z87)))</formula>
    </cfRule>
    <cfRule type="containsText" priority="3546" operator="containsText" dxfId="0" text="▼">
      <formula>NOT(ISERROR(SEARCH("▼",Z87)))</formula>
    </cfRule>
    <cfRule type="containsText" priority="3543" operator="containsText" dxfId="1" text="▲">
      <formula>NOT(ISERROR(SEARCH("▲",Z87)))</formula>
    </cfRule>
    <cfRule type="containsText" priority="3544" operator="containsText" dxfId="0" text="▼">
      <formula>NOT(ISERROR(SEARCH("▼",Z87)))</formula>
    </cfRule>
    <cfRule type="containsText" priority="3541" operator="containsText" dxfId="1" text="▲">
      <formula>NOT(ISERROR(SEARCH("▲",Z87)))</formula>
    </cfRule>
    <cfRule type="containsText" priority="3542" operator="containsText" dxfId="0" text="▼">
      <formula>NOT(ISERROR(SEARCH("▼",Z87)))</formula>
    </cfRule>
    <cfRule type="containsText" priority="3539" operator="containsText" dxfId="1" text="▲">
      <formula>NOT(ISERROR(SEARCH("▲",Z87)))</formula>
    </cfRule>
    <cfRule type="containsText" priority="3540" operator="containsText" dxfId="0" text="▼">
      <formula>NOT(ISERROR(SEARCH("▼",Z87)))</formula>
    </cfRule>
    <cfRule type="containsText" priority="3537" operator="containsText" dxfId="1" text="▲">
      <formula>NOT(ISERROR(SEARCH("▲",Z87)))</formula>
    </cfRule>
    <cfRule type="containsText" priority="3538" operator="containsText" dxfId="0" text="▼">
      <formula>NOT(ISERROR(SEARCH("▼",Z87)))</formula>
    </cfRule>
    <cfRule type="containsText" priority="3535" operator="containsText" dxfId="1" text="▲">
      <formula>NOT(ISERROR(SEARCH("▲",Z87)))</formula>
    </cfRule>
    <cfRule type="containsText" priority="3536" operator="containsText" dxfId="0" text="▼">
      <formula>NOT(ISERROR(SEARCH("▼",Z87)))</formula>
    </cfRule>
    <cfRule type="containsText" priority="3533" operator="containsText" dxfId="1" text="▲">
      <formula>NOT(ISERROR(SEARCH("▲",Z87)))</formula>
    </cfRule>
    <cfRule type="containsText" priority="3534" operator="containsText" dxfId="0" text="▼">
      <formula>NOT(ISERROR(SEARCH("▼",Z87)))</formula>
    </cfRule>
    <cfRule type="containsText" priority="3531" operator="containsText" dxfId="1" text="▲">
      <formula>NOT(ISERROR(SEARCH("▲",Z87)))</formula>
    </cfRule>
    <cfRule type="containsText" priority="3532" operator="containsText" dxfId="0" text="▼">
      <formula>NOT(ISERROR(SEARCH("▼",Z87)))</formula>
    </cfRule>
    <cfRule type="containsText" priority="3529" operator="containsText" dxfId="1" text="▲">
      <formula>NOT(ISERROR(SEARCH("▲",Z87)))</formula>
    </cfRule>
    <cfRule type="containsText" priority="3530" operator="containsText" dxfId="0" text="▼">
      <formula>NOT(ISERROR(SEARCH("▼",Z87)))</formula>
    </cfRule>
    <cfRule type="containsText" priority="3527" operator="containsText" dxfId="1" text="▲">
      <formula>NOT(ISERROR(SEARCH("▲",Z87)))</formula>
    </cfRule>
    <cfRule type="containsText" priority="3528" operator="containsText" dxfId="0" text="▼">
      <formula>NOT(ISERROR(SEARCH("▼",Z87)))</formula>
    </cfRule>
    <cfRule type="containsText" priority="3525" operator="containsText" dxfId="1" text="▲">
      <formula>NOT(ISERROR(SEARCH("▲",Z87)))</formula>
    </cfRule>
    <cfRule type="containsText" priority="3526" operator="containsText" dxfId="0" text="▼">
      <formula>NOT(ISERROR(SEARCH("▼",Z87)))</formula>
    </cfRule>
    <cfRule type="containsText" priority="3523" operator="containsText" dxfId="1" text="▲">
      <formula>NOT(ISERROR(SEARCH("▲",Z87)))</formula>
    </cfRule>
    <cfRule type="containsText" priority="3524" operator="containsText" dxfId="0" text="▼">
      <formula>NOT(ISERROR(SEARCH("▼",Z87)))</formula>
    </cfRule>
    <cfRule type="containsText" priority="3521" operator="containsText" dxfId="1" text="▲">
      <formula>NOT(ISERROR(SEARCH("▲",Z87)))</formula>
    </cfRule>
    <cfRule type="containsText" priority="3522" operator="containsText" dxfId="0" text="▼">
      <formula>NOT(ISERROR(SEARCH("▼",Z87)))</formula>
    </cfRule>
    <cfRule type="containsText" priority="3519" operator="containsText" dxfId="1" text="▲">
      <formula>NOT(ISERROR(SEARCH("▲",Z87)))</formula>
    </cfRule>
    <cfRule type="containsText" priority="3520" operator="containsText" dxfId="0" text="▼">
      <formula>NOT(ISERROR(SEARCH("▼",Z87)))</formula>
    </cfRule>
    <cfRule type="containsText" priority="3517" operator="containsText" dxfId="1" text="▲">
      <formula>NOT(ISERROR(SEARCH("▲",Z87)))</formula>
    </cfRule>
    <cfRule type="containsText" priority="3518" operator="containsText" dxfId="0" text="▼">
      <formula>NOT(ISERROR(SEARCH("▼",Z87)))</formula>
    </cfRule>
    <cfRule type="containsText" priority="3515" operator="containsText" dxfId="1" text="▲">
      <formula>NOT(ISERROR(SEARCH("▲",Z87)))</formula>
    </cfRule>
    <cfRule type="containsText" priority="3516" operator="containsText" dxfId="0" text="▼">
      <formula>NOT(ISERROR(SEARCH("▼",Z87)))</formula>
    </cfRule>
    <cfRule type="containsText" priority="3513" operator="containsText" dxfId="1" text="▲">
      <formula>NOT(ISERROR(SEARCH("▲",Z87)))</formula>
    </cfRule>
    <cfRule type="containsText" priority="3514" operator="containsText" dxfId="0" text="▼">
      <formula>NOT(ISERROR(SEARCH("▼",Z87)))</formula>
    </cfRule>
    <cfRule type="containsText" priority="3511" operator="containsText" dxfId="1" text="▲">
      <formula>NOT(ISERROR(SEARCH("▲",Z87)))</formula>
    </cfRule>
    <cfRule type="containsText" priority="3512" operator="containsText" dxfId="0" text="▼">
      <formula>NOT(ISERROR(SEARCH("▼",Z87)))</formula>
    </cfRule>
    <cfRule type="containsText" priority="3509" operator="containsText" dxfId="1" text="▲">
      <formula>NOT(ISERROR(SEARCH("▲",Z87)))</formula>
    </cfRule>
    <cfRule type="containsText" priority="3510" operator="containsText" dxfId="0" text="▼">
      <formula>NOT(ISERROR(SEARCH("▼",Z87)))</formula>
    </cfRule>
    <cfRule type="containsText" priority="3507" operator="containsText" dxfId="1" text="▲">
      <formula>NOT(ISERROR(SEARCH("▲",Z87)))</formula>
    </cfRule>
    <cfRule type="containsText" priority="3508" operator="containsText" dxfId="0" text="▼">
      <formula>NOT(ISERROR(SEARCH("▼",Z87)))</formula>
    </cfRule>
    <cfRule type="containsText" priority="3505" operator="containsText" dxfId="1" text="▲">
      <formula>NOT(ISERROR(SEARCH("▲",Z87)))</formula>
    </cfRule>
    <cfRule type="containsText" priority="3506" operator="containsText" dxfId="0" text="▼">
      <formula>NOT(ISERROR(SEARCH("▼",Z87)))</formula>
    </cfRule>
    <cfRule type="containsText" priority="3503" operator="containsText" dxfId="1" text="▲">
      <formula>NOT(ISERROR(SEARCH("▲",Z87)))</formula>
    </cfRule>
    <cfRule type="containsText" priority="3504" operator="containsText" dxfId="0" text="▼">
      <formula>NOT(ISERROR(SEARCH("▼",Z87)))</formula>
    </cfRule>
  </conditionalFormatting>
  <conditionalFormatting sqref="AA61:AA64">
    <cfRule type="containsText" priority="3499" operator="containsText" dxfId="1" text="▲">
      <formula>NOT(ISERROR(SEARCH("▲",AA61)))</formula>
    </cfRule>
    <cfRule type="containsText" priority="3500" operator="containsText" dxfId="0" text="▼">
      <formula>NOT(ISERROR(SEARCH("▼",AA61)))</formula>
    </cfRule>
    <cfRule type="containsText" priority="3497" operator="containsText" dxfId="1" text="△">
      <formula>NOT(ISERROR(SEARCH("△",AA61)))</formula>
    </cfRule>
    <cfRule type="containsText" priority="3498" operator="containsText" dxfId="0" text="▽">
      <formula>NOT(ISERROR(SEARCH("▽",AA61)))</formula>
    </cfRule>
    <cfRule type="containsText" priority="3495" operator="containsText" dxfId="1" text="▲">
      <formula>NOT(ISERROR(SEARCH("▲",AA61)))</formula>
    </cfRule>
    <cfRule type="containsText" priority="3496" operator="containsText" dxfId="0" text="▼">
      <formula>NOT(ISERROR(SEARCH("▼",AA61)))</formula>
    </cfRule>
    <cfRule type="containsText" priority="3493" operator="containsText" dxfId="1" text="▲">
      <formula>NOT(ISERROR(SEARCH("▲",AA61)))</formula>
    </cfRule>
    <cfRule type="containsText" priority="3494" operator="containsText" dxfId="0" text="▼">
      <formula>NOT(ISERROR(SEARCH("▼",AA61)))</formula>
    </cfRule>
    <cfRule type="containsText" priority="3491" operator="containsText" dxfId="1" text="▲">
      <formula>NOT(ISERROR(SEARCH("▲",AA61)))</formula>
    </cfRule>
    <cfRule type="containsText" priority="3492" operator="containsText" dxfId="0" text="▼">
      <formula>NOT(ISERROR(SEARCH("▼",AA61)))</formula>
    </cfRule>
    <cfRule type="containsText" priority="3489" operator="containsText" dxfId="1" text="▲">
      <formula>NOT(ISERROR(SEARCH("▲",AA61)))</formula>
    </cfRule>
    <cfRule type="containsText" priority="3490" operator="containsText" dxfId="0" text="▼">
      <formula>NOT(ISERROR(SEARCH("▼",AA61)))</formula>
    </cfRule>
    <cfRule type="containsText" priority="3487" operator="containsText" dxfId="1" text="▲">
      <formula>NOT(ISERROR(SEARCH("▲",AA61)))</formula>
    </cfRule>
    <cfRule type="containsText" priority="3488" operator="containsText" dxfId="0" text="▼">
      <formula>NOT(ISERROR(SEARCH("▼",AA61)))</formula>
    </cfRule>
    <cfRule type="containsText" priority="3485" operator="containsText" dxfId="1" text="▲">
      <formula>NOT(ISERROR(SEARCH("▲",AA61)))</formula>
    </cfRule>
    <cfRule type="containsText" priority="3486" operator="containsText" dxfId="0" text="▼">
      <formula>NOT(ISERROR(SEARCH("▼",AA61)))</formula>
    </cfRule>
    <cfRule type="containsText" priority="3483" operator="containsText" dxfId="1" text="▲">
      <formula>NOT(ISERROR(SEARCH("▲",AA61)))</formula>
    </cfRule>
    <cfRule type="containsText" priority="3484" operator="containsText" dxfId="0" text="▼">
      <formula>NOT(ISERROR(SEARCH("▼",AA61)))</formula>
    </cfRule>
    <cfRule type="containsText" priority="3481" operator="containsText" dxfId="1" text="▲">
      <formula>NOT(ISERROR(SEARCH("▲",AA61)))</formula>
    </cfRule>
    <cfRule type="containsText" priority="3482" operator="containsText" dxfId="0" text="▼">
      <formula>NOT(ISERROR(SEARCH("▼",AA61)))</formula>
    </cfRule>
    <cfRule type="containsText" priority="3479" operator="containsText" dxfId="1" text="▲">
      <formula>NOT(ISERROR(SEARCH("▲",AA61)))</formula>
    </cfRule>
    <cfRule type="containsText" priority="3480" operator="containsText" dxfId="0" text="▼">
      <formula>NOT(ISERROR(SEARCH("▼",AA61)))</formula>
    </cfRule>
    <cfRule type="containsText" priority="3477" operator="containsText" dxfId="1" text="▲">
      <formula>NOT(ISERROR(SEARCH("▲",AA61)))</formula>
    </cfRule>
    <cfRule type="containsText" priority="3478" operator="containsText" dxfId="0" text="▼">
      <formula>NOT(ISERROR(SEARCH("▼",AA61)))</formula>
    </cfRule>
    <cfRule type="containsText" priority="3475" operator="containsText" dxfId="1" text="▲">
      <formula>NOT(ISERROR(SEARCH("▲",AA61)))</formula>
    </cfRule>
    <cfRule type="containsText" priority="3476" operator="containsText" dxfId="0" text="▼">
      <formula>NOT(ISERROR(SEARCH("▼",AA61)))</formula>
    </cfRule>
    <cfRule type="containsText" priority="3473" operator="containsText" dxfId="1" text="▲">
      <formula>NOT(ISERROR(SEARCH("▲",AA61)))</formula>
    </cfRule>
    <cfRule type="containsText" priority="3474" operator="containsText" dxfId="0" text="▼">
      <formula>NOT(ISERROR(SEARCH("▼",AA61)))</formula>
    </cfRule>
    <cfRule type="containsText" priority="3471" operator="containsText" dxfId="1" text="▲">
      <formula>NOT(ISERROR(SEARCH("▲",AA61)))</formula>
    </cfRule>
    <cfRule type="containsText" priority="3472" operator="containsText" dxfId="0" text="▼">
      <formula>NOT(ISERROR(SEARCH("▼",AA61)))</formula>
    </cfRule>
    <cfRule type="containsText" priority="3469" operator="containsText" dxfId="1" text="▲">
      <formula>NOT(ISERROR(SEARCH("▲",AA61)))</formula>
    </cfRule>
    <cfRule type="containsText" priority="3470" operator="containsText" dxfId="0" text="▼">
      <formula>NOT(ISERROR(SEARCH("▼",AA61)))</formula>
    </cfRule>
    <cfRule type="containsText" priority="3467" operator="containsText" dxfId="1" text="▲">
      <formula>NOT(ISERROR(SEARCH("▲",AA61)))</formula>
    </cfRule>
    <cfRule type="containsText" priority="3468" operator="containsText" dxfId="0" text="▼">
      <formula>NOT(ISERROR(SEARCH("▼",AA61)))</formula>
    </cfRule>
    <cfRule type="containsText" priority="3465" operator="containsText" dxfId="1" text="▲">
      <formula>NOT(ISERROR(SEARCH("▲",AA61)))</formula>
    </cfRule>
    <cfRule type="containsText" priority="3466" operator="containsText" dxfId="0" text="▼">
      <formula>NOT(ISERROR(SEARCH("▼",AA61)))</formula>
    </cfRule>
    <cfRule type="containsText" priority="3463" operator="containsText" dxfId="1" text="▲">
      <formula>NOT(ISERROR(SEARCH("▲",AA61)))</formula>
    </cfRule>
    <cfRule type="containsText" priority="3464" operator="containsText" dxfId="0" text="▼">
      <formula>NOT(ISERROR(SEARCH("▼",AA61)))</formula>
    </cfRule>
    <cfRule type="containsText" priority="3461" operator="containsText" dxfId="1" text="▲">
      <formula>NOT(ISERROR(SEARCH("▲",AA61)))</formula>
    </cfRule>
    <cfRule type="containsText" priority="3462" operator="containsText" dxfId="0" text="▼">
      <formula>NOT(ISERROR(SEARCH("▼",AA61)))</formula>
    </cfRule>
    <cfRule type="containsText" priority="3459" operator="containsText" dxfId="1" text="▲">
      <formula>NOT(ISERROR(SEARCH("▲",AA61)))</formula>
    </cfRule>
    <cfRule type="containsText" priority="3460" operator="containsText" dxfId="0" text="▼">
      <formula>NOT(ISERROR(SEARCH("▼",AA61)))</formula>
    </cfRule>
    <cfRule type="containsText" priority="3457" operator="containsText" dxfId="1" text="▲">
      <formula>NOT(ISERROR(SEARCH("▲",AA61)))</formula>
    </cfRule>
    <cfRule type="containsText" priority="3458" operator="containsText" dxfId="0" text="▼">
      <formula>NOT(ISERROR(SEARCH("▼",AA61)))</formula>
    </cfRule>
    <cfRule type="containsText" priority="3455" operator="containsText" dxfId="1" text="▲">
      <formula>NOT(ISERROR(SEARCH("▲",AA61)))</formula>
    </cfRule>
    <cfRule type="containsText" priority="3456" operator="containsText" dxfId="0" text="▼">
      <formula>NOT(ISERROR(SEARCH("▼",AA61)))</formula>
    </cfRule>
    <cfRule type="containsText" priority="3453" operator="containsText" dxfId="1" text="▲">
      <formula>NOT(ISERROR(SEARCH("▲",AA61)))</formula>
    </cfRule>
    <cfRule type="containsText" priority="3454" operator="containsText" dxfId="0" text="▼">
      <formula>NOT(ISERROR(SEARCH("▼",AA61)))</formula>
    </cfRule>
    <cfRule type="containsText" priority="3451" operator="containsText" dxfId="1" text="▲">
      <formula>NOT(ISERROR(SEARCH("▲",AA61)))</formula>
    </cfRule>
    <cfRule type="containsText" priority="3452" operator="containsText" dxfId="0" text="▼">
      <formula>NOT(ISERROR(SEARCH("▼",AA61)))</formula>
    </cfRule>
    <cfRule type="containsText" priority="3449" operator="containsText" dxfId="1" text="▲">
      <formula>NOT(ISERROR(SEARCH("▲",AA61)))</formula>
    </cfRule>
    <cfRule type="containsText" priority="3450" operator="containsText" dxfId="0" text="▼">
      <formula>NOT(ISERROR(SEARCH("▼",AA61)))</formula>
    </cfRule>
  </conditionalFormatting>
  <conditionalFormatting sqref="Z60">
    <cfRule type="containsText" priority="3447" operator="containsText" dxfId="1" text="△">
      <formula>NOT(ISERROR(SEARCH("△",Z60)))</formula>
    </cfRule>
    <cfRule type="containsText" priority="3448" operator="containsText" dxfId="0" text="▽">
      <formula>NOT(ISERROR(SEARCH("▽",Z60)))</formula>
    </cfRule>
    <cfRule type="cellIs" priority="3445" operator="lessThan" dxfId="41">
      <formula>0</formula>
    </cfRule>
    <cfRule type="cellIs" priority="3446" operator="greaterThan" dxfId="40">
      <formula>0</formula>
    </cfRule>
    <cfRule type="containsText" priority="3443" operator="containsText" dxfId="1" text="▲">
      <formula>NOT(ISERROR(SEARCH("▲",Z60)))</formula>
    </cfRule>
    <cfRule type="containsText" priority="3444" operator="containsText" dxfId="0" text="▼">
      <formula>NOT(ISERROR(SEARCH("▼",Z60)))</formula>
    </cfRule>
    <cfRule type="containsText" priority="3441" operator="containsText" dxfId="1" text="▲">
      <formula>NOT(ISERROR(SEARCH("▲",Z60)))</formula>
    </cfRule>
    <cfRule type="containsText" priority="3442" operator="containsText" dxfId="0" text="▼">
      <formula>NOT(ISERROR(SEARCH("▼",Z60)))</formula>
    </cfRule>
    <cfRule type="containsText" priority="3439" operator="containsText" dxfId="1" text="▲">
      <formula>NOT(ISERROR(SEARCH("▲",Z60)))</formula>
    </cfRule>
    <cfRule type="containsText" priority="3440" operator="containsText" dxfId="0" text="▼">
      <formula>NOT(ISERROR(SEARCH("▼",Z60)))</formula>
    </cfRule>
    <cfRule type="containsText" priority="3437" operator="containsText" dxfId="1" text="▲">
      <formula>NOT(ISERROR(SEARCH("▲",Z60)))</formula>
    </cfRule>
    <cfRule type="containsText" priority="3438" operator="containsText" dxfId="0" text="▼">
      <formula>NOT(ISERROR(SEARCH("▼",Z60)))</formula>
    </cfRule>
    <cfRule type="containsText" priority="3435" operator="containsText" dxfId="1" text="▲">
      <formula>NOT(ISERROR(SEARCH("▲",Z60)))</formula>
    </cfRule>
    <cfRule type="containsText" priority="3436" operator="containsText" dxfId="0" text="▼">
      <formula>NOT(ISERROR(SEARCH("▼",Z60)))</formula>
    </cfRule>
    <cfRule type="containsText" priority="3433" operator="containsText" dxfId="1" text="▲">
      <formula>NOT(ISERROR(SEARCH("▲",Z60)))</formula>
    </cfRule>
    <cfRule type="containsText" priority="3434" operator="containsText" dxfId="0" text="▼">
      <formula>NOT(ISERROR(SEARCH("▼",Z60)))</formula>
    </cfRule>
    <cfRule type="containsText" priority="3431" operator="containsText" dxfId="1" text="▲">
      <formula>NOT(ISERROR(SEARCH("▲",Z60)))</formula>
    </cfRule>
    <cfRule type="containsText" priority="3432" operator="containsText" dxfId="0" text="▼">
      <formula>NOT(ISERROR(SEARCH("▼",Z60)))</formula>
    </cfRule>
    <cfRule type="containsText" priority="3429" operator="containsText" dxfId="1" text="▲">
      <formula>NOT(ISERROR(SEARCH("▲",Z60)))</formula>
    </cfRule>
    <cfRule type="containsText" priority="3430" operator="containsText" dxfId="0" text="▼">
      <formula>NOT(ISERROR(SEARCH("▼",Z60)))</formula>
    </cfRule>
    <cfRule type="containsText" priority="3427" operator="containsText" dxfId="1" text="▲">
      <formula>NOT(ISERROR(SEARCH("▲",Z60)))</formula>
    </cfRule>
    <cfRule type="containsText" priority="3428" operator="containsText" dxfId="0" text="▼">
      <formula>NOT(ISERROR(SEARCH("▼",Z60)))</formula>
    </cfRule>
    <cfRule type="containsText" priority="3425" operator="containsText" dxfId="1" text="▲">
      <formula>NOT(ISERROR(SEARCH("▲",Z60)))</formula>
    </cfRule>
    <cfRule type="containsText" priority="3426" operator="containsText" dxfId="0" text="▼">
      <formula>NOT(ISERROR(SEARCH("▼",Z60)))</formula>
    </cfRule>
    <cfRule type="containsText" priority="3423" operator="containsText" dxfId="1" text="▲">
      <formula>NOT(ISERROR(SEARCH("▲",Z60)))</formula>
    </cfRule>
    <cfRule type="containsText" priority="3424" operator="containsText" dxfId="0" text="▼">
      <formula>NOT(ISERROR(SEARCH("▼",Z60)))</formula>
    </cfRule>
    <cfRule type="containsText" priority="3421" operator="containsText" dxfId="1" text="▲">
      <formula>NOT(ISERROR(SEARCH("▲",Z60)))</formula>
    </cfRule>
    <cfRule type="containsText" priority="3422" operator="containsText" dxfId="0" text="▼">
      <formula>NOT(ISERROR(SEARCH("▼",Z60)))</formula>
    </cfRule>
    <cfRule type="containsText" priority="3419" operator="containsText" dxfId="1" text="▲">
      <formula>NOT(ISERROR(SEARCH("▲",Z60)))</formula>
    </cfRule>
    <cfRule type="containsText" priority="3420" operator="containsText" dxfId="0" text="▼">
      <formula>NOT(ISERROR(SEARCH("▼",Z60)))</formula>
    </cfRule>
    <cfRule type="containsText" priority="3417" operator="containsText" dxfId="1" text="▲">
      <formula>NOT(ISERROR(SEARCH("▲",Z60)))</formula>
    </cfRule>
    <cfRule type="containsText" priority="3418" operator="containsText" dxfId="0" text="▼">
      <formula>NOT(ISERROR(SEARCH("▼",Z60)))</formula>
    </cfRule>
    <cfRule type="containsText" priority="3415" operator="containsText" dxfId="1" text="▲">
      <formula>NOT(ISERROR(SEARCH("▲",Z60)))</formula>
    </cfRule>
    <cfRule type="containsText" priority="3416" operator="containsText" dxfId="0" text="▼">
      <formula>NOT(ISERROR(SEARCH("▼",Z60)))</formula>
    </cfRule>
    <cfRule type="containsText" priority="3413" operator="containsText" dxfId="1" text="▲">
      <formula>NOT(ISERROR(SEARCH("▲",Z60)))</formula>
    </cfRule>
    <cfRule type="containsText" priority="3414" operator="containsText" dxfId="0" text="▼">
      <formula>NOT(ISERROR(SEARCH("▼",Z60)))</formula>
    </cfRule>
    <cfRule type="containsText" priority="3411" operator="containsText" dxfId="1" text="▲">
      <formula>NOT(ISERROR(SEARCH("▲",Z60)))</formula>
    </cfRule>
    <cfRule type="containsText" priority="3412" operator="containsText" dxfId="0" text="▼">
      <formula>NOT(ISERROR(SEARCH("▼",Z60)))</formula>
    </cfRule>
    <cfRule type="containsText" priority="3409" operator="containsText" dxfId="1" text="▲">
      <formula>NOT(ISERROR(SEARCH("▲",Z60)))</formula>
    </cfRule>
    <cfRule type="containsText" priority="3410" operator="containsText" dxfId="0" text="▼">
      <formula>NOT(ISERROR(SEARCH("▼",Z60)))</formula>
    </cfRule>
    <cfRule type="containsText" priority="3407" operator="containsText" dxfId="1" text="▲">
      <formula>NOT(ISERROR(SEARCH("▲",Z60)))</formula>
    </cfRule>
    <cfRule type="containsText" priority="3408" operator="containsText" dxfId="0" text="▼">
      <formula>NOT(ISERROR(SEARCH("▼",Z60)))</formula>
    </cfRule>
    <cfRule type="containsText" priority="3405" operator="containsText" dxfId="1" text="▲">
      <formula>NOT(ISERROR(SEARCH("▲",Z60)))</formula>
    </cfRule>
    <cfRule type="containsText" priority="3406" operator="containsText" dxfId="0" text="▼">
      <formula>NOT(ISERROR(SEARCH("▼",Z60)))</formula>
    </cfRule>
    <cfRule type="containsText" priority="3403" operator="containsText" dxfId="1" text="▲">
      <formula>NOT(ISERROR(SEARCH("▲",Z60)))</formula>
    </cfRule>
    <cfRule type="containsText" priority="3404" operator="containsText" dxfId="0" text="▼">
      <formula>NOT(ISERROR(SEARCH("▼",Z60)))</formula>
    </cfRule>
    <cfRule type="containsText" priority="3401" operator="containsText" dxfId="1" text="▲">
      <formula>NOT(ISERROR(SEARCH("▲",Z60)))</formula>
    </cfRule>
    <cfRule type="containsText" priority="3402" operator="containsText" dxfId="0" text="▼">
      <formula>NOT(ISERROR(SEARCH("▼",Z60)))</formula>
    </cfRule>
    <cfRule type="containsText" priority="3399" operator="containsText" dxfId="1" text="▲">
      <formula>NOT(ISERROR(SEARCH("▲",Z60)))</formula>
    </cfRule>
    <cfRule type="containsText" priority="3400" operator="containsText" dxfId="0" text="▼">
      <formula>NOT(ISERROR(SEARCH("▼",Z60)))</formula>
    </cfRule>
    <cfRule type="containsText" priority="3397" operator="containsText" dxfId="1" text="▲">
      <formula>NOT(ISERROR(SEARCH("▲",Z60)))</formula>
    </cfRule>
    <cfRule type="containsText" priority="3398" operator="containsText" dxfId="0" text="▼">
      <formula>NOT(ISERROR(SEARCH("▼",Z60)))</formula>
    </cfRule>
    <cfRule type="containsText" priority="3395" operator="containsText" dxfId="1" text="▲">
      <formula>NOT(ISERROR(SEARCH("▲",Z60)))</formula>
    </cfRule>
    <cfRule type="containsText" priority="3396" operator="containsText" dxfId="0" text="▼">
      <formula>NOT(ISERROR(SEARCH("▼",Z60)))</formula>
    </cfRule>
    <cfRule type="containsText" priority="3393" operator="containsText" dxfId="1" text="▲">
      <formula>NOT(ISERROR(SEARCH("▲",Z60)))</formula>
    </cfRule>
    <cfRule type="containsText" priority="3394" operator="containsText" dxfId="0" text="▼">
      <formula>NOT(ISERROR(SEARCH("▼",Z60)))</formula>
    </cfRule>
    <cfRule type="containsText" priority="3391" operator="containsText" dxfId="1" text="▲">
      <formula>NOT(ISERROR(SEARCH("▲",Z60)))</formula>
    </cfRule>
    <cfRule type="containsText" priority="3392" operator="containsText" dxfId="0" text="▼">
      <formula>NOT(ISERROR(SEARCH("▼",Z60)))</formula>
    </cfRule>
    <cfRule type="containsText" priority="3389" operator="containsText" dxfId="1" text="▲">
      <formula>NOT(ISERROR(SEARCH("▲",Z60)))</formula>
    </cfRule>
    <cfRule type="containsText" priority="3390" operator="containsText" dxfId="0" text="▼">
      <formula>NOT(ISERROR(SEARCH("▼",Z60)))</formula>
    </cfRule>
    <cfRule type="containsText" priority="3387" operator="containsText" dxfId="1" text="▲">
      <formula>NOT(ISERROR(SEARCH("▲",Z60)))</formula>
    </cfRule>
    <cfRule type="containsText" priority="3388" operator="containsText" dxfId="0" text="▼">
      <formula>NOT(ISERROR(SEARCH("▼",Z60)))</formula>
    </cfRule>
    <cfRule type="containsText" priority="3385" operator="containsText" dxfId="1" text="▲">
      <formula>NOT(ISERROR(SEARCH("▲",Z60)))</formula>
    </cfRule>
    <cfRule type="containsText" priority="3386" operator="containsText" dxfId="0" text="▼">
      <formula>NOT(ISERROR(SEARCH("▼",Z60)))</formula>
    </cfRule>
    <cfRule type="containsText" priority="3383" operator="containsText" dxfId="1" text="▲">
      <formula>NOT(ISERROR(SEARCH("▲",Z60)))</formula>
    </cfRule>
    <cfRule type="containsText" priority="3384" operator="containsText" dxfId="0" text="▼">
      <formula>NOT(ISERROR(SEARCH("▼",Z60)))</formula>
    </cfRule>
    <cfRule type="containsText" priority="3381" operator="containsText" dxfId="1" text="△">
      <formula>NOT(ISERROR(SEARCH("△",Z60)))</formula>
    </cfRule>
    <cfRule type="containsText" priority="3382" operator="containsText" dxfId="0" text="▽">
      <formula>NOT(ISERROR(SEARCH("▽",Z60)))</formula>
    </cfRule>
    <cfRule type="containsText" priority="3379" operator="containsText" dxfId="1" text="▲">
      <formula>NOT(ISERROR(SEARCH("▲",Z60)))</formula>
    </cfRule>
    <cfRule type="containsText" priority="3380" operator="containsText" dxfId="0" text="▼">
      <formula>NOT(ISERROR(SEARCH("▼",Z60)))</formula>
    </cfRule>
    <cfRule type="containsText" priority="3377" operator="containsText" dxfId="1" text="▲">
      <formula>NOT(ISERROR(SEARCH("▲",Z60)))</formula>
    </cfRule>
    <cfRule type="containsText" priority="3378" operator="containsText" dxfId="0" text="▼">
      <formula>NOT(ISERROR(SEARCH("▼",Z60)))</formula>
    </cfRule>
    <cfRule type="containsText" priority="3375" operator="containsText" dxfId="1" text="▲">
      <formula>NOT(ISERROR(SEARCH("▲",Z60)))</formula>
    </cfRule>
    <cfRule type="containsText" priority="3376" operator="containsText" dxfId="0" text="▼">
      <formula>NOT(ISERROR(SEARCH("▼",Z60)))</formula>
    </cfRule>
    <cfRule type="containsText" priority="3373" operator="containsText" dxfId="1" text="▲">
      <formula>NOT(ISERROR(SEARCH("▲",Z60)))</formula>
    </cfRule>
    <cfRule type="containsText" priority="3374" operator="containsText" dxfId="0" text="▼">
      <formula>NOT(ISERROR(SEARCH("▼",Z60)))</formula>
    </cfRule>
    <cfRule type="containsText" priority="3371" operator="containsText" dxfId="1" text="▲">
      <formula>NOT(ISERROR(SEARCH("▲",Z60)))</formula>
    </cfRule>
    <cfRule type="containsText" priority="3372" operator="containsText" dxfId="0" text="▼">
      <formula>NOT(ISERROR(SEARCH("▼",Z60)))</formula>
    </cfRule>
    <cfRule type="containsText" priority="3369" operator="containsText" dxfId="1" text="▲">
      <formula>NOT(ISERROR(SEARCH("▲",Z60)))</formula>
    </cfRule>
    <cfRule type="containsText" priority="3370" operator="containsText" dxfId="0" text="▼">
      <formula>NOT(ISERROR(SEARCH("▼",Z60)))</formula>
    </cfRule>
    <cfRule type="containsText" priority="3367" operator="containsText" dxfId="1" text="▲">
      <formula>NOT(ISERROR(SEARCH("▲",Z60)))</formula>
    </cfRule>
    <cfRule type="containsText" priority="3368" operator="containsText" dxfId="0" text="▼">
      <formula>NOT(ISERROR(SEARCH("▼",Z60)))</formula>
    </cfRule>
    <cfRule type="containsText" priority="3365" operator="containsText" dxfId="1" text="▲">
      <formula>NOT(ISERROR(SEARCH("▲",Z60)))</formula>
    </cfRule>
    <cfRule type="containsText" priority="3366" operator="containsText" dxfId="0" text="▼">
      <formula>NOT(ISERROR(SEARCH("▼",Z60)))</formula>
    </cfRule>
    <cfRule type="containsText" priority="3363" operator="containsText" dxfId="1" text="▲">
      <formula>NOT(ISERROR(SEARCH("▲",Z60)))</formula>
    </cfRule>
    <cfRule type="containsText" priority="3364" operator="containsText" dxfId="0" text="▼">
      <formula>NOT(ISERROR(SEARCH("▼",Z60)))</formula>
    </cfRule>
    <cfRule type="containsText" priority="3361" operator="containsText" dxfId="1" text="▲">
      <formula>NOT(ISERROR(SEARCH("▲",Z60)))</formula>
    </cfRule>
    <cfRule type="containsText" priority="3362" operator="containsText" dxfId="0" text="▼">
      <formula>NOT(ISERROR(SEARCH("▼",Z60)))</formula>
    </cfRule>
    <cfRule type="containsText" priority="3359" operator="containsText" dxfId="1" text="▲">
      <formula>NOT(ISERROR(SEARCH("▲",Z60)))</formula>
    </cfRule>
    <cfRule type="containsText" priority="3360" operator="containsText" dxfId="0" text="▼">
      <formula>NOT(ISERROR(SEARCH("▼",Z60)))</formula>
    </cfRule>
    <cfRule type="containsText" priority="3357" operator="containsText" dxfId="1" text="▲">
      <formula>NOT(ISERROR(SEARCH("▲",Z60)))</formula>
    </cfRule>
    <cfRule type="containsText" priority="3358" operator="containsText" dxfId="0" text="▼">
      <formula>NOT(ISERROR(SEARCH("▼",Z60)))</formula>
    </cfRule>
    <cfRule type="containsText" priority="3355" operator="containsText" dxfId="1" text="▲">
      <formula>NOT(ISERROR(SEARCH("▲",Z60)))</formula>
    </cfRule>
    <cfRule type="containsText" priority="3356" operator="containsText" dxfId="0" text="▼">
      <formula>NOT(ISERROR(SEARCH("▼",Z60)))</formula>
    </cfRule>
    <cfRule type="containsText" priority="3353" operator="containsText" dxfId="1" text="▲">
      <formula>NOT(ISERROR(SEARCH("▲",Z60)))</formula>
    </cfRule>
    <cfRule type="containsText" priority="3354" operator="containsText" dxfId="0" text="▼">
      <formula>NOT(ISERROR(SEARCH("▼",Z60)))</formula>
    </cfRule>
    <cfRule type="containsText" priority="3351" operator="containsText" dxfId="1" text="▲">
      <formula>NOT(ISERROR(SEARCH("▲",Z60)))</formula>
    </cfRule>
    <cfRule type="containsText" priority="3352" operator="containsText" dxfId="0" text="▼">
      <formula>NOT(ISERROR(SEARCH("▼",Z60)))</formula>
    </cfRule>
    <cfRule type="containsText" priority="3349" operator="containsText" dxfId="1" text="▲">
      <formula>NOT(ISERROR(SEARCH("▲",Z60)))</formula>
    </cfRule>
    <cfRule type="containsText" priority="3350" operator="containsText" dxfId="0" text="▼">
      <formula>NOT(ISERROR(SEARCH("▼",Z60)))</formula>
    </cfRule>
    <cfRule type="containsText" priority="3347" operator="containsText" dxfId="1" text="▲">
      <formula>NOT(ISERROR(SEARCH("▲",Z60)))</formula>
    </cfRule>
    <cfRule type="containsText" priority="3348" operator="containsText" dxfId="0" text="▼">
      <formula>NOT(ISERROR(SEARCH("▼",Z60)))</formula>
    </cfRule>
    <cfRule type="containsText" priority="3345" operator="containsText" dxfId="1" text="▲">
      <formula>NOT(ISERROR(SEARCH("▲",Z60)))</formula>
    </cfRule>
    <cfRule type="containsText" priority="3346" operator="containsText" dxfId="0" text="▼">
      <formula>NOT(ISERROR(SEARCH("▼",Z60)))</formula>
    </cfRule>
    <cfRule type="containsText" priority="3343" operator="containsText" dxfId="1" text="▲">
      <formula>NOT(ISERROR(SEARCH("▲",Z60)))</formula>
    </cfRule>
    <cfRule type="containsText" priority="3344" operator="containsText" dxfId="0" text="▼">
      <formula>NOT(ISERROR(SEARCH("▼",Z60)))</formula>
    </cfRule>
    <cfRule type="containsText" priority="3341" operator="containsText" dxfId="1" text="▲">
      <formula>NOT(ISERROR(SEARCH("▲",Z60)))</formula>
    </cfRule>
    <cfRule type="containsText" priority="3342" operator="containsText" dxfId="0" text="▼">
      <formula>NOT(ISERROR(SEARCH("▼",Z60)))</formula>
    </cfRule>
    <cfRule type="containsText" priority="3339" operator="containsText" dxfId="1" text="▲">
      <formula>NOT(ISERROR(SEARCH("▲",Z60)))</formula>
    </cfRule>
    <cfRule type="containsText" priority="3340" operator="containsText" dxfId="0" text="▼">
      <formula>NOT(ISERROR(SEARCH("▼",Z60)))</formula>
    </cfRule>
    <cfRule type="containsText" priority="3337" operator="containsText" dxfId="1" text="▲">
      <formula>NOT(ISERROR(SEARCH("▲",Z60)))</formula>
    </cfRule>
    <cfRule type="containsText" priority="3338" operator="containsText" dxfId="0" text="▼">
      <formula>NOT(ISERROR(SEARCH("▼",Z60)))</formula>
    </cfRule>
    <cfRule type="containsText" priority="3335" operator="containsText" dxfId="1" text="▲">
      <formula>NOT(ISERROR(SEARCH("▲",Z60)))</formula>
    </cfRule>
    <cfRule type="containsText" priority="3336" operator="containsText" dxfId="0" text="▼">
      <formula>NOT(ISERROR(SEARCH("▼",Z60)))</formula>
    </cfRule>
    <cfRule type="containsText" priority="3333" operator="containsText" dxfId="1" text="▲">
      <formula>NOT(ISERROR(SEARCH("▲",Z60)))</formula>
    </cfRule>
    <cfRule type="containsText" priority="3334" operator="containsText" dxfId="0" text="▼">
      <formula>NOT(ISERROR(SEARCH("▼",Z60)))</formula>
    </cfRule>
    <cfRule type="containsText" priority="3331" operator="containsText" dxfId="1" text="▲">
      <formula>NOT(ISERROR(SEARCH("▲",Z60)))</formula>
    </cfRule>
    <cfRule type="containsText" priority="3332" operator="containsText" dxfId="0" text="▼">
      <formula>NOT(ISERROR(SEARCH("▼",Z60)))</formula>
    </cfRule>
    <cfRule type="containsText" priority="3329" operator="containsText" dxfId="1" text="△">
      <formula>NOT(ISERROR(SEARCH("△",Z60)))</formula>
    </cfRule>
    <cfRule type="containsText" priority="3330" operator="containsText" dxfId="0" text="▽">
      <formula>NOT(ISERROR(SEARCH("▽",Z60)))</formula>
    </cfRule>
    <cfRule type="containsText" priority="3327" operator="containsText" dxfId="1" text="▲">
      <formula>NOT(ISERROR(SEARCH("▲",Z60)))</formula>
    </cfRule>
    <cfRule type="containsText" priority="3328" operator="containsText" dxfId="0" text="▼">
      <formula>NOT(ISERROR(SEARCH("▼",Z60)))</formula>
    </cfRule>
    <cfRule type="containsText" priority="3325" operator="containsText" dxfId="1" text="▲">
      <formula>NOT(ISERROR(SEARCH("▲",Z60)))</formula>
    </cfRule>
    <cfRule type="containsText" priority="3326" operator="containsText" dxfId="0" text="▼">
      <formula>NOT(ISERROR(SEARCH("▼",Z60)))</formula>
    </cfRule>
    <cfRule type="containsText" priority="3323" operator="containsText" dxfId="1" text="▲">
      <formula>NOT(ISERROR(SEARCH("▲",Z60)))</formula>
    </cfRule>
    <cfRule type="containsText" priority="3324" operator="containsText" dxfId="0" text="▼">
      <formula>NOT(ISERROR(SEARCH("▼",Z60)))</formula>
    </cfRule>
    <cfRule type="containsText" priority="3321" operator="containsText" dxfId="1" text="▲">
      <formula>NOT(ISERROR(SEARCH("▲",Z60)))</formula>
    </cfRule>
    <cfRule type="containsText" priority="3322" operator="containsText" dxfId="0" text="▼">
      <formula>NOT(ISERROR(SEARCH("▼",Z60)))</formula>
    </cfRule>
    <cfRule type="containsText" priority="3319" operator="containsText" dxfId="1" text="▲">
      <formula>NOT(ISERROR(SEARCH("▲",Z60)))</formula>
    </cfRule>
    <cfRule type="containsText" priority="3320" operator="containsText" dxfId="0" text="▼">
      <formula>NOT(ISERROR(SEARCH("▼",Z60)))</formula>
    </cfRule>
    <cfRule type="containsText" priority="3317" operator="containsText" dxfId="1" text="▲">
      <formula>NOT(ISERROR(SEARCH("▲",Z60)))</formula>
    </cfRule>
    <cfRule type="containsText" priority="3318" operator="containsText" dxfId="0" text="▼">
      <formula>NOT(ISERROR(SEARCH("▼",Z60)))</formula>
    </cfRule>
    <cfRule type="containsText" priority="3315" operator="containsText" dxfId="1" text="▲">
      <formula>NOT(ISERROR(SEARCH("▲",Z60)))</formula>
    </cfRule>
    <cfRule type="containsText" priority="3316" operator="containsText" dxfId="0" text="▼">
      <formula>NOT(ISERROR(SEARCH("▼",Z60)))</formula>
    </cfRule>
    <cfRule type="containsText" priority="3313" operator="containsText" dxfId="1" text="▲">
      <formula>NOT(ISERROR(SEARCH("▲",Z60)))</formula>
    </cfRule>
    <cfRule type="containsText" priority="3314" operator="containsText" dxfId="0" text="▼">
      <formula>NOT(ISERROR(SEARCH("▼",Z60)))</formula>
    </cfRule>
    <cfRule type="containsText" priority="3311" operator="containsText" dxfId="1" text="▲">
      <formula>NOT(ISERROR(SEARCH("▲",Z60)))</formula>
    </cfRule>
    <cfRule type="containsText" priority="3312" operator="containsText" dxfId="0" text="▼">
      <formula>NOT(ISERROR(SEARCH("▼",Z60)))</formula>
    </cfRule>
    <cfRule type="containsText" priority="3309" operator="containsText" dxfId="1" text="▲">
      <formula>NOT(ISERROR(SEARCH("▲",Z60)))</formula>
    </cfRule>
    <cfRule type="containsText" priority="3310" operator="containsText" dxfId="0" text="▼">
      <formula>NOT(ISERROR(SEARCH("▼",Z60)))</formula>
    </cfRule>
    <cfRule type="containsText" priority="3307" operator="containsText" dxfId="1" text="▲">
      <formula>NOT(ISERROR(SEARCH("▲",Z60)))</formula>
    </cfRule>
    <cfRule type="containsText" priority="3308" operator="containsText" dxfId="0" text="▼">
      <formula>NOT(ISERROR(SEARCH("▼",Z60)))</formula>
    </cfRule>
    <cfRule type="containsText" priority="3305" operator="containsText" dxfId="1" text="▲">
      <formula>NOT(ISERROR(SEARCH("▲",Z60)))</formula>
    </cfRule>
    <cfRule type="containsText" priority="3306" operator="containsText" dxfId="0" text="▼">
      <formula>NOT(ISERROR(SEARCH("▼",Z60)))</formula>
    </cfRule>
    <cfRule type="containsText" priority="3303" operator="containsText" dxfId="1" text="▲">
      <formula>NOT(ISERROR(SEARCH("▲",Z60)))</formula>
    </cfRule>
    <cfRule type="containsText" priority="3304" operator="containsText" dxfId="0" text="▼">
      <formula>NOT(ISERROR(SEARCH("▼",Z60)))</formula>
    </cfRule>
    <cfRule type="containsText" priority="3301" operator="containsText" dxfId="1" text="▲">
      <formula>NOT(ISERROR(SEARCH("▲",Z60)))</formula>
    </cfRule>
    <cfRule type="containsText" priority="3302" operator="containsText" dxfId="0" text="▼">
      <formula>NOT(ISERROR(SEARCH("▼",Z60)))</formula>
    </cfRule>
    <cfRule type="containsText" priority="3299" operator="containsText" dxfId="1" text="▲">
      <formula>NOT(ISERROR(SEARCH("▲",Z60)))</formula>
    </cfRule>
    <cfRule type="containsText" priority="3300" operator="containsText" dxfId="0" text="▼">
      <formula>NOT(ISERROR(SEARCH("▼",Z60)))</formula>
    </cfRule>
    <cfRule type="containsText" priority="3297" operator="containsText" dxfId="1" text="▲">
      <formula>NOT(ISERROR(SEARCH("▲",Z60)))</formula>
    </cfRule>
    <cfRule type="containsText" priority="3298" operator="containsText" dxfId="0" text="▼">
      <formula>NOT(ISERROR(SEARCH("▼",Z60)))</formula>
    </cfRule>
    <cfRule type="containsText" priority="3295" operator="containsText" dxfId="1" text="▲">
      <formula>NOT(ISERROR(SEARCH("▲",Z60)))</formula>
    </cfRule>
    <cfRule type="containsText" priority="3296" operator="containsText" dxfId="0" text="▼">
      <formula>NOT(ISERROR(SEARCH("▼",Z60)))</formula>
    </cfRule>
    <cfRule type="containsText" priority="3293" operator="containsText" dxfId="1" text="▲">
      <formula>NOT(ISERROR(SEARCH("▲",Z60)))</formula>
    </cfRule>
    <cfRule type="containsText" priority="3294" operator="containsText" dxfId="0" text="▼">
      <formula>NOT(ISERROR(SEARCH("▼",Z60)))</formula>
    </cfRule>
    <cfRule type="containsText" priority="3291" operator="containsText" dxfId="1" text="▲">
      <formula>NOT(ISERROR(SEARCH("▲",Z60)))</formula>
    </cfRule>
    <cfRule type="containsText" priority="3292" operator="containsText" dxfId="0" text="▼">
      <formula>NOT(ISERROR(SEARCH("▼",Z60)))</formula>
    </cfRule>
    <cfRule type="containsText" priority="3289" operator="containsText" dxfId="1" text="▲">
      <formula>NOT(ISERROR(SEARCH("▲",Z60)))</formula>
    </cfRule>
    <cfRule type="containsText" priority="3290" operator="containsText" dxfId="0" text="▼">
      <formula>NOT(ISERROR(SEARCH("▼",Z60)))</formula>
    </cfRule>
    <cfRule type="containsText" priority="3287" operator="containsText" dxfId="1" text="▲">
      <formula>NOT(ISERROR(SEARCH("▲",Z60)))</formula>
    </cfRule>
    <cfRule type="containsText" priority="3288" operator="containsText" dxfId="0" text="▼">
      <formula>NOT(ISERROR(SEARCH("▼",Z60)))</formula>
    </cfRule>
    <cfRule type="containsText" priority="3285" operator="containsText" dxfId="1" text="▲">
      <formula>NOT(ISERROR(SEARCH("▲",Z60)))</formula>
    </cfRule>
    <cfRule type="containsText" priority="3286" operator="containsText" dxfId="0" text="▼">
      <formula>NOT(ISERROR(SEARCH("▼",Z60)))</formula>
    </cfRule>
    <cfRule type="containsText" priority="3283" operator="containsText" dxfId="1" text="▲">
      <formula>NOT(ISERROR(SEARCH("▲",Z60)))</formula>
    </cfRule>
    <cfRule type="containsText" priority="3284" operator="containsText" dxfId="0" text="▼">
      <formula>NOT(ISERROR(SEARCH("▼",Z60)))</formula>
    </cfRule>
    <cfRule type="containsText" priority="3281" operator="containsText" dxfId="1" text="▲">
      <formula>NOT(ISERROR(SEARCH("▲",Z60)))</formula>
    </cfRule>
    <cfRule type="containsText" priority="3282" operator="containsText" dxfId="0" text="▼">
      <formula>NOT(ISERROR(SEARCH("▼",Z60)))</formula>
    </cfRule>
    <cfRule type="containsText" priority="3279" operator="containsText" dxfId="1" text="△">
      <formula>NOT(ISERROR(SEARCH("△",Z60)))</formula>
    </cfRule>
    <cfRule type="containsText" priority="3280" operator="containsText" dxfId="0" text="▽">
      <formula>NOT(ISERROR(SEARCH("▽",Z60)))</formula>
    </cfRule>
    <cfRule type="containsText" priority="3277" operator="containsText" dxfId="1" text="▲">
      <formula>NOT(ISERROR(SEARCH("▲",Z60)))</formula>
    </cfRule>
    <cfRule type="containsText" priority="3278" operator="containsText" dxfId="0" text="▼">
      <formula>NOT(ISERROR(SEARCH("▼",Z60)))</formula>
    </cfRule>
    <cfRule type="containsText" priority="3275" operator="containsText" dxfId="1" text="▲">
      <formula>NOT(ISERROR(SEARCH("▲",Z60)))</formula>
    </cfRule>
    <cfRule type="containsText" priority="3276" operator="containsText" dxfId="0" text="▼">
      <formula>NOT(ISERROR(SEARCH("▼",Z60)))</formula>
    </cfRule>
    <cfRule type="containsText" priority="3273" operator="containsText" dxfId="1" text="▲">
      <formula>NOT(ISERROR(SEARCH("▲",Z60)))</formula>
    </cfRule>
    <cfRule type="containsText" priority="3274" operator="containsText" dxfId="0" text="▼">
      <formula>NOT(ISERROR(SEARCH("▼",Z60)))</formula>
    </cfRule>
    <cfRule type="containsText" priority="3271" operator="containsText" dxfId="1" text="▲">
      <formula>NOT(ISERROR(SEARCH("▲",Z60)))</formula>
    </cfRule>
    <cfRule type="containsText" priority="3272" operator="containsText" dxfId="0" text="▼">
      <formula>NOT(ISERROR(SEARCH("▼",Z60)))</formula>
    </cfRule>
    <cfRule type="containsText" priority="3269" operator="containsText" dxfId="1" text="▲">
      <formula>NOT(ISERROR(SEARCH("▲",Z60)))</formula>
    </cfRule>
    <cfRule type="containsText" priority="3270" operator="containsText" dxfId="0" text="▼">
      <formula>NOT(ISERROR(SEARCH("▼",Z60)))</formula>
    </cfRule>
    <cfRule type="containsText" priority="3267" operator="containsText" dxfId="1" text="▲">
      <formula>NOT(ISERROR(SEARCH("▲",Z60)))</formula>
    </cfRule>
    <cfRule type="containsText" priority="3268" operator="containsText" dxfId="0" text="▼">
      <formula>NOT(ISERROR(SEARCH("▼",Z60)))</formula>
    </cfRule>
    <cfRule type="containsText" priority="3265" operator="containsText" dxfId="1" text="▲">
      <formula>NOT(ISERROR(SEARCH("▲",Z60)))</formula>
    </cfRule>
    <cfRule type="containsText" priority="3266" operator="containsText" dxfId="0" text="▼">
      <formula>NOT(ISERROR(SEARCH("▼",Z60)))</formula>
    </cfRule>
    <cfRule type="containsText" priority="3263" operator="containsText" dxfId="1" text="▲">
      <formula>NOT(ISERROR(SEARCH("▲",Z60)))</formula>
    </cfRule>
    <cfRule type="containsText" priority="3264" operator="containsText" dxfId="0" text="▼">
      <formula>NOT(ISERROR(SEARCH("▼",Z60)))</formula>
    </cfRule>
    <cfRule type="containsText" priority="3261" operator="containsText" dxfId="1" text="▲">
      <formula>NOT(ISERROR(SEARCH("▲",Z60)))</formula>
    </cfRule>
    <cfRule type="containsText" priority="3262" operator="containsText" dxfId="0" text="▼">
      <formula>NOT(ISERROR(SEARCH("▼",Z60)))</formula>
    </cfRule>
    <cfRule type="containsText" priority="3259" operator="containsText" dxfId="1" text="▲">
      <formula>NOT(ISERROR(SEARCH("▲",Z60)))</formula>
    </cfRule>
    <cfRule type="containsText" priority="3260" operator="containsText" dxfId="0" text="▼">
      <formula>NOT(ISERROR(SEARCH("▼",Z60)))</formula>
    </cfRule>
    <cfRule type="containsText" priority="3257" operator="containsText" dxfId="1" text="▲">
      <formula>NOT(ISERROR(SEARCH("▲",Z60)))</formula>
    </cfRule>
    <cfRule type="containsText" priority="3258" operator="containsText" dxfId="0" text="▼">
      <formula>NOT(ISERROR(SEARCH("▼",Z60)))</formula>
    </cfRule>
    <cfRule type="containsText" priority="3255" operator="containsText" dxfId="1" text="▲">
      <formula>NOT(ISERROR(SEARCH("▲",Z60)))</formula>
    </cfRule>
    <cfRule type="containsText" priority="3256" operator="containsText" dxfId="0" text="▼">
      <formula>NOT(ISERROR(SEARCH("▼",Z60)))</formula>
    </cfRule>
    <cfRule type="containsText" priority="3253" operator="containsText" dxfId="1" text="▲">
      <formula>NOT(ISERROR(SEARCH("▲",Z60)))</formula>
    </cfRule>
    <cfRule type="containsText" priority="3254" operator="containsText" dxfId="0" text="▼">
      <formula>NOT(ISERROR(SEARCH("▼",Z60)))</formula>
    </cfRule>
    <cfRule type="containsText" priority="3251" operator="containsText" dxfId="1" text="▲">
      <formula>NOT(ISERROR(SEARCH("▲",Z60)))</formula>
    </cfRule>
    <cfRule type="containsText" priority="3252" operator="containsText" dxfId="0" text="▼">
      <formula>NOT(ISERROR(SEARCH("▼",Z60)))</formula>
    </cfRule>
    <cfRule type="containsText" priority="3249" operator="containsText" dxfId="1" text="▲">
      <formula>NOT(ISERROR(SEARCH("▲",Z60)))</formula>
    </cfRule>
    <cfRule type="containsText" priority="3250" operator="containsText" dxfId="0" text="▼">
      <formula>NOT(ISERROR(SEARCH("▼",Z60)))</formula>
    </cfRule>
    <cfRule type="containsText" priority="3247" operator="containsText" dxfId="1" text="▲">
      <formula>NOT(ISERROR(SEARCH("▲",Z60)))</formula>
    </cfRule>
    <cfRule type="containsText" priority="3248" operator="containsText" dxfId="0" text="▼">
      <formula>NOT(ISERROR(SEARCH("▼",Z60)))</formula>
    </cfRule>
    <cfRule type="containsText" priority="3245" operator="containsText" dxfId="1" text="▲">
      <formula>NOT(ISERROR(SEARCH("▲",Z60)))</formula>
    </cfRule>
    <cfRule type="containsText" priority="3246" operator="containsText" dxfId="0" text="▼">
      <formula>NOT(ISERROR(SEARCH("▼",Z60)))</formula>
    </cfRule>
    <cfRule type="containsText" priority="3243" operator="containsText" dxfId="1" text="▲">
      <formula>NOT(ISERROR(SEARCH("▲",Z60)))</formula>
    </cfRule>
    <cfRule type="containsText" priority="3244" operator="containsText" dxfId="0" text="▼">
      <formula>NOT(ISERROR(SEARCH("▼",Z60)))</formula>
    </cfRule>
    <cfRule type="containsText" priority="3241" operator="containsText" dxfId="1" text="▲">
      <formula>NOT(ISERROR(SEARCH("▲",Z60)))</formula>
    </cfRule>
    <cfRule type="containsText" priority="3242" operator="containsText" dxfId="0" text="▼">
      <formula>NOT(ISERROR(SEARCH("▼",Z60)))</formula>
    </cfRule>
    <cfRule type="containsText" priority="3239" operator="containsText" dxfId="1" text="▲">
      <formula>NOT(ISERROR(SEARCH("▲",Z60)))</formula>
    </cfRule>
    <cfRule type="containsText" priority="3240" operator="containsText" dxfId="0" text="▼">
      <formula>NOT(ISERROR(SEARCH("▼",Z60)))</formula>
    </cfRule>
    <cfRule type="containsText" priority="3237" operator="containsText" dxfId="1" text="▲">
      <formula>NOT(ISERROR(SEARCH("▲",Z60)))</formula>
    </cfRule>
    <cfRule type="containsText" priority="3238" operator="containsText" dxfId="0" text="▼">
      <formula>NOT(ISERROR(SEARCH("▼",Z60)))</formula>
    </cfRule>
    <cfRule type="containsText" priority="3235" operator="containsText" dxfId="1" text="▲">
      <formula>NOT(ISERROR(SEARCH("▲",Z60)))</formula>
    </cfRule>
    <cfRule type="containsText" priority="3236" operator="containsText" dxfId="0" text="▼">
      <formula>NOT(ISERROR(SEARCH("▼",Z60)))</formula>
    </cfRule>
    <cfRule type="containsText" priority="3233" operator="containsText" dxfId="1" text="▲">
      <formula>NOT(ISERROR(SEARCH("▲",Z60)))</formula>
    </cfRule>
    <cfRule type="containsText" priority="3234" operator="containsText" dxfId="0" text="▼">
      <formula>NOT(ISERROR(SEARCH("▼",Z60)))</formula>
    </cfRule>
    <cfRule type="containsText" priority="3231" operator="containsText" dxfId="1" text="▲">
      <formula>NOT(ISERROR(SEARCH("▲",Z60)))</formula>
    </cfRule>
    <cfRule type="containsText" priority="3232" operator="containsText" dxfId="0" text="▼">
      <formula>NOT(ISERROR(SEARCH("▼",Z60)))</formula>
    </cfRule>
    <cfRule type="containsText" priority="3229" operator="containsText" dxfId="1" text="▲">
      <formula>NOT(ISERROR(SEARCH("▲",Z60)))</formula>
    </cfRule>
    <cfRule type="containsText" priority="3230" operator="containsText" dxfId="0" text="▼">
      <formula>NOT(ISERROR(SEARCH("▼",Z60)))</formula>
    </cfRule>
    <cfRule type="containsText" priority="3227" operator="containsText" dxfId="1" text="△">
      <formula>NOT(ISERROR(SEARCH("△",Z60)))</formula>
    </cfRule>
    <cfRule type="containsText" priority="3228" operator="containsText" dxfId="0" text="▽">
      <formula>NOT(ISERROR(SEARCH("▽",Z60)))</formula>
    </cfRule>
    <cfRule type="containsText" priority="3225" operator="containsText" dxfId="1" text="▲">
      <formula>NOT(ISERROR(SEARCH("▲",Z60)))</formula>
    </cfRule>
    <cfRule type="containsText" priority="3226" operator="containsText" dxfId="0" text="▼">
      <formula>NOT(ISERROR(SEARCH("▼",Z60)))</formula>
    </cfRule>
    <cfRule type="containsText" priority="3223" operator="containsText" dxfId="1" text="▲">
      <formula>NOT(ISERROR(SEARCH("▲",Z60)))</formula>
    </cfRule>
    <cfRule type="containsText" priority="3224" operator="containsText" dxfId="0" text="▼">
      <formula>NOT(ISERROR(SEARCH("▼",Z60)))</formula>
    </cfRule>
    <cfRule type="containsText" priority="3221" operator="containsText" dxfId="1" text="▲">
      <formula>NOT(ISERROR(SEARCH("▲",Z60)))</formula>
    </cfRule>
    <cfRule type="containsText" priority="3222" operator="containsText" dxfId="0" text="▼">
      <formula>NOT(ISERROR(SEARCH("▼",Z60)))</formula>
    </cfRule>
    <cfRule type="containsText" priority="3219" operator="containsText" dxfId="1" text="▲">
      <formula>NOT(ISERROR(SEARCH("▲",Z60)))</formula>
    </cfRule>
    <cfRule type="containsText" priority="3220" operator="containsText" dxfId="0" text="▼">
      <formula>NOT(ISERROR(SEARCH("▼",Z60)))</formula>
    </cfRule>
    <cfRule type="containsText" priority="3217" operator="containsText" dxfId="1" text="▲">
      <formula>NOT(ISERROR(SEARCH("▲",Z60)))</formula>
    </cfRule>
    <cfRule type="containsText" priority="3218" operator="containsText" dxfId="0" text="▼">
      <formula>NOT(ISERROR(SEARCH("▼",Z60)))</formula>
    </cfRule>
    <cfRule type="containsText" priority="3215" operator="containsText" dxfId="1" text="▲">
      <formula>NOT(ISERROR(SEARCH("▲",Z60)))</formula>
    </cfRule>
    <cfRule type="containsText" priority="3216" operator="containsText" dxfId="0" text="▼">
      <formula>NOT(ISERROR(SEARCH("▼",Z60)))</formula>
    </cfRule>
    <cfRule type="containsText" priority="3213" operator="containsText" dxfId="1" text="▲">
      <formula>NOT(ISERROR(SEARCH("▲",Z60)))</formula>
    </cfRule>
    <cfRule type="containsText" priority="3214" operator="containsText" dxfId="0" text="▼">
      <formula>NOT(ISERROR(SEARCH("▼",Z60)))</formula>
    </cfRule>
    <cfRule type="containsText" priority="3211" operator="containsText" dxfId="1" text="▲">
      <formula>NOT(ISERROR(SEARCH("▲",Z60)))</formula>
    </cfRule>
    <cfRule type="containsText" priority="3212" operator="containsText" dxfId="0" text="▼">
      <formula>NOT(ISERROR(SEARCH("▼",Z60)))</formula>
    </cfRule>
    <cfRule type="containsText" priority="3209" operator="containsText" dxfId="1" text="▲">
      <formula>NOT(ISERROR(SEARCH("▲",Z60)))</formula>
    </cfRule>
    <cfRule type="containsText" priority="3210" operator="containsText" dxfId="0" text="▼">
      <formula>NOT(ISERROR(SEARCH("▼",Z60)))</formula>
    </cfRule>
    <cfRule type="containsText" priority="3207" operator="containsText" dxfId="1" text="▲">
      <formula>NOT(ISERROR(SEARCH("▲",Z60)))</formula>
    </cfRule>
    <cfRule type="containsText" priority="3208" operator="containsText" dxfId="0" text="▼">
      <formula>NOT(ISERROR(SEARCH("▼",Z60)))</formula>
    </cfRule>
    <cfRule type="containsText" priority="3205" operator="containsText" dxfId="1" text="▲">
      <formula>NOT(ISERROR(SEARCH("▲",Z60)))</formula>
    </cfRule>
    <cfRule type="containsText" priority="3206" operator="containsText" dxfId="0" text="▼">
      <formula>NOT(ISERROR(SEARCH("▼",Z60)))</formula>
    </cfRule>
    <cfRule type="containsText" priority="3203" operator="containsText" dxfId="1" text="▲">
      <formula>NOT(ISERROR(SEARCH("▲",Z60)))</formula>
    </cfRule>
    <cfRule type="containsText" priority="3204" operator="containsText" dxfId="0" text="▼">
      <formula>NOT(ISERROR(SEARCH("▼",Z60)))</formula>
    </cfRule>
    <cfRule type="containsText" priority="3201" operator="containsText" dxfId="1" text="▲">
      <formula>NOT(ISERROR(SEARCH("▲",Z60)))</formula>
    </cfRule>
    <cfRule type="containsText" priority="3202" operator="containsText" dxfId="0" text="▼">
      <formula>NOT(ISERROR(SEARCH("▼",Z60)))</formula>
    </cfRule>
    <cfRule type="containsText" priority="3199" operator="containsText" dxfId="1" text="▲">
      <formula>NOT(ISERROR(SEARCH("▲",Z60)))</formula>
    </cfRule>
    <cfRule type="containsText" priority="3200" operator="containsText" dxfId="0" text="▼">
      <formula>NOT(ISERROR(SEARCH("▼",Z60)))</formula>
    </cfRule>
    <cfRule type="containsText" priority="3197" operator="containsText" dxfId="1" text="▲">
      <formula>NOT(ISERROR(SEARCH("▲",Z60)))</formula>
    </cfRule>
    <cfRule type="containsText" priority="3198" operator="containsText" dxfId="0" text="▼">
      <formula>NOT(ISERROR(SEARCH("▼",Z60)))</formula>
    </cfRule>
    <cfRule type="containsText" priority="3195" operator="containsText" dxfId="1" text="▲">
      <formula>NOT(ISERROR(SEARCH("▲",Z60)))</formula>
    </cfRule>
    <cfRule type="containsText" priority="3196" operator="containsText" dxfId="0" text="▼">
      <formula>NOT(ISERROR(SEARCH("▼",Z60)))</formula>
    </cfRule>
    <cfRule type="containsText" priority="3193" operator="containsText" dxfId="1" text="▲">
      <formula>NOT(ISERROR(SEARCH("▲",Z60)))</formula>
    </cfRule>
    <cfRule type="containsText" priority="3194" operator="containsText" dxfId="0" text="▼">
      <formula>NOT(ISERROR(SEARCH("▼",Z60)))</formula>
    </cfRule>
    <cfRule type="containsText" priority="3191" operator="containsText" dxfId="1" text="▲">
      <formula>NOT(ISERROR(SEARCH("▲",Z60)))</formula>
    </cfRule>
    <cfRule type="containsText" priority="3192" operator="containsText" dxfId="0" text="▼">
      <formula>NOT(ISERROR(SEARCH("▼",Z60)))</formula>
    </cfRule>
    <cfRule type="containsText" priority="3189" operator="containsText" dxfId="1" text="▲">
      <formula>NOT(ISERROR(SEARCH("▲",Z60)))</formula>
    </cfRule>
    <cfRule type="containsText" priority="3190" operator="containsText" dxfId="0" text="▼">
      <formula>NOT(ISERROR(SEARCH("▼",Z60)))</formula>
    </cfRule>
    <cfRule type="containsText" priority="3187" operator="containsText" dxfId="1" text="▲">
      <formula>NOT(ISERROR(SEARCH("▲",Z60)))</formula>
    </cfRule>
    <cfRule type="containsText" priority="3188" operator="containsText" dxfId="0" text="▼">
      <formula>NOT(ISERROR(SEARCH("▼",Z60)))</formula>
    </cfRule>
    <cfRule type="containsText" priority="3185" operator="containsText" dxfId="1" text="▲">
      <formula>NOT(ISERROR(SEARCH("▲",Z60)))</formula>
    </cfRule>
    <cfRule type="containsText" priority="3186" operator="containsText" dxfId="0" text="▼">
      <formula>NOT(ISERROR(SEARCH("▼",Z60)))</formula>
    </cfRule>
    <cfRule type="containsText" priority="3183" operator="containsText" dxfId="1" text="▲">
      <formula>NOT(ISERROR(SEARCH("▲",Z60)))</formula>
    </cfRule>
    <cfRule type="containsText" priority="3184" operator="containsText" dxfId="0" text="▼">
      <formula>NOT(ISERROR(SEARCH("▼",Z60)))</formula>
    </cfRule>
    <cfRule type="containsText" priority="3181" operator="containsText" dxfId="1" text="▲">
      <formula>NOT(ISERROR(SEARCH("▲",Z60)))</formula>
    </cfRule>
    <cfRule type="containsText" priority="3182" operator="containsText" dxfId="0" text="▼">
      <formula>NOT(ISERROR(SEARCH("▼",Z60)))</formula>
    </cfRule>
    <cfRule type="containsText" priority="3179" operator="containsText" dxfId="1" text="▲">
      <formula>NOT(ISERROR(SEARCH("▲",Z60)))</formula>
    </cfRule>
    <cfRule type="containsText" priority="3180" operator="containsText" dxfId="0" text="▼">
      <formula>NOT(ISERROR(SEARCH("▼",Z60)))</formula>
    </cfRule>
  </conditionalFormatting>
  <conditionalFormatting sqref="Z88:Z92">
    <cfRule type="cellIs" priority="3177" operator="lessThan" dxfId="41">
      <formula>0</formula>
    </cfRule>
    <cfRule type="cellIs" priority="3178" operator="greaterThan" dxfId="40">
      <formula>0</formula>
    </cfRule>
  </conditionalFormatting>
  <conditionalFormatting sqref="Z88:AA92">
    <cfRule type="containsText" priority="3175" operator="containsText" dxfId="1" text="▲">
      <formula>NOT(ISERROR(SEARCH("▲",Z88)))</formula>
    </cfRule>
    <cfRule type="containsText" priority="3176" operator="containsText" dxfId="0" text="▼">
      <formula>NOT(ISERROR(SEARCH("▼",Z88)))</formula>
    </cfRule>
  </conditionalFormatting>
  <conditionalFormatting sqref="Z90:AA90">
    <cfRule type="containsText" priority="3173" operator="containsText" dxfId="1" text="△">
      <formula>NOT(ISERROR(SEARCH("△",Z90)))</formula>
    </cfRule>
    <cfRule type="containsText" priority="3174" operator="containsText" dxfId="0" text="▽">
      <formula>NOT(ISERROR(SEARCH("▽",Z90)))</formula>
    </cfRule>
    <cfRule type="containsText" priority="3171" operator="containsText" dxfId="1" text="▲">
      <formula>NOT(ISERROR(SEARCH("▲",Z90)))</formula>
    </cfRule>
    <cfRule type="containsText" priority="3172" operator="containsText" dxfId="0" text="▼">
      <formula>NOT(ISERROR(SEARCH("▼",Z90)))</formula>
    </cfRule>
    <cfRule type="containsText" priority="3169" operator="containsText" dxfId="1" text="▲">
      <formula>NOT(ISERROR(SEARCH("▲",Z90)))</formula>
    </cfRule>
    <cfRule type="containsText" priority="3170" operator="containsText" dxfId="0" text="▼">
      <formula>NOT(ISERROR(SEARCH("▼",Z90)))</formula>
    </cfRule>
    <cfRule type="containsText" priority="3167" operator="containsText" dxfId="1" text="▲">
      <formula>NOT(ISERROR(SEARCH("▲",Z90)))</formula>
    </cfRule>
    <cfRule type="containsText" priority="3168" operator="containsText" dxfId="0" text="▼">
      <formula>NOT(ISERROR(SEARCH("▼",Z90)))</formula>
    </cfRule>
    <cfRule type="containsText" priority="3165" operator="containsText" dxfId="1" text="▲">
      <formula>NOT(ISERROR(SEARCH("▲",Z90)))</formula>
    </cfRule>
    <cfRule type="containsText" priority="3166" operator="containsText" dxfId="0" text="▼">
      <formula>NOT(ISERROR(SEARCH("▼",Z90)))</formula>
    </cfRule>
    <cfRule type="containsText" priority="3163" operator="containsText" dxfId="1" text="▲">
      <formula>NOT(ISERROR(SEARCH("▲",Z90)))</formula>
    </cfRule>
    <cfRule type="containsText" priority="3164" operator="containsText" dxfId="0" text="▼">
      <formula>NOT(ISERROR(SEARCH("▼",Z90)))</formula>
    </cfRule>
    <cfRule type="containsText" priority="3161" operator="containsText" dxfId="1" text="▲">
      <formula>NOT(ISERROR(SEARCH("▲",Z90)))</formula>
    </cfRule>
    <cfRule type="containsText" priority="3162" operator="containsText" dxfId="0" text="▼">
      <formula>NOT(ISERROR(SEARCH("▼",Z90)))</formula>
    </cfRule>
    <cfRule type="containsText" priority="3159" operator="containsText" dxfId="1" text="▲">
      <formula>NOT(ISERROR(SEARCH("▲",Z90)))</formula>
    </cfRule>
    <cfRule type="containsText" priority="3160" operator="containsText" dxfId="0" text="▼">
      <formula>NOT(ISERROR(SEARCH("▼",Z90)))</formula>
    </cfRule>
    <cfRule type="containsText" priority="3157" operator="containsText" dxfId="1" text="▲">
      <formula>NOT(ISERROR(SEARCH("▲",Z90)))</formula>
    </cfRule>
    <cfRule type="containsText" priority="3158" operator="containsText" dxfId="0" text="▼">
      <formula>NOT(ISERROR(SEARCH("▼",Z90)))</formula>
    </cfRule>
    <cfRule type="containsText" priority="3155" operator="containsText" dxfId="1" text="▲">
      <formula>NOT(ISERROR(SEARCH("▲",Z90)))</formula>
    </cfRule>
    <cfRule type="containsText" priority="3156" operator="containsText" dxfId="0" text="▼">
      <formula>NOT(ISERROR(SEARCH("▼",Z90)))</formula>
    </cfRule>
    <cfRule type="containsText" priority="3153" operator="containsText" dxfId="1" text="▲">
      <formula>NOT(ISERROR(SEARCH("▲",Z90)))</formula>
    </cfRule>
    <cfRule type="containsText" priority="3154" operator="containsText" dxfId="0" text="▼">
      <formula>NOT(ISERROR(SEARCH("▼",Z90)))</formula>
    </cfRule>
    <cfRule type="containsText" priority="3151" operator="containsText" dxfId="1" text="▲">
      <formula>NOT(ISERROR(SEARCH("▲",Z90)))</formula>
    </cfRule>
    <cfRule type="containsText" priority="3152" operator="containsText" dxfId="0" text="▼">
      <formula>NOT(ISERROR(SEARCH("▼",Z90)))</formula>
    </cfRule>
    <cfRule type="containsText" priority="3149" operator="containsText" dxfId="1" text="▲">
      <formula>NOT(ISERROR(SEARCH("▲",Z90)))</formula>
    </cfRule>
    <cfRule type="containsText" priority="3150" operator="containsText" dxfId="0" text="▼">
      <formula>NOT(ISERROR(SEARCH("▼",Z90)))</formula>
    </cfRule>
    <cfRule type="containsText" priority="3147" operator="containsText" dxfId="1" text="▲">
      <formula>NOT(ISERROR(SEARCH("▲",Z90)))</formula>
    </cfRule>
    <cfRule type="containsText" priority="3148" operator="containsText" dxfId="0" text="▼">
      <formula>NOT(ISERROR(SEARCH("▼",Z90)))</formula>
    </cfRule>
    <cfRule type="containsText" priority="3145" operator="containsText" dxfId="1" text="▲">
      <formula>NOT(ISERROR(SEARCH("▲",Z90)))</formula>
    </cfRule>
    <cfRule type="containsText" priority="3146" operator="containsText" dxfId="0" text="▼">
      <formula>NOT(ISERROR(SEARCH("▼",Z90)))</formula>
    </cfRule>
    <cfRule type="containsText" priority="3143" operator="containsText" dxfId="1" text="▲">
      <formula>NOT(ISERROR(SEARCH("▲",Z90)))</formula>
    </cfRule>
    <cfRule type="containsText" priority="3144" operator="containsText" dxfId="0" text="▼">
      <formula>NOT(ISERROR(SEARCH("▼",Z90)))</formula>
    </cfRule>
    <cfRule type="containsText" priority="3141" operator="containsText" dxfId="1" text="▲">
      <formula>NOT(ISERROR(SEARCH("▲",Z90)))</formula>
    </cfRule>
    <cfRule type="containsText" priority="3142" operator="containsText" dxfId="0" text="▼">
      <formula>NOT(ISERROR(SEARCH("▼",Z90)))</formula>
    </cfRule>
    <cfRule type="containsText" priority="3139" operator="containsText" dxfId="1" text="▲">
      <formula>NOT(ISERROR(SEARCH("▲",Z90)))</formula>
    </cfRule>
    <cfRule type="containsText" priority="3140" operator="containsText" dxfId="0" text="▼">
      <formula>NOT(ISERROR(SEARCH("▼",Z90)))</formula>
    </cfRule>
    <cfRule type="containsText" priority="3137" operator="containsText" dxfId="1" text="▲">
      <formula>NOT(ISERROR(SEARCH("▲",Z90)))</formula>
    </cfRule>
    <cfRule type="containsText" priority="3138" operator="containsText" dxfId="0" text="▼">
      <formula>NOT(ISERROR(SEARCH("▼",Z90)))</formula>
    </cfRule>
    <cfRule type="containsText" priority="3135" operator="containsText" dxfId="1" text="▲">
      <formula>NOT(ISERROR(SEARCH("▲",Z90)))</formula>
    </cfRule>
    <cfRule type="containsText" priority="3136" operator="containsText" dxfId="0" text="▼">
      <formula>NOT(ISERROR(SEARCH("▼",Z90)))</formula>
    </cfRule>
    <cfRule type="containsText" priority="3133" operator="containsText" dxfId="1" text="▲">
      <formula>NOT(ISERROR(SEARCH("▲",Z90)))</formula>
    </cfRule>
    <cfRule type="containsText" priority="3134" operator="containsText" dxfId="0" text="▼">
      <formula>NOT(ISERROR(SEARCH("▼",Z90)))</formula>
    </cfRule>
    <cfRule type="containsText" priority="3131" operator="containsText" dxfId="1" text="▲">
      <formula>NOT(ISERROR(SEARCH("▲",Z90)))</formula>
    </cfRule>
    <cfRule type="containsText" priority="3132" operator="containsText" dxfId="0" text="▼">
      <formula>NOT(ISERROR(SEARCH("▼",Z90)))</formula>
    </cfRule>
    <cfRule type="containsText" priority="3129" operator="containsText" dxfId="1" text="▲">
      <formula>NOT(ISERROR(SEARCH("▲",Z90)))</formula>
    </cfRule>
    <cfRule type="containsText" priority="3130" operator="containsText" dxfId="0" text="▼">
      <formula>NOT(ISERROR(SEARCH("▼",Z90)))</formula>
    </cfRule>
    <cfRule type="containsText" priority="3127" operator="containsText" dxfId="1" text="▲">
      <formula>NOT(ISERROR(SEARCH("▲",Z90)))</formula>
    </cfRule>
    <cfRule type="containsText" priority="3128" operator="containsText" dxfId="0" text="▼">
      <formula>NOT(ISERROR(SEARCH("▼",Z90)))</formula>
    </cfRule>
    <cfRule type="containsText" priority="3125" operator="containsText" dxfId="1" text="▲">
      <formula>NOT(ISERROR(SEARCH("▲",Z90)))</formula>
    </cfRule>
    <cfRule type="containsText" priority="3126" operator="containsText" dxfId="0" text="▼">
      <formula>NOT(ISERROR(SEARCH("▼",Z90)))</formula>
    </cfRule>
  </conditionalFormatting>
  <conditionalFormatting sqref="Z89:AA89">
    <cfRule type="containsText" priority="3123" operator="containsText" dxfId="1" text="△">
      <formula>NOT(ISERROR(SEARCH("△",Z89)))</formula>
    </cfRule>
    <cfRule type="containsText" priority="3124" operator="containsText" dxfId="0" text="▽">
      <formula>NOT(ISERROR(SEARCH("▽",Z89)))</formula>
    </cfRule>
    <cfRule type="containsText" priority="3121" operator="containsText" dxfId="1" text="▲">
      <formula>NOT(ISERROR(SEARCH("▲",Z89)))</formula>
    </cfRule>
    <cfRule type="containsText" priority="3122" operator="containsText" dxfId="0" text="▼">
      <formula>NOT(ISERROR(SEARCH("▼",Z89)))</formula>
    </cfRule>
    <cfRule type="containsText" priority="3119" operator="containsText" dxfId="1" text="▲">
      <formula>NOT(ISERROR(SEARCH("▲",Z89)))</formula>
    </cfRule>
    <cfRule type="containsText" priority="3120" operator="containsText" dxfId="0" text="▼">
      <formula>NOT(ISERROR(SEARCH("▼",Z89)))</formula>
    </cfRule>
    <cfRule type="containsText" priority="3117" operator="containsText" dxfId="1" text="▲">
      <formula>NOT(ISERROR(SEARCH("▲",Z89)))</formula>
    </cfRule>
    <cfRule type="containsText" priority="3118" operator="containsText" dxfId="0" text="▼">
      <formula>NOT(ISERROR(SEARCH("▼",Z89)))</formula>
    </cfRule>
    <cfRule type="containsText" priority="3115" operator="containsText" dxfId="1" text="▲">
      <formula>NOT(ISERROR(SEARCH("▲",Z89)))</formula>
    </cfRule>
    <cfRule type="containsText" priority="3116" operator="containsText" dxfId="0" text="▼">
      <formula>NOT(ISERROR(SEARCH("▼",Z89)))</formula>
    </cfRule>
    <cfRule type="containsText" priority="3113" operator="containsText" dxfId="1" text="▲">
      <formula>NOT(ISERROR(SEARCH("▲",Z89)))</formula>
    </cfRule>
    <cfRule type="containsText" priority="3114" operator="containsText" dxfId="0" text="▼">
      <formula>NOT(ISERROR(SEARCH("▼",Z89)))</formula>
    </cfRule>
    <cfRule type="containsText" priority="3111" operator="containsText" dxfId="1" text="▲">
      <formula>NOT(ISERROR(SEARCH("▲",Z89)))</formula>
    </cfRule>
    <cfRule type="containsText" priority="3112" operator="containsText" dxfId="0" text="▼">
      <formula>NOT(ISERROR(SEARCH("▼",Z89)))</formula>
    </cfRule>
    <cfRule type="containsText" priority="3109" operator="containsText" dxfId="1" text="▲">
      <formula>NOT(ISERROR(SEARCH("▲",Z89)))</formula>
    </cfRule>
    <cfRule type="containsText" priority="3110" operator="containsText" dxfId="0" text="▼">
      <formula>NOT(ISERROR(SEARCH("▼",Z89)))</formula>
    </cfRule>
    <cfRule type="containsText" priority="3107" operator="containsText" dxfId="1" text="▲">
      <formula>NOT(ISERROR(SEARCH("▲",Z89)))</formula>
    </cfRule>
    <cfRule type="containsText" priority="3108" operator="containsText" dxfId="0" text="▼">
      <formula>NOT(ISERROR(SEARCH("▼",Z89)))</formula>
    </cfRule>
    <cfRule type="containsText" priority="3105" operator="containsText" dxfId="1" text="▲">
      <formula>NOT(ISERROR(SEARCH("▲",Z89)))</formula>
    </cfRule>
    <cfRule type="containsText" priority="3106" operator="containsText" dxfId="0" text="▼">
      <formula>NOT(ISERROR(SEARCH("▼",Z89)))</formula>
    </cfRule>
    <cfRule type="containsText" priority="3103" operator="containsText" dxfId="1" text="▲">
      <formula>NOT(ISERROR(SEARCH("▲",Z89)))</formula>
    </cfRule>
    <cfRule type="containsText" priority="3104" operator="containsText" dxfId="0" text="▼">
      <formula>NOT(ISERROR(SEARCH("▼",Z89)))</formula>
    </cfRule>
    <cfRule type="containsText" priority="3101" operator="containsText" dxfId="1" text="▲">
      <formula>NOT(ISERROR(SEARCH("▲",Z89)))</formula>
    </cfRule>
    <cfRule type="containsText" priority="3102" operator="containsText" dxfId="0" text="▼">
      <formula>NOT(ISERROR(SEARCH("▼",Z89)))</formula>
    </cfRule>
    <cfRule type="containsText" priority="3099" operator="containsText" dxfId="1" text="▲">
      <formula>NOT(ISERROR(SEARCH("▲",Z89)))</formula>
    </cfRule>
    <cfRule type="containsText" priority="3100" operator="containsText" dxfId="0" text="▼">
      <formula>NOT(ISERROR(SEARCH("▼",Z89)))</formula>
    </cfRule>
    <cfRule type="containsText" priority="3097" operator="containsText" dxfId="1" text="▲">
      <formula>NOT(ISERROR(SEARCH("▲",Z89)))</formula>
    </cfRule>
    <cfRule type="containsText" priority="3098" operator="containsText" dxfId="0" text="▼">
      <formula>NOT(ISERROR(SEARCH("▼",Z89)))</formula>
    </cfRule>
    <cfRule type="containsText" priority="3095" operator="containsText" dxfId="1" text="▲">
      <formula>NOT(ISERROR(SEARCH("▲",Z89)))</formula>
    </cfRule>
    <cfRule type="containsText" priority="3096" operator="containsText" dxfId="0" text="▼">
      <formula>NOT(ISERROR(SEARCH("▼",Z89)))</formula>
    </cfRule>
    <cfRule type="containsText" priority="3093" operator="containsText" dxfId="1" text="▲">
      <formula>NOT(ISERROR(SEARCH("▲",Z89)))</formula>
    </cfRule>
    <cfRule type="containsText" priority="3094" operator="containsText" dxfId="0" text="▼">
      <formula>NOT(ISERROR(SEARCH("▼",Z89)))</formula>
    </cfRule>
    <cfRule type="containsText" priority="3091" operator="containsText" dxfId="1" text="▲">
      <formula>NOT(ISERROR(SEARCH("▲",Z89)))</formula>
    </cfRule>
    <cfRule type="containsText" priority="3092" operator="containsText" dxfId="0" text="▼">
      <formula>NOT(ISERROR(SEARCH("▼",Z89)))</formula>
    </cfRule>
    <cfRule type="containsText" priority="3089" operator="containsText" dxfId="1" text="▲">
      <formula>NOT(ISERROR(SEARCH("▲",Z89)))</formula>
    </cfRule>
    <cfRule type="containsText" priority="3090" operator="containsText" dxfId="0" text="▼">
      <formula>NOT(ISERROR(SEARCH("▼",Z89)))</formula>
    </cfRule>
    <cfRule type="containsText" priority="3087" operator="containsText" dxfId="1" text="▲">
      <formula>NOT(ISERROR(SEARCH("▲",Z89)))</formula>
    </cfRule>
    <cfRule type="containsText" priority="3088" operator="containsText" dxfId="0" text="▼">
      <formula>NOT(ISERROR(SEARCH("▼",Z89)))</formula>
    </cfRule>
    <cfRule type="containsText" priority="3085" operator="containsText" dxfId="1" text="▲">
      <formula>NOT(ISERROR(SEARCH("▲",Z89)))</formula>
    </cfRule>
    <cfRule type="containsText" priority="3086" operator="containsText" dxfId="0" text="▼">
      <formula>NOT(ISERROR(SEARCH("▼",Z89)))</formula>
    </cfRule>
    <cfRule type="containsText" priority="3083" operator="containsText" dxfId="1" text="▲">
      <formula>NOT(ISERROR(SEARCH("▲",Z89)))</formula>
    </cfRule>
    <cfRule type="containsText" priority="3084" operator="containsText" dxfId="0" text="▼">
      <formula>NOT(ISERROR(SEARCH("▼",Z89)))</formula>
    </cfRule>
    <cfRule type="containsText" priority="3081" operator="containsText" dxfId="1" text="▲">
      <formula>NOT(ISERROR(SEARCH("▲",Z89)))</formula>
    </cfRule>
    <cfRule type="containsText" priority="3082" operator="containsText" dxfId="0" text="▼">
      <formula>NOT(ISERROR(SEARCH("▼",Z89)))</formula>
    </cfRule>
    <cfRule type="containsText" priority="3079" operator="containsText" dxfId="1" text="▲">
      <formula>NOT(ISERROR(SEARCH("▲",Z89)))</formula>
    </cfRule>
    <cfRule type="containsText" priority="3080" operator="containsText" dxfId="0" text="▼">
      <formula>NOT(ISERROR(SEARCH("▼",Z89)))</formula>
    </cfRule>
    <cfRule type="containsText" priority="3077" operator="containsText" dxfId="1" text="▲">
      <formula>NOT(ISERROR(SEARCH("▲",Z89)))</formula>
    </cfRule>
    <cfRule type="containsText" priority="3078" operator="containsText" dxfId="0" text="▼">
      <formula>NOT(ISERROR(SEARCH("▼",Z89)))</formula>
    </cfRule>
    <cfRule type="containsText" priority="3075" operator="containsText" dxfId="1" text="▲">
      <formula>NOT(ISERROR(SEARCH("▲",Z89)))</formula>
    </cfRule>
    <cfRule type="containsText" priority="3076" operator="containsText" dxfId="0" text="▼">
      <formula>NOT(ISERROR(SEARCH("▼",Z89)))</formula>
    </cfRule>
  </conditionalFormatting>
  <conditionalFormatting sqref="Z88:AA88">
    <cfRule type="containsText" priority="3073" operator="containsText" dxfId="1" text="▲">
      <formula>NOT(ISERROR(SEARCH("▲",Z88)))</formula>
    </cfRule>
    <cfRule type="containsText" priority="3074" operator="containsText" dxfId="0" text="▼">
      <formula>NOT(ISERROR(SEARCH("▼",Z88)))</formula>
    </cfRule>
  </conditionalFormatting>
  <conditionalFormatting sqref="Z91:AA91">
    <cfRule type="containsText" priority="3071" operator="containsText" dxfId="1" text="△">
      <formula>NOT(ISERROR(SEARCH("△",Z91)))</formula>
    </cfRule>
    <cfRule type="containsText" priority="3072" operator="containsText" dxfId="0" text="▽">
      <formula>NOT(ISERROR(SEARCH("▽",Z91)))</formula>
    </cfRule>
    <cfRule type="containsText" priority="3069" operator="containsText" dxfId="1" text="▲">
      <formula>NOT(ISERROR(SEARCH("▲",Z91)))</formula>
    </cfRule>
    <cfRule type="containsText" priority="3070" operator="containsText" dxfId="0" text="▼">
      <formula>NOT(ISERROR(SEARCH("▼",Z91)))</formula>
    </cfRule>
    <cfRule type="containsText" priority="3067" operator="containsText" dxfId="1" text="▲">
      <formula>NOT(ISERROR(SEARCH("▲",Z91)))</formula>
    </cfRule>
    <cfRule type="containsText" priority="3068" operator="containsText" dxfId="0" text="▼">
      <formula>NOT(ISERROR(SEARCH("▼",Z91)))</formula>
    </cfRule>
    <cfRule type="containsText" priority="3065" operator="containsText" dxfId="1" text="▲">
      <formula>NOT(ISERROR(SEARCH("▲",Z91)))</formula>
    </cfRule>
    <cfRule type="containsText" priority="3066" operator="containsText" dxfId="0" text="▼">
      <formula>NOT(ISERROR(SEARCH("▼",Z91)))</formula>
    </cfRule>
    <cfRule type="containsText" priority="3063" operator="containsText" dxfId="1" text="▲">
      <formula>NOT(ISERROR(SEARCH("▲",Z91)))</formula>
    </cfRule>
    <cfRule type="containsText" priority="3064" operator="containsText" dxfId="0" text="▼">
      <formula>NOT(ISERROR(SEARCH("▼",Z91)))</formula>
    </cfRule>
    <cfRule type="containsText" priority="3061" operator="containsText" dxfId="1" text="▲">
      <formula>NOT(ISERROR(SEARCH("▲",Z91)))</formula>
    </cfRule>
    <cfRule type="containsText" priority="3062" operator="containsText" dxfId="0" text="▼">
      <formula>NOT(ISERROR(SEARCH("▼",Z91)))</formula>
    </cfRule>
    <cfRule type="containsText" priority="3059" operator="containsText" dxfId="1" text="▲">
      <formula>NOT(ISERROR(SEARCH("▲",Z91)))</formula>
    </cfRule>
    <cfRule type="containsText" priority="3060" operator="containsText" dxfId="0" text="▼">
      <formula>NOT(ISERROR(SEARCH("▼",Z91)))</formula>
    </cfRule>
    <cfRule type="containsText" priority="3057" operator="containsText" dxfId="1" text="▲">
      <formula>NOT(ISERROR(SEARCH("▲",Z91)))</formula>
    </cfRule>
    <cfRule type="containsText" priority="3058" operator="containsText" dxfId="0" text="▼">
      <formula>NOT(ISERROR(SEARCH("▼",Z91)))</formula>
    </cfRule>
    <cfRule type="containsText" priority="3055" operator="containsText" dxfId="1" text="▲">
      <formula>NOT(ISERROR(SEARCH("▲",Z91)))</formula>
    </cfRule>
    <cfRule type="containsText" priority="3056" operator="containsText" dxfId="0" text="▼">
      <formula>NOT(ISERROR(SEARCH("▼",Z91)))</formula>
    </cfRule>
    <cfRule type="containsText" priority="3053" operator="containsText" dxfId="1" text="▲">
      <formula>NOT(ISERROR(SEARCH("▲",Z91)))</formula>
    </cfRule>
    <cfRule type="containsText" priority="3054" operator="containsText" dxfId="0" text="▼">
      <formula>NOT(ISERROR(SEARCH("▼",Z91)))</formula>
    </cfRule>
    <cfRule type="containsText" priority="3051" operator="containsText" dxfId="1" text="▲">
      <formula>NOT(ISERROR(SEARCH("▲",Z91)))</formula>
    </cfRule>
    <cfRule type="containsText" priority="3052" operator="containsText" dxfId="0" text="▼">
      <formula>NOT(ISERROR(SEARCH("▼",Z91)))</formula>
    </cfRule>
    <cfRule type="containsText" priority="3049" operator="containsText" dxfId="1" text="▲">
      <formula>NOT(ISERROR(SEARCH("▲",Z91)))</formula>
    </cfRule>
    <cfRule type="containsText" priority="3050" operator="containsText" dxfId="0" text="▼">
      <formula>NOT(ISERROR(SEARCH("▼",Z91)))</formula>
    </cfRule>
    <cfRule type="containsText" priority="3047" operator="containsText" dxfId="1" text="▲">
      <formula>NOT(ISERROR(SEARCH("▲",Z91)))</formula>
    </cfRule>
    <cfRule type="containsText" priority="3048" operator="containsText" dxfId="0" text="▼">
      <formula>NOT(ISERROR(SEARCH("▼",Z91)))</formula>
    </cfRule>
    <cfRule type="containsText" priority="3045" operator="containsText" dxfId="1" text="▲">
      <formula>NOT(ISERROR(SEARCH("▲",Z91)))</formula>
    </cfRule>
    <cfRule type="containsText" priority="3046" operator="containsText" dxfId="0" text="▼">
      <formula>NOT(ISERROR(SEARCH("▼",Z91)))</formula>
    </cfRule>
    <cfRule type="containsText" priority="3043" operator="containsText" dxfId="1" text="▲">
      <formula>NOT(ISERROR(SEARCH("▲",Z91)))</formula>
    </cfRule>
    <cfRule type="containsText" priority="3044" operator="containsText" dxfId="0" text="▼">
      <formula>NOT(ISERROR(SEARCH("▼",Z91)))</formula>
    </cfRule>
    <cfRule type="containsText" priority="3041" operator="containsText" dxfId="1" text="▲">
      <formula>NOT(ISERROR(SEARCH("▲",Z91)))</formula>
    </cfRule>
    <cfRule type="containsText" priority="3042" operator="containsText" dxfId="0" text="▼">
      <formula>NOT(ISERROR(SEARCH("▼",Z91)))</formula>
    </cfRule>
    <cfRule type="containsText" priority="3039" operator="containsText" dxfId="1" text="▲">
      <formula>NOT(ISERROR(SEARCH("▲",Z91)))</formula>
    </cfRule>
    <cfRule type="containsText" priority="3040" operator="containsText" dxfId="0" text="▼">
      <formula>NOT(ISERROR(SEARCH("▼",Z91)))</formula>
    </cfRule>
    <cfRule type="containsText" priority="3037" operator="containsText" dxfId="1" text="▲">
      <formula>NOT(ISERROR(SEARCH("▲",Z91)))</formula>
    </cfRule>
    <cfRule type="containsText" priority="3038" operator="containsText" dxfId="0" text="▼">
      <formula>NOT(ISERROR(SEARCH("▼",Z91)))</formula>
    </cfRule>
    <cfRule type="containsText" priority="3035" operator="containsText" dxfId="1" text="▲">
      <formula>NOT(ISERROR(SEARCH("▲",Z91)))</formula>
    </cfRule>
    <cfRule type="containsText" priority="3036" operator="containsText" dxfId="0" text="▼">
      <formula>NOT(ISERROR(SEARCH("▼",Z91)))</formula>
    </cfRule>
    <cfRule type="containsText" priority="3033" operator="containsText" dxfId="1" text="▲">
      <formula>NOT(ISERROR(SEARCH("▲",Z91)))</formula>
    </cfRule>
    <cfRule type="containsText" priority="3034" operator="containsText" dxfId="0" text="▼">
      <formula>NOT(ISERROR(SEARCH("▼",Z91)))</formula>
    </cfRule>
    <cfRule type="containsText" priority="3031" operator="containsText" dxfId="1" text="▲">
      <formula>NOT(ISERROR(SEARCH("▲",Z91)))</formula>
    </cfRule>
    <cfRule type="containsText" priority="3032" operator="containsText" dxfId="0" text="▼">
      <formula>NOT(ISERROR(SEARCH("▼",Z91)))</formula>
    </cfRule>
    <cfRule type="containsText" priority="3029" operator="containsText" dxfId="1" text="▲">
      <formula>NOT(ISERROR(SEARCH("▲",Z91)))</formula>
    </cfRule>
    <cfRule type="containsText" priority="3030" operator="containsText" dxfId="0" text="▼">
      <formula>NOT(ISERROR(SEARCH("▼",Z91)))</formula>
    </cfRule>
    <cfRule type="containsText" priority="3027" operator="containsText" dxfId="1" text="▲">
      <formula>NOT(ISERROR(SEARCH("▲",Z91)))</formula>
    </cfRule>
    <cfRule type="containsText" priority="3028" operator="containsText" dxfId="0" text="▼">
      <formula>NOT(ISERROR(SEARCH("▼",Z91)))</formula>
    </cfRule>
    <cfRule type="containsText" priority="3025" operator="containsText" dxfId="1" text="▲">
      <formula>NOT(ISERROR(SEARCH("▲",Z91)))</formula>
    </cfRule>
    <cfRule type="containsText" priority="3026" operator="containsText" dxfId="0" text="▼">
      <formula>NOT(ISERROR(SEARCH("▼",Z91)))</formula>
    </cfRule>
    <cfRule type="containsText" priority="3023" operator="containsText" dxfId="1" text="▲">
      <formula>NOT(ISERROR(SEARCH("▲",Z91)))</formula>
    </cfRule>
    <cfRule type="containsText" priority="3024" operator="containsText" dxfId="0" text="▼">
      <formula>NOT(ISERROR(SEARCH("▼",Z91)))</formula>
    </cfRule>
  </conditionalFormatting>
  <conditionalFormatting sqref="Z92:AA92">
    <cfRule type="containsText" priority="3021" operator="containsText" dxfId="1" text="△">
      <formula>NOT(ISERROR(SEARCH("△",Z92)))</formula>
    </cfRule>
    <cfRule type="containsText" priority="3022" operator="containsText" dxfId="0" text="▽">
      <formula>NOT(ISERROR(SEARCH("▽",Z92)))</formula>
    </cfRule>
    <cfRule type="containsText" priority="3019" operator="containsText" dxfId="1" text="▲">
      <formula>NOT(ISERROR(SEARCH("▲",Z92)))</formula>
    </cfRule>
    <cfRule type="containsText" priority="3020" operator="containsText" dxfId="0" text="▼">
      <formula>NOT(ISERROR(SEARCH("▼",Z92)))</formula>
    </cfRule>
    <cfRule type="containsText" priority="3017" operator="containsText" dxfId="1" text="▲">
      <formula>NOT(ISERROR(SEARCH("▲",Z92)))</formula>
    </cfRule>
    <cfRule type="containsText" priority="3018" operator="containsText" dxfId="0" text="▼">
      <formula>NOT(ISERROR(SEARCH("▼",Z92)))</formula>
    </cfRule>
    <cfRule type="containsText" priority="3015" operator="containsText" dxfId="1" text="▲">
      <formula>NOT(ISERROR(SEARCH("▲",Z92)))</formula>
    </cfRule>
    <cfRule type="containsText" priority="3016" operator="containsText" dxfId="0" text="▼">
      <formula>NOT(ISERROR(SEARCH("▼",Z92)))</formula>
    </cfRule>
    <cfRule type="containsText" priority="3013" operator="containsText" dxfId="1" text="▲">
      <formula>NOT(ISERROR(SEARCH("▲",Z92)))</formula>
    </cfRule>
    <cfRule type="containsText" priority="3014" operator="containsText" dxfId="0" text="▼">
      <formula>NOT(ISERROR(SEARCH("▼",Z92)))</formula>
    </cfRule>
    <cfRule type="containsText" priority="3011" operator="containsText" dxfId="1" text="▲">
      <formula>NOT(ISERROR(SEARCH("▲",Z92)))</formula>
    </cfRule>
    <cfRule type="containsText" priority="3012" operator="containsText" dxfId="0" text="▼">
      <formula>NOT(ISERROR(SEARCH("▼",Z92)))</formula>
    </cfRule>
    <cfRule type="containsText" priority="3009" operator="containsText" dxfId="1" text="▲">
      <formula>NOT(ISERROR(SEARCH("▲",Z92)))</formula>
    </cfRule>
    <cfRule type="containsText" priority="3010" operator="containsText" dxfId="0" text="▼">
      <formula>NOT(ISERROR(SEARCH("▼",Z92)))</formula>
    </cfRule>
    <cfRule type="containsText" priority="3007" operator="containsText" dxfId="1" text="▲">
      <formula>NOT(ISERROR(SEARCH("▲",Z92)))</formula>
    </cfRule>
    <cfRule type="containsText" priority="3008" operator="containsText" dxfId="0" text="▼">
      <formula>NOT(ISERROR(SEARCH("▼",Z92)))</formula>
    </cfRule>
    <cfRule type="containsText" priority="3005" operator="containsText" dxfId="1" text="▲">
      <formula>NOT(ISERROR(SEARCH("▲",Z92)))</formula>
    </cfRule>
    <cfRule type="containsText" priority="3006" operator="containsText" dxfId="0" text="▼">
      <formula>NOT(ISERROR(SEARCH("▼",Z92)))</formula>
    </cfRule>
    <cfRule type="containsText" priority="3003" operator="containsText" dxfId="1" text="▲">
      <formula>NOT(ISERROR(SEARCH("▲",Z92)))</formula>
    </cfRule>
    <cfRule type="containsText" priority="3004" operator="containsText" dxfId="0" text="▼">
      <formula>NOT(ISERROR(SEARCH("▼",Z92)))</formula>
    </cfRule>
    <cfRule type="containsText" priority="3001" operator="containsText" dxfId="1" text="▲">
      <formula>NOT(ISERROR(SEARCH("▲",Z92)))</formula>
    </cfRule>
    <cfRule type="containsText" priority="3002" operator="containsText" dxfId="0" text="▼">
      <formula>NOT(ISERROR(SEARCH("▼",Z92)))</formula>
    </cfRule>
    <cfRule type="containsText" priority="2999" operator="containsText" dxfId="1" text="▲">
      <formula>NOT(ISERROR(SEARCH("▲",Z92)))</formula>
    </cfRule>
    <cfRule type="containsText" priority="3000" operator="containsText" dxfId="0" text="▼">
      <formula>NOT(ISERROR(SEARCH("▼",Z92)))</formula>
    </cfRule>
    <cfRule type="containsText" priority="2997" operator="containsText" dxfId="1" text="▲">
      <formula>NOT(ISERROR(SEARCH("▲",Z92)))</formula>
    </cfRule>
    <cfRule type="containsText" priority="2998" operator="containsText" dxfId="0" text="▼">
      <formula>NOT(ISERROR(SEARCH("▼",Z92)))</formula>
    </cfRule>
    <cfRule type="containsText" priority="2995" operator="containsText" dxfId="1" text="▲">
      <formula>NOT(ISERROR(SEARCH("▲",Z92)))</formula>
    </cfRule>
    <cfRule type="containsText" priority="2996" operator="containsText" dxfId="0" text="▼">
      <formula>NOT(ISERROR(SEARCH("▼",Z92)))</formula>
    </cfRule>
    <cfRule type="containsText" priority="2993" operator="containsText" dxfId="1" text="▲">
      <formula>NOT(ISERROR(SEARCH("▲",Z92)))</formula>
    </cfRule>
    <cfRule type="containsText" priority="2994" operator="containsText" dxfId="0" text="▼">
      <formula>NOT(ISERROR(SEARCH("▼",Z92)))</formula>
    </cfRule>
    <cfRule type="containsText" priority="2991" operator="containsText" dxfId="1" text="▲">
      <formula>NOT(ISERROR(SEARCH("▲",Z92)))</formula>
    </cfRule>
    <cfRule type="containsText" priority="2992" operator="containsText" dxfId="0" text="▼">
      <formula>NOT(ISERROR(SEARCH("▼",Z92)))</formula>
    </cfRule>
    <cfRule type="containsText" priority="2989" operator="containsText" dxfId="1" text="▲">
      <formula>NOT(ISERROR(SEARCH("▲",Z92)))</formula>
    </cfRule>
    <cfRule type="containsText" priority="2990" operator="containsText" dxfId="0" text="▼">
      <formula>NOT(ISERROR(SEARCH("▼",Z92)))</formula>
    </cfRule>
    <cfRule type="containsText" priority="2987" operator="containsText" dxfId="1" text="▲">
      <formula>NOT(ISERROR(SEARCH("▲",Z92)))</formula>
    </cfRule>
    <cfRule type="containsText" priority="2988" operator="containsText" dxfId="0" text="▼">
      <formula>NOT(ISERROR(SEARCH("▼",Z92)))</formula>
    </cfRule>
    <cfRule type="containsText" priority="2985" operator="containsText" dxfId="1" text="▲">
      <formula>NOT(ISERROR(SEARCH("▲",Z92)))</formula>
    </cfRule>
    <cfRule type="containsText" priority="2986" operator="containsText" dxfId="0" text="▼">
      <formula>NOT(ISERROR(SEARCH("▼",Z92)))</formula>
    </cfRule>
    <cfRule type="containsText" priority="2983" operator="containsText" dxfId="1" text="▲">
      <formula>NOT(ISERROR(SEARCH("▲",Z92)))</formula>
    </cfRule>
    <cfRule type="containsText" priority="2984" operator="containsText" dxfId="0" text="▼">
      <formula>NOT(ISERROR(SEARCH("▼",Z92)))</formula>
    </cfRule>
    <cfRule type="containsText" priority="2981" operator="containsText" dxfId="1" text="▲">
      <formula>NOT(ISERROR(SEARCH("▲",Z92)))</formula>
    </cfRule>
    <cfRule type="containsText" priority="2982" operator="containsText" dxfId="0" text="▼">
      <formula>NOT(ISERROR(SEARCH("▼",Z92)))</formula>
    </cfRule>
    <cfRule type="containsText" priority="2979" operator="containsText" dxfId="1" text="▲">
      <formula>NOT(ISERROR(SEARCH("▲",Z92)))</formula>
    </cfRule>
    <cfRule type="containsText" priority="2980" operator="containsText" dxfId="0" text="▼">
      <formula>NOT(ISERROR(SEARCH("▼",Z92)))</formula>
    </cfRule>
    <cfRule type="containsText" priority="2977" operator="containsText" dxfId="1" text="▲">
      <formula>NOT(ISERROR(SEARCH("▲",Z92)))</formula>
    </cfRule>
    <cfRule type="containsText" priority="2978" operator="containsText" dxfId="0" text="▼">
      <formula>NOT(ISERROR(SEARCH("▼",Z92)))</formula>
    </cfRule>
    <cfRule type="containsText" priority="2975" operator="containsText" dxfId="1" text="▲">
      <formula>NOT(ISERROR(SEARCH("▲",Z92)))</formula>
    </cfRule>
    <cfRule type="containsText" priority="2976" operator="containsText" dxfId="0" text="▼">
      <formula>NOT(ISERROR(SEARCH("▼",Z92)))</formula>
    </cfRule>
    <cfRule type="containsText" priority="2973" operator="containsText" dxfId="1" text="▲">
      <formula>NOT(ISERROR(SEARCH("▲",Z92)))</formula>
    </cfRule>
    <cfRule type="containsText" priority="2974" operator="containsText" dxfId="0" text="▼">
      <formula>NOT(ISERROR(SEARCH("▼",Z92)))</formula>
    </cfRule>
  </conditionalFormatting>
  <conditionalFormatting sqref="AB88">
    <cfRule type="containsText" priority="2757" operator="containsText" dxfId="1" text="▲">
      <formula>NOT(ISERROR(SEARCH("▲",AB88)))</formula>
    </cfRule>
    <cfRule type="containsText" priority="2758" operator="containsText" dxfId="0" text="▼">
      <formula>NOT(ISERROR(SEARCH("▼",AB88)))</formula>
    </cfRule>
    <cfRule type="containsText" priority="2759" operator="containsText" dxfId="1" text="▲">
      <formula>NOT(ISERROR(SEARCH("▲",AB88)))</formula>
    </cfRule>
    <cfRule type="containsText" priority="2760" operator="containsText" dxfId="0" text="▼">
      <formula>NOT(ISERROR(SEARCH("▼",AB88)))</formula>
    </cfRule>
    <cfRule type="containsText" priority="2761" operator="containsText" dxfId="1" text="▲">
      <formula>NOT(ISERROR(SEARCH("▲",AB88)))</formula>
    </cfRule>
    <cfRule type="containsText" priority="2762" operator="containsText" dxfId="0" text="▼">
      <formula>NOT(ISERROR(SEARCH("▼",AB88)))</formula>
    </cfRule>
    <cfRule type="containsText" priority="2763" operator="containsText" dxfId="1" text="▲">
      <formula>NOT(ISERROR(SEARCH("▲",AB88)))</formula>
    </cfRule>
    <cfRule type="containsText" priority="2764" operator="containsText" dxfId="0" text="▼">
      <formula>NOT(ISERROR(SEARCH("▼",AB88)))</formula>
    </cfRule>
    <cfRule type="containsText" priority="2765" operator="containsText" dxfId="1" text="▲">
      <formula>NOT(ISERROR(SEARCH("▲",AB88)))</formula>
    </cfRule>
    <cfRule type="containsText" priority="2766" operator="containsText" dxfId="0" text="▼">
      <formula>NOT(ISERROR(SEARCH("▼",AB88)))</formula>
    </cfRule>
    <cfRule type="containsText" priority="2767" operator="containsText" dxfId="1" text="▲">
      <formula>NOT(ISERROR(SEARCH("▲",AB88)))</formula>
    </cfRule>
    <cfRule type="containsText" priority="2768" operator="containsText" dxfId="0" text="▼">
      <formula>NOT(ISERROR(SEARCH("▼",AB88)))</formula>
    </cfRule>
    <cfRule type="containsText" priority="2769" operator="containsText" dxfId="1" text="▲">
      <formula>NOT(ISERROR(SEARCH("▲",AB88)))</formula>
    </cfRule>
    <cfRule type="containsText" priority="2770" operator="containsText" dxfId="0" text="▼">
      <formula>NOT(ISERROR(SEARCH("▼",AB88)))</formula>
    </cfRule>
    <cfRule type="containsText" priority="2771" operator="containsText" dxfId="1" text="▲">
      <formula>NOT(ISERROR(SEARCH("▲",AB88)))</formula>
    </cfRule>
    <cfRule type="containsText" priority="2772" operator="containsText" dxfId="0" text="▼">
      <formula>NOT(ISERROR(SEARCH("▼",AB88)))</formula>
    </cfRule>
    <cfRule type="containsText" priority="2773" operator="containsText" dxfId="1" text="▲">
      <formula>NOT(ISERROR(SEARCH("▲",AB88)))</formula>
    </cfRule>
    <cfRule type="containsText" priority="2774" operator="containsText" dxfId="0" text="▼">
      <formula>NOT(ISERROR(SEARCH("▼",AB88)))</formula>
    </cfRule>
    <cfRule type="containsText" priority="2775" operator="containsText" dxfId="1" text="▲">
      <formula>NOT(ISERROR(SEARCH("▲",AB88)))</formula>
    </cfRule>
    <cfRule type="containsText" priority="2776" operator="containsText" dxfId="0" text="▼">
      <formula>NOT(ISERROR(SEARCH("▼",AB88)))</formula>
    </cfRule>
    <cfRule type="containsText" priority="2777" operator="containsText" dxfId="1" text="▲">
      <formula>NOT(ISERROR(SEARCH("▲",AB88)))</formula>
    </cfRule>
    <cfRule type="containsText" priority="2778" operator="containsText" dxfId="0" text="▼">
      <formula>NOT(ISERROR(SEARCH("▼",AB88)))</formula>
    </cfRule>
    <cfRule type="containsText" priority="2779" operator="containsText" dxfId="1" text="▲">
      <formula>NOT(ISERROR(SEARCH("▲",AB88)))</formula>
    </cfRule>
    <cfRule type="containsText" priority="2780" operator="containsText" dxfId="0" text="▼">
      <formula>NOT(ISERROR(SEARCH("▼",AB88)))</formula>
    </cfRule>
    <cfRule type="containsText" priority="2781" operator="containsText" dxfId="1" text="▲">
      <formula>NOT(ISERROR(SEARCH("▲",AB88)))</formula>
    </cfRule>
    <cfRule type="containsText" priority="2782" operator="containsText" dxfId="0" text="▼">
      <formula>NOT(ISERROR(SEARCH("▼",AB88)))</formula>
    </cfRule>
    <cfRule type="containsText" priority="2783" operator="containsText" dxfId="1" text="▲">
      <formula>NOT(ISERROR(SEARCH("▲",AB88)))</formula>
    </cfRule>
    <cfRule type="containsText" priority="2784" operator="containsText" dxfId="0" text="▼">
      <formula>NOT(ISERROR(SEARCH("▼",AB88)))</formula>
    </cfRule>
    <cfRule type="containsText" priority="2785" operator="containsText" dxfId="1" text="▲">
      <formula>NOT(ISERROR(SEARCH("▲",AB88)))</formula>
    </cfRule>
    <cfRule type="containsText" priority="2786" operator="containsText" dxfId="0" text="▼">
      <formula>NOT(ISERROR(SEARCH("▼",AB88)))</formula>
    </cfRule>
    <cfRule type="containsText" priority="2787" operator="containsText" dxfId="1" text="▲">
      <formula>NOT(ISERROR(SEARCH("▲",AB88)))</formula>
    </cfRule>
    <cfRule type="containsText" priority="2788" operator="containsText" dxfId="0" text="▼">
      <formula>NOT(ISERROR(SEARCH("▼",AB88)))</formula>
    </cfRule>
    <cfRule type="containsText" priority="2789" operator="containsText" dxfId="1" text="▲">
      <formula>NOT(ISERROR(SEARCH("▲",AB88)))</formula>
    </cfRule>
    <cfRule type="containsText" priority="2790" operator="containsText" dxfId="0" text="▼">
      <formula>NOT(ISERROR(SEARCH("▼",AB88)))</formula>
    </cfRule>
    <cfRule type="containsText" priority="2791" operator="containsText" dxfId="1" text="▲">
      <formula>NOT(ISERROR(SEARCH("▲",AB88)))</formula>
    </cfRule>
    <cfRule type="containsText" priority="2792" operator="containsText" dxfId="0" text="▼">
      <formula>NOT(ISERROR(SEARCH("▼",AB88)))</formula>
    </cfRule>
    <cfRule type="containsText" priority="2793" operator="containsText" dxfId="1" text="▲">
      <formula>NOT(ISERROR(SEARCH("▲",AB88)))</formula>
    </cfRule>
    <cfRule type="containsText" priority="2794" operator="containsText" dxfId="0" text="▼">
      <formula>NOT(ISERROR(SEARCH("▼",AB88)))</formula>
    </cfRule>
    <cfRule type="containsText" priority="2795" operator="containsText" dxfId="1" text="▲">
      <formula>NOT(ISERROR(SEARCH("▲",AB88)))</formula>
    </cfRule>
    <cfRule type="containsText" priority="2796" operator="containsText" dxfId="0" text="▼">
      <formula>NOT(ISERROR(SEARCH("▼",AB88)))</formula>
    </cfRule>
    <cfRule type="containsText" priority="2797" operator="containsText" dxfId="1" text="▲">
      <formula>NOT(ISERROR(SEARCH("▲",AB88)))</formula>
    </cfRule>
    <cfRule type="containsText" priority="2798" operator="containsText" dxfId="0" text="▼">
      <formula>NOT(ISERROR(SEARCH("▼",AB88)))</formula>
    </cfRule>
    <cfRule type="containsText" priority="2799" operator="containsText" dxfId="1" text="▲">
      <formula>NOT(ISERROR(SEARCH("▲",AB88)))</formula>
    </cfRule>
    <cfRule type="containsText" priority="2800" operator="containsText" dxfId="0" text="▼">
      <formula>NOT(ISERROR(SEARCH("▼",AB88)))</formula>
    </cfRule>
    <cfRule type="containsText" priority="2801" operator="containsText" dxfId="1" text="▲">
      <formula>NOT(ISERROR(SEARCH("▲",AB88)))</formula>
    </cfRule>
    <cfRule type="containsText" priority="2802" operator="containsText" dxfId="0" text="▼">
      <formula>NOT(ISERROR(SEARCH("▼",AB88)))</formula>
    </cfRule>
    <cfRule type="containsText" priority="2803" operator="containsText" dxfId="1" text="▲">
      <formula>NOT(ISERROR(SEARCH("▲",AB88)))</formula>
    </cfRule>
    <cfRule type="containsText" priority="2804" operator="containsText" dxfId="0" text="▼">
      <formula>NOT(ISERROR(SEARCH("▼",AB88)))</formula>
    </cfRule>
    <cfRule type="containsText" priority="2805" operator="containsText" dxfId="1" text="△">
      <formula>NOT(ISERROR(SEARCH("△",AB88)))</formula>
    </cfRule>
    <cfRule type="containsText" priority="2806" operator="containsText" dxfId="0" text="▽">
      <formula>NOT(ISERROR(SEARCH("▽",AB88)))</formula>
    </cfRule>
    <cfRule type="containsText" priority="2807" operator="containsText" dxfId="1" text="▲">
      <formula>NOT(ISERROR(SEARCH("▲",AB88)))</formula>
    </cfRule>
    <cfRule type="containsText" priority="2808" operator="containsText" dxfId="0" text="▼">
      <formula>NOT(ISERROR(SEARCH("▼",AB88)))</formula>
    </cfRule>
    <cfRule type="containsText" priority="2809" operator="containsText" dxfId="1" text="▲">
      <formula>NOT(ISERROR(SEARCH("▲",AB88)))</formula>
    </cfRule>
    <cfRule type="containsText" priority="2810" operator="containsText" dxfId="0" text="▼">
      <formula>NOT(ISERROR(SEARCH("▼",AB88)))</formula>
    </cfRule>
    <cfRule type="containsText" priority="2811" operator="containsText" dxfId="1" text="▲">
      <formula>NOT(ISERROR(SEARCH("▲",AB88)))</formula>
    </cfRule>
    <cfRule type="containsText" priority="2812" operator="containsText" dxfId="0" text="▼">
      <formula>NOT(ISERROR(SEARCH("▼",AB88)))</formula>
    </cfRule>
    <cfRule type="containsText" priority="2813" operator="containsText" dxfId="1" text="▲">
      <formula>NOT(ISERROR(SEARCH("▲",AB88)))</formula>
    </cfRule>
    <cfRule type="containsText" priority="2814" operator="containsText" dxfId="0" text="▼">
      <formula>NOT(ISERROR(SEARCH("▼",AB88)))</formula>
    </cfRule>
    <cfRule type="containsText" priority="2815" operator="containsText" dxfId="1" text="▲">
      <formula>NOT(ISERROR(SEARCH("▲",AB88)))</formula>
    </cfRule>
    <cfRule type="containsText" priority="2816" operator="containsText" dxfId="0" text="▼">
      <formula>NOT(ISERROR(SEARCH("▼",AB88)))</formula>
    </cfRule>
    <cfRule type="containsText" priority="2817" operator="containsText" dxfId="1" text="▲">
      <formula>NOT(ISERROR(SEARCH("▲",AB88)))</formula>
    </cfRule>
    <cfRule type="containsText" priority="2818" operator="containsText" dxfId="0" text="▼">
      <formula>NOT(ISERROR(SEARCH("▼",AB88)))</formula>
    </cfRule>
    <cfRule type="containsText" priority="2819" operator="containsText" dxfId="1" text="▲">
      <formula>NOT(ISERROR(SEARCH("▲",AB88)))</formula>
    </cfRule>
    <cfRule type="containsText" priority="2820" operator="containsText" dxfId="0" text="▼">
      <formula>NOT(ISERROR(SEARCH("▼",AB88)))</formula>
    </cfRule>
    <cfRule type="containsText" priority="2821" operator="containsText" dxfId="1" text="▲">
      <formula>NOT(ISERROR(SEARCH("▲",AB88)))</formula>
    </cfRule>
    <cfRule type="containsText" priority="2822" operator="containsText" dxfId="0" text="▼">
      <formula>NOT(ISERROR(SEARCH("▼",AB88)))</formula>
    </cfRule>
    <cfRule type="containsText" priority="2823" operator="containsText" dxfId="1" text="▲">
      <formula>NOT(ISERROR(SEARCH("▲",AB88)))</formula>
    </cfRule>
    <cfRule type="containsText" priority="2824" operator="containsText" dxfId="0" text="▼">
      <formula>NOT(ISERROR(SEARCH("▼",AB88)))</formula>
    </cfRule>
    <cfRule type="containsText" priority="2825" operator="containsText" dxfId="1" text="▲">
      <formula>NOT(ISERROR(SEARCH("▲",AB88)))</formula>
    </cfRule>
    <cfRule type="containsText" priority="2826" operator="containsText" dxfId="0" text="▼">
      <formula>NOT(ISERROR(SEARCH("▼",AB88)))</formula>
    </cfRule>
    <cfRule type="containsText" priority="2827" operator="containsText" dxfId="1" text="▲">
      <formula>NOT(ISERROR(SEARCH("▲",AB88)))</formula>
    </cfRule>
    <cfRule type="containsText" priority="2828" operator="containsText" dxfId="0" text="▼">
      <formula>NOT(ISERROR(SEARCH("▼",AB88)))</formula>
    </cfRule>
    <cfRule type="containsText" priority="2829" operator="containsText" dxfId="1" text="▲">
      <formula>NOT(ISERROR(SEARCH("▲",AB88)))</formula>
    </cfRule>
    <cfRule type="containsText" priority="2830" operator="containsText" dxfId="0" text="▼">
      <formula>NOT(ISERROR(SEARCH("▼",AB88)))</formula>
    </cfRule>
    <cfRule type="containsText" priority="2831" operator="containsText" dxfId="1" text="▲">
      <formula>NOT(ISERROR(SEARCH("▲",AB88)))</formula>
    </cfRule>
    <cfRule type="containsText" priority="2832" operator="containsText" dxfId="0" text="▼">
      <formula>NOT(ISERROR(SEARCH("▼",AB88)))</formula>
    </cfRule>
    <cfRule type="containsText" priority="2833" operator="containsText" dxfId="1" text="▲">
      <formula>NOT(ISERROR(SEARCH("▲",AB88)))</formula>
    </cfRule>
    <cfRule type="containsText" priority="2834" operator="containsText" dxfId="0" text="▼">
      <formula>NOT(ISERROR(SEARCH("▼",AB88)))</formula>
    </cfRule>
    <cfRule type="containsText" priority="2835" operator="containsText" dxfId="1" text="▲">
      <formula>NOT(ISERROR(SEARCH("▲",AB88)))</formula>
    </cfRule>
    <cfRule type="containsText" priority="2836" operator="containsText" dxfId="0" text="▼">
      <formula>NOT(ISERROR(SEARCH("▼",AB88)))</formula>
    </cfRule>
    <cfRule type="containsText" priority="2837" operator="containsText" dxfId="1" text="▲">
      <formula>NOT(ISERROR(SEARCH("▲",AB88)))</formula>
    </cfRule>
    <cfRule type="containsText" priority="2838" operator="containsText" dxfId="0" text="▼">
      <formula>NOT(ISERROR(SEARCH("▼",AB88)))</formula>
    </cfRule>
    <cfRule type="containsText" priority="2839" operator="containsText" dxfId="1" text="▲">
      <formula>NOT(ISERROR(SEARCH("▲",AB88)))</formula>
    </cfRule>
    <cfRule type="containsText" priority="2840" operator="containsText" dxfId="0" text="▼">
      <formula>NOT(ISERROR(SEARCH("▼",AB88)))</formula>
    </cfRule>
    <cfRule type="containsText" priority="2841" operator="containsText" dxfId="1" text="▲">
      <formula>NOT(ISERROR(SEARCH("▲",AB88)))</formula>
    </cfRule>
    <cfRule type="containsText" priority="2842" operator="containsText" dxfId="0" text="▼">
      <formula>NOT(ISERROR(SEARCH("▼",AB88)))</formula>
    </cfRule>
    <cfRule type="containsText" priority="2843" operator="containsText" dxfId="1" text="▲">
      <formula>NOT(ISERROR(SEARCH("▲",AB88)))</formula>
    </cfRule>
    <cfRule type="containsText" priority="2844" operator="containsText" dxfId="0" text="▼">
      <formula>NOT(ISERROR(SEARCH("▼",AB88)))</formula>
    </cfRule>
    <cfRule type="containsText" priority="2845" operator="containsText" dxfId="1" text="▲">
      <formula>NOT(ISERROR(SEARCH("▲",AB88)))</formula>
    </cfRule>
    <cfRule type="containsText" priority="2846" operator="containsText" dxfId="0" text="▼">
      <formula>NOT(ISERROR(SEARCH("▼",AB88)))</formula>
    </cfRule>
    <cfRule type="containsText" priority="2847" operator="containsText" dxfId="1" text="▲">
      <formula>NOT(ISERROR(SEARCH("▲",AB88)))</formula>
    </cfRule>
    <cfRule type="containsText" priority="2848" operator="containsText" dxfId="0" text="▼">
      <formula>NOT(ISERROR(SEARCH("▼",AB88)))</formula>
    </cfRule>
    <cfRule type="containsText" priority="2849" operator="containsText" dxfId="1" text="▲">
      <formula>NOT(ISERROR(SEARCH("▲",AB88)))</formula>
    </cfRule>
    <cfRule type="containsText" priority="2850" operator="containsText" dxfId="0" text="▼">
      <formula>NOT(ISERROR(SEARCH("▼",AB88)))</formula>
    </cfRule>
    <cfRule type="containsText" priority="2851" operator="containsText" dxfId="1" text="▲">
      <formula>NOT(ISERROR(SEARCH("▲",AB88)))</formula>
    </cfRule>
    <cfRule type="containsText" priority="2852" operator="containsText" dxfId="0" text="▼">
      <formula>NOT(ISERROR(SEARCH("▼",AB88)))</formula>
    </cfRule>
    <cfRule type="containsText" priority="2853" operator="containsText" dxfId="1" text="▲">
      <formula>NOT(ISERROR(SEARCH("▲",AB88)))</formula>
    </cfRule>
    <cfRule type="containsText" priority="2854" operator="containsText" dxfId="0" text="▼">
      <formula>NOT(ISERROR(SEARCH("▼",AB88)))</formula>
    </cfRule>
    <cfRule type="containsText" priority="2855" operator="containsText" dxfId="1" text="△">
      <formula>NOT(ISERROR(SEARCH("△",AB88)))</formula>
    </cfRule>
    <cfRule type="containsText" priority="2856" operator="containsText" dxfId="0" text="▽">
      <formula>NOT(ISERROR(SEARCH("▽",AB88)))</formula>
    </cfRule>
    <cfRule type="containsText" priority="2857" operator="containsText" dxfId="1" text="▲">
      <formula>NOT(ISERROR(SEARCH("▲",AB88)))</formula>
    </cfRule>
    <cfRule type="containsText" priority="2858" operator="containsText" dxfId="0" text="▼">
      <formula>NOT(ISERROR(SEARCH("▼",AB88)))</formula>
    </cfRule>
    <cfRule type="containsText" priority="2859" operator="containsText" dxfId="1" text="▲">
      <formula>NOT(ISERROR(SEARCH("▲",AB88)))</formula>
    </cfRule>
    <cfRule type="containsText" priority="2860" operator="containsText" dxfId="0" text="▼">
      <formula>NOT(ISERROR(SEARCH("▼",AB88)))</formula>
    </cfRule>
    <cfRule type="containsText" priority="2861" operator="containsText" dxfId="1" text="▲">
      <formula>NOT(ISERROR(SEARCH("▲",AB88)))</formula>
    </cfRule>
    <cfRule type="containsText" priority="2862" operator="containsText" dxfId="0" text="▼">
      <formula>NOT(ISERROR(SEARCH("▼",AB88)))</formula>
    </cfRule>
    <cfRule type="containsText" priority="2863" operator="containsText" dxfId="1" text="▲">
      <formula>NOT(ISERROR(SEARCH("▲",AB88)))</formula>
    </cfRule>
    <cfRule type="containsText" priority="2864" operator="containsText" dxfId="0" text="▼">
      <formula>NOT(ISERROR(SEARCH("▼",AB88)))</formula>
    </cfRule>
    <cfRule type="containsText" priority="2865" operator="containsText" dxfId="1" text="▲">
      <formula>NOT(ISERROR(SEARCH("▲",AB88)))</formula>
    </cfRule>
    <cfRule type="containsText" priority="2866" operator="containsText" dxfId="0" text="▼">
      <formula>NOT(ISERROR(SEARCH("▼",AB88)))</formula>
    </cfRule>
    <cfRule type="containsText" priority="2867" operator="containsText" dxfId="1" text="▲">
      <formula>NOT(ISERROR(SEARCH("▲",AB88)))</formula>
    </cfRule>
    <cfRule type="containsText" priority="2868" operator="containsText" dxfId="0" text="▼">
      <formula>NOT(ISERROR(SEARCH("▼",AB88)))</formula>
    </cfRule>
    <cfRule type="containsText" priority="2869" operator="containsText" dxfId="1" text="▲">
      <formula>NOT(ISERROR(SEARCH("▲",AB88)))</formula>
    </cfRule>
    <cfRule type="containsText" priority="2870" operator="containsText" dxfId="0" text="▼">
      <formula>NOT(ISERROR(SEARCH("▼",AB88)))</formula>
    </cfRule>
    <cfRule type="containsText" priority="2871" operator="containsText" dxfId="1" text="▲">
      <formula>NOT(ISERROR(SEARCH("▲",AB88)))</formula>
    </cfRule>
    <cfRule type="containsText" priority="2872" operator="containsText" dxfId="0" text="▼">
      <formula>NOT(ISERROR(SEARCH("▼",AB88)))</formula>
    </cfRule>
    <cfRule type="containsText" priority="2873" operator="containsText" dxfId="1" text="▲">
      <formula>NOT(ISERROR(SEARCH("▲",AB88)))</formula>
    </cfRule>
    <cfRule type="containsText" priority="2874" operator="containsText" dxfId="0" text="▼">
      <formula>NOT(ISERROR(SEARCH("▼",AB88)))</formula>
    </cfRule>
    <cfRule type="containsText" priority="2875" operator="containsText" dxfId="1" text="▲">
      <formula>NOT(ISERROR(SEARCH("▲",AB88)))</formula>
    </cfRule>
    <cfRule type="containsText" priority="2876" operator="containsText" dxfId="0" text="▼">
      <formula>NOT(ISERROR(SEARCH("▼",AB88)))</formula>
    </cfRule>
    <cfRule type="containsText" priority="2877" operator="containsText" dxfId="1" text="▲">
      <formula>NOT(ISERROR(SEARCH("▲",AB88)))</formula>
    </cfRule>
    <cfRule type="containsText" priority="2878" operator="containsText" dxfId="0" text="▼">
      <formula>NOT(ISERROR(SEARCH("▼",AB88)))</formula>
    </cfRule>
    <cfRule type="containsText" priority="2879" operator="containsText" dxfId="1" text="▲">
      <formula>NOT(ISERROR(SEARCH("▲",AB88)))</formula>
    </cfRule>
    <cfRule type="containsText" priority="2880" operator="containsText" dxfId="0" text="▼">
      <formula>NOT(ISERROR(SEARCH("▼",AB88)))</formula>
    </cfRule>
    <cfRule type="containsText" priority="2881" operator="containsText" dxfId="1" text="▲">
      <formula>NOT(ISERROR(SEARCH("▲",AB88)))</formula>
    </cfRule>
    <cfRule type="containsText" priority="2882" operator="containsText" dxfId="0" text="▼">
      <formula>NOT(ISERROR(SEARCH("▼",AB88)))</formula>
    </cfRule>
    <cfRule type="containsText" priority="2883" operator="containsText" dxfId="1" text="▲">
      <formula>NOT(ISERROR(SEARCH("▲",AB88)))</formula>
    </cfRule>
    <cfRule type="containsText" priority="2884" operator="containsText" dxfId="0" text="▼">
      <formula>NOT(ISERROR(SEARCH("▼",AB88)))</formula>
    </cfRule>
    <cfRule type="containsText" priority="2885" operator="containsText" dxfId="1" text="▲">
      <formula>NOT(ISERROR(SEARCH("▲",AB88)))</formula>
    </cfRule>
    <cfRule type="containsText" priority="2886" operator="containsText" dxfId="0" text="▼">
      <formula>NOT(ISERROR(SEARCH("▼",AB88)))</formula>
    </cfRule>
    <cfRule type="containsText" priority="2887" operator="containsText" dxfId="1" text="▲">
      <formula>NOT(ISERROR(SEARCH("▲",AB88)))</formula>
    </cfRule>
    <cfRule type="containsText" priority="2888" operator="containsText" dxfId="0" text="▼">
      <formula>NOT(ISERROR(SEARCH("▼",AB88)))</formula>
    </cfRule>
    <cfRule type="containsText" priority="2889" operator="containsText" dxfId="1" text="▲">
      <formula>NOT(ISERROR(SEARCH("▲",AB88)))</formula>
    </cfRule>
    <cfRule type="containsText" priority="2890" operator="containsText" dxfId="0" text="▼">
      <formula>NOT(ISERROR(SEARCH("▼",AB88)))</formula>
    </cfRule>
    <cfRule type="containsText" priority="2891" operator="containsText" dxfId="1" text="▲">
      <formula>NOT(ISERROR(SEARCH("▲",AB88)))</formula>
    </cfRule>
    <cfRule type="containsText" priority="2892" operator="containsText" dxfId="0" text="▼">
      <formula>NOT(ISERROR(SEARCH("▼",AB88)))</formula>
    </cfRule>
    <cfRule type="containsText" priority="2893" operator="containsText" dxfId="1" text="▲">
      <formula>NOT(ISERROR(SEARCH("▲",AB88)))</formula>
    </cfRule>
    <cfRule type="containsText" priority="2894" operator="containsText" dxfId="0" text="▼">
      <formula>NOT(ISERROR(SEARCH("▼",AB88)))</formula>
    </cfRule>
    <cfRule type="containsText" priority="2895" operator="containsText" dxfId="1" text="▲">
      <formula>NOT(ISERROR(SEARCH("▲",AB88)))</formula>
    </cfRule>
    <cfRule type="containsText" priority="2896" operator="containsText" dxfId="0" text="▼">
      <formula>NOT(ISERROR(SEARCH("▼",AB88)))</formula>
    </cfRule>
    <cfRule type="containsText" priority="2897" operator="containsText" dxfId="1" text="▲">
      <formula>NOT(ISERROR(SEARCH("▲",AB88)))</formula>
    </cfRule>
    <cfRule type="containsText" priority="2898" operator="containsText" dxfId="0" text="▼">
      <formula>NOT(ISERROR(SEARCH("▼",AB88)))</formula>
    </cfRule>
    <cfRule type="containsText" priority="2899" operator="containsText" dxfId="1" text="▲">
      <formula>NOT(ISERROR(SEARCH("▲",AB88)))</formula>
    </cfRule>
    <cfRule type="containsText" priority="2900" operator="containsText" dxfId="0" text="▼">
      <formula>NOT(ISERROR(SEARCH("▼",AB88)))</formula>
    </cfRule>
    <cfRule type="containsText" priority="2901" operator="containsText" dxfId="1" text="▲">
      <formula>NOT(ISERROR(SEARCH("▲",AB88)))</formula>
    </cfRule>
    <cfRule type="containsText" priority="2902" operator="containsText" dxfId="0" text="▼">
      <formula>NOT(ISERROR(SEARCH("▼",AB88)))</formula>
    </cfRule>
    <cfRule type="containsText" priority="2903" operator="containsText" dxfId="1" text="▲">
      <formula>NOT(ISERROR(SEARCH("▲",AB88)))</formula>
    </cfRule>
    <cfRule type="containsText" priority="2904" operator="containsText" dxfId="0" text="▼">
      <formula>NOT(ISERROR(SEARCH("▼",AB88)))</formula>
    </cfRule>
    <cfRule type="containsText" priority="2905" operator="containsText" dxfId="1" text="▲">
      <formula>NOT(ISERROR(SEARCH("▲",AB88)))</formula>
    </cfRule>
    <cfRule type="containsText" priority="2906" operator="containsText" dxfId="0" text="▼">
      <formula>NOT(ISERROR(SEARCH("▼",AB88)))</formula>
    </cfRule>
    <cfRule type="containsText" priority="2907" operator="containsText" dxfId="1" text="△">
      <formula>NOT(ISERROR(SEARCH("△",AB88)))</formula>
    </cfRule>
    <cfRule type="containsText" priority="2908" operator="containsText" dxfId="0" text="▽">
      <formula>NOT(ISERROR(SEARCH("▽",AB88)))</formula>
    </cfRule>
    <cfRule type="containsText" priority="2909" operator="containsText" dxfId="1" text="▲">
      <formula>NOT(ISERROR(SEARCH("▲",AB88)))</formula>
    </cfRule>
    <cfRule type="containsText" priority="2910" operator="containsText" dxfId="0" text="▼">
      <formula>NOT(ISERROR(SEARCH("▼",AB88)))</formula>
    </cfRule>
    <cfRule type="containsText" priority="2911" operator="containsText" dxfId="1" text="▲">
      <formula>NOT(ISERROR(SEARCH("▲",AB88)))</formula>
    </cfRule>
    <cfRule type="containsText" priority="2912" operator="containsText" dxfId="0" text="▼">
      <formula>NOT(ISERROR(SEARCH("▼",AB88)))</formula>
    </cfRule>
    <cfRule type="containsText" priority="2913" operator="containsText" dxfId="1" text="▲">
      <formula>NOT(ISERROR(SEARCH("▲",AB88)))</formula>
    </cfRule>
    <cfRule type="containsText" priority="2914" operator="containsText" dxfId="0" text="▼">
      <formula>NOT(ISERROR(SEARCH("▼",AB88)))</formula>
    </cfRule>
    <cfRule type="containsText" priority="2915" operator="containsText" dxfId="1" text="▲">
      <formula>NOT(ISERROR(SEARCH("▲",AB88)))</formula>
    </cfRule>
    <cfRule type="containsText" priority="2916" operator="containsText" dxfId="0" text="▼">
      <formula>NOT(ISERROR(SEARCH("▼",AB88)))</formula>
    </cfRule>
    <cfRule type="containsText" priority="2917" operator="containsText" dxfId="1" text="▲">
      <formula>NOT(ISERROR(SEARCH("▲",AB88)))</formula>
    </cfRule>
    <cfRule type="containsText" priority="2918" operator="containsText" dxfId="0" text="▼">
      <formula>NOT(ISERROR(SEARCH("▼",AB88)))</formula>
    </cfRule>
    <cfRule type="containsText" priority="2919" operator="containsText" dxfId="1" text="▲">
      <formula>NOT(ISERROR(SEARCH("▲",AB88)))</formula>
    </cfRule>
    <cfRule type="containsText" priority="2920" operator="containsText" dxfId="0" text="▼">
      <formula>NOT(ISERROR(SEARCH("▼",AB88)))</formula>
    </cfRule>
    <cfRule type="containsText" priority="2921" operator="containsText" dxfId="1" text="▲">
      <formula>NOT(ISERROR(SEARCH("▲",AB88)))</formula>
    </cfRule>
    <cfRule type="containsText" priority="2922" operator="containsText" dxfId="0" text="▼">
      <formula>NOT(ISERROR(SEARCH("▼",AB88)))</formula>
    </cfRule>
    <cfRule type="containsText" priority="2923" operator="containsText" dxfId="1" text="▲">
      <formula>NOT(ISERROR(SEARCH("▲",AB88)))</formula>
    </cfRule>
    <cfRule type="containsText" priority="2924" operator="containsText" dxfId="0" text="▼">
      <formula>NOT(ISERROR(SEARCH("▼",AB88)))</formula>
    </cfRule>
    <cfRule type="containsText" priority="2925" operator="containsText" dxfId="1" text="▲">
      <formula>NOT(ISERROR(SEARCH("▲",AB88)))</formula>
    </cfRule>
    <cfRule type="containsText" priority="2926" operator="containsText" dxfId="0" text="▼">
      <formula>NOT(ISERROR(SEARCH("▼",AB88)))</formula>
    </cfRule>
    <cfRule type="containsText" priority="2927" operator="containsText" dxfId="1" text="▲">
      <formula>NOT(ISERROR(SEARCH("▲",AB88)))</formula>
    </cfRule>
    <cfRule type="containsText" priority="2928" operator="containsText" dxfId="0" text="▼">
      <formula>NOT(ISERROR(SEARCH("▼",AB88)))</formula>
    </cfRule>
    <cfRule type="containsText" priority="2929" operator="containsText" dxfId="1" text="▲">
      <formula>NOT(ISERROR(SEARCH("▲",AB88)))</formula>
    </cfRule>
    <cfRule type="containsText" priority="2930" operator="containsText" dxfId="0" text="▼">
      <formula>NOT(ISERROR(SEARCH("▼",AB88)))</formula>
    </cfRule>
    <cfRule type="containsText" priority="2931" operator="containsText" dxfId="1" text="▲">
      <formula>NOT(ISERROR(SEARCH("▲",AB88)))</formula>
    </cfRule>
    <cfRule type="containsText" priority="2932" operator="containsText" dxfId="0" text="▼">
      <formula>NOT(ISERROR(SEARCH("▼",AB88)))</formula>
    </cfRule>
    <cfRule type="containsText" priority="2933" operator="containsText" dxfId="1" text="▲">
      <formula>NOT(ISERROR(SEARCH("▲",AB88)))</formula>
    </cfRule>
    <cfRule type="containsText" priority="2934" operator="containsText" dxfId="0" text="▼">
      <formula>NOT(ISERROR(SEARCH("▼",AB88)))</formula>
    </cfRule>
    <cfRule type="containsText" priority="2935" operator="containsText" dxfId="1" text="▲">
      <formula>NOT(ISERROR(SEARCH("▲",AB88)))</formula>
    </cfRule>
    <cfRule type="containsText" priority="2936" operator="containsText" dxfId="0" text="▼">
      <formula>NOT(ISERROR(SEARCH("▼",AB88)))</formula>
    </cfRule>
    <cfRule type="containsText" priority="2937" operator="containsText" dxfId="1" text="▲">
      <formula>NOT(ISERROR(SEARCH("▲",AB88)))</formula>
    </cfRule>
    <cfRule type="containsText" priority="2938" operator="containsText" dxfId="0" text="▼">
      <formula>NOT(ISERROR(SEARCH("▼",AB88)))</formula>
    </cfRule>
    <cfRule type="containsText" priority="2939" operator="containsText" dxfId="1" text="▲">
      <formula>NOT(ISERROR(SEARCH("▲",AB88)))</formula>
    </cfRule>
    <cfRule type="containsText" priority="2940" operator="containsText" dxfId="0" text="▼">
      <formula>NOT(ISERROR(SEARCH("▼",AB88)))</formula>
    </cfRule>
    <cfRule type="containsText" priority="2941" operator="containsText" dxfId="1" text="▲">
      <formula>NOT(ISERROR(SEARCH("▲",AB88)))</formula>
    </cfRule>
    <cfRule type="containsText" priority="2942" operator="containsText" dxfId="0" text="▼">
      <formula>NOT(ISERROR(SEARCH("▼",AB88)))</formula>
    </cfRule>
    <cfRule type="containsText" priority="2943" operator="containsText" dxfId="1" text="▲">
      <formula>NOT(ISERROR(SEARCH("▲",AB88)))</formula>
    </cfRule>
    <cfRule type="containsText" priority="2944" operator="containsText" dxfId="0" text="▼">
      <formula>NOT(ISERROR(SEARCH("▼",AB88)))</formula>
    </cfRule>
    <cfRule type="containsText" priority="2945" operator="containsText" dxfId="1" text="▲">
      <formula>NOT(ISERROR(SEARCH("▲",AB88)))</formula>
    </cfRule>
    <cfRule type="containsText" priority="2946" operator="containsText" dxfId="0" text="▼">
      <formula>NOT(ISERROR(SEARCH("▼",AB88)))</formula>
    </cfRule>
    <cfRule type="containsText" priority="2947" operator="containsText" dxfId="1" text="▲">
      <formula>NOT(ISERROR(SEARCH("▲",AB88)))</formula>
    </cfRule>
    <cfRule type="containsText" priority="2948" operator="containsText" dxfId="0" text="▼">
      <formula>NOT(ISERROR(SEARCH("▼",AB88)))</formula>
    </cfRule>
    <cfRule type="containsText" priority="2949" operator="containsText" dxfId="1" text="▲">
      <formula>NOT(ISERROR(SEARCH("▲",AB88)))</formula>
    </cfRule>
    <cfRule type="containsText" priority="2950" operator="containsText" dxfId="0" text="▼">
      <formula>NOT(ISERROR(SEARCH("▼",AB88)))</formula>
    </cfRule>
    <cfRule type="containsText" priority="2951" operator="containsText" dxfId="1" text="▲">
      <formula>NOT(ISERROR(SEARCH("▲",AB88)))</formula>
    </cfRule>
    <cfRule type="containsText" priority="2952" operator="containsText" dxfId="0" text="▼">
      <formula>NOT(ISERROR(SEARCH("▼",AB88)))</formula>
    </cfRule>
    <cfRule type="containsText" priority="2953" operator="containsText" dxfId="1" text="▲">
      <formula>NOT(ISERROR(SEARCH("▲",AB88)))</formula>
    </cfRule>
    <cfRule type="containsText" priority="2954" operator="containsText" dxfId="0" text="▼">
      <formula>NOT(ISERROR(SEARCH("▼",AB88)))</formula>
    </cfRule>
    <cfRule type="containsText" priority="2955" operator="containsText" dxfId="1" text="▲">
      <formula>NOT(ISERROR(SEARCH("▲",AB88)))</formula>
    </cfRule>
    <cfRule type="containsText" priority="2956" operator="containsText" dxfId="0" text="▼">
      <formula>NOT(ISERROR(SEARCH("▼",AB88)))</formula>
    </cfRule>
    <cfRule type="containsText" priority="2957" operator="containsText" dxfId="1" text="▲">
      <formula>NOT(ISERROR(SEARCH("▲",AB88)))</formula>
    </cfRule>
    <cfRule type="containsText" priority="2958" operator="containsText" dxfId="0" text="▼">
      <formula>NOT(ISERROR(SEARCH("▼",AB88)))</formula>
    </cfRule>
    <cfRule type="containsText" priority="2959" operator="containsText" dxfId="1" text="▲">
      <formula>NOT(ISERROR(SEARCH("▲",AB88)))</formula>
    </cfRule>
    <cfRule type="containsText" priority="2960" operator="containsText" dxfId="0" text="▼">
      <formula>NOT(ISERROR(SEARCH("▼",AB88)))</formula>
    </cfRule>
    <cfRule type="containsText" priority="2961" operator="containsText" dxfId="1" text="▲">
      <formula>NOT(ISERROR(SEARCH("▲",AB88)))</formula>
    </cfRule>
    <cfRule type="containsText" priority="2962" operator="containsText" dxfId="0" text="▼">
      <formula>NOT(ISERROR(SEARCH("▼",AB88)))</formula>
    </cfRule>
    <cfRule type="containsText" priority="2963" operator="containsText" dxfId="1" text="▲">
      <formula>NOT(ISERROR(SEARCH("▲",AB88)))</formula>
    </cfRule>
    <cfRule type="containsText" priority="2964" operator="containsText" dxfId="0" text="▼">
      <formula>NOT(ISERROR(SEARCH("▼",AB88)))</formula>
    </cfRule>
    <cfRule type="containsText" priority="2965" operator="containsText" dxfId="1" text="▲">
      <formula>NOT(ISERROR(SEARCH("▲",AB88)))</formula>
    </cfRule>
    <cfRule type="containsText" priority="2966" operator="containsText" dxfId="0" text="▼">
      <formula>NOT(ISERROR(SEARCH("▼",AB88)))</formula>
    </cfRule>
    <cfRule type="containsText" priority="2967" operator="containsText" dxfId="1" text="▲">
      <formula>NOT(ISERROR(SEARCH("▲",AB88)))</formula>
    </cfRule>
    <cfRule type="containsText" priority="2968" operator="containsText" dxfId="0" text="▼">
      <formula>NOT(ISERROR(SEARCH("▼",AB88)))</formula>
    </cfRule>
    <cfRule type="containsText" priority="2969" operator="containsText" dxfId="1" text="▲">
      <formula>NOT(ISERROR(SEARCH("▲",AB88)))</formula>
    </cfRule>
    <cfRule type="containsText" priority="2970" operator="containsText" dxfId="0" text="▼">
      <formula>NOT(ISERROR(SEARCH("▼",AB88)))</formula>
    </cfRule>
    <cfRule type="containsText" priority="2971" operator="containsText" dxfId="1" text="△">
      <formula>NOT(ISERROR(SEARCH("△",AB88)))</formula>
    </cfRule>
    <cfRule type="containsText" priority="2972" operator="containsText" dxfId="0" text="▽">
      <formula>NOT(ISERROR(SEARCH("▽",AB88)))</formula>
    </cfRule>
    <cfRule type="containsText" priority="2753" operator="containsText" dxfId="1" text="▲">
      <formula>NOT(ISERROR(SEARCH("▲",AB88)))</formula>
    </cfRule>
    <cfRule type="containsText" priority="2754" operator="containsText" dxfId="0" text="▼">
      <formula>NOT(ISERROR(SEARCH("▼",AB88)))</formula>
    </cfRule>
    <cfRule type="containsText" priority="2543" operator="containsText" dxfId="1" text="▲">
      <formula>NOT(ISERROR(SEARCH("▲",AB88)))</formula>
    </cfRule>
    <cfRule type="containsText" priority="2544" operator="containsText" dxfId="0" text="▼">
      <formula>NOT(ISERROR(SEARCH("▼",AB88)))</formula>
    </cfRule>
    <cfRule type="containsText" priority="2545" operator="containsText" dxfId="1" text="▲">
      <formula>NOT(ISERROR(SEARCH("▲",AB88)))</formula>
    </cfRule>
    <cfRule type="containsText" priority="2546" operator="containsText" dxfId="0" text="▼">
      <formula>NOT(ISERROR(SEARCH("▼",AB88)))</formula>
    </cfRule>
    <cfRule type="containsText" priority="2547" operator="containsText" dxfId="1" text="▲">
      <formula>NOT(ISERROR(SEARCH("▲",AB88)))</formula>
    </cfRule>
    <cfRule type="containsText" priority="2548" operator="containsText" dxfId="0" text="▼">
      <formula>NOT(ISERROR(SEARCH("▼",AB88)))</formula>
    </cfRule>
    <cfRule type="containsText" priority="2549" operator="containsText" dxfId="1" text="▲">
      <formula>NOT(ISERROR(SEARCH("▲",AB88)))</formula>
    </cfRule>
    <cfRule type="containsText" priority="2550" operator="containsText" dxfId="0" text="▼">
      <formula>NOT(ISERROR(SEARCH("▼",AB88)))</formula>
    </cfRule>
    <cfRule type="containsText" priority="2551" operator="containsText" dxfId="1" text="▲">
      <formula>NOT(ISERROR(SEARCH("▲",AB88)))</formula>
    </cfRule>
    <cfRule type="containsText" priority="2552" operator="containsText" dxfId="0" text="▼">
      <formula>NOT(ISERROR(SEARCH("▼",AB88)))</formula>
    </cfRule>
    <cfRule type="containsText" priority="2553" operator="containsText" dxfId="1" text="▲">
      <formula>NOT(ISERROR(SEARCH("▲",AB88)))</formula>
    </cfRule>
    <cfRule type="containsText" priority="2554" operator="containsText" dxfId="0" text="▼">
      <formula>NOT(ISERROR(SEARCH("▼",AB88)))</formula>
    </cfRule>
    <cfRule type="containsText" priority="2555" operator="containsText" dxfId="1" text="▲">
      <formula>NOT(ISERROR(SEARCH("▲",AB88)))</formula>
    </cfRule>
    <cfRule type="containsText" priority="2556" operator="containsText" dxfId="0" text="▼">
      <formula>NOT(ISERROR(SEARCH("▼",AB88)))</formula>
    </cfRule>
    <cfRule type="containsText" priority="2557" operator="containsText" dxfId="1" text="▲">
      <formula>NOT(ISERROR(SEARCH("▲",AB88)))</formula>
    </cfRule>
    <cfRule type="containsText" priority="2558" operator="containsText" dxfId="0" text="▼">
      <formula>NOT(ISERROR(SEARCH("▼",AB88)))</formula>
    </cfRule>
    <cfRule type="containsText" priority="2559" operator="containsText" dxfId="1" text="▲">
      <formula>NOT(ISERROR(SEARCH("▲",AB88)))</formula>
    </cfRule>
    <cfRule type="containsText" priority="2560" operator="containsText" dxfId="0" text="▼">
      <formula>NOT(ISERROR(SEARCH("▼",AB88)))</formula>
    </cfRule>
    <cfRule type="containsText" priority="2561" operator="containsText" dxfId="1" text="▲">
      <formula>NOT(ISERROR(SEARCH("▲",AB88)))</formula>
    </cfRule>
    <cfRule type="containsText" priority="2562" operator="containsText" dxfId="0" text="▼">
      <formula>NOT(ISERROR(SEARCH("▼",AB88)))</formula>
    </cfRule>
    <cfRule type="containsText" priority="2563" operator="containsText" dxfId="1" text="▲">
      <formula>NOT(ISERROR(SEARCH("▲",AB88)))</formula>
    </cfRule>
    <cfRule type="containsText" priority="2564" operator="containsText" dxfId="0" text="▼">
      <formula>NOT(ISERROR(SEARCH("▼",AB88)))</formula>
    </cfRule>
    <cfRule type="containsText" priority="2565" operator="containsText" dxfId="1" text="▲">
      <formula>NOT(ISERROR(SEARCH("▲",AB88)))</formula>
    </cfRule>
    <cfRule type="containsText" priority="2566" operator="containsText" dxfId="0" text="▼">
      <formula>NOT(ISERROR(SEARCH("▼",AB88)))</formula>
    </cfRule>
    <cfRule type="containsText" priority="2567" operator="containsText" dxfId="1" text="▲">
      <formula>NOT(ISERROR(SEARCH("▲",AB88)))</formula>
    </cfRule>
    <cfRule type="containsText" priority="2568" operator="containsText" dxfId="0" text="▼">
      <formula>NOT(ISERROR(SEARCH("▼",AB88)))</formula>
    </cfRule>
    <cfRule type="containsText" priority="2569" operator="containsText" dxfId="1" text="▲">
      <formula>NOT(ISERROR(SEARCH("▲",AB88)))</formula>
    </cfRule>
    <cfRule type="containsText" priority="2570" operator="containsText" dxfId="0" text="▼">
      <formula>NOT(ISERROR(SEARCH("▼",AB88)))</formula>
    </cfRule>
    <cfRule type="containsText" priority="2571" operator="containsText" dxfId="1" text="▲">
      <formula>NOT(ISERROR(SEARCH("▲",AB88)))</formula>
    </cfRule>
    <cfRule type="containsText" priority="2572" operator="containsText" dxfId="0" text="▼">
      <formula>NOT(ISERROR(SEARCH("▼",AB88)))</formula>
    </cfRule>
    <cfRule type="containsText" priority="2573" operator="containsText" dxfId="1" text="▲">
      <formula>NOT(ISERROR(SEARCH("▲",AB88)))</formula>
    </cfRule>
    <cfRule type="containsText" priority="2574" operator="containsText" dxfId="0" text="▼">
      <formula>NOT(ISERROR(SEARCH("▼",AB88)))</formula>
    </cfRule>
    <cfRule type="containsText" priority="2575" operator="containsText" dxfId="1" text="▲">
      <formula>NOT(ISERROR(SEARCH("▲",AB88)))</formula>
    </cfRule>
    <cfRule type="containsText" priority="2576" operator="containsText" dxfId="0" text="▼">
      <formula>NOT(ISERROR(SEARCH("▼",AB88)))</formula>
    </cfRule>
    <cfRule type="containsText" priority="2577" operator="containsText" dxfId="1" text="▲">
      <formula>NOT(ISERROR(SEARCH("▲",AB88)))</formula>
    </cfRule>
    <cfRule type="containsText" priority="2578" operator="containsText" dxfId="0" text="▼">
      <formula>NOT(ISERROR(SEARCH("▼",AB88)))</formula>
    </cfRule>
    <cfRule type="containsText" priority="2579" operator="containsText" dxfId="1" text="▲">
      <formula>NOT(ISERROR(SEARCH("▲",AB88)))</formula>
    </cfRule>
    <cfRule type="containsText" priority="2580" operator="containsText" dxfId="0" text="▼">
      <formula>NOT(ISERROR(SEARCH("▼",AB88)))</formula>
    </cfRule>
    <cfRule type="containsText" priority="2581" operator="containsText" dxfId="1" text="▲">
      <formula>NOT(ISERROR(SEARCH("▲",AB88)))</formula>
    </cfRule>
    <cfRule type="containsText" priority="2582" operator="containsText" dxfId="0" text="▼">
      <formula>NOT(ISERROR(SEARCH("▼",AB88)))</formula>
    </cfRule>
    <cfRule type="containsText" priority="2583" operator="containsText" dxfId="1" text="▲">
      <formula>NOT(ISERROR(SEARCH("▲",AB88)))</formula>
    </cfRule>
    <cfRule type="containsText" priority="2584" operator="containsText" dxfId="0" text="▼">
      <formula>NOT(ISERROR(SEARCH("▼",AB88)))</formula>
    </cfRule>
    <cfRule type="containsText" priority="2585" operator="containsText" dxfId="1" text="▲">
      <formula>NOT(ISERROR(SEARCH("▲",AB88)))</formula>
    </cfRule>
    <cfRule type="containsText" priority="2586" operator="containsText" dxfId="0" text="▼">
      <formula>NOT(ISERROR(SEARCH("▼",AB88)))</formula>
    </cfRule>
    <cfRule type="containsText" priority="2587" operator="containsText" dxfId="1" text="▲">
      <formula>NOT(ISERROR(SEARCH("▲",AB88)))</formula>
    </cfRule>
    <cfRule type="containsText" priority="2588" operator="containsText" dxfId="0" text="▼">
      <formula>NOT(ISERROR(SEARCH("▼",AB88)))</formula>
    </cfRule>
    <cfRule type="containsText" priority="2589" operator="containsText" dxfId="1" text="▲">
      <formula>NOT(ISERROR(SEARCH("▲",AB88)))</formula>
    </cfRule>
    <cfRule type="containsText" priority="2590" operator="containsText" dxfId="0" text="▼">
      <formula>NOT(ISERROR(SEARCH("▼",AB88)))</formula>
    </cfRule>
    <cfRule type="containsText" priority="2591" operator="containsText" dxfId="1" text="▲">
      <formula>NOT(ISERROR(SEARCH("▲",AB88)))</formula>
    </cfRule>
    <cfRule type="containsText" priority="2592" operator="containsText" dxfId="0" text="▼">
      <formula>NOT(ISERROR(SEARCH("▼",AB88)))</formula>
    </cfRule>
    <cfRule type="containsText" priority="2593" operator="containsText" dxfId="1" text="△">
      <formula>NOT(ISERROR(SEARCH("△",AB88)))</formula>
    </cfRule>
    <cfRule type="containsText" priority="2594" operator="containsText" dxfId="0" text="▽">
      <formula>NOT(ISERROR(SEARCH("▽",AB88)))</formula>
    </cfRule>
    <cfRule type="containsText" priority="2595" operator="containsText" dxfId="1" text="▲">
      <formula>NOT(ISERROR(SEARCH("▲",AB88)))</formula>
    </cfRule>
    <cfRule type="containsText" priority="2596" operator="containsText" dxfId="0" text="▼">
      <formula>NOT(ISERROR(SEARCH("▼",AB88)))</formula>
    </cfRule>
    <cfRule type="containsText" priority="2597" operator="containsText" dxfId="1" text="▲">
      <formula>NOT(ISERROR(SEARCH("▲",AB88)))</formula>
    </cfRule>
    <cfRule type="containsText" priority="2598" operator="containsText" dxfId="0" text="▼">
      <formula>NOT(ISERROR(SEARCH("▼",AB88)))</formula>
    </cfRule>
    <cfRule type="containsText" priority="2599" operator="containsText" dxfId="1" text="▲">
      <formula>NOT(ISERROR(SEARCH("▲",AB88)))</formula>
    </cfRule>
    <cfRule type="containsText" priority="2600" operator="containsText" dxfId="0" text="▼">
      <formula>NOT(ISERROR(SEARCH("▼",AB88)))</formula>
    </cfRule>
    <cfRule type="containsText" priority="2601" operator="containsText" dxfId="1" text="▲">
      <formula>NOT(ISERROR(SEARCH("▲",AB88)))</formula>
    </cfRule>
    <cfRule type="containsText" priority="2602" operator="containsText" dxfId="0" text="▼">
      <formula>NOT(ISERROR(SEARCH("▼",AB88)))</formula>
    </cfRule>
    <cfRule type="containsText" priority="2603" operator="containsText" dxfId="1" text="▲">
      <formula>NOT(ISERROR(SEARCH("▲",AB88)))</formula>
    </cfRule>
    <cfRule type="containsText" priority="2604" operator="containsText" dxfId="0" text="▼">
      <formula>NOT(ISERROR(SEARCH("▼",AB88)))</formula>
    </cfRule>
    <cfRule type="containsText" priority="2605" operator="containsText" dxfId="1" text="▲">
      <formula>NOT(ISERROR(SEARCH("▲",AB88)))</formula>
    </cfRule>
    <cfRule type="containsText" priority="2606" operator="containsText" dxfId="0" text="▼">
      <formula>NOT(ISERROR(SEARCH("▼",AB88)))</formula>
    </cfRule>
    <cfRule type="containsText" priority="2607" operator="containsText" dxfId="1" text="▲">
      <formula>NOT(ISERROR(SEARCH("▲",AB88)))</formula>
    </cfRule>
    <cfRule type="containsText" priority="2608" operator="containsText" dxfId="0" text="▼">
      <formula>NOT(ISERROR(SEARCH("▼",AB88)))</formula>
    </cfRule>
    <cfRule type="containsText" priority="2609" operator="containsText" dxfId="1" text="▲">
      <formula>NOT(ISERROR(SEARCH("▲",AB88)))</formula>
    </cfRule>
    <cfRule type="containsText" priority="2610" operator="containsText" dxfId="0" text="▼">
      <formula>NOT(ISERROR(SEARCH("▼",AB88)))</formula>
    </cfRule>
    <cfRule type="containsText" priority="2611" operator="containsText" dxfId="1" text="▲">
      <formula>NOT(ISERROR(SEARCH("▲",AB88)))</formula>
    </cfRule>
    <cfRule type="containsText" priority="2612" operator="containsText" dxfId="0" text="▼">
      <formula>NOT(ISERROR(SEARCH("▼",AB88)))</formula>
    </cfRule>
    <cfRule type="containsText" priority="2613" operator="containsText" dxfId="1" text="▲">
      <formula>NOT(ISERROR(SEARCH("▲",AB88)))</formula>
    </cfRule>
    <cfRule type="containsText" priority="2614" operator="containsText" dxfId="0" text="▼">
      <formula>NOT(ISERROR(SEARCH("▼",AB88)))</formula>
    </cfRule>
    <cfRule type="containsText" priority="2615" operator="containsText" dxfId="1" text="▲">
      <formula>NOT(ISERROR(SEARCH("▲",AB88)))</formula>
    </cfRule>
    <cfRule type="containsText" priority="2616" operator="containsText" dxfId="0" text="▼">
      <formula>NOT(ISERROR(SEARCH("▼",AB88)))</formula>
    </cfRule>
    <cfRule type="containsText" priority="2617" operator="containsText" dxfId="1" text="▲">
      <formula>NOT(ISERROR(SEARCH("▲",AB88)))</formula>
    </cfRule>
    <cfRule type="containsText" priority="2618" operator="containsText" dxfId="0" text="▼">
      <formula>NOT(ISERROR(SEARCH("▼",AB88)))</formula>
    </cfRule>
    <cfRule type="containsText" priority="2619" operator="containsText" dxfId="1" text="▲">
      <formula>NOT(ISERROR(SEARCH("▲",AB88)))</formula>
    </cfRule>
    <cfRule type="containsText" priority="2620" operator="containsText" dxfId="0" text="▼">
      <formula>NOT(ISERROR(SEARCH("▼",AB88)))</formula>
    </cfRule>
    <cfRule type="containsText" priority="2621" operator="containsText" dxfId="1" text="▲">
      <formula>NOT(ISERROR(SEARCH("▲",AB88)))</formula>
    </cfRule>
    <cfRule type="containsText" priority="2622" operator="containsText" dxfId="0" text="▼">
      <formula>NOT(ISERROR(SEARCH("▼",AB88)))</formula>
    </cfRule>
    <cfRule type="containsText" priority="2623" operator="containsText" dxfId="1" text="▲">
      <formula>NOT(ISERROR(SEARCH("▲",AB88)))</formula>
    </cfRule>
    <cfRule type="containsText" priority="2624" operator="containsText" dxfId="0" text="▼">
      <formula>NOT(ISERROR(SEARCH("▼",AB88)))</formula>
    </cfRule>
    <cfRule type="containsText" priority="2625" operator="containsText" dxfId="1" text="▲">
      <formula>NOT(ISERROR(SEARCH("▲",AB88)))</formula>
    </cfRule>
    <cfRule type="containsText" priority="2626" operator="containsText" dxfId="0" text="▼">
      <formula>NOT(ISERROR(SEARCH("▼",AB88)))</formula>
    </cfRule>
    <cfRule type="containsText" priority="2627" operator="containsText" dxfId="1" text="▲">
      <formula>NOT(ISERROR(SEARCH("▲",AB88)))</formula>
    </cfRule>
    <cfRule type="containsText" priority="2628" operator="containsText" dxfId="0" text="▼">
      <formula>NOT(ISERROR(SEARCH("▼",AB88)))</formula>
    </cfRule>
    <cfRule type="containsText" priority="2629" operator="containsText" dxfId="1" text="▲">
      <formula>NOT(ISERROR(SEARCH("▲",AB88)))</formula>
    </cfRule>
    <cfRule type="containsText" priority="2630" operator="containsText" dxfId="0" text="▼">
      <formula>NOT(ISERROR(SEARCH("▼",AB88)))</formula>
    </cfRule>
    <cfRule type="containsText" priority="2631" operator="containsText" dxfId="1" text="▲">
      <formula>NOT(ISERROR(SEARCH("▲",AB88)))</formula>
    </cfRule>
    <cfRule type="containsText" priority="2632" operator="containsText" dxfId="0" text="▼">
      <formula>NOT(ISERROR(SEARCH("▼",AB88)))</formula>
    </cfRule>
    <cfRule type="containsText" priority="2633" operator="containsText" dxfId="1" text="▲">
      <formula>NOT(ISERROR(SEARCH("▲",AB88)))</formula>
    </cfRule>
    <cfRule type="containsText" priority="2634" operator="containsText" dxfId="0" text="▼">
      <formula>NOT(ISERROR(SEARCH("▼",AB88)))</formula>
    </cfRule>
    <cfRule type="containsText" priority="2635" operator="containsText" dxfId="1" text="▲">
      <formula>NOT(ISERROR(SEARCH("▲",AB88)))</formula>
    </cfRule>
    <cfRule type="containsText" priority="2636" operator="containsText" dxfId="0" text="▼">
      <formula>NOT(ISERROR(SEARCH("▼",AB88)))</formula>
    </cfRule>
    <cfRule type="containsText" priority="2637" operator="containsText" dxfId="1" text="▲">
      <formula>NOT(ISERROR(SEARCH("▲",AB88)))</formula>
    </cfRule>
    <cfRule type="containsText" priority="2638" operator="containsText" dxfId="0" text="▼">
      <formula>NOT(ISERROR(SEARCH("▼",AB88)))</formula>
    </cfRule>
    <cfRule type="containsText" priority="2639" operator="containsText" dxfId="1" text="▲">
      <formula>NOT(ISERROR(SEARCH("▲",AB88)))</formula>
    </cfRule>
    <cfRule type="containsText" priority="2640" operator="containsText" dxfId="0" text="▼">
      <formula>NOT(ISERROR(SEARCH("▼",AB88)))</formula>
    </cfRule>
    <cfRule type="containsText" priority="2641" operator="containsText" dxfId="1" text="△">
      <formula>NOT(ISERROR(SEARCH("△",AB88)))</formula>
    </cfRule>
    <cfRule type="containsText" priority="2642" operator="containsText" dxfId="0" text="▽">
      <formula>NOT(ISERROR(SEARCH("▽",AB88)))</formula>
    </cfRule>
    <cfRule type="containsText" priority="2643" operator="containsText" dxfId="1" text="▲">
      <formula>NOT(ISERROR(SEARCH("▲",AB88)))</formula>
    </cfRule>
    <cfRule type="containsText" priority="2644" operator="containsText" dxfId="0" text="▼">
      <formula>NOT(ISERROR(SEARCH("▼",AB88)))</formula>
    </cfRule>
    <cfRule type="containsText" priority="2645" operator="containsText" dxfId="1" text="▲">
      <formula>NOT(ISERROR(SEARCH("▲",AB88)))</formula>
    </cfRule>
    <cfRule type="containsText" priority="2646" operator="containsText" dxfId="0" text="▼">
      <formula>NOT(ISERROR(SEARCH("▼",AB88)))</formula>
    </cfRule>
    <cfRule type="containsText" priority="2647" operator="containsText" dxfId="1" text="▲">
      <formula>NOT(ISERROR(SEARCH("▲",AB88)))</formula>
    </cfRule>
    <cfRule type="containsText" priority="2648" operator="containsText" dxfId="0" text="▼">
      <formula>NOT(ISERROR(SEARCH("▼",AB88)))</formula>
    </cfRule>
    <cfRule type="containsText" priority="2649" operator="containsText" dxfId="1" text="▲">
      <formula>NOT(ISERROR(SEARCH("▲",AB88)))</formula>
    </cfRule>
    <cfRule type="containsText" priority="2650" operator="containsText" dxfId="0" text="▼">
      <formula>NOT(ISERROR(SEARCH("▼",AB88)))</formula>
    </cfRule>
    <cfRule type="containsText" priority="2651" operator="containsText" dxfId="1" text="▲">
      <formula>NOT(ISERROR(SEARCH("▲",AB88)))</formula>
    </cfRule>
    <cfRule type="containsText" priority="2652" operator="containsText" dxfId="0" text="▼">
      <formula>NOT(ISERROR(SEARCH("▼",AB88)))</formula>
    </cfRule>
    <cfRule type="containsText" priority="2653" operator="containsText" dxfId="1" text="▲">
      <formula>NOT(ISERROR(SEARCH("▲",AB88)))</formula>
    </cfRule>
    <cfRule type="containsText" priority="2654" operator="containsText" dxfId="0" text="▼">
      <formula>NOT(ISERROR(SEARCH("▼",AB88)))</formula>
    </cfRule>
    <cfRule type="containsText" priority="2655" operator="containsText" dxfId="1" text="▲">
      <formula>NOT(ISERROR(SEARCH("▲",AB88)))</formula>
    </cfRule>
    <cfRule type="containsText" priority="2656" operator="containsText" dxfId="0" text="▼">
      <formula>NOT(ISERROR(SEARCH("▼",AB88)))</formula>
    </cfRule>
    <cfRule type="containsText" priority="2657" operator="containsText" dxfId="1" text="▲">
      <formula>NOT(ISERROR(SEARCH("▲",AB88)))</formula>
    </cfRule>
    <cfRule type="containsText" priority="2658" operator="containsText" dxfId="0" text="▼">
      <formula>NOT(ISERROR(SEARCH("▼",AB88)))</formula>
    </cfRule>
    <cfRule type="containsText" priority="2659" operator="containsText" dxfId="1" text="▲">
      <formula>NOT(ISERROR(SEARCH("▲",AB88)))</formula>
    </cfRule>
    <cfRule type="containsText" priority="2660" operator="containsText" dxfId="0" text="▼">
      <formula>NOT(ISERROR(SEARCH("▼",AB88)))</formula>
    </cfRule>
    <cfRule type="containsText" priority="2661" operator="containsText" dxfId="1" text="▲">
      <formula>NOT(ISERROR(SEARCH("▲",AB88)))</formula>
    </cfRule>
    <cfRule type="containsText" priority="2662" operator="containsText" dxfId="0" text="▼">
      <formula>NOT(ISERROR(SEARCH("▼",AB88)))</formula>
    </cfRule>
    <cfRule type="containsText" priority="2663" operator="containsText" dxfId="1" text="▲">
      <formula>NOT(ISERROR(SEARCH("▲",AB88)))</formula>
    </cfRule>
    <cfRule type="containsText" priority="2664" operator="containsText" dxfId="0" text="▼">
      <formula>NOT(ISERROR(SEARCH("▼",AB88)))</formula>
    </cfRule>
    <cfRule type="containsText" priority="2665" operator="containsText" dxfId="1" text="▲">
      <formula>NOT(ISERROR(SEARCH("▲",AB88)))</formula>
    </cfRule>
    <cfRule type="containsText" priority="2666" operator="containsText" dxfId="0" text="▼">
      <formula>NOT(ISERROR(SEARCH("▼",AB88)))</formula>
    </cfRule>
    <cfRule type="containsText" priority="2667" operator="containsText" dxfId="1" text="▲">
      <formula>NOT(ISERROR(SEARCH("▲",AB88)))</formula>
    </cfRule>
    <cfRule type="containsText" priority="2668" operator="containsText" dxfId="0" text="▼">
      <formula>NOT(ISERROR(SEARCH("▼",AB88)))</formula>
    </cfRule>
    <cfRule type="containsText" priority="2669" operator="containsText" dxfId="1" text="▲">
      <formula>NOT(ISERROR(SEARCH("▲",AB88)))</formula>
    </cfRule>
    <cfRule type="containsText" priority="2670" operator="containsText" dxfId="0" text="▼">
      <formula>NOT(ISERROR(SEARCH("▼",AB88)))</formula>
    </cfRule>
    <cfRule type="containsText" priority="2671" operator="containsText" dxfId="1" text="▲">
      <formula>NOT(ISERROR(SEARCH("▲",AB88)))</formula>
    </cfRule>
    <cfRule type="containsText" priority="2672" operator="containsText" dxfId="0" text="▼">
      <formula>NOT(ISERROR(SEARCH("▼",AB88)))</formula>
    </cfRule>
    <cfRule type="containsText" priority="2673" operator="containsText" dxfId="1" text="▲">
      <formula>NOT(ISERROR(SEARCH("▲",AB88)))</formula>
    </cfRule>
    <cfRule type="containsText" priority="2674" operator="containsText" dxfId="0" text="▼">
      <formula>NOT(ISERROR(SEARCH("▼",AB88)))</formula>
    </cfRule>
    <cfRule type="containsText" priority="2675" operator="containsText" dxfId="1" text="▲">
      <formula>NOT(ISERROR(SEARCH("▲",AB88)))</formula>
    </cfRule>
    <cfRule type="containsText" priority="2676" operator="containsText" dxfId="0" text="▼">
      <formula>NOT(ISERROR(SEARCH("▼",AB88)))</formula>
    </cfRule>
    <cfRule type="containsText" priority="2677" operator="containsText" dxfId="1" text="▲">
      <formula>NOT(ISERROR(SEARCH("▲",AB88)))</formula>
    </cfRule>
    <cfRule type="containsText" priority="2678" operator="containsText" dxfId="0" text="▼">
      <formula>NOT(ISERROR(SEARCH("▼",AB88)))</formula>
    </cfRule>
    <cfRule type="containsText" priority="2679" operator="containsText" dxfId="1" text="▲">
      <formula>NOT(ISERROR(SEARCH("▲",AB88)))</formula>
    </cfRule>
    <cfRule type="containsText" priority="2680" operator="containsText" dxfId="0" text="▼">
      <formula>NOT(ISERROR(SEARCH("▼",AB88)))</formula>
    </cfRule>
    <cfRule type="containsText" priority="2681" operator="containsText" dxfId="1" text="▲">
      <formula>NOT(ISERROR(SEARCH("▲",AB88)))</formula>
    </cfRule>
    <cfRule type="containsText" priority="2682" operator="containsText" dxfId="0" text="▼">
      <formula>NOT(ISERROR(SEARCH("▼",AB88)))</formula>
    </cfRule>
    <cfRule type="containsText" priority="2683" operator="containsText" dxfId="1" text="▲">
      <formula>NOT(ISERROR(SEARCH("▲",AB88)))</formula>
    </cfRule>
    <cfRule type="containsText" priority="2684" operator="containsText" dxfId="0" text="▼">
      <formula>NOT(ISERROR(SEARCH("▼",AB88)))</formula>
    </cfRule>
    <cfRule type="containsText" priority="2685" operator="containsText" dxfId="1" text="▲">
      <formula>NOT(ISERROR(SEARCH("▲",AB88)))</formula>
    </cfRule>
    <cfRule type="containsText" priority="2686" operator="containsText" dxfId="0" text="▼">
      <formula>NOT(ISERROR(SEARCH("▼",AB88)))</formula>
    </cfRule>
    <cfRule type="containsText" priority="2687" operator="containsText" dxfId="1" text="▲">
      <formula>NOT(ISERROR(SEARCH("▲",AB88)))</formula>
    </cfRule>
    <cfRule type="containsText" priority="2688" operator="containsText" dxfId="0" text="▼">
      <formula>NOT(ISERROR(SEARCH("▼",AB88)))</formula>
    </cfRule>
    <cfRule type="containsText" priority="2689" operator="containsText" dxfId="1" text="▲">
      <formula>NOT(ISERROR(SEARCH("▲",AB88)))</formula>
    </cfRule>
    <cfRule type="containsText" priority="2690" operator="containsText" dxfId="0" text="▼">
      <formula>NOT(ISERROR(SEARCH("▼",AB88)))</formula>
    </cfRule>
    <cfRule type="containsText" priority="2691" operator="containsText" dxfId="1" text="△">
      <formula>NOT(ISERROR(SEARCH("△",AB88)))</formula>
    </cfRule>
    <cfRule type="containsText" priority="2692" operator="containsText" dxfId="0" text="▽">
      <formula>NOT(ISERROR(SEARCH("▽",AB88)))</formula>
    </cfRule>
    <cfRule type="containsText" priority="2693" operator="containsText" dxfId="1" text="▲">
      <formula>NOT(ISERROR(SEARCH("▲",AB88)))</formula>
    </cfRule>
    <cfRule type="containsText" priority="2694" operator="containsText" dxfId="0" text="▼">
      <formula>NOT(ISERROR(SEARCH("▼",AB88)))</formula>
    </cfRule>
    <cfRule type="containsText" priority="2695" operator="containsText" dxfId="1" text="▲">
      <formula>NOT(ISERROR(SEARCH("▲",AB88)))</formula>
    </cfRule>
    <cfRule type="containsText" priority="2696" operator="containsText" dxfId="0" text="▼">
      <formula>NOT(ISERROR(SEARCH("▼",AB88)))</formula>
    </cfRule>
    <cfRule type="containsText" priority="2697" operator="containsText" dxfId="1" text="▲">
      <formula>NOT(ISERROR(SEARCH("▲",AB88)))</formula>
    </cfRule>
    <cfRule type="containsText" priority="2698" operator="containsText" dxfId="0" text="▼">
      <formula>NOT(ISERROR(SEARCH("▼",AB88)))</formula>
    </cfRule>
    <cfRule type="containsText" priority="2699" operator="containsText" dxfId="1" text="▲">
      <formula>NOT(ISERROR(SEARCH("▲",AB88)))</formula>
    </cfRule>
    <cfRule type="containsText" priority="2700" operator="containsText" dxfId="0" text="▼">
      <formula>NOT(ISERROR(SEARCH("▼",AB88)))</formula>
    </cfRule>
    <cfRule type="containsText" priority="2701" operator="containsText" dxfId="1" text="▲">
      <formula>NOT(ISERROR(SEARCH("▲",AB88)))</formula>
    </cfRule>
    <cfRule type="containsText" priority="2702" operator="containsText" dxfId="0" text="▼">
      <formula>NOT(ISERROR(SEARCH("▼",AB88)))</formula>
    </cfRule>
    <cfRule type="containsText" priority="2703" operator="containsText" dxfId="1" text="▲">
      <formula>NOT(ISERROR(SEARCH("▲",AB88)))</formula>
    </cfRule>
    <cfRule type="containsText" priority="2704" operator="containsText" dxfId="0" text="▼">
      <formula>NOT(ISERROR(SEARCH("▼",AB88)))</formula>
    </cfRule>
    <cfRule type="containsText" priority="2705" operator="containsText" dxfId="1" text="▲">
      <formula>NOT(ISERROR(SEARCH("▲",AB88)))</formula>
    </cfRule>
    <cfRule type="containsText" priority="2706" operator="containsText" dxfId="0" text="▼">
      <formula>NOT(ISERROR(SEARCH("▼",AB88)))</formula>
    </cfRule>
    <cfRule type="containsText" priority="2707" operator="containsText" dxfId="1" text="▲">
      <formula>NOT(ISERROR(SEARCH("▲",AB88)))</formula>
    </cfRule>
    <cfRule type="containsText" priority="2708" operator="containsText" dxfId="0" text="▼">
      <formula>NOT(ISERROR(SEARCH("▼",AB88)))</formula>
    </cfRule>
    <cfRule type="containsText" priority="2709" operator="containsText" dxfId="1" text="▲">
      <formula>NOT(ISERROR(SEARCH("▲",AB88)))</formula>
    </cfRule>
    <cfRule type="containsText" priority="2710" operator="containsText" dxfId="0" text="▼">
      <formula>NOT(ISERROR(SEARCH("▼",AB88)))</formula>
    </cfRule>
    <cfRule type="containsText" priority="2711" operator="containsText" dxfId="1" text="▲">
      <formula>NOT(ISERROR(SEARCH("▲",AB88)))</formula>
    </cfRule>
    <cfRule type="containsText" priority="2712" operator="containsText" dxfId="0" text="▼">
      <formula>NOT(ISERROR(SEARCH("▼",AB88)))</formula>
    </cfRule>
    <cfRule type="containsText" priority="2713" operator="containsText" dxfId="1" text="▲">
      <formula>NOT(ISERROR(SEARCH("▲",AB88)))</formula>
    </cfRule>
    <cfRule type="containsText" priority="2714" operator="containsText" dxfId="0" text="▼">
      <formula>NOT(ISERROR(SEARCH("▼",AB88)))</formula>
    </cfRule>
    <cfRule type="containsText" priority="2715" operator="containsText" dxfId="1" text="▲">
      <formula>NOT(ISERROR(SEARCH("▲",AB88)))</formula>
    </cfRule>
    <cfRule type="containsText" priority="2716" operator="containsText" dxfId="0" text="▼">
      <formula>NOT(ISERROR(SEARCH("▼",AB88)))</formula>
    </cfRule>
    <cfRule type="containsText" priority="2717" operator="containsText" dxfId="1" text="▲">
      <formula>NOT(ISERROR(SEARCH("▲",AB88)))</formula>
    </cfRule>
    <cfRule type="containsText" priority="2718" operator="containsText" dxfId="0" text="▼">
      <formula>NOT(ISERROR(SEARCH("▼",AB88)))</formula>
    </cfRule>
    <cfRule type="containsText" priority="2719" operator="containsText" dxfId="1" text="▲">
      <formula>NOT(ISERROR(SEARCH("▲",AB88)))</formula>
    </cfRule>
    <cfRule type="containsText" priority="2720" operator="containsText" dxfId="0" text="▼">
      <formula>NOT(ISERROR(SEARCH("▼",AB88)))</formula>
    </cfRule>
    <cfRule type="containsText" priority="2721" operator="containsText" dxfId="1" text="▲">
      <formula>NOT(ISERROR(SEARCH("▲",AB88)))</formula>
    </cfRule>
    <cfRule type="containsText" priority="2722" operator="containsText" dxfId="0" text="▼">
      <formula>NOT(ISERROR(SEARCH("▼",AB88)))</formula>
    </cfRule>
    <cfRule type="containsText" priority="2723" operator="containsText" dxfId="1" text="▲">
      <formula>NOT(ISERROR(SEARCH("▲",AB88)))</formula>
    </cfRule>
    <cfRule type="containsText" priority="2724" operator="containsText" dxfId="0" text="▼">
      <formula>NOT(ISERROR(SEARCH("▼",AB88)))</formula>
    </cfRule>
    <cfRule type="containsText" priority="2725" operator="containsText" dxfId="1" text="▲">
      <formula>NOT(ISERROR(SEARCH("▲",AB88)))</formula>
    </cfRule>
    <cfRule type="containsText" priority="2726" operator="containsText" dxfId="0" text="▼">
      <formula>NOT(ISERROR(SEARCH("▼",AB88)))</formula>
    </cfRule>
    <cfRule type="containsText" priority="2727" operator="containsText" dxfId="1" text="▲">
      <formula>NOT(ISERROR(SEARCH("▲",AB88)))</formula>
    </cfRule>
    <cfRule type="containsText" priority="2728" operator="containsText" dxfId="0" text="▼">
      <formula>NOT(ISERROR(SEARCH("▼",AB88)))</formula>
    </cfRule>
    <cfRule type="containsText" priority="2729" operator="containsText" dxfId="1" text="▲">
      <formula>NOT(ISERROR(SEARCH("▲",AB88)))</formula>
    </cfRule>
    <cfRule type="containsText" priority="2730" operator="containsText" dxfId="0" text="▼">
      <formula>NOT(ISERROR(SEARCH("▼",AB88)))</formula>
    </cfRule>
    <cfRule type="containsText" priority="2731" operator="containsText" dxfId="1" text="▲">
      <formula>NOT(ISERROR(SEARCH("▲",AB88)))</formula>
    </cfRule>
    <cfRule type="containsText" priority="2732" operator="containsText" dxfId="0" text="▼">
      <formula>NOT(ISERROR(SEARCH("▼",AB88)))</formula>
    </cfRule>
    <cfRule type="containsText" priority="2733" operator="containsText" dxfId="1" text="▲">
      <formula>NOT(ISERROR(SEARCH("▲",AB88)))</formula>
    </cfRule>
    <cfRule type="containsText" priority="2734" operator="containsText" dxfId="0" text="▼">
      <formula>NOT(ISERROR(SEARCH("▼",AB88)))</formula>
    </cfRule>
    <cfRule type="containsText" priority="2735" operator="containsText" dxfId="1" text="▲">
      <formula>NOT(ISERROR(SEARCH("▲",AB88)))</formula>
    </cfRule>
    <cfRule type="containsText" priority="2736" operator="containsText" dxfId="0" text="▼">
      <formula>NOT(ISERROR(SEARCH("▼",AB88)))</formula>
    </cfRule>
    <cfRule type="containsText" priority="2737" operator="containsText" dxfId="1" text="▲">
      <formula>NOT(ISERROR(SEARCH("▲",AB88)))</formula>
    </cfRule>
    <cfRule type="containsText" priority="2738" operator="containsText" dxfId="0" text="▼">
      <formula>NOT(ISERROR(SEARCH("▼",AB88)))</formula>
    </cfRule>
    <cfRule type="containsText" priority="2739" operator="containsText" dxfId="1" text="▲">
      <formula>NOT(ISERROR(SEARCH("▲",AB88)))</formula>
    </cfRule>
    <cfRule type="containsText" priority="2740" operator="containsText" dxfId="0" text="▼">
      <formula>NOT(ISERROR(SEARCH("▼",AB88)))</formula>
    </cfRule>
    <cfRule type="containsText" priority="2741" operator="containsText" dxfId="1" text="▲">
      <formula>NOT(ISERROR(SEARCH("▲",AB88)))</formula>
    </cfRule>
    <cfRule type="containsText" priority="2742" operator="containsText" dxfId="0" text="▼">
      <formula>NOT(ISERROR(SEARCH("▼",AB88)))</formula>
    </cfRule>
    <cfRule type="containsText" priority="2743" operator="containsText" dxfId="1" text="▲">
      <formula>NOT(ISERROR(SEARCH("▲",AB88)))</formula>
    </cfRule>
    <cfRule type="containsText" priority="2744" operator="containsText" dxfId="0" text="▼">
      <formula>NOT(ISERROR(SEARCH("▼",AB88)))</formula>
    </cfRule>
    <cfRule type="containsText" priority="2745" operator="containsText" dxfId="1" text="▲">
      <formula>NOT(ISERROR(SEARCH("▲",AB88)))</formula>
    </cfRule>
    <cfRule type="containsText" priority="2746" operator="containsText" dxfId="0" text="▼">
      <formula>NOT(ISERROR(SEARCH("▼",AB88)))</formula>
    </cfRule>
    <cfRule type="containsText" priority="2747" operator="containsText" dxfId="1" text="▲">
      <formula>NOT(ISERROR(SEARCH("▲",AB88)))</formula>
    </cfRule>
    <cfRule type="containsText" priority="2748" operator="containsText" dxfId="0" text="▼">
      <formula>NOT(ISERROR(SEARCH("▼",AB88)))</formula>
    </cfRule>
    <cfRule type="containsText" priority="2749" operator="containsText" dxfId="1" text="▲">
      <formula>NOT(ISERROR(SEARCH("▲",AB88)))</formula>
    </cfRule>
    <cfRule type="containsText" priority="2750" operator="containsText" dxfId="0" text="▼">
      <formula>NOT(ISERROR(SEARCH("▼",AB88)))</formula>
    </cfRule>
    <cfRule type="containsText" priority="2751" operator="containsText" dxfId="1" text="▲">
      <formula>NOT(ISERROR(SEARCH("▲",AB88)))</formula>
    </cfRule>
    <cfRule type="containsText" priority="2752" operator="containsText" dxfId="0" text="▼">
      <formula>NOT(ISERROR(SEARCH("▼",AB88)))</formula>
    </cfRule>
    <cfRule type="containsText" priority="2755" operator="containsText" dxfId="1" text="△">
      <formula>NOT(ISERROR(SEARCH("△",AB88)))</formula>
    </cfRule>
    <cfRule type="containsText" priority="2756" operator="containsText" dxfId="0" text="▽">
      <formula>NOT(ISERROR(SEARCH("▽",AB88)))</formula>
    </cfRule>
  </conditionalFormatting>
  <conditionalFormatting sqref="AB89:AB92">
    <cfRule type="containsText" priority="2331" operator="containsText" dxfId="1" text="▲">
      <formula>NOT(ISERROR(SEARCH("▲",AB89)))</formula>
    </cfRule>
    <cfRule type="containsText" priority="2332" operator="containsText" dxfId="0" text="▼">
      <formula>NOT(ISERROR(SEARCH("▼",AB89)))</formula>
    </cfRule>
    <cfRule type="containsText" priority="2333" operator="containsText" dxfId="1" text="▲">
      <formula>NOT(ISERROR(SEARCH("▲",AB89)))</formula>
    </cfRule>
    <cfRule type="containsText" priority="2334" operator="containsText" dxfId="0" text="▼">
      <formula>NOT(ISERROR(SEARCH("▼",AB89)))</formula>
    </cfRule>
    <cfRule type="containsText" priority="2335" operator="containsText" dxfId="1" text="▲">
      <formula>NOT(ISERROR(SEARCH("▲",AB89)))</formula>
    </cfRule>
    <cfRule type="containsText" priority="2336" operator="containsText" dxfId="0" text="▼">
      <formula>NOT(ISERROR(SEARCH("▼",AB89)))</formula>
    </cfRule>
    <cfRule type="containsText" priority="2337" operator="containsText" dxfId="1" text="▲">
      <formula>NOT(ISERROR(SEARCH("▲",AB89)))</formula>
    </cfRule>
    <cfRule type="containsText" priority="2338" operator="containsText" dxfId="0" text="▼">
      <formula>NOT(ISERROR(SEARCH("▼",AB89)))</formula>
    </cfRule>
    <cfRule type="containsText" priority="2339" operator="containsText" dxfId="1" text="▲">
      <formula>NOT(ISERROR(SEARCH("▲",AB89)))</formula>
    </cfRule>
    <cfRule type="containsText" priority="2340" operator="containsText" dxfId="0" text="▼">
      <formula>NOT(ISERROR(SEARCH("▼",AB89)))</formula>
    </cfRule>
    <cfRule type="containsText" priority="2341" operator="containsText" dxfId="1" text="▲">
      <formula>NOT(ISERROR(SEARCH("▲",AB89)))</formula>
    </cfRule>
    <cfRule type="containsText" priority="2342" operator="containsText" dxfId="0" text="▼">
      <formula>NOT(ISERROR(SEARCH("▼",AB89)))</formula>
    </cfRule>
    <cfRule type="containsText" priority="2343" operator="containsText" dxfId="1" text="▲">
      <formula>NOT(ISERROR(SEARCH("▲",AB89)))</formula>
    </cfRule>
    <cfRule type="containsText" priority="2344" operator="containsText" dxfId="0" text="▼">
      <formula>NOT(ISERROR(SEARCH("▼",AB89)))</formula>
    </cfRule>
    <cfRule type="containsText" priority="2345" operator="containsText" dxfId="1" text="▲">
      <formula>NOT(ISERROR(SEARCH("▲",AB89)))</formula>
    </cfRule>
    <cfRule type="containsText" priority="2346" operator="containsText" dxfId="0" text="▼">
      <formula>NOT(ISERROR(SEARCH("▼",AB89)))</formula>
    </cfRule>
    <cfRule type="containsText" priority="2347" operator="containsText" dxfId="1" text="▲">
      <formula>NOT(ISERROR(SEARCH("▲",AB89)))</formula>
    </cfRule>
    <cfRule type="containsText" priority="2348" operator="containsText" dxfId="0" text="▼">
      <formula>NOT(ISERROR(SEARCH("▼",AB89)))</formula>
    </cfRule>
    <cfRule type="containsText" priority="2349" operator="containsText" dxfId="1" text="▲">
      <formula>NOT(ISERROR(SEARCH("▲",AB89)))</formula>
    </cfRule>
    <cfRule type="containsText" priority="2350" operator="containsText" dxfId="0" text="▼">
      <formula>NOT(ISERROR(SEARCH("▼",AB89)))</formula>
    </cfRule>
    <cfRule type="containsText" priority="2351" operator="containsText" dxfId="1" text="▲">
      <formula>NOT(ISERROR(SEARCH("▲",AB89)))</formula>
    </cfRule>
    <cfRule type="containsText" priority="2352" operator="containsText" dxfId="0" text="▼">
      <formula>NOT(ISERROR(SEARCH("▼",AB89)))</formula>
    </cfRule>
    <cfRule type="containsText" priority="2353" operator="containsText" dxfId="1" text="▲">
      <formula>NOT(ISERROR(SEARCH("▲",AB89)))</formula>
    </cfRule>
    <cfRule type="containsText" priority="2354" operator="containsText" dxfId="0" text="▼">
      <formula>NOT(ISERROR(SEARCH("▼",AB89)))</formula>
    </cfRule>
    <cfRule type="containsText" priority="2355" operator="containsText" dxfId="1" text="▲">
      <formula>NOT(ISERROR(SEARCH("▲",AB89)))</formula>
    </cfRule>
    <cfRule type="containsText" priority="2356" operator="containsText" dxfId="0" text="▼">
      <formula>NOT(ISERROR(SEARCH("▼",AB89)))</formula>
    </cfRule>
    <cfRule type="containsText" priority="2357" operator="containsText" dxfId="1" text="▲">
      <formula>NOT(ISERROR(SEARCH("▲",AB89)))</formula>
    </cfRule>
    <cfRule type="containsText" priority="2358" operator="containsText" dxfId="0" text="▼">
      <formula>NOT(ISERROR(SEARCH("▼",AB89)))</formula>
    </cfRule>
    <cfRule type="containsText" priority="2359" operator="containsText" dxfId="1" text="▲">
      <formula>NOT(ISERROR(SEARCH("▲",AB89)))</formula>
    </cfRule>
    <cfRule type="containsText" priority="2360" operator="containsText" dxfId="0" text="▼">
      <formula>NOT(ISERROR(SEARCH("▼",AB89)))</formula>
    </cfRule>
    <cfRule type="containsText" priority="2361" operator="containsText" dxfId="1" text="▲">
      <formula>NOT(ISERROR(SEARCH("▲",AB89)))</formula>
    </cfRule>
    <cfRule type="containsText" priority="2362" operator="containsText" dxfId="0" text="▼">
      <formula>NOT(ISERROR(SEARCH("▼",AB89)))</formula>
    </cfRule>
    <cfRule type="containsText" priority="2363" operator="containsText" dxfId="1" text="▲">
      <formula>NOT(ISERROR(SEARCH("▲",AB89)))</formula>
    </cfRule>
    <cfRule type="containsText" priority="2364" operator="containsText" dxfId="0" text="▼">
      <formula>NOT(ISERROR(SEARCH("▼",AB89)))</formula>
    </cfRule>
    <cfRule type="containsText" priority="2365" operator="containsText" dxfId="1" text="▲">
      <formula>NOT(ISERROR(SEARCH("▲",AB89)))</formula>
    </cfRule>
    <cfRule type="containsText" priority="2366" operator="containsText" dxfId="0" text="▼">
      <formula>NOT(ISERROR(SEARCH("▼",AB89)))</formula>
    </cfRule>
    <cfRule type="containsText" priority="2367" operator="containsText" dxfId="1" text="▲">
      <formula>NOT(ISERROR(SEARCH("▲",AB89)))</formula>
    </cfRule>
    <cfRule type="containsText" priority="2368" operator="containsText" dxfId="0" text="▼">
      <formula>NOT(ISERROR(SEARCH("▼",AB89)))</formula>
    </cfRule>
    <cfRule type="containsText" priority="2369" operator="containsText" dxfId="1" text="▲">
      <formula>NOT(ISERROR(SEARCH("▲",AB89)))</formula>
    </cfRule>
    <cfRule type="containsText" priority="2370" operator="containsText" dxfId="0" text="▼">
      <formula>NOT(ISERROR(SEARCH("▼",AB89)))</formula>
    </cfRule>
    <cfRule type="containsText" priority="2371" operator="containsText" dxfId="1" text="▲">
      <formula>NOT(ISERROR(SEARCH("▲",AB89)))</formula>
    </cfRule>
    <cfRule type="containsText" priority="2372" operator="containsText" dxfId="0" text="▼">
      <formula>NOT(ISERROR(SEARCH("▼",AB89)))</formula>
    </cfRule>
    <cfRule type="containsText" priority="2373" operator="containsText" dxfId="1" text="▲">
      <formula>NOT(ISERROR(SEARCH("▲",AB89)))</formula>
    </cfRule>
    <cfRule type="containsText" priority="2374" operator="containsText" dxfId="0" text="▼">
      <formula>NOT(ISERROR(SEARCH("▼",AB89)))</formula>
    </cfRule>
    <cfRule type="containsText" priority="2375" operator="containsText" dxfId="1" text="▲">
      <formula>NOT(ISERROR(SEARCH("▲",AB89)))</formula>
    </cfRule>
    <cfRule type="containsText" priority="2376" operator="containsText" dxfId="0" text="▼">
      <formula>NOT(ISERROR(SEARCH("▼",AB89)))</formula>
    </cfRule>
    <cfRule type="containsText" priority="2377" operator="containsText" dxfId="1" text="▲">
      <formula>NOT(ISERROR(SEARCH("▲",AB89)))</formula>
    </cfRule>
    <cfRule type="containsText" priority="2378" operator="containsText" dxfId="0" text="▼">
      <formula>NOT(ISERROR(SEARCH("▼",AB89)))</formula>
    </cfRule>
    <cfRule type="containsText" priority="2379" operator="containsText" dxfId="1" text="▲">
      <formula>NOT(ISERROR(SEARCH("▲",AB89)))</formula>
    </cfRule>
    <cfRule type="containsText" priority="2380" operator="containsText" dxfId="0" text="▼">
      <formula>NOT(ISERROR(SEARCH("▼",AB89)))</formula>
    </cfRule>
    <cfRule type="containsText" priority="2381" operator="containsText" dxfId="1" text="△">
      <formula>NOT(ISERROR(SEARCH("△",AB89)))</formula>
    </cfRule>
    <cfRule type="containsText" priority="2382" operator="containsText" dxfId="0" text="▽">
      <formula>NOT(ISERROR(SEARCH("▽",AB89)))</formula>
    </cfRule>
    <cfRule type="containsText" priority="2383" operator="containsText" dxfId="1" text="▲">
      <formula>NOT(ISERROR(SEARCH("▲",AB89)))</formula>
    </cfRule>
    <cfRule type="containsText" priority="2384" operator="containsText" dxfId="0" text="▼">
      <formula>NOT(ISERROR(SEARCH("▼",AB89)))</formula>
    </cfRule>
    <cfRule type="containsText" priority="2385" operator="containsText" dxfId="1" text="▲">
      <formula>NOT(ISERROR(SEARCH("▲",AB89)))</formula>
    </cfRule>
    <cfRule type="containsText" priority="2386" operator="containsText" dxfId="0" text="▼">
      <formula>NOT(ISERROR(SEARCH("▼",AB89)))</formula>
    </cfRule>
    <cfRule type="containsText" priority="2387" operator="containsText" dxfId="1" text="▲">
      <formula>NOT(ISERROR(SEARCH("▲",AB89)))</formula>
    </cfRule>
    <cfRule type="containsText" priority="2388" operator="containsText" dxfId="0" text="▼">
      <formula>NOT(ISERROR(SEARCH("▼",AB89)))</formula>
    </cfRule>
    <cfRule type="containsText" priority="2389" operator="containsText" dxfId="1" text="▲">
      <formula>NOT(ISERROR(SEARCH("▲",AB89)))</formula>
    </cfRule>
    <cfRule type="containsText" priority="2390" operator="containsText" dxfId="0" text="▼">
      <formula>NOT(ISERROR(SEARCH("▼",AB89)))</formula>
    </cfRule>
    <cfRule type="containsText" priority="2391" operator="containsText" dxfId="1" text="▲">
      <formula>NOT(ISERROR(SEARCH("▲",AB89)))</formula>
    </cfRule>
    <cfRule type="containsText" priority="2392" operator="containsText" dxfId="0" text="▼">
      <formula>NOT(ISERROR(SEARCH("▼",AB89)))</formula>
    </cfRule>
    <cfRule type="containsText" priority="2393" operator="containsText" dxfId="1" text="▲">
      <formula>NOT(ISERROR(SEARCH("▲",AB89)))</formula>
    </cfRule>
    <cfRule type="containsText" priority="2394" operator="containsText" dxfId="0" text="▼">
      <formula>NOT(ISERROR(SEARCH("▼",AB89)))</formula>
    </cfRule>
    <cfRule type="containsText" priority="2395" operator="containsText" dxfId="1" text="▲">
      <formula>NOT(ISERROR(SEARCH("▲",AB89)))</formula>
    </cfRule>
    <cfRule type="containsText" priority="2396" operator="containsText" dxfId="0" text="▼">
      <formula>NOT(ISERROR(SEARCH("▼",AB89)))</formula>
    </cfRule>
    <cfRule type="containsText" priority="2397" operator="containsText" dxfId="1" text="▲">
      <formula>NOT(ISERROR(SEARCH("▲",AB89)))</formula>
    </cfRule>
    <cfRule type="containsText" priority="2398" operator="containsText" dxfId="0" text="▼">
      <formula>NOT(ISERROR(SEARCH("▼",AB89)))</formula>
    </cfRule>
    <cfRule type="containsText" priority="2399" operator="containsText" dxfId="1" text="▲">
      <formula>NOT(ISERROR(SEARCH("▲",AB89)))</formula>
    </cfRule>
    <cfRule type="containsText" priority="2400" operator="containsText" dxfId="0" text="▼">
      <formula>NOT(ISERROR(SEARCH("▼",AB89)))</formula>
    </cfRule>
    <cfRule type="containsText" priority="2401" operator="containsText" dxfId="1" text="▲">
      <formula>NOT(ISERROR(SEARCH("▲",AB89)))</formula>
    </cfRule>
    <cfRule type="containsText" priority="2402" operator="containsText" dxfId="0" text="▼">
      <formula>NOT(ISERROR(SEARCH("▼",AB89)))</formula>
    </cfRule>
    <cfRule type="containsText" priority="2403" operator="containsText" dxfId="1" text="▲">
      <formula>NOT(ISERROR(SEARCH("▲",AB89)))</formula>
    </cfRule>
    <cfRule type="containsText" priority="2404" operator="containsText" dxfId="0" text="▼">
      <formula>NOT(ISERROR(SEARCH("▼",AB89)))</formula>
    </cfRule>
    <cfRule type="containsText" priority="2405" operator="containsText" dxfId="1" text="▲">
      <formula>NOT(ISERROR(SEARCH("▲",AB89)))</formula>
    </cfRule>
    <cfRule type="containsText" priority="2406" operator="containsText" dxfId="0" text="▼">
      <formula>NOT(ISERROR(SEARCH("▼",AB89)))</formula>
    </cfRule>
    <cfRule type="containsText" priority="2407" operator="containsText" dxfId="1" text="▲">
      <formula>NOT(ISERROR(SEARCH("▲",AB89)))</formula>
    </cfRule>
    <cfRule type="containsText" priority="2408" operator="containsText" dxfId="0" text="▼">
      <formula>NOT(ISERROR(SEARCH("▼",AB89)))</formula>
    </cfRule>
    <cfRule type="containsText" priority="2409" operator="containsText" dxfId="1" text="▲">
      <formula>NOT(ISERROR(SEARCH("▲",AB89)))</formula>
    </cfRule>
    <cfRule type="containsText" priority="2410" operator="containsText" dxfId="0" text="▼">
      <formula>NOT(ISERROR(SEARCH("▼",AB89)))</formula>
    </cfRule>
    <cfRule type="containsText" priority="2411" operator="containsText" dxfId="1" text="▲">
      <formula>NOT(ISERROR(SEARCH("▲",AB89)))</formula>
    </cfRule>
    <cfRule type="containsText" priority="2412" operator="containsText" dxfId="0" text="▼">
      <formula>NOT(ISERROR(SEARCH("▼",AB89)))</formula>
    </cfRule>
    <cfRule type="containsText" priority="2413" operator="containsText" dxfId="1" text="▲">
      <formula>NOT(ISERROR(SEARCH("▲",AB89)))</formula>
    </cfRule>
    <cfRule type="containsText" priority="2414" operator="containsText" dxfId="0" text="▼">
      <formula>NOT(ISERROR(SEARCH("▼",AB89)))</formula>
    </cfRule>
    <cfRule type="containsText" priority="2415" operator="containsText" dxfId="1" text="▲">
      <formula>NOT(ISERROR(SEARCH("▲",AB89)))</formula>
    </cfRule>
    <cfRule type="containsText" priority="2416" operator="containsText" dxfId="0" text="▼">
      <formula>NOT(ISERROR(SEARCH("▼",AB89)))</formula>
    </cfRule>
    <cfRule type="containsText" priority="2417" operator="containsText" dxfId="1" text="▲">
      <formula>NOT(ISERROR(SEARCH("▲",AB89)))</formula>
    </cfRule>
    <cfRule type="containsText" priority="2418" operator="containsText" dxfId="0" text="▼">
      <formula>NOT(ISERROR(SEARCH("▼",AB89)))</formula>
    </cfRule>
    <cfRule type="containsText" priority="2419" operator="containsText" dxfId="1" text="▲">
      <formula>NOT(ISERROR(SEARCH("▲",AB89)))</formula>
    </cfRule>
    <cfRule type="containsText" priority="2420" operator="containsText" dxfId="0" text="▼">
      <formula>NOT(ISERROR(SEARCH("▼",AB89)))</formula>
    </cfRule>
    <cfRule type="containsText" priority="2421" operator="containsText" dxfId="1" text="▲">
      <formula>NOT(ISERROR(SEARCH("▲",AB89)))</formula>
    </cfRule>
    <cfRule type="containsText" priority="2422" operator="containsText" dxfId="0" text="▼">
      <formula>NOT(ISERROR(SEARCH("▼",AB89)))</formula>
    </cfRule>
    <cfRule type="containsText" priority="2423" operator="containsText" dxfId="1" text="▲">
      <formula>NOT(ISERROR(SEARCH("▲",AB89)))</formula>
    </cfRule>
    <cfRule type="containsText" priority="2424" operator="containsText" dxfId="0" text="▼">
      <formula>NOT(ISERROR(SEARCH("▼",AB89)))</formula>
    </cfRule>
    <cfRule type="containsText" priority="2425" operator="containsText" dxfId="1" text="▲">
      <formula>NOT(ISERROR(SEARCH("▲",AB89)))</formula>
    </cfRule>
    <cfRule type="containsText" priority="2426" operator="containsText" dxfId="0" text="▼">
      <formula>NOT(ISERROR(SEARCH("▼",AB89)))</formula>
    </cfRule>
    <cfRule type="containsText" priority="2427" operator="containsText" dxfId="1" text="▲">
      <formula>NOT(ISERROR(SEARCH("▲",AB89)))</formula>
    </cfRule>
    <cfRule type="containsText" priority="2428" operator="containsText" dxfId="0" text="▼">
      <formula>NOT(ISERROR(SEARCH("▼",AB89)))</formula>
    </cfRule>
    <cfRule type="containsText" priority="2429" operator="containsText" dxfId="1" text="△">
      <formula>NOT(ISERROR(SEARCH("△",AB89)))</formula>
    </cfRule>
    <cfRule type="containsText" priority="2430" operator="containsText" dxfId="0" text="▽">
      <formula>NOT(ISERROR(SEARCH("▽",AB89)))</formula>
    </cfRule>
    <cfRule type="containsText" priority="2431" operator="containsText" dxfId="1" text="▲">
      <formula>NOT(ISERROR(SEARCH("▲",AB89)))</formula>
    </cfRule>
    <cfRule type="containsText" priority="2432" operator="containsText" dxfId="0" text="▼">
      <formula>NOT(ISERROR(SEARCH("▼",AB89)))</formula>
    </cfRule>
    <cfRule type="containsText" priority="2433" operator="containsText" dxfId="1" text="▲">
      <formula>NOT(ISERROR(SEARCH("▲",AB89)))</formula>
    </cfRule>
    <cfRule type="containsText" priority="2434" operator="containsText" dxfId="0" text="▼">
      <formula>NOT(ISERROR(SEARCH("▼",AB89)))</formula>
    </cfRule>
    <cfRule type="containsText" priority="2435" operator="containsText" dxfId="1" text="▲">
      <formula>NOT(ISERROR(SEARCH("▲",AB89)))</formula>
    </cfRule>
    <cfRule type="containsText" priority="2436" operator="containsText" dxfId="0" text="▼">
      <formula>NOT(ISERROR(SEARCH("▼",AB89)))</formula>
    </cfRule>
    <cfRule type="containsText" priority="2437" operator="containsText" dxfId="1" text="▲">
      <formula>NOT(ISERROR(SEARCH("▲",AB89)))</formula>
    </cfRule>
    <cfRule type="containsText" priority="2438" operator="containsText" dxfId="0" text="▼">
      <formula>NOT(ISERROR(SEARCH("▼",AB89)))</formula>
    </cfRule>
    <cfRule type="containsText" priority="2439" operator="containsText" dxfId="1" text="▲">
      <formula>NOT(ISERROR(SEARCH("▲",AB89)))</formula>
    </cfRule>
    <cfRule type="containsText" priority="2440" operator="containsText" dxfId="0" text="▼">
      <formula>NOT(ISERROR(SEARCH("▼",AB89)))</formula>
    </cfRule>
    <cfRule type="containsText" priority="2441" operator="containsText" dxfId="1" text="▲">
      <formula>NOT(ISERROR(SEARCH("▲",AB89)))</formula>
    </cfRule>
    <cfRule type="containsText" priority="2442" operator="containsText" dxfId="0" text="▼">
      <formula>NOT(ISERROR(SEARCH("▼",AB89)))</formula>
    </cfRule>
    <cfRule type="containsText" priority="2443" operator="containsText" dxfId="1" text="▲">
      <formula>NOT(ISERROR(SEARCH("▲",AB89)))</formula>
    </cfRule>
    <cfRule type="containsText" priority="2444" operator="containsText" dxfId="0" text="▼">
      <formula>NOT(ISERROR(SEARCH("▼",AB89)))</formula>
    </cfRule>
    <cfRule type="containsText" priority="2445" operator="containsText" dxfId="1" text="▲">
      <formula>NOT(ISERROR(SEARCH("▲",AB89)))</formula>
    </cfRule>
    <cfRule type="containsText" priority="2446" operator="containsText" dxfId="0" text="▼">
      <formula>NOT(ISERROR(SEARCH("▼",AB89)))</formula>
    </cfRule>
    <cfRule type="containsText" priority="2447" operator="containsText" dxfId="1" text="▲">
      <formula>NOT(ISERROR(SEARCH("▲",AB89)))</formula>
    </cfRule>
    <cfRule type="containsText" priority="2448" operator="containsText" dxfId="0" text="▼">
      <formula>NOT(ISERROR(SEARCH("▼",AB89)))</formula>
    </cfRule>
    <cfRule type="containsText" priority="2449" operator="containsText" dxfId="1" text="▲">
      <formula>NOT(ISERROR(SEARCH("▲",AB89)))</formula>
    </cfRule>
    <cfRule type="containsText" priority="2450" operator="containsText" dxfId="0" text="▼">
      <formula>NOT(ISERROR(SEARCH("▼",AB89)))</formula>
    </cfRule>
    <cfRule type="containsText" priority="2451" operator="containsText" dxfId="1" text="▲">
      <formula>NOT(ISERROR(SEARCH("▲",AB89)))</formula>
    </cfRule>
    <cfRule type="containsText" priority="2452" operator="containsText" dxfId="0" text="▼">
      <formula>NOT(ISERROR(SEARCH("▼",AB89)))</formula>
    </cfRule>
    <cfRule type="containsText" priority="2453" operator="containsText" dxfId="1" text="▲">
      <formula>NOT(ISERROR(SEARCH("▲",AB89)))</formula>
    </cfRule>
    <cfRule type="containsText" priority="2454" operator="containsText" dxfId="0" text="▼">
      <formula>NOT(ISERROR(SEARCH("▼",AB89)))</formula>
    </cfRule>
    <cfRule type="containsText" priority="2455" operator="containsText" dxfId="1" text="▲">
      <formula>NOT(ISERROR(SEARCH("▲",AB89)))</formula>
    </cfRule>
    <cfRule type="containsText" priority="2456" operator="containsText" dxfId="0" text="▼">
      <formula>NOT(ISERROR(SEARCH("▼",AB89)))</formula>
    </cfRule>
    <cfRule type="containsText" priority="2457" operator="containsText" dxfId="1" text="▲">
      <formula>NOT(ISERROR(SEARCH("▲",AB89)))</formula>
    </cfRule>
    <cfRule type="containsText" priority="2458" operator="containsText" dxfId="0" text="▼">
      <formula>NOT(ISERROR(SEARCH("▼",AB89)))</formula>
    </cfRule>
    <cfRule type="containsText" priority="2459" operator="containsText" dxfId="1" text="▲">
      <formula>NOT(ISERROR(SEARCH("▲",AB89)))</formula>
    </cfRule>
    <cfRule type="containsText" priority="2460" operator="containsText" dxfId="0" text="▼">
      <formula>NOT(ISERROR(SEARCH("▼",AB89)))</formula>
    </cfRule>
    <cfRule type="containsText" priority="2461" operator="containsText" dxfId="1" text="▲">
      <formula>NOT(ISERROR(SEARCH("▲",AB89)))</formula>
    </cfRule>
    <cfRule type="containsText" priority="2462" operator="containsText" dxfId="0" text="▼">
      <formula>NOT(ISERROR(SEARCH("▼",AB89)))</formula>
    </cfRule>
    <cfRule type="containsText" priority="2463" operator="containsText" dxfId="1" text="▲">
      <formula>NOT(ISERROR(SEARCH("▲",AB89)))</formula>
    </cfRule>
    <cfRule type="containsText" priority="2464" operator="containsText" dxfId="0" text="▼">
      <formula>NOT(ISERROR(SEARCH("▼",AB89)))</formula>
    </cfRule>
    <cfRule type="containsText" priority="2465" operator="containsText" dxfId="1" text="▲">
      <formula>NOT(ISERROR(SEARCH("▲",AB89)))</formula>
    </cfRule>
    <cfRule type="containsText" priority="2466" operator="containsText" dxfId="0" text="▼">
      <formula>NOT(ISERROR(SEARCH("▼",AB89)))</formula>
    </cfRule>
    <cfRule type="containsText" priority="2467" operator="containsText" dxfId="1" text="▲">
      <formula>NOT(ISERROR(SEARCH("▲",AB89)))</formula>
    </cfRule>
    <cfRule type="containsText" priority="2468" operator="containsText" dxfId="0" text="▼">
      <formula>NOT(ISERROR(SEARCH("▼",AB89)))</formula>
    </cfRule>
    <cfRule type="containsText" priority="2469" operator="containsText" dxfId="1" text="▲">
      <formula>NOT(ISERROR(SEARCH("▲",AB89)))</formula>
    </cfRule>
    <cfRule type="containsText" priority="2470" operator="containsText" dxfId="0" text="▼">
      <formula>NOT(ISERROR(SEARCH("▼",AB89)))</formula>
    </cfRule>
    <cfRule type="containsText" priority="2471" operator="containsText" dxfId="1" text="▲">
      <formula>NOT(ISERROR(SEARCH("▲",AB89)))</formula>
    </cfRule>
    <cfRule type="containsText" priority="2472" operator="containsText" dxfId="0" text="▼">
      <formula>NOT(ISERROR(SEARCH("▼",AB89)))</formula>
    </cfRule>
    <cfRule type="containsText" priority="2473" operator="containsText" dxfId="1" text="▲">
      <formula>NOT(ISERROR(SEARCH("▲",AB89)))</formula>
    </cfRule>
    <cfRule type="containsText" priority="2474" operator="containsText" dxfId="0" text="▼">
      <formula>NOT(ISERROR(SEARCH("▼",AB89)))</formula>
    </cfRule>
    <cfRule type="containsText" priority="2475" operator="containsText" dxfId="1" text="▲">
      <formula>NOT(ISERROR(SEARCH("▲",AB89)))</formula>
    </cfRule>
    <cfRule type="containsText" priority="2476" operator="containsText" dxfId="0" text="▼">
      <formula>NOT(ISERROR(SEARCH("▼",AB89)))</formula>
    </cfRule>
    <cfRule type="containsText" priority="2477" operator="containsText" dxfId="1" text="▲">
      <formula>NOT(ISERROR(SEARCH("▲",AB89)))</formula>
    </cfRule>
    <cfRule type="containsText" priority="2478" operator="containsText" dxfId="0" text="▼">
      <formula>NOT(ISERROR(SEARCH("▼",AB89)))</formula>
    </cfRule>
    <cfRule type="containsText" priority="2479" operator="containsText" dxfId="1" text="△">
      <formula>NOT(ISERROR(SEARCH("△",AB89)))</formula>
    </cfRule>
    <cfRule type="containsText" priority="2480" operator="containsText" dxfId="0" text="▽">
      <formula>NOT(ISERROR(SEARCH("▽",AB89)))</formula>
    </cfRule>
    <cfRule type="containsText" priority="2481" operator="containsText" dxfId="1" text="▲">
      <formula>NOT(ISERROR(SEARCH("▲",AB89)))</formula>
    </cfRule>
    <cfRule type="containsText" priority="2482" operator="containsText" dxfId="0" text="▼">
      <formula>NOT(ISERROR(SEARCH("▼",AB89)))</formula>
    </cfRule>
    <cfRule type="containsText" priority="2483" operator="containsText" dxfId="1" text="▲">
      <formula>NOT(ISERROR(SEARCH("▲",AB89)))</formula>
    </cfRule>
    <cfRule type="containsText" priority="2484" operator="containsText" dxfId="0" text="▼">
      <formula>NOT(ISERROR(SEARCH("▼",AB89)))</formula>
    </cfRule>
    <cfRule type="containsText" priority="2485" operator="containsText" dxfId="1" text="▲">
      <formula>NOT(ISERROR(SEARCH("▲",AB89)))</formula>
    </cfRule>
    <cfRule type="containsText" priority="2486" operator="containsText" dxfId="0" text="▼">
      <formula>NOT(ISERROR(SEARCH("▼",AB89)))</formula>
    </cfRule>
    <cfRule type="containsText" priority="2487" operator="containsText" dxfId="1" text="▲">
      <formula>NOT(ISERROR(SEARCH("▲",AB89)))</formula>
    </cfRule>
    <cfRule type="containsText" priority="2488" operator="containsText" dxfId="0" text="▼">
      <formula>NOT(ISERROR(SEARCH("▼",AB89)))</formula>
    </cfRule>
    <cfRule type="containsText" priority="2489" operator="containsText" dxfId="1" text="▲">
      <formula>NOT(ISERROR(SEARCH("▲",AB89)))</formula>
    </cfRule>
    <cfRule type="containsText" priority="2490" operator="containsText" dxfId="0" text="▼">
      <formula>NOT(ISERROR(SEARCH("▼",AB89)))</formula>
    </cfRule>
    <cfRule type="containsText" priority="2491" operator="containsText" dxfId="1" text="▲">
      <formula>NOT(ISERROR(SEARCH("▲",AB89)))</formula>
    </cfRule>
    <cfRule type="containsText" priority="2492" operator="containsText" dxfId="0" text="▼">
      <formula>NOT(ISERROR(SEARCH("▼",AB89)))</formula>
    </cfRule>
    <cfRule type="containsText" priority="2493" operator="containsText" dxfId="1" text="▲">
      <formula>NOT(ISERROR(SEARCH("▲",AB89)))</formula>
    </cfRule>
    <cfRule type="containsText" priority="2494" operator="containsText" dxfId="0" text="▼">
      <formula>NOT(ISERROR(SEARCH("▼",AB89)))</formula>
    </cfRule>
    <cfRule type="containsText" priority="2495" operator="containsText" dxfId="1" text="▲">
      <formula>NOT(ISERROR(SEARCH("▲",AB89)))</formula>
    </cfRule>
    <cfRule type="containsText" priority="2496" operator="containsText" dxfId="0" text="▼">
      <formula>NOT(ISERROR(SEARCH("▼",AB89)))</formula>
    </cfRule>
    <cfRule type="containsText" priority="2497" operator="containsText" dxfId="1" text="▲">
      <formula>NOT(ISERROR(SEARCH("▲",AB89)))</formula>
    </cfRule>
    <cfRule type="containsText" priority="2498" operator="containsText" dxfId="0" text="▼">
      <formula>NOT(ISERROR(SEARCH("▼",AB89)))</formula>
    </cfRule>
    <cfRule type="containsText" priority="2499" operator="containsText" dxfId="1" text="▲">
      <formula>NOT(ISERROR(SEARCH("▲",AB89)))</formula>
    </cfRule>
    <cfRule type="containsText" priority="2500" operator="containsText" dxfId="0" text="▼">
      <formula>NOT(ISERROR(SEARCH("▼",AB89)))</formula>
    </cfRule>
    <cfRule type="containsText" priority="2501" operator="containsText" dxfId="1" text="▲">
      <formula>NOT(ISERROR(SEARCH("▲",AB89)))</formula>
    </cfRule>
    <cfRule type="containsText" priority="2502" operator="containsText" dxfId="0" text="▼">
      <formula>NOT(ISERROR(SEARCH("▼",AB89)))</formula>
    </cfRule>
    <cfRule type="containsText" priority="2503" operator="containsText" dxfId="1" text="▲">
      <formula>NOT(ISERROR(SEARCH("▲",AB89)))</formula>
    </cfRule>
    <cfRule type="containsText" priority="2504" operator="containsText" dxfId="0" text="▼">
      <formula>NOT(ISERROR(SEARCH("▼",AB89)))</formula>
    </cfRule>
    <cfRule type="containsText" priority="2505" operator="containsText" dxfId="1" text="▲">
      <formula>NOT(ISERROR(SEARCH("▲",AB89)))</formula>
    </cfRule>
    <cfRule type="containsText" priority="2506" operator="containsText" dxfId="0" text="▼">
      <formula>NOT(ISERROR(SEARCH("▼",AB89)))</formula>
    </cfRule>
    <cfRule type="containsText" priority="2507" operator="containsText" dxfId="1" text="▲">
      <formula>NOT(ISERROR(SEARCH("▲",AB89)))</formula>
    </cfRule>
    <cfRule type="containsText" priority="2508" operator="containsText" dxfId="0" text="▼">
      <formula>NOT(ISERROR(SEARCH("▼",AB89)))</formula>
    </cfRule>
    <cfRule type="containsText" priority="2509" operator="containsText" dxfId="1" text="▲">
      <formula>NOT(ISERROR(SEARCH("▲",AB89)))</formula>
    </cfRule>
    <cfRule type="containsText" priority="2510" operator="containsText" dxfId="0" text="▼">
      <formula>NOT(ISERROR(SEARCH("▼",AB89)))</formula>
    </cfRule>
    <cfRule type="containsText" priority="2511" operator="containsText" dxfId="1" text="▲">
      <formula>NOT(ISERROR(SEARCH("▲",AB89)))</formula>
    </cfRule>
    <cfRule type="containsText" priority="2512" operator="containsText" dxfId="0" text="▼">
      <formula>NOT(ISERROR(SEARCH("▼",AB89)))</formula>
    </cfRule>
    <cfRule type="containsText" priority="2513" operator="containsText" dxfId="1" text="▲">
      <formula>NOT(ISERROR(SEARCH("▲",AB89)))</formula>
    </cfRule>
    <cfRule type="containsText" priority="2514" operator="containsText" dxfId="0" text="▼">
      <formula>NOT(ISERROR(SEARCH("▼",AB89)))</formula>
    </cfRule>
    <cfRule type="containsText" priority="2515" operator="containsText" dxfId="1" text="▲">
      <formula>NOT(ISERROR(SEARCH("▲",AB89)))</formula>
    </cfRule>
    <cfRule type="containsText" priority="2516" operator="containsText" dxfId="0" text="▼">
      <formula>NOT(ISERROR(SEARCH("▼",AB89)))</formula>
    </cfRule>
    <cfRule type="containsText" priority="2517" operator="containsText" dxfId="1" text="▲">
      <formula>NOT(ISERROR(SEARCH("▲",AB89)))</formula>
    </cfRule>
    <cfRule type="containsText" priority="2518" operator="containsText" dxfId="0" text="▼">
      <formula>NOT(ISERROR(SEARCH("▼",AB89)))</formula>
    </cfRule>
    <cfRule type="containsText" priority="2519" operator="containsText" dxfId="1" text="▲">
      <formula>NOT(ISERROR(SEARCH("▲",AB89)))</formula>
    </cfRule>
    <cfRule type="containsText" priority="2520" operator="containsText" dxfId="0" text="▼">
      <formula>NOT(ISERROR(SEARCH("▼",AB89)))</formula>
    </cfRule>
    <cfRule type="containsText" priority="2521" operator="containsText" dxfId="1" text="▲">
      <formula>NOT(ISERROR(SEARCH("▲",AB89)))</formula>
    </cfRule>
    <cfRule type="containsText" priority="2522" operator="containsText" dxfId="0" text="▼">
      <formula>NOT(ISERROR(SEARCH("▼",AB89)))</formula>
    </cfRule>
    <cfRule type="containsText" priority="2523" operator="containsText" dxfId="1" text="▲">
      <formula>NOT(ISERROR(SEARCH("▲",AB89)))</formula>
    </cfRule>
    <cfRule type="containsText" priority="2524" operator="containsText" dxfId="0" text="▼">
      <formula>NOT(ISERROR(SEARCH("▼",AB89)))</formula>
    </cfRule>
    <cfRule type="containsText" priority="2525" operator="containsText" dxfId="1" text="▲">
      <formula>NOT(ISERROR(SEARCH("▲",AB89)))</formula>
    </cfRule>
    <cfRule type="containsText" priority="2526" operator="containsText" dxfId="0" text="▼">
      <formula>NOT(ISERROR(SEARCH("▼",AB89)))</formula>
    </cfRule>
    <cfRule type="containsText" priority="2527" operator="containsText" dxfId="1" text="▲">
      <formula>NOT(ISERROR(SEARCH("▲",AB89)))</formula>
    </cfRule>
    <cfRule type="containsText" priority="2528" operator="containsText" dxfId="0" text="▼">
      <formula>NOT(ISERROR(SEARCH("▼",AB89)))</formula>
    </cfRule>
    <cfRule type="containsText" priority="2529" operator="containsText" dxfId="1" text="▲">
      <formula>NOT(ISERROR(SEARCH("▲",AB89)))</formula>
    </cfRule>
    <cfRule type="containsText" priority="2530" operator="containsText" dxfId="0" text="▼">
      <formula>NOT(ISERROR(SEARCH("▼",AB89)))</formula>
    </cfRule>
    <cfRule type="containsText" priority="2531" operator="containsText" dxfId="1" text="▲">
      <formula>NOT(ISERROR(SEARCH("▲",AB89)))</formula>
    </cfRule>
    <cfRule type="containsText" priority="2532" operator="containsText" dxfId="0" text="▼">
      <formula>NOT(ISERROR(SEARCH("▼",AB89)))</formula>
    </cfRule>
    <cfRule type="containsText" priority="2533" operator="containsText" dxfId="1" text="▲">
      <formula>NOT(ISERROR(SEARCH("▲",AB89)))</formula>
    </cfRule>
    <cfRule type="containsText" priority="2534" operator="containsText" dxfId="0" text="▼">
      <formula>NOT(ISERROR(SEARCH("▼",AB89)))</formula>
    </cfRule>
    <cfRule type="containsText" priority="2535" operator="containsText" dxfId="1" text="▲">
      <formula>NOT(ISERROR(SEARCH("▲",AB89)))</formula>
    </cfRule>
    <cfRule type="containsText" priority="2536" operator="containsText" dxfId="0" text="▼">
      <formula>NOT(ISERROR(SEARCH("▼",AB89)))</formula>
    </cfRule>
    <cfRule type="containsText" priority="2537" operator="containsText" dxfId="1" text="▲">
      <formula>NOT(ISERROR(SEARCH("▲",AB89)))</formula>
    </cfRule>
    <cfRule type="containsText" priority="2538" operator="containsText" dxfId="0" text="▼">
      <formula>NOT(ISERROR(SEARCH("▼",AB89)))</formula>
    </cfRule>
    <cfRule type="containsText" priority="2539" operator="containsText" dxfId="1" text="▲">
      <formula>NOT(ISERROR(SEARCH("▲",AB89)))</formula>
    </cfRule>
    <cfRule type="containsText" priority="2540" operator="containsText" dxfId="0" text="▼">
      <formula>NOT(ISERROR(SEARCH("▼",AB89)))</formula>
    </cfRule>
    <cfRule type="containsText" priority="2541" operator="containsText" dxfId="1" text="△">
      <formula>NOT(ISERROR(SEARCH("△",AB89)))</formula>
    </cfRule>
    <cfRule type="containsText" priority="2542" operator="containsText" dxfId="0" text="▽">
      <formula>NOT(ISERROR(SEARCH("▽",AB89)))</formula>
    </cfRule>
  </conditionalFormatting>
  <conditionalFormatting sqref="Z61">
    <cfRule type="containsText" priority="2329" operator="containsText" dxfId="1" text="△">
      <formula>NOT(ISERROR(SEARCH("△",Z61)))</formula>
    </cfRule>
    <cfRule type="containsText" priority="2330" operator="containsText" dxfId="0" text="▽">
      <formula>NOT(ISERROR(SEARCH("▽",Z61)))</formula>
    </cfRule>
    <cfRule type="cellIs" priority="2327" operator="lessThan" dxfId="41">
      <formula>0</formula>
    </cfRule>
    <cfRule type="cellIs" priority="2328" operator="greaterThan" dxfId="40">
      <formula>0</formula>
    </cfRule>
    <cfRule type="containsText" priority="2325" operator="containsText" dxfId="1" text="▲">
      <formula>NOT(ISERROR(SEARCH("▲",Z61)))</formula>
    </cfRule>
    <cfRule type="containsText" priority="2326" operator="containsText" dxfId="0" text="▼">
      <formula>NOT(ISERROR(SEARCH("▼",Z61)))</formula>
    </cfRule>
    <cfRule type="containsText" priority="2323" operator="containsText" dxfId="1" text="▲">
      <formula>NOT(ISERROR(SEARCH("▲",Z61)))</formula>
    </cfRule>
    <cfRule type="containsText" priority="2324" operator="containsText" dxfId="0" text="▼">
      <formula>NOT(ISERROR(SEARCH("▼",Z61)))</formula>
    </cfRule>
    <cfRule type="containsText" priority="2321" operator="containsText" dxfId="1" text="▲">
      <formula>NOT(ISERROR(SEARCH("▲",Z61)))</formula>
    </cfRule>
    <cfRule type="containsText" priority="2322" operator="containsText" dxfId="0" text="▼">
      <formula>NOT(ISERROR(SEARCH("▼",Z61)))</formula>
    </cfRule>
    <cfRule type="containsText" priority="2319" operator="containsText" dxfId="1" text="▲">
      <formula>NOT(ISERROR(SEARCH("▲",Z61)))</formula>
    </cfRule>
    <cfRule type="containsText" priority="2320" operator="containsText" dxfId="0" text="▼">
      <formula>NOT(ISERROR(SEARCH("▼",Z61)))</formula>
    </cfRule>
    <cfRule type="containsText" priority="2317" operator="containsText" dxfId="1" text="▲">
      <formula>NOT(ISERROR(SEARCH("▲",Z61)))</formula>
    </cfRule>
    <cfRule type="containsText" priority="2318" operator="containsText" dxfId="0" text="▼">
      <formula>NOT(ISERROR(SEARCH("▼",Z61)))</formula>
    </cfRule>
    <cfRule type="containsText" priority="2315" operator="containsText" dxfId="1" text="▲">
      <formula>NOT(ISERROR(SEARCH("▲",Z61)))</formula>
    </cfRule>
    <cfRule type="containsText" priority="2316" operator="containsText" dxfId="0" text="▼">
      <formula>NOT(ISERROR(SEARCH("▼",Z61)))</formula>
    </cfRule>
    <cfRule type="containsText" priority="2313" operator="containsText" dxfId="1" text="▲">
      <formula>NOT(ISERROR(SEARCH("▲",Z61)))</formula>
    </cfRule>
    <cfRule type="containsText" priority="2314" operator="containsText" dxfId="0" text="▼">
      <formula>NOT(ISERROR(SEARCH("▼",Z61)))</formula>
    </cfRule>
    <cfRule type="containsText" priority="2311" operator="containsText" dxfId="1" text="▲">
      <formula>NOT(ISERROR(SEARCH("▲",Z61)))</formula>
    </cfRule>
    <cfRule type="containsText" priority="2312" operator="containsText" dxfId="0" text="▼">
      <formula>NOT(ISERROR(SEARCH("▼",Z61)))</formula>
    </cfRule>
    <cfRule type="containsText" priority="2309" operator="containsText" dxfId="1" text="▲">
      <formula>NOT(ISERROR(SEARCH("▲",Z61)))</formula>
    </cfRule>
    <cfRule type="containsText" priority="2310" operator="containsText" dxfId="0" text="▼">
      <formula>NOT(ISERROR(SEARCH("▼",Z61)))</formula>
    </cfRule>
    <cfRule type="containsText" priority="2307" operator="containsText" dxfId="1" text="▲">
      <formula>NOT(ISERROR(SEARCH("▲",Z61)))</formula>
    </cfRule>
    <cfRule type="containsText" priority="2308" operator="containsText" dxfId="0" text="▼">
      <formula>NOT(ISERROR(SEARCH("▼",Z61)))</formula>
    </cfRule>
    <cfRule type="containsText" priority="2305" operator="containsText" dxfId="1" text="▲">
      <formula>NOT(ISERROR(SEARCH("▲",Z61)))</formula>
    </cfRule>
    <cfRule type="containsText" priority="2306" operator="containsText" dxfId="0" text="▼">
      <formula>NOT(ISERROR(SEARCH("▼",Z61)))</formula>
    </cfRule>
    <cfRule type="containsText" priority="2303" operator="containsText" dxfId="1" text="▲">
      <formula>NOT(ISERROR(SEARCH("▲",Z61)))</formula>
    </cfRule>
    <cfRule type="containsText" priority="2304" operator="containsText" dxfId="0" text="▼">
      <formula>NOT(ISERROR(SEARCH("▼",Z61)))</formula>
    </cfRule>
    <cfRule type="containsText" priority="2301" operator="containsText" dxfId="1" text="▲">
      <formula>NOT(ISERROR(SEARCH("▲",Z61)))</formula>
    </cfRule>
    <cfRule type="containsText" priority="2302" operator="containsText" dxfId="0" text="▼">
      <formula>NOT(ISERROR(SEARCH("▼",Z61)))</formula>
    </cfRule>
    <cfRule type="containsText" priority="2299" operator="containsText" dxfId="1" text="▲">
      <formula>NOT(ISERROR(SEARCH("▲",Z61)))</formula>
    </cfRule>
    <cfRule type="containsText" priority="2300" operator="containsText" dxfId="0" text="▼">
      <formula>NOT(ISERROR(SEARCH("▼",Z61)))</formula>
    </cfRule>
    <cfRule type="containsText" priority="2297" operator="containsText" dxfId="1" text="▲">
      <formula>NOT(ISERROR(SEARCH("▲",Z61)))</formula>
    </cfRule>
    <cfRule type="containsText" priority="2298" operator="containsText" dxfId="0" text="▼">
      <formula>NOT(ISERROR(SEARCH("▼",Z61)))</formula>
    </cfRule>
    <cfRule type="containsText" priority="2295" operator="containsText" dxfId="1" text="▲">
      <formula>NOT(ISERROR(SEARCH("▲",Z61)))</formula>
    </cfRule>
    <cfRule type="containsText" priority="2296" operator="containsText" dxfId="0" text="▼">
      <formula>NOT(ISERROR(SEARCH("▼",Z61)))</formula>
    </cfRule>
    <cfRule type="containsText" priority="2293" operator="containsText" dxfId="1" text="▲">
      <formula>NOT(ISERROR(SEARCH("▲",Z61)))</formula>
    </cfRule>
    <cfRule type="containsText" priority="2294" operator="containsText" dxfId="0" text="▼">
      <formula>NOT(ISERROR(SEARCH("▼",Z61)))</formula>
    </cfRule>
    <cfRule type="containsText" priority="2291" operator="containsText" dxfId="1" text="▲">
      <formula>NOT(ISERROR(SEARCH("▲",Z61)))</formula>
    </cfRule>
    <cfRule type="containsText" priority="2292" operator="containsText" dxfId="0" text="▼">
      <formula>NOT(ISERROR(SEARCH("▼",Z61)))</formula>
    </cfRule>
    <cfRule type="containsText" priority="2289" operator="containsText" dxfId="1" text="▲">
      <formula>NOT(ISERROR(SEARCH("▲",Z61)))</formula>
    </cfRule>
    <cfRule type="containsText" priority="2290" operator="containsText" dxfId="0" text="▼">
      <formula>NOT(ISERROR(SEARCH("▼",Z61)))</formula>
    </cfRule>
    <cfRule type="containsText" priority="2287" operator="containsText" dxfId="1" text="▲">
      <formula>NOT(ISERROR(SEARCH("▲",Z61)))</formula>
    </cfRule>
    <cfRule type="containsText" priority="2288" operator="containsText" dxfId="0" text="▼">
      <formula>NOT(ISERROR(SEARCH("▼",Z61)))</formula>
    </cfRule>
    <cfRule type="containsText" priority="2285" operator="containsText" dxfId="1" text="▲">
      <formula>NOT(ISERROR(SEARCH("▲",Z61)))</formula>
    </cfRule>
    <cfRule type="containsText" priority="2286" operator="containsText" dxfId="0" text="▼">
      <formula>NOT(ISERROR(SEARCH("▼",Z61)))</formula>
    </cfRule>
    <cfRule type="containsText" priority="2283" operator="containsText" dxfId="1" text="▲">
      <formula>NOT(ISERROR(SEARCH("▲",Z61)))</formula>
    </cfRule>
    <cfRule type="containsText" priority="2284" operator="containsText" dxfId="0" text="▼">
      <formula>NOT(ISERROR(SEARCH("▼",Z61)))</formula>
    </cfRule>
    <cfRule type="containsText" priority="2281" operator="containsText" dxfId="1" text="▲">
      <formula>NOT(ISERROR(SEARCH("▲",Z61)))</formula>
    </cfRule>
    <cfRule type="containsText" priority="2282" operator="containsText" dxfId="0" text="▼">
      <formula>NOT(ISERROR(SEARCH("▼",Z61)))</formula>
    </cfRule>
    <cfRule type="containsText" priority="2279" operator="containsText" dxfId="1" text="▲">
      <formula>NOT(ISERROR(SEARCH("▲",Z61)))</formula>
    </cfRule>
    <cfRule type="containsText" priority="2280" operator="containsText" dxfId="0" text="▼">
      <formula>NOT(ISERROR(SEARCH("▼",Z61)))</formula>
    </cfRule>
    <cfRule type="containsText" priority="2277" operator="containsText" dxfId="1" text="▲">
      <formula>NOT(ISERROR(SEARCH("▲",Z61)))</formula>
    </cfRule>
    <cfRule type="containsText" priority="2278" operator="containsText" dxfId="0" text="▼">
      <formula>NOT(ISERROR(SEARCH("▼",Z61)))</formula>
    </cfRule>
    <cfRule type="containsText" priority="2275" operator="containsText" dxfId="1" text="▲">
      <formula>NOT(ISERROR(SEARCH("▲",Z61)))</formula>
    </cfRule>
    <cfRule type="containsText" priority="2276" operator="containsText" dxfId="0" text="▼">
      <formula>NOT(ISERROR(SEARCH("▼",Z61)))</formula>
    </cfRule>
    <cfRule type="containsText" priority="2273" operator="containsText" dxfId="1" text="▲">
      <formula>NOT(ISERROR(SEARCH("▲",Z61)))</formula>
    </cfRule>
    <cfRule type="containsText" priority="2274" operator="containsText" dxfId="0" text="▼">
      <formula>NOT(ISERROR(SEARCH("▼",Z61)))</formula>
    </cfRule>
    <cfRule type="containsText" priority="2271" operator="containsText" dxfId="1" text="▲">
      <formula>NOT(ISERROR(SEARCH("▲",Z61)))</formula>
    </cfRule>
    <cfRule type="containsText" priority="2272" operator="containsText" dxfId="0" text="▼">
      <formula>NOT(ISERROR(SEARCH("▼",Z61)))</formula>
    </cfRule>
    <cfRule type="containsText" priority="2269" operator="containsText" dxfId="1" text="▲">
      <formula>NOT(ISERROR(SEARCH("▲",Z61)))</formula>
    </cfRule>
    <cfRule type="containsText" priority="2270" operator="containsText" dxfId="0" text="▼">
      <formula>NOT(ISERROR(SEARCH("▼",Z61)))</formula>
    </cfRule>
    <cfRule type="containsText" priority="2267" operator="containsText" dxfId="1" text="▲">
      <formula>NOT(ISERROR(SEARCH("▲",Z61)))</formula>
    </cfRule>
    <cfRule type="containsText" priority="2268" operator="containsText" dxfId="0" text="▼">
      <formula>NOT(ISERROR(SEARCH("▼",Z61)))</formula>
    </cfRule>
    <cfRule type="containsText" priority="2265" operator="containsText" dxfId="1" text="▲">
      <formula>NOT(ISERROR(SEARCH("▲",Z61)))</formula>
    </cfRule>
    <cfRule type="containsText" priority="2266" operator="containsText" dxfId="0" text="▼">
      <formula>NOT(ISERROR(SEARCH("▼",Z61)))</formula>
    </cfRule>
    <cfRule type="containsText" priority="2263" operator="containsText" dxfId="1" text="△">
      <formula>NOT(ISERROR(SEARCH("△",Z61)))</formula>
    </cfRule>
    <cfRule type="containsText" priority="2264" operator="containsText" dxfId="0" text="▽">
      <formula>NOT(ISERROR(SEARCH("▽",Z61)))</formula>
    </cfRule>
    <cfRule type="containsText" priority="2261" operator="containsText" dxfId="1" text="▲">
      <formula>NOT(ISERROR(SEARCH("▲",Z61)))</formula>
    </cfRule>
    <cfRule type="containsText" priority="2262" operator="containsText" dxfId="0" text="▼">
      <formula>NOT(ISERROR(SEARCH("▼",Z61)))</formula>
    </cfRule>
    <cfRule type="containsText" priority="2259" operator="containsText" dxfId="1" text="▲">
      <formula>NOT(ISERROR(SEARCH("▲",Z61)))</formula>
    </cfRule>
    <cfRule type="containsText" priority="2260" operator="containsText" dxfId="0" text="▼">
      <formula>NOT(ISERROR(SEARCH("▼",Z61)))</formula>
    </cfRule>
    <cfRule type="containsText" priority="2257" operator="containsText" dxfId="1" text="▲">
      <formula>NOT(ISERROR(SEARCH("▲",Z61)))</formula>
    </cfRule>
    <cfRule type="containsText" priority="2258" operator="containsText" dxfId="0" text="▼">
      <formula>NOT(ISERROR(SEARCH("▼",Z61)))</formula>
    </cfRule>
    <cfRule type="containsText" priority="2255" operator="containsText" dxfId="1" text="▲">
      <formula>NOT(ISERROR(SEARCH("▲",Z61)))</formula>
    </cfRule>
    <cfRule type="containsText" priority="2256" operator="containsText" dxfId="0" text="▼">
      <formula>NOT(ISERROR(SEARCH("▼",Z61)))</formula>
    </cfRule>
    <cfRule type="containsText" priority="2253" operator="containsText" dxfId="1" text="▲">
      <formula>NOT(ISERROR(SEARCH("▲",Z61)))</formula>
    </cfRule>
    <cfRule type="containsText" priority="2254" operator="containsText" dxfId="0" text="▼">
      <formula>NOT(ISERROR(SEARCH("▼",Z61)))</formula>
    </cfRule>
    <cfRule type="containsText" priority="2251" operator="containsText" dxfId="1" text="▲">
      <formula>NOT(ISERROR(SEARCH("▲",Z61)))</formula>
    </cfRule>
    <cfRule type="containsText" priority="2252" operator="containsText" dxfId="0" text="▼">
      <formula>NOT(ISERROR(SEARCH("▼",Z61)))</formula>
    </cfRule>
    <cfRule type="containsText" priority="2249" operator="containsText" dxfId="1" text="▲">
      <formula>NOT(ISERROR(SEARCH("▲",Z61)))</formula>
    </cfRule>
    <cfRule type="containsText" priority="2250" operator="containsText" dxfId="0" text="▼">
      <formula>NOT(ISERROR(SEARCH("▼",Z61)))</formula>
    </cfRule>
    <cfRule type="containsText" priority="2247" operator="containsText" dxfId="1" text="▲">
      <formula>NOT(ISERROR(SEARCH("▲",Z61)))</formula>
    </cfRule>
    <cfRule type="containsText" priority="2248" operator="containsText" dxfId="0" text="▼">
      <formula>NOT(ISERROR(SEARCH("▼",Z61)))</formula>
    </cfRule>
    <cfRule type="containsText" priority="2245" operator="containsText" dxfId="1" text="▲">
      <formula>NOT(ISERROR(SEARCH("▲",Z61)))</formula>
    </cfRule>
    <cfRule type="containsText" priority="2246" operator="containsText" dxfId="0" text="▼">
      <formula>NOT(ISERROR(SEARCH("▼",Z61)))</formula>
    </cfRule>
    <cfRule type="containsText" priority="2243" operator="containsText" dxfId="1" text="▲">
      <formula>NOT(ISERROR(SEARCH("▲",Z61)))</formula>
    </cfRule>
    <cfRule type="containsText" priority="2244" operator="containsText" dxfId="0" text="▼">
      <formula>NOT(ISERROR(SEARCH("▼",Z61)))</formula>
    </cfRule>
    <cfRule type="containsText" priority="2241" operator="containsText" dxfId="1" text="▲">
      <formula>NOT(ISERROR(SEARCH("▲",Z61)))</formula>
    </cfRule>
    <cfRule type="containsText" priority="2242" operator="containsText" dxfId="0" text="▼">
      <formula>NOT(ISERROR(SEARCH("▼",Z61)))</formula>
    </cfRule>
    <cfRule type="containsText" priority="2239" operator="containsText" dxfId="1" text="▲">
      <formula>NOT(ISERROR(SEARCH("▲",Z61)))</formula>
    </cfRule>
    <cfRule type="containsText" priority="2240" operator="containsText" dxfId="0" text="▼">
      <formula>NOT(ISERROR(SEARCH("▼",Z61)))</formula>
    </cfRule>
    <cfRule type="containsText" priority="2237" operator="containsText" dxfId="1" text="▲">
      <formula>NOT(ISERROR(SEARCH("▲",Z61)))</formula>
    </cfRule>
    <cfRule type="containsText" priority="2238" operator="containsText" dxfId="0" text="▼">
      <formula>NOT(ISERROR(SEARCH("▼",Z61)))</formula>
    </cfRule>
    <cfRule type="containsText" priority="2235" operator="containsText" dxfId="1" text="▲">
      <formula>NOT(ISERROR(SEARCH("▲",Z61)))</formula>
    </cfRule>
    <cfRule type="containsText" priority="2236" operator="containsText" dxfId="0" text="▼">
      <formula>NOT(ISERROR(SEARCH("▼",Z61)))</formula>
    </cfRule>
    <cfRule type="containsText" priority="2233" operator="containsText" dxfId="1" text="▲">
      <formula>NOT(ISERROR(SEARCH("▲",Z61)))</formula>
    </cfRule>
    <cfRule type="containsText" priority="2234" operator="containsText" dxfId="0" text="▼">
      <formula>NOT(ISERROR(SEARCH("▼",Z61)))</formula>
    </cfRule>
    <cfRule type="containsText" priority="2231" operator="containsText" dxfId="1" text="▲">
      <formula>NOT(ISERROR(SEARCH("▲",Z61)))</formula>
    </cfRule>
    <cfRule type="containsText" priority="2232" operator="containsText" dxfId="0" text="▼">
      <formula>NOT(ISERROR(SEARCH("▼",Z61)))</formula>
    </cfRule>
    <cfRule type="containsText" priority="2229" operator="containsText" dxfId="1" text="▲">
      <formula>NOT(ISERROR(SEARCH("▲",Z61)))</formula>
    </cfRule>
    <cfRule type="containsText" priority="2230" operator="containsText" dxfId="0" text="▼">
      <formula>NOT(ISERROR(SEARCH("▼",Z61)))</formula>
    </cfRule>
    <cfRule type="containsText" priority="2227" operator="containsText" dxfId="1" text="▲">
      <formula>NOT(ISERROR(SEARCH("▲",Z61)))</formula>
    </cfRule>
    <cfRule type="containsText" priority="2228" operator="containsText" dxfId="0" text="▼">
      <formula>NOT(ISERROR(SEARCH("▼",Z61)))</formula>
    </cfRule>
    <cfRule type="containsText" priority="2225" operator="containsText" dxfId="1" text="▲">
      <formula>NOT(ISERROR(SEARCH("▲",Z61)))</formula>
    </cfRule>
    <cfRule type="containsText" priority="2226" operator="containsText" dxfId="0" text="▼">
      <formula>NOT(ISERROR(SEARCH("▼",Z61)))</formula>
    </cfRule>
    <cfRule type="containsText" priority="2223" operator="containsText" dxfId="1" text="▲">
      <formula>NOT(ISERROR(SEARCH("▲",Z61)))</formula>
    </cfRule>
    <cfRule type="containsText" priority="2224" operator="containsText" dxfId="0" text="▼">
      <formula>NOT(ISERROR(SEARCH("▼",Z61)))</formula>
    </cfRule>
    <cfRule type="containsText" priority="2221" operator="containsText" dxfId="1" text="▲">
      <formula>NOT(ISERROR(SEARCH("▲",Z61)))</formula>
    </cfRule>
    <cfRule type="containsText" priority="2222" operator="containsText" dxfId="0" text="▼">
      <formula>NOT(ISERROR(SEARCH("▼",Z61)))</formula>
    </cfRule>
    <cfRule type="containsText" priority="2219" operator="containsText" dxfId="1" text="▲">
      <formula>NOT(ISERROR(SEARCH("▲",Z61)))</formula>
    </cfRule>
    <cfRule type="containsText" priority="2220" operator="containsText" dxfId="0" text="▼">
      <formula>NOT(ISERROR(SEARCH("▼",Z61)))</formula>
    </cfRule>
    <cfRule type="containsText" priority="2217" operator="containsText" dxfId="1" text="▲">
      <formula>NOT(ISERROR(SEARCH("▲",Z61)))</formula>
    </cfRule>
    <cfRule type="containsText" priority="2218" operator="containsText" dxfId="0" text="▼">
      <formula>NOT(ISERROR(SEARCH("▼",Z61)))</formula>
    </cfRule>
    <cfRule type="containsText" priority="2215" operator="containsText" dxfId="1" text="▲">
      <formula>NOT(ISERROR(SEARCH("▲",Z61)))</formula>
    </cfRule>
    <cfRule type="containsText" priority="2216" operator="containsText" dxfId="0" text="▼">
      <formula>NOT(ISERROR(SEARCH("▼",Z61)))</formula>
    </cfRule>
    <cfRule type="containsText" priority="2213" operator="containsText" dxfId="1" text="▲">
      <formula>NOT(ISERROR(SEARCH("▲",Z61)))</formula>
    </cfRule>
    <cfRule type="containsText" priority="2214" operator="containsText" dxfId="0" text="▼">
      <formula>NOT(ISERROR(SEARCH("▼",Z61)))</formula>
    </cfRule>
    <cfRule type="containsText" priority="2211" operator="containsText" dxfId="1" text="△">
      <formula>NOT(ISERROR(SEARCH("△",Z61)))</formula>
    </cfRule>
    <cfRule type="containsText" priority="2212" operator="containsText" dxfId="0" text="▽">
      <formula>NOT(ISERROR(SEARCH("▽",Z61)))</formula>
    </cfRule>
    <cfRule type="containsText" priority="2209" operator="containsText" dxfId="1" text="▲">
      <formula>NOT(ISERROR(SEARCH("▲",Z61)))</formula>
    </cfRule>
    <cfRule type="containsText" priority="2210" operator="containsText" dxfId="0" text="▼">
      <formula>NOT(ISERROR(SEARCH("▼",Z61)))</formula>
    </cfRule>
    <cfRule type="containsText" priority="2207" operator="containsText" dxfId="1" text="▲">
      <formula>NOT(ISERROR(SEARCH("▲",Z61)))</formula>
    </cfRule>
    <cfRule type="containsText" priority="2208" operator="containsText" dxfId="0" text="▼">
      <formula>NOT(ISERROR(SEARCH("▼",Z61)))</formula>
    </cfRule>
    <cfRule type="containsText" priority="2205" operator="containsText" dxfId="1" text="▲">
      <formula>NOT(ISERROR(SEARCH("▲",Z61)))</formula>
    </cfRule>
    <cfRule type="containsText" priority="2206" operator="containsText" dxfId="0" text="▼">
      <formula>NOT(ISERROR(SEARCH("▼",Z61)))</formula>
    </cfRule>
    <cfRule type="containsText" priority="2203" operator="containsText" dxfId="1" text="▲">
      <formula>NOT(ISERROR(SEARCH("▲",Z61)))</formula>
    </cfRule>
    <cfRule type="containsText" priority="2204" operator="containsText" dxfId="0" text="▼">
      <formula>NOT(ISERROR(SEARCH("▼",Z61)))</formula>
    </cfRule>
    <cfRule type="containsText" priority="2201" operator="containsText" dxfId="1" text="▲">
      <formula>NOT(ISERROR(SEARCH("▲",Z61)))</formula>
    </cfRule>
    <cfRule type="containsText" priority="2202" operator="containsText" dxfId="0" text="▼">
      <formula>NOT(ISERROR(SEARCH("▼",Z61)))</formula>
    </cfRule>
    <cfRule type="containsText" priority="2199" operator="containsText" dxfId="1" text="▲">
      <formula>NOT(ISERROR(SEARCH("▲",Z61)))</formula>
    </cfRule>
    <cfRule type="containsText" priority="2200" operator="containsText" dxfId="0" text="▼">
      <formula>NOT(ISERROR(SEARCH("▼",Z61)))</formula>
    </cfRule>
    <cfRule type="containsText" priority="2197" operator="containsText" dxfId="1" text="▲">
      <formula>NOT(ISERROR(SEARCH("▲",Z61)))</formula>
    </cfRule>
    <cfRule type="containsText" priority="2198" operator="containsText" dxfId="0" text="▼">
      <formula>NOT(ISERROR(SEARCH("▼",Z61)))</formula>
    </cfRule>
    <cfRule type="containsText" priority="2195" operator="containsText" dxfId="1" text="▲">
      <formula>NOT(ISERROR(SEARCH("▲",Z61)))</formula>
    </cfRule>
    <cfRule type="containsText" priority="2196" operator="containsText" dxfId="0" text="▼">
      <formula>NOT(ISERROR(SEARCH("▼",Z61)))</formula>
    </cfRule>
    <cfRule type="containsText" priority="2193" operator="containsText" dxfId="1" text="▲">
      <formula>NOT(ISERROR(SEARCH("▲",Z61)))</formula>
    </cfRule>
    <cfRule type="containsText" priority="2194" operator="containsText" dxfId="0" text="▼">
      <formula>NOT(ISERROR(SEARCH("▼",Z61)))</formula>
    </cfRule>
    <cfRule type="containsText" priority="2191" operator="containsText" dxfId="1" text="▲">
      <formula>NOT(ISERROR(SEARCH("▲",Z61)))</formula>
    </cfRule>
    <cfRule type="containsText" priority="2192" operator="containsText" dxfId="0" text="▼">
      <formula>NOT(ISERROR(SEARCH("▼",Z61)))</formula>
    </cfRule>
    <cfRule type="containsText" priority="2189" operator="containsText" dxfId="1" text="▲">
      <formula>NOT(ISERROR(SEARCH("▲",Z61)))</formula>
    </cfRule>
    <cfRule type="containsText" priority="2190" operator="containsText" dxfId="0" text="▼">
      <formula>NOT(ISERROR(SEARCH("▼",Z61)))</formula>
    </cfRule>
    <cfRule type="containsText" priority="2187" operator="containsText" dxfId="1" text="▲">
      <formula>NOT(ISERROR(SEARCH("▲",Z61)))</formula>
    </cfRule>
    <cfRule type="containsText" priority="2188" operator="containsText" dxfId="0" text="▼">
      <formula>NOT(ISERROR(SEARCH("▼",Z61)))</formula>
    </cfRule>
    <cfRule type="containsText" priority="2185" operator="containsText" dxfId="1" text="▲">
      <formula>NOT(ISERROR(SEARCH("▲",Z61)))</formula>
    </cfRule>
    <cfRule type="containsText" priority="2186" operator="containsText" dxfId="0" text="▼">
      <formula>NOT(ISERROR(SEARCH("▼",Z61)))</formula>
    </cfRule>
    <cfRule type="containsText" priority="2183" operator="containsText" dxfId="1" text="▲">
      <formula>NOT(ISERROR(SEARCH("▲",Z61)))</formula>
    </cfRule>
    <cfRule type="containsText" priority="2184" operator="containsText" dxfId="0" text="▼">
      <formula>NOT(ISERROR(SEARCH("▼",Z61)))</formula>
    </cfRule>
    <cfRule type="containsText" priority="2181" operator="containsText" dxfId="1" text="▲">
      <formula>NOT(ISERROR(SEARCH("▲",Z61)))</formula>
    </cfRule>
    <cfRule type="containsText" priority="2182" operator="containsText" dxfId="0" text="▼">
      <formula>NOT(ISERROR(SEARCH("▼",Z61)))</formula>
    </cfRule>
    <cfRule type="containsText" priority="2179" operator="containsText" dxfId="1" text="▲">
      <formula>NOT(ISERROR(SEARCH("▲",Z61)))</formula>
    </cfRule>
    <cfRule type="containsText" priority="2180" operator="containsText" dxfId="0" text="▼">
      <formula>NOT(ISERROR(SEARCH("▼",Z61)))</formula>
    </cfRule>
    <cfRule type="containsText" priority="2177" operator="containsText" dxfId="1" text="▲">
      <formula>NOT(ISERROR(SEARCH("▲",Z61)))</formula>
    </cfRule>
    <cfRule type="containsText" priority="2178" operator="containsText" dxfId="0" text="▼">
      <formula>NOT(ISERROR(SEARCH("▼",Z61)))</formula>
    </cfRule>
    <cfRule type="containsText" priority="2175" operator="containsText" dxfId="1" text="▲">
      <formula>NOT(ISERROR(SEARCH("▲",Z61)))</formula>
    </cfRule>
    <cfRule type="containsText" priority="2176" operator="containsText" dxfId="0" text="▼">
      <formula>NOT(ISERROR(SEARCH("▼",Z61)))</formula>
    </cfRule>
    <cfRule type="containsText" priority="2173" operator="containsText" dxfId="1" text="▲">
      <formula>NOT(ISERROR(SEARCH("▲",Z61)))</formula>
    </cfRule>
    <cfRule type="containsText" priority="2174" operator="containsText" dxfId="0" text="▼">
      <formula>NOT(ISERROR(SEARCH("▼",Z61)))</formula>
    </cfRule>
    <cfRule type="containsText" priority="2171" operator="containsText" dxfId="1" text="▲">
      <formula>NOT(ISERROR(SEARCH("▲",Z61)))</formula>
    </cfRule>
    <cfRule type="containsText" priority="2172" operator="containsText" dxfId="0" text="▼">
      <formula>NOT(ISERROR(SEARCH("▼",Z61)))</formula>
    </cfRule>
    <cfRule type="containsText" priority="2169" operator="containsText" dxfId="1" text="▲">
      <formula>NOT(ISERROR(SEARCH("▲",Z61)))</formula>
    </cfRule>
    <cfRule type="containsText" priority="2170" operator="containsText" dxfId="0" text="▼">
      <formula>NOT(ISERROR(SEARCH("▼",Z61)))</formula>
    </cfRule>
    <cfRule type="containsText" priority="2167" operator="containsText" dxfId="1" text="▲">
      <formula>NOT(ISERROR(SEARCH("▲",Z61)))</formula>
    </cfRule>
    <cfRule type="containsText" priority="2168" operator="containsText" dxfId="0" text="▼">
      <formula>NOT(ISERROR(SEARCH("▼",Z61)))</formula>
    </cfRule>
    <cfRule type="containsText" priority="2165" operator="containsText" dxfId="1" text="▲">
      <formula>NOT(ISERROR(SEARCH("▲",Z61)))</formula>
    </cfRule>
    <cfRule type="containsText" priority="2166" operator="containsText" dxfId="0" text="▼">
      <formula>NOT(ISERROR(SEARCH("▼",Z61)))</formula>
    </cfRule>
    <cfRule type="containsText" priority="2163" operator="containsText" dxfId="1" text="▲">
      <formula>NOT(ISERROR(SEARCH("▲",Z61)))</formula>
    </cfRule>
    <cfRule type="containsText" priority="2164" operator="containsText" dxfId="0" text="▼">
      <formula>NOT(ISERROR(SEARCH("▼",Z61)))</formula>
    </cfRule>
    <cfRule type="containsText" priority="2161" operator="containsText" dxfId="1" text="△">
      <formula>NOT(ISERROR(SEARCH("△",Z61)))</formula>
    </cfRule>
    <cfRule type="containsText" priority="2162" operator="containsText" dxfId="0" text="▽">
      <formula>NOT(ISERROR(SEARCH("▽",Z61)))</formula>
    </cfRule>
    <cfRule type="containsText" priority="2159" operator="containsText" dxfId="1" text="▲">
      <formula>NOT(ISERROR(SEARCH("▲",Z61)))</formula>
    </cfRule>
    <cfRule type="containsText" priority="2160" operator="containsText" dxfId="0" text="▼">
      <formula>NOT(ISERROR(SEARCH("▼",Z61)))</formula>
    </cfRule>
    <cfRule type="containsText" priority="2157" operator="containsText" dxfId="1" text="▲">
      <formula>NOT(ISERROR(SEARCH("▲",Z61)))</formula>
    </cfRule>
    <cfRule type="containsText" priority="2158" operator="containsText" dxfId="0" text="▼">
      <formula>NOT(ISERROR(SEARCH("▼",Z61)))</formula>
    </cfRule>
    <cfRule type="containsText" priority="2155" operator="containsText" dxfId="1" text="▲">
      <formula>NOT(ISERROR(SEARCH("▲",Z61)))</formula>
    </cfRule>
    <cfRule type="containsText" priority="2156" operator="containsText" dxfId="0" text="▼">
      <formula>NOT(ISERROR(SEARCH("▼",Z61)))</formula>
    </cfRule>
    <cfRule type="containsText" priority="2153" operator="containsText" dxfId="1" text="▲">
      <formula>NOT(ISERROR(SEARCH("▲",Z61)))</formula>
    </cfRule>
    <cfRule type="containsText" priority="2154" operator="containsText" dxfId="0" text="▼">
      <formula>NOT(ISERROR(SEARCH("▼",Z61)))</formula>
    </cfRule>
    <cfRule type="containsText" priority="2151" operator="containsText" dxfId="1" text="▲">
      <formula>NOT(ISERROR(SEARCH("▲",Z61)))</formula>
    </cfRule>
    <cfRule type="containsText" priority="2152" operator="containsText" dxfId="0" text="▼">
      <formula>NOT(ISERROR(SEARCH("▼",Z61)))</formula>
    </cfRule>
    <cfRule type="containsText" priority="2149" operator="containsText" dxfId="1" text="▲">
      <formula>NOT(ISERROR(SEARCH("▲",Z61)))</formula>
    </cfRule>
    <cfRule type="containsText" priority="2150" operator="containsText" dxfId="0" text="▼">
      <formula>NOT(ISERROR(SEARCH("▼",Z61)))</formula>
    </cfRule>
    <cfRule type="containsText" priority="2147" operator="containsText" dxfId="1" text="▲">
      <formula>NOT(ISERROR(SEARCH("▲",Z61)))</formula>
    </cfRule>
    <cfRule type="containsText" priority="2148" operator="containsText" dxfId="0" text="▼">
      <formula>NOT(ISERROR(SEARCH("▼",Z61)))</formula>
    </cfRule>
    <cfRule type="containsText" priority="2145" operator="containsText" dxfId="1" text="▲">
      <formula>NOT(ISERROR(SEARCH("▲",Z61)))</formula>
    </cfRule>
    <cfRule type="containsText" priority="2146" operator="containsText" dxfId="0" text="▼">
      <formula>NOT(ISERROR(SEARCH("▼",Z61)))</formula>
    </cfRule>
    <cfRule type="containsText" priority="2143" operator="containsText" dxfId="1" text="▲">
      <formula>NOT(ISERROR(SEARCH("▲",Z61)))</formula>
    </cfRule>
    <cfRule type="containsText" priority="2144" operator="containsText" dxfId="0" text="▼">
      <formula>NOT(ISERROR(SEARCH("▼",Z61)))</formula>
    </cfRule>
    <cfRule type="containsText" priority="2141" operator="containsText" dxfId="1" text="▲">
      <formula>NOT(ISERROR(SEARCH("▲",Z61)))</formula>
    </cfRule>
    <cfRule type="containsText" priority="2142" operator="containsText" dxfId="0" text="▼">
      <formula>NOT(ISERROR(SEARCH("▼",Z61)))</formula>
    </cfRule>
    <cfRule type="containsText" priority="2139" operator="containsText" dxfId="1" text="▲">
      <formula>NOT(ISERROR(SEARCH("▲",Z61)))</formula>
    </cfRule>
    <cfRule type="containsText" priority="2140" operator="containsText" dxfId="0" text="▼">
      <formula>NOT(ISERROR(SEARCH("▼",Z61)))</formula>
    </cfRule>
    <cfRule type="containsText" priority="2137" operator="containsText" dxfId="1" text="▲">
      <formula>NOT(ISERROR(SEARCH("▲",Z61)))</formula>
    </cfRule>
    <cfRule type="containsText" priority="2138" operator="containsText" dxfId="0" text="▼">
      <formula>NOT(ISERROR(SEARCH("▼",Z61)))</formula>
    </cfRule>
    <cfRule type="containsText" priority="2135" operator="containsText" dxfId="1" text="▲">
      <formula>NOT(ISERROR(SEARCH("▲",Z61)))</formula>
    </cfRule>
    <cfRule type="containsText" priority="2136" operator="containsText" dxfId="0" text="▼">
      <formula>NOT(ISERROR(SEARCH("▼",Z61)))</formula>
    </cfRule>
    <cfRule type="containsText" priority="2133" operator="containsText" dxfId="1" text="▲">
      <formula>NOT(ISERROR(SEARCH("▲",Z61)))</formula>
    </cfRule>
    <cfRule type="containsText" priority="2134" operator="containsText" dxfId="0" text="▼">
      <formula>NOT(ISERROR(SEARCH("▼",Z61)))</formula>
    </cfRule>
    <cfRule type="containsText" priority="2131" operator="containsText" dxfId="1" text="▲">
      <formula>NOT(ISERROR(SEARCH("▲",Z61)))</formula>
    </cfRule>
    <cfRule type="containsText" priority="2132" operator="containsText" dxfId="0" text="▼">
      <formula>NOT(ISERROR(SEARCH("▼",Z61)))</formula>
    </cfRule>
    <cfRule type="containsText" priority="2129" operator="containsText" dxfId="1" text="▲">
      <formula>NOT(ISERROR(SEARCH("▲",Z61)))</formula>
    </cfRule>
    <cfRule type="containsText" priority="2130" operator="containsText" dxfId="0" text="▼">
      <formula>NOT(ISERROR(SEARCH("▼",Z61)))</formula>
    </cfRule>
    <cfRule type="containsText" priority="2127" operator="containsText" dxfId="1" text="▲">
      <formula>NOT(ISERROR(SEARCH("▲",Z61)))</formula>
    </cfRule>
    <cfRule type="containsText" priority="2128" operator="containsText" dxfId="0" text="▼">
      <formula>NOT(ISERROR(SEARCH("▼",Z61)))</formula>
    </cfRule>
    <cfRule type="containsText" priority="2125" operator="containsText" dxfId="1" text="▲">
      <formula>NOT(ISERROR(SEARCH("▲",Z61)))</formula>
    </cfRule>
    <cfRule type="containsText" priority="2126" operator="containsText" dxfId="0" text="▼">
      <formula>NOT(ISERROR(SEARCH("▼",Z61)))</formula>
    </cfRule>
    <cfRule type="containsText" priority="2123" operator="containsText" dxfId="1" text="▲">
      <formula>NOT(ISERROR(SEARCH("▲",Z61)))</formula>
    </cfRule>
    <cfRule type="containsText" priority="2124" operator="containsText" dxfId="0" text="▼">
      <formula>NOT(ISERROR(SEARCH("▼",Z61)))</formula>
    </cfRule>
    <cfRule type="containsText" priority="2121" operator="containsText" dxfId="1" text="▲">
      <formula>NOT(ISERROR(SEARCH("▲",Z61)))</formula>
    </cfRule>
    <cfRule type="containsText" priority="2122" operator="containsText" dxfId="0" text="▼">
      <formula>NOT(ISERROR(SEARCH("▼",Z61)))</formula>
    </cfRule>
    <cfRule type="containsText" priority="2119" operator="containsText" dxfId="1" text="▲">
      <formula>NOT(ISERROR(SEARCH("▲",Z61)))</formula>
    </cfRule>
    <cfRule type="containsText" priority="2120" operator="containsText" dxfId="0" text="▼">
      <formula>NOT(ISERROR(SEARCH("▼",Z61)))</formula>
    </cfRule>
    <cfRule type="containsText" priority="2117" operator="containsText" dxfId="1" text="▲">
      <formula>NOT(ISERROR(SEARCH("▲",Z61)))</formula>
    </cfRule>
    <cfRule type="containsText" priority="2118" operator="containsText" dxfId="0" text="▼">
      <formula>NOT(ISERROR(SEARCH("▼",Z61)))</formula>
    </cfRule>
    <cfRule type="containsText" priority="2115" operator="containsText" dxfId="1" text="▲">
      <formula>NOT(ISERROR(SEARCH("▲",Z61)))</formula>
    </cfRule>
    <cfRule type="containsText" priority="2116" operator="containsText" dxfId="0" text="▼">
      <formula>NOT(ISERROR(SEARCH("▼",Z61)))</formula>
    </cfRule>
    <cfRule type="containsText" priority="2113" operator="containsText" dxfId="1" text="▲">
      <formula>NOT(ISERROR(SEARCH("▲",Z61)))</formula>
    </cfRule>
    <cfRule type="containsText" priority="2114" operator="containsText" dxfId="0" text="▼">
      <formula>NOT(ISERROR(SEARCH("▼",Z61)))</formula>
    </cfRule>
    <cfRule type="containsText" priority="2111" operator="containsText" dxfId="1" text="▲">
      <formula>NOT(ISERROR(SEARCH("▲",Z61)))</formula>
    </cfRule>
    <cfRule type="containsText" priority="2112" operator="containsText" dxfId="0" text="▼">
      <formula>NOT(ISERROR(SEARCH("▼",Z61)))</formula>
    </cfRule>
    <cfRule type="containsText" priority="2109" operator="containsText" dxfId="1" text="△">
      <formula>NOT(ISERROR(SEARCH("△",Z61)))</formula>
    </cfRule>
    <cfRule type="containsText" priority="2110" operator="containsText" dxfId="0" text="▽">
      <formula>NOT(ISERROR(SEARCH("▽",Z61)))</formula>
    </cfRule>
    <cfRule type="containsText" priority="2107" operator="containsText" dxfId="1" text="▲">
      <formula>NOT(ISERROR(SEARCH("▲",Z61)))</formula>
    </cfRule>
    <cfRule type="containsText" priority="2108" operator="containsText" dxfId="0" text="▼">
      <formula>NOT(ISERROR(SEARCH("▼",Z61)))</formula>
    </cfRule>
    <cfRule type="containsText" priority="2105" operator="containsText" dxfId="1" text="▲">
      <formula>NOT(ISERROR(SEARCH("▲",Z61)))</formula>
    </cfRule>
    <cfRule type="containsText" priority="2106" operator="containsText" dxfId="0" text="▼">
      <formula>NOT(ISERROR(SEARCH("▼",Z61)))</formula>
    </cfRule>
    <cfRule type="containsText" priority="2103" operator="containsText" dxfId="1" text="▲">
      <formula>NOT(ISERROR(SEARCH("▲",Z61)))</formula>
    </cfRule>
    <cfRule type="containsText" priority="2104" operator="containsText" dxfId="0" text="▼">
      <formula>NOT(ISERROR(SEARCH("▼",Z61)))</formula>
    </cfRule>
    <cfRule type="containsText" priority="2101" operator="containsText" dxfId="1" text="▲">
      <formula>NOT(ISERROR(SEARCH("▲",Z61)))</formula>
    </cfRule>
    <cfRule type="containsText" priority="2102" operator="containsText" dxfId="0" text="▼">
      <formula>NOT(ISERROR(SEARCH("▼",Z61)))</formula>
    </cfRule>
    <cfRule type="containsText" priority="2099" operator="containsText" dxfId="1" text="▲">
      <formula>NOT(ISERROR(SEARCH("▲",Z61)))</formula>
    </cfRule>
    <cfRule type="containsText" priority="2100" operator="containsText" dxfId="0" text="▼">
      <formula>NOT(ISERROR(SEARCH("▼",Z61)))</formula>
    </cfRule>
    <cfRule type="containsText" priority="2097" operator="containsText" dxfId="1" text="▲">
      <formula>NOT(ISERROR(SEARCH("▲",Z61)))</formula>
    </cfRule>
    <cfRule type="containsText" priority="2098" operator="containsText" dxfId="0" text="▼">
      <formula>NOT(ISERROR(SEARCH("▼",Z61)))</formula>
    </cfRule>
    <cfRule type="containsText" priority="2095" operator="containsText" dxfId="1" text="▲">
      <formula>NOT(ISERROR(SEARCH("▲",Z61)))</formula>
    </cfRule>
    <cfRule type="containsText" priority="2096" operator="containsText" dxfId="0" text="▼">
      <formula>NOT(ISERROR(SEARCH("▼",Z61)))</formula>
    </cfRule>
    <cfRule type="containsText" priority="2093" operator="containsText" dxfId="1" text="▲">
      <formula>NOT(ISERROR(SEARCH("▲",Z61)))</formula>
    </cfRule>
    <cfRule type="containsText" priority="2094" operator="containsText" dxfId="0" text="▼">
      <formula>NOT(ISERROR(SEARCH("▼",Z61)))</formula>
    </cfRule>
    <cfRule type="containsText" priority="2091" operator="containsText" dxfId="1" text="▲">
      <formula>NOT(ISERROR(SEARCH("▲",Z61)))</formula>
    </cfRule>
    <cfRule type="containsText" priority="2092" operator="containsText" dxfId="0" text="▼">
      <formula>NOT(ISERROR(SEARCH("▼",Z61)))</formula>
    </cfRule>
    <cfRule type="containsText" priority="2089" operator="containsText" dxfId="1" text="▲">
      <formula>NOT(ISERROR(SEARCH("▲",Z61)))</formula>
    </cfRule>
    <cfRule type="containsText" priority="2090" operator="containsText" dxfId="0" text="▼">
      <formula>NOT(ISERROR(SEARCH("▼",Z61)))</formula>
    </cfRule>
    <cfRule type="containsText" priority="2087" operator="containsText" dxfId="1" text="▲">
      <formula>NOT(ISERROR(SEARCH("▲",Z61)))</formula>
    </cfRule>
    <cfRule type="containsText" priority="2088" operator="containsText" dxfId="0" text="▼">
      <formula>NOT(ISERROR(SEARCH("▼",Z61)))</formula>
    </cfRule>
    <cfRule type="containsText" priority="2085" operator="containsText" dxfId="1" text="▲">
      <formula>NOT(ISERROR(SEARCH("▲",Z61)))</formula>
    </cfRule>
    <cfRule type="containsText" priority="2086" operator="containsText" dxfId="0" text="▼">
      <formula>NOT(ISERROR(SEARCH("▼",Z61)))</formula>
    </cfRule>
    <cfRule type="containsText" priority="2083" operator="containsText" dxfId="1" text="▲">
      <formula>NOT(ISERROR(SEARCH("▲",Z61)))</formula>
    </cfRule>
    <cfRule type="containsText" priority="2084" operator="containsText" dxfId="0" text="▼">
      <formula>NOT(ISERROR(SEARCH("▼",Z61)))</formula>
    </cfRule>
    <cfRule type="containsText" priority="2081" operator="containsText" dxfId="1" text="▲">
      <formula>NOT(ISERROR(SEARCH("▲",Z61)))</formula>
    </cfRule>
    <cfRule type="containsText" priority="2082" operator="containsText" dxfId="0" text="▼">
      <formula>NOT(ISERROR(SEARCH("▼",Z61)))</formula>
    </cfRule>
    <cfRule type="containsText" priority="2079" operator="containsText" dxfId="1" text="▲">
      <formula>NOT(ISERROR(SEARCH("▲",Z61)))</formula>
    </cfRule>
    <cfRule type="containsText" priority="2080" operator="containsText" dxfId="0" text="▼">
      <formula>NOT(ISERROR(SEARCH("▼",Z61)))</formula>
    </cfRule>
    <cfRule type="containsText" priority="2077" operator="containsText" dxfId="1" text="▲">
      <formula>NOT(ISERROR(SEARCH("▲",Z61)))</formula>
    </cfRule>
    <cfRule type="containsText" priority="2078" operator="containsText" dxfId="0" text="▼">
      <formula>NOT(ISERROR(SEARCH("▼",Z61)))</formula>
    </cfRule>
    <cfRule type="containsText" priority="2075" operator="containsText" dxfId="1" text="▲">
      <formula>NOT(ISERROR(SEARCH("▲",Z61)))</formula>
    </cfRule>
    <cfRule type="containsText" priority="2076" operator="containsText" dxfId="0" text="▼">
      <formula>NOT(ISERROR(SEARCH("▼",Z61)))</formula>
    </cfRule>
    <cfRule type="containsText" priority="2073" operator="containsText" dxfId="1" text="▲">
      <formula>NOT(ISERROR(SEARCH("▲",Z61)))</formula>
    </cfRule>
    <cfRule type="containsText" priority="2074" operator="containsText" dxfId="0" text="▼">
      <formula>NOT(ISERROR(SEARCH("▼",Z61)))</formula>
    </cfRule>
    <cfRule type="containsText" priority="2071" operator="containsText" dxfId="1" text="▲">
      <formula>NOT(ISERROR(SEARCH("▲",Z61)))</formula>
    </cfRule>
    <cfRule type="containsText" priority="2072" operator="containsText" dxfId="0" text="▼">
      <formula>NOT(ISERROR(SEARCH("▼",Z61)))</formula>
    </cfRule>
    <cfRule type="containsText" priority="2069" operator="containsText" dxfId="1" text="▲">
      <formula>NOT(ISERROR(SEARCH("▲",Z61)))</formula>
    </cfRule>
    <cfRule type="containsText" priority="2070" operator="containsText" dxfId="0" text="▼">
      <formula>NOT(ISERROR(SEARCH("▼",Z61)))</formula>
    </cfRule>
    <cfRule type="containsText" priority="2067" operator="containsText" dxfId="1" text="▲">
      <formula>NOT(ISERROR(SEARCH("▲",Z61)))</formula>
    </cfRule>
    <cfRule type="containsText" priority="2068" operator="containsText" dxfId="0" text="▼">
      <formula>NOT(ISERROR(SEARCH("▼",Z61)))</formula>
    </cfRule>
    <cfRule type="containsText" priority="2065" operator="containsText" dxfId="1" text="▲">
      <formula>NOT(ISERROR(SEARCH("▲",Z61)))</formula>
    </cfRule>
    <cfRule type="containsText" priority="2066" operator="containsText" dxfId="0" text="▼">
      <formula>NOT(ISERROR(SEARCH("▼",Z61)))</formula>
    </cfRule>
    <cfRule type="containsText" priority="2063" operator="containsText" dxfId="1" text="▲">
      <formula>NOT(ISERROR(SEARCH("▲",Z61)))</formula>
    </cfRule>
    <cfRule type="containsText" priority="2064" operator="containsText" dxfId="0" text="▼">
      <formula>NOT(ISERROR(SEARCH("▼",Z61)))</formula>
    </cfRule>
    <cfRule type="containsText" priority="2061" operator="containsText" dxfId="1" text="▲">
      <formula>NOT(ISERROR(SEARCH("▲",Z61)))</formula>
    </cfRule>
    <cfRule type="containsText" priority="2062" operator="containsText" dxfId="0" text="▼">
      <formula>NOT(ISERROR(SEARCH("▼",Z61)))</formula>
    </cfRule>
    <cfRule type="containsText" priority="2059" operator="containsText" dxfId="1" text="△">
      <formula>NOT(ISERROR(SEARCH("△",Z61)))</formula>
    </cfRule>
    <cfRule type="containsText" priority="2060" operator="containsText" dxfId="0" text="▽">
      <formula>NOT(ISERROR(SEARCH("▽",Z61)))</formula>
    </cfRule>
    <cfRule type="containsText" priority="2057" operator="containsText" dxfId="1" text="▲">
      <formula>NOT(ISERROR(SEARCH("▲",Z61)))</formula>
    </cfRule>
    <cfRule type="containsText" priority="2058" operator="containsText" dxfId="0" text="▼">
      <formula>NOT(ISERROR(SEARCH("▼",Z61)))</formula>
    </cfRule>
    <cfRule type="containsText" priority="2055" operator="containsText" dxfId="1" text="▲">
      <formula>NOT(ISERROR(SEARCH("▲",Z61)))</formula>
    </cfRule>
    <cfRule type="containsText" priority="2056" operator="containsText" dxfId="0" text="▼">
      <formula>NOT(ISERROR(SEARCH("▼",Z61)))</formula>
    </cfRule>
    <cfRule type="containsText" priority="2053" operator="containsText" dxfId="1" text="▲">
      <formula>NOT(ISERROR(SEARCH("▲",Z61)))</formula>
    </cfRule>
    <cfRule type="containsText" priority="2054" operator="containsText" dxfId="0" text="▼">
      <formula>NOT(ISERROR(SEARCH("▼",Z61)))</formula>
    </cfRule>
    <cfRule type="containsText" priority="2051" operator="containsText" dxfId="1" text="▲">
      <formula>NOT(ISERROR(SEARCH("▲",Z61)))</formula>
    </cfRule>
    <cfRule type="containsText" priority="2052" operator="containsText" dxfId="0" text="▼">
      <formula>NOT(ISERROR(SEARCH("▼",Z61)))</formula>
    </cfRule>
    <cfRule type="containsText" priority="2049" operator="containsText" dxfId="1" text="▲">
      <formula>NOT(ISERROR(SEARCH("▲",Z61)))</formula>
    </cfRule>
    <cfRule type="containsText" priority="2050" operator="containsText" dxfId="0" text="▼">
      <formula>NOT(ISERROR(SEARCH("▼",Z61)))</formula>
    </cfRule>
    <cfRule type="containsText" priority="2047" operator="containsText" dxfId="1" text="▲">
      <formula>NOT(ISERROR(SEARCH("▲",Z61)))</formula>
    </cfRule>
    <cfRule type="containsText" priority="2048" operator="containsText" dxfId="0" text="▼">
      <formula>NOT(ISERROR(SEARCH("▼",Z61)))</formula>
    </cfRule>
    <cfRule type="containsText" priority="2045" operator="containsText" dxfId="1" text="▲">
      <formula>NOT(ISERROR(SEARCH("▲",Z61)))</formula>
    </cfRule>
    <cfRule type="containsText" priority="2046" operator="containsText" dxfId="0" text="▼">
      <formula>NOT(ISERROR(SEARCH("▼",Z61)))</formula>
    </cfRule>
    <cfRule type="containsText" priority="2043" operator="containsText" dxfId="1" text="▲">
      <formula>NOT(ISERROR(SEARCH("▲",Z61)))</formula>
    </cfRule>
    <cfRule type="containsText" priority="2044" operator="containsText" dxfId="0" text="▼">
      <formula>NOT(ISERROR(SEARCH("▼",Z61)))</formula>
    </cfRule>
    <cfRule type="containsText" priority="2041" operator="containsText" dxfId="1" text="▲">
      <formula>NOT(ISERROR(SEARCH("▲",Z61)))</formula>
    </cfRule>
    <cfRule type="containsText" priority="2042" operator="containsText" dxfId="0" text="▼">
      <formula>NOT(ISERROR(SEARCH("▼",Z61)))</formula>
    </cfRule>
    <cfRule type="containsText" priority="2039" operator="containsText" dxfId="1" text="▲">
      <formula>NOT(ISERROR(SEARCH("▲",Z61)))</formula>
    </cfRule>
    <cfRule type="containsText" priority="2040" operator="containsText" dxfId="0" text="▼">
      <formula>NOT(ISERROR(SEARCH("▼",Z61)))</formula>
    </cfRule>
    <cfRule type="containsText" priority="2037" operator="containsText" dxfId="1" text="▲">
      <formula>NOT(ISERROR(SEARCH("▲",Z61)))</formula>
    </cfRule>
    <cfRule type="containsText" priority="2038" operator="containsText" dxfId="0" text="▼">
      <formula>NOT(ISERROR(SEARCH("▼",Z61)))</formula>
    </cfRule>
    <cfRule type="containsText" priority="2035" operator="containsText" dxfId="1" text="▲">
      <formula>NOT(ISERROR(SEARCH("▲",Z61)))</formula>
    </cfRule>
    <cfRule type="containsText" priority="2036" operator="containsText" dxfId="0" text="▼">
      <formula>NOT(ISERROR(SEARCH("▼",Z61)))</formula>
    </cfRule>
    <cfRule type="containsText" priority="2033" operator="containsText" dxfId="1" text="▲">
      <formula>NOT(ISERROR(SEARCH("▲",Z61)))</formula>
    </cfRule>
    <cfRule type="containsText" priority="2034" operator="containsText" dxfId="0" text="▼">
      <formula>NOT(ISERROR(SEARCH("▼",Z61)))</formula>
    </cfRule>
    <cfRule type="containsText" priority="2031" operator="containsText" dxfId="1" text="▲">
      <formula>NOT(ISERROR(SEARCH("▲",Z61)))</formula>
    </cfRule>
    <cfRule type="containsText" priority="2032" operator="containsText" dxfId="0" text="▼">
      <formula>NOT(ISERROR(SEARCH("▼",Z61)))</formula>
    </cfRule>
    <cfRule type="containsText" priority="2029" operator="containsText" dxfId="1" text="▲">
      <formula>NOT(ISERROR(SEARCH("▲",Z61)))</formula>
    </cfRule>
    <cfRule type="containsText" priority="2030" operator="containsText" dxfId="0" text="▼">
      <formula>NOT(ISERROR(SEARCH("▼",Z61)))</formula>
    </cfRule>
    <cfRule type="containsText" priority="2027" operator="containsText" dxfId="1" text="▲">
      <formula>NOT(ISERROR(SEARCH("▲",Z61)))</formula>
    </cfRule>
    <cfRule type="containsText" priority="2028" operator="containsText" dxfId="0" text="▼">
      <formula>NOT(ISERROR(SEARCH("▼",Z61)))</formula>
    </cfRule>
    <cfRule type="containsText" priority="2025" operator="containsText" dxfId="1" text="▲">
      <formula>NOT(ISERROR(SEARCH("▲",Z61)))</formula>
    </cfRule>
    <cfRule type="containsText" priority="2026" operator="containsText" dxfId="0" text="▼">
      <formula>NOT(ISERROR(SEARCH("▼",Z61)))</formula>
    </cfRule>
    <cfRule type="containsText" priority="2023" operator="containsText" dxfId="1" text="▲">
      <formula>NOT(ISERROR(SEARCH("▲",Z61)))</formula>
    </cfRule>
    <cfRule type="containsText" priority="2024" operator="containsText" dxfId="0" text="▼">
      <formula>NOT(ISERROR(SEARCH("▼",Z61)))</formula>
    </cfRule>
    <cfRule type="containsText" priority="2021" operator="containsText" dxfId="1" text="▲">
      <formula>NOT(ISERROR(SEARCH("▲",Z61)))</formula>
    </cfRule>
    <cfRule type="containsText" priority="2022" operator="containsText" dxfId="0" text="▼">
      <formula>NOT(ISERROR(SEARCH("▼",Z61)))</formula>
    </cfRule>
    <cfRule type="containsText" priority="2019" operator="containsText" dxfId="1" text="▲">
      <formula>NOT(ISERROR(SEARCH("▲",Z61)))</formula>
    </cfRule>
    <cfRule type="containsText" priority="2020" operator="containsText" dxfId="0" text="▼">
      <formula>NOT(ISERROR(SEARCH("▼",Z61)))</formula>
    </cfRule>
    <cfRule type="containsText" priority="2017" operator="containsText" dxfId="1" text="▲">
      <formula>NOT(ISERROR(SEARCH("▲",Z61)))</formula>
    </cfRule>
    <cfRule type="containsText" priority="2018" operator="containsText" dxfId="0" text="▼">
      <formula>NOT(ISERROR(SEARCH("▼",Z61)))</formula>
    </cfRule>
    <cfRule type="containsText" priority="2015" operator="containsText" dxfId="1" text="▲">
      <formula>NOT(ISERROR(SEARCH("▲",Z61)))</formula>
    </cfRule>
    <cfRule type="containsText" priority="2016" operator="containsText" dxfId="0" text="▼">
      <formula>NOT(ISERROR(SEARCH("▼",Z61)))</formula>
    </cfRule>
    <cfRule type="containsText" priority="2013" operator="containsText" dxfId="1" text="▲">
      <formula>NOT(ISERROR(SEARCH("▲",Z61)))</formula>
    </cfRule>
    <cfRule type="containsText" priority="2014" operator="containsText" dxfId="0" text="▼">
      <formula>NOT(ISERROR(SEARCH("▼",Z61)))</formula>
    </cfRule>
    <cfRule type="containsText" priority="2011" operator="containsText" dxfId="1" text="▲">
      <formula>NOT(ISERROR(SEARCH("▲",Z61)))</formula>
    </cfRule>
    <cfRule type="containsText" priority="2012" operator="containsText" dxfId="0" text="▼">
      <formula>NOT(ISERROR(SEARCH("▼",Z61)))</formula>
    </cfRule>
  </conditionalFormatting>
  <conditionalFormatting sqref="Z93:AA93 Z95:AA95">
    <cfRule type="containsText" priority="2005" operator="containsText" dxfId="1" text="△">
      <formula>NOT(ISERROR(SEARCH("△",Z93)))</formula>
    </cfRule>
    <cfRule type="containsText" priority="2006" operator="containsText" dxfId="0" text="▽">
      <formula>NOT(ISERROR(SEARCH("▽",Z93)))</formula>
    </cfRule>
    <cfRule type="containsText" priority="2003" operator="containsText" dxfId="1" text="▲">
      <formula>NOT(ISERROR(SEARCH("▲",Z93)))</formula>
    </cfRule>
    <cfRule type="containsText" priority="2004" operator="containsText" dxfId="0" text="▼">
      <formula>NOT(ISERROR(SEARCH("▼",Z93)))</formula>
    </cfRule>
    <cfRule type="containsText" priority="2001" operator="containsText" dxfId="1" text="▲">
      <formula>NOT(ISERROR(SEARCH("▲",Z93)))</formula>
    </cfRule>
    <cfRule type="containsText" priority="2002" operator="containsText" dxfId="0" text="▼">
      <formula>NOT(ISERROR(SEARCH("▼",Z93)))</formula>
    </cfRule>
    <cfRule type="containsText" priority="1999" operator="containsText" dxfId="1" text="▲">
      <formula>NOT(ISERROR(SEARCH("▲",Z93)))</formula>
    </cfRule>
    <cfRule type="containsText" priority="2000" operator="containsText" dxfId="0" text="▼">
      <formula>NOT(ISERROR(SEARCH("▼",Z93)))</formula>
    </cfRule>
    <cfRule type="containsText" priority="1997" operator="containsText" dxfId="1" text="▲">
      <formula>NOT(ISERROR(SEARCH("▲",Z93)))</formula>
    </cfRule>
    <cfRule type="containsText" priority="1998" operator="containsText" dxfId="0" text="▼">
      <formula>NOT(ISERROR(SEARCH("▼",Z93)))</formula>
    </cfRule>
    <cfRule type="containsText" priority="1995" operator="containsText" dxfId="1" text="▲">
      <formula>NOT(ISERROR(SEARCH("▲",Z93)))</formula>
    </cfRule>
    <cfRule type="containsText" priority="1996" operator="containsText" dxfId="0" text="▼">
      <formula>NOT(ISERROR(SEARCH("▼",Z93)))</formula>
    </cfRule>
    <cfRule type="containsText" priority="1993" operator="containsText" dxfId="1" text="▲">
      <formula>NOT(ISERROR(SEARCH("▲",Z93)))</formula>
    </cfRule>
    <cfRule type="containsText" priority="1994" operator="containsText" dxfId="0" text="▼">
      <formula>NOT(ISERROR(SEARCH("▼",Z93)))</formula>
    </cfRule>
    <cfRule type="containsText" priority="1991" operator="containsText" dxfId="1" text="▲">
      <formula>NOT(ISERROR(SEARCH("▲",Z93)))</formula>
    </cfRule>
    <cfRule type="containsText" priority="1992" operator="containsText" dxfId="0" text="▼">
      <formula>NOT(ISERROR(SEARCH("▼",Z93)))</formula>
    </cfRule>
    <cfRule type="containsText" priority="1989" operator="containsText" dxfId="1" text="▲">
      <formula>NOT(ISERROR(SEARCH("▲",Z93)))</formula>
    </cfRule>
    <cfRule type="containsText" priority="1990" operator="containsText" dxfId="0" text="▼">
      <formula>NOT(ISERROR(SEARCH("▼",Z93)))</formula>
    </cfRule>
    <cfRule type="containsText" priority="1987" operator="containsText" dxfId="1" text="▲">
      <formula>NOT(ISERROR(SEARCH("▲",Z93)))</formula>
    </cfRule>
    <cfRule type="containsText" priority="1988" operator="containsText" dxfId="0" text="▼">
      <formula>NOT(ISERROR(SEARCH("▼",Z93)))</formula>
    </cfRule>
    <cfRule type="containsText" priority="1985" operator="containsText" dxfId="1" text="▲">
      <formula>NOT(ISERROR(SEARCH("▲",Z93)))</formula>
    </cfRule>
    <cfRule type="containsText" priority="1986" operator="containsText" dxfId="0" text="▼">
      <formula>NOT(ISERROR(SEARCH("▼",Z93)))</formula>
    </cfRule>
    <cfRule type="containsText" priority="1983" operator="containsText" dxfId="1" text="▲">
      <formula>NOT(ISERROR(SEARCH("▲",Z93)))</formula>
    </cfRule>
    <cfRule type="containsText" priority="1984" operator="containsText" dxfId="0" text="▼">
      <formula>NOT(ISERROR(SEARCH("▼",Z93)))</formula>
    </cfRule>
    <cfRule type="containsText" priority="1981" operator="containsText" dxfId="1" text="▲">
      <formula>NOT(ISERROR(SEARCH("▲",Z93)))</formula>
    </cfRule>
    <cfRule type="containsText" priority="1982" operator="containsText" dxfId="0" text="▼">
      <formula>NOT(ISERROR(SEARCH("▼",Z93)))</formula>
    </cfRule>
    <cfRule type="containsText" priority="1979" operator="containsText" dxfId="1" text="▲">
      <formula>NOT(ISERROR(SEARCH("▲",Z93)))</formula>
    </cfRule>
    <cfRule type="containsText" priority="1980" operator="containsText" dxfId="0" text="▼">
      <formula>NOT(ISERROR(SEARCH("▼",Z93)))</formula>
    </cfRule>
    <cfRule type="containsText" priority="1977" operator="containsText" dxfId="1" text="▲">
      <formula>NOT(ISERROR(SEARCH("▲",Z93)))</formula>
    </cfRule>
    <cfRule type="containsText" priority="1978" operator="containsText" dxfId="0" text="▼">
      <formula>NOT(ISERROR(SEARCH("▼",Z93)))</formula>
    </cfRule>
    <cfRule type="containsText" priority="1975" operator="containsText" dxfId="1" text="▲">
      <formula>NOT(ISERROR(SEARCH("▲",Z93)))</formula>
    </cfRule>
    <cfRule type="containsText" priority="1976" operator="containsText" dxfId="0" text="▼">
      <formula>NOT(ISERROR(SEARCH("▼",Z93)))</formula>
    </cfRule>
    <cfRule type="containsText" priority="1973" operator="containsText" dxfId="1" text="▲">
      <formula>NOT(ISERROR(SEARCH("▲",Z93)))</formula>
    </cfRule>
    <cfRule type="containsText" priority="1974" operator="containsText" dxfId="0" text="▼">
      <formula>NOT(ISERROR(SEARCH("▼",Z93)))</formula>
    </cfRule>
    <cfRule type="containsText" priority="1971" operator="containsText" dxfId="1" text="▲">
      <formula>NOT(ISERROR(SEARCH("▲",Z93)))</formula>
    </cfRule>
    <cfRule type="containsText" priority="1972" operator="containsText" dxfId="0" text="▼">
      <formula>NOT(ISERROR(SEARCH("▼",Z93)))</formula>
    </cfRule>
    <cfRule type="containsText" priority="1969" operator="containsText" dxfId="1" text="▲">
      <formula>NOT(ISERROR(SEARCH("▲",Z93)))</formula>
    </cfRule>
    <cfRule type="containsText" priority="1970" operator="containsText" dxfId="0" text="▼">
      <formula>NOT(ISERROR(SEARCH("▼",Z93)))</formula>
    </cfRule>
    <cfRule type="containsText" priority="1967" operator="containsText" dxfId="1" text="▲">
      <formula>NOT(ISERROR(SEARCH("▲",Z93)))</formula>
    </cfRule>
    <cfRule type="containsText" priority="1968" operator="containsText" dxfId="0" text="▼">
      <formula>NOT(ISERROR(SEARCH("▼",Z93)))</formula>
    </cfRule>
    <cfRule type="containsText" priority="1965" operator="containsText" dxfId="1" text="▲">
      <formula>NOT(ISERROR(SEARCH("▲",Z93)))</formula>
    </cfRule>
    <cfRule type="containsText" priority="1966" operator="containsText" dxfId="0" text="▼">
      <formula>NOT(ISERROR(SEARCH("▼",Z93)))</formula>
    </cfRule>
    <cfRule type="containsText" priority="1963" operator="containsText" dxfId="1" text="▲">
      <formula>NOT(ISERROR(SEARCH("▲",Z93)))</formula>
    </cfRule>
    <cfRule type="containsText" priority="1964" operator="containsText" dxfId="0" text="▼">
      <formula>NOT(ISERROR(SEARCH("▼",Z93)))</formula>
    </cfRule>
    <cfRule type="containsText" priority="1961" operator="containsText" dxfId="1" text="▲">
      <formula>NOT(ISERROR(SEARCH("▲",Z93)))</formula>
    </cfRule>
    <cfRule type="containsText" priority="1962" operator="containsText" dxfId="0" text="▼">
      <formula>NOT(ISERROR(SEARCH("▼",Z93)))</formula>
    </cfRule>
    <cfRule type="containsText" priority="1959" operator="containsText" dxfId="1" text="▲">
      <formula>NOT(ISERROR(SEARCH("▲",Z93)))</formula>
    </cfRule>
    <cfRule type="containsText" priority="1960" operator="containsText" dxfId="0" text="▼">
      <formula>NOT(ISERROR(SEARCH("▼",Z93)))</formula>
    </cfRule>
    <cfRule type="containsText" priority="1957" operator="containsText" dxfId="1" text="▲">
      <formula>NOT(ISERROR(SEARCH("▲",Z93)))</formula>
    </cfRule>
    <cfRule type="containsText" priority="1958" operator="containsText" dxfId="0" text="▼">
      <formula>NOT(ISERROR(SEARCH("▼",Z93)))</formula>
    </cfRule>
  </conditionalFormatting>
  <conditionalFormatting sqref="Z94:AA94">
    <cfRule type="containsText" priority="1955" operator="containsText" dxfId="1" text="△">
      <formula>NOT(ISERROR(SEARCH("△",Z94)))</formula>
    </cfRule>
    <cfRule type="containsText" priority="1956" operator="containsText" dxfId="0" text="▽">
      <formula>NOT(ISERROR(SEARCH("▽",Z94)))</formula>
    </cfRule>
    <cfRule type="containsText" priority="1953" operator="containsText" dxfId="1" text="▲">
      <formula>NOT(ISERROR(SEARCH("▲",Z94)))</formula>
    </cfRule>
    <cfRule type="containsText" priority="1954" operator="containsText" dxfId="0" text="▼">
      <formula>NOT(ISERROR(SEARCH("▼",Z94)))</formula>
    </cfRule>
    <cfRule type="containsText" priority="1951" operator="containsText" dxfId="1" text="▲">
      <formula>NOT(ISERROR(SEARCH("▲",Z94)))</formula>
    </cfRule>
    <cfRule type="containsText" priority="1952" operator="containsText" dxfId="0" text="▼">
      <formula>NOT(ISERROR(SEARCH("▼",Z94)))</formula>
    </cfRule>
    <cfRule type="containsText" priority="1949" operator="containsText" dxfId="1" text="▲">
      <formula>NOT(ISERROR(SEARCH("▲",Z94)))</formula>
    </cfRule>
    <cfRule type="containsText" priority="1950" operator="containsText" dxfId="0" text="▼">
      <formula>NOT(ISERROR(SEARCH("▼",Z94)))</formula>
    </cfRule>
    <cfRule type="containsText" priority="1947" operator="containsText" dxfId="1" text="▲">
      <formula>NOT(ISERROR(SEARCH("▲",Z94)))</formula>
    </cfRule>
    <cfRule type="containsText" priority="1948" operator="containsText" dxfId="0" text="▼">
      <formula>NOT(ISERROR(SEARCH("▼",Z94)))</formula>
    </cfRule>
    <cfRule type="containsText" priority="1945" operator="containsText" dxfId="1" text="▲">
      <formula>NOT(ISERROR(SEARCH("▲",Z94)))</formula>
    </cfRule>
    <cfRule type="containsText" priority="1946" operator="containsText" dxfId="0" text="▼">
      <formula>NOT(ISERROR(SEARCH("▼",Z94)))</formula>
    </cfRule>
    <cfRule type="containsText" priority="1943" operator="containsText" dxfId="1" text="▲">
      <formula>NOT(ISERROR(SEARCH("▲",Z94)))</formula>
    </cfRule>
    <cfRule type="containsText" priority="1944" operator="containsText" dxfId="0" text="▼">
      <formula>NOT(ISERROR(SEARCH("▼",Z94)))</formula>
    </cfRule>
    <cfRule type="containsText" priority="1941" operator="containsText" dxfId="1" text="▲">
      <formula>NOT(ISERROR(SEARCH("▲",Z94)))</formula>
    </cfRule>
    <cfRule type="containsText" priority="1942" operator="containsText" dxfId="0" text="▼">
      <formula>NOT(ISERROR(SEARCH("▼",Z94)))</formula>
    </cfRule>
    <cfRule type="containsText" priority="1939" operator="containsText" dxfId="1" text="▲">
      <formula>NOT(ISERROR(SEARCH("▲",Z94)))</formula>
    </cfRule>
    <cfRule type="containsText" priority="1940" operator="containsText" dxfId="0" text="▼">
      <formula>NOT(ISERROR(SEARCH("▼",Z94)))</formula>
    </cfRule>
    <cfRule type="containsText" priority="1937" operator="containsText" dxfId="1" text="▲">
      <formula>NOT(ISERROR(SEARCH("▲",Z94)))</formula>
    </cfRule>
    <cfRule type="containsText" priority="1938" operator="containsText" dxfId="0" text="▼">
      <formula>NOT(ISERROR(SEARCH("▼",Z94)))</formula>
    </cfRule>
    <cfRule type="containsText" priority="1935" operator="containsText" dxfId="1" text="▲">
      <formula>NOT(ISERROR(SEARCH("▲",Z94)))</formula>
    </cfRule>
    <cfRule type="containsText" priority="1936" operator="containsText" dxfId="0" text="▼">
      <formula>NOT(ISERROR(SEARCH("▼",Z94)))</formula>
    </cfRule>
    <cfRule type="containsText" priority="1933" operator="containsText" dxfId="1" text="▲">
      <formula>NOT(ISERROR(SEARCH("▲",Z94)))</formula>
    </cfRule>
    <cfRule type="containsText" priority="1934" operator="containsText" dxfId="0" text="▼">
      <formula>NOT(ISERROR(SEARCH("▼",Z94)))</formula>
    </cfRule>
    <cfRule type="containsText" priority="1931" operator="containsText" dxfId="1" text="▲">
      <formula>NOT(ISERROR(SEARCH("▲",Z94)))</formula>
    </cfRule>
    <cfRule type="containsText" priority="1932" operator="containsText" dxfId="0" text="▼">
      <formula>NOT(ISERROR(SEARCH("▼",Z94)))</formula>
    </cfRule>
    <cfRule type="containsText" priority="1929" operator="containsText" dxfId="1" text="▲">
      <formula>NOT(ISERROR(SEARCH("▲",Z94)))</formula>
    </cfRule>
    <cfRule type="containsText" priority="1930" operator="containsText" dxfId="0" text="▼">
      <formula>NOT(ISERROR(SEARCH("▼",Z94)))</formula>
    </cfRule>
    <cfRule type="containsText" priority="1927" operator="containsText" dxfId="1" text="▲">
      <formula>NOT(ISERROR(SEARCH("▲",Z94)))</formula>
    </cfRule>
    <cfRule type="containsText" priority="1928" operator="containsText" dxfId="0" text="▼">
      <formula>NOT(ISERROR(SEARCH("▼",Z94)))</formula>
    </cfRule>
    <cfRule type="containsText" priority="1925" operator="containsText" dxfId="1" text="▲">
      <formula>NOT(ISERROR(SEARCH("▲",Z94)))</formula>
    </cfRule>
    <cfRule type="containsText" priority="1926" operator="containsText" dxfId="0" text="▼">
      <formula>NOT(ISERROR(SEARCH("▼",Z94)))</formula>
    </cfRule>
    <cfRule type="containsText" priority="1923" operator="containsText" dxfId="1" text="▲">
      <formula>NOT(ISERROR(SEARCH("▲",Z94)))</formula>
    </cfRule>
    <cfRule type="containsText" priority="1924" operator="containsText" dxfId="0" text="▼">
      <formula>NOT(ISERROR(SEARCH("▼",Z94)))</formula>
    </cfRule>
    <cfRule type="containsText" priority="1921" operator="containsText" dxfId="1" text="▲">
      <formula>NOT(ISERROR(SEARCH("▲",Z94)))</formula>
    </cfRule>
    <cfRule type="containsText" priority="1922" operator="containsText" dxfId="0" text="▼">
      <formula>NOT(ISERROR(SEARCH("▼",Z94)))</formula>
    </cfRule>
    <cfRule type="containsText" priority="1919" operator="containsText" dxfId="1" text="▲">
      <formula>NOT(ISERROR(SEARCH("▲",Z94)))</formula>
    </cfRule>
    <cfRule type="containsText" priority="1920" operator="containsText" dxfId="0" text="▼">
      <formula>NOT(ISERROR(SEARCH("▼",Z94)))</formula>
    </cfRule>
    <cfRule type="containsText" priority="1917" operator="containsText" dxfId="1" text="▲">
      <formula>NOT(ISERROR(SEARCH("▲",Z94)))</formula>
    </cfRule>
    <cfRule type="containsText" priority="1918" operator="containsText" dxfId="0" text="▼">
      <formula>NOT(ISERROR(SEARCH("▼",Z94)))</formula>
    </cfRule>
    <cfRule type="containsText" priority="1915" operator="containsText" dxfId="1" text="▲">
      <formula>NOT(ISERROR(SEARCH("▲",Z94)))</formula>
    </cfRule>
    <cfRule type="containsText" priority="1916" operator="containsText" dxfId="0" text="▼">
      <formula>NOT(ISERROR(SEARCH("▼",Z94)))</formula>
    </cfRule>
    <cfRule type="containsText" priority="1913" operator="containsText" dxfId="1" text="▲">
      <formula>NOT(ISERROR(SEARCH("▲",Z94)))</formula>
    </cfRule>
    <cfRule type="containsText" priority="1914" operator="containsText" dxfId="0" text="▼">
      <formula>NOT(ISERROR(SEARCH("▼",Z94)))</formula>
    </cfRule>
    <cfRule type="containsText" priority="1911" operator="containsText" dxfId="1" text="▲">
      <formula>NOT(ISERROR(SEARCH("▲",Z94)))</formula>
    </cfRule>
    <cfRule type="containsText" priority="1912" operator="containsText" dxfId="0" text="▼">
      <formula>NOT(ISERROR(SEARCH("▼",Z94)))</formula>
    </cfRule>
    <cfRule type="containsText" priority="1909" operator="containsText" dxfId="1" text="▲">
      <formula>NOT(ISERROR(SEARCH("▲",Z94)))</formula>
    </cfRule>
    <cfRule type="containsText" priority="1910" operator="containsText" dxfId="0" text="▼">
      <formula>NOT(ISERROR(SEARCH("▼",Z94)))</formula>
    </cfRule>
    <cfRule type="containsText" priority="1907" operator="containsText" dxfId="1" text="▲">
      <formula>NOT(ISERROR(SEARCH("▲",Z94)))</formula>
    </cfRule>
    <cfRule type="containsText" priority="1908" operator="containsText" dxfId="0" text="▼">
      <formula>NOT(ISERROR(SEARCH("▼",Z94)))</formula>
    </cfRule>
  </conditionalFormatting>
  <conditionalFormatting sqref="AA62">
    <cfRule type="containsText" priority="1905" operator="containsText" dxfId="1" text="△">
      <formula>NOT(ISERROR(SEARCH("△",AA62)))</formula>
    </cfRule>
    <cfRule type="containsText" priority="1906" operator="containsText" dxfId="0" text="▽">
      <formula>NOT(ISERROR(SEARCH("▽",AA62)))</formula>
    </cfRule>
    <cfRule type="containsText" priority="1903" operator="containsText" dxfId="1" text="▲">
      <formula>NOT(ISERROR(SEARCH("▲",AA62)))</formula>
    </cfRule>
    <cfRule type="containsText" priority="1904" operator="containsText" dxfId="0" text="▼">
      <formula>NOT(ISERROR(SEARCH("▼",AA62)))</formula>
    </cfRule>
    <cfRule type="containsText" priority="1901" operator="containsText" dxfId="1" text="▲">
      <formula>NOT(ISERROR(SEARCH("▲",AA62)))</formula>
    </cfRule>
    <cfRule type="containsText" priority="1902" operator="containsText" dxfId="0" text="▼">
      <formula>NOT(ISERROR(SEARCH("▼",AA62)))</formula>
    </cfRule>
    <cfRule type="containsText" priority="1899" operator="containsText" dxfId="1" text="▲">
      <formula>NOT(ISERROR(SEARCH("▲",AA62)))</formula>
    </cfRule>
    <cfRule type="containsText" priority="1900" operator="containsText" dxfId="0" text="▼">
      <formula>NOT(ISERROR(SEARCH("▼",AA62)))</formula>
    </cfRule>
    <cfRule type="containsText" priority="1897" operator="containsText" dxfId="1" text="▲">
      <formula>NOT(ISERROR(SEARCH("▲",AA62)))</formula>
    </cfRule>
    <cfRule type="containsText" priority="1898" operator="containsText" dxfId="0" text="▼">
      <formula>NOT(ISERROR(SEARCH("▼",AA62)))</formula>
    </cfRule>
    <cfRule type="containsText" priority="1895" operator="containsText" dxfId="1" text="▲">
      <formula>NOT(ISERROR(SEARCH("▲",AA62)))</formula>
    </cfRule>
    <cfRule type="containsText" priority="1896" operator="containsText" dxfId="0" text="▼">
      <formula>NOT(ISERROR(SEARCH("▼",AA62)))</formula>
    </cfRule>
    <cfRule type="containsText" priority="1893" operator="containsText" dxfId="1" text="▲">
      <formula>NOT(ISERROR(SEARCH("▲",AA62)))</formula>
    </cfRule>
    <cfRule type="containsText" priority="1894" operator="containsText" dxfId="0" text="▼">
      <formula>NOT(ISERROR(SEARCH("▼",AA62)))</formula>
    </cfRule>
    <cfRule type="containsText" priority="1891" operator="containsText" dxfId="1" text="▲">
      <formula>NOT(ISERROR(SEARCH("▲",AA62)))</formula>
    </cfRule>
    <cfRule type="containsText" priority="1892" operator="containsText" dxfId="0" text="▼">
      <formula>NOT(ISERROR(SEARCH("▼",AA62)))</formula>
    </cfRule>
    <cfRule type="containsText" priority="1889" operator="containsText" dxfId="1" text="▲">
      <formula>NOT(ISERROR(SEARCH("▲",AA62)))</formula>
    </cfRule>
    <cfRule type="containsText" priority="1890" operator="containsText" dxfId="0" text="▼">
      <formula>NOT(ISERROR(SEARCH("▼",AA62)))</formula>
    </cfRule>
    <cfRule type="containsText" priority="1887" operator="containsText" dxfId="1" text="▲">
      <formula>NOT(ISERROR(SEARCH("▲",AA62)))</formula>
    </cfRule>
    <cfRule type="containsText" priority="1888" operator="containsText" dxfId="0" text="▼">
      <formula>NOT(ISERROR(SEARCH("▼",AA62)))</formula>
    </cfRule>
    <cfRule type="containsText" priority="1885" operator="containsText" dxfId="1" text="▲">
      <formula>NOT(ISERROR(SEARCH("▲",AA62)))</formula>
    </cfRule>
    <cfRule type="containsText" priority="1886" operator="containsText" dxfId="0" text="▼">
      <formula>NOT(ISERROR(SEARCH("▼",AA62)))</formula>
    </cfRule>
    <cfRule type="containsText" priority="1883" operator="containsText" dxfId="1" text="▲">
      <formula>NOT(ISERROR(SEARCH("▲",AA62)))</formula>
    </cfRule>
    <cfRule type="containsText" priority="1884" operator="containsText" dxfId="0" text="▼">
      <formula>NOT(ISERROR(SEARCH("▼",AA62)))</formula>
    </cfRule>
    <cfRule type="containsText" priority="1881" operator="containsText" dxfId="1" text="▲">
      <formula>NOT(ISERROR(SEARCH("▲",AA62)))</formula>
    </cfRule>
    <cfRule type="containsText" priority="1882" operator="containsText" dxfId="0" text="▼">
      <formula>NOT(ISERROR(SEARCH("▼",AA62)))</formula>
    </cfRule>
    <cfRule type="containsText" priority="1879" operator="containsText" dxfId="1" text="▲">
      <formula>NOT(ISERROR(SEARCH("▲",AA62)))</formula>
    </cfRule>
    <cfRule type="containsText" priority="1880" operator="containsText" dxfId="0" text="▼">
      <formula>NOT(ISERROR(SEARCH("▼",AA62)))</formula>
    </cfRule>
    <cfRule type="containsText" priority="1877" operator="containsText" dxfId="1" text="▲">
      <formula>NOT(ISERROR(SEARCH("▲",AA62)))</formula>
    </cfRule>
    <cfRule type="containsText" priority="1878" operator="containsText" dxfId="0" text="▼">
      <formula>NOT(ISERROR(SEARCH("▼",AA62)))</formula>
    </cfRule>
    <cfRule type="containsText" priority="1875" operator="containsText" dxfId="1" text="▲">
      <formula>NOT(ISERROR(SEARCH("▲",AA62)))</formula>
    </cfRule>
    <cfRule type="containsText" priority="1876" operator="containsText" dxfId="0" text="▼">
      <formula>NOT(ISERROR(SEARCH("▼",AA62)))</formula>
    </cfRule>
    <cfRule type="containsText" priority="1873" operator="containsText" dxfId="1" text="▲">
      <formula>NOT(ISERROR(SEARCH("▲",AA62)))</formula>
    </cfRule>
    <cfRule type="containsText" priority="1874" operator="containsText" dxfId="0" text="▼">
      <formula>NOT(ISERROR(SEARCH("▼",AA62)))</formula>
    </cfRule>
    <cfRule type="containsText" priority="1871" operator="containsText" dxfId="1" text="▲">
      <formula>NOT(ISERROR(SEARCH("▲",AA62)))</formula>
    </cfRule>
    <cfRule type="containsText" priority="1872" operator="containsText" dxfId="0" text="▼">
      <formula>NOT(ISERROR(SEARCH("▼",AA62)))</formula>
    </cfRule>
    <cfRule type="containsText" priority="1869" operator="containsText" dxfId="1" text="▲">
      <formula>NOT(ISERROR(SEARCH("▲",AA62)))</formula>
    </cfRule>
    <cfRule type="containsText" priority="1870" operator="containsText" dxfId="0" text="▼">
      <formula>NOT(ISERROR(SEARCH("▼",AA62)))</formula>
    </cfRule>
    <cfRule type="containsText" priority="1867" operator="containsText" dxfId="1" text="▲">
      <formula>NOT(ISERROR(SEARCH("▲",AA62)))</formula>
    </cfRule>
    <cfRule type="containsText" priority="1868" operator="containsText" dxfId="0" text="▼">
      <formula>NOT(ISERROR(SEARCH("▼",AA62)))</formula>
    </cfRule>
    <cfRule type="containsText" priority="1865" operator="containsText" dxfId="1" text="▲">
      <formula>NOT(ISERROR(SEARCH("▲",AA62)))</formula>
    </cfRule>
    <cfRule type="containsText" priority="1866" operator="containsText" dxfId="0" text="▼">
      <formula>NOT(ISERROR(SEARCH("▼",AA62)))</formula>
    </cfRule>
    <cfRule type="containsText" priority="1863" operator="containsText" dxfId="1" text="▲">
      <formula>NOT(ISERROR(SEARCH("▲",AA62)))</formula>
    </cfRule>
    <cfRule type="containsText" priority="1864" operator="containsText" dxfId="0" text="▼">
      <formula>NOT(ISERROR(SEARCH("▼",AA62)))</formula>
    </cfRule>
    <cfRule type="containsText" priority="1861" operator="containsText" dxfId="1" text="▲">
      <formula>NOT(ISERROR(SEARCH("▲",AA62)))</formula>
    </cfRule>
    <cfRule type="containsText" priority="1862" operator="containsText" dxfId="0" text="▼">
      <formula>NOT(ISERROR(SEARCH("▼",AA62)))</formula>
    </cfRule>
    <cfRule type="containsText" priority="1859" operator="containsText" dxfId="1" text="▲">
      <formula>NOT(ISERROR(SEARCH("▲",AA62)))</formula>
    </cfRule>
    <cfRule type="containsText" priority="1860" operator="containsText" dxfId="0" text="▼">
      <formula>NOT(ISERROR(SEARCH("▼",AA62)))</formula>
    </cfRule>
    <cfRule type="containsText" priority="1857" operator="containsText" dxfId="1" text="▲">
      <formula>NOT(ISERROR(SEARCH("▲",AA62)))</formula>
    </cfRule>
    <cfRule type="containsText" priority="1858" operator="containsText" dxfId="0" text="▼">
      <formula>NOT(ISERROR(SEARCH("▼",AA62)))</formula>
    </cfRule>
  </conditionalFormatting>
  <conditionalFormatting sqref="AA63">
    <cfRule type="containsText" priority="1855" operator="containsText" dxfId="1" text="△">
      <formula>NOT(ISERROR(SEARCH("△",AA63)))</formula>
    </cfRule>
    <cfRule type="containsText" priority="1856" operator="containsText" dxfId="0" text="▽">
      <formula>NOT(ISERROR(SEARCH("▽",AA63)))</formula>
    </cfRule>
    <cfRule type="containsText" priority="1853" operator="containsText" dxfId="1" text="▲">
      <formula>NOT(ISERROR(SEARCH("▲",AA63)))</formula>
    </cfRule>
    <cfRule type="containsText" priority="1854" operator="containsText" dxfId="0" text="▼">
      <formula>NOT(ISERROR(SEARCH("▼",AA63)))</formula>
    </cfRule>
    <cfRule type="containsText" priority="1851" operator="containsText" dxfId="1" text="▲">
      <formula>NOT(ISERROR(SEARCH("▲",AA63)))</formula>
    </cfRule>
    <cfRule type="containsText" priority="1852" operator="containsText" dxfId="0" text="▼">
      <formula>NOT(ISERROR(SEARCH("▼",AA63)))</formula>
    </cfRule>
    <cfRule type="containsText" priority="1849" operator="containsText" dxfId="1" text="▲">
      <formula>NOT(ISERROR(SEARCH("▲",AA63)))</formula>
    </cfRule>
    <cfRule type="containsText" priority="1850" operator="containsText" dxfId="0" text="▼">
      <formula>NOT(ISERROR(SEARCH("▼",AA63)))</formula>
    </cfRule>
    <cfRule type="containsText" priority="1847" operator="containsText" dxfId="1" text="▲">
      <formula>NOT(ISERROR(SEARCH("▲",AA63)))</formula>
    </cfRule>
    <cfRule type="containsText" priority="1848" operator="containsText" dxfId="0" text="▼">
      <formula>NOT(ISERROR(SEARCH("▼",AA63)))</formula>
    </cfRule>
    <cfRule type="containsText" priority="1845" operator="containsText" dxfId="1" text="▲">
      <formula>NOT(ISERROR(SEARCH("▲",AA63)))</formula>
    </cfRule>
    <cfRule type="containsText" priority="1846" operator="containsText" dxfId="0" text="▼">
      <formula>NOT(ISERROR(SEARCH("▼",AA63)))</formula>
    </cfRule>
    <cfRule type="containsText" priority="1843" operator="containsText" dxfId="1" text="▲">
      <formula>NOT(ISERROR(SEARCH("▲",AA63)))</formula>
    </cfRule>
    <cfRule type="containsText" priority="1844" operator="containsText" dxfId="0" text="▼">
      <formula>NOT(ISERROR(SEARCH("▼",AA63)))</formula>
    </cfRule>
    <cfRule type="containsText" priority="1841" operator="containsText" dxfId="1" text="▲">
      <formula>NOT(ISERROR(SEARCH("▲",AA63)))</formula>
    </cfRule>
    <cfRule type="containsText" priority="1842" operator="containsText" dxfId="0" text="▼">
      <formula>NOT(ISERROR(SEARCH("▼",AA63)))</formula>
    </cfRule>
    <cfRule type="containsText" priority="1839" operator="containsText" dxfId="1" text="▲">
      <formula>NOT(ISERROR(SEARCH("▲",AA63)))</formula>
    </cfRule>
    <cfRule type="containsText" priority="1840" operator="containsText" dxfId="0" text="▼">
      <formula>NOT(ISERROR(SEARCH("▼",AA63)))</formula>
    </cfRule>
    <cfRule type="containsText" priority="1837" operator="containsText" dxfId="1" text="▲">
      <formula>NOT(ISERROR(SEARCH("▲",AA63)))</formula>
    </cfRule>
    <cfRule type="containsText" priority="1838" operator="containsText" dxfId="0" text="▼">
      <formula>NOT(ISERROR(SEARCH("▼",AA63)))</formula>
    </cfRule>
    <cfRule type="containsText" priority="1835" operator="containsText" dxfId="1" text="▲">
      <formula>NOT(ISERROR(SEARCH("▲",AA63)))</formula>
    </cfRule>
    <cfRule type="containsText" priority="1836" operator="containsText" dxfId="0" text="▼">
      <formula>NOT(ISERROR(SEARCH("▼",AA63)))</formula>
    </cfRule>
    <cfRule type="containsText" priority="1833" operator="containsText" dxfId="1" text="▲">
      <formula>NOT(ISERROR(SEARCH("▲",AA63)))</formula>
    </cfRule>
    <cfRule type="containsText" priority="1834" operator="containsText" dxfId="0" text="▼">
      <formula>NOT(ISERROR(SEARCH("▼",AA63)))</formula>
    </cfRule>
    <cfRule type="containsText" priority="1831" operator="containsText" dxfId="1" text="▲">
      <formula>NOT(ISERROR(SEARCH("▲",AA63)))</formula>
    </cfRule>
    <cfRule type="containsText" priority="1832" operator="containsText" dxfId="0" text="▼">
      <formula>NOT(ISERROR(SEARCH("▼",AA63)))</formula>
    </cfRule>
    <cfRule type="containsText" priority="1829" operator="containsText" dxfId="1" text="▲">
      <formula>NOT(ISERROR(SEARCH("▲",AA63)))</formula>
    </cfRule>
    <cfRule type="containsText" priority="1830" operator="containsText" dxfId="0" text="▼">
      <formula>NOT(ISERROR(SEARCH("▼",AA63)))</formula>
    </cfRule>
    <cfRule type="containsText" priority="1827" operator="containsText" dxfId="1" text="▲">
      <formula>NOT(ISERROR(SEARCH("▲",AA63)))</formula>
    </cfRule>
    <cfRule type="containsText" priority="1828" operator="containsText" dxfId="0" text="▼">
      <formula>NOT(ISERROR(SEARCH("▼",AA63)))</formula>
    </cfRule>
    <cfRule type="containsText" priority="1825" operator="containsText" dxfId="1" text="▲">
      <formula>NOT(ISERROR(SEARCH("▲",AA63)))</formula>
    </cfRule>
    <cfRule type="containsText" priority="1826" operator="containsText" dxfId="0" text="▼">
      <formula>NOT(ISERROR(SEARCH("▼",AA63)))</formula>
    </cfRule>
    <cfRule type="containsText" priority="1823" operator="containsText" dxfId="1" text="▲">
      <formula>NOT(ISERROR(SEARCH("▲",AA63)))</formula>
    </cfRule>
    <cfRule type="containsText" priority="1824" operator="containsText" dxfId="0" text="▼">
      <formula>NOT(ISERROR(SEARCH("▼",AA63)))</formula>
    </cfRule>
    <cfRule type="containsText" priority="1821" operator="containsText" dxfId="1" text="▲">
      <formula>NOT(ISERROR(SEARCH("▲",AA63)))</formula>
    </cfRule>
    <cfRule type="containsText" priority="1822" operator="containsText" dxfId="0" text="▼">
      <formula>NOT(ISERROR(SEARCH("▼",AA63)))</formula>
    </cfRule>
    <cfRule type="containsText" priority="1819" operator="containsText" dxfId="1" text="▲">
      <formula>NOT(ISERROR(SEARCH("▲",AA63)))</formula>
    </cfRule>
    <cfRule type="containsText" priority="1820" operator="containsText" dxfId="0" text="▼">
      <formula>NOT(ISERROR(SEARCH("▼",AA63)))</formula>
    </cfRule>
    <cfRule type="containsText" priority="1817" operator="containsText" dxfId="1" text="▲">
      <formula>NOT(ISERROR(SEARCH("▲",AA63)))</formula>
    </cfRule>
    <cfRule type="containsText" priority="1818" operator="containsText" dxfId="0" text="▼">
      <formula>NOT(ISERROR(SEARCH("▼",AA63)))</formula>
    </cfRule>
    <cfRule type="containsText" priority="1815" operator="containsText" dxfId="1" text="▲">
      <formula>NOT(ISERROR(SEARCH("▲",AA63)))</formula>
    </cfRule>
    <cfRule type="containsText" priority="1816" operator="containsText" dxfId="0" text="▼">
      <formula>NOT(ISERROR(SEARCH("▼",AA63)))</formula>
    </cfRule>
    <cfRule type="containsText" priority="1813" operator="containsText" dxfId="1" text="▲">
      <formula>NOT(ISERROR(SEARCH("▲",AA63)))</formula>
    </cfRule>
    <cfRule type="containsText" priority="1814" operator="containsText" dxfId="0" text="▼">
      <formula>NOT(ISERROR(SEARCH("▼",AA63)))</formula>
    </cfRule>
    <cfRule type="containsText" priority="1811" operator="containsText" dxfId="1" text="▲">
      <formula>NOT(ISERROR(SEARCH("▲",AA63)))</formula>
    </cfRule>
    <cfRule type="containsText" priority="1812" operator="containsText" dxfId="0" text="▼">
      <formula>NOT(ISERROR(SEARCH("▼",AA63)))</formula>
    </cfRule>
    <cfRule type="containsText" priority="1809" operator="containsText" dxfId="1" text="▲">
      <formula>NOT(ISERROR(SEARCH("▲",AA63)))</formula>
    </cfRule>
    <cfRule type="containsText" priority="1810" operator="containsText" dxfId="0" text="▼">
      <formula>NOT(ISERROR(SEARCH("▼",AA63)))</formula>
    </cfRule>
    <cfRule type="containsText" priority="1807" operator="containsText" dxfId="1" text="▲">
      <formula>NOT(ISERROR(SEARCH("▲",AA63)))</formula>
    </cfRule>
    <cfRule type="containsText" priority="1808" operator="containsText" dxfId="0" text="▼">
      <formula>NOT(ISERROR(SEARCH("▼",AA63)))</formula>
    </cfRule>
  </conditionalFormatting>
  <conditionalFormatting sqref="AA64">
    <cfRule type="containsText" priority="1805" operator="containsText" dxfId="1" text="△">
      <formula>NOT(ISERROR(SEARCH("△",AA64)))</formula>
    </cfRule>
    <cfRule type="containsText" priority="1806" operator="containsText" dxfId="0" text="▽">
      <formula>NOT(ISERROR(SEARCH("▽",AA64)))</formula>
    </cfRule>
    <cfRule type="containsText" priority="1803" operator="containsText" dxfId="1" text="▲">
      <formula>NOT(ISERROR(SEARCH("▲",AA64)))</formula>
    </cfRule>
    <cfRule type="containsText" priority="1804" operator="containsText" dxfId="0" text="▼">
      <formula>NOT(ISERROR(SEARCH("▼",AA64)))</formula>
    </cfRule>
    <cfRule type="containsText" priority="1801" operator="containsText" dxfId="1" text="▲">
      <formula>NOT(ISERROR(SEARCH("▲",AA64)))</formula>
    </cfRule>
    <cfRule type="containsText" priority="1802" operator="containsText" dxfId="0" text="▼">
      <formula>NOT(ISERROR(SEARCH("▼",AA64)))</formula>
    </cfRule>
    <cfRule type="containsText" priority="1799" operator="containsText" dxfId="1" text="▲">
      <formula>NOT(ISERROR(SEARCH("▲",AA64)))</formula>
    </cfRule>
    <cfRule type="containsText" priority="1800" operator="containsText" dxfId="0" text="▼">
      <formula>NOT(ISERROR(SEARCH("▼",AA64)))</formula>
    </cfRule>
    <cfRule type="containsText" priority="1797" operator="containsText" dxfId="1" text="▲">
      <formula>NOT(ISERROR(SEARCH("▲",AA64)))</formula>
    </cfRule>
    <cfRule type="containsText" priority="1798" operator="containsText" dxfId="0" text="▼">
      <formula>NOT(ISERROR(SEARCH("▼",AA64)))</formula>
    </cfRule>
    <cfRule type="containsText" priority="1795" operator="containsText" dxfId="1" text="▲">
      <formula>NOT(ISERROR(SEARCH("▲",AA64)))</formula>
    </cfRule>
    <cfRule type="containsText" priority="1796" operator="containsText" dxfId="0" text="▼">
      <formula>NOT(ISERROR(SEARCH("▼",AA64)))</formula>
    </cfRule>
    <cfRule type="containsText" priority="1793" operator="containsText" dxfId="1" text="▲">
      <formula>NOT(ISERROR(SEARCH("▲",AA64)))</formula>
    </cfRule>
    <cfRule type="containsText" priority="1794" operator="containsText" dxfId="0" text="▼">
      <formula>NOT(ISERROR(SEARCH("▼",AA64)))</formula>
    </cfRule>
    <cfRule type="containsText" priority="1791" operator="containsText" dxfId="1" text="▲">
      <formula>NOT(ISERROR(SEARCH("▲",AA64)))</formula>
    </cfRule>
    <cfRule type="containsText" priority="1792" operator="containsText" dxfId="0" text="▼">
      <formula>NOT(ISERROR(SEARCH("▼",AA64)))</formula>
    </cfRule>
    <cfRule type="containsText" priority="1789" operator="containsText" dxfId="1" text="▲">
      <formula>NOT(ISERROR(SEARCH("▲",AA64)))</formula>
    </cfRule>
    <cfRule type="containsText" priority="1790" operator="containsText" dxfId="0" text="▼">
      <formula>NOT(ISERROR(SEARCH("▼",AA64)))</formula>
    </cfRule>
    <cfRule type="containsText" priority="1787" operator="containsText" dxfId="1" text="▲">
      <formula>NOT(ISERROR(SEARCH("▲",AA64)))</formula>
    </cfRule>
    <cfRule type="containsText" priority="1788" operator="containsText" dxfId="0" text="▼">
      <formula>NOT(ISERROR(SEARCH("▼",AA64)))</formula>
    </cfRule>
    <cfRule type="containsText" priority="1785" operator="containsText" dxfId="1" text="▲">
      <formula>NOT(ISERROR(SEARCH("▲",AA64)))</formula>
    </cfRule>
    <cfRule type="containsText" priority="1786" operator="containsText" dxfId="0" text="▼">
      <formula>NOT(ISERROR(SEARCH("▼",AA64)))</formula>
    </cfRule>
    <cfRule type="containsText" priority="1783" operator="containsText" dxfId="1" text="▲">
      <formula>NOT(ISERROR(SEARCH("▲",AA64)))</formula>
    </cfRule>
    <cfRule type="containsText" priority="1784" operator="containsText" dxfId="0" text="▼">
      <formula>NOT(ISERROR(SEARCH("▼",AA64)))</formula>
    </cfRule>
    <cfRule type="containsText" priority="1781" operator="containsText" dxfId="1" text="▲">
      <formula>NOT(ISERROR(SEARCH("▲",AA64)))</formula>
    </cfRule>
    <cfRule type="containsText" priority="1782" operator="containsText" dxfId="0" text="▼">
      <formula>NOT(ISERROR(SEARCH("▼",AA64)))</formula>
    </cfRule>
    <cfRule type="containsText" priority="1779" operator="containsText" dxfId="1" text="▲">
      <formula>NOT(ISERROR(SEARCH("▲",AA64)))</formula>
    </cfRule>
    <cfRule type="containsText" priority="1780" operator="containsText" dxfId="0" text="▼">
      <formula>NOT(ISERROR(SEARCH("▼",AA64)))</formula>
    </cfRule>
    <cfRule type="containsText" priority="1777" operator="containsText" dxfId="1" text="▲">
      <formula>NOT(ISERROR(SEARCH("▲",AA64)))</formula>
    </cfRule>
    <cfRule type="containsText" priority="1778" operator="containsText" dxfId="0" text="▼">
      <formula>NOT(ISERROR(SEARCH("▼",AA64)))</formula>
    </cfRule>
    <cfRule type="containsText" priority="1775" operator="containsText" dxfId="1" text="▲">
      <formula>NOT(ISERROR(SEARCH("▲",AA64)))</formula>
    </cfRule>
    <cfRule type="containsText" priority="1776" operator="containsText" dxfId="0" text="▼">
      <formula>NOT(ISERROR(SEARCH("▼",AA64)))</formula>
    </cfRule>
    <cfRule type="containsText" priority="1773" operator="containsText" dxfId="1" text="▲">
      <formula>NOT(ISERROR(SEARCH("▲",AA64)))</formula>
    </cfRule>
    <cfRule type="containsText" priority="1774" operator="containsText" dxfId="0" text="▼">
      <formula>NOT(ISERROR(SEARCH("▼",AA64)))</formula>
    </cfRule>
    <cfRule type="containsText" priority="1771" operator="containsText" dxfId="1" text="▲">
      <formula>NOT(ISERROR(SEARCH("▲",AA64)))</formula>
    </cfRule>
    <cfRule type="containsText" priority="1772" operator="containsText" dxfId="0" text="▼">
      <formula>NOT(ISERROR(SEARCH("▼",AA64)))</formula>
    </cfRule>
    <cfRule type="containsText" priority="1769" operator="containsText" dxfId="1" text="▲">
      <formula>NOT(ISERROR(SEARCH("▲",AA64)))</formula>
    </cfRule>
    <cfRule type="containsText" priority="1770" operator="containsText" dxfId="0" text="▼">
      <formula>NOT(ISERROR(SEARCH("▼",AA64)))</formula>
    </cfRule>
    <cfRule type="containsText" priority="1767" operator="containsText" dxfId="1" text="▲">
      <formula>NOT(ISERROR(SEARCH("▲",AA64)))</formula>
    </cfRule>
    <cfRule type="containsText" priority="1768" operator="containsText" dxfId="0" text="▼">
      <formula>NOT(ISERROR(SEARCH("▼",AA64)))</formula>
    </cfRule>
    <cfRule type="containsText" priority="1765" operator="containsText" dxfId="1" text="▲">
      <formula>NOT(ISERROR(SEARCH("▲",AA64)))</formula>
    </cfRule>
    <cfRule type="containsText" priority="1766" operator="containsText" dxfId="0" text="▼">
      <formula>NOT(ISERROR(SEARCH("▼",AA64)))</formula>
    </cfRule>
    <cfRule type="containsText" priority="1763" operator="containsText" dxfId="1" text="▲">
      <formula>NOT(ISERROR(SEARCH("▲",AA64)))</formula>
    </cfRule>
    <cfRule type="containsText" priority="1764" operator="containsText" dxfId="0" text="▼">
      <formula>NOT(ISERROR(SEARCH("▼",AA64)))</formula>
    </cfRule>
    <cfRule type="containsText" priority="1761" operator="containsText" dxfId="1" text="▲">
      <formula>NOT(ISERROR(SEARCH("▲",AA64)))</formula>
    </cfRule>
    <cfRule type="containsText" priority="1762" operator="containsText" dxfId="0" text="▼">
      <formula>NOT(ISERROR(SEARCH("▼",AA64)))</formula>
    </cfRule>
    <cfRule type="containsText" priority="1759" operator="containsText" dxfId="1" text="▲">
      <formula>NOT(ISERROR(SEARCH("▲",AA64)))</formula>
    </cfRule>
    <cfRule type="containsText" priority="1760" operator="containsText" dxfId="0" text="▼">
      <formula>NOT(ISERROR(SEARCH("▼",AA64)))</formula>
    </cfRule>
    <cfRule type="containsText" priority="1757" operator="containsText" dxfId="1" text="▲">
      <formula>NOT(ISERROR(SEARCH("▲",AA64)))</formula>
    </cfRule>
    <cfRule type="containsText" priority="1758" operator="containsText" dxfId="0" text="▼">
      <formula>NOT(ISERROR(SEARCH("▼",AA64)))</formula>
    </cfRule>
  </conditionalFormatting>
  <conditionalFormatting sqref="AB94">
    <cfRule type="containsText" priority="1755" operator="containsText" dxfId="1" text="▲">
      <formula>NOT(ISERROR(SEARCH("▲",AB94)))</formula>
    </cfRule>
    <cfRule type="containsText" priority="1756" operator="containsText" dxfId="0" text="▼">
      <formula>NOT(ISERROR(SEARCH("▼",AB94)))</formula>
    </cfRule>
    <cfRule type="containsText" priority="1543" operator="containsText" dxfId="1" text="▲">
      <formula>NOT(ISERROR(SEARCH("▲",AB94)))</formula>
    </cfRule>
    <cfRule type="containsText" priority="1544" operator="containsText" dxfId="0" text="▼">
      <formula>NOT(ISERROR(SEARCH("▼",AB94)))</formula>
    </cfRule>
    <cfRule type="containsText" priority="1545" operator="containsText" dxfId="1" text="▲">
      <formula>NOT(ISERROR(SEARCH("▲",AB94)))</formula>
    </cfRule>
    <cfRule type="containsText" priority="1546" operator="containsText" dxfId="0" text="▼">
      <formula>NOT(ISERROR(SEARCH("▼",AB94)))</formula>
    </cfRule>
    <cfRule type="containsText" priority="1547" operator="containsText" dxfId="1" text="▲">
      <formula>NOT(ISERROR(SEARCH("▲",AB94)))</formula>
    </cfRule>
    <cfRule type="containsText" priority="1548" operator="containsText" dxfId="0" text="▼">
      <formula>NOT(ISERROR(SEARCH("▼",AB94)))</formula>
    </cfRule>
    <cfRule type="containsText" priority="1549" operator="containsText" dxfId="1" text="▲">
      <formula>NOT(ISERROR(SEARCH("▲",AB94)))</formula>
    </cfRule>
    <cfRule type="containsText" priority="1550" operator="containsText" dxfId="0" text="▼">
      <formula>NOT(ISERROR(SEARCH("▼",AB94)))</formula>
    </cfRule>
    <cfRule type="containsText" priority="1551" operator="containsText" dxfId="1" text="▲">
      <formula>NOT(ISERROR(SEARCH("▲",AB94)))</formula>
    </cfRule>
    <cfRule type="containsText" priority="1552" operator="containsText" dxfId="0" text="▼">
      <formula>NOT(ISERROR(SEARCH("▼",AB94)))</formula>
    </cfRule>
    <cfRule type="containsText" priority="1553" operator="containsText" dxfId="1" text="▲">
      <formula>NOT(ISERROR(SEARCH("▲",AB94)))</formula>
    </cfRule>
    <cfRule type="containsText" priority="1554" operator="containsText" dxfId="0" text="▼">
      <formula>NOT(ISERROR(SEARCH("▼",AB94)))</formula>
    </cfRule>
    <cfRule type="containsText" priority="1555" operator="containsText" dxfId="1" text="▲">
      <formula>NOT(ISERROR(SEARCH("▲",AB94)))</formula>
    </cfRule>
    <cfRule type="containsText" priority="1556" operator="containsText" dxfId="0" text="▼">
      <formula>NOT(ISERROR(SEARCH("▼",AB94)))</formula>
    </cfRule>
    <cfRule type="containsText" priority="1557" operator="containsText" dxfId="1" text="▲">
      <formula>NOT(ISERROR(SEARCH("▲",AB94)))</formula>
    </cfRule>
    <cfRule type="containsText" priority="1558" operator="containsText" dxfId="0" text="▼">
      <formula>NOT(ISERROR(SEARCH("▼",AB94)))</formula>
    </cfRule>
    <cfRule type="containsText" priority="1559" operator="containsText" dxfId="1" text="▲">
      <formula>NOT(ISERROR(SEARCH("▲",AB94)))</formula>
    </cfRule>
    <cfRule type="containsText" priority="1560" operator="containsText" dxfId="0" text="▼">
      <formula>NOT(ISERROR(SEARCH("▼",AB94)))</formula>
    </cfRule>
    <cfRule type="containsText" priority="1561" operator="containsText" dxfId="1" text="▲">
      <formula>NOT(ISERROR(SEARCH("▲",AB94)))</formula>
    </cfRule>
    <cfRule type="containsText" priority="1562" operator="containsText" dxfId="0" text="▼">
      <formula>NOT(ISERROR(SEARCH("▼",AB94)))</formula>
    </cfRule>
    <cfRule type="containsText" priority="1563" operator="containsText" dxfId="1" text="▲">
      <formula>NOT(ISERROR(SEARCH("▲",AB94)))</formula>
    </cfRule>
    <cfRule type="containsText" priority="1564" operator="containsText" dxfId="0" text="▼">
      <formula>NOT(ISERROR(SEARCH("▼",AB94)))</formula>
    </cfRule>
    <cfRule type="containsText" priority="1565" operator="containsText" dxfId="1" text="▲">
      <formula>NOT(ISERROR(SEARCH("▲",AB94)))</formula>
    </cfRule>
    <cfRule type="containsText" priority="1566" operator="containsText" dxfId="0" text="▼">
      <formula>NOT(ISERROR(SEARCH("▼",AB94)))</formula>
    </cfRule>
    <cfRule type="containsText" priority="1567" operator="containsText" dxfId="1" text="▲">
      <formula>NOT(ISERROR(SEARCH("▲",AB94)))</formula>
    </cfRule>
    <cfRule type="containsText" priority="1568" operator="containsText" dxfId="0" text="▼">
      <formula>NOT(ISERROR(SEARCH("▼",AB94)))</formula>
    </cfRule>
    <cfRule type="containsText" priority="1569" operator="containsText" dxfId="1" text="▲">
      <formula>NOT(ISERROR(SEARCH("▲",AB94)))</formula>
    </cfRule>
    <cfRule type="containsText" priority="1570" operator="containsText" dxfId="0" text="▼">
      <formula>NOT(ISERROR(SEARCH("▼",AB94)))</formula>
    </cfRule>
    <cfRule type="containsText" priority="1571" operator="containsText" dxfId="1" text="▲">
      <formula>NOT(ISERROR(SEARCH("▲",AB94)))</formula>
    </cfRule>
    <cfRule type="containsText" priority="1572" operator="containsText" dxfId="0" text="▼">
      <formula>NOT(ISERROR(SEARCH("▼",AB94)))</formula>
    </cfRule>
    <cfRule type="containsText" priority="1573" operator="containsText" dxfId="1" text="▲">
      <formula>NOT(ISERROR(SEARCH("▲",AB94)))</formula>
    </cfRule>
    <cfRule type="containsText" priority="1574" operator="containsText" dxfId="0" text="▼">
      <formula>NOT(ISERROR(SEARCH("▼",AB94)))</formula>
    </cfRule>
    <cfRule type="containsText" priority="1575" operator="containsText" dxfId="1" text="▲">
      <formula>NOT(ISERROR(SEARCH("▲",AB94)))</formula>
    </cfRule>
    <cfRule type="containsText" priority="1576" operator="containsText" dxfId="0" text="▼">
      <formula>NOT(ISERROR(SEARCH("▼",AB94)))</formula>
    </cfRule>
    <cfRule type="containsText" priority="1577" operator="containsText" dxfId="1" text="▲">
      <formula>NOT(ISERROR(SEARCH("▲",AB94)))</formula>
    </cfRule>
    <cfRule type="containsText" priority="1578" operator="containsText" dxfId="0" text="▼">
      <formula>NOT(ISERROR(SEARCH("▼",AB94)))</formula>
    </cfRule>
    <cfRule type="containsText" priority="1579" operator="containsText" dxfId="1" text="▲">
      <formula>NOT(ISERROR(SEARCH("▲",AB94)))</formula>
    </cfRule>
    <cfRule type="containsText" priority="1580" operator="containsText" dxfId="0" text="▼">
      <formula>NOT(ISERROR(SEARCH("▼",AB94)))</formula>
    </cfRule>
    <cfRule type="containsText" priority="1581" operator="containsText" dxfId="1" text="▲">
      <formula>NOT(ISERROR(SEARCH("▲",AB94)))</formula>
    </cfRule>
    <cfRule type="containsText" priority="1582" operator="containsText" dxfId="0" text="▼">
      <formula>NOT(ISERROR(SEARCH("▼",AB94)))</formula>
    </cfRule>
    <cfRule type="containsText" priority="1583" operator="containsText" dxfId="1" text="▲">
      <formula>NOT(ISERROR(SEARCH("▲",AB94)))</formula>
    </cfRule>
    <cfRule type="containsText" priority="1584" operator="containsText" dxfId="0" text="▼">
      <formula>NOT(ISERROR(SEARCH("▼",AB94)))</formula>
    </cfRule>
    <cfRule type="containsText" priority="1585" operator="containsText" dxfId="1" text="▲">
      <formula>NOT(ISERROR(SEARCH("▲",AB94)))</formula>
    </cfRule>
    <cfRule type="containsText" priority="1586" operator="containsText" dxfId="0" text="▼">
      <formula>NOT(ISERROR(SEARCH("▼",AB94)))</formula>
    </cfRule>
    <cfRule type="containsText" priority="1587" operator="containsText" dxfId="1" text="▲">
      <formula>NOT(ISERROR(SEARCH("▲",AB94)))</formula>
    </cfRule>
    <cfRule type="containsText" priority="1588" operator="containsText" dxfId="0" text="▼">
      <formula>NOT(ISERROR(SEARCH("▼",AB94)))</formula>
    </cfRule>
    <cfRule type="containsText" priority="1589" operator="containsText" dxfId="1" text="▲">
      <formula>NOT(ISERROR(SEARCH("▲",AB94)))</formula>
    </cfRule>
    <cfRule type="containsText" priority="1590" operator="containsText" dxfId="0" text="▼">
      <formula>NOT(ISERROR(SEARCH("▼",AB94)))</formula>
    </cfRule>
    <cfRule type="containsText" priority="1591" operator="containsText" dxfId="1" text="▲">
      <formula>NOT(ISERROR(SEARCH("▲",AB94)))</formula>
    </cfRule>
    <cfRule type="containsText" priority="1592" operator="containsText" dxfId="0" text="▼">
      <formula>NOT(ISERROR(SEARCH("▼",AB94)))</formula>
    </cfRule>
    <cfRule type="containsText" priority="1593" operator="containsText" dxfId="1" text="△">
      <formula>NOT(ISERROR(SEARCH("△",AB94)))</formula>
    </cfRule>
    <cfRule type="containsText" priority="1594" operator="containsText" dxfId="0" text="▽">
      <formula>NOT(ISERROR(SEARCH("▽",AB94)))</formula>
    </cfRule>
    <cfRule type="containsText" priority="1595" operator="containsText" dxfId="1" text="▲">
      <formula>NOT(ISERROR(SEARCH("▲",AB94)))</formula>
    </cfRule>
    <cfRule type="containsText" priority="1596" operator="containsText" dxfId="0" text="▼">
      <formula>NOT(ISERROR(SEARCH("▼",AB94)))</formula>
    </cfRule>
    <cfRule type="containsText" priority="1597" operator="containsText" dxfId="1" text="▲">
      <formula>NOT(ISERROR(SEARCH("▲",AB94)))</formula>
    </cfRule>
    <cfRule type="containsText" priority="1598" operator="containsText" dxfId="0" text="▼">
      <formula>NOT(ISERROR(SEARCH("▼",AB94)))</formula>
    </cfRule>
    <cfRule type="containsText" priority="1599" operator="containsText" dxfId="1" text="▲">
      <formula>NOT(ISERROR(SEARCH("▲",AB94)))</formula>
    </cfRule>
    <cfRule type="containsText" priority="1600" operator="containsText" dxfId="0" text="▼">
      <formula>NOT(ISERROR(SEARCH("▼",AB94)))</formula>
    </cfRule>
    <cfRule type="containsText" priority="1601" operator="containsText" dxfId="1" text="▲">
      <formula>NOT(ISERROR(SEARCH("▲",AB94)))</formula>
    </cfRule>
    <cfRule type="containsText" priority="1602" operator="containsText" dxfId="0" text="▼">
      <formula>NOT(ISERROR(SEARCH("▼",AB94)))</formula>
    </cfRule>
    <cfRule type="containsText" priority="1603" operator="containsText" dxfId="1" text="▲">
      <formula>NOT(ISERROR(SEARCH("▲",AB94)))</formula>
    </cfRule>
    <cfRule type="containsText" priority="1604" operator="containsText" dxfId="0" text="▼">
      <formula>NOT(ISERROR(SEARCH("▼",AB94)))</formula>
    </cfRule>
    <cfRule type="containsText" priority="1605" operator="containsText" dxfId="1" text="▲">
      <formula>NOT(ISERROR(SEARCH("▲",AB94)))</formula>
    </cfRule>
    <cfRule type="containsText" priority="1606" operator="containsText" dxfId="0" text="▼">
      <formula>NOT(ISERROR(SEARCH("▼",AB94)))</formula>
    </cfRule>
    <cfRule type="containsText" priority="1607" operator="containsText" dxfId="1" text="▲">
      <formula>NOT(ISERROR(SEARCH("▲",AB94)))</formula>
    </cfRule>
    <cfRule type="containsText" priority="1608" operator="containsText" dxfId="0" text="▼">
      <formula>NOT(ISERROR(SEARCH("▼",AB94)))</formula>
    </cfRule>
    <cfRule type="containsText" priority="1609" operator="containsText" dxfId="1" text="▲">
      <formula>NOT(ISERROR(SEARCH("▲",AB94)))</formula>
    </cfRule>
    <cfRule type="containsText" priority="1610" operator="containsText" dxfId="0" text="▼">
      <formula>NOT(ISERROR(SEARCH("▼",AB94)))</formula>
    </cfRule>
    <cfRule type="containsText" priority="1611" operator="containsText" dxfId="1" text="▲">
      <formula>NOT(ISERROR(SEARCH("▲",AB94)))</formula>
    </cfRule>
    <cfRule type="containsText" priority="1612" operator="containsText" dxfId="0" text="▼">
      <formula>NOT(ISERROR(SEARCH("▼",AB94)))</formula>
    </cfRule>
    <cfRule type="containsText" priority="1613" operator="containsText" dxfId="1" text="▲">
      <formula>NOT(ISERROR(SEARCH("▲",AB94)))</formula>
    </cfRule>
    <cfRule type="containsText" priority="1614" operator="containsText" dxfId="0" text="▼">
      <formula>NOT(ISERROR(SEARCH("▼",AB94)))</formula>
    </cfRule>
    <cfRule type="containsText" priority="1615" operator="containsText" dxfId="1" text="▲">
      <formula>NOT(ISERROR(SEARCH("▲",AB94)))</formula>
    </cfRule>
    <cfRule type="containsText" priority="1616" operator="containsText" dxfId="0" text="▼">
      <formula>NOT(ISERROR(SEARCH("▼",AB94)))</formula>
    </cfRule>
    <cfRule type="containsText" priority="1617" operator="containsText" dxfId="1" text="▲">
      <formula>NOT(ISERROR(SEARCH("▲",AB94)))</formula>
    </cfRule>
    <cfRule type="containsText" priority="1618" operator="containsText" dxfId="0" text="▼">
      <formula>NOT(ISERROR(SEARCH("▼",AB94)))</formula>
    </cfRule>
    <cfRule type="containsText" priority="1619" operator="containsText" dxfId="1" text="▲">
      <formula>NOT(ISERROR(SEARCH("▲",AB94)))</formula>
    </cfRule>
    <cfRule type="containsText" priority="1620" operator="containsText" dxfId="0" text="▼">
      <formula>NOT(ISERROR(SEARCH("▼",AB94)))</formula>
    </cfRule>
    <cfRule type="containsText" priority="1621" operator="containsText" dxfId="1" text="▲">
      <formula>NOT(ISERROR(SEARCH("▲",AB94)))</formula>
    </cfRule>
    <cfRule type="containsText" priority="1622" operator="containsText" dxfId="0" text="▼">
      <formula>NOT(ISERROR(SEARCH("▼",AB94)))</formula>
    </cfRule>
    <cfRule type="containsText" priority="1623" operator="containsText" dxfId="1" text="▲">
      <formula>NOT(ISERROR(SEARCH("▲",AB94)))</formula>
    </cfRule>
    <cfRule type="containsText" priority="1624" operator="containsText" dxfId="0" text="▼">
      <formula>NOT(ISERROR(SEARCH("▼",AB94)))</formula>
    </cfRule>
    <cfRule type="containsText" priority="1625" operator="containsText" dxfId="1" text="▲">
      <formula>NOT(ISERROR(SEARCH("▲",AB94)))</formula>
    </cfRule>
    <cfRule type="containsText" priority="1626" operator="containsText" dxfId="0" text="▼">
      <formula>NOT(ISERROR(SEARCH("▼",AB94)))</formula>
    </cfRule>
    <cfRule type="containsText" priority="1627" operator="containsText" dxfId="1" text="▲">
      <formula>NOT(ISERROR(SEARCH("▲",AB94)))</formula>
    </cfRule>
    <cfRule type="containsText" priority="1628" operator="containsText" dxfId="0" text="▼">
      <formula>NOT(ISERROR(SEARCH("▼",AB94)))</formula>
    </cfRule>
    <cfRule type="containsText" priority="1629" operator="containsText" dxfId="1" text="▲">
      <formula>NOT(ISERROR(SEARCH("▲",AB94)))</formula>
    </cfRule>
    <cfRule type="containsText" priority="1630" operator="containsText" dxfId="0" text="▼">
      <formula>NOT(ISERROR(SEARCH("▼",AB94)))</formula>
    </cfRule>
    <cfRule type="containsText" priority="1631" operator="containsText" dxfId="1" text="▲">
      <formula>NOT(ISERROR(SEARCH("▲",AB94)))</formula>
    </cfRule>
    <cfRule type="containsText" priority="1632" operator="containsText" dxfId="0" text="▼">
      <formula>NOT(ISERROR(SEARCH("▼",AB94)))</formula>
    </cfRule>
    <cfRule type="containsText" priority="1633" operator="containsText" dxfId="1" text="▲">
      <formula>NOT(ISERROR(SEARCH("▲",AB94)))</formula>
    </cfRule>
    <cfRule type="containsText" priority="1634" operator="containsText" dxfId="0" text="▼">
      <formula>NOT(ISERROR(SEARCH("▼",AB94)))</formula>
    </cfRule>
    <cfRule type="containsText" priority="1635" operator="containsText" dxfId="1" text="▲">
      <formula>NOT(ISERROR(SEARCH("▲",AB94)))</formula>
    </cfRule>
    <cfRule type="containsText" priority="1636" operator="containsText" dxfId="0" text="▼">
      <formula>NOT(ISERROR(SEARCH("▼",AB94)))</formula>
    </cfRule>
    <cfRule type="containsText" priority="1637" operator="containsText" dxfId="1" text="▲">
      <formula>NOT(ISERROR(SEARCH("▲",AB94)))</formula>
    </cfRule>
    <cfRule type="containsText" priority="1638" operator="containsText" dxfId="0" text="▼">
      <formula>NOT(ISERROR(SEARCH("▼",AB94)))</formula>
    </cfRule>
    <cfRule type="containsText" priority="1639" operator="containsText" dxfId="1" text="▲">
      <formula>NOT(ISERROR(SEARCH("▲",AB94)))</formula>
    </cfRule>
    <cfRule type="containsText" priority="1640" operator="containsText" dxfId="0" text="▼">
      <formula>NOT(ISERROR(SEARCH("▼",AB94)))</formula>
    </cfRule>
    <cfRule type="containsText" priority="1641" operator="containsText" dxfId="1" text="△">
      <formula>NOT(ISERROR(SEARCH("△",AB94)))</formula>
    </cfRule>
    <cfRule type="containsText" priority="1642" operator="containsText" dxfId="0" text="▽">
      <formula>NOT(ISERROR(SEARCH("▽",AB94)))</formula>
    </cfRule>
    <cfRule type="containsText" priority="1643" operator="containsText" dxfId="1" text="▲">
      <formula>NOT(ISERROR(SEARCH("▲",AB94)))</formula>
    </cfRule>
    <cfRule type="containsText" priority="1644" operator="containsText" dxfId="0" text="▼">
      <formula>NOT(ISERROR(SEARCH("▼",AB94)))</formula>
    </cfRule>
    <cfRule type="containsText" priority="1645" operator="containsText" dxfId="1" text="▲">
      <formula>NOT(ISERROR(SEARCH("▲",AB94)))</formula>
    </cfRule>
    <cfRule type="containsText" priority="1646" operator="containsText" dxfId="0" text="▼">
      <formula>NOT(ISERROR(SEARCH("▼",AB94)))</formula>
    </cfRule>
    <cfRule type="containsText" priority="1647" operator="containsText" dxfId="1" text="▲">
      <formula>NOT(ISERROR(SEARCH("▲",AB94)))</formula>
    </cfRule>
    <cfRule type="containsText" priority="1648" operator="containsText" dxfId="0" text="▼">
      <formula>NOT(ISERROR(SEARCH("▼",AB94)))</formula>
    </cfRule>
    <cfRule type="containsText" priority="1649" operator="containsText" dxfId="1" text="▲">
      <formula>NOT(ISERROR(SEARCH("▲",AB94)))</formula>
    </cfRule>
    <cfRule type="containsText" priority="1650" operator="containsText" dxfId="0" text="▼">
      <formula>NOT(ISERROR(SEARCH("▼",AB94)))</formula>
    </cfRule>
    <cfRule type="containsText" priority="1651" operator="containsText" dxfId="1" text="▲">
      <formula>NOT(ISERROR(SEARCH("▲",AB94)))</formula>
    </cfRule>
    <cfRule type="containsText" priority="1652" operator="containsText" dxfId="0" text="▼">
      <formula>NOT(ISERROR(SEARCH("▼",AB94)))</formula>
    </cfRule>
    <cfRule type="containsText" priority="1653" operator="containsText" dxfId="1" text="▲">
      <formula>NOT(ISERROR(SEARCH("▲",AB94)))</formula>
    </cfRule>
    <cfRule type="containsText" priority="1654" operator="containsText" dxfId="0" text="▼">
      <formula>NOT(ISERROR(SEARCH("▼",AB94)))</formula>
    </cfRule>
    <cfRule type="containsText" priority="1655" operator="containsText" dxfId="1" text="▲">
      <formula>NOT(ISERROR(SEARCH("▲",AB94)))</formula>
    </cfRule>
    <cfRule type="containsText" priority="1656" operator="containsText" dxfId="0" text="▼">
      <formula>NOT(ISERROR(SEARCH("▼",AB94)))</formula>
    </cfRule>
    <cfRule type="containsText" priority="1657" operator="containsText" dxfId="1" text="▲">
      <formula>NOT(ISERROR(SEARCH("▲",AB94)))</formula>
    </cfRule>
    <cfRule type="containsText" priority="1658" operator="containsText" dxfId="0" text="▼">
      <formula>NOT(ISERROR(SEARCH("▼",AB94)))</formula>
    </cfRule>
    <cfRule type="containsText" priority="1659" operator="containsText" dxfId="1" text="▲">
      <formula>NOT(ISERROR(SEARCH("▲",AB94)))</formula>
    </cfRule>
    <cfRule type="containsText" priority="1660" operator="containsText" dxfId="0" text="▼">
      <formula>NOT(ISERROR(SEARCH("▼",AB94)))</formula>
    </cfRule>
    <cfRule type="containsText" priority="1661" operator="containsText" dxfId="1" text="▲">
      <formula>NOT(ISERROR(SEARCH("▲",AB94)))</formula>
    </cfRule>
    <cfRule type="containsText" priority="1662" operator="containsText" dxfId="0" text="▼">
      <formula>NOT(ISERROR(SEARCH("▼",AB94)))</formula>
    </cfRule>
    <cfRule type="containsText" priority="1663" operator="containsText" dxfId="1" text="▲">
      <formula>NOT(ISERROR(SEARCH("▲",AB94)))</formula>
    </cfRule>
    <cfRule type="containsText" priority="1664" operator="containsText" dxfId="0" text="▼">
      <formula>NOT(ISERROR(SEARCH("▼",AB94)))</formula>
    </cfRule>
    <cfRule type="containsText" priority="1665" operator="containsText" dxfId="1" text="▲">
      <formula>NOT(ISERROR(SEARCH("▲",AB94)))</formula>
    </cfRule>
    <cfRule type="containsText" priority="1666" operator="containsText" dxfId="0" text="▼">
      <formula>NOT(ISERROR(SEARCH("▼",AB94)))</formula>
    </cfRule>
    <cfRule type="containsText" priority="1667" operator="containsText" dxfId="1" text="▲">
      <formula>NOT(ISERROR(SEARCH("▲",AB94)))</formula>
    </cfRule>
    <cfRule type="containsText" priority="1668" operator="containsText" dxfId="0" text="▼">
      <formula>NOT(ISERROR(SEARCH("▼",AB94)))</formula>
    </cfRule>
    <cfRule type="containsText" priority="1669" operator="containsText" dxfId="1" text="▲">
      <formula>NOT(ISERROR(SEARCH("▲",AB94)))</formula>
    </cfRule>
    <cfRule type="containsText" priority="1670" operator="containsText" dxfId="0" text="▼">
      <formula>NOT(ISERROR(SEARCH("▼",AB94)))</formula>
    </cfRule>
    <cfRule type="containsText" priority="1671" operator="containsText" dxfId="1" text="▲">
      <formula>NOT(ISERROR(SEARCH("▲",AB94)))</formula>
    </cfRule>
    <cfRule type="containsText" priority="1672" operator="containsText" dxfId="0" text="▼">
      <formula>NOT(ISERROR(SEARCH("▼",AB94)))</formula>
    </cfRule>
    <cfRule type="containsText" priority="1673" operator="containsText" dxfId="1" text="▲">
      <formula>NOT(ISERROR(SEARCH("▲",AB94)))</formula>
    </cfRule>
    <cfRule type="containsText" priority="1674" operator="containsText" dxfId="0" text="▼">
      <formula>NOT(ISERROR(SEARCH("▼",AB94)))</formula>
    </cfRule>
    <cfRule type="containsText" priority="1675" operator="containsText" dxfId="1" text="▲">
      <formula>NOT(ISERROR(SEARCH("▲",AB94)))</formula>
    </cfRule>
    <cfRule type="containsText" priority="1676" operator="containsText" dxfId="0" text="▼">
      <formula>NOT(ISERROR(SEARCH("▼",AB94)))</formula>
    </cfRule>
    <cfRule type="containsText" priority="1677" operator="containsText" dxfId="1" text="▲">
      <formula>NOT(ISERROR(SEARCH("▲",AB94)))</formula>
    </cfRule>
    <cfRule type="containsText" priority="1678" operator="containsText" dxfId="0" text="▼">
      <formula>NOT(ISERROR(SEARCH("▼",AB94)))</formula>
    </cfRule>
    <cfRule type="containsText" priority="1679" operator="containsText" dxfId="1" text="▲">
      <formula>NOT(ISERROR(SEARCH("▲",AB94)))</formula>
    </cfRule>
    <cfRule type="containsText" priority="1680" operator="containsText" dxfId="0" text="▼">
      <formula>NOT(ISERROR(SEARCH("▼",AB94)))</formula>
    </cfRule>
    <cfRule type="containsText" priority="1681" operator="containsText" dxfId="1" text="▲">
      <formula>NOT(ISERROR(SEARCH("▲",AB94)))</formula>
    </cfRule>
    <cfRule type="containsText" priority="1682" operator="containsText" dxfId="0" text="▼">
      <formula>NOT(ISERROR(SEARCH("▼",AB94)))</formula>
    </cfRule>
    <cfRule type="containsText" priority="1683" operator="containsText" dxfId="1" text="▲">
      <formula>NOT(ISERROR(SEARCH("▲",AB94)))</formula>
    </cfRule>
    <cfRule type="containsText" priority="1684" operator="containsText" dxfId="0" text="▼">
      <formula>NOT(ISERROR(SEARCH("▼",AB94)))</formula>
    </cfRule>
    <cfRule type="containsText" priority="1685" operator="containsText" dxfId="1" text="▲">
      <formula>NOT(ISERROR(SEARCH("▲",AB94)))</formula>
    </cfRule>
    <cfRule type="containsText" priority="1686" operator="containsText" dxfId="0" text="▼">
      <formula>NOT(ISERROR(SEARCH("▼",AB94)))</formula>
    </cfRule>
    <cfRule type="containsText" priority="1687" operator="containsText" dxfId="1" text="▲">
      <formula>NOT(ISERROR(SEARCH("▲",AB94)))</formula>
    </cfRule>
    <cfRule type="containsText" priority="1688" operator="containsText" dxfId="0" text="▼">
      <formula>NOT(ISERROR(SEARCH("▼",AB94)))</formula>
    </cfRule>
    <cfRule type="containsText" priority="1689" operator="containsText" dxfId="1" text="▲">
      <formula>NOT(ISERROR(SEARCH("▲",AB94)))</formula>
    </cfRule>
    <cfRule type="containsText" priority="1690" operator="containsText" dxfId="0" text="▼">
      <formula>NOT(ISERROR(SEARCH("▼",AB94)))</formula>
    </cfRule>
    <cfRule type="containsText" priority="1691" operator="containsText" dxfId="1" text="△">
      <formula>NOT(ISERROR(SEARCH("△",AB94)))</formula>
    </cfRule>
    <cfRule type="containsText" priority="1692" operator="containsText" dxfId="0" text="▽">
      <formula>NOT(ISERROR(SEARCH("▽",AB94)))</formula>
    </cfRule>
    <cfRule type="containsText" priority="1693" operator="containsText" dxfId="1" text="▲">
      <formula>NOT(ISERROR(SEARCH("▲",AB94)))</formula>
    </cfRule>
    <cfRule type="containsText" priority="1694" operator="containsText" dxfId="0" text="▼">
      <formula>NOT(ISERROR(SEARCH("▼",AB94)))</formula>
    </cfRule>
    <cfRule type="containsText" priority="1695" operator="containsText" dxfId="1" text="▲">
      <formula>NOT(ISERROR(SEARCH("▲",AB94)))</formula>
    </cfRule>
    <cfRule type="containsText" priority="1696" operator="containsText" dxfId="0" text="▼">
      <formula>NOT(ISERROR(SEARCH("▼",AB94)))</formula>
    </cfRule>
    <cfRule type="containsText" priority="1697" operator="containsText" dxfId="1" text="▲">
      <formula>NOT(ISERROR(SEARCH("▲",AB94)))</formula>
    </cfRule>
    <cfRule type="containsText" priority="1698" operator="containsText" dxfId="0" text="▼">
      <formula>NOT(ISERROR(SEARCH("▼",AB94)))</formula>
    </cfRule>
    <cfRule type="containsText" priority="1699" operator="containsText" dxfId="1" text="▲">
      <formula>NOT(ISERROR(SEARCH("▲",AB94)))</formula>
    </cfRule>
    <cfRule type="containsText" priority="1700" operator="containsText" dxfId="0" text="▼">
      <formula>NOT(ISERROR(SEARCH("▼",AB94)))</formula>
    </cfRule>
    <cfRule type="containsText" priority="1701" operator="containsText" dxfId="1" text="▲">
      <formula>NOT(ISERROR(SEARCH("▲",AB94)))</formula>
    </cfRule>
    <cfRule type="containsText" priority="1702" operator="containsText" dxfId="0" text="▼">
      <formula>NOT(ISERROR(SEARCH("▼",AB94)))</formula>
    </cfRule>
    <cfRule type="containsText" priority="1703" operator="containsText" dxfId="1" text="▲">
      <formula>NOT(ISERROR(SEARCH("▲",AB94)))</formula>
    </cfRule>
    <cfRule type="containsText" priority="1704" operator="containsText" dxfId="0" text="▼">
      <formula>NOT(ISERROR(SEARCH("▼",AB94)))</formula>
    </cfRule>
    <cfRule type="containsText" priority="1705" operator="containsText" dxfId="1" text="▲">
      <formula>NOT(ISERROR(SEARCH("▲",AB94)))</formula>
    </cfRule>
    <cfRule type="containsText" priority="1706" operator="containsText" dxfId="0" text="▼">
      <formula>NOT(ISERROR(SEARCH("▼",AB94)))</formula>
    </cfRule>
    <cfRule type="containsText" priority="1707" operator="containsText" dxfId="1" text="▲">
      <formula>NOT(ISERROR(SEARCH("▲",AB94)))</formula>
    </cfRule>
    <cfRule type="containsText" priority="1708" operator="containsText" dxfId="0" text="▼">
      <formula>NOT(ISERROR(SEARCH("▼",AB94)))</formula>
    </cfRule>
    <cfRule type="containsText" priority="1709" operator="containsText" dxfId="1" text="▲">
      <formula>NOT(ISERROR(SEARCH("▲",AB94)))</formula>
    </cfRule>
    <cfRule type="containsText" priority="1710" operator="containsText" dxfId="0" text="▼">
      <formula>NOT(ISERROR(SEARCH("▼",AB94)))</formula>
    </cfRule>
    <cfRule type="containsText" priority="1711" operator="containsText" dxfId="1" text="▲">
      <formula>NOT(ISERROR(SEARCH("▲",AB94)))</formula>
    </cfRule>
    <cfRule type="containsText" priority="1712" operator="containsText" dxfId="0" text="▼">
      <formula>NOT(ISERROR(SEARCH("▼",AB94)))</formula>
    </cfRule>
    <cfRule type="containsText" priority="1713" operator="containsText" dxfId="1" text="▲">
      <formula>NOT(ISERROR(SEARCH("▲",AB94)))</formula>
    </cfRule>
    <cfRule type="containsText" priority="1714" operator="containsText" dxfId="0" text="▼">
      <formula>NOT(ISERROR(SEARCH("▼",AB94)))</formula>
    </cfRule>
    <cfRule type="containsText" priority="1715" operator="containsText" dxfId="1" text="▲">
      <formula>NOT(ISERROR(SEARCH("▲",AB94)))</formula>
    </cfRule>
    <cfRule type="containsText" priority="1716" operator="containsText" dxfId="0" text="▼">
      <formula>NOT(ISERROR(SEARCH("▼",AB94)))</formula>
    </cfRule>
    <cfRule type="containsText" priority="1717" operator="containsText" dxfId="1" text="▲">
      <formula>NOT(ISERROR(SEARCH("▲",AB94)))</formula>
    </cfRule>
    <cfRule type="containsText" priority="1718" operator="containsText" dxfId="0" text="▼">
      <formula>NOT(ISERROR(SEARCH("▼",AB94)))</formula>
    </cfRule>
    <cfRule type="containsText" priority="1719" operator="containsText" dxfId="1" text="▲">
      <formula>NOT(ISERROR(SEARCH("▲",AB94)))</formula>
    </cfRule>
    <cfRule type="containsText" priority="1720" operator="containsText" dxfId="0" text="▼">
      <formula>NOT(ISERROR(SEARCH("▼",AB94)))</formula>
    </cfRule>
    <cfRule type="containsText" priority="1721" operator="containsText" dxfId="1" text="▲">
      <formula>NOT(ISERROR(SEARCH("▲",AB94)))</formula>
    </cfRule>
    <cfRule type="containsText" priority="1722" operator="containsText" dxfId="0" text="▼">
      <formula>NOT(ISERROR(SEARCH("▼",AB94)))</formula>
    </cfRule>
    <cfRule type="containsText" priority="1723" operator="containsText" dxfId="1" text="▲">
      <formula>NOT(ISERROR(SEARCH("▲",AB94)))</formula>
    </cfRule>
    <cfRule type="containsText" priority="1724" operator="containsText" dxfId="0" text="▼">
      <formula>NOT(ISERROR(SEARCH("▼",AB94)))</formula>
    </cfRule>
    <cfRule type="containsText" priority="1725" operator="containsText" dxfId="1" text="▲">
      <formula>NOT(ISERROR(SEARCH("▲",AB94)))</formula>
    </cfRule>
    <cfRule type="containsText" priority="1726" operator="containsText" dxfId="0" text="▼">
      <formula>NOT(ISERROR(SEARCH("▼",AB94)))</formula>
    </cfRule>
    <cfRule type="containsText" priority="1727" operator="containsText" dxfId="1" text="▲">
      <formula>NOT(ISERROR(SEARCH("▲",AB94)))</formula>
    </cfRule>
    <cfRule type="containsText" priority="1728" operator="containsText" dxfId="0" text="▼">
      <formula>NOT(ISERROR(SEARCH("▼",AB94)))</formula>
    </cfRule>
    <cfRule type="containsText" priority="1729" operator="containsText" dxfId="1" text="▲">
      <formula>NOT(ISERROR(SEARCH("▲",AB94)))</formula>
    </cfRule>
    <cfRule type="containsText" priority="1730" operator="containsText" dxfId="0" text="▼">
      <formula>NOT(ISERROR(SEARCH("▼",AB94)))</formula>
    </cfRule>
    <cfRule type="containsText" priority="1731" operator="containsText" dxfId="1" text="▲">
      <formula>NOT(ISERROR(SEARCH("▲",AB94)))</formula>
    </cfRule>
    <cfRule type="containsText" priority="1732" operator="containsText" dxfId="0" text="▼">
      <formula>NOT(ISERROR(SEARCH("▼",AB94)))</formula>
    </cfRule>
    <cfRule type="containsText" priority="1733" operator="containsText" dxfId="1" text="▲">
      <formula>NOT(ISERROR(SEARCH("▲",AB94)))</formula>
    </cfRule>
    <cfRule type="containsText" priority="1734" operator="containsText" dxfId="0" text="▼">
      <formula>NOT(ISERROR(SEARCH("▼",AB94)))</formula>
    </cfRule>
    <cfRule type="containsText" priority="1735" operator="containsText" dxfId="1" text="▲">
      <formula>NOT(ISERROR(SEARCH("▲",AB94)))</formula>
    </cfRule>
    <cfRule type="containsText" priority="1736" operator="containsText" dxfId="0" text="▼">
      <formula>NOT(ISERROR(SEARCH("▼",AB94)))</formula>
    </cfRule>
    <cfRule type="containsText" priority="1737" operator="containsText" dxfId="1" text="▲">
      <formula>NOT(ISERROR(SEARCH("▲",AB94)))</formula>
    </cfRule>
    <cfRule type="containsText" priority="1738" operator="containsText" dxfId="0" text="▼">
      <formula>NOT(ISERROR(SEARCH("▼",AB94)))</formula>
    </cfRule>
    <cfRule type="containsText" priority="1739" operator="containsText" dxfId="1" text="▲">
      <formula>NOT(ISERROR(SEARCH("▲",AB94)))</formula>
    </cfRule>
    <cfRule type="containsText" priority="1740" operator="containsText" dxfId="0" text="▼">
      <formula>NOT(ISERROR(SEARCH("▼",AB94)))</formula>
    </cfRule>
    <cfRule type="containsText" priority="1741" operator="containsText" dxfId="1" text="▲">
      <formula>NOT(ISERROR(SEARCH("▲",AB94)))</formula>
    </cfRule>
    <cfRule type="containsText" priority="1742" operator="containsText" dxfId="0" text="▼">
      <formula>NOT(ISERROR(SEARCH("▼",AB94)))</formula>
    </cfRule>
    <cfRule type="containsText" priority="1743" operator="containsText" dxfId="1" text="▲">
      <formula>NOT(ISERROR(SEARCH("▲",AB94)))</formula>
    </cfRule>
    <cfRule type="containsText" priority="1744" operator="containsText" dxfId="0" text="▼">
      <formula>NOT(ISERROR(SEARCH("▼",AB94)))</formula>
    </cfRule>
    <cfRule type="containsText" priority="1745" operator="containsText" dxfId="1" text="▲">
      <formula>NOT(ISERROR(SEARCH("▲",AB94)))</formula>
    </cfRule>
    <cfRule type="containsText" priority="1746" operator="containsText" dxfId="0" text="▼">
      <formula>NOT(ISERROR(SEARCH("▼",AB94)))</formula>
    </cfRule>
    <cfRule type="containsText" priority="1747" operator="containsText" dxfId="1" text="▲">
      <formula>NOT(ISERROR(SEARCH("▲",AB94)))</formula>
    </cfRule>
    <cfRule type="containsText" priority="1748" operator="containsText" dxfId="0" text="▼">
      <formula>NOT(ISERROR(SEARCH("▼",AB94)))</formula>
    </cfRule>
    <cfRule type="containsText" priority="1749" operator="containsText" dxfId="1" text="▲">
      <formula>NOT(ISERROR(SEARCH("▲",AB94)))</formula>
    </cfRule>
    <cfRule type="containsText" priority="1750" operator="containsText" dxfId="0" text="▼">
      <formula>NOT(ISERROR(SEARCH("▼",AB94)))</formula>
    </cfRule>
    <cfRule type="containsText" priority="1751" operator="containsText" dxfId="1" text="▲">
      <formula>NOT(ISERROR(SEARCH("▲",AB94)))</formula>
    </cfRule>
    <cfRule type="containsText" priority="1752" operator="containsText" dxfId="0" text="▼">
      <formula>NOT(ISERROR(SEARCH("▼",AB94)))</formula>
    </cfRule>
    <cfRule type="containsText" priority="1753" operator="containsText" dxfId="1" text="△">
      <formula>NOT(ISERROR(SEARCH("△",AB94)))</formula>
    </cfRule>
    <cfRule type="containsText" priority="1754" operator="containsText" dxfId="0" text="▽">
      <formula>NOT(ISERROR(SEARCH("▽",AB94)))</formula>
    </cfRule>
  </conditionalFormatting>
  <conditionalFormatting sqref="AB95">
    <cfRule type="containsText" priority="1331" operator="containsText" dxfId="1" text="▲">
      <formula>NOT(ISERROR(SEARCH("▲",AB95)))</formula>
    </cfRule>
    <cfRule type="containsText" priority="1332" operator="containsText" dxfId="0" text="▼">
      <formula>NOT(ISERROR(SEARCH("▼",AB95)))</formula>
    </cfRule>
    <cfRule type="containsText" priority="1333" operator="containsText" dxfId="1" text="▲">
      <formula>NOT(ISERROR(SEARCH("▲",AB95)))</formula>
    </cfRule>
    <cfRule type="containsText" priority="1334" operator="containsText" dxfId="0" text="▼">
      <formula>NOT(ISERROR(SEARCH("▼",AB95)))</formula>
    </cfRule>
    <cfRule type="containsText" priority="1335" operator="containsText" dxfId="1" text="▲">
      <formula>NOT(ISERROR(SEARCH("▲",AB95)))</formula>
    </cfRule>
    <cfRule type="containsText" priority="1336" operator="containsText" dxfId="0" text="▼">
      <formula>NOT(ISERROR(SEARCH("▼",AB95)))</formula>
    </cfRule>
    <cfRule type="containsText" priority="1337" operator="containsText" dxfId="1" text="▲">
      <formula>NOT(ISERROR(SEARCH("▲",AB95)))</formula>
    </cfRule>
    <cfRule type="containsText" priority="1338" operator="containsText" dxfId="0" text="▼">
      <formula>NOT(ISERROR(SEARCH("▼",AB95)))</formula>
    </cfRule>
    <cfRule type="containsText" priority="1339" operator="containsText" dxfId="1" text="▲">
      <formula>NOT(ISERROR(SEARCH("▲",AB95)))</formula>
    </cfRule>
    <cfRule type="containsText" priority="1340" operator="containsText" dxfId="0" text="▼">
      <formula>NOT(ISERROR(SEARCH("▼",AB95)))</formula>
    </cfRule>
    <cfRule type="containsText" priority="1341" operator="containsText" dxfId="1" text="▲">
      <formula>NOT(ISERROR(SEARCH("▲",AB95)))</formula>
    </cfRule>
    <cfRule type="containsText" priority="1342" operator="containsText" dxfId="0" text="▼">
      <formula>NOT(ISERROR(SEARCH("▼",AB95)))</formula>
    </cfRule>
    <cfRule type="containsText" priority="1343" operator="containsText" dxfId="1" text="▲">
      <formula>NOT(ISERROR(SEARCH("▲",AB95)))</formula>
    </cfRule>
    <cfRule type="containsText" priority="1344" operator="containsText" dxfId="0" text="▼">
      <formula>NOT(ISERROR(SEARCH("▼",AB95)))</formula>
    </cfRule>
    <cfRule type="containsText" priority="1345" operator="containsText" dxfId="1" text="▲">
      <formula>NOT(ISERROR(SEARCH("▲",AB95)))</formula>
    </cfRule>
    <cfRule type="containsText" priority="1346" operator="containsText" dxfId="0" text="▼">
      <formula>NOT(ISERROR(SEARCH("▼",AB95)))</formula>
    </cfRule>
    <cfRule type="containsText" priority="1347" operator="containsText" dxfId="1" text="▲">
      <formula>NOT(ISERROR(SEARCH("▲",AB95)))</formula>
    </cfRule>
    <cfRule type="containsText" priority="1348" operator="containsText" dxfId="0" text="▼">
      <formula>NOT(ISERROR(SEARCH("▼",AB95)))</formula>
    </cfRule>
    <cfRule type="containsText" priority="1349" operator="containsText" dxfId="1" text="▲">
      <formula>NOT(ISERROR(SEARCH("▲",AB95)))</formula>
    </cfRule>
    <cfRule type="containsText" priority="1350" operator="containsText" dxfId="0" text="▼">
      <formula>NOT(ISERROR(SEARCH("▼",AB95)))</formula>
    </cfRule>
    <cfRule type="containsText" priority="1351" operator="containsText" dxfId="1" text="▲">
      <formula>NOT(ISERROR(SEARCH("▲",AB95)))</formula>
    </cfRule>
    <cfRule type="containsText" priority="1352" operator="containsText" dxfId="0" text="▼">
      <formula>NOT(ISERROR(SEARCH("▼",AB95)))</formula>
    </cfRule>
    <cfRule type="containsText" priority="1353" operator="containsText" dxfId="1" text="▲">
      <formula>NOT(ISERROR(SEARCH("▲",AB95)))</formula>
    </cfRule>
    <cfRule type="containsText" priority="1354" operator="containsText" dxfId="0" text="▼">
      <formula>NOT(ISERROR(SEARCH("▼",AB95)))</formula>
    </cfRule>
    <cfRule type="containsText" priority="1355" operator="containsText" dxfId="1" text="▲">
      <formula>NOT(ISERROR(SEARCH("▲",AB95)))</formula>
    </cfRule>
    <cfRule type="containsText" priority="1356" operator="containsText" dxfId="0" text="▼">
      <formula>NOT(ISERROR(SEARCH("▼",AB95)))</formula>
    </cfRule>
    <cfRule type="containsText" priority="1357" operator="containsText" dxfId="1" text="▲">
      <formula>NOT(ISERROR(SEARCH("▲",AB95)))</formula>
    </cfRule>
    <cfRule type="containsText" priority="1358" operator="containsText" dxfId="0" text="▼">
      <formula>NOT(ISERROR(SEARCH("▼",AB95)))</formula>
    </cfRule>
    <cfRule type="containsText" priority="1359" operator="containsText" dxfId="1" text="▲">
      <formula>NOT(ISERROR(SEARCH("▲",AB95)))</formula>
    </cfRule>
    <cfRule type="containsText" priority="1360" operator="containsText" dxfId="0" text="▼">
      <formula>NOT(ISERROR(SEARCH("▼",AB95)))</formula>
    </cfRule>
    <cfRule type="containsText" priority="1361" operator="containsText" dxfId="1" text="▲">
      <formula>NOT(ISERROR(SEARCH("▲",AB95)))</formula>
    </cfRule>
    <cfRule type="containsText" priority="1362" operator="containsText" dxfId="0" text="▼">
      <formula>NOT(ISERROR(SEARCH("▼",AB95)))</formula>
    </cfRule>
    <cfRule type="containsText" priority="1363" operator="containsText" dxfId="1" text="▲">
      <formula>NOT(ISERROR(SEARCH("▲",AB95)))</formula>
    </cfRule>
    <cfRule type="containsText" priority="1364" operator="containsText" dxfId="0" text="▼">
      <formula>NOT(ISERROR(SEARCH("▼",AB95)))</formula>
    </cfRule>
    <cfRule type="containsText" priority="1365" operator="containsText" dxfId="1" text="▲">
      <formula>NOT(ISERROR(SEARCH("▲",AB95)))</formula>
    </cfRule>
    <cfRule type="containsText" priority="1366" operator="containsText" dxfId="0" text="▼">
      <formula>NOT(ISERROR(SEARCH("▼",AB95)))</formula>
    </cfRule>
    <cfRule type="containsText" priority="1367" operator="containsText" dxfId="1" text="▲">
      <formula>NOT(ISERROR(SEARCH("▲",AB95)))</formula>
    </cfRule>
    <cfRule type="containsText" priority="1368" operator="containsText" dxfId="0" text="▼">
      <formula>NOT(ISERROR(SEARCH("▼",AB95)))</formula>
    </cfRule>
    <cfRule type="containsText" priority="1369" operator="containsText" dxfId="1" text="▲">
      <formula>NOT(ISERROR(SEARCH("▲",AB95)))</formula>
    </cfRule>
    <cfRule type="containsText" priority="1370" operator="containsText" dxfId="0" text="▼">
      <formula>NOT(ISERROR(SEARCH("▼",AB95)))</formula>
    </cfRule>
    <cfRule type="containsText" priority="1371" operator="containsText" dxfId="1" text="▲">
      <formula>NOT(ISERROR(SEARCH("▲",AB95)))</formula>
    </cfRule>
    <cfRule type="containsText" priority="1372" operator="containsText" dxfId="0" text="▼">
      <formula>NOT(ISERROR(SEARCH("▼",AB95)))</formula>
    </cfRule>
    <cfRule type="containsText" priority="1373" operator="containsText" dxfId="1" text="▲">
      <formula>NOT(ISERROR(SEARCH("▲",AB95)))</formula>
    </cfRule>
    <cfRule type="containsText" priority="1374" operator="containsText" dxfId="0" text="▼">
      <formula>NOT(ISERROR(SEARCH("▼",AB95)))</formula>
    </cfRule>
    <cfRule type="containsText" priority="1375" operator="containsText" dxfId="1" text="▲">
      <formula>NOT(ISERROR(SEARCH("▲",AB95)))</formula>
    </cfRule>
    <cfRule type="containsText" priority="1376" operator="containsText" dxfId="0" text="▼">
      <formula>NOT(ISERROR(SEARCH("▼",AB95)))</formula>
    </cfRule>
    <cfRule type="containsText" priority="1377" operator="containsText" dxfId="1" text="▲">
      <formula>NOT(ISERROR(SEARCH("▲",AB95)))</formula>
    </cfRule>
    <cfRule type="containsText" priority="1378" operator="containsText" dxfId="0" text="▼">
      <formula>NOT(ISERROR(SEARCH("▼",AB95)))</formula>
    </cfRule>
    <cfRule type="containsText" priority="1379" operator="containsText" dxfId="1" text="▲">
      <formula>NOT(ISERROR(SEARCH("▲",AB95)))</formula>
    </cfRule>
    <cfRule type="containsText" priority="1380" operator="containsText" dxfId="0" text="▼">
      <formula>NOT(ISERROR(SEARCH("▼",AB95)))</formula>
    </cfRule>
    <cfRule type="containsText" priority="1381" operator="containsText" dxfId="1" text="△">
      <formula>NOT(ISERROR(SEARCH("△",AB95)))</formula>
    </cfRule>
    <cfRule type="containsText" priority="1382" operator="containsText" dxfId="0" text="▽">
      <formula>NOT(ISERROR(SEARCH("▽",AB95)))</formula>
    </cfRule>
    <cfRule type="containsText" priority="1383" operator="containsText" dxfId="1" text="▲">
      <formula>NOT(ISERROR(SEARCH("▲",AB95)))</formula>
    </cfRule>
    <cfRule type="containsText" priority="1384" operator="containsText" dxfId="0" text="▼">
      <formula>NOT(ISERROR(SEARCH("▼",AB95)))</formula>
    </cfRule>
    <cfRule type="containsText" priority="1385" operator="containsText" dxfId="1" text="▲">
      <formula>NOT(ISERROR(SEARCH("▲",AB95)))</formula>
    </cfRule>
    <cfRule type="containsText" priority="1386" operator="containsText" dxfId="0" text="▼">
      <formula>NOT(ISERROR(SEARCH("▼",AB95)))</formula>
    </cfRule>
    <cfRule type="containsText" priority="1387" operator="containsText" dxfId="1" text="▲">
      <formula>NOT(ISERROR(SEARCH("▲",AB95)))</formula>
    </cfRule>
    <cfRule type="containsText" priority="1388" operator="containsText" dxfId="0" text="▼">
      <formula>NOT(ISERROR(SEARCH("▼",AB95)))</formula>
    </cfRule>
    <cfRule type="containsText" priority="1389" operator="containsText" dxfId="1" text="▲">
      <formula>NOT(ISERROR(SEARCH("▲",AB95)))</formula>
    </cfRule>
    <cfRule type="containsText" priority="1390" operator="containsText" dxfId="0" text="▼">
      <formula>NOT(ISERROR(SEARCH("▼",AB95)))</formula>
    </cfRule>
    <cfRule type="containsText" priority="1391" operator="containsText" dxfId="1" text="▲">
      <formula>NOT(ISERROR(SEARCH("▲",AB95)))</formula>
    </cfRule>
    <cfRule type="containsText" priority="1392" operator="containsText" dxfId="0" text="▼">
      <formula>NOT(ISERROR(SEARCH("▼",AB95)))</formula>
    </cfRule>
    <cfRule type="containsText" priority="1393" operator="containsText" dxfId="1" text="▲">
      <formula>NOT(ISERROR(SEARCH("▲",AB95)))</formula>
    </cfRule>
    <cfRule type="containsText" priority="1394" operator="containsText" dxfId="0" text="▼">
      <formula>NOT(ISERROR(SEARCH("▼",AB95)))</formula>
    </cfRule>
    <cfRule type="containsText" priority="1395" operator="containsText" dxfId="1" text="▲">
      <formula>NOT(ISERROR(SEARCH("▲",AB95)))</formula>
    </cfRule>
    <cfRule type="containsText" priority="1396" operator="containsText" dxfId="0" text="▼">
      <formula>NOT(ISERROR(SEARCH("▼",AB95)))</formula>
    </cfRule>
    <cfRule type="containsText" priority="1397" operator="containsText" dxfId="1" text="▲">
      <formula>NOT(ISERROR(SEARCH("▲",AB95)))</formula>
    </cfRule>
    <cfRule type="containsText" priority="1398" operator="containsText" dxfId="0" text="▼">
      <formula>NOT(ISERROR(SEARCH("▼",AB95)))</formula>
    </cfRule>
    <cfRule type="containsText" priority="1399" operator="containsText" dxfId="1" text="▲">
      <formula>NOT(ISERROR(SEARCH("▲",AB95)))</formula>
    </cfRule>
    <cfRule type="containsText" priority="1400" operator="containsText" dxfId="0" text="▼">
      <formula>NOT(ISERROR(SEARCH("▼",AB95)))</formula>
    </cfRule>
    <cfRule type="containsText" priority="1401" operator="containsText" dxfId="1" text="▲">
      <formula>NOT(ISERROR(SEARCH("▲",AB95)))</formula>
    </cfRule>
    <cfRule type="containsText" priority="1402" operator="containsText" dxfId="0" text="▼">
      <formula>NOT(ISERROR(SEARCH("▼",AB95)))</formula>
    </cfRule>
    <cfRule type="containsText" priority="1403" operator="containsText" dxfId="1" text="▲">
      <formula>NOT(ISERROR(SEARCH("▲",AB95)))</formula>
    </cfRule>
    <cfRule type="containsText" priority="1404" operator="containsText" dxfId="0" text="▼">
      <formula>NOT(ISERROR(SEARCH("▼",AB95)))</formula>
    </cfRule>
    <cfRule type="containsText" priority="1405" operator="containsText" dxfId="1" text="▲">
      <formula>NOT(ISERROR(SEARCH("▲",AB95)))</formula>
    </cfRule>
    <cfRule type="containsText" priority="1406" operator="containsText" dxfId="0" text="▼">
      <formula>NOT(ISERROR(SEARCH("▼",AB95)))</formula>
    </cfRule>
    <cfRule type="containsText" priority="1407" operator="containsText" dxfId="1" text="▲">
      <formula>NOT(ISERROR(SEARCH("▲",AB95)))</formula>
    </cfRule>
    <cfRule type="containsText" priority="1408" operator="containsText" dxfId="0" text="▼">
      <formula>NOT(ISERROR(SEARCH("▼",AB95)))</formula>
    </cfRule>
    <cfRule type="containsText" priority="1409" operator="containsText" dxfId="1" text="▲">
      <formula>NOT(ISERROR(SEARCH("▲",AB95)))</formula>
    </cfRule>
    <cfRule type="containsText" priority="1410" operator="containsText" dxfId="0" text="▼">
      <formula>NOT(ISERROR(SEARCH("▼",AB95)))</formula>
    </cfRule>
    <cfRule type="containsText" priority="1411" operator="containsText" dxfId="1" text="▲">
      <formula>NOT(ISERROR(SEARCH("▲",AB95)))</formula>
    </cfRule>
    <cfRule type="containsText" priority="1412" operator="containsText" dxfId="0" text="▼">
      <formula>NOT(ISERROR(SEARCH("▼",AB95)))</formula>
    </cfRule>
    <cfRule type="containsText" priority="1413" operator="containsText" dxfId="1" text="▲">
      <formula>NOT(ISERROR(SEARCH("▲",AB95)))</formula>
    </cfRule>
    <cfRule type="containsText" priority="1414" operator="containsText" dxfId="0" text="▼">
      <formula>NOT(ISERROR(SEARCH("▼",AB95)))</formula>
    </cfRule>
    <cfRule type="containsText" priority="1415" operator="containsText" dxfId="1" text="▲">
      <formula>NOT(ISERROR(SEARCH("▲",AB95)))</formula>
    </cfRule>
    <cfRule type="containsText" priority="1416" operator="containsText" dxfId="0" text="▼">
      <formula>NOT(ISERROR(SEARCH("▼",AB95)))</formula>
    </cfRule>
    <cfRule type="containsText" priority="1417" operator="containsText" dxfId="1" text="▲">
      <formula>NOT(ISERROR(SEARCH("▲",AB95)))</formula>
    </cfRule>
    <cfRule type="containsText" priority="1418" operator="containsText" dxfId="0" text="▼">
      <formula>NOT(ISERROR(SEARCH("▼",AB95)))</formula>
    </cfRule>
    <cfRule type="containsText" priority="1419" operator="containsText" dxfId="1" text="▲">
      <formula>NOT(ISERROR(SEARCH("▲",AB95)))</formula>
    </cfRule>
    <cfRule type="containsText" priority="1420" operator="containsText" dxfId="0" text="▼">
      <formula>NOT(ISERROR(SEARCH("▼",AB95)))</formula>
    </cfRule>
    <cfRule type="containsText" priority="1421" operator="containsText" dxfId="1" text="▲">
      <formula>NOT(ISERROR(SEARCH("▲",AB95)))</formula>
    </cfRule>
    <cfRule type="containsText" priority="1422" operator="containsText" dxfId="0" text="▼">
      <formula>NOT(ISERROR(SEARCH("▼",AB95)))</formula>
    </cfRule>
    <cfRule type="containsText" priority="1423" operator="containsText" dxfId="1" text="▲">
      <formula>NOT(ISERROR(SEARCH("▲",AB95)))</formula>
    </cfRule>
    <cfRule type="containsText" priority="1424" operator="containsText" dxfId="0" text="▼">
      <formula>NOT(ISERROR(SEARCH("▼",AB95)))</formula>
    </cfRule>
    <cfRule type="containsText" priority="1425" operator="containsText" dxfId="1" text="▲">
      <formula>NOT(ISERROR(SEARCH("▲",AB95)))</formula>
    </cfRule>
    <cfRule type="containsText" priority="1426" operator="containsText" dxfId="0" text="▼">
      <formula>NOT(ISERROR(SEARCH("▼",AB95)))</formula>
    </cfRule>
    <cfRule type="containsText" priority="1427" operator="containsText" dxfId="1" text="▲">
      <formula>NOT(ISERROR(SEARCH("▲",AB95)))</formula>
    </cfRule>
    <cfRule type="containsText" priority="1428" operator="containsText" dxfId="0" text="▼">
      <formula>NOT(ISERROR(SEARCH("▼",AB95)))</formula>
    </cfRule>
    <cfRule type="containsText" priority="1429" operator="containsText" dxfId="1" text="△">
      <formula>NOT(ISERROR(SEARCH("△",AB95)))</formula>
    </cfRule>
    <cfRule type="containsText" priority="1430" operator="containsText" dxfId="0" text="▽">
      <formula>NOT(ISERROR(SEARCH("▽",AB95)))</formula>
    </cfRule>
    <cfRule type="containsText" priority="1431" operator="containsText" dxfId="1" text="▲">
      <formula>NOT(ISERROR(SEARCH("▲",AB95)))</formula>
    </cfRule>
    <cfRule type="containsText" priority="1432" operator="containsText" dxfId="0" text="▼">
      <formula>NOT(ISERROR(SEARCH("▼",AB95)))</formula>
    </cfRule>
    <cfRule type="containsText" priority="1433" operator="containsText" dxfId="1" text="▲">
      <formula>NOT(ISERROR(SEARCH("▲",AB95)))</formula>
    </cfRule>
    <cfRule type="containsText" priority="1434" operator="containsText" dxfId="0" text="▼">
      <formula>NOT(ISERROR(SEARCH("▼",AB95)))</formula>
    </cfRule>
    <cfRule type="containsText" priority="1435" operator="containsText" dxfId="1" text="▲">
      <formula>NOT(ISERROR(SEARCH("▲",AB95)))</formula>
    </cfRule>
    <cfRule type="containsText" priority="1436" operator="containsText" dxfId="0" text="▼">
      <formula>NOT(ISERROR(SEARCH("▼",AB95)))</formula>
    </cfRule>
    <cfRule type="containsText" priority="1437" operator="containsText" dxfId="1" text="▲">
      <formula>NOT(ISERROR(SEARCH("▲",AB95)))</formula>
    </cfRule>
    <cfRule type="containsText" priority="1438" operator="containsText" dxfId="0" text="▼">
      <formula>NOT(ISERROR(SEARCH("▼",AB95)))</formula>
    </cfRule>
    <cfRule type="containsText" priority="1439" operator="containsText" dxfId="1" text="▲">
      <formula>NOT(ISERROR(SEARCH("▲",AB95)))</formula>
    </cfRule>
    <cfRule type="containsText" priority="1440" operator="containsText" dxfId="0" text="▼">
      <formula>NOT(ISERROR(SEARCH("▼",AB95)))</formula>
    </cfRule>
    <cfRule type="containsText" priority="1441" operator="containsText" dxfId="1" text="▲">
      <formula>NOT(ISERROR(SEARCH("▲",AB95)))</formula>
    </cfRule>
    <cfRule type="containsText" priority="1442" operator="containsText" dxfId="0" text="▼">
      <formula>NOT(ISERROR(SEARCH("▼",AB95)))</formula>
    </cfRule>
    <cfRule type="containsText" priority="1443" operator="containsText" dxfId="1" text="▲">
      <formula>NOT(ISERROR(SEARCH("▲",AB95)))</formula>
    </cfRule>
    <cfRule type="containsText" priority="1444" operator="containsText" dxfId="0" text="▼">
      <formula>NOT(ISERROR(SEARCH("▼",AB95)))</formula>
    </cfRule>
    <cfRule type="containsText" priority="1445" operator="containsText" dxfId="1" text="▲">
      <formula>NOT(ISERROR(SEARCH("▲",AB95)))</formula>
    </cfRule>
    <cfRule type="containsText" priority="1446" operator="containsText" dxfId="0" text="▼">
      <formula>NOT(ISERROR(SEARCH("▼",AB95)))</formula>
    </cfRule>
    <cfRule type="containsText" priority="1447" operator="containsText" dxfId="1" text="▲">
      <formula>NOT(ISERROR(SEARCH("▲",AB95)))</formula>
    </cfRule>
    <cfRule type="containsText" priority="1448" operator="containsText" dxfId="0" text="▼">
      <formula>NOT(ISERROR(SEARCH("▼",AB95)))</formula>
    </cfRule>
    <cfRule type="containsText" priority="1449" operator="containsText" dxfId="1" text="▲">
      <formula>NOT(ISERROR(SEARCH("▲",AB95)))</formula>
    </cfRule>
    <cfRule type="containsText" priority="1450" operator="containsText" dxfId="0" text="▼">
      <formula>NOT(ISERROR(SEARCH("▼",AB95)))</formula>
    </cfRule>
    <cfRule type="containsText" priority="1451" operator="containsText" dxfId="1" text="▲">
      <formula>NOT(ISERROR(SEARCH("▲",AB95)))</formula>
    </cfRule>
    <cfRule type="containsText" priority="1452" operator="containsText" dxfId="0" text="▼">
      <formula>NOT(ISERROR(SEARCH("▼",AB95)))</formula>
    </cfRule>
    <cfRule type="containsText" priority="1453" operator="containsText" dxfId="1" text="▲">
      <formula>NOT(ISERROR(SEARCH("▲",AB95)))</formula>
    </cfRule>
    <cfRule type="containsText" priority="1454" operator="containsText" dxfId="0" text="▼">
      <formula>NOT(ISERROR(SEARCH("▼",AB95)))</formula>
    </cfRule>
    <cfRule type="containsText" priority="1455" operator="containsText" dxfId="1" text="▲">
      <formula>NOT(ISERROR(SEARCH("▲",AB95)))</formula>
    </cfRule>
    <cfRule type="containsText" priority="1456" operator="containsText" dxfId="0" text="▼">
      <formula>NOT(ISERROR(SEARCH("▼",AB95)))</formula>
    </cfRule>
    <cfRule type="containsText" priority="1457" operator="containsText" dxfId="1" text="▲">
      <formula>NOT(ISERROR(SEARCH("▲",AB95)))</formula>
    </cfRule>
    <cfRule type="containsText" priority="1458" operator="containsText" dxfId="0" text="▼">
      <formula>NOT(ISERROR(SEARCH("▼",AB95)))</formula>
    </cfRule>
    <cfRule type="containsText" priority="1459" operator="containsText" dxfId="1" text="▲">
      <formula>NOT(ISERROR(SEARCH("▲",AB95)))</formula>
    </cfRule>
    <cfRule type="containsText" priority="1460" operator="containsText" dxfId="0" text="▼">
      <formula>NOT(ISERROR(SEARCH("▼",AB95)))</formula>
    </cfRule>
    <cfRule type="containsText" priority="1461" operator="containsText" dxfId="1" text="▲">
      <formula>NOT(ISERROR(SEARCH("▲",AB95)))</formula>
    </cfRule>
    <cfRule type="containsText" priority="1462" operator="containsText" dxfId="0" text="▼">
      <formula>NOT(ISERROR(SEARCH("▼",AB95)))</formula>
    </cfRule>
    <cfRule type="containsText" priority="1463" operator="containsText" dxfId="1" text="▲">
      <formula>NOT(ISERROR(SEARCH("▲",AB95)))</formula>
    </cfRule>
    <cfRule type="containsText" priority="1464" operator="containsText" dxfId="0" text="▼">
      <formula>NOT(ISERROR(SEARCH("▼",AB95)))</formula>
    </cfRule>
    <cfRule type="containsText" priority="1465" operator="containsText" dxfId="1" text="▲">
      <formula>NOT(ISERROR(SEARCH("▲",AB95)))</formula>
    </cfRule>
    <cfRule type="containsText" priority="1466" operator="containsText" dxfId="0" text="▼">
      <formula>NOT(ISERROR(SEARCH("▼",AB95)))</formula>
    </cfRule>
    <cfRule type="containsText" priority="1467" operator="containsText" dxfId="1" text="▲">
      <formula>NOT(ISERROR(SEARCH("▲",AB95)))</formula>
    </cfRule>
    <cfRule type="containsText" priority="1468" operator="containsText" dxfId="0" text="▼">
      <formula>NOT(ISERROR(SEARCH("▼",AB95)))</formula>
    </cfRule>
    <cfRule type="containsText" priority="1469" operator="containsText" dxfId="1" text="▲">
      <formula>NOT(ISERROR(SEARCH("▲",AB95)))</formula>
    </cfRule>
    <cfRule type="containsText" priority="1470" operator="containsText" dxfId="0" text="▼">
      <formula>NOT(ISERROR(SEARCH("▼",AB95)))</formula>
    </cfRule>
    <cfRule type="containsText" priority="1471" operator="containsText" dxfId="1" text="▲">
      <formula>NOT(ISERROR(SEARCH("▲",AB95)))</formula>
    </cfRule>
    <cfRule type="containsText" priority="1472" operator="containsText" dxfId="0" text="▼">
      <formula>NOT(ISERROR(SEARCH("▼",AB95)))</formula>
    </cfRule>
    <cfRule type="containsText" priority="1473" operator="containsText" dxfId="1" text="▲">
      <formula>NOT(ISERROR(SEARCH("▲",AB95)))</formula>
    </cfRule>
    <cfRule type="containsText" priority="1474" operator="containsText" dxfId="0" text="▼">
      <formula>NOT(ISERROR(SEARCH("▼",AB95)))</formula>
    </cfRule>
    <cfRule type="containsText" priority="1475" operator="containsText" dxfId="1" text="▲">
      <formula>NOT(ISERROR(SEARCH("▲",AB95)))</formula>
    </cfRule>
    <cfRule type="containsText" priority="1476" operator="containsText" dxfId="0" text="▼">
      <formula>NOT(ISERROR(SEARCH("▼",AB95)))</formula>
    </cfRule>
    <cfRule type="containsText" priority="1477" operator="containsText" dxfId="1" text="▲">
      <formula>NOT(ISERROR(SEARCH("▲",AB95)))</formula>
    </cfRule>
    <cfRule type="containsText" priority="1478" operator="containsText" dxfId="0" text="▼">
      <formula>NOT(ISERROR(SEARCH("▼",AB95)))</formula>
    </cfRule>
    <cfRule type="containsText" priority="1479" operator="containsText" dxfId="1" text="△">
      <formula>NOT(ISERROR(SEARCH("△",AB95)))</formula>
    </cfRule>
    <cfRule type="containsText" priority="1480" operator="containsText" dxfId="0" text="▽">
      <formula>NOT(ISERROR(SEARCH("▽",AB95)))</formula>
    </cfRule>
    <cfRule type="containsText" priority="1481" operator="containsText" dxfId="1" text="▲">
      <formula>NOT(ISERROR(SEARCH("▲",AB95)))</formula>
    </cfRule>
    <cfRule type="containsText" priority="1482" operator="containsText" dxfId="0" text="▼">
      <formula>NOT(ISERROR(SEARCH("▼",AB95)))</formula>
    </cfRule>
    <cfRule type="containsText" priority="1483" operator="containsText" dxfId="1" text="▲">
      <formula>NOT(ISERROR(SEARCH("▲",AB95)))</formula>
    </cfRule>
    <cfRule type="containsText" priority="1484" operator="containsText" dxfId="0" text="▼">
      <formula>NOT(ISERROR(SEARCH("▼",AB95)))</formula>
    </cfRule>
    <cfRule type="containsText" priority="1485" operator="containsText" dxfId="1" text="▲">
      <formula>NOT(ISERROR(SEARCH("▲",AB95)))</formula>
    </cfRule>
    <cfRule type="containsText" priority="1486" operator="containsText" dxfId="0" text="▼">
      <formula>NOT(ISERROR(SEARCH("▼",AB95)))</formula>
    </cfRule>
    <cfRule type="containsText" priority="1487" operator="containsText" dxfId="1" text="▲">
      <formula>NOT(ISERROR(SEARCH("▲",AB95)))</formula>
    </cfRule>
    <cfRule type="containsText" priority="1488" operator="containsText" dxfId="0" text="▼">
      <formula>NOT(ISERROR(SEARCH("▼",AB95)))</formula>
    </cfRule>
    <cfRule type="containsText" priority="1489" operator="containsText" dxfId="1" text="▲">
      <formula>NOT(ISERROR(SEARCH("▲",AB95)))</formula>
    </cfRule>
    <cfRule type="containsText" priority="1490" operator="containsText" dxfId="0" text="▼">
      <formula>NOT(ISERROR(SEARCH("▼",AB95)))</formula>
    </cfRule>
    <cfRule type="containsText" priority="1491" operator="containsText" dxfId="1" text="▲">
      <formula>NOT(ISERROR(SEARCH("▲",AB95)))</formula>
    </cfRule>
    <cfRule type="containsText" priority="1492" operator="containsText" dxfId="0" text="▼">
      <formula>NOT(ISERROR(SEARCH("▼",AB95)))</formula>
    </cfRule>
    <cfRule type="containsText" priority="1493" operator="containsText" dxfId="1" text="▲">
      <formula>NOT(ISERROR(SEARCH("▲",AB95)))</formula>
    </cfRule>
    <cfRule type="containsText" priority="1494" operator="containsText" dxfId="0" text="▼">
      <formula>NOT(ISERROR(SEARCH("▼",AB95)))</formula>
    </cfRule>
    <cfRule type="containsText" priority="1495" operator="containsText" dxfId="1" text="▲">
      <formula>NOT(ISERROR(SEARCH("▲",AB95)))</formula>
    </cfRule>
    <cfRule type="containsText" priority="1496" operator="containsText" dxfId="0" text="▼">
      <formula>NOT(ISERROR(SEARCH("▼",AB95)))</formula>
    </cfRule>
    <cfRule type="containsText" priority="1497" operator="containsText" dxfId="1" text="▲">
      <formula>NOT(ISERROR(SEARCH("▲",AB95)))</formula>
    </cfRule>
    <cfRule type="containsText" priority="1498" operator="containsText" dxfId="0" text="▼">
      <formula>NOT(ISERROR(SEARCH("▼",AB95)))</formula>
    </cfRule>
    <cfRule type="containsText" priority="1499" operator="containsText" dxfId="1" text="▲">
      <formula>NOT(ISERROR(SEARCH("▲",AB95)))</formula>
    </cfRule>
    <cfRule type="containsText" priority="1500" operator="containsText" dxfId="0" text="▼">
      <formula>NOT(ISERROR(SEARCH("▼",AB95)))</formula>
    </cfRule>
    <cfRule type="containsText" priority="1501" operator="containsText" dxfId="1" text="▲">
      <formula>NOT(ISERROR(SEARCH("▲",AB95)))</formula>
    </cfRule>
    <cfRule type="containsText" priority="1502" operator="containsText" dxfId="0" text="▼">
      <formula>NOT(ISERROR(SEARCH("▼",AB95)))</formula>
    </cfRule>
    <cfRule type="containsText" priority="1503" operator="containsText" dxfId="1" text="▲">
      <formula>NOT(ISERROR(SEARCH("▲",AB95)))</formula>
    </cfRule>
    <cfRule type="containsText" priority="1504" operator="containsText" dxfId="0" text="▼">
      <formula>NOT(ISERROR(SEARCH("▼",AB95)))</formula>
    </cfRule>
    <cfRule type="containsText" priority="1505" operator="containsText" dxfId="1" text="▲">
      <formula>NOT(ISERROR(SEARCH("▲",AB95)))</formula>
    </cfRule>
    <cfRule type="containsText" priority="1506" operator="containsText" dxfId="0" text="▼">
      <formula>NOT(ISERROR(SEARCH("▼",AB95)))</formula>
    </cfRule>
    <cfRule type="containsText" priority="1507" operator="containsText" dxfId="1" text="▲">
      <formula>NOT(ISERROR(SEARCH("▲",AB95)))</formula>
    </cfRule>
    <cfRule type="containsText" priority="1508" operator="containsText" dxfId="0" text="▼">
      <formula>NOT(ISERROR(SEARCH("▼",AB95)))</formula>
    </cfRule>
    <cfRule type="containsText" priority="1509" operator="containsText" dxfId="1" text="▲">
      <formula>NOT(ISERROR(SEARCH("▲",AB95)))</formula>
    </cfRule>
    <cfRule type="containsText" priority="1510" operator="containsText" dxfId="0" text="▼">
      <formula>NOT(ISERROR(SEARCH("▼",AB95)))</formula>
    </cfRule>
    <cfRule type="containsText" priority="1511" operator="containsText" dxfId="1" text="▲">
      <formula>NOT(ISERROR(SEARCH("▲",AB95)))</formula>
    </cfRule>
    <cfRule type="containsText" priority="1512" operator="containsText" dxfId="0" text="▼">
      <formula>NOT(ISERROR(SEARCH("▼",AB95)))</formula>
    </cfRule>
    <cfRule type="containsText" priority="1513" operator="containsText" dxfId="1" text="▲">
      <formula>NOT(ISERROR(SEARCH("▲",AB95)))</formula>
    </cfRule>
    <cfRule type="containsText" priority="1514" operator="containsText" dxfId="0" text="▼">
      <formula>NOT(ISERROR(SEARCH("▼",AB95)))</formula>
    </cfRule>
    <cfRule type="containsText" priority="1515" operator="containsText" dxfId="1" text="▲">
      <formula>NOT(ISERROR(SEARCH("▲",AB95)))</formula>
    </cfRule>
    <cfRule type="containsText" priority="1516" operator="containsText" dxfId="0" text="▼">
      <formula>NOT(ISERROR(SEARCH("▼",AB95)))</formula>
    </cfRule>
    <cfRule type="containsText" priority="1517" operator="containsText" dxfId="1" text="▲">
      <formula>NOT(ISERROR(SEARCH("▲",AB95)))</formula>
    </cfRule>
    <cfRule type="containsText" priority="1518" operator="containsText" dxfId="0" text="▼">
      <formula>NOT(ISERROR(SEARCH("▼",AB95)))</formula>
    </cfRule>
    <cfRule type="containsText" priority="1519" operator="containsText" dxfId="1" text="▲">
      <formula>NOT(ISERROR(SEARCH("▲",AB95)))</formula>
    </cfRule>
    <cfRule type="containsText" priority="1520" operator="containsText" dxfId="0" text="▼">
      <formula>NOT(ISERROR(SEARCH("▼",AB95)))</formula>
    </cfRule>
    <cfRule type="containsText" priority="1521" operator="containsText" dxfId="1" text="▲">
      <formula>NOT(ISERROR(SEARCH("▲",AB95)))</formula>
    </cfRule>
    <cfRule type="containsText" priority="1522" operator="containsText" dxfId="0" text="▼">
      <formula>NOT(ISERROR(SEARCH("▼",AB95)))</formula>
    </cfRule>
    <cfRule type="containsText" priority="1523" operator="containsText" dxfId="1" text="▲">
      <formula>NOT(ISERROR(SEARCH("▲",AB95)))</formula>
    </cfRule>
    <cfRule type="containsText" priority="1524" operator="containsText" dxfId="0" text="▼">
      <formula>NOT(ISERROR(SEARCH("▼",AB95)))</formula>
    </cfRule>
    <cfRule type="containsText" priority="1525" operator="containsText" dxfId="1" text="▲">
      <formula>NOT(ISERROR(SEARCH("▲",AB95)))</formula>
    </cfRule>
    <cfRule type="containsText" priority="1526" operator="containsText" dxfId="0" text="▼">
      <formula>NOT(ISERROR(SEARCH("▼",AB95)))</formula>
    </cfRule>
    <cfRule type="containsText" priority="1527" operator="containsText" dxfId="1" text="▲">
      <formula>NOT(ISERROR(SEARCH("▲",AB95)))</formula>
    </cfRule>
    <cfRule type="containsText" priority="1528" operator="containsText" dxfId="0" text="▼">
      <formula>NOT(ISERROR(SEARCH("▼",AB95)))</formula>
    </cfRule>
    <cfRule type="containsText" priority="1529" operator="containsText" dxfId="1" text="▲">
      <formula>NOT(ISERROR(SEARCH("▲",AB95)))</formula>
    </cfRule>
    <cfRule type="containsText" priority="1530" operator="containsText" dxfId="0" text="▼">
      <formula>NOT(ISERROR(SEARCH("▼",AB95)))</formula>
    </cfRule>
    <cfRule type="containsText" priority="1531" operator="containsText" dxfId="1" text="▲">
      <formula>NOT(ISERROR(SEARCH("▲",AB95)))</formula>
    </cfRule>
    <cfRule type="containsText" priority="1532" operator="containsText" dxfId="0" text="▼">
      <formula>NOT(ISERROR(SEARCH("▼",AB95)))</formula>
    </cfRule>
    <cfRule type="containsText" priority="1533" operator="containsText" dxfId="1" text="▲">
      <formula>NOT(ISERROR(SEARCH("▲",AB95)))</formula>
    </cfRule>
    <cfRule type="containsText" priority="1534" operator="containsText" dxfId="0" text="▼">
      <formula>NOT(ISERROR(SEARCH("▼",AB95)))</formula>
    </cfRule>
    <cfRule type="containsText" priority="1535" operator="containsText" dxfId="1" text="▲">
      <formula>NOT(ISERROR(SEARCH("▲",AB95)))</formula>
    </cfRule>
    <cfRule type="containsText" priority="1536" operator="containsText" dxfId="0" text="▼">
      <formula>NOT(ISERROR(SEARCH("▼",AB95)))</formula>
    </cfRule>
    <cfRule type="containsText" priority="1537" operator="containsText" dxfId="1" text="▲">
      <formula>NOT(ISERROR(SEARCH("▲",AB95)))</formula>
    </cfRule>
    <cfRule type="containsText" priority="1538" operator="containsText" dxfId="0" text="▼">
      <formula>NOT(ISERROR(SEARCH("▼",AB95)))</formula>
    </cfRule>
    <cfRule type="containsText" priority="1539" operator="containsText" dxfId="1" text="▲">
      <formula>NOT(ISERROR(SEARCH("▲",AB95)))</formula>
    </cfRule>
    <cfRule type="containsText" priority="1540" operator="containsText" dxfId="0" text="▼">
      <formula>NOT(ISERROR(SEARCH("▼",AB95)))</formula>
    </cfRule>
    <cfRule type="containsText" priority="1541" operator="containsText" dxfId="1" text="△">
      <formula>NOT(ISERROR(SEARCH("△",AB95)))</formula>
    </cfRule>
    <cfRule type="containsText" priority="1542" operator="containsText" dxfId="0" text="▽">
      <formula>NOT(ISERROR(SEARCH("▽",AB95)))</formula>
    </cfRule>
  </conditionalFormatting>
  <conditionalFormatting sqref="AB93">
    <cfRule type="containsText" priority="1115" operator="containsText" dxfId="1" text="▲">
      <formula>NOT(ISERROR(SEARCH("▲",AB93)))</formula>
    </cfRule>
    <cfRule type="containsText" priority="1116" operator="containsText" dxfId="0" text="▼">
      <formula>NOT(ISERROR(SEARCH("▼",AB93)))</formula>
    </cfRule>
    <cfRule type="containsText" priority="1117" operator="containsText" dxfId="1" text="▲">
      <formula>NOT(ISERROR(SEARCH("▲",AB93)))</formula>
    </cfRule>
    <cfRule type="containsText" priority="1118" operator="containsText" dxfId="0" text="▼">
      <formula>NOT(ISERROR(SEARCH("▼",AB93)))</formula>
    </cfRule>
    <cfRule type="containsText" priority="1119" operator="containsText" dxfId="1" text="▲">
      <formula>NOT(ISERROR(SEARCH("▲",AB93)))</formula>
    </cfRule>
    <cfRule type="containsText" priority="1120" operator="containsText" dxfId="0" text="▼">
      <formula>NOT(ISERROR(SEARCH("▼",AB93)))</formula>
    </cfRule>
    <cfRule type="containsText" priority="1121" operator="containsText" dxfId="1" text="▲">
      <formula>NOT(ISERROR(SEARCH("▲",AB93)))</formula>
    </cfRule>
    <cfRule type="containsText" priority="1122" operator="containsText" dxfId="0" text="▼">
      <formula>NOT(ISERROR(SEARCH("▼",AB93)))</formula>
    </cfRule>
    <cfRule type="containsText" priority="1123" operator="containsText" dxfId="1" text="▲">
      <formula>NOT(ISERROR(SEARCH("▲",AB93)))</formula>
    </cfRule>
    <cfRule type="containsText" priority="1124" operator="containsText" dxfId="0" text="▼">
      <formula>NOT(ISERROR(SEARCH("▼",AB93)))</formula>
    </cfRule>
    <cfRule type="containsText" priority="1125" operator="containsText" dxfId="1" text="▲">
      <formula>NOT(ISERROR(SEARCH("▲",AB93)))</formula>
    </cfRule>
    <cfRule type="containsText" priority="1126" operator="containsText" dxfId="0" text="▼">
      <formula>NOT(ISERROR(SEARCH("▼",AB93)))</formula>
    </cfRule>
    <cfRule type="containsText" priority="1127" operator="containsText" dxfId="1" text="▲">
      <formula>NOT(ISERROR(SEARCH("▲",AB93)))</formula>
    </cfRule>
    <cfRule type="containsText" priority="1128" operator="containsText" dxfId="0" text="▼">
      <formula>NOT(ISERROR(SEARCH("▼",AB93)))</formula>
    </cfRule>
    <cfRule type="containsText" priority="1129" operator="containsText" dxfId="1" text="▲">
      <formula>NOT(ISERROR(SEARCH("▲",AB93)))</formula>
    </cfRule>
    <cfRule type="containsText" priority="1130" operator="containsText" dxfId="0" text="▼">
      <formula>NOT(ISERROR(SEARCH("▼",AB93)))</formula>
    </cfRule>
    <cfRule type="containsText" priority="1131" operator="containsText" dxfId="1" text="▲">
      <formula>NOT(ISERROR(SEARCH("▲",AB93)))</formula>
    </cfRule>
    <cfRule type="containsText" priority="1132" operator="containsText" dxfId="0" text="▼">
      <formula>NOT(ISERROR(SEARCH("▼",AB93)))</formula>
    </cfRule>
    <cfRule type="containsText" priority="1133" operator="containsText" dxfId="1" text="▲">
      <formula>NOT(ISERROR(SEARCH("▲",AB93)))</formula>
    </cfRule>
    <cfRule type="containsText" priority="1134" operator="containsText" dxfId="0" text="▼">
      <formula>NOT(ISERROR(SEARCH("▼",AB93)))</formula>
    </cfRule>
    <cfRule type="containsText" priority="1135" operator="containsText" dxfId="1" text="▲">
      <formula>NOT(ISERROR(SEARCH("▲",AB93)))</formula>
    </cfRule>
    <cfRule type="containsText" priority="1136" operator="containsText" dxfId="0" text="▼">
      <formula>NOT(ISERROR(SEARCH("▼",AB93)))</formula>
    </cfRule>
    <cfRule type="containsText" priority="1137" operator="containsText" dxfId="1" text="▲">
      <formula>NOT(ISERROR(SEARCH("▲",AB93)))</formula>
    </cfRule>
    <cfRule type="containsText" priority="1138" operator="containsText" dxfId="0" text="▼">
      <formula>NOT(ISERROR(SEARCH("▼",AB93)))</formula>
    </cfRule>
    <cfRule type="containsText" priority="1139" operator="containsText" dxfId="1" text="▲">
      <formula>NOT(ISERROR(SEARCH("▲",AB93)))</formula>
    </cfRule>
    <cfRule type="containsText" priority="1140" operator="containsText" dxfId="0" text="▼">
      <formula>NOT(ISERROR(SEARCH("▼",AB93)))</formula>
    </cfRule>
    <cfRule type="containsText" priority="1141" operator="containsText" dxfId="1" text="▲">
      <formula>NOT(ISERROR(SEARCH("▲",AB93)))</formula>
    </cfRule>
    <cfRule type="containsText" priority="1142" operator="containsText" dxfId="0" text="▼">
      <formula>NOT(ISERROR(SEARCH("▼",AB93)))</formula>
    </cfRule>
    <cfRule type="containsText" priority="1143" operator="containsText" dxfId="1" text="▲">
      <formula>NOT(ISERROR(SEARCH("▲",AB93)))</formula>
    </cfRule>
    <cfRule type="containsText" priority="1144" operator="containsText" dxfId="0" text="▼">
      <formula>NOT(ISERROR(SEARCH("▼",AB93)))</formula>
    </cfRule>
    <cfRule type="containsText" priority="1145" operator="containsText" dxfId="1" text="▲">
      <formula>NOT(ISERROR(SEARCH("▲",AB93)))</formula>
    </cfRule>
    <cfRule type="containsText" priority="1146" operator="containsText" dxfId="0" text="▼">
      <formula>NOT(ISERROR(SEARCH("▼",AB93)))</formula>
    </cfRule>
    <cfRule type="containsText" priority="1147" operator="containsText" dxfId="1" text="▲">
      <formula>NOT(ISERROR(SEARCH("▲",AB93)))</formula>
    </cfRule>
    <cfRule type="containsText" priority="1148" operator="containsText" dxfId="0" text="▼">
      <formula>NOT(ISERROR(SEARCH("▼",AB93)))</formula>
    </cfRule>
    <cfRule type="containsText" priority="1149" operator="containsText" dxfId="1" text="▲">
      <formula>NOT(ISERROR(SEARCH("▲",AB93)))</formula>
    </cfRule>
    <cfRule type="containsText" priority="1150" operator="containsText" dxfId="0" text="▼">
      <formula>NOT(ISERROR(SEARCH("▼",AB93)))</formula>
    </cfRule>
    <cfRule type="containsText" priority="1151" operator="containsText" dxfId="1" text="▲">
      <formula>NOT(ISERROR(SEARCH("▲",AB93)))</formula>
    </cfRule>
    <cfRule type="containsText" priority="1152" operator="containsText" dxfId="0" text="▼">
      <formula>NOT(ISERROR(SEARCH("▼",AB93)))</formula>
    </cfRule>
    <cfRule type="containsText" priority="1153" operator="containsText" dxfId="1" text="▲">
      <formula>NOT(ISERROR(SEARCH("▲",AB93)))</formula>
    </cfRule>
    <cfRule type="containsText" priority="1154" operator="containsText" dxfId="0" text="▼">
      <formula>NOT(ISERROR(SEARCH("▼",AB93)))</formula>
    </cfRule>
    <cfRule type="containsText" priority="1155" operator="containsText" dxfId="1" text="▲">
      <formula>NOT(ISERROR(SEARCH("▲",AB93)))</formula>
    </cfRule>
    <cfRule type="containsText" priority="1156" operator="containsText" dxfId="0" text="▼">
      <formula>NOT(ISERROR(SEARCH("▼",AB93)))</formula>
    </cfRule>
    <cfRule type="containsText" priority="1157" operator="containsText" dxfId="1" text="▲">
      <formula>NOT(ISERROR(SEARCH("▲",AB93)))</formula>
    </cfRule>
    <cfRule type="containsText" priority="1158" operator="containsText" dxfId="0" text="▼">
      <formula>NOT(ISERROR(SEARCH("▼",AB93)))</formula>
    </cfRule>
    <cfRule type="containsText" priority="1159" operator="containsText" dxfId="1" text="▲">
      <formula>NOT(ISERROR(SEARCH("▲",AB93)))</formula>
    </cfRule>
    <cfRule type="containsText" priority="1160" operator="containsText" dxfId="0" text="▼">
      <formula>NOT(ISERROR(SEARCH("▼",AB93)))</formula>
    </cfRule>
    <cfRule type="containsText" priority="1161" operator="containsText" dxfId="1" text="▲">
      <formula>NOT(ISERROR(SEARCH("▲",AB93)))</formula>
    </cfRule>
    <cfRule type="containsText" priority="1162" operator="containsText" dxfId="0" text="▼">
      <formula>NOT(ISERROR(SEARCH("▼",AB93)))</formula>
    </cfRule>
    <cfRule type="containsText" priority="1163" operator="containsText" dxfId="1" text="△">
      <formula>NOT(ISERROR(SEARCH("△",AB93)))</formula>
    </cfRule>
    <cfRule type="containsText" priority="1164" operator="containsText" dxfId="0" text="▽">
      <formula>NOT(ISERROR(SEARCH("▽",AB93)))</formula>
    </cfRule>
    <cfRule type="containsText" priority="1165" operator="containsText" dxfId="1" text="▲">
      <formula>NOT(ISERROR(SEARCH("▲",AB93)))</formula>
    </cfRule>
    <cfRule type="containsText" priority="1166" operator="containsText" dxfId="0" text="▼">
      <formula>NOT(ISERROR(SEARCH("▼",AB93)))</formula>
    </cfRule>
    <cfRule type="containsText" priority="1167" operator="containsText" dxfId="1" text="▲">
      <formula>NOT(ISERROR(SEARCH("▲",AB93)))</formula>
    </cfRule>
    <cfRule type="containsText" priority="1168" operator="containsText" dxfId="0" text="▼">
      <formula>NOT(ISERROR(SEARCH("▼",AB93)))</formula>
    </cfRule>
    <cfRule type="containsText" priority="1169" operator="containsText" dxfId="1" text="▲">
      <formula>NOT(ISERROR(SEARCH("▲",AB93)))</formula>
    </cfRule>
    <cfRule type="containsText" priority="1170" operator="containsText" dxfId="0" text="▼">
      <formula>NOT(ISERROR(SEARCH("▼",AB93)))</formula>
    </cfRule>
    <cfRule type="containsText" priority="1171" operator="containsText" dxfId="1" text="▲">
      <formula>NOT(ISERROR(SEARCH("▲",AB93)))</formula>
    </cfRule>
    <cfRule type="containsText" priority="1172" operator="containsText" dxfId="0" text="▼">
      <formula>NOT(ISERROR(SEARCH("▼",AB93)))</formula>
    </cfRule>
    <cfRule type="containsText" priority="1173" operator="containsText" dxfId="1" text="▲">
      <formula>NOT(ISERROR(SEARCH("▲",AB93)))</formula>
    </cfRule>
    <cfRule type="containsText" priority="1174" operator="containsText" dxfId="0" text="▼">
      <formula>NOT(ISERROR(SEARCH("▼",AB93)))</formula>
    </cfRule>
    <cfRule type="containsText" priority="1175" operator="containsText" dxfId="1" text="▲">
      <formula>NOT(ISERROR(SEARCH("▲",AB93)))</formula>
    </cfRule>
    <cfRule type="containsText" priority="1176" operator="containsText" dxfId="0" text="▼">
      <formula>NOT(ISERROR(SEARCH("▼",AB93)))</formula>
    </cfRule>
    <cfRule type="containsText" priority="1177" operator="containsText" dxfId="1" text="▲">
      <formula>NOT(ISERROR(SEARCH("▲",AB93)))</formula>
    </cfRule>
    <cfRule type="containsText" priority="1178" operator="containsText" dxfId="0" text="▼">
      <formula>NOT(ISERROR(SEARCH("▼",AB93)))</formula>
    </cfRule>
    <cfRule type="containsText" priority="1179" operator="containsText" dxfId="1" text="▲">
      <formula>NOT(ISERROR(SEARCH("▲",AB93)))</formula>
    </cfRule>
    <cfRule type="containsText" priority="1180" operator="containsText" dxfId="0" text="▼">
      <formula>NOT(ISERROR(SEARCH("▼",AB93)))</formula>
    </cfRule>
    <cfRule type="containsText" priority="1181" operator="containsText" dxfId="1" text="▲">
      <formula>NOT(ISERROR(SEARCH("▲",AB93)))</formula>
    </cfRule>
    <cfRule type="containsText" priority="1182" operator="containsText" dxfId="0" text="▼">
      <formula>NOT(ISERROR(SEARCH("▼",AB93)))</formula>
    </cfRule>
    <cfRule type="containsText" priority="1183" operator="containsText" dxfId="1" text="▲">
      <formula>NOT(ISERROR(SEARCH("▲",AB93)))</formula>
    </cfRule>
    <cfRule type="containsText" priority="1184" operator="containsText" dxfId="0" text="▼">
      <formula>NOT(ISERROR(SEARCH("▼",AB93)))</formula>
    </cfRule>
    <cfRule type="containsText" priority="1185" operator="containsText" dxfId="1" text="▲">
      <formula>NOT(ISERROR(SEARCH("▲",AB93)))</formula>
    </cfRule>
    <cfRule type="containsText" priority="1186" operator="containsText" dxfId="0" text="▼">
      <formula>NOT(ISERROR(SEARCH("▼",AB93)))</formula>
    </cfRule>
    <cfRule type="containsText" priority="1187" operator="containsText" dxfId="1" text="▲">
      <formula>NOT(ISERROR(SEARCH("▲",AB93)))</formula>
    </cfRule>
    <cfRule type="containsText" priority="1188" operator="containsText" dxfId="0" text="▼">
      <formula>NOT(ISERROR(SEARCH("▼",AB93)))</formula>
    </cfRule>
    <cfRule type="containsText" priority="1189" operator="containsText" dxfId="1" text="▲">
      <formula>NOT(ISERROR(SEARCH("▲",AB93)))</formula>
    </cfRule>
    <cfRule type="containsText" priority="1190" operator="containsText" dxfId="0" text="▼">
      <formula>NOT(ISERROR(SEARCH("▼",AB93)))</formula>
    </cfRule>
    <cfRule type="containsText" priority="1191" operator="containsText" dxfId="1" text="▲">
      <formula>NOT(ISERROR(SEARCH("▲",AB93)))</formula>
    </cfRule>
    <cfRule type="containsText" priority="1192" operator="containsText" dxfId="0" text="▼">
      <formula>NOT(ISERROR(SEARCH("▼",AB93)))</formula>
    </cfRule>
    <cfRule type="containsText" priority="1193" operator="containsText" dxfId="1" text="▲">
      <formula>NOT(ISERROR(SEARCH("▲",AB93)))</formula>
    </cfRule>
    <cfRule type="containsText" priority="1194" operator="containsText" dxfId="0" text="▼">
      <formula>NOT(ISERROR(SEARCH("▼",AB93)))</formula>
    </cfRule>
    <cfRule type="containsText" priority="1195" operator="containsText" dxfId="1" text="▲">
      <formula>NOT(ISERROR(SEARCH("▲",AB93)))</formula>
    </cfRule>
    <cfRule type="containsText" priority="1196" operator="containsText" dxfId="0" text="▼">
      <formula>NOT(ISERROR(SEARCH("▼",AB93)))</formula>
    </cfRule>
    <cfRule type="containsText" priority="1197" operator="containsText" dxfId="1" text="▲">
      <formula>NOT(ISERROR(SEARCH("▲",AB93)))</formula>
    </cfRule>
    <cfRule type="containsText" priority="1198" operator="containsText" dxfId="0" text="▼">
      <formula>NOT(ISERROR(SEARCH("▼",AB93)))</formula>
    </cfRule>
    <cfRule type="containsText" priority="1199" operator="containsText" dxfId="1" text="▲">
      <formula>NOT(ISERROR(SEARCH("▲",AB93)))</formula>
    </cfRule>
    <cfRule type="containsText" priority="1200" operator="containsText" dxfId="0" text="▼">
      <formula>NOT(ISERROR(SEARCH("▼",AB93)))</formula>
    </cfRule>
    <cfRule type="containsText" priority="1201" operator="containsText" dxfId="1" text="▲">
      <formula>NOT(ISERROR(SEARCH("▲",AB93)))</formula>
    </cfRule>
    <cfRule type="containsText" priority="1202" operator="containsText" dxfId="0" text="▼">
      <formula>NOT(ISERROR(SEARCH("▼",AB93)))</formula>
    </cfRule>
    <cfRule type="containsText" priority="1203" operator="containsText" dxfId="1" text="▲">
      <formula>NOT(ISERROR(SEARCH("▲",AB93)))</formula>
    </cfRule>
    <cfRule type="containsText" priority="1204" operator="containsText" dxfId="0" text="▼">
      <formula>NOT(ISERROR(SEARCH("▼",AB93)))</formula>
    </cfRule>
    <cfRule type="containsText" priority="1205" operator="containsText" dxfId="1" text="▲">
      <formula>NOT(ISERROR(SEARCH("▲",AB93)))</formula>
    </cfRule>
    <cfRule type="containsText" priority="1206" operator="containsText" dxfId="0" text="▼">
      <formula>NOT(ISERROR(SEARCH("▼",AB93)))</formula>
    </cfRule>
    <cfRule type="containsText" priority="1207" operator="containsText" dxfId="1" text="▲">
      <formula>NOT(ISERROR(SEARCH("▲",AB93)))</formula>
    </cfRule>
    <cfRule type="containsText" priority="1208" operator="containsText" dxfId="0" text="▼">
      <formula>NOT(ISERROR(SEARCH("▼",AB93)))</formula>
    </cfRule>
    <cfRule type="containsText" priority="1209" operator="containsText" dxfId="1" text="▲">
      <formula>NOT(ISERROR(SEARCH("▲",AB93)))</formula>
    </cfRule>
    <cfRule type="containsText" priority="1210" operator="containsText" dxfId="0" text="▼">
      <formula>NOT(ISERROR(SEARCH("▼",AB93)))</formula>
    </cfRule>
    <cfRule type="containsText" priority="1211" operator="containsText" dxfId="1" text="▲">
      <formula>NOT(ISERROR(SEARCH("▲",AB93)))</formula>
    </cfRule>
    <cfRule type="containsText" priority="1212" operator="containsText" dxfId="0" text="▼">
      <formula>NOT(ISERROR(SEARCH("▼",AB93)))</formula>
    </cfRule>
    <cfRule type="containsText" priority="1213" operator="containsText" dxfId="1" text="△">
      <formula>NOT(ISERROR(SEARCH("△",AB93)))</formula>
    </cfRule>
    <cfRule type="containsText" priority="1214" operator="containsText" dxfId="0" text="▽">
      <formula>NOT(ISERROR(SEARCH("▽",AB93)))</formula>
    </cfRule>
    <cfRule type="containsText" priority="1215" operator="containsText" dxfId="1" text="▲">
      <formula>NOT(ISERROR(SEARCH("▲",AB93)))</formula>
    </cfRule>
    <cfRule type="containsText" priority="1216" operator="containsText" dxfId="0" text="▼">
      <formula>NOT(ISERROR(SEARCH("▼",AB93)))</formula>
    </cfRule>
    <cfRule type="containsText" priority="1217" operator="containsText" dxfId="1" text="▲">
      <formula>NOT(ISERROR(SEARCH("▲",AB93)))</formula>
    </cfRule>
    <cfRule type="containsText" priority="1218" operator="containsText" dxfId="0" text="▼">
      <formula>NOT(ISERROR(SEARCH("▼",AB93)))</formula>
    </cfRule>
    <cfRule type="containsText" priority="1219" operator="containsText" dxfId="1" text="▲">
      <formula>NOT(ISERROR(SEARCH("▲",AB93)))</formula>
    </cfRule>
    <cfRule type="containsText" priority="1220" operator="containsText" dxfId="0" text="▼">
      <formula>NOT(ISERROR(SEARCH("▼",AB93)))</formula>
    </cfRule>
    <cfRule type="containsText" priority="1221" operator="containsText" dxfId="1" text="▲">
      <formula>NOT(ISERROR(SEARCH("▲",AB93)))</formula>
    </cfRule>
    <cfRule type="containsText" priority="1222" operator="containsText" dxfId="0" text="▼">
      <formula>NOT(ISERROR(SEARCH("▼",AB93)))</formula>
    </cfRule>
    <cfRule type="containsText" priority="1223" operator="containsText" dxfId="1" text="▲">
      <formula>NOT(ISERROR(SEARCH("▲",AB93)))</formula>
    </cfRule>
    <cfRule type="containsText" priority="1224" operator="containsText" dxfId="0" text="▼">
      <formula>NOT(ISERROR(SEARCH("▼",AB93)))</formula>
    </cfRule>
    <cfRule type="containsText" priority="1225" operator="containsText" dxfId="1" text="▲">
      <formula>NOT(ISERROR(SEARCH("▲",AB93)))</formula>
    </cfRule>
    <cfRule type="containsText" priority="1226" operator="containsText" dxfId="0" text="▼">
      <formula>NOT(ISERROR(SEARCH("▼",AB93)))</formula>
    </cfRule>
    <cfRule type="containsText" priority="1227" operator="containsText" dxfId="1" text="▲">
      <formula>NOT(ISERROR(SEARCH("▲",AB93)))</formula>
    </cfRule>
    <cfRule type="containsText" priority="1228" operator="containsText" dxfId="0" text="▼">
      <formula>NOT(ISERROR(SEARCH("▼",AB93)))</formula>
    </cfRule>
    <cfRule type="containsText" priority="1229" operator="containsText" dxfId="1" text="▲">
      <formula>NOT(ISERROR(SEARCH("▲",AB93)))</formula>
    </cfRule>
    <cfRule type="containsText" priority="1230" operator="containsText" dxfId="0" text="▼">
      <formula>NOT(ISERROR(SEARCH("▼",AB93)))</formula>
    </cfRule>
    <cfRule type="containsText" priority="1231" operator="containsText" dxfId="1" text="▲">
      <formula>NOT(ISERROR(SEARCH("▲",AB93)))</formula>
    </cfRule>
    <cfRule type="containsText" priority="1232" operator="containsText" dxfId="0" text="▼">
      <formula>NOT(ISERROR(SEARCH("▼",AB93)))</formula>
    </cfRule>
    <cfRule type="containsText" priority="1233" operator="containsText" dxfId="1" text="▲">
      <formula>NOT(ISERROR(SEARCH("▲",AB93)))</formula>
    </cfRule>
    <cfRule type="containsText" priority="1234" operator="containsText" dxfId="0" text="▼">
      <formula>NOT(ISERROR(SEARCH("▼",AB93)))</formula>
    </cfRule>
    <cfRule type="containsText" priority="1235" operator="containsText" dxfId="1" text="▲">
      <formula>NOT(ISERROR(SEARCH("▲",AB93)))</formula>
    </cfRule>
    <cfRule type="containsText" priority="1236" operator="containsText" dxfId="0" text="▼">
      <formula>NOT(ISERROR(SEARCH("▼",AB93)))</formula>
    </cfRule>
    <cfRule type="containsText" priority="1237" operator="containsText" dxfId="1" text="▲">
      <formula>NOT(ISERROR(SEARCH("▲",AB93)))</formula>
    </cfRule>
    <cfRule type="containsText" priority="1238" operator="containsText" dxfId="0" text="▼">
      <formula>NOT(ISERROR(SEARCH("▼",AB93)))</formula>
    </cfRule>
    <cfRule type="containsText" priority="1239" operator="containsText" dxfId="1" text="▲">
      <formula>NOT(ISERROR(SEARCH("▲",AB93)))</formula>
    </cfRule>
    <cfRule type="containsText" priority="1240" operator="containsText" dxfId="0" text="▼">
      <formula>NOT(ISERROR(SEARCH("▼",AB93)))</formula>
    </cfRule>
    <cfRule type="containsText" priority="1241" operator="containsText" dxfId="1" text="▲">
      <formula>NOT(ISERROR(SEARCH("▲",AB93)))</formula>
    </cfRule>
    <cfRule type="containsText" priority="1242" operator="containsText" dxfId="0" text="▼">
      <formula>NOT(ISERROR(SEARCH("▼",AB93)))</formula>
    </cfRule>
    <cfRule type="containsText" priority="1243" operator="containsText" dxfId="1" text="▲">
      <formula>NOT(ISERROR(SEARCH("▲",AB93)))</formula>
    </cfRule>
    <cfRule type="containsText" priority="1244" operator="containsText" dxfId="0" text="▼">
      <formula>NOT(ISERROR(SEARCH("▼",AB93)))</formula>
    </cfRule>
    <cfRule type="containsText" priority="1245" operator="containsText" dxfId="1" text="▲">
      <formula>NOT(ISERROR(SEARCH("▲",AB93)))</formula>
    </cfRule>
    <cfRule type="containsText" priority="1246" operator="containsText" dxfId="0" text="▼">
      <formula>NOT(ISERROR(SEARCH("▼",AB93)))</formula>
    </cfRule>
    <cfRule type="containsText" priority="1247" operator="containsText" dxfId="1" text="▲">
      <formula>NOT(ISERROR(SEARCH("▲",AB93)))</formula>
    </cfRule>
    <cfRule type="containsText" priority="1248" operator="containsText" dxfId="0" text="▼">
      <formula>NOT(ISERROR(SEARCH("▼",AB93)))</formula>
    </cfRule>
    <cfRule type="containsText" priority="1249" operator="containsText" dxfId="1" text="▲">
      <formula>NOT(ISERROR(SEARCH("▲",AB93)))</formula>
    </cfRule>
    <cfRule type="containsText" priority="1250" operator="containsText" dxfId="0" text="▼">
      <formula>NOT(ISERROR(SEARCH("▼",AB93)))</formula>
    </cfRule>
    <cfRule type="containsText" priority="1251" operator="containsText" dxfId="1" text="▲">
      <formula>NOT(ISERROR(SEARCH("▲",AB93)))</formula>
    </cfRule>
    <cfRule type="containsText" priority="1252" operator="containsText" dxfId="0" text="▼">
      <formula>NOT(ISERROR(SEARCH("▼",AB93)))</formula>
    </cfRule>
    <cfRule type="containsText" priority="1253" operator="containsText" dxfId="1" text="▲">
      <formula>NOT(ISERROR(SEARCH("▲",AB93)))</formula>
    </cfRule>
    <cfRule type="containsText" priority="1254" operator="containsText" dxfId="0" text="▼">
      <formula>NOT(ISERROR(SEARCH("▼",AB93)))</formula>
    </cfRule>
    <cfRule type="containsText" priority="1255" operator="containsText" dxfId="1" text="▲">
      <formula>NOT(ISERROR(SEARCH("▲",AB93)))</formula>
    </cfRule>
    <cfRule type="containsText" priority="1256" operator="containsText" dxfId="0" text="▼">
      <formula>NOT(ISERROR(SEARCH("▼",AB93)))</formula>
    </cfRule>
    <cfRule type="containsText" priority="1257" operator="containsText" dxfId="1" text="▲">
      <formula>NOT(ISERROR(SEARCH("▲",AB93)))</formula>
    </cfRule>
    <cfRule type="containsText" priority="1258" operator="containsText" dxfId="0" text="▼">
      <formula>NOT(ISERROR(SEARCH("▼",AB93)))</formula>
    </cfRule>
    <cfRule type="containsText" priority="1259" operator="containsText" dxfId="1" text="▲">
      <formula>NOT(ISERROR(SEARCH("▲",AB93)))</formula>
    </cfRule>
    <cfRule type="containsText" priority="1260" operator="containsText" dxfId="0" text="▼">
      <formula>NOT(ISERROR(SEARCH("▼",AB93)))</formula>
    </cfRule>
    <cfRule type="containsText" priority="1261" operator="containsText" dxfId="1" text="▲">
      <formula>NOT(ISERROR(SEARCH("▲",AB93)))</formula>
    </cfRule>
    <cfRule type="containsText" priority="1262" operator="containsText" dxfId="0" text="▼">
      <formula>NOT(ISERROR(SEARCH("▼",AB93)))</formula>
    </cfRule>
    <cfRule type="containsText" priority="1263" operator="containsText" dxfId="1" text="▲">
      <formula>NOT(ISERROR(SEARCH("▲",AB93)))</formula>
    </cfRule>
    <cfRule type="containsText" priority="1264" operator="containsText" dxfId="0" text="▼">
      <formula>NOT(ISERROR(SEARCH("▼",AB93)))</formula>
    </cfRule>
    <cfRule type="containsText" priority="1265" operator="containsText" dxfId="1" text="△">
      <formula>NOT(ISERROR(SEARCH("△",AB93)))</formula>
    </cfRule>
    <cfRule type="containsText" priority="1266" operator="containsText" dxfId="0" text="▽">
      <formula>NOT(ISERROR(SEARCH("▽",AB93)))</formula>
    </cfRule>
    <cfRule type="containsText" priority="1267" operator="containsText" dxfId="1" text="▲">
      <formula>NOT(ISERROR(SEARCH("▲",AB93)))</formula>
    </cfRule>
    <cfRule type="containsText" priority="1268" operator="containsText" dxfId="0" text="▼">
      <formula>NOT(ISERROR(SEARCH("▼",AB93)))</formula>
    </cfRule>
    <cfRule type="containsText" priority="1269" operator="containsText" dxfId="1" text="▲">
      <formula>NOT(ISERROR(SEARCH("▲",AB93)))</formula>
    </cfRule>
    <cfRule type="containsText" priority="1270" operator="containsText" dxfId="0" text="▼">
      <formula>NOT(ISERROR(SEARCH("▼",AB93)))</formula>
    </cfRule>
    <cfRule type="containsText" priority="1271" operator="containsText" dxfId="1" text="▲">
      <formula>NOT(ISERROR(SEARCH("▲",AB93)))</formula>
    </cfRule>
    <cfRule type="containsText" priority="1272" operator="containsText" dxfId="0" text="▼">
      <formula>NOT(ISERROR(SEARCH("▼",AB93)))</formula>
    </cfRule>
    <cfRule type="containsText" priority="1273" operator="containsText" dxfId="1" text="▲">
      <formula>NOT(ISERROR(SEARCH("▲",AB93)))</formula>
    </cfRule>
    <cfRule type="containsText" priority="1274" operator="containsText" dxfId="0" text="▼">
      <formula>NOT(ISERROR(SEARCH("▼",AB93)))</formula>
    </cfRule>
    <cfRule type="containsText" priority="1275" operator="containsText" dxfId="1" text="▲">
      <formula>NOT(ISERROR(SEARCH("▲",AB93)))</formula>
    </cfRule>
    <cfRule type="containsText" priority="1276" operator="containsText" dxfId="0" text="▼">
      <formula>NOT(ISERROR(SEARCH("▼",AB93)))</formula>
    </cfRule>
    <cfRule type="containsText" priority="1277" operator="containsText" dxfId="1" text="▲">
      <formula>NOT(ISERROR(SEARCH("▲",AB93)))</formula>
    </cfRule>
    <cfRule type="containsText" priority="1278" operator="containsText" dxfId="0" text="▼">
      <formula>NOT(ISERROR(SEARCH("▼",AB93)))</formula>
    </cfRule>
    <cfRule type="containsText" priority="1279" operator="containsText" dxfId="1" text="▲">
      <formula>NOT(ISERROR(SEARCH("▲",AB93)))</formula>
    </cfRule>
    <cfRule type="containsText" priority="1280" operator="containsText" dxfId="0" text="▼">
      <formula>NOT(ISERROR(SEARCH("▼",AB93)))</formula>
    </cfRule>
    <cfRule type="containsText" priority="1281" operator="containsText" dxfId="1" text="▲">
      <formula>NOT(ISERROR(SEARCH("▲",AB93)))</formula>
    </cfRule>
    <cfRule type="containsText" priority="1282" operator="containsText" dxfId="0" text="▼">
      <formula>NOT(ISERROR(SEARCH("▼",AB93)))</formula>
    </cfRule>
    <cfRule type="containsText" priority="1283" operator="containsText" dxfId="1" text="▲">
      <formula>NOT(ISERROR(SEARCH("▲",AB93)))</formula>
    </cfRule>
    <cfRule type="containsText" priority="1284" operator="containsText" dxfId="0" text="▼">
      <formula>NOT(ISERROR(SEARCH("▼",AB93)))</formula>
    </cfRule>
    <cfRule type="containsText" priority="1285" operator="containsText" dxfId="1" text="▲">
      <formula>NOT(ISERROR(SEARCH("▲",AB93)))</formula>
    </cfRule>
    <cfRule type="containsText" priority="1286" operator="containsText" dxfId="0" text="▼">
      <formula>NOT(ISERROR(SEARCH("▼",AB93)))</formula>
    </cfRule>
    <cfRule type="containsText" priority="1287" operator="containsText" dxfId="1" text="▲">
      <formula>NOT(ISERROR(SEARCH("▲",AB93)))</formula>
    </cfRule>
    <cfRule type="containsText" priority="1288" operator="containsText" dxfId="0" text="▼">
      <formula>NOT(ISERROR(SEARCH("▼",AB93)))</formula>
    </cfRule>
    <cfRule type="containsText" priority="1289" operator="containsText" dxfId="1" text="▲">
      <formula>NOT(ISERROR(SEARCH("▲",AB93)))</formula>
    </cfRule>
    <cfRule type="containsText" priority="1290" operator="containsText" dxfId="0" text="▼">
      <formula>NOT(ISERROR(SEARCH("▼",AB93)))</formula>
    </cfRule>
    <cfRule type="containsText" priority="1291" operator="containsText" dxfId="1" text="▲">
      <formula>NOT(ISERROR(SEARCH("▲",AB93)))</formula>
    </cfRule>
    <cfRule type="containsText" priority="1292" operator="containsText" dxfId="0" text="▼">
      <formula>NOT(ISERROR(SEARCH("▼",AB93)))</formula>
    </cfRule>
    <cfRule type="containsText" priority="1293" operator="containsText" dxfId="1" text="▲">
      <formula>NOT(ISERROR(SEARCH("▲",AB93)))</formula>
    </cfRule>
    <cfRule type="containsText" priority="1294" operator="containsText" dxfId="0" text="▼">
      <formula>NOT(ISERROR(SEARCH("▼",AB93)))</formula>
    </cfRule>
    <cfRule type="containsText" priority="1295" operator="containsText" dxfId="1" text="▲">
      <formula>NOT(ISERROR(SEARCH("▲",AB93)))</formula>
    </cfRule>
    <cfRule type="containsText" priority="1296" operator="containsText" dxfId="0" text="▼">
      <formula>NOT(ISERROR(SEARCH("▼",AB93)))</formula>
    </cfRule>
    <cfRule type="containsText" priority="1297" operator="containsText" dxfId="1" text="▲">
      <formula>NOT(ISERROR(SEARCH("▲",AB93)))</formula>
    </cfRule>
    <cfRule type="containsText" priority="1298" operator="containsText" dxfId="0" text="▼">
      <formula>NOT(ISERROR(SEARCH("▼",AB93)))</formula>
    </cfRule>
    <cfRule type="containsText" priority="1299" operator="containsText" dxfId="1" text="▲">
      <formula>NOT(ISERROR(SEARCH("▲",AB93)))</formula>
    </cfRule>
    <cfRule type="containsText" priority="1300" operator="containsText" dxfId="0" text="▼">
      <formula>NOT(ISERROR(SEARCH("▼",AB93)))</formula>
    </cfRule>
    <cfRule type="containsText" priority="1301" operator="containsText" dxfId="1" text="▲">
      <formula>NOT(ISERROR(SEARCH("▲",AB93)))</formula>
    </cfRule>
    <cfRule type="containsText" priority="1302" operator="containsText" dxfId="0" text="▼">
      <formula>NOT(ISERROR(SEARCH("▼",AB93)))</formula>
    </cfRule>
    <cfRule type="containsText" priority="1303" operator="containsText" dxfId="1" text="▲">
      <formula>NOT(ISERROR(SEARCH("▲",AB93)))</formula>
    </cfRule>
    <cfRule type="containsText" priority="1304" operator="containsText" dxfId="0" text="▼">
      <formula>NOT(ISERROR(SEARCH("▼",AB93)))</formula>
    </cfRule>
    <cfRule type="containsText" priority="1305" operator="containsText" dxfId="1" text="▲">
      <formula>NOT(ISERROR(SEARCH("▲",AB93)))</formula>
    </cfRule>
    <cfRule type="containsText" priority="1306" operator="containsText" dxfId="0" text="▼">
      <formula>NOT(ISERROR(SEARCH("▼",AB93)))</formula>
    </cfRule>
    <cfRule type="containsText" priority="1307" operator="containsText" dxfId="1" text="▲">
      <formula>NOT(ISERROR(SEARCH("▲",AB93)))</formula>
    </cfRule>
    <cfRule type="containsText" priority="1308" operator="containsText" dxfId="0" text="▼">
      <formula>NOT(ISERROR(SEARCH("▼",AB93)))</formula>
    </cfRule>
    <cfRule type="containsText" priority="1309" operator="containsText" dxfId="1" text="▲">
      <formula>NOT(ISERROR(SEARCH("▲",AB93)))</formula>
    </cfRule>
    <cfRule type="containsText" priority="1310" operator="containsText" dxfId="0" text="▼">
      <formula>NOT(ISERROR(SEARCH("▼",AB93)))</formula>
    </cfRule>
    <cfRule type="containsText" priority="1311" operator="containsText" dxfId="1" text="▲">
      <formula>NOT(ISERROR(SEARCH("▲",AB93)))</formula>
    </cfRule>
    <cfRule type="containsText" priority="1312" operator="containsText" dxfId="0" text="▼">
      <formula>NOT(ISERROR(SEARCH("▼",AB93)))</formula>
    </cfRule>
    <cfRule type="containsText" priority="1313" operator="containsText" dxfId="1" text="▲">
      <formula>NOT(ISERROR(SEARCH("▲",AB93)))</formula>
    </cfRule>
    <cfRule type="containsText" priority="1314" operator="containsText" dxfId="0" text="▼">
      <formula>NOT(ISERROR(SEARCH("▼",AB93)))</formula>
    </cfRule>
    <cfRule type="containsText" priority="1315" operator="containsText" dxfId="1" text="▲">
      <formula>NOT(ISERROR(SEARCH("▲",AB93)))</formula>
    </cfRule>
    <cfRule type="containsText" priority="1316" operator="containsText" dxfId="0" text="▼">
      <formula>NOT(ISERROR(SEARCH("▼",AB93)))</formula>
    </cfRule>
    <cfRule type="containsText" priority="1317" operator="containsText" dxfId="1" text="▲">
      <formula>NOT(ISERROR(SEARCH("▲",AB93)))</formula>
    </cfRule>
    <cfRule type="containsText" priority="1318" operator="containsText" dxfId="0" text="▼">
      <formula>NOT(ISERROR(SEARCH("▼",AB93)))</formula>
    </cfRule>
    <cfRule type="containsText" priority="1319" operator="containsText" dxfId="1" text="▲">
      <formula>NOT(ISERROR(SEARCH("▲",AB93)))</formula>
    </cfRule>
    <cfRule type="containsText" priority="1320" operator="containsText" dxfId="0" text="▼">
      <formula>NOT(ISERROR(SEARCH("▼",AB93)))</formula>
    </cfRule>
    <cfRule type="containsText" priority="1321" operator="containsText" dxfId="1" text="▲">
      <formula>NOT(ISERROR(SEARCH("▲",AB93)))</formula>
    </cfRule>
    <cfRule type="containsText" priority="1322" operator="containsText" dxfId="0" text="▼">
      <formula>NOT(ISERROR(SEARCH("▼",AB93)))</formula>
    </cfRule>
    <cfRule type="containsText" priority="1323" operator="containsText" dxfId="1" text="▲">
      <formula>NOT(ISERROR(SEARCH("▲",AB93)))</formula>
    </cfRule>
    <cfRule type="containsText" priority="1324" operator="containsText" dxfId="0" text="▼">
      <formula>NOT(ISERROR(SEARCH("▼",AB93)))</formula>
    </cfRule>
    <cfRule type="containsText" priority="1325" operator="containsText" dxfId="1" text="▲">
      <formula>NOT(ISERROR(SEARCH("▲",AB93)))</formula>
    </cfRule>
    <cfRule type="containsText" priority="1326" operator="containsText" dxfId="0" text="▼">
      <formula>NOT(ISERROR(SEARCH("▼",AB93)))</formula>
    </cfRule>
    <cfRule type="containsText" priority="1327" operator="containsText" dxfId="1" text="▲">
      <formula>NOT(ISERROR(SEARCH("▲",AB93)))</formula>
    </cfRule>
    <cfRule type="containsText" priority="1328" operator="containsText" dxfId="0" text="▼">
      <formula>NOT(ISERROR(SEARCH("▼",AB93)))</formula>
    </cfRule>
    <cfRule type="containsText" priority="1329" operator="containsText" dxfId="1" text="△">
      <formula>NOT(ISERROR(SEARCH("△",AB93)))</formula>
    </cfRule>
    <cfRule type="containsText" priority="1330" operator="containsText" dxfId="0" text="▽">
      <formula>NOT(ISERROR(SEARCH("▽",AB93)))</formula>
    </cfRule>
    <cfRule type="containsText" priority="1111" operator="containsText" dxfId="1" text="▲">
      <formula>NOT(ISERROR(SEARCH("▲",AB93)))</formula>
    </cfRule>
    <cfRule type="containsText" priority="1112" operator="containsText" dxfId="0" text="▼">
      <formula>NOT(ISERROR(SEARCH("▼",AB93)))</formula>
    </cfRule>
    <cfRule type="containsText" priority="901" operator="containsText" dxfId="1" text="▲">
      <formula>NOT(ISERROR(SEARCH("▲",AB93)))</formula>
    </cfRule>
    <cfRule type="containsText" priority="902" operator="containsText" dxfId="0" text="▼">
      <formula>NOT(ISERROR(SEARCH("▼",AB93)))</formula>
    </cfRule>
    <cfRule type="containsText" priority="903" operator="containsText" dxfId="1" text="▲">
      <formula>NOT(ISERROR(SEARCH("▲",AB93)))</formula>
    </cfRule>
    <cfRule type="containsText" priority="904" operator="containsText" dxfId="0" text="▼">
      <formula>NOT(ISERROR(SEARCH("▼",AB93)))</formula>
    </cfRule>
    <cfRule type="containsText" priority="905" operator="containsText" dxfId="1" text="▲">
      <formula>NOT(ISERROR(SEARCH("▲",AB93)))</formula>
    </cfRule>
    <cfRule type="containsText" priority="906" operator="containsText" dxfId="0" text="▼">
      <formula>NOT(ISERROR(SEARCH("▼",AB93)))</formula>
    </cfRule>
    <cfRule type="containsText" priority="907" operator="containsText" dxfId="1" text="▲">
      <formula>NOT(ISERROR(SEARCH("▲",AB93)))</formula>
    </cfRule>
    <cfRule type="containsText" priority="908" operator="containsText" dxfId="0" text="▼">
      <formula>NOT(ISERROR(SEARCH("▼",AB93)))</formula>
    </cfRule>
    <cfRule type="containsText" priority="909" operator="containsText" dxfId="1" text="▲">
      <formula>NOT(ISERROR(SEARCH("▲",AB93)))</formula>
    </cfRule>
    <cfRule type="containsText" priority="910" operator="containsText" dxfId="0" text="▼">
      <formula>NOT(ISERROR(SEARCH("▼",AB93)))</formula>
    </cfRule>
    <cfRule type="containsText" priority="911" operator="containsText" dxfId="1" text="▲">
      <formula>NOT(ISERROR(SEARCH("▲",AB93)))</formula>
    </cfRule>
    <cfRule type="containsText" priority="912" operator="containsText" dxfId="0" text="▼">
      <formula>NOT(ISERROR(SEARCH("▼",AB93)))</formula>
    </cfRule>
    <cfRule type="containsText" priority="913" operator="containsText" dxfId="1" text="▲">
      <formula>NOT(ISERROR(SEARCH("▲",AB93)))</formula>
    </cfRule>
    <cfRule type="containsText" priority="914" operator="containsText" dxfId="0" text="▼">
      <formula>NOT(ISERROR(SEARCH("▼",AB93)))</formula>
    </cfRule>
    <cfRule type="containsText" priority="915" operator="containsText" dxfId="1" text="▲">
      <formula>NOT(ISERROR(SEARCH("▲",AB93)))</formula>
    </cfRule>
    <cfRule type="containsText" priority="916" operator="containsText" dxfId="0" text="▼">
      <formula>NOT(ISERROR(SEARCH("▼",AB93)))</formula>
    </cfRule>
    <cfRule type="containsText" priority="917" operator="containsText" dxfId="1" text="▲">
      <formula>NOT(ISERROR(SEARCH("▲",AB93)))</formula>
    </cfRule>
    <cfRule type="containsText" priority="918" operator="containsText" dxfId="0" text="▼">
      <formula>NOT(ISERROR(SEARCH("▼",AB93)))</formula>
    </cfRule>
    <cfRule type="containsText" priority="919" operator="containsText" dxfId="1" text="▲">
      <formula>NOT(ISERROR(SEARCH("▲",AB93)))</formula>
    </cfRule>
    <cfRule type="containsText" priority="920" operator="containsText" dxfId="0" text="▼">
      <formula>NOT(ISERROR(SEARCH("▼",AB93)))</formula>
    </cfRule>
    <cfRule type="containsText" priority="921" operator="containsText" dxfId="1" text="▲">
      <formula>NOT(ISERROR(SEARCH("▲",AB93)))</formula>
    </cfRule>
    <cfRule type="containsText" priority="922" operator="containsText" dxfId="0" text="▼">
      <formula>NOT(ISERROR(SEARCH("▼",AB93)))</formula>
    </cfRule>
    <cfRule type="containsText" priority="923" operator="containsText" dxfId="1" text="▲">
      <formula>NOT(ISERROR(SEARCH("▲",AB93)))</formula>
    </cfRule>
    <cfRule type="containsText" priority="924" operator="containsText" dxfId="0" text="▼">
      <formula>NOT(ISERROR(SEARCH("▼",AB93)))</formula>
    </cfRule>
    <cfRule type="containsText" priority="925" operator="containsText" dxfId="1" text="▲">
      <formula>NOT(ISERROR(SEARCH("▲",AB93)))</formula>
    </cfRule>
    <cfRule type="containsText" priority="926" operator="containsText" dxfId="0" text="▼">
      <formula>NOT(ISERROR(SEARCH("▼",AB93)))</formula>
    </cfRule>
    <cfRule type="containsText" priority="927" operator="containsText" dxfId="1" text="▲">
      <formula>NOT(ISERROR(SEARCH("▲",AB93)))</formula>
    </cfRule>
    <cfRule type="containsText" priority="928" operator="containsText" dxfId="0" text="▼">
      <formula>NOT(ISERROR(SEARCH("▼",AB93)))</formula>
    </cfRule>
    <cfRule type="containsText" priority="929" operator="containsText" dxfId="1" text="▲">
      <formula>NOT(ISERROR(SEARCH("▲",AB93)))</formula>
    </cfRule>
    <cfRule type="containsText" priority="930" operator="containsText" dxfId="0" text="▼">
      <formula>NOT(ISERROR(SEARCH("▼",AB93)))</formula>
    </cfRule>
    <cfRule type="containsText" priority="931" operator="containsText" dxfId="1" text="▲">
      <formula>NOT(ISERROR(SEARCH("▲",AB93)))</formula>
    </cfRule>
    <cfRule type="containsText" priority="932" operator="containsText" dxfId="0" text="▼">
      <formula>NOT(ISERROR(SEARCH("▼",AB93)))</formula>
    </cfRule>
    <cfRule type="containsText" priority="933" operator="containsText" dxfId="1" text="▲">
      <formula>NOT(ISERROR(SEARCH("▲",AB93)))</formula>
    </cfRule>
    <cfRule type="containsText" priority="934" operator="containsText" dxfId="0" text="▼">
      <formula>NOT(ISERROR(SEARCH("▼",AB93)))</formula>
    </cfRule>
    <cfRule type="containsText" priority="935" operator="containsText" dxfId="1" text="▲">
      <formula>NOT(ISERROR(SEARCH("▲",AB93)))</formula>
    </cfRule>
    <cfRule type="containsText" priority="936" operator="containsText" dxfId="0" text="▼">
      <formula>NOT(ISERROR(SEARCH("▼",AB93)))</formula>
    </cfRule>
    <cfRule type="containsText" priority="937" operator="containsText" dxfId="1" text="▲">
      <formula>NOT(ISERROR(SEARCH("▲",AB93)))</formula>
    </cfRule>
    <cfRule type="containsText" priority="938" operator="containsText" dxfId="0" text="▼">
      <formula>NOT(ISERROR(SEARCH("▼",AB93)))</formula>
    </cfRule>
    <cfRule type="containsText" priority="939" operator="containsText" dxfId="1" text="▲">
      <formula>NOT(ISERROR(SEARCH("▲",AB93)))</formula>
    </cfRule>
    <cfRule type="containsText" priority="940" operator="containsText" dxfId="0" text="▼">
      <formula>NOT(ISERROR(SEARCH("▼",AB93)))</formula>
    </cfRule>
    <cfRule type="containsText" priority="941" operator="containsText" dxfId="1" text="▲">
      <formula>NOT(ISERROR(SEARCH("▲",AB93)))</formula>
    </cfRule>
    <cfRule type="containsText" priority="942" operator="containsText" dxfId="0" text="▼">
      <formula>NOT(ISERROR(SEARCH("▼",AB93)))</formula>
    </cfRule>
    <cfRule type="containsText" priority="943" operator="containsText" dxfId="1" text="▲">
      <formula>NOT(ISERROR(SEARCH("▲",AB93)))</formula>
    </cfRule>
    <cfRule type="containsText" priority="944" operator="containsText" dxfId="0" text="▼">
      <formula>NOT(ISERROR(SEARCH("▼",AB93)))</formula>
    </cfRule>
    <cfRule type="containsText" priority="945" operator="containsText" dxfId="1" text="▲">
      <formula>NOT(ISERROR(SEARCH("▲",AB93)))</formula>
    </cfRule>
    <cfRule type="containsText" priority="946" operator="containsText" dxfId="0" text="▼">
      <formula>NOT(ISERROR(SEARCH("▼",AB93)))</formula>
    </cfRule>
    <cfRule type="containsText" priority="947" operator="containsText" dxfId="1" text="▲">
      <formula>NOT(ISERROR(SEARCH("▲",AB93)))</formula>
    </cfRule>
    <cfRule type="containsText" priority="948" operator="containsText" dxfId="0" text="▼">
      <formula>NOT(ISERROR(SEARCH("▼",AB93)))</formula>
    </cfRule>
    <cfRule type="containsText" priority="949" operator="containsText" dxfId="1" text="▲">
      <formula>NOT(ISERROR(SEARCH("▲",AB93)))</formula>
    </cfRule>
    <cfRule type="containsText" priority="950" operator="containsText" dxfId="0" text="▼">
      <formula>NOT(ISERROR(SEARCH("▼",AB93)))</formula>
    </cfRule>
    <cfRule type="containsText" priority="951" operator="containsText" dxfId="1" text="△">
      <formula>NOT(ISERROR(SEARCH("△",AB93)))</formula>
    </cfRule>
    <cfRule type="containsText" priority="952" operator="containsText" dxfId="0" text="▽">
      <formula>NOT(ISERROR(SEARCH("▽",AB93)))</formula>
    </cfRule>
    <cfRule type="containsText" priority="953" operator="containsText" dxfId="1" text="▲">
      <formula>NOT(ISERROR(SEARCH("▲",AB93)))</formula>
    </cfRule>
    <cfRule type="containsText" priority="954" operator="containsText" dxfId="0" text="▼">
      <formula>NOT(ISERROR(SEARCH("▼",AB93)))</formula>
    </cfRule>
    <cfRule type="containsText" priority="955" operator="containsText" dxfId="1" text="▲">
      <formula>NOT(ISERROR(SEARCH("▲",AB93)))</formula>
    </cfRule>
    <cfRule type="containsText" priority="956" operator="containsText" dxfId="0" text="▼">
      <formula>NOT(ISERROR(SEARCH("▼",AB93)))</formula>
    </cfRule>
    <cfRule type="containsText" priority="957" operator="containsText" dxfId="1" text="▲">
      <formula>NOT(ISERROR(SEARCH("▲",AB93)))</formula>
    </cfRule>
    <cfRule type="containsText" priority="958" operator="containsText" dxfId="0" text="▼">
      <formula>NOT(ISERROR(SEARCH("▼",AB93)))</formula>
    </cfRule>
    <cfRule type="containsText" priority="959" operator="containsText" dxfId="1" text="▲">
      <formula>NOT(ISERROR(SEARCH("▲",AB93)))</formula>
    </cfRule>
    <cfRule type="containsText" priority="960" operator="containsText" dxfId="0" text="▼">
      <formula>NOT(ISERROR(SEARCH("▼",AB93)))</formula>
    </cfRule>
    <cfRule type="containsText" priority="961" operator="containsText" dxfId="1" text="▲">
      <formula>NOT(ISERROR(SEARCH("▲",AB93)))</formula>
    </cfRule>
    <cfRule type="containsText" priority="962" operator="containsText" dxfId="0" text="▼">
      <formula>NOT(ISERROR(SEARCH("▼",AB93)))</formula>
    </cfRule>
    <cfRule type="containsText" priority="963" operator="containsText" dxfId="1" text="▲">
      <formula>NOT(ISERROR(SEARCH("▲",AB93)))</formula>
    </cfRule>
    <cfRule type="containsText" priority="964" operator="containsText" dxfId="0" text="▼">
      <formula>NOT(ISERROR(SEARCH("▼",AB93)))</formula>
    </cfRule>
    <cfRule type="containsText" priority="965" operator="containsText" dxfId="1" text="▲">
      <formula>NOT(ISERROR(SEARCH("▲",AB93)))</formula>
    </cfRule>
    <cfRule type="containsText" priority="966" operator="containsText" dxfId="0" text="▼">
      <formula>NOT(ISERROR(SEARCH("▼",AB93)))</formula>
    </cfRule>
    <cfRule type="containsText" priority="967" operator="containsText" dxfId="1" text="▲">
      <formula>NOT(ISERROR(SEARCH("▲",AB93)))</formula>
    </cfRule>
    <cfRule type="containsText" priority="968" operator="containsText" dxfId="0" text="▼">
      <formula>NOT(ISERROR(SEARCH("▼",AB93)))</formula>
    </cfRule>
    <cfRule type="containsText" priority="969" operator="containsText" dxfId="1" text="▲">
      <formula>NOT(ISERROR(SEARCH("▲",AB93)))</formula>
    </cfRule>
    <cfRule type="containsText" priority="970" operator="containsText" dxfId="0" text="▼">
      <formula>NOT(ISERROR(SEARCH("▼",AB93)))</formula>
    </cfRule>
    <cfRule type="containsText" priority="971" operator="containsText" dxfId="1" text="▲">
      <formula>NOT(ISERROR(SEARCH("▲",AB93)))</formula>
    </cfRule>
    <cfRule type="containsText" priority="972" operator="containsText" dxfId="0" text="▼">
      <formula>NOT(ISERROR(SEARCH("▼",AB93)))</formula>
    </cfRule>
    <cfRule type="containsText" priority="973" operator="containsText" dxfId="1" text="▲">
      <formula>NOT(ISERROR(SEARCH("▲",AB93)))</formula>
    </cfRule>
    <cfRule type="containsText" priority="974" operator="containsText" dxfId="0" text="▼">
      <formula>NOT(ISERROR(SEARCH("▼",AB93)))</formula>
    </cfRule>
    <cfRule type="containsText" priority="975" operator="containsText" dxfId="1" text="▲">
      <formula>NOT(ISERROR(SEARCH("▲",AB93)))</formula>
    </cfRule>
    <cfRule type="containsText" priority="976" operator="containsText" dxfId="0" text="▼">
      <formula>NOT(ISERROR(SEARCH("▼",AB93)))</formula>
    </cfRule>
    <cfRule type="containsText" priority="977" operator="containsText" dxfId="1" text="▲">
      <formula>NOT(ISERROR(SEARCH("▲",AB93)))</formula>
    </cfRule>
    <cfRule type="containsText" priority="978" operator="containsText" dxfId="0" text="▼">
      <formula>NOT(ISERROR(SEARCH("▼",AB93)))</formula>
    </cfRule>
    <cfRule type="containsText" priority="979" operator="containsText" dxfId="1" text="▲">
      <formula>NOT(ISERROR(SEARCH("▲",AB93)))</formula>
    </cfRule>
    <cfRule type="containsText" priority="980" operator="containsText" dxfId="0" text="▼">
      <formula>NOT(ISERROR(SEARCH("▼",AB93)))</formula>
    </cfRule>
    <cfRule type="containsText" priority="981" operator="containsText" dxfId="1" text="▲">
      <formula>NOT(ISERROR(SEARCH("▲",AB93)))</formula>
    </cfRule>
    <cfRule type="containsText" priority="982" operator="containsText" dxfId="0" text="▼">
      <formula>NOT(ISERROR(SEARCH("▼",AB93)))</formula>
    </cfRule>
    <cfRule type="containsText" priority="983" operator="containsText" dxfId="1" text="▲">
      <formula>NOT(ISERROR(SEARCH("▲",AB93)))</formula>
    </cfRule>
    <cfRule type="containsText" priority="984" operator="containsText" dxfId="0" text="▼">
      <formula>NOT(ISERROR(SEARCH("▼",AB93)))</formula>
    </cfRule>
    <cfRule type="containsText" priority="985" operator="containsText" dxfId="1" text="▲">
      <formula>NOT(ISERROR(SEARCH("▲",AB93)))</formula>
    </cfRule>
    <cfRule type="containsText" priority="986" operator="containsText" dxfId="0" text="▼">
      <formula>NOT(ISERROR(SEARCH("▼",AB93)))</formula>
    </cfRule>
    <cfRule type="containsText" priority="987" operator="containsText" dxfId="1" text="▲">
      <formula>NOT(ISERROR(SEARCH("▲",AB93)))</formula>
    </cfRule>
    <cfRule type="containsText" priority="988" operator="containsText" dxfId="0" text="▼">
      <formula>NOT(ISERROR(SEARCH("▼",AB93)))</formula>
    </cfRule>
    <cfRule type="containsText" priority="989" operator="containsText" dxfId="1" text="▲">
      <formula>NOT(ISERROR(SEARCH("▲",AB93)))</formula>
    </cfRule>
    <cfRule type="containsText" priority="990" operator="containsText" dxfId="0" text="▼">
      <formula>NOT(ISERROR(SEARCH("▼",AB93)))</formula>
    </cfRule>
    <cfRule type="containsText" priority="991" operator="containsText" dxfId="1" text="▲">
      <formula>NOT(ISERROR(SEARCH("▲",AB93)))</formula>
    </cfRule>
    <cfRule type="containsText" priority="992" operator="containsText" dxfId="0" text="▼">
      <formula>NOT(ISERROR(SEARCH("▼",AB93)))</formula>
    </cfRule>
    <cfRule type="containsText" priority="993" operator="containsText" dxfId="1" text="▲">
      <formula>NOT(ISERROR(SEARCH("▲",AB93)))</formula>
    </cfRule>
    <cfRule type="containsText" priority="994" operator="containsText" dxfId="0" text="▼">
      <formula>NOT(ISERROR(SEARCH("▼",AB93)))</formula>
    </cfRule>
    <cfRule type="containsText" priority="995" operator="containsText" dxfId="1" text="▲">
      <formula>NOT(ISERROR(SEARCH("▲",AB93)))</formula>
    </cfRule>
    <cfRule type="containsText" priority="996" operator="containsText" dxfId="0" text="▼">
      <formula>NOT(ISERROR(SEARCH("▼",AB93)))</formula>
    </cfRule>
    <cfRule type="containsText" priority="997" operator="containsText" dxfId="1" text="▲">
      <formula>NOT(ISERROR(SEARCH("▲",AB93)))</formula>
    </cfRule>
    <cfRule type="containsText" priority="998" operator="containsText" dxfId="0" text="▼">
      <formula>NOT(ISERROR(SEARCH("▼",AB93)))</formula>
    </cfRule>
    <cfRule type="containsText" priority="999" operator="containsText" dxfId="1" text="△">
      <formula>NOT(ISERROR(SEARCH("△",AB93)))</formula>
    </cfRule>
    <cfRule type="containsText" priority="1000" operator="containsText" dxfId="0" text="▽">
      <formula>NOT(ISERROR(SEARCH("▽",AB93)))</formula>
    </cfRule>
    <cfRule type="containsText" priority="1001" operator="containsText" dxfId="1" text="▲">
      <formula>NOT(ISERROR(SEARCH("▲",AB93)))</formula>
    </cfRule>
    <cfRule type="containsText" priority="1002" operator="containsText" dxfId="0" text="▼">
      <formula>NOT(ISERROR(SEARCH("▼",AB93)))</formula>
    </cfRule>
    <cfRule type="containsText" priority="1003" operator="containsText" dxfId="1" text="▲">
      <formula>NOT(ISERROR(SEARCH("▲",AB93)))</formula>
    </cfRule>
    <cfRule type="containsText" priority="1004" operator="containsText" dxfId="0" text="▼">
      <formula>NOT(ISERROR(SEARCH("▼",AB93)))</formula>
    </cfRule>
    <cfRule type="containsText" priority="1005" operator="containsText" dxfId="1" text="▲">
      <formula>NOT(ISERROR(SEARCH("▲",AB93)))</formula>
    </cfRule>
    <cfRule type="containsText" priority="1006" operator="containsText" dxfId="0" text="▼">
      <formula>NOT(ISERROR(SEARCH("▼",AB93)))</formula>
    </cfRule>
    <cfRule type="containsText" priority="1007" operator="containsText" dxfId="1" text="▲">
      <formula>NOT(ISERROR(SEARCH("▲",AB93)))</formula>
    </cfRule>
    <cfRule type="containsText" priority="1008" operator="containsText" dxfId="0" text="▼">
      <formula>NOT(ISERROR(SEARCH("▼",AB93)))</formula>
    </cfRule>
    <cfRule type="containsText" priority="1009" operator="containsText" dxfId="1" text="▲">
      <formula>NOT(ISERROR(SEARCH("▲",AB93)))</formula>
    </cfRule>
    <cfRule type="containsText" priority="1010" operator="containsText" dxfId="0" text="▼">
      <formula>NOT(ISERROR(SEARCH("▼",AB93)))</formula>
    </cfRule>
    <cfRule type="containsText" priority="1011" operator="containsText" dxfId="1" text="▲">
      <formula>NOT(ISERROR(SEARCH("▲",AB93)))</formula>
    </cfRule>
    <cfRule type="containsText" priority="1012" operator="containsText" dxfId="0" text="▼">
      <formula>NOT(ISERROR(SEARCH("▼",AB93)))</formula>
    </cfRule>
    <cfRule type="containsText" priority="1013" operator="containsText" dxfId="1" text="▲">
      <formula>NOT(ISERROR(SEARCH("▲",AB93)))</formula>
    </cfRule>
    <cfRule type="containsText" priority="1014" operator="containsText" dxfId="0" text="▼">
      <formula>NOT(ISERROR(SEARCH("▼",AB93)))</formula>
    </cfRule>
    <cfRule type="containsText" priority="1015" operator="containsText" dxfId="1" text="▲">
      <formula>NOT(ISERROR(SEARCH("▲",AB93)))</formula>
    </cfRule>
    <cfRule type="containsText" priority="1016" operator="containsText" dxfId="0" text="▼">
      <formula>NOT(ISERROR(SEARCH("▼",AB93)))</formula>
    </cfRule>
    <cfRule type="containsText" priority="1017" operator="containsText" dxfId="1" text="▲">
      <formula>NOT(ISERROR(SEARCH("▲",AB93)))</formula>
    </cfRule>
    <cfRule type="containsText" priority="1018" operator="containsText" dxfId="0" text="▼">
      <formula>NOT(ISERROR(SEARCH("▼",AB93)))</formula>
    </cfRule>
    <cfRule type="containsText" priority="1019" operator="containsText" dxfId="1" text="▲">
      <formula>NOT(ISERROR(SEARCH("▲",AB93)))</formula>
    </cfRule>
    <cfRule type="containsText" priority="1020" operator="containsText" dxfId="0" text="▼">
      <formula>NOT(ISERROR(SEARCH("▼",AB93)))</formula>
    </cfRule>
    <cfRule type="containsText" priority="1021" operator="containsText" dxfId="1" text="▲">
      <formula>NOT(ISERROR(SEARCH("▲",AB93)))</formula>
    </cfRule>
    <cfRule type="containsText" priority="1022" operator="containsText" dxfId="0" text="▼">
      <formula>NOT(ISERROR(SEARCH("▼",AB93)))</formula>
    </cfRule>
    <cfRule type="containsText" priority="1023" operator="containsText" dxfId="1" text="▲">
      <formula>NOT(ISERROR(SEARCH("▲",AB93)))</formula>
    </cfRule>
    <cfRule type="containsText" priority="1024" operator="containsText" dxfId="0" text="▼">
      <formula>NOT(ISERROR(SEARCH("▼",AB93)))</formula>
    </cfRule>
    <cfRule type="containsText" priority="1025" operator="containsText" dxfId="1" text="▲">
      <formula>NOT(ISERROR(SEARCH("▲",AB93)))</formula>
    </cfRule>
    <cfRule type="containsText" priority="1026" operator="containsText" dxfId="0" text="▼">
      <formula>NOT(ISERROR(SEARCH("▼",AB93)))</formula>
    </cfRule>
    <cfRule type="containsText" priority="1027" operator="containsText" dxfId="1" text="▲">
      <formula>NOT(ISERROR(SEARCH("▲",AB93)))</formula>
    </cfRule>
    <cfRule type="containsText" priority="1028" operator="containsText" dxfId="0" text="▼">
      <formula>NOT(ISERROR(SEARCH("▼",AB93)))</formula>
    </cfRule>
    <cfRule type="containsText" priority="1029" operator="containsText" dxfId="1" text="▲">
      <formula>NOT(ISERROR(SEARCH("▲",AB93)))</formula>
    </cfRule>
    <cfRule type="containsText" priority="1030" operator="containsText" dxfId="0" text="▼">
      <formula>NOT(ISERROR(SEARCH("▼",AB93)))</formula>
    </cfRule>
    <cfRule type="containsText" priority="1031" operator="containsText" dxfId="1" text="▲">
      <formula>NOT(ISERROR(SEARCH("▲",AB93)))</formula>
    </cfRule>
    <cfRule type="containsText" priority="1032" operator="containsText" dxfId="0" text="▼">
      <formula>NOT(ISERROR(SEARCH("▼",AB93)))</formula>
    </cfRule>
    <cfRule type="containsText" priority="1033" operator="containsText" dxfId="1" text="▲">
      <formula>NOT(ISERROR(SEARCH("▲",AB93)))</formula>
    </cfRule>
    <cfRule type="containsText" priority="1034" operator="containsText" dxfId="0" text="▼">
      <formula>NOT(ISERROR(SEARCH("▼",AB93)))</formula>
    </cfRule>
    <cfRule type="containsText" priority="1035" operator="containsText" dxfId="1" text="▲">
      <formula>NOT(ISERROR(SEARCH("▲",AB93)))</formula>
    </cfRule>
    <cfRule type="containsText" priority="1036" operator="containsText" dxfId="0" text="▼">
      <formula>NOT(ISERROR(SEARCH("▼",AB93)))</formula>
    </cfRule>
    <cfRule type="containsText" priority="1037" operator="containsText" dxfId="1" text="▲">
      <formula>NOT(ISERROR(SEARCH("▲",AB93)))</formula>
    </cfRule>
    <cfRule type="containsText" priority="1038" operator="containsText" dxfId="0" text="▼">
      <formula>NOT(ISERROR(SEARCH("▼",AB93)))</formula>
    </cfRule>
    <cfRule type="containsText" priority="1039" operator="containsText" dxfId="1" text="▲">
      <formula>NOT(ISERROR(SEARCH("▲",AB93)))</formula>
    </cfRule>
    <cfRule type="containsText" priority="1040" operator="containsText" dxfId="0" text="▼">
      <formula>NOT(ISERROR(SEARCH("▼",AB93)))</formula>
    </cfRule>
    <cfRule type="containsText" priority="1041" operator="containsText" dxfId="1" text="▲">
      <formula>NOT(ISERROR(SEARCH("▲",AB93)))</formula>
    </cfRule>
    <cfRule type="containsText" priority="1042" operator="containsText" dxfId="0" text="▼">
      <formula>NOT(ISERROR(SEARCH("▼",AB93)))</formula>
    </cfRule>
    <cfRule type="containsText" priority="1043" operator="containsText" dxfId="1" text="▲">
      <formula>NOT(ISERROR(SEARCH("▲",AB93)))</formula>
    </cfRule>
    <cfRule type="containsText" priority="1044" operator="containsText" dxfId="0" text="▼">
      <formula>NOT(ISERROR(SEARCH("▼",AB93)))</formula>
    </cfRule>
    <cfRule type="containsText" priority="1045" operator="containsText" dxfId="1" text="▲">
      <formula>NOT(ISERROR(SEARCH("▲",AB93)))</formula>
    </cfRule>
    <cfRule type="containsText" priority="1046" operator="containsText" dxfId="0" text="▼">
      <formula>NOT(ISERROR(SEARCH("▼",AB93)))</formula>
    </cfRule>
    <cfRule type="containsText" priority="1047" operator="containsText" dxfId="1" text="▲">
      <formula>NOT(ISERROR(SEARCH("▲",AB93)))</formula>
    </cfRule>
    <cfRule type="containsText" priority="1048" operator="containsText" dxfId="0" text="▼">
      <formula>NOT(ISERROR(SEARCH("▼",AB93)))</formula>
    </cfRule>
    <cfRule type="containsText" priority="1049" operator="containsText" dxfId="1" text="△">
      <formula>NOT(ISERROR(SEARCH("△",AB93)))</formula>
    </cfRule>
    <cfRule type="containsText" priority="1050" operator="containsText" dxfId="0" text="▽">
      <formula>NOT(ISERROR(SEARCH("▽",AB93)))</formula>
    </cfRule>
    <cfRule type="containsText" priority="1051" operator="containsText" dxfId="1" text="▲">
      <formula>NOT(ISERROR(SEARCH("▲",AB93)))</formula>
    </cfRule>
    <cfRule type="containsText" priority="1052" operator="containsText" dxfId="0" text="▼">
      <formula>NOT(ISERROR(SEARCH("▼",AB93)))</formula>
    </cfRule>
    <cfRule type="containsText" priority="1053" operator="containsText" dxfId="1" text="▲">
      <formula>NOT(ISERROR(SEARCH("▲",AB93)))</formula>
    </cfRule>
    <cfRule type="containsText" priority="1054" operator="containsText" dxfId="0" text="▼">
      <formula>NOT(ISERROR(SEARCH("▼",AB93)))</formula>
    </cfRule>
    <cfRule type="containsText" priority="1055" operator="containsText" dxfId="1" text="▲">
      <formula>NOT(ISERROR(SEARCH("▲",AB93)))</formula>
    </cfRule>
    <cfRule type="containsText" priority="1056" operator="containsText" dxfId="0" text="▼">
      <formula>NOT(ISERROR(SEARCH("▼",AB93)))</formula>
    </cfRule>
    <cfRule type="containsText" priority="1057" operator="containsText" dxfId="1" text="▲">
      <formula>NOT(ISERROR(SEARCH("▲",AB93)))</formula>
    </cfRule>
    <cfRule type="containsText" priority="1058" operator="containsText" dxfId="0" text="▼">
      <formula>NOT(ISERROR(SEARCH("▼",AB93)))</formula>
    </cfRule>
    <cfRule type="containsText" priority="1059" operator="containsText" dxfId="1" text="▲">
      <formula>NOT(ISERROR(SEARCH("▲",AB93)))</formula>
    </cfRule>
    <cfRule type="containsText" priority="1060" operator="containsText" dxfId="0" text="▼">
      <formula>NOT(ISERROR(SEARCH("▼",AB93)))</formula>
    </cfRule>
    <cfRule type="containsText" priority="1061" operator="containsText" dxfId="1" text="▲">
      <formula>NOT(ISERROR(SEARCH("▲",AB93)))</formula>
    </cfRule>
    <cfRule type="containsText" priority="1062" operator="containsText" dxfId="0" text="▼">
      <formula>NOT(ISERROR(SEARCH("▼",AB93)))</formula>
    </cfRule>
    <cfRule type="containsText" priority="1063" operator="containsText" dxfId="1" text="▲">
      <formula>NOT(ISERROR(SEARCH("▲",AB93)))</formula>
    </cfRule>
    <cfRule type="containsText" priority="1064" operator="containsText" dxfId="0" text="▼">
      <formula>NOT(ISERROR(SEARCH("▼",AB93)))</formula>
    </cfRule>
    <cfRule type="containsText" priority="1065" operator="containsText" dxfId="1" text="▲">
      <formula>NOT(ISERROR(SEARCH("▲",AB93)))</formula>
    </cfRule>
    <cfRule type="containsText" priority="1066" operator="containsText" dxfId="0" text="▼">
      <formula>NOT(ISERROR(SEARCH("▼",AB93)))</formula>
    </cfRule>
    <cfRule type="containsText" priority="1067" operator="containsText" dxfId="1" text="▲">
      <formula>NOT(ISERROR(SEARCH("▲",AB93)))</formula>
    </cfRule>
    <cfRule type="containsText" priority="1068" operator="containsText" dxfId="0" text="▼">
      <formula>NOT(ISERROR(SEARCH("▼",AB93)))</formula>
    </cfRule>
    <cfRule type="containsText" priority="1069" operator="containsText" dxfId="1" text="▲">
      <formula>NOT(ISERROR(SEARCH("▲",AB93)))</formula>
    </cfRule>
    <cfRule type="containsText" priority="1070" operator="containsText" dxfId="0" text="▼">
      <formula>NOT(ISERROR(SEARCH("▼",AB93)))</formula>
    </cfRule>
    <cfRule type="containsText" priority="1071" operator="containsText" dxfId="1" text="▲">
      <formula>NOT(ISERROR(SEARCH("▲",AB93)))</formula>
    </cfRule>
    <cfRule type="containsText" priority="1072" operator="containsText" dxfId="0" text="▼">
      <formula>NOT(ISERROR(SEARCH("▼",AB93)))</formula>
    </cfRule>
    <cfRule type="containsText" priority="1073" operator="containsText" dxfId="1" text="▲">
      <formula>NOT(ISERROR(SEARCH("▲",AB93)))</formula>
    </cfRule>
    <cfRule type="containsText" priority="1074" operator="containsText" dxfId="0" text="▼">
      <formula>NOT(ISERROR(SEARCH("▼",AB93)))</formula>
    </cfRule>
    <cfRule type="containsText" priority="1075" operator="containsText" dxfId="1" text="▲">
      <formula>NOT(ISERROR(SEARCH("▲",AB93)))</formula>
    </cfRule>
    <cfRule type="containsText" priority="1076" operator="containsText" dxfId="0" text="▼">
      <formula>NOT(ISERROR(SEARCH("▼",AB93)))</formula>
    </cfRule>
    <cfRule type="containsText" priority="1077" operator="containsText" dxfId="1" text="▲">
      <formula>NOT(ISERROR(SEARCH("▲",AB93)))</formula>
    </cfRule>
    <cfRule type="containsText" priority="1078" operator="containsText" dxfId="0" text="▼">
      <formula>NOT(ISERROR(SEARCH("▼",AB93)))</formula>
    </cfRule>
    <cfRule type="containsText" priority="1079" operator="containsText" dxfId="1" text="▲">
      <formula>NOT(ISERROR(SEARCH("▲",AB93)))</formula>
    </cfRule>
    <cfRule type="containsText" priority="1080" operator="containsText" dxfId="0" text="▼">
      <formula>NOT(ISERROR(SEARCH("▼",AB93)))</formula>
    </cfRule>
    <cfRule type="containsText" priority="1081" operator="containsText" dxfId="1" text="▲">
      <formula>NOT(ISERROR(SEARCH("▲",AB93)))</formula>
    </cfRule>
    <cfRule type="containsText" priority="1082" operator="containsText" dxfId="0" text="▼">
      <formula>NOT(ISERROR(SEARCH("▼",AB93)))</formula>
    </cfRule>
    <cfRule type="containsText" priority="1083" operator="containsText" dxfId="1" text="▲">
      <formula>NOT(ISERROR(SEARCH("▲",AB93)))</formula>
    </cfRule>
    <cfRule type="containsText" priority="1084" operator="containsText" dxfId="0" text="▼">
      <formula>NOT(ISERROR(SEARCH("▼",AB93)))</formula>
    </cfRule>
    <cfRule type="containsText" priority="1085" operator="containsText" dxfId="1" text="▲">
      <formula>NOT(ISERROR(SEARCH("▲",AB93)))</formula>
    </cfRule>
    <cfRule type="containsText" priority="1086" operator="containsText" dxfId="0" text="▼">
      <formula>NOT(ISERROR(SEARCH("▼",AB93)))</formula>
    </cfRule>
    <cfRule type="containsText" priority="1087" operator="containsText" dxfId="1" text="▲">
      <formula>NOT(ISERROR(SEARCH("▲",AB93)))</formula>
    </cfRule>
    <cfRule type="containsText" priority="1088" operator="containsText" dxfId="0" text="▼">
      <formula>NOT(ISERROR(SEARCH("▼",AB93)))</formula>
    </cfRule>
    <cfRule type="containsText" priority="1089" operator="containsText" dxfId="1" text="▲">
      <formula>NOT(ISERROR(SEARCH("▲",AB93)))</formula>
    </cfRule>
    <cfRule type="containsText" priority="1090" operator="containsText" dxfId="0" text="▼">
      <formula>NOT(ISERROR(SEARCH("▼",AB93)))</formula>
    </cfRule>
    <cfRule type="containsText" priority="1091" operator="containsText" dxfId="1" text="▲">
      <formula>NOT(ISERROR(SEARCH("▲",AB93)))</formula>
    </cfRule>
    <cfRule type="containsText" priority="1092" operator="containsText" dxfId="0" text="▼">
      <formula>NOT(ISERROR(SEARCH("▼",AB93)))</formula>
    </cfRule>
    <cfRule type="containsText" priority="1093" operator="containsText" dxfId="1" text="▲">
      <formula>NOT(ISERROR(SEARCH("▲",AB93)))</formula>
    </cfRule>
    <cfRule type="containsText" priority="1094" operator="containsText" dxfId="0" text="▼">
      <formula>NOT(ISERROR(SEARCH("▼",AB93)))</formula>
    </cfRule>
    <cfRule type="containsText" priority="1095" operator="containsText" dxfId="1" text="▲">
      <formula>NOT(ISERROR(SEARCH("▲",AB93)))</formula>
    </cfRule>
    <cfRule type="containsText" priority="1096" operator="containsText" dxfId="0" text="▼">
      <formula>NOT(ISERROR(SEARCH("▼",AB93)))</formula>
    </cfRule>
    <cfRule type="containsText" priority="1097" operator="containsText" dxfId="1" text="▲">
      <formula>NOT(ISERROR(SEARCH("▲",AB93)))</formula>
    </cfRule>
    <cfRule type="containsText" priority="1098" operator="containsText" dxfId="0" text="▼">
      <formula>NOT(ISERROR(SEARCH("▼",AB93)))</formula>
    </cfRule>
    <cfRule type="containsText" priority="1099" operator="containsText" dxfId="1" text="▲">
      <formula>NOT(ISERROR(SEARCH("▲",AB93)))</formula>
    </cfRule>
    <cfRule type="containsText" priority="1100" operator="containsText" dxfId="0" text="▼">
      <formula>NOT(ISERROR(SEARCH("▼",AB93)))</formula>
    </cfRule>
    <cfRule type="containsText" priority="1101" operator="containsText" dxfId="1" text="▲">
      <formula>NOT(ISERROR(SEARCH("▲",AB93)))</formula>
    </cfRule>
    <cfRule type="containsText" priority="1102" operator="containsText" dxfId="0" text="▼">
      <formula>NOT(ISERROR(SEARCH("▼",AB93)))</formula>
    </cfRule>
    <cfRule type="containsText" priority="1103" operator="containsText" dxfId="1" text="▲">
      <formula>NOT(ISERROR(SEARCH("▲",AB93)))</formula>
    </cfRule>
    <cfRule type="containsText" priority="1104" operator="containsText" dxfId="0" text="▼">
      <formula>NOT(ISERROR(SEARCH("▼",AB93)))</formula>
    </cfRule>
    <cfRule type="containsText" priority="1105" operator="containsText" dxfId="1" text="▲">
      <formula>NOT(ISERROR(SEARCH("▲",AB93)))</formula>
    </cfRule>
    <cfRule type="containsText" priority="1106" operator="containsText" dxfId="0" text="▼">
      <formula>NOT(ISERROR(SEARCH("▼",AB93)))</formula>
    </cfRule>
    <cfRule type="containsText" priority="1107" operator="containsText" dxfId="1" text="▲">
      <formula>NOT(ISERROR(SEARCH("▲",AB93)))</formula>
    </cfRule>
    <cfRule type="containsText" priority="1108" operator="containsText" dxfId="0" text="▼">
      <formula>NOT(ISERROR(SEARCH("▼",AB93)))</formula>
    </cfRule>
    <cfRule type="containsText" priority="1109" operator="containsText" dxfId="1" text="▲">
      <formula>NOT(ISERROR(SEARCH("▲",AB93)))</formula>
    </cfRule>
    <cfRule type="containsText" priority="1110" operator="containsText" dxfId="0" text="▼">
      <formula>NOT(ISERROR(SEARCH("▼",AB93)))</formula>
    </cfRule>
    <cfRule type="containsText" priority="1113" operator="containsText" dxfId="1" text="△">
      <formula>NOT(ISERROR(SEARCH("△",AB93)))</formula>
    </cfRule>
    <cfRule type="containsText" priority="1114" operator="containsText" dxfId="0" text="▽">
      <formula>NOT(ISERROR(SEARCH("▽",AB93)))</formula>
    </cfRule>
  </conditionalFormatting>
  <conditionalFormatting sqref="AB62:AB64">
    <cfRule type="containsText" priority="685" operator="containsText" dxfId="1" text="▲">
      <formula>NOT(ISERROR(SEARCH("▲",AB62)))</formula>
    </cfRule>
    <cfRule type="containsText" priority="686" operator="containsText" dxfId="0" text="▼">
      <formula>NOT(ISERROR(SEARCH("▼",AB62)))</formula>
    </cfRule>
    <cfRule type="containsText" priority="687" operator="containsText" dxfId="1" text="▲">
      <formula>NOT(ISERROR(SEARCH("▲",AB62)))</formula>
    </cfRule>
    <cfRule type="containsText" priority="688" operator="containsText" dxfId="0" text="▼">
      <formula>NOT(ISERROR(SEARCH("▼",AB62)))</formula>
    </cfRule>
    <cfRule type="containsText" priority="689" operator="containsText" dxfId="1" text="▲">
      <formula>NOT(ISERROR(SEARCH("▲",AB62)))</formula>
    </cfRule>
    <cfRule type="containsText" priority="690" operator="containsText" dxfId="0" text="▼">
      <formula>NOT(ISERROR(SEARCH("▼",AB62)))</formula>
    </cfRule>
    <cfRule type="containsText" priority="691" operator="containsText" dxfId="1" text="▲">
      <formula>NOT(ISERROR(SEARCH("▲",AB62)))</formula>
    </cfRule>
    <cfRule type="containsText" priority="692" operator="containsText" dxfId="0" text="▼">
      <formula>NOT(ISERROR(SEARCH("▼",AB62)))</formula>
    </cfRule>
    <cfRule type="containsText" priority="693" operator="containsText" dxfId="1" text="▲">
      <formula>NOT(ISERROR(SEARCH("▲",AB62)))</formula>
    </cfRule>
    <cfRule type="containsText" priority="694" operator="containsText" dxfId="0" text="▼">
      <formula>NOT(ISERROR(SEARCH("▼",AB62)))</formula>
    </cfRule>
    <cfRule type="containsText" priority="695" operator="containsText" dxfId="1" text="▲">
      <formula>NOT(ISERROR(SEARCH("▲",AB62)))</formula>
    </cfRule>
    <cfRule type="containsText" priority="696" operator="containsText" dxfId="0" text="▼">
      <formula>NOT(ISERROR(SEARCH("▼",AB62)))</formula>
    </cfRule>
    <cfRule type="containsText" priority="697" operator="containsText" dxfId="1" text="▲">
      <formula>NOT(ISERROR(SEARCH("▲",AB62)))</formula>
    </cfRule>
    <cfRule type="containsText" priority="698" operator="containsText" dxfId="0" text="▼">
      <formula>NOT(ISERROR(SEARCH("▼",AB62)))</formula>
    </cfRule>
    <cfRule type="containsText" priority="699" operator="containsText" dxfId="1" text="▲">
      <formula>NOT(ISERROR(SEARCH("▲",AB62)))</formula>
    </cfRule>
    <cfRule type="containsText" priority="700" operator="containsText" dxfId="0" text="▼">
      <formula>NOT(ISERROR(SEARCH("▼",AB62)))</formula>
    </cfRule>
    <cfRule type="containsText" priority="701" operator="containsText" dxfId="1" text="▲">
      <formula>NOT(ISERROR(SEARCH("▲",AB62)))</formula>
    </cfRule>
    <cfRule type="containsText" priority="702" operator="containsText" dxfId="0" text="▼">
      <formula>NOT(ISERROR(SEARCH("▼",AB62)))</formula>
    </cfRule>
    <cfRule type="containsText" priority="703" operator="containsText" dxfId="1" text="▲">
      <formula>NOT(ISERROR(SEARCH("▲",AB62)))</formula>
    </cfRule>
    <cfRule type="containsText" priority="704" operator="containsText" dxfId="0" text="▼">
      <formula>NOT(ISERROR(SEARCH("▼",AB62)))</formula>
    </cfRule>
    <cfRule type="containsText" priority="705" operator="containsText" dxfId="1" text="▲">
      <formula>NOT(ISERROR(SEARCH("▲",AB62)))</formula>
    </cfRule>
    <cfRule type="containsText" priority="706" operator="containsText" dxfId="0" text="▼">
      <formula>NOT(ISERROR(SEARCH("▼",AB62)))</formula>
    </cfRule>
    <cfRule type="containsText" priority="707" operator="containsText" dxfId="1" text="▲">
      <formula>NOT(ISERROR(SEARCH("▲",AB62)))</formula>
    </cfRule>
    <cfRule type="containsText" priority="708" operator="containsText" dxfId="0" text="▼">
      <formula>NOT(ISERROR(SEARCH("▼",AB62)))</formula>
    </cfRule>
    <cfRule type="containsText" priority="709" operator="containsText" dxfId="1" text="▲">
      <formula>NOT(ISERROR(SEARCH("▲",AB62)))</formula>
    </cfRule>
    <cfRule type="containsText" priority="710" operator="containsText" dxfId="0" text="▼">
      <formula>NOT(ISERROR(SEARCH("▼",AB62)))</formula>
    </cfRule>
    <cfRule type="containsText" priority="711" operator="containsText" dxfId="1" text="▲">
      <formula>NOT(ISERROR(SEARCH("▲",AB62)))</formula>
    </cfRule>
    <cfRule type="containsText" priority="712" operator="containsText" dxfId="0" text="▼">
      <formula>NOT(ISERROR(SEARCH("▼",AB62)))</formula>
    </cfRule>
    <cfRule type="containsText" priority="713" operator="containsText" dxfId="1" text="▲">
      <formula>NOT(ISERROR(SEARCH("▲",AB62)))</formula>
    </cfRule>
    <cfRule type="containsText" priority="714" operator="containsText" dxfId="0" text="▼">
      <formula>NOT(ISERROR(SEARCH("▼",AB62)))</formula>
    </cfRule>
    <cfRule type="containsText" priority="715" operator="containsText" dxfId="1" text="▲">
      <formula>NOT(ISERROR(SEARCH("▲",AB62)))</formula>
    </cfRule>
    <cfRule type="containsText" priority="716" operator="containsText" dxfId="0" text="▼">
      <formula>NOT(ISERROR(SEARCH("▼",AB62)))</formula>
    </cfRule>
    <cfRule type="containsText" priority="717" operator="containsText" dxfId="1" text="▲">
      <formula>NOT(ISERROR(SEARCH("▲",AB62)))</formula>
    </cfRule>
    <cfRule type="containsText" priority="718" operator="containsText" dxfId="0" text="▼">
      <formula>NOT(ISERROR(SEARCH("▼",AB62)))</formula>
    </cfRule>
    <cfRule type="containsText" priority="719" operator="containsText" dxfId="1" text="▲">
      <formula>NOT(ISERROR(SEARCH("▲",AB62)))</formula>
    </cfRule>
    <cfRule type="containsText" priority="720" operator="containsText" dxfId="0" text="▼">
      <formula>NOT(ISERROR(SEARCH("▼",AB62)))</formula>
    </cfRule>
    <cfRule type="containsText" priority="721" operator="containsText" dxfId="1" text="▲">
      <formula>NOT(ISERROR(SEARCH("▲",AB62)))</formula>
    </cfRule>
    <cfRule type="containsText" priority="722" operator="containsText" dxfId="0" text="▼">
      <formula>NOT(ISERROR(SEARCH("▼",AB62)))</formula>
    </cfRule>
    <cfRule type="containsText" priority="723" operator="containsText" dxfId="1" text="▲">
      <formula>NOT(ISERROR(SEARCH("▲",AB62)))</formula>
    </cfRule>
    <cfRule type="containsText" priority="724" operator="containsText" dxfId="0" text="▼">
      <formula>NOT(ISERROR(SEARCH("▼",AB62)))</formula>
    </cfRule>
    <cfRule type="containsText" priority="725" operator="containsText" dxfId="1" text="▲">
      <formula>NOT(ISERROR(SEARCH("▲",AB62)))</formula>
    </cfRule>
    <cfRule type="containsText" priority="726" operator="containsText" dxfId="0" text="▼">
      <formula>NOT(ISERROR(SEARCH("▼",AB62)))</formula>
    </cfRule>
    <cfRule type="containsText" priority="727" operator="containsText" dxfId="1" text="▲">
      <formula>NOT(ISERROR(SEARCH("▲",AB62)))</formula>
    </cfRule>
    <cfRule type="containsText" priority="728" operator="containsText" dxfId="0" text="▼">
      <formula>NOT(ISERROR(SEARCH("▼",AB62)))</formula>
    </cfRule>
    <cfRule type="containsText" priority="729" operator="containsText" dxfId="1" text="▲">
      <formula>NOT(ISERROR(SEARCH("▲",AB62)))</formula>
    </cfRule>
    <cfRule type="containsText" priority="730" operator="containsText" dxfId="0" text="▼">
      <formula>NOT(ISERROR(SEARCH("▼",AB62)))</formula>
    </cfRule>
    <cfRule type="containsText" priority="731" operator="containsText" dxfId="1" text="▲">
      <formula>NOT(ISERROR(SEARCH("▲",AB62)))</formula>
    </cfRule>
    <cfRule type="containsText" priority="732" operator="containsText" dxfId="0" text="▼">
      <formula>NOT(ISERROR(SEARCH("▼",AB62)))</formula>
    </cfRule>
    <cfRule type="containsText" priority="733" operator="containsText" dxfId="1" text="△">
      <formula>NOT(ISERROR(SEARCH("△",AB62)))</formula>
    </cfRule>
    <cfRule type="containsText" priority="734" operator="containsText" dxfId="0" text="▽">
      <formula>NOT(ISERROR(SEARCH("▽",AB62)))</formula>
    </cfRule>
    <cfRule type="containsText" priority="735" operator="containsText" dxfId="1" text="▲">
      <formula>NOT(ISERROR(SEARCH("▲",AB62)))</formula>
    </cfRule>
    <cfRule type="containsText" priority="736" operator="containsText" dxfId="0" text="▼">
      <formula>NOT(ISERROR(SEARCH("▼",AB62)))</formula>
    </cfRule>
    <cfRule type="containsText" priority="737" operator="containsText" dxfId="1" text="▲">
      <formula>NOT(ISERROR(SEARCH("▲",AB62)))</formula>
    </cfRule>
    <cfRule type="containsText" priority="738" operator="containsText" dxfId="0" text="▼">
      <formula>NOT(ISERROR(SEARCH("▼",AB62)))</formula>
    </cfRule>
    <cfRule type="containsText" priority="739" operator="containsText" dxfId="1" text="▲">
      <formula>NOT(ISERROR(SEARCH("▲",AB62)))</formula>
    </cfRule>
    <cfRule type="containsText" priority="740" operator="containsText" dxfId="0" text="▼">
      <formula>NOT(ISERROR(SEARCH("▼",AB62)))</formula>
    </cfRule>
    <cfRule type="containsText" priority="741" operator="containsText" dxfId="1" text="▲">
      <formula>NOT(ISERROR(SEARCH("▲",AB62)))</formula>
    </cfRule>
    <cfRule type="containsText" priority="742" operator="containsText" dxfId="0" text="▼">
      <formula>NOT(ISERROR(SEARCH("▼",AB62)))</formula>
    </cfRule>
    <cfRule type="containsText" priority="743" operator="containsText" dxfId="1" text="▲">
      <formula>NOT(ISERROR(SEARCH("▲",AB62)))</formula>
    </cfRule>
    <cfRule type="containsText" priority="744" operator="containsText" dxfId="0" text="▼">
      <formula>NOT(ISERROR(SEARCH("▼",AB62)))</formula>
    </cfRule>
    <cfRule type="containsText" priority="745" operator="containsText" dxfId="1" text="▲">
      <formula>NOT(ISERROR(SEARCH("▲",AB62)))</formula>
    </cfRule>
    <cfRule type="containsText" priority="746" operator="containsText" dxfId="0" text="▼">
      <formula>NOT(ISERROR(SEARCH("▼",AB62)))</formula>
    </cfRule>
    <cfRule type="containsText" priority="747" operator="containsText" dxfId="1" text="▲">
      <formula>NOT(ISERROR(SEARCH("▲",AB62)))</formula>
    </cfRule>
    <cfRule type="containsText" priority="748" operator="containsText" dxfId="0" text="▼">
      <formula>NOT(ISERROR(SEARCH("▼",AB62)))</formula>
    </cfRule>
    <cfRule type="containsText" priority="749" operator="containsText" dxfId="1" text="▲">
      <formula>NOT(ISERROR(SEARCH("▲",AB62)))</formula>
    </cfRule>
    <cfRule type="containsText" priority="750" operator="containsText" dxfId="0" text="▼">
      <formula>NOT(ISERROR(SEARCH("▼",AB62)))</formula>
    </cfRule>
    <cfRule type="containsText" priority="751" operator="containsText" dxfId="1" text="▲">
      <formula>NOT(ISERROR(SEARCH("▲",AB62)))</formula>
    </cfRule>
    <cfRule type="containsText" priority="752" operator="containsText" dxfId="0" text="▼">
      <formula>NOT(ISERROR(SEARCH("▼",AB62)))</formula>
    </cfRule>
    <cfRule type="containsText" priority="753" operator="containsText" dxfId="1" text="▲">
      <formula>NOT(ISERROR(SEARCH("▲",AB62)))</formula>
    </cfRule>
    <cfRule type="containsText" priority="754" operator="containsText" dxfId="0" text="▼">
      <formula>NOT(ISERROR(SEARCH("▼",AB62)))</formula>
    </cfRule>
    <cfRule type="containsText" priority="755" operator="containsText" dxfId="1" text="▲">
      <formula>NOT(ISERROR(SEARCH("▲",AB62)))</formula>
    </cfRule>
    <cfRule type="containsText" priority="756" operator="containsText" dxfId="0" text="▼">
      <formula>NOT(ISERROR(SEARCH("▼",AB62)))</formula>
    </cfRule>
    <cfRule type="containsText" priority="757" operator="containsText" dxfId="1" text="▲">
      <formula>NOT(ISERROR(SEARCH("▲",AB62)))</formula>
    </cfRule>
    <cfRule type="containsText" priority="758" operator="containsText" dxfId="0" text="▼">
      <formula>NOT(ISERROR(SEARCH("▼",AB62)))</formula>
    </cfRule>
    <cfRule type="containsText" priority="759" operator="containsText" dxfId="1" text="▲">
      <formula>NOT(ISERROR(SEARCH("▲",AB62)))</formula>
    </cfRule>
    <cfRule type="containsText" priority="760" operator="containsText" dxfId="0" text="▼">
      <formula>NOT(ISERROR(SEARCH("▼",AB62)))</formula>
    </cfRule>
    <cfRule type="containsText" priority="761" operator="containsText" dxfId="1" text="▲">
      <formula>NOT(ISERROR(SEARCH("▲",AB62)))</formula>
    </cfRule>
    <cfRule type="containsText" priority="762" operator="containsText" dxfId="0" text="▼">
      <formula>NOT(ISERROR(SEARCH("▼",AB62)))</formula>
    </cfRule>
    <cfRule type="containsText" priority="763" operator="containsText" dxfId="1" text="▲">
      <formula>NOT(ISERROR(SEARCH("▲",AB62)))</formula>
    </cfRule>
    <cfRule type="containsText" priority="764" operator="containsText" dxfId="0" text="▼">
      <formula>NOT(ISERROR(SEARCH("▼",AB62)))</formula>
    </cfRule>
    <cfRule type="containsText" priority="765" operator="containsText" dxfId="1" text="▲">
      <formula>NOT(ISERROR(SEARCH("▲",AB62)))</formula>
    </cfRule>
    <cfRule type="containsText" priority="766" operator="containsText" dxfId="0" text="▼">
      <formula>NOT(ISERROR(SEARCH("▼",AB62)))</formula>
    </cfRule>
    <cfRule type="containsText" priority="767" operator="containsText" dxfId="1" text="▲">
      <formula>NOT(ISERROR(SEARCH("▲",AB62)))</formula>
    </cfRule>
    <cfRule type="containsText" priority="768" operator="containsText" dxfId="0" text="▼">
      <formula>NOT(ISERROR(SEARCH("▼",AB62)))</formula>
    </cfRule>
    <cfRule type="containsText" priority="769" operator="containsText" dxfId="1" text="▲">
      <formula>NOT(ISERROR(SEARCH("▲",AB62)))</formula>
    </cfRule>
    <cfRule type="containsText" priority="770" operator="containsText" dxfId="0" text="▼">
      <formula>NOT(ISERROR(SEARCH("▼",AB62)))</formula>
    </cfRule>
    <cfRule type="containsText" priority="771" operator="containsText" dxfId="1" text="▲">
      <formula>NOT(ISERROR(SEARCH("▲",AB62)))</formula>
    </cfRule>
    <cfRule type="containsText" priority="772" operator="containsText" dxfId="0" text="▼">
      <formula>NOT(ISERROR(SEARCH("▼",AB62)))</formula>
    </cfRule>
    <cfRule type="containsText" priority="773" operator="containsText" dxfId="1" text="▲">
      <formula>NOT(ISERROR(SEARCH("▲",AB62)))</formula>
    </cfRule>
    <cfRule type="containsText" priority="774" operator="containsText" dxfId="0" text="▼">
      <formula>NOT(ISERROR(SEARCH("▼",AB62)))</formula>
    </cfRule>
    <cfRule type="containsText" priority="775" operator="containsText" dxfId="1" text="▲">
      <formula>NOT(ISERROR(SEARCH("▲",AB62)))</formula>
    </cfRule>
    <cfRule type="containsText" priority="776" operator="containsText" dxfId="0" text="▼">
      <formula>NOT(ISERROR(SEARCH("▼",AB62)))</formula>
    </cfRule>
    <cfRule type="containsText" priority="777" operator="containsText" dxfId="1" text="▲">
      <formula>NOT(ISERROR(SEARCH("▲",AB62)))</formula>
    </cfRule>
    <cfRule type="containsText" priority="778" operator="containsText" dxfId="0" text="▼">
      <formula>NOT(ISERROR(SEARCH("▼",AB62)))</formula>
    </cfRule>
    <cfRule type="containsText" priority="779" operator="containsText" dxfId="1" text="▲">
      <formula>NOT(ISERROR(SEARCH("▲",AB62)))</formula>
    </cfRule>
    <cfRule type="containsText" priority="780" operator="containsText" dxfId="0" text="▼">
      <formula>NOT(ISERROR(SEARCH("▼",AB62)))</formula>
    </cfRule>
    <cfRule type="containsText" priority="781" operator="containsText" dxfId="1" text="▲">
      <formula>NOT(ISERROR(SEARCH("▲",AB62)))</formula>
    </cfRule>
    <cfRule type="containsText" priority="782" operator="containsText" dxfId="0" text="▼">
      <formula>NOT(ISERROR(SEARCH("▼",AB62)))</formula>
    </cfRule>
    <cfRule type="containsText" priority="783" operator="containsText" dxfId="1" text="△">
      <formula>NOT(ISERROR(SEARCH("△",AB62)))</formula>
    </cfRule>
    <cfRule type="containsText" priority="784" operator="containsText" dxfId="0" text="▽">
      <formula>NOT(ISERROR(SEARCH("▽",AB62)))</formula>
    </cfRule>
    <cfRule type="containsText" priority="785" operator="containsText" dxfId="1" text="▲">
      <formula>NOT(ISERROR(SEARCH("▲",AB62)))</formula>
    </cfRule>
    <cfRule type="containsText" priority="786" operator="containsText" dxfId="0" text="▼">
      <formula>NOT(ISERROR(SEARCH("▼",AB62)))</formula>
    </cfRule>
    <cfRule type="containsText" priority="787" operator="containsText" dxfId="1" text="▲">
      <formula>NOT(ISERROR(SEARCH("▲",AB62)))</formula>
    </cfRule>
    <cfRule type="containsText" priority="788" operator="containsText" dxfId="0" text="▼">
      <formula>NOT(ISERROR(SEARCH("▼",AB62)))</formula>
    </cfRule>
    <cfRule type="containsText" priority="789" operator="containsText" dxfId="1" text="▲">
      <formula>NOT(ISERROR(SEARCH("▲",AB62)))</formula>
    </cfRule>
    <cfRule type="containsText" priority="790" operator="containsText" dxfId="0" text="▼">
      <formula>NOT(ISERROR(SEARCH("▼",AB62)))</formula>
    </cfRule>
    <cfRule type="containsText" priority="791" operator="containsText" dxfId="1" text="▲">
      <formula>NOT(ISERROR(SEARCH("▲",AB62)))</formula>
    </cfRule>
    <cfRule type="containsText" priority="792" operator="containsText" dxfId="0" text="▼">
      <formula>NOT(ISERROR(SEARCH("▼",AB62)))</formula>
    </cfRule>
    <cfRule type="containsText" priority="793" operator="containsText" dxfId="1" text="▲">
      <formula>NOT(ISERROR(SEARCH("▲",AB62)))</formula>
    </cfRule>
    <cfRule type="containsText" priority="794" operator="containsText" dxfId="0" text="▼">
      <formula>NOT(ISERROR(SEARCH("▼",AB62)))</formula>
    </cfRule>
    <cfRule type="containsText" priority="795" operator="containsText" dxfId="1" text="▲">
      <formula>NOT(ISERROR(SEARCH("▲",AB62)))</formula>
    </cfRule>
    <cfRule type="containsText" priority="796" operator="containsText" dxfId="0" text="▼">
      <formula>NOT(ISERROR(SEARCH("▼",AB62)))</formula>
    </cfRule>
    <cfRule type="containsText" priority="797" operator="containsText" dxfId="1" text="▲">
      <formula>NOT(ISERROR(SEARCH("▲",AB62)))</formula>
    </cfRule>
    <cfRule type="containsText" priority="798" operator="containsText" dxfId="0" text="▼">
      <formula>NOT(ISERROR(SEARCH("▼",AB62)))</formula>
    </cfRule>
    <cfRule type="containsText" priority="799" operator="containsText" dxfId="1" text="▲">
      <formula>NOT(ISERROR(SEARCH("▲",AB62)))</formula>
    </cfRule>
    <cfRule type="containsText" priority="800" operator="containsText" dxfId="0" text="▼">
      <formula>NOT(ISERROR(SEARCH("▼",AB62)))</formula>
    </cfRule>
    <cfRule type="containsText" priority="801" operator="containsText" dxfId="1" text="▲">
      <formula>NOT(ISERROR(SEARCH("▲",AB62)))</formula>
    </cfRule>
    <cfRule type="containsText" priority="802" operator="containsText" dxfId="0" text="▼">
      <formula>NOT(ISERROR(SEARCH("▼",AB62)))</formula>
    </cfRule>
    <cfRule type="containsText" priority="803" operator="containsText" dxfId="1" text="▲">
      <formula>NOT(ISERROR(SEARCH("▲",AB62)))</formula>
    </cfRule>
    <cfRule type="containsText" priority="804" operator="containsText" dxfId="0" text="▼">
      <formula>NOT(ISERROR(SEARCH("▼",AB62)))</formula>
    </cfRule>
    <cfRule type="containsText" priority="805" operator="containsText" dxfId="1" text="▲">
      <formula>NOT(ISERROR(SEARCH("▲",AB62)))</formula>
    </cfRule>
    <cfRule type="containsText" priority="806" operator="containsText" dxfId="0" text="▼">
      <formula>NOT(ISERROR(SEARCH("▼",AB62)))</formula>
    </cfRule>
    <cfRule type="containsText" priority="807" operator="containsText" dxfId="1" text="▲">
      <formula>NOT(ISERROR(SEARCH("▲",AB62)))</formula>
    </cfRule>
    <cfRule type="containsText" priority="808" operator="containsText" dxfId="0" text="▼">
      <formula>NOT(ISERROR(SEARCH("▼",AB62)))</formula>
    </cfRule>
    <cfRule type="containsText" priority="809" operator="containsText" dxfId="1" text="▲">
      <formula>NOT(ISERROR(SEARCH("▲",AB62)))</formula>
    </cfRule>
    <cfRule type="containsText" priority="810" operator="containsText" dxfId="0" text="▼">
      <formula>NOT(ISERROR(SEARCH("▼",AB62)))</formula>
    </cfRule>
    <cfRule type="containsText" priority="811" operator="containsText" dxfId="1" text="▲">
      <formula>NOT(ISERROR(SEARCH("▲",AB62)))</formula>
    </cfRule>
    <cfRule type="containsText" priority="812" operator="containsText" dxfId="0" text="▼">
      <formula>NOT(ISERROR(SEARCH("▼",AB62)))</formula>
    </cfRule>
    <cfRule type="containsText" priority="813" operator="containsText" dxfId="1" text="▲">
      <formula>NOT(ISERROR(SEARCH("▲",AB62)))</formula>
    </cfRule>
    <cfRule type="containsText" priority="814" operator="containsText" dxfId="0" text="▼">
      <formula>NOT(ISERROR(SEARCH("▼",AB62)))</formula>
    </cfRule>
    <cfRule type="containsText" priority="815" operator="containsText" dxfId="1" text="▲">
      <formula>NOT(ISERROR(SEARCH("▲",AB62)))</formula>
    </cfRule>
    <cfRule type="containsText" priority="816" operator="containsText" dxfId="0" text="▼">
      <formula>NOT(ISERROR(SEARCH("▼",AB62)))</formula>
    </cfRule>
    <cfRule type="containsText" priority="817" operator="containsText" dxfId="1" text="▲">
      <formula>NOT(ISERROR(SEARCH("▲",AB62)))</formula>
    </cfRule>
    <cfRule type="containsText" priority="818" operator="containsText" dxfId="0" text="▼">
      <formula>NOT(ISERROR(SEARCH("▼",AB62)))</formula>
    </cfRule>
    <cfRule type="containsText" priority="819" operator="containsText" dxfId="1" text="▲">
      <formula>NOT(ISERROR(SEARCH("▲",AB62)))</formula>
    </cfRule>
    <cfRule type="containsText" priority="820" operator="containsText" dxfId="0" text="▼">
      <formula>NOT(ISERROR(SEARCH("▼",AB62)))</formula>
    </cfRule>
    <cfRule type="containsText" priority="821" operator="containsText" dxfId="1" text="▲">
      <formula>NOT(ISERROR(SEARCH("▲",AB62)))</formula>
    </cfRule>
    <cfRule type="containsText" priority="822" operator="containsText" dxfId="0" text="▼">
      <formula>NOT(ISERROR(SEARCH("▼",AB62)))</formula>
    </cfRule>
    <cfRule type="containsText" priority="823" operator="containsText" dxfId="1" text="▲">
      <formula>NOT(ISERROR(SEARCH("▲",AB62)))</formula>
    </cfRule>
    <cfRule type="containsText" priority="824" operator="containsText" dxfId="0" text="▼">
      <formula>NOT(ISERROR(SEARCH("▼",AB62)))</formula>
    </cfRule>
    <cfRule type="containsText" priority="825" operator="containsText" dxfId="1" text="▲">
      <formula>NOT(ISERROR(SEARCH("▲",AB62)))</formula>
    </cfRule>
    <cfRule type="containsText" priority="826" operator="containsText" dxfId="0" text="▼">
      <formula>NOT(ISERROR(SEARCH("▼",AB62)))</formula>
    </cfRule>
    <cfRule type="containsText" priority="827" operator="containsText" dxfId="1" text="▲">
      <formula>NOT(ISERROR(SEARCH("▲",AB62)))</formula>
    </cfRule>
    <cfRule type="containsText" priority="828" operator="containsText" dxfId="0" text="▼">
      <formula>NOT(ISERROR(SEARCH("▼",AB62)))</formula>
    </cfRule>
    <cfRule type="containsText" priority="829" operator="containsText" dxfId="1" text="▲">
      <formula>NOT(ISERROR(SEARCH("▲",AB62)))</formula>
    </cfRule>
    <cfRule type="containsText" priority="830" operator="containsText" dxfId="0" text="▼">
      <formula>NOT(ISERROR(SEARCH("▼",AB62)))</formula>
    </cfRule>
    <cfRule type="containsText" priority="831" operator="containsText" dxfId="1" text="▲">
      <formula>NOT(ISERROR(SEARCH("▲",AB62)))</formula>
    </cfRule>
    <cfRule type="containsText" priority="832" operator="containsText" dxfId="0" text="▼">
      <formula>NOT(ISERROR(SEARCH("▼",AB62)))</formula>
    </cfRule>
    <cfRule type="containsText" priority="833" operator="containsText" dxfId="1" text="▲">
      <formula>NOT(ISERROR(SEARCH("▲",AB62)))</formula>
    </cfRule>
    <cfRule type="containsText" priority="834" operator="containsText" dxfId="0" text="▼">
      <formula>NOT(ISERROR(SEARCH("▼",AB62)))</formula>
    </cfRule>
    <cfRule type="containsText" priority="835" operator="containsText" dxfId="1" text="△">
      <formula>NOT(ISERROR(SEARCH("△",AB62)))</formula>
    </cfRule>
    <cfRule type="containsText" priority="836" operator="containsText" dxfId="0" text="▽">
      <formula>NOT(ISERROR(SEARCH("▽",AB62)))</formula>
    </cfRule>
    <cfRule type="containsText" priority="837" operator="containsText" dxfId="1" text="▲">
      <formula>NOT(ISERROR(SEARCH("▲",AB62)))</formula>
    </cfRule>
    <cfRule type="containsText" priority="838" operator="containsText" dxfId="0" text="▼">
      <formula>NOT(ISERROR(SEARCH("▼",AB62)))</formula>
    </cfRule>
    <cfRule type="containsText" priority="839" operator="containsText" dxfId="1" text="▲">
      <formula>NOT(ISERROR(SEARCH("▲",AB62)))</formula>
    </cfRule>
    <cfRule type="containsText" priority="840" operator="containsText" dxfId="0" text="▼">
      <formula>NOT(ISERROR(SEARCH("▼",AB62)))</formula>
    </cfRule>
    <cfRule type="containsText" priority="841" operator="containsText" dxfId="1" text="▲">
      <formula>NOT(ISERROR(SEARCH("▲",AB62)))</formula>
    </cfRule>
    <cfRule type="containsText" priority="842" operator="containsText" dxfId="0" text="▼">
      <formula>NOT(ISERROR(SEARCH("▼",AB62)))</formula>
    </cfRule>
    <cfRule type="containsText" priority="843" operator="containsText" dxfId="1" text="▲">
      <formula>NOT(ISERROR(SEARCH("▲",AB62)))</formula>
    </cfRule>
    <cfRule type="containsText" priority="844" operator="containsText" dxfId="0" text="▼">
      <formula>NOT(ISERROR(SEARCH("▼",AB62)))</formula>
    </cfRule>
    <cfRule type="containsText" priority="845" operator="containsText" dxfId="1" text="▲">
      <formula>NOT(ISERROR(SEARCH("▲",AB62)))</formula>
    </cfRule>
    <cfRule type="containsText" priority="846" operator="containsText" dxfId="0" text="▼">
      <formula>NOT(ISERROR(SEARCH("▼",AB62)))</formula>
    </cfRule>
    <cfRule type="containsText" priority="847" operator="containsText" dxfId="1" text="▲">
      <formula>NOT(ISERROR(SEARCH("▲",AB62)))</formula>
    </cfRule>
    <cfRule type="containsText" priority="848" operator="containsText" dxfId="0" text="▼">
      <formula>NOT(ISERROR(SEARCH("▼",AB62)))</formula>
    </cfRule>
    <cfRule type="containsText" priority="849" operator="containsText" dxfId="1" text="▲">
      <formula>NOT(ISERROR(SEARCH("▲",AB62)))</formula>
    </cfRule>
    <cfRule type="containsText" priority="850" operator="containsText" dxfId="0" text="▼">
      <formula>NOT(ISERROR(SEARCH("▼",AB62)))</formula>
    </cfRule>
    <cfRule type="containsText" priority="851" operator="containsText" dxfId="1" text="▲">
      <formula>NOT(ISERROR(SEARCH("▲",AB62)))</formula>
    </cfRule>
    <cfRule type="containsText" priority="852" operator="containsText" dxfId="0" text="▼">
      <formula>NOT(ISERROR(SEARCH("▼",AB62)))</formula>
    </cfRule>
    <cfRule type="containsText" priority="853" operator="containsText" dxfId="1" text="▲">
      <formula>NOT(ISERROR(SEARCH("▲",AB62)))</formula>
    </cfRule>
    <cfRule type="containsText" priority="854" operator="containsText" dxfId="0" text="▼">
      <formula>NOT(ISERROR(SEARCH("▼",AB62)))</formula>
    </cfRule>
    <cfRule type="containsText" priority="855" operator="containsText" dxfId="1" text="▲">
      <formula>NOT(ISERROR(SEARCH("▲",AB62)))</formula>
    </cfRule>
    <cfRule type="containsText" priority="856" operator="containsText" dxfId="0" text="▼">
      <formula>NOT(ISERROR(SEARCH("▼",AB62)))</formula>
    </cfRule>
    <cfRule type="containsText" priority="857" operator="containsText" dxfId="1" text="▲">
      <formula>NOT(ISERROR(SEARCH("▲",AB62)))</formula>
    </cfRule>
    <cfRule type="containsText" priority="858" operator="containsText" dxfId="0" text="▼">
      <formula>NOT(ISERROR(SEARCH("▼",AB62)))</formula>
    </cfRule>
    <cfRule type="containsText" priority="859" operator="containsText" dxfId="1" text="▲">
      <formula>NOT(ISERROR(SEARCH("▲",AB62)))</formula>
    </cfRule>
    <cfRule type="containsText" priority="860" operator="containsText" dxfId="0" text="▼">
      <formula>NOT(ISERROR(SEARCH("▼",AB62)))</formula>
    </cfRule>
    <cfRule type="containsText" priority="861" operator="containsText" dxfId="1" text="▲">
      <formula>NOT(ISERROR(SEARCH("▲",AB62)))</formula>
    </cfRule>
    <cfRule type="containsText" priority="862" operator="containsText" dxfId="0" text="▼">
      <formula>NOT(ISERROR(SEARCH("▼",AB62)))</formula>
    </cfRule>
    <cfRule type="containsText" priority="863" operator="containsText" dxfId="1" text="▲">
      <formula>NOT(ISERROR(SEARCH("▲",AB62)))</formula>
    </cfRule>
    <cfRule type="containsText" priority="864" operator="containsText" dxfId="0" text="▼">
      <formula>NOT(ISERROR(SEARCH("▼",AB62)))</formula>
    </cfRule>
    <cfRule type="containsText" priority="865" operator="containsText" dxfId="1" text="▲">
      <formula>NOT(ISERROR(SEARCH("▲",AB62)))</formula>
    </cfRule>
    <cfRule type="containsText" priority="866" operator="containsText" dxfId="0" text="▼">
      <formula>NOT(ISERROR(SEARCH("▼",AB62)))</formula>
    </cfRule>
    <cfRule type="containsText" priority="867" operator="containsText" dxfId="1" text="▲">
      <formula>NOT(ISERROR(SEARCH("▲",AB62)))</formula>
    </cfRule>
    <cfRule type="containsText" priority="868" operator="containsText" dxfId="0" text="▼">
      <formula>NOT(ISERROR(SEARCH("▼",AB62)))</formula>
    </cfRule>
    <cfRule type="containsText" priority="869" operator="containsText" dxfId="1" text="▲">
      <formula>NOT(ISERROR(SEARCH("▲",AB62)))</formula>
    </cfRule>
    <cfRule type="containsText" priority="870" operator="containsText" dxfId="0" text="▼">
      <formula>NOT(ISERROR(SEARCH("▼",AB62)))</formula>
    </cfRule>
    <cfRule type="containsText" priority="871" operator="containsText" dxfId="1" text="▲">
      <formula>NOT(ISERROR(SEARCH("▲",AB62)))</formula>
    </cfRule>
    <cfRule type="containsText" priority="872" operator="containsText" dxfId="0" text="▼">
      <formula>NOT(ISERROR(SEARCH("▼",AB62)))</formula>
    </cfRule>
    <cfRule type="containsText" priority="873" operator="containsText" dxfId="1" text="▲">
      <formula>NOT(ISERROR(SEARCH("▲",AB62)))</formula>
    </cfRule>
    <cfRule type="containsText" priority="874" operator="containsText" dxfId="0" text="▼">
      <formula>NOT(ISERROR(SEARCH("▼",AB62)))</formula>
    </cfRule>
    <cfRule type="containsText" priority="875" operator="containsText" dxfId="1" text="▲">
      <formula>NOT(ISERROR(SEARCH("▲",AB62)))</formula>
    </cfRule>
    <cfRule type="containsText" priority="876" operator="containsText" dxfId="0" text="▼">
      <formula>NOT(ISERROR(SEARCH("▼",AB62)))</formula>
    </cfRule>
    <cfRule type="containsText" priority="877" operator="containsText" dxfId="1" text="▲">
      <formula>NOT(ISERROR(SEARCH("▲",AB62)))</formula>
    </cfRule>
    <cfRule type="containsText" priority="878" operator="containsText" dxfId="0" text="▼">
      <formula>NOT(ISERROR(SEARCH("▼",AB62)))</formula>
    </cfRule>
    <cfRule type="containsText" priority="879" operator="containsText" dxfId="1" text="▲">
      <formula>NOT(ISERROR(SEARCH("▲",AB62)))</formula>
    </cfRule>
    <cfRule type="containsText" priority="880" operator="containsText" dxfId="0" text="▼">
      <formula>NOT(ISERROR(SEARCH("▼",AB62)))</formula>
    </cfRule>
    <cfRule type="containsText" priority="881" operator="containsText" dxfId="1" text="▲">
      <formula>NOT(ISERROR(SEARCH("▲",AB62)))</formula>
    </cfRule>
    <cfRule type="containsText" priority="882" operator="containsText" dxfId="0" text="▼">
      <formula>NOT(ISERROR(SEARCH("▼",AB62)))</formula>
    </cfRule>
    <cfRule type="containsText" priority="883" operator="containsText" dxfId="1" text="▲">
      <formula>NOT(ISERROR(SEARCH("▲",AB62)))</formula>
    </cfRule>
    <cfRule type="containsText" priority="884" operator="containsText" dxfId="0" text="▼">
      <formula>NOT(ISERROR(SEARCH("▼",AB62)))</formula>
    </cfRule>
    <cfRule type="containsText" priority="885" operator="containsText" dxfId="1" text="▲">
      <formula>NOT(ISERROR(SEARCH("▲",AB62)))</formula>
    </cfRule>
    <cfRule type="containsText" priority="886" operator="containsText" dxfId="0" text="▼">
      <formula>NOT(ISERROR(SEARCH("▼",AB62)))</formula>
    </cfRule>
    <cfRule type="containsText" priority="887" operator="containsText" dxfId="1" text="▲">
      <formula>NOT(ISERROR(SEARCH("▲",AB62)))</formula>
    </cfRule>
    <cfRule type="containsText" priority="888" operator="containsText" dxfId="0" text="▼">
      <formula>NOT(ISERROR(SEARCH("▼",AB62)))</formula>
    </cfRule>
    <cfRule type="containsText" priority="889" operator="containsText" dxfId="1" text="▲">
      <formula>NOT(ISERROR(SEARCH("▲",AB62)))</formula>
    </cfRule>
    <cfRule type="containsText" priority="890" operator="containsText" dxfId="0" text="▼">
      <formula>NOT(ISERROR(SEARCH("▼",AB62)))</formula>
    </cfRule>
    <cfRule type="containsText" priority="891" operator="containsText" dxfId="1" text="▲">
      <formula>NOT(ISERROR(SEARCH("▲",AB62)))</formula>
    </cfRule>
    <cfRule type="containsText" priority="892" operator="containsText" dxfId="0" text="▼">
      <formula>NOT(ISERROR(SEARCH("▼",AB62)))</formula>
    </cfRule>
    <cfRule type="containsText" priority="893" operator="containsText" dxfId="1" text="▲">
      <formula>NOT(ISERROR(SEARCH("▲",AB62)))</formula>
    </cfRule>
    <cfRule type="containsText" priority="894" operator="containsText" dxfId="0" text="▼">
      <formula>NOT(ISERROR(SEARCH("▼",AB62)))</formula>
    </cfRule>
    <cfRule type="containsText" priority="895" operator="containsText" dxfId="1" text="▲">
      <formula>NOT(ISERROR(SEARCH("▲",AB62)))</formula>
    </cfRule>
    <cfRule type="containsText" priority="896" operator="containsText" dxfId="0" text="▼">
      <formula>NOT(ISERROR(SEARCH("▼",AB62)))</formula>
    </cfRule>
    <cfRule type="containsText" priority="897" operator="containsText" dxfId="1" text="▲">
      <formula>NOT(ISERROR(SEARCH("▲",AB62)))</formula>
    </cfRule>
    <cfRule type="containsText" priority="898" operator="containsText" dxfId="0" text="▼">
      <formula>NOT(ISERROR(SEARCH("▼",AB62)))</formula>
    </cfRule>
    <cfRule type="containsText" priority="899" operator="containsText" dxfId="1" text="△">
      <formula>NOT(ISERROR(SEARCH("△",AB62)))</formula>
    </cfRule>
    <cfRule type="containsText" priority="900" operator="containsText" dxfId="0" text="▽">
      <formula>NOT(ISERROR(SEARCH("▽",AB62)))</formula>
    </cfRule>
    <cfRule type="containsText" priority="681" operator="containsText" dxfId="1" text="▲">
      <formula>NOT(ISERROR(SEARCH("▲",AB62)))</formula>
    </cfRule>
    <cfRule type="containsText" priority="682" operator="containsText" dxfId="0" text="▼">
      <formula>NOT(ISERROR(SEARCH("▼",AB62)))</formula>
    </cfRule>
    <cfRule type="containsText" priority="471" operator="containsText" dxfId="1" text="▲">
      <formula>NOT(ISERROR(SEARCH("▲",AB62)))</formula>
    </cfRule>
    <cfRule type="containsText" priority="472" operator="containsText" dxfId="0" text="▼">
      <formula>NOT(ISERROR(SEARCH("▼",AB62)))</formula>
    </cfRule>
    <cfRule type="containsText" priority="473" operator="containsText" dxfId="1" text="▲">
      <formula>NOT(ISERROR(SEARCH("▲",AB62)))</formula>
    </cfRule>
    <cfRule type="containsText" priority="474" operator="containsText" dxfId="0" text="▼">
      <formula>NOT(ISERROR(SEARCH("▼",AB62)))</formula>
    </cfRule>
    <cfRule type="containsText" priority="475" operator="containsText" dxfId="1" text="▲">
      <formula>NOT(ISERROR(SEARCH("▲",AB62)))</formula>
    </cfRule>
    <cfRule type="containsText" priority="476" operator="containsText" dxfId="0" text="▼">
      <formula>NOT(ISERROR(SEARCH("▼",AB62)))</formula>
    </cfRule>
    <cfRule type="containsText" priority="477" operator="containsText" dxfId="1" text="▲">
      <formula>NOT(ISERROR(SEARCH("▲",AB62)))</formula>
    </cfRule>
    <cfRule type="containsText" priority="478" operator="containsText" dxfId="0" text="▼">
      <formula>NOT(ISERROR(SEARCH("▼",AB62)))</formula>
    </cfRule>
    <cfRule type="containsText" priority="479" operator="containsText" dxfId="1" text="▲">
      <formula>NOT(ISERROR(SEARCH("▲",AB62)))</formula>
    </cfRule>
    <cfRule type="containsText" priority="480" operator="containsText" dxfId="0" text="▼">
      <formula>NOT(ISERROR(SEARCH("▼",AB62)))</formula>
    </cfRule>
    <cfRule type="containsText" priority="481" operator="containsText" dxfId="1" text="▲">
      <formula>NOT(ISERROR(SEARCH("▲",AB62)))</formula>
    </cfRule>
    <cfRule type="containsText" priority="482" operator="containsText" dxfId="0" text="▼">
      <formula>NOT(ISERROR(SEARCH("▼",AB62)))</formula>
    </cfRule>
    <cfRule type="containsText" priority="483" operator="containsText" dxfId="1" text="▲">
      <formula>NOT(ISERROR(SEARCH("▲",AB62)))</formula>
    </cfRule>
    <cfRule type="containsText" priority="484" operator="containsText" dxfId="0" text="▼">
      <formula>NOT(ISERROR(SEARCH("▼",AB62)))</formula>
    </cfRule>
    <cfRule type="containsText" priority="485" operator="containsText" dxfId="1" text="▲">
      <formula>NOT(ISERROR(SEARCH("▲",AB62)))</formula>
    </cfRule>
    <cfRule type="containsText" priority="486" operator="containsText" dxfId="0" text="▼">
      <formula>NOT(ISERROR(SEARCH("▼",AB62)))</formula>
    </cfRule>
    <cfRule type="containsText" priority="487" operator="containsText" dxfId="1" text="▲">
      <formula>NOT(ISERROR(SEARCH("▲",AB62)))</formula>
    </cfRule>
    <cfRule type="containsText" priority="488" operator="containsText" dxfId="0" text="▼">
      <formula>NOT(ISERROR(SEARCH("▼",AB62)))</formula>
    </cfRule>
    <cfRule type="containsText" priority="489" operator="containsText" dxfId="1" text="▲">
      <formula>NOT(ISERROR(SEARCH("▲",AB62)))</formula>
    </cfRule>
    <cfRule type="containsText" priority="490" operator="containsText" dxfId="0" text="▼">
      <formula>NOT(ISERROR(SEARCH("▼",AB62)))</formula>
    </cfRule>
    <cfRule type="containsText" priority="491" operator="containsText" dxfId="1" text="▲">
      <formula>NOT(ISERROR(SEARCH("▲",AB62)))</formula>
    </cfRule>
    <cfRule type="containsText" priority="492" operator="containsText" dxfId="0" text="▼">
      <formula>NOT(ISERROR(SEARCH("▼",AB62)))</formula>
    </cfRule>
    <cfRule type="containsText" priority="493" operator="containsText" dxfId="1" text="▲">
      <formula>NOT(ISERROR(SEARCH("▲",AB62)))</formula>
    </cfRule>
    <cfRule type="containsText" priority="494" operator="containsText" dxfId="0" text="▼">
      <formula>NOT(ISERROR(SEARCH("▼",AB62)))</formula>
    </cfRule>
    <cfRule type="containsText" priority="495" operator="containsText" dxfId="1" text="▲">
      <formula>NOT(ISERROR(SEARCH("▲",AB62)))</formula>
    </cfRule>
    <cfRule type="containsText" priority="496" operator="containsText" dxfId="0" text="▼">
      <formula>NOT(ISERROR(SEARCH("▼",AB62)))</formula>
    </cfRule>
    <cfRule type="containsText" priority="497" operator="containsText" dxfId="1" text="▲">
      <formula>NOT(ISERROR(SEARCH("▲",AB62)))</formula>
    </cfRule>
    <cfRule type="containsText" priority="498" operator="containsText" dxfId="0" text="▼">
      <formula>NOT(ISERROR(SEARCH("▼",AB62)))</formula>
    </cfRule>
    <cfRule type="containsText" priority="499" operator="containsText" dxfId="1" text="▲">
      <formula>NOT(ISERROR(SEARCH("▲",AB62)))</formula>
    </cfRule>
    <cfRule type="containsText" priority="500" operator="containsText" dxfId="0" text="▼">
      <formula>NOT(ISERROR(SEARCH("▼",AB62)))</formula>
    </cfRule>
    <cfRule type="containsText" priority="501" operator="containsText" dxfId="1" text="▲">
      <formula>NOT(ISERROR(SEARCH("▲",AB62)))</formula>
    </cfRule>
    <cfRule type="containsText" priority="502" operator="containsText" dxfId="0" text="▼">
      <formula>NOT(ISERROR(SEARCH("▼",AB62)))</formula>
    </cfRule>
    <cfRule type="containsText" priority="503" operator="containsText" dxfId="1" text="▲">
      <formula>NOT(ISERROR(SEARCH("▲",AB62)))</formula>
    </cfRule>
    <cfRule type="containsText" priority="504" operator="containsText" dxfId="0" text="▼">
      <formula>NOT(ISERROR(SEARCH("▼",AB62)))</formula>
    </cfRule>
    <cfRule type="containsText" priority="505" operator="containsText" dxfId="1" text="▲">
      <formula>NOT(ISERROR(SEARCH("▲",AB62)))</formula>
    </cfRule>
    <cfRule type="containsText" priority="506" operator="containsText" dxfId="0" text="▼">
      <formula>NOT(ISERROR(SEARCH("▼",AB62)))</formula>
    </cfRule>
    <cfRule type="containsText" priority="507" operator="containsText" dxfId="1" text="▲">
      <formula>NOT(ISERROR(SEARCH("▲",AB62)))</formula>
    </cfRule>
    <cfRule type="containsText" priority="508" operator="containsText" dxfId="0" text="▼">
      <formula>NOT(ISERROR(SEARCH("▼",AB62)))</formula>
    </cfRule>
    <cfRule type="containsText" priority="509" operator="containsText" dxfId="1" text="▲">
      <formula>NOT(ISERROR(SEARCH("▲",AB62)))</formula>
    </cfRule>
    <cfRule type="containsText" priority="510" operator="containsText" dxfId="0" text="▼">
      <formula>NOT(ISERROR(SEARCH("▼",AB62)))</formula>
    </cfRule>
    <cfRule type="containsText" priority="511" operator="containsText" dxfId="1" text="▲">
      <formula>NOT(ISERROR(SEARCH("▲",AB62)))</formula>
    </cfRule>
    <cfRule type="containsText" priority="512" operator="containsText" dxfId="0" text="▼">
      <formula>NOT(ISERROR(SEARCH("▼",AB62)))</formula>
    </cfRule>
    <cfRule type="containsText" priority="513" operator="containsText" dxfId="1" text="▲">
      <formula>NOT(ISERROR(SEARCH("▲",AB62)))</formula>
    </cfRule>
    <cfRule type="containsText" priority="514" operator="containsText" dxfId="0" text="▼">
      <formula>NOT(ISERROR(SEARCH("▼",AB62)))</formula>
    </cfRule>
    <cfRule type="containsText" priority="515" operator="containsText" dxfId="1" text="▲">
      <formula>NOT(ISERROR(SEARCH("▲",AB62)))</formula>
    </cfRule>
    <cfRule type="containsText" priority="516" operator="containsText" dxfId="0" text="▼">
      <formula>NOT(ISERROR(SEARCH("▼",AB62)))</formula>
    </cfRule>
    <cfRule type="containsText" priority="517" operator="containsText" dxfId="1" text="▲">
      <formula>NOT(ISERROR(SEARCH("▲",AB62)))</formula>
    </cfRule>
    <cfRule type="containsText" priority="518" operator="containsText" dxfId="0" text="▼">
      <formula>NOT(ISERROR(SEARCH("▼",AB62)))</formula>
    </cfRule>
    <cfRule type="containsText" priority="519" operator="containsText" dxfId="1" text="▲">
      <formula>NOT(ISERROR(SEARCH("▲",AB62)))</formula>
    </cfRule>
    <cfRule type="containsText" priority="520" operator="containsText" dxfId="0" text="▼">
      <formula>NOT(ISERROR(SEARCH("▼",AB62)))</formula>
    </cfRule>
    <cfRule type="containsText" priority="521" operator="containsText" dxfId="1" text="△">
      <formula>NOT(ISERROR(SEARCH("△",AB62)))</formula>
    </cfRule>
    <cfRule type="containsText" priority="522" operator="containsText" dxfId="0" text="▽">
      <formula>NOT(ISERROR(SEARCH("▽",AB62)))</formula>
    </cfRule>
    <cfRule type="containsText" priority="523" operator="containsText" dxfId="1" text="▲">
      <formula>NOT(ISERROR(SEARCH("▲",AB62)))</formula>
    </cfRule>
    <cfRule type="containsText" priority="524" operator="containsText" dxfId="0" text="▼">
      <formula>NOT(ISERROR(SEARCH("▼",AB62)))</formula>
    </cfRule>
    <cfRule type="containsText" priority="525" operator="containsText" dxfId="1" text="▲">
      <formula>NOT(ISERROR(SEARCH("▲",AB62)))</formula>
    </cfRule>
    <cfRule type="containsText" priority="526" operator="containsText" dxfId="0" text="▼">
      <formula>NOT(ISERROR(SEARCH("▼",AB62)))</formula>
    </cfRule>
    <cfRule type="containsText" priority="527" operator="containsText" dxfId="1" text="▲">
      <formula>NOT(ISERROR(SEARCH("▲",AB62)))</formula>
    </cfRule>
    <cfRule type="containsText" priority="528" operator="containsText" dxfId="0" text="▼">
      <formula>NOT(ISERROR(SEARCH("▼",AB62)))</formula>
    </cfRule>
    <cfRule type="containsText" priority="529" operator="containsText" dxfId="1" text="▲">
      <formula>NOT(ISERROR(SEARCH("▲",AB62)))</formula>
    </cfRule>
    <cfRule type="containsText" priority="530" operator="containsText" dxfId="0" text="▼">
      <formula>NOT(ISERROR(SEARCH("▼",AB62)))</formula>
    </cfRule>
    <cfRule type="containsText" priority="531" operator="containsText" dxfId="1" text="▲">
      <formula>NOT(ISERROR(SEARCH("▲",AB62)))</formula>
    </cfRule>
    <cfRule type="containsText" priority="532" operator="containsText" dxfId="0" text="▼">
      <formula>NOT(ISERROR(SEARCH("▼",AB62)))</formula>
    </cfRule>
    <cfRule type="containsText" priority="533" operator="containsText" dxfId="1" text="▲">
      <formula>NOT(ISERROR(SEARCH("▲",AB62)))</formula>
    </cfRule>
    <cfRule type="containsText" priority="534" operator="containsText" dxfId="0" text="▼">
      <formula>NOT(ISERROR(SEARCH("▼",AB62)))</formula>
    </cfRule>
    <cfRule type="containsText" priority="535" operator="containsText" dxfId="1" text="▲">
      <formula>NOT(ISERROR(SEARCH("▲",AB62)))</formula>
    </cfRule>
    <cfRule type="containsText" priority="536" operator="containsText" dxfId="0" text="▼">
      <formula>NOT(ISERROR(SEARCH("▼",AB62)))</formula>
    </cfRule>
    <cfRule type="containsText" priority="537" operator="containsText" dxfId="1" text="▲">
      <formula>NOT(ISERROR(SEARCH("▲",AB62)))</formula>
    </cfRule>
    <cfRule type="containsText" priority="538" operator="containsText" dxfId="0" text="▼">
      <formula>NOT(ISERROR(SEARCH("▼",AB62)))</formula>
    </cfRule>
    <cfRule type="containsText" priority="539" operator="containsText" dxfId="1" text="▲">
      <formula>NOT(ISERROR(SEARCH("▲",AB62)))</formula>
    </cfRule>
    <cfRule type="containsText" priority="540" operator="containsText" dxfId="0" text="▼">
      <formula>NOT(ISERROR(SEARCH("▼",AB62)))</formula>
    </cfRule>
    <cfRule type="containsText" priority="541" operator="containsText" dxfId="1" text="▲">
      <formula>NOT(ISERROR(SEARCH("▲",AB62)))</formula>
    </cfRule>
    <cfRule type="containsText" priority="542" operator="containsText" dxfId="0" text="▼">
      <formula>NOT(ISERROR(SEARCH("▼",AB62)))</formula>
    </cfRule>
    <cfRule type="containsText" priority="543" operator="containsText" dxfId="1" text="▲">
      <formula>NOT(ISERROR(SEARCH("▲",AB62)))</formula>
    </cfRule>
    <cfRule type="containsText" priority="544" operator="containsText" dxfId="0" text="▼">
      <formula>NOT(ISERROR(SEARCH("▼",AB62)))</formula>
    </cfRule>
    <cfRule type="containsText" priority="545" operator="containsText" dxfId="1" text="▲">
      <formula>NOT(ISERROR(SEARCH("▲",AB62)))</formula>
    </cfRule>
    <cfRule type="containsText" priority="546" operator="containsText" dxfId="0" text="▼">
      <formula>NOT(ISERROR(SEARCH("▼",AB62)))</formula>
    </cfRule>
    <cfRule type="containsText" priority="547" operator="containsText" dxfId="1" text="▲">
      <formula>NOT(ISERROR(SEARCH("▲",AB62)))</formula>
    </cfRule>
    <cfRule type="containsText" priority="548" operator="containsText" dxfId="0" text="▼">
      <formula>NOT(ISERROR(SEARCH("▼",AB62)))</formula>
    </cfRule>
    <cfRule type="containsText" priority="549" operator="containsText" dxfId="1" text="▲">
      <formula>NOT(ISERROR(SEARCH("▲",AB62)))</formula>
    </cfRule>
    <cfRule type="containsText" priority="550" operator="containsText" dxfId="0" text="▼">
      <formula>NOT(ISERROR(SEARCH("▼",AB62)))</formula>
    </cfRule>
    <cfRule type="containsText" priority="551" operator="containsText" dxfId="1" text="▲">
      <formula>NOT(ISERROR(SEARCH("▲",AB62)))</formula>
    </cfRule>
    <cfRule type="containsText" priority="552" operator="containsText" dxfId="0" text="▼">
      <formula>NOT(ISERROR(SEARCH("▼",AB62)))</formula>
    </cfRule>
    <cfRule type="containsText" priority="553" operator="containsText" dxfId="1" text="▲">
      <formula>NOT(ISERROR(SEARCH("▲",AB62)))</formula>
    </cfRule>
    <cfRule type="containsText" priority="554" operator="containsText" dxfId="0" text="▼">
      <formula>NOT(ISERROR(SEARCH("▼",AB62)))</formula>
    </cfRule>
    <cfRule type="containsText" priority="555" operator="containsText" dxfId="1" text="▲">
      <formula>NOT(ISERROR(SEARCH("▲",AB62)))</formula>
    </cfRule>
    <cfRule type="containsText" priority="556" operator="containsText" dxfId="0" text="▼">
      <formula>NOT(ISERROR(SEARCH("▼",AB62)))</formula>
    </cfRule>
    <cfRule type="containsText" priority="557" operator="containsText" dxfId="1" text="▲">
      <formula>NOT(ISERROR(SEARCH("▲",AB62)))</formula>
    </cfRule>
    <cfRule type="containsText" priority="558" operator="containsText" dxfId="0" text="▼">
      <formula>NOT(ISERROR(SEARCH("▼",AB62)))</formula>
    </cfRule>
    <cfRule type="containsText" priority="559" operator="containsText" dxfId="1" text="▲">
      <formula>NOT(ISERROR(SEARCH("▲",AB62)))</formula>
    </cfRule>
    <cfRule type="containsText" priority="560" operator="containsText" dxfId="0" text="▼">
      <formula>NOT(ISERROR(SEARCH("▼",AB62)))</formula>
    </cfRule>
    <cfRule type="containsText" priority="561" operator="containsText" dxfId="1" text="▲">
      <formula>NOT(ISERROR(SEARCH("▲",AB62)))</formula>
    </cfRule>
    <cfRule type="containsText" priority="562" operator="containsText" dxfId="0" text="▼">
      <formula>NOT(ISERROR(SEARCH("▼",AB62)))</formula>
    </cfRule>
    <cfRule type="containsText" priority="563" operator="containsText" dxfId="1" text="▲">
      <formula>NOT(ISERROR(SEARCH("▲",AB62)))</formula>
    </cfRule>
    <cfRule type="containsText" priority="564" operator="containsText" dxfId="0" text="▼">
      <formula>NOT(ISERROR(SEARCH("▼",AB62)))</formula>
    </cfRule>
    <cfRule type="containsText" priority="565" operator="containsText" dxfId="1" text="▲">
      <formula>NOT(ISERROR(SEARCH("▲",AB62)))</formula>
    </cfRule>
    <cfRule type="containsText" priority="566" operator="containsText" dxfId="0" text="▼">
      <formula>NOT(ISERROR(SEARCH("▼",AB62)))</formula>
    </cfRule>
    <cfRule type="containsText" priority="567" operator="containsText" dxfId="1" text="▲">
      <formula>NOT(ISERROR(SEARCH("▲",AB62)))</formula>
    </cfRule>
    <cfRule type="containsText" priority="568" operator="containsText" dxfId="0" text="▼">
      <formula>NOT(ISERROR(SEARCH("▼",AB62)))</formula>
    </cfRule>
    <cfRule type="containsText" priority="569" operator="containsText" dxfId="1" text="△">
      <formula>NOT(ISERROR(SEARCH("△",AB62)))</formula>
    </cfRule>
    <cfRule type="containsText" priority="570" operator="containsText" dxfId="0" text="▽">
      <formula>NOT(ISERROR(SEARCH("▽",AB62)))</formula>
    </cfRule>
    <cfRule type="containsText" priority="571" operator="containsText" dxfId="1" text="▲">
      <formula>NOT(ISERROR(SEARCH("▲",AB62)))</formula>
    </cfRule>
    <cfRule type="containsText" priority="572" operator="containsText" dxfId="0" text="▼">
      <formula>NOT(ISERROR(SEARCH("▼",AB62)))</formula>
    </cfRule>
    <cfRule type="containsText" priority="573" operator="containsText" dxfId="1" text="▲">
      <formula>NOT(ISERROR(SEARCH("▲",AB62)))</formula>
    </cfRule>
    <cfRule type="containsText" priority="574" operator="containsText" dxfId="0" text="▼">
      <formula>NOT(ISERROR(SEARCH("▼",AB62)))</formula>
    </cfRule>
    <cfRule type="containsText" priority="575" operator="containsText" dxfId="1" text="▲">
      <formula>NOT(ISERROR(SEARCH("▲",AB62)))</formula>
    </cfRule>
    <cfRule type="containsText" priority="576" operator="containsText" dxfId="0" text="▼">
      <formula>NOT(ISERROR(SEARCH("▼",AB62)))</formula>
    </cfRule>
    <cfRule type="containsText" priority="577" operator="containsText" dxfId="1" text="▲">
      <formula>NOT(ISERROR(SEARCH("▲",AB62)))</formula>
    </cfRule>
    <cfRule type="containsText" priority="578" operator="containsText" dxfId="0" text="▼">
      <formula>NOT(ISERROR(SEARCH("▼",AB62)))</formula>
    </cfRule>
    <cfRule type="containsText" priority="579" operator="containsText" dxfId="1" text="▲">
      <formula>NOT(ISERROR(SEARCH("▲",AB62)))</formula>
    </cfRule>
    <cfRule type="containsText" priority="580" operator="containsText" dxfId="0" text="▼">
      <formula>NOT(ISERROR(SEARCH("▼",AB62)))</formula>
    </cfRule>
    <cfRule type="containsText" priority="581" operator="containsText" dxfId="1" text="▲">
      <formula>NOT(ISERROR(SEARCH("▲",AB62)))</formula>
    </cfRule>
    <cfRule type="containsText" priority="582" operator="containsText" dxfId="0" text="▼">
      <formula>NOT(ISERROR(SEARCH("▼",AB62)))</formula>
    </cfRule>
    <cfRule type="containsText" priority="583" operator="containsText" dxfId="1" text="▲">
      <formula>NOT(ISERROR(SEARCH("▲",AB62)))</formula>
    </cfRule>
    <cfRule type="containsText" priority="584" operator="containsText" dxfId="0" text="▼">
      <formula>NOT(ISERROR(SEARCH("▼",AB62)))</formula>
    </cfRule>
    <cfRule type="containsText" priority="585" operator="containsText" dxfId="1" text="▲">
      <formula>NOT(ISERROR(SEARCH("▲",AB62)))</formula>
    </cfRule>
    <cfRule type="containsText" priority="586" operator="containsText" dxfId="0" text="▼">
      <formula>NOT(ISERROR(SEARCH("▼",AB62)))</formula>
    </cfRule>
    <cfRule type="containsText" priority="587" operator="containsText" dxfId="1" text="▲">
      <formula>NOT(ISERROR(SEARCH("▲",AB62)))</formula>
    </cfRule>
    <cfRule type="containsText" priority="588" operator="containsText" dxfId="0" text="▼">
      <formula>NOT(ISERROR(SEARCH("▼",AB62)))</formula>
    </cfRule>
    <cfRule type="containsText" priority="589" operator="containsText" dxfId="1" text="▲">
      <formula>NOT(ISERROR(SEARCH("▲",AB62)))</formula>
    </cfRule>
    <cfRule type="containsText" priority="590" operator="containsText" dxfId="0" text="▼">
      <formula>NOT(ISERROR(SEARCH("▼",AB62)))</formula>
    </cfRule>
    <cfRule type="containsText" priority="591" operator="containsText" dxfId="1" text="▲">
      <formula>NOT(ISERROR(SEARCH("▲",AB62)))</formula>
    </cfRule>
    <cfRule type="containsText" priority="592" operator="containsText" dxfId="0" text="▼">
      <formula>NOT(ISERROR(SEARCH("▼",AB62)))</formula>
    </cfRule>
    <cfRule type="containsText" priority="593" operator="containsText" dxfId="1" text="▲">
      <formula>NOT(ISERROR(SEARCH("▲",AB62)))</formula>
    </cfRule>
    <cfRule type="containsText" priority="594" operator="containsText" dxfId="0" text="▼">
      <formula>NOT(ISERROR(SEARCH("▼",AB62)))</formula>
    </cfRule>
    <cfRule type="containsText" priority="595" operator="containsText" dxfId="1" text="▲">
      <formula>NOT(ISERROR(SEARCH("▲",AB62)))</formula>
    </cfRule>
    <cfRule type="containsText" priority="596" operator="containsText" dxfId="0" text="▼">
      <formula>NOT(ISERROR(SEARCH("▼",AB62)))</formula>
    </cfRule>
    <cfRule type="containsText" priority="597" operator="containsText" dxfId="1" text="▲">
      <formula>NOT(ISERROR(SEARCH("▲",AB62)))</formula>
    </cfRule>
    <cfRule type="containsText" priority="598" operator="containsText" dxfId="0" text="▼">
      <formula>NOT(ISERROR(SEARCH("▼",AB62)))</formula>
    </cfRule>
    <cfRule type="containsText" priority="599" operator="containsText" dxfId="1" text="▲">
      <formula>NOT(ISERROR(SEARCH("▲",AB62)))</formula>
    </cfRule>
    <cfRule type="containsText" priority="600" operator="containsText" dxfId="0" text="▼">
      <formula>NOT(ISERROR(SEARCH("▼",AB62)))</formula>
    </cfRule>
    <cfRule type="containsText" priority="601" operator="containsText" dxfId="1" text="▲">
      <formula>NOT(ISERROR(SEARCH("▲",AB62)))</formula>
    </cfRule>
    <cfRule type="containsText" priority="602" operator="containsText" dxfId="0" text="▼">
      <formula>NOT(ISERROR(SEARCH("▼",AB62)))</formula>
    </cfRule>
    <cfRule type="containsText" priority="603" operator="containsText" dxfId="1" text="▲">
      <formula>NOT(ISERROR(SEARCH("▲",AB62)))</formula>
    </cfRule>
    <cfRule type="containsText" priority="604" operator="containsText" dxfId="0" text="▼">
      <formula>NOT(ISERROR(SEARCH("▼",AB62)))</formula>
    </cfRule>
    <cfRule type="containsText" priority="605" operator="containsText" dxfId="1" text="▲">
      <formula>NOT(ISERROR(SEARCH("▲",AB62)))</formula>
    </cfRule>
    <cfRule type="containsText" priority="606" operator="containsText" dxfId="0" text="▼">
      <formula>NOT(ISERROR(SEARCH("▼",AB62)))</formula>
    </cfRule>
    <cfRule type="containsText" priority="607" operator="containsText" dxfId="1" text="▲">
      <formula>NOT(ISERROR(SEARCH("▲",AB62)))</formula>
    </cfRule>
    <cfRule type="containsText" priority="608" operator="containsText" dxfId="0" text="▼">
      <formula>NOT(ISERROR(SEARCH("▼",AB62)))</formula>
    </cfRule>
    <cfRule type="containsText" priority="609" operator="containsText" dxfId="1" text="▲">
      <formula>NOT(ISERROR(SEARCH("▲",AB62)))</formula>
    </cfRule>
    <cfRule type="containsText" priority="610" operator="containsText" dxfId="0" text="▼">
      <formula>NOT(ISERROR(SEARCH("▼",AB62)))</formula>
    </cfRule>
    <cfRule type="containsText" priority="611" operator="containsText" dxfId="1" text="▲">
      <formula>NOT(ISERROR(SEARCH("▲",AB62)))</formula>
    </cfRule>
    <cfRule type="containsText" priority="612" operator="containsText" dxfId="0" text="▼">
      <formula>NOT(ISERROR(SEARCH("▼",AB62)))</formula>
    </cfRule>
    <cfRule type="containsText" priority="613" operator="containsText" dxfId="1" text="▲">
      <formula>NOT(ISERROR(SEARCH("▲",AB62)))</formula>
    </cfRule>
    <cfRule type="containsText" priority="614" operator="containsText" dxfId="0" text="▼">
      <formula>NOT(ISERROR(SEARCH("▼",AB62)))</formula>
    </cfRule>
    <cfRule type="containsText" priority="615" operator="containsText" dxfId="1" text="▲">
      <formula>NOT(ISERROR(SEARCH("▲",AB62)))</formula>
    </cfRule>
    <cfRule type="containsText" priority="616" operator="containsText" dxfId="0" text="▼">
      <formula>NOT(ISERROR(SEARCH("▼",AB62)))</formula>
    </cfRule>
    <cfRule type="containsText" priority="617" operator="containsText" dxfId="1" text="▲">
      <formula>NOT(ISERROR(SEARCH("▲",AB62)))</formula>
    </cfRule>
    <cfRule type="containsText" priority="618" operator="containsText" dxfId="0" text="▼">
      <formula>NOT(ISERROR(SEARCH("▼",AB62)))</formula>
    </cfRule>
    <cfRule type="containsText" priority="619" operator="containsText" dxfId="1" text="△">
      <formula>NOT(ISERROR(SEARCH("△",AB62)))</formula>
    </cfRule>
    <cfRule type="containsText" priority="620" operator="containsText" dxfId="0" text="▽">
      <formula>NOT(ISERROR(SEARCH("▽",AB62)))</formula>
    </cfRule>
    <cfRule type="containsText" priority="621" operator="containsText" dxfId="1" text="▲">
      <formula>NOT(ISERROR(SEARCH("▲",AB62)))</formula>
    </cfRule>
    <cfRule type="containsText" priority="622" operator="containsText" dxfId="0" text="▼">
      <formula>NOT(ISERROR(SEARCH("▼",AB62)))</formula>
    </cfRule>
    <cfRule type="containsText" priority="623" operator="containsText" dxfId="1" text="▲">
      <formula>NOT(ISERROR(SEARCH("▲",AB62)))</formula>
    </cfRule>
    <cfRule type="containsText" priority="624" operator="containsText" dxfId="0" text="▼">
      <formula>NOT(ISERROR(SEARCH("▼",AB62)))</formula>
    </cfRule>
    <cfRule type="containsText" priority="625" operator="containsText" dxfId="1" text="▲">
      <formula>NOT(ISERROR(SEARCH("▲",AB62)))</formula>
    </cfRule>
    <cfRule type="containsText" priority="626" operator="containsText" dxfId="0" text="▼">
      <formula>NOT(ISERROR(SEARCH("▼",AB62)))</formula>
    </cfRule>
    <cfRule type="containsText" priority="627" operator="containsText" dxfId="1" text="▲">
      <formula>NOT(ISERROR(SEARCH("▲",AB62)))</formula>
    </cfRule>
    <cfRule type="containsText" priority="628" operator="containsText" dxfId="0" text="▼">
      <formula>NOT(ISERROR(SEARCH("▼",AB62)))</formula>
    </cfRule>
    <cfRule type="containsText" priority="629" operator="containsText" dxfId="1" text="▲">
      <formula>NOT(ISERROR(SEARCH("▲",AB62)))</formula>
    </cfRule>
    <cfRule type="containsText" priority="630" operator="containsText" dxfId="0" text="▼">
      <formula>NOT(ISERROR(SEARCH("▼",AB62)))</formula>
    </cfRule>
    <cfRule type="containsText" priority="631" operator="containsText" dxfId="1" text="▲">
      <formula>NOT(ISERROR(SEARCH("▲",AB62)))</formula>
    </cfRule>
    <cfRule type="containsText" priority="632" operator="containsText" dxfId="0" text="▼">
      <formula>NOT(ISERROR(SEARCH("▼",AB62)))</formula>
    </cfRule>
    <cfRule type="containsText" priority="633" operator="containsText" dxfId="1" text="▲">
      <formula>NOT(ISERROR(SEARCH("▲",AB62)))</formula>
    </cfRule>
    <cfRule type="containsText" priority="634" operator="containsText" dxfId="0" text="▼">
      <formula>NOT(ISERROR(SEARCH("▼",AB62)))</formula>
    </cfRule>
    <cfRule type="containsText" priority="635" operator="containsText" dxfId="1" text="▲">
      <formula>NOT(ISERROR(SEARCH("▲",AB62)))</formula>
    </cfRule>
    <cfRule type="containsText" priority="636" operator="containsText" dxfId="0" text="▼">
      <formula>NOT(ISERROR(SEARCH("▼",AB62)))</formula>
    </cfRule>
    <cfRule type="containsText" priority="637" operator="containsText" dxfId="1" text="▲">
      <formula>NOT(ISERROR(SEARCH("▲",AB62)))</formula>
    </cfRule>
    <cfRule type="containsText" priority="638" operator="containsText" dxfId="0" text="▼">
      <formula>NOT(ISERROR(SEARCH("▼",AB62)))</formula>
    </cfRule>
    <cfRule type="containsText" priority="639" operator="containsText" dxfId="1" text="▲">
      <formula>NOT(ISERROR(SEARCH("▲",AB62)))</formula>
    </cfRule>
    <cfRule type="containsText" priority="640" operator="containsText" dxfId="0" text="▼">
      <formula>NOT(ISERROR(SEARCH("▼",AB62)))</formula>
    </cfRule>
    <cfRule type="containsText" priority="641" operator="containsText" dxfId="1" text="▲">
      <formula>NOT(ISERROR(SEARCH("▲",AB62)))</formula>
    </cfRule>
    <cfRule type="containsText" priority="642" operator="containsText" dxfId="0" text="▼">
      <formula>NOT(ISERROR(SEARCH("▼",AB62)))</formula>
    </cfRule>
    <cfRule type="containsText" priority="643" operator="containsText" dxfId="1" text="▲">
      <formula>NOT(ISERROR(SEARCH("▲",AB62)))</formula>
    </cfRule>
    <cfRule type="containsText" priority="644" operator="containsText" dxfId="0" text="▼">
      <formula>NOT(ISERROR(SEARCH("▼",AB62)))</formula>
    </cfRule>
    <cfRule type="containsText" priority="645" operator="containsText" dxfId="1" text="▲">
      <formula>NOT(ISERROR(SEARCH("▲",AB62)))</formula>
    </cfRule>
    <cfRule type="containsText" priority="646" operator="containsText" dxfId="0" text="▼">
      <formula>NOT(ISERROR(SEARCH("▼",AB62)))</formula>
    </cfRule>
    <cfRule type="containsText" priority="647" operator="containsText" dxfId="1" text="▲">
      <formula>NOT(ISERROR(SEARCH("▲",AB62)))</formula>
    </cfRule>
    <cfRule type="containsText" priority="648" operator="containsText" dxfId="0" text="▼">
      <formula>NOT(ISERROR(SEARCH("▼",AB62)))</formula>
    </cfRule>
    <cfRule type="containsText" priority="649" operator="containsText" dxfId="1" text="▲">
      <formula>NOT(ISERROR(SEARCH("▲",AB62)))</formula>
    </cfRule>
    <cfRule type="containsText" priority="650" operator="containsText" dxfId="0" text="▼">
      <formula>NOT(ISERROR(SEARCH("▼",AB62)))</formula>
    </cfRule>
    <cfRule type="containsText" priority="651" operator="containsText" dxfId="1" text="▲">
      <formula>NOT(ISERROR(SEARCH("▲",AB62)))</formula>
    </cfRule>
    <cfRule type="containsText" priority="652" operator="containsText" dxfId="0" text="▼">
      <formula>NOT(ISERROR(SEARCH("▼",AB62)))</formula>
    </cfRule>
    <cfRule type="containsText" priority="653" operator="containsText" dxfId="1" text="▲">
      <formula>NOT(ISERROR(SEARCH("▲",AB62)))</formula>
    </cfRule>
    <cfRule type="containsText" priority="654" operator="containsText" dxfId="0" text="▼">
      <formula>NOT(ISERROR(SEARCH("▼",AB62)))</formula>
    </cfRule>
    <cfRule type="containsText" priority="655" operator="containsText" dxfId="1" text="▲">
      <formula>NOT(ISERROR(SEARCH("▲",AB62)))</formula>
    </cfRule>
    <cfRule type="containsText" priority="656" operator="containsText" dxfId="0" text="▼">
      <formula>NOT(ISERROR(SEARCH("▼",AB62)))</formula>
    </cfRule>
    <cfRule type="containsText" priority="657" operator="containsText" dxfId="1" text="▲">
      <formula>NOT(ISERROR(SEARCH("▲",AB62)))</formula>
    </cfRule>
    <cfRule type="containsText" priority="658" operator="containsText" dxfId="0" text="▼">
      <formula>NOT(ISERROR(SEARCH("▼",AB62)))</formula>
    </cfRule>
    <cfRule type="containsText" priority="659" operator="containsText" dxfId="1" text="▲">
      <formula>NOT(ISERROR(SEARCH("▲",AB62)))</formula>
    </cfRule>
    <cfRule type="containsText" priority="660" operator="containsText" dxfId="0" text="▼">
      <formula>NOT(ISERROR(SEARCH("▼",AB62)))</formula>
    </cfRule>
    <cfRule type="containsText" priority="661" operator="containsText" dxfId="1" text="▲">
      <formula>NOT(ISERROR(SEARCH("▲",AB62)))</formula>
    </cfRule>
    <cfRule type="containsText" priority="662" operator="containsText" dxfId="0" text="▼">
      <formula>NOT(ISERROR(SEARCH("▼",AB62)))</formula>
    </cfRule>
    <cfRule type="containsText" priority="663" operator="containsText" dxfId="1" text="▲">
      <formula>NOT(ISERROR(SEARCH("▲",AB62)))</formula>
    </cfRule>
    <cfRule type="containsText" priority="664" operator="containsText" dxfId="0" text="▼">
      <formula>NOT(ISERROR(SEARCH("▼",AB62)))</formula>
    </cfRule>
    <cfRule type="containsText" priority="665" operator="containsText" dxfId="1" text="▲">
      <formula>NOT(ISERROR(SEARCH("▲",AB62)))</formula>
    </cfRule>
    <cfRule type="containsText" priority="666" operator="containsText" dxfId="0" text="▼">
      <formula>NOT(ISERROR(SEARCH("▼",AB62)))</formula>
    </cfRule>
    <cfRule type="containsText" priority="667" operator="containsText" dxfId="1" text="▲">
      <formula>NOT(ISERROR(SEARCH("▲",AB62)))</formula>
    </cfRule>
    <cfRule type="containsText" priority="668" operator="containsText" dxfId="0" text="▼">
      <formula>NOT(ISERROR(SEARCH("▼",AB62)))</formula>
    </cfRule>
    <cfRule type="containsText" priority="669" operator="containsText" dxfId="1" text="▲">
      <formula>NOT(ISERROR(SEARCH("▲",AB62)))</formula>
    </cfRule>
    <cfRule type="containsText" priority="670" operator="containsText" dxfId="0" text="▼">
      <formula>NOT(ISERROR(SEARCH("▼",AB62)))</formula>
    </cfRule>
    <cfRule type="containsText" priority="671" operator="containsText" dxfId="1" text="▲">
      <formula>NOT(ISERROR(SEARCH("▲",AB62)))</formula>
    </cfRule>
    <cfRule type="containsText" priority="672" operator="containsText" dxfId="0" text="▼">
      <formula>NOT(ISERROR(SEARCH("▼",AB62)))</formula>
    </cfRule>
    <cfRule type="containsText" priority="673" operator="containsText" dxfId="1" text="▲">
      <formula>NOT(ISERROR(SEARCH("▲",AB62)))</formula>
    </cfRule>
    <cfRule type="containsText" priority="674" operator="containsText" dxfId="0" text="▼">
      <formula>NOT(ISERROR(SEARCH("▼",AB62)))</formula>
    </cfRule>
    <cfRule type="containsText" priority="675" operator="containsText" dxfId="1" text="▲">
      <formula>NOT(ISERROR(SEARCH("▲",AB62)))</formula>
    </cfRule>
    <cfRule type="containsText" priority="676" operator="containsText" dxfId="0" text="▼">
      <formula>NOT(ISERROR(SEARCH("▼",AB62)))</formula>
    </cfRule>
    <cfRule type="containsText" priority="677" operator="containsText" dxfId="1" text="▲">
      <formula>NOT(ISERROR(SEARCH("▲",AB62)))</formula>
    </cfRule>
    <cfRule type="containsText" priority="678" operator="containsText" dxfId="0" text="▼">
      <formula>NOT(ISERROR(SEARCH("▼",AB62)))</formula>
    </cfRule>
    <cfRule type="containsText" priority="679" operator="containsText" dxfId="1" text="▲">
      <formula>NOT(ISERROR(SEARCH("▲",AB62)))</formula>
    </cfRule>
    <cfRule type="containsText" priority="680" operator="containsText" dxfId="0" text="▼">
      <formula>NOT(ISERROR(SEARCH("▼",AB62)))</formula>
    </cfRule>
    <cfRule type="containsText" priority="683" operator="containsText" dxfId="1" text="△">
      <formula>NOT(ISERROR(SEARCH("△",AB62)))</formula>
    </cfRule>
    <cfRule type="containsText" priority="684" operator="containsText" dxfId="0" text="▽">
      <formula>NOT(ISERROR(SEARCH("▽",AB62)))</formula>
    </cfRule>
  </conditionalFormatting>
  <conditionalFormatting sqref="Z62:Z64">
    <cfRule type="containsText" priority="469" operator="containsText" dxfId="1" text="△">
      <formula>NOT(ISERROR(SEARCH("△",Z62)))</formula>
    </cfRule>
    <cfRule type="containsText" priority="470" operator="containsText" dxfId="0" text="▽">
      <formula>NOT(ISERROR(SEARCH("▽",Z62)))</formula>
    </cfRule>
    <cfRule type="cellIs" priority="467" operator="lessThan" dxfId="41">
      <formula>0</formula>
    </cfRule>
    <cfRule type="cellIs" priority="468" operator="greaterThan" dxfId="40">
      <formula>0</formula>
    </cfRule>
    <cfRule type="containsText" priority="465" operator="containsText" dxfId="1" text="▲">
      <formula>NOT(ISERROR(SEARCH("▲",Z62)))</formula>
    </cfRule>
    <cfRule type="containsText" priority="466" operator="containsText" dxfId="0" text="▼">
      <formula>NOT(ISERROR(SEARCH("▼",Z62)))</formula>
    </cfRule>
    <cfRule type="containsText" priority="463" operator="containsText" dxfId="1" text="▲">
      <formula>NOT(ISERROR(SEARCH("▲",Z62)))</formula>
    </cfRule>
    <cfRule type="containsText" priority="464" operator="containsText" dxfId="0" text="▼">
      <formula>NOT(ISERROR(SEARCH("▼",Z62)))</formula>
    </cfRule>
    <cfRule type="containsText" priority="461" operator="containsText" dxfId="1" text="▲">
      <formula>NOT(ISERROR(SEARCH("▲",Z62)))</formula>
    </cfRule>
    <cfRule type="containsText" priority="462" operator="containsText" dxfId="0" text="▼">
      <formula>NOT(ISERROR(SEARCH("▼",Z62)))</formula>
    </cfRule>
    <cfRule type="containsText" priority="459" operator="containsText" dxfId="1" text="▲">
      <formula>NOT(ISERROR(SEARCH("▲",Z62)))</formula>
    </cfRule>
    <cfRule type="containsText" priority="460" operator="containsText" dxfId="0" text="▼">
      <formula>NOT(ISERROR(SEARCH("▼",Z62)))</formula>
    </cfRule>
    <cfRule type="containsText" priority="457" operator="containsText" dxfId="1" text="▲">
      <formula>NOT(ISERROR(SEARCH("▲",Z62)))</formula>
    </cfRule>
    <cfRule type="containsText" priority="458" operator="containsText" dxfId="0" text="▼">
      <formula>NOT(ISERROR(SEARCH("▼",Z62)))</formula>
    </cfRule>
    <cfRule type="containsText" priority="455" operator="containsText" dxfId="1" text="▲">
      <formula>NOT(ISERROR(SEARCH("▲",Z62)))</formula>
    </cfRule>
    <cfRule type="containsText" priority="456" operator="containsText" dxfId="0" text="▼">
      <formula>NOT(ISERROR(SEARCH("▼",Z62)))</formula>
    </cfRule>
    <cfRule type="containsText" priority="453" operator="containsText" dxfId="1" text="▲">
      <formula>NOT(ISERROR(SEARCH("▲",Z62)))</formula>
    </cfRule>
    <cfRule type="containsText" priority="454" operator="containsText" dxfId="0" text="▼">
      <formula>NOT(ISERROR(SEARCH("▼",Z62)))</formula>
    </cfRule>
    <cfRule type="containsText" priority="451" operator="containsText" dxfId="1" text="▲">
      <formula>NOT(ISERROR(SEARCH("▲",Z62)))</formula>
    </cfRule>
    <cfRule type="containsText" priority="452" operator="containsText" dxfId="0" text="▼">
      <formula>NOT(ISERROR(SEARCH("▼",Z62)))</formula>
    </cfRule>
    <cfRule type="containsText" priority="449" operator="containsText" dxfId="1" text="▲">
      <formula>NOT(ISERROR(SEARCH("▲",Z62)))</formula>
    </cfRule>
    <cfRule type="containsText" priority="450" operator="containsText" dxfId="0" text="▼">
      <formula>NOT(ISERROR(SEARCH("▼",Z62)))</formula>
    </cfRule>
    <cfRule type="containsText" priority="447" operator="containsText" dxfId="1" text="▲">
      <formula>NOT(ISERROR(SEARCH("▲",Z62)))</formula>
    </cfRule>
    <cfRule type="containsText" priority="448" operator="containsText" dxfId="0" text="▼">
      <formula>NOT(ISERROR(SEARCH("▼",Z62)))</formula>
    </cfRule>
    <cfRule type="containsText" priority="445" operator="containsText" dxfId="1" text="▲">
      <formula>NOT(ISERROR(SEARCH("▲",Z62)))</formula>
    </cfRule>
    <cfRule type="containsText" priority="446" operator="containsText" dxfId="0" text="▼">
      <formula>NOT(ISERROR(SEARCH("▼",Z62)))</formula>
    </cfRule>
    <cfRule type="containsText" priority="443" operator="containsText" dxfId="1" text="▲">
      <formula>NOT(ISERROR(SEARCH("▲",Z62)))</formula>
    </cfRule>
    <cfRule type="containsText" priority="444" operator="containsText" dxfId="0" text="▼">
      <formula>NOT(ISERROR(SEARCH("▼",Z62)))</formula>
    </cfRule>
    <cfRule type="containsText" priority="441" operator="containsText" dxfId="1" text="▲">
      <formula>NOT(ISERROR(SEARCH("▲",Z62)))</formula>
    </cfRule>
    <cfRule type="containsText" priority="442" operator="containsText" dxfId="0" text="▼">
      <formula>NOT(ISERROR(SEARCH("▼",Z62)))</formula>
    </cfRule>
    <cfRule type="containsText" priority="439" operator="containsText" dxfId="1" text="▲">
      <formula>NOT(ISERROR(SEARCH("▲",Z62)))</formula>
    </cfRule>
    <cfRule type="containsText" priority="440" operator="containsText" dxfId="0" text="▼">
      <formula>NOT(ISERROR(SEARCH("▼",Z62)))</formula>
    </cfRule>
    <cfRule type="containsText" priority="437" operator="containsText" dxfId="1" text="▲">
      <formula>NOT(ISERROR(SEARCH("▲",Z62)))</formula>
    </cfRule>
    <cfRule type="containsText" priority="438" operator="containsText" dxfId="0" text="▼">
      <formula>NOT(ISERROR(SEARCH("▼",Z62)))</formula>
    </cfRule>
    <cfRule type="containsText" priority="435" operator="containsText" dxfId="1" text="▲">
      <formula>NOT(ISERROR(SEARCH("▲",Z62)))</formula>
    </cfRule>
    <cfRule type="containsText" priority="436" operator="containsText" dxfId="0" text="▼">
      <formula>NOT(ISERROR(SEARCH("▼",Z62)))</formula>
    </cfRule>
    <cfRule type="containsText" priority="433" operator="containsText" dxfId="1" text="▲">
      <formula>NOT(ISERROR(SEARCH("▲",Z62)))</formula>
    </cfRule>
    <cfRule type="containsText" priority="434" operator="containsText" dxfId="0" text="▼">
      <formula>NOT(ISERROR(SEARCH("▼",Z62)))</formula>
    </cfRule>
    <cfRule type="containsText" priority="431" operator="containsText" dxfId="1" text="▲">
      <formula>NOT(ISERROR(SEARCH("▲",Z62)))</formula>
    </cfRule>
    <cfRule type="containsText" priority="432" operator="containsText" dxfId="0" text="▼">
      <formula>NOT(ISERROR(SEARCH("▼",Z62)))</formula>
    </cfRule>
    <cfRule type="containsText" priority="429" operator="containsText" dxfId="1" text="▲">
      <formula>NOT(ISERROR(SEARCH("▲",Z62)))</formula>
    </cfRule>
    <cfRule type="containsText" priority="430" operator="containsText" dxfId="0" text="▼">
      <formula>NOT(ISERROR(SEARCH("▼",Z62)))</formula>
    </cfRule>
    <cfRule type="containsText" priority="427" operator="containsText" dxfId="1" text="▲">
      <formula>NOT(ISERROR(SEARCH("▲",Z62)))</formula>
    </cfRule>
    <cfRule type="containsText" priority="428" operator="containsText" dxfId="0" text="▼">
      <formula>NOT(ISERROR(SEARCH("▼",Z62)))</formula>
    </cfRule>
    <cfRule type="containsText" priority="425" operator="containsText" dxfId="1" text="▲">
      <formula>NOT(ISERROR(SEARCH("▲",Z62)))</formula>
    </cfRule>
    <cfRule type="containsText" priority="426" operator="containsText" dxfId="0" text="▼">
      <formula>NOT(ISERROR(SEARCH("▼",Z62)))</formula>
    </cfRule>
    <cfRule type="containsText" priority="423" operator="containsText" dxfId="1" text="▲">
      <formula>NOT(ISERROR(SEARCH("▲",Z62)))</formula>
    </cfRule>
    <cfRule type="containsText" priority="424" operator="containsText" dxfId="0" text="▼">
      <formula>NOT(ISERROR(SEARCH("▼",Z62)))</formula>
    </cfRule>
    <cfRule type="containsText" priority="421" operator="containsText" dxfId="1" text="▲">
      <formula>NOT(ISERROR(SEARCH("▲",Z62)))</formula>
    </cfRule>
    <cfRule type="containsText" priority="422" operator="containsText" dxfId="0" text="▼">
      <formula>NOT(ISERROR(SEARCH("▼",Z62)))</formula>
    </cfRule>
    <cfRule type="containsText" priority="419" operator="containsText" dxfId="1" text="▲">
      <formula>NOT(ISERROR(SEARCH("▲",Z62)))</formula>
    </cfRule>
    <cfRule type="containsText" priority="420" operator="containsText" dxfId="0" text="▼">
      <formula>NOT(ISERROR(SEARCH("▼",Z62)))</formula>
    </cfRule>
    <cfRule type="containsText" priority="417" operator="containsText" dxfId="1" text="▲">
      <formula>NOT(ISERROR(SEARCH("▲",Z62)))</formula>
    </cfRule>
    <cfRule type="containsText" priority="418" operator="containsText" dxfId="0" text="▼">
      <formula>NOT(ISERROR(SEARCH("▼",Z62)))</formula>
    </cfRule>
    <cfRule type="containsText" priority="415" operator="containsText" dxfId="1" text="▲">
      <formula>NOT(ISERROR(SEARCH("▲",Z62)))</formula>
    </cfRule>
    <cfRule type="containsText" priority="416" operator="containsText" dxfId="0" text="▼">
      <formula>NOT(ISERROR(SEARCH("▼",Z62)))</formula>
    </cfRule>
    <cfRule type="containsText" priority="413" operator="containsText" dxfId="1" text="▲">
      <formula>NOT(ISERROR(SEARCH("▲",Z62)))</formula>
    </cfRule>
    <cfRule type="containsText" priority="414" operator="containsText" dxfId="0" text="▼">
      <formula>NOT(ISERROR(SEARCH("▼",Z62)))</formula>
    </cfRule>
    <cfRule type="containsText" priority="411" operator="containsText" dxfId="1" text="▲">
      <formula>NOT(ISERROR(SEARCH("▲",Z62)))</formula>
    </cfRule>
    <cfRule type="containsText" priority="412" operator="containsText" dxfId="0" text="▼">
      <formula>NOT(ISERROR(SEARCH("▼",Z62)))</formula>
    </cfRule>
    <cfRule type="containsText" priority="409" operator="containsText" dxfId="1" text="▲">
      <formula>NOT(ISERROR(SEARCH("▲",Z62)))</formula>
    </cfRule>
    <cfRule type="containsText" priority="410" operator="containsText" dxfId="0" text="▼">
      <formula>NOT(ISERROR(SEARCH("▼",Z62)))</formula>
    </cfRule>
    <cfRule type="containsText" priority="407" operator="containsText" dxfId="1" text="▲">
      <formula>NOT(ISERROR(SEARCH("▲",Z62)))</formula>
    </cfRule>
    <cfRule type="containsText" priority="408" operator="containsText" dxfId="0" text="▼">
      <formula>NOT(ISERROR(SEARCH("▼",Z62)))</formula>
    </cfRule>
    <cfRule type="containsText" priority="405" operator="containsText" dxfId="1" text="▲">
      <formula>NOT(ISERROR(SEARCH("▲",Z62)))</formula>
    </cfRule>
    <cfRule type="containsText" priority="406" operator="containsText" dxfId="0" text="▼">
      <formula>NOT(ISERROR(SEARCH("▼",Z62)))</formula>
    </cfRule>
    <cfRule type="containsText" priority="403" operator="containsText" dxfId="1" text="△">
      <formula>NOT(ISERROR(SEARCH("△",Z62)))</formula>
    </cfRule>
    <cfRule type="containsText" priority="404" operator="containsText" dxfId="0" text="▽">
      <formula>NOT(ISERROR(SEARCH("▽",Z62)))</formula>
    </cfRule>
    <cfRule type="containsText" priority="401" operator="containsText" dxfId="1" text="▲">
      <formula>NOT(ISERROR(SEARCH("▲",Z62)))</formula>
    </cfRule>
    <cfRule type="containsText" priority="402" operator="containsText" dxfId="0" text="▼">
      <formula>NOT(ISERROR(SEARCH("▼",Z62)))</formula>
    </cfRule>
    <cfRule type="containsText" priority="399" operator="containsText" dxfId="1" text="▲">
      <formula>NOT(ISERROR(SEARCH("▲",Z62)))</formula>
    </cfRule>
    <cfRule type="containsText" priority="400" operator="containsText" dxfId="0" text="▼">
      <formula>NOT(ISERROR(SEARCH("▼",Z62)))</formula>
    </cfRule>
    <cfRule type="containsText" priority="397" operator="containsText" dxfId="1" text="▲">
      <formula>NOT(ISERROR(SEARCH("▲",Z62)))</formula>
    </cfRule>
    <cfRule type="containsText" priority="398" operator="containsText" dxfId="0" text="▼">
      <formula>NOT(ISERROR(SEARCH("▼",Z62)))</formula>
    </cfRule>
    <cfRule type="containsText" priority="395" operator="containsText" dxfId="1" text="▲">
      <formula>NOT(ISERROR(SEARCH("▲",Z62)))</formula>
    </cfRule>
    <cfRule type="containsText" priority="396" operator="containsText" dxfId="0" text="▼">
      <formula>NOT(ISERROR(SEARCH("▼",Z62)))</formula>
    </cfRule>
    <cfRule type="containsText" priority="393" operator="containsText" dxfId="1" text="▲">
      <formula>NOT(ISERROR(SEARCH("▲",Z62)))</formula>
    </cfRule>
    <cfRule type="containsText" priority="394" operator="containsText" dxfId="0" text="▼">
      <formula>NOT(ISERROR(SEARCH("▼",Z62)))</formula>
    </cfRule>
    <cfRule type="containsText" priority="391" operator="containsText" dxfId="1" text="▲">
      <formula>NOT(ISERROR(SEARCH("▲",Z62)))</formula>
    </cfRule>
    <cfRule type="containsText" priority="392" operator="containsText" dxfId="0" text="▼">
      <formula>NOT(ISERROR(SEARCH("▼",Z62)))</formula>
    </cfRule>
    <cfRule type="containsText" priority="389" operator="containsText" dxfId="1" text="▲">
      <formula>NOT(ISERROR(SEARCH("▲",Z62)))</formula>
    </cfRule>
    <cfRule type="containsText" priority="390" operator="containsText" dxfId="0" text="▼">
      <formula>NOT(ISERROR(SEARCH("▼",Z62)))</formula>
    </cfRule>
    <cfRule type="containsText" priority="387" operator="containsText" dxfId="1" text="▲">
      <formula>NOT(ISERROR(SEARCH("▲",Z62)))</formula>
    </cfRule>
    <cfRule type="containsText" priority="388" operator="containsText" dxfId="0" text="▼">
      <formula>NOT(ISERROR(SEARCH("▼",Z62)))</formula>
    </cfRule>
    <cfRule type="containsText" priority="385" operator="containsText" dxfId="1" text="▲">
      <formula>NOT(ISERROR(SEARCH("▲",Z62)))</formula>
    </cfRule>
    <cfRule type="containsText" priority="386" operator="containsText" dxfId="0" text="▼">
      <formula>NOT(ISERROR(SEARCH("▼",Z62)))</formula>
    </cfRule>
    <cfRule type="containsText" priority="383" operator="containsText" dxfId="1" text="▲">
      <formula>NOT(ISERROR(SEARCH("▲",Z62)))</formula>
    </cfRule>
    <cfRule type="containsText" priority="384" operator="containsText" dxfId="0" text="▼">
      <formula>NOT(ISERROR(SEARCH("▼",Z62)))</formula>
    </cfRule>
    <cfRule type="containsText" priority="381" operator="containsText" dxfId="1" text="▲">
      <formula>NOT(ISERROR(SEARCH("▲",Z62)))</formula>
    </cfRule>
    <cfRule type="containsText" priority="382" operator="containsText" dxfId="0" text="▼">
      <formula>NOT(ISERROR(SEARCH("▼",Z62)))</formula>
    </cfRule>
    <cfRule type="containsText" priority="379" operator="containsText" dxfId="1" text="▲">
      <formula>NOT(ISERROR(SEARCH("▲",Z62)))</formula>
    </cfRule>
    <cfRule type="containsText" priority="380" operator="containsText" dxfId="0" text="▼">
      <formula>NOT(ISERROR(SEARCH("▼",Z62)))</formula>
    </cfRule>
    <cfRule type="containsText" priority="377" operator="containsText" dxfId="1" text="▲">
      <formula>NOT(ISERROR(SEARCH("▲",Z62)))</formula>
    </cfRule>
    <cfRule type="containsText" priority="378" operator="containsText" dxfId="0" text="▼">
      <formula>NOT(ISERROR(SEARCH("▼",Z62)))</formula>
    </cfRule>
    <cfRule type="containsText" priority="375" operator="containsText" dxfId="1" text="▲">
      <formula>NOT(ISERROR(SEARCH("▲",Z62)))</formula>
    </cfRule>
    <cfRule type="containsText" priority="376" operator="containsText" dxfId="0" text="▼">
      <formula>NOT(ISERROR(SEARCH("▼",Z62)))</formula>
    </cfRule>
    <cfRule type="containsText" priority="373" operator="containsText" dxfId="1" text="▲">
      <formula>NOT(ISERROR(SEARCH("▲",Z62)))</formula>
    </cfRule>
    <cfRule type="containsText" priority="374" operator="containsText" dxfId="0" text="▼">
      <formula>NOT(ISERROR(SEARCH("▼",Z62)))</formula>
    </cfRule>
    <cfRule type="containsText" priority="371" operator="containsText" dxfId="1" text="▲">
      <formula>NOT(ISERROR(SEARCH("▲",Z62)))</formula>
    </cfRule>
    <cfRule type="containsText" priority="372" operator="containsText" dxfId="0" text="▼">
      <formula>NOT(ISERROR(SEARCH("▼",Z62)))</formula>
    </cfRule>
    <cfRule type="containsText" priority="369" operator="containsText" dxfId="1" text="▲">
      <formula>NOT(ISERROR(SEARCH("▲",Z62)))</formula>
    </cfRule>
    <cfRule type="containsText" priority="370" operator="containsText" dxfId="0" text="▼">
      <formula>NOT(ISERROR(SEARCH("▼",Z62)))</formula>
    </cfRule>
    <cfRule type="containsText" priority="367" operator="containsText" dxfId="1" text="▲">
      <formula>NOT(ISERROR(SEARCH("▲",Z62)))</formula>
    </cfRule>
    <cfRule type="containsText" priority="368" operator="containsText" dxfId="0" text="▼">
      <formula>NOT(ISERROR(SEARCH("▼",Z62)))</formula>
    </cfRule>
    <cfRule type="containsText" priority="365" operator="containsText" dxfId="1" text="▲">
      <formula>NOT(ISERROR(SEARCH("▲",Z62)))</formula>
    </cfRule>
    <cfRule type="containsText" priority="366" operator="containsText" dxfId="0" text="▼">
      <formula>NOT(ISERROR(SEARCH("▼",Z62)))</formula>
    </cfRule>
    <cfRule type="containsText" priority="363" operator="containsText" dxfId="1" text="▲">
      <formula>NOT(ISERROR(SEARCH("▲",Z62)))</formula>
    </cfRule>
    <cfRule type="containsText" priority="364" operator="containsText" dxfId="0" text="▼">
      <formula>NOT(ISERROR(SEARCH("▼",Z62)))</formula>
    </cfRule>
    <cfRule type="containsText" priority="361" operator="containsText" dxfId="1" text="▲">
      <formula>NOT(ISERROR(SEARCH("▲",Z62)))</formula>
    </cfRule>
    <cfRule type="containsText" priority="362" operator="containsText" dxfId="0" text="▼">
      <formula>NOT(ISERROR(SEARCH("▼",Z62)))</formula>
    </cfRule>
    <cfRule type="containsText" priority="359" operator="containsText" dxfId="1" text="▲">
      <formula>NOT(ISERROR(SEARCH("▲",Z62)))</formula>
    </cfRule>
    <cfRule type="containsText" priority="360" operator="containsText" dxfId="0" text="▼">
      <formula>NOT(ISERROR(SEARCH("▼",Z62)))</formula>
    </cfRule>
    <cfRule type="containsText" priority="357" operator="containsText" dxfId="1" text="▲">
      <formula>NOT(ISERROR(SEARCH("▲",Z62)))</formula>
    </cfRule>
    <cfRule type="containsText" priority="358" operator="containsText" dxfId="0" text="▼">
      <formula>NOT(ISERROR(SEARCH("▼",Z62)))</formula>
    </cfRule>
    <cfRule type="containsText" priority="355" operator="containsText" dxfId="1" text="▲">
      <formula>NOT(ISERROR(SEARCH("▲",Z62)))</formula>
    </cfRule>
    <cfRule type="containsText" priority="356" operator="containsText" dxfId="0" text="▼">
      <formula>NOT(ISERROR(SEARCH("▼",Z62)))</formula>
    </cfRule>
    <cfRule type="containsText" priority="353" operator="containsText" dxfId="1" text="▲">
      <formula>NOT(ISERROR(SEARCH("▲",Z62)))</formula>
    </cfRule>
    <cfRule type="containsText" priority="354" operator="containsText" dxfId="0" text="▼">
      <formula>NOT(ISERROR(SEARCH("▼",Z62)))</formula>
    </cfRule>
    <cfRule type="containsText" priority="351" operator="containsText" dxfId="1" text="△">
      <formula>NOT(ISERROR(SEARCH("△",Z62)))</formula>
    </cfRule>
    <cfRule type="containsText" priority="352" operator="containsText" dxfId="0" text="▽">
      <formula>NOT(ISERROR(SEARCH("▽",Z62)))</formula>
    </cfRule>
    <cfRule type="containsText" priority="349" operator="containsText" dxfId="1" text="▲">
      <formula>NOT(ISERROR(SEARCH("▲",Z62)))</formula>
    </cfRule>
    <cfRule type="containsText" priority="350" operator="containsText" dxfId="0" text="▼">
      <formula>NOT(ISERROR(SEARCH("▼",Z62)))</formula>
    </cfRule>
    <cfRule type="containsText" priority="347" operator="containsText" dxfId="1" text="▲">
      <formula>NOT(ISERROR(SEARCH("▲",Z62)))</formula>
    </cfRule>
    <cfRule type="containsText" priority="348" operator="containsText" dxfId="0" text="▼">
      <formula>NOT(ISERROR(SEARCH("▼",Z62)))</formula>
    </cfRule>
    <cfRule type="containsText" priority="345" operator="containsText" dxfId="1" text="▲">
      <formula>NOT(ISERROR(SEARCH("▲",Z62)))</formula>
    </cfRule>
    <cfRule type="containsText" priority="346" operator="containsText" dxfId="0" text="▼">
      <formula>NOT(ISERROR(SEARCH("▼",Z62)))</formula>
    </cfRule>
    <cfRule type="containsText" priority="343" operator="containsText" dxfId="1" text="▲">
      <formula>NOT(ISERROR(SEARCH("▲",Z62)))</formula>
    </cfRule>
    <cfRule type="containsText" priority="344" operator="containsText" dxfId="0" text="▼">
      <formula>NOT(ISERROR(SEARCH("▼",Z62)))</formula>
    </cfRule>
    <cfRule type="containsText" priority="341" operator="containsText" dxfId="1" text="▲">
      <formula>NOT(ISERROR(SEARCH("▲",Z62)))</formula>
    </cfRule>
    <cfRule type="containsText" priority="342" operator="containsText" dxfId="0" text="▼">
      <formula>NOT(ISERROR(SEARCH("▼",Z62)))</formula>
    </cfRule>
    <cfRule type="containsText" priority="339" operator="containsText" dxfId="1" text="▲">
      <formula>NOT(ISERROR(SEARCH("▲",Z62)))</formula>
    </cfRule>
    <cfRule type="containsText" priority="340" operator="containsText" dxfId="0" text="▼">
      <formula>NOT(ISERROR(SEARCH("▼",Z62)))</formula>
    </cfRule>
    <cfRule type="containsText" priority="337" operator="containsText" dxfId="1" text="▲">
      <formula>NOT(ISERROR(SEARCH("▲",Z62)))</formula>
    </cfRule>
    <cfRule type="containsText" priority="338" operator="containsText" dxfId="0" text="▼">
      <formula>NOT(ISERROR(SEARCH("▼",Z62)))</formula>
    </cfRule>
    <cfRule type="containsText" priority="335" operator="containsText" dxfId="1" text="▲">
      <formula>NOT(ISERROR(SEARCH("▲",Z62)))</formula>
    </cfRule>
    <cfRule type="containsText" priority="336" operator="containsText" dxfId="0" text="▼">
      <formula>NOT(ISERROR(SEARCH("▼",Z62)))</formula>
    </cfRule>
    <cfRule type="containsText" priority="333" operator="containsText" dxfId="1" text="▲">
      <formula>NOT(ISERROR(SEARCH("▲",Z62)))</formula>
    </cfRule>
    <cfRule type="containsText" priority="334" operator="containsText" dxfId="0" text="▼">
      <formula>NOT(ISERROR(SEARCH("▼",Z62)))</formula>
    </cfRule>
    <cfRule type="containsText" priority="331" operator="containsText" dxfId="1" text="▲">
      <formula>NOT(ISERROR(SEARCH("▲",Z62)))</formula>
    </cfRule>
    <cfRule type="containsText" priority="332" operator="containsText" dxfId="0" text="▼">
      <formula>NOT(ISERROR(SEARCH("▼",Z62)))</formula>
    </cfRule>
    <cfRule type="containsText" priority="329" operator="containsText" dxfId="1" text="▲">
      <formula>NOT(ISERROR(SEARCH("▲",Z62)))</formula>
    </cfRule>
    <cfRule type="containsText" priority="330" operator="containsText" dxfId="0" text="▼">
      <formula>NOT(ISERROR(SEARCH("▼",Z62)))</formula>
    </cfRule>
    <cfRule type="containsText" priority="327" operator="containsText" dxfId="1" text="▲">
      <formula>NOT(ISERROR(SEARCH("▲",Z62)))</formula>
    </cfRule>
    <cfRule type="containsText" priority="328" operator="containsText" dxfId="0" text="▼">
      <formula>NOT(ISERROR(SEARCH("▼",Z62)))</formula>
    </cfRule>
    <cfRule type="containsText" priority="325" operator="containsText" dxfId="1" text="▲">
      <formula>NOT(ISERROR(SEARCH("▲",Z62)))</formula>
    </cfRule>
    <cfRule type="containsText" priority="326" operator="containsText" dxfId="0" text="▼">
      <formula>NOT(ISERROR(SEARCH("▼",Z62)))</formula>
    </cfRule>
    <cfRule type="containsText" priority="323" operator="containsText" dxfId="1" text="▲">
      <formula>NOT(ISERROR(SEARCH("▲",Z62)))</formula>
    </cfRule>
    <cfRule type="containsText" priority="324" operator="containsText" dxfId="0" text="▼">
      <formula>NOT(ISERROR(SEARCH("▼",Z62)))</formula>
    </cfRule>
    <cfRule type="containsText" priority="321" operator="containsText" dxfId="1" text="▲">
      <formula>NOT(ISERROR(SEARCH("▲",Z62)))</formula>
    </cfRule>
    <cfRule type="containsText" priority="322" operator="containsText" dxfId="0" text="▼">
      <formula>NOT(ISERROR(SEARCH("▼",Z62)))</formula>
    </cfRule>
    <cfRule type="containsText" priority="319" operator="containsText" dxfId="1" text="▲">
      <formula>NOT(ISERROR(SEARCH("▲",Z62)))</formula>
    </cfRule>
    <cfRule type="containsText" priority="320" operator="containsText" dxfId="0" text="▼">
      <formula>NOT(ISERROR(SEARCH("▼",Z62)))</formula>
    </cfRule>
    <cfRule type="containsText" priority="317" operator="containsText" dxfId="1" text="▲">
      <formula>NOT(ISERROR(SEARCH("▲",Z62)))</formula>
    </cfRule>
    <cfRule type="containsText" priority="318" operator="containsText" dxfId="0" text="▼">
      <formula>NOT(ISERROR(SEARCH("▼",Z62)))</formula>
    </cfRule>
    <cfRule type="containsText" priority="315" operator="containsText" dxfId="1" text="▲">
      <formula>NOT(ISERROR(SEARCH("▲",Z62)))</formula>
    </cfRule>
    <cfRule type="containsText" priority="316" operator="containsText" dxfId="0" text="▼">
      <formula>NOT(ISERROR(SEARCH("▼",Z62)))</formula>
    </cfRule>
    <cfRule type="containsText" priority="313" operator="containsText" dxfId="1" text="▲">
      <formula>NOT(ISERROR(SEARCH("▲",Z62)))</formula>
    </cfRule>
    <cfRule type="containsText" priority="314" operator="containsText" dxfId="0" text="▼">
      <formula>NOT(ISERROR(SEARCH("▼",Z62)))</formula>
    </cfRule>
    <cfRule type="containsText" priority="311" operator="containsText" dxfId="1" text="▲">
      <formula>NOT(ISERROR(SEARCH("▲",Z62)))</formula>
    </cfRule>
    <cfRule type="containsText" priority="312" operator="containsText" dxfId="0" text="▼">
      <formula>NOT(ISERROR(SEARCH("▼",Z62)))</formula>
    </cfRule>
    <cfRule type="containsText" priority="309" operator="containsText" dxfId="1" text="▲">
      <formula>NOT(ISERROR(SEARCH("▲",Z62)))</formula>
    </cfRule>
    <cfRule type="containsText" priority="310" operator="containsText" dxfId="0" text="▼">
      <formula>NOT(ISERROR(SEARCH("▼",Z62)))</formula>
    </cfRule>
    <cfRule type="containsText" priority="307" operator="containsText" dxfId="1" text="▲">
      <formula>NOT(ISERROR(SEARCH("▲",Z62)))</formula>
    </cfRule>
    <cfRule type="containsText" priority="308" operator="containsText" dxfId="0" text="▼">
      <formula>NOT(ISERROR(SEARCH("▼",Z62)))</formula>
    </cfRule>
    <cfRule type="containsText" priority="305" operator="containsText" dxfId="1" text="▲">
      <formula>NOT(ISERROR(SEARCH("▲",Z62)))</formula>
    </cfRule>
    <cfRule type="containsText" priority="306" operator="containsText" dxfId="0" text="▼">
      <formula>NOT(ISERROR(SEARCH("▼",Z62)))</formula>
    </cfRule>
    <cfRule type="containsText" priority="303" operator="containsText" dxfId="1" text="▲">
      <formula>NOT(ISERROR(SEARCH("▲",Z62)))</formula>
    </cfRule>
    <cfRule type="containsText" priority="304" operator="containsText" dxfId="0" text="▼">
      <formula>NOT(ISERROR(SEARCH("▼",Z62)))</formula>
    </cfRule>
    <cfRule type="containsText" priority="301" operator="containsText" dxfId="1" text="△">
      <formula>NOT(ISERROR(SEARCH("△",Z62)))</formula>
    </cfRule>
    <cfRule type="containsText" priority="302" operator="containsText" dxfId="0" text="▽">
      <formula>NOT(ISERROR(SEARCH("▽",Z62)))</formula>
    </cfRule>
    <cfRule type="containsText" priority="299" operator="containsText" dxfId="1" text="▲">
      <formula>NOT(ISERROR(SEARCH("▲",Z62)))</formula>
    </cfRule>
    <cfRule type="containsText" priority="300" operator="containsText" dxfId="0" text="▼">
      <formula>NOT(ISERROR(SEARCH("▼",Z62)))</formula>
    </cfRule>
    <cfRule type="containsText" priority="297" operator="containsText" dxfId="1" text="▲">
      <formula>NOT(ISERROR(SEARCH("▲",Z62)))</formula>
    </cfRule>
    <cfRule type="containsText" priority="298" operator="containsText" dxfId="0" text="▼">
      <formula>NOT(ISERROR(SEARCH("▼",Z62)))</formula>
    </cfRule>
    <cfRule type="containsText" priority="295" operator="containsText" dxfId="1" text="▲">
      <formula>NOT(ISERROR(SEARCH("▲",Z62)))</formula>
    </cfRule>
    <cfRule type="containsText" priority="296" operator="containsText" dxfId="0" text="▼">
      <formula>NOT(ISERROR(SEARCH("▼",Z62)))</formula>
    </cfRule>
    <cfRule type="containsText" priority="293" operator="containsText" dxfId="1" text="▲">
      <formula>NOT(ISERROR(SEARCH("▲",Z62)))</formula>
    </cfRule>
    <cfRule type="containsText" priority="294" operator="containsText" dxfId="0" text="▼">
      <formula>NOT(ISERROR(SEARCH("▼",Z62)))</formula>
    </cfRule>
    <cfRule type="containsText" priority="291" operator="containsText" dxfId="1" text="▲">
      <formula>NOT(ISERROR(SEARCH("▲",Z62)))</formula>
    </cfRule>
    <cfRule type="containsText" priority="292" operator="containsText" dxfId="0" text="▼">
      <formula>NOT(ISERROR(SEARCH("▼",Z62)))</formula>
    </cfRule>
    <cfRule type="containsText" priority="289" operator="containsText" dxfId="1" text="▲">
      <formula>NOT(ISERROR(SEARCH("▲",Z62)))</formula>
    </cfRule>
    <cfRule type="containsText" priority="290" operator="containsText" dxfId="0" text="▼">
      <formula>NOT(ISERROR(SEARCH("▼",Z62)))</formula>
    </cfRule>
    <cfRule type="containsText" priority="287" operator="containsText" dxfId="1" text="▲">
      <formula>NOT(ISERROR(SEARCH("▲",Z62)))</formula>
    </cfRule>
    <cfRule type="containsText" priority="288" operator="containsText" dxfId="0" text="▼">
      <formula>NOT(ISERROR(SEARCH("▼",Z62)))</formula>
    </cfRule>
    <cfRule type="containsText" priority="285" operator="containsText" dxfId="1" text="▲">
      <formula>NOT(ISERROR(SEARCH("▲",Z62)))</formula>
    </cfRule>
    <cfRule type="containsText" priority="286" operator="containsText" dxfId="0" text="▼">
      <formula>NOT(ISERROR(SEARCH("▼",Z62)))</formula>
    </cfRule>
    <cfRule type="containsText" priority="283" operator="containsText" dxfId="1" text="▲">
      <formula>NOT(ISERROR(SEARCH("▲",Z62)))</formula>
    </cfRule>
    <cfRule type="containsText" priority="284" operator="containsText" dxfId="0" text="▼">
      <formula>NOT(ISERROR(SEARCH("▼",Z62)))</formula>
    </cfRule>
    <cfRule type="containsText" priority="281" operator="containsText" dxfId="1" text="▲">
      <formula>NOT(ISERROR(SEARCH("▲",Z62)))</formula>
    </cfRule>
    <cfRule type="containsText" priority="282" operator="containsText" dxfId="0" text="▼">
      <formula>NOT(ISERROR(SEARCH("▼",Z62)))</formula>
    </cfRule>
    <cfRule type="containsText" priority="279" operator="containsText" dxfId="1" text="▲">
      <formula>NOT(ISERROR(SEARCH("▲",Z62)))</formula>
    </cfRule>
    <cfRule type="containsText" priority="280" operator="containsText" dxfId="0" text="▼">
      <formula>NOT(ISERROR(SEARCH("▼",Z62)))</formula>
    </cfRule>
    <cfRule type="containsText" priority="277" operator="containsText" dxfId="1" text="▲">
      <formula>NOT(ISERROR(SEARCH("▲",Z62)))</formula>
    </cfRule>
    <cfRule type="containsText" priority="278" operator="containsText" dxfId="0" text="▼">
      <formula>NOT(ISERROR(SEARCH("▼",Z62)))</formula>
    </cfRule>
    <cfRule type="containsText" priority="275" operator="containsText" dxfId="1" text="▲">
      <formula>NOT(ISERROR(SEARCH("▲",Z62)))</formula>
    </cfRule>
    <cfRule type="containsText" priority="276" operator="containsText" dxfId="0" text="▼">
      <formula>NOT(ISERROR(SEARCH("▼",Z62)))</formula>
    </cfRule>
    <cfRule type="containsText" priority="273" operator="containsText" dxfId="1" text="▲">
      <formula>NOT(ISERROR(SEARCH("▲",Z62)))</formula>
    </cfRule>
    <cfRule type="containsText" priority="274" operator="containsText" dxfId="0" text="▼">
      <formula>NOT(ISERROR(SEARCH("▼",Z62)))</formula>
    </cfRule>
    <cfRule type="containsText" priority="271" operator="containsText" dxfId="1" text="▲">
      <formula>NOT(ISERROR(SEARCH("▲",Z62)))</formula>
    </cfRule>
    <cfRule type="containsText" priority="272" operator="containsText" dxfId="0" text="▼">
      <formula>NOT(ISERROR(SEARCH("▼",Z62)))</formula>
    </cfRule>
    <cfRule type="containsText" priority="269" operator="containsText" dxfId="1" text="▲">
      <formula>NOT(ISERROR(SEARCH("▲",Z62)))</formula>
    </cfRule>
    <cfRule type="containsText" priority="270" operator="containsText" dxfId="0" text="▼">
      <formula>NOT(ISERROR(SEARCH("▼",Z62)))</formula>
    </cfRule>
    <cfRule type="containsText" priority="267" operator="containsText" dxfId="1" text="▲">
      <formula>NOT(ISERROR(SEARCH("▲",Z62)))</formula>
    </cfRule>
    <cfRule type="containsText" priority="268" operator="containsText" dxfId="0" text="▼">
      <formula>NOT(ISERROR(SEARCH("▼",Z62)))</formula>
    </cfRule>
    <cfRule type="containsText" priority="265" operator="containsText" dxfId="1" text="▲">
      <formula>NOT(ISERROR(SEARCH("▲",Z62)))</formula>
    </cfRule>
    <cfRule type="containsText" priority="266" operator="containsText" dxfId="0" text="▼">
      <formula>NOT(ISERROR(SEARCH("▼",Z62)))</formula>
    </cfRule>
    <cfRule type="containsText" priority="263" operator="containsText" dxfId="1" text="▲">
      <formula>NOT(ISERROR(SEARCH("▲",Z62)))</formula>
    </cfRule>
    <cfRule type="containsText" priority="264" operator="containsText" dxfId="0" text="▼">
      <formula>NOT(ISERROR(SEARCH("▼",Z62)))</formula>
    </cfRule>
    <cfRule type="containsText" priority="261" operator="containsText" dxfId="1" text="▲">
      <formula>NOT(ISERROR(SEARCH("▲",Z62)))</formula>
    </cfRule>
    <cfRule type="containsText" priority="262" operator="containsText" dxfId="0" text="▼">
      <formula>NOT(ISERROR(SEARCH("▼",Z62)))</formula>
    </cfRule>
    <cfRule type="containsText" priority="259" operator="containsText" dxfId="1" text="▲">
      <formula>NOT(ISERROR(SEARCH("▲",Z62)))</formula>
    </cfRule>
    <cfRule type="containsText" priority="260" operator="containsText" dxfId="0" text="▼">
      <formula>NOT(ISERROR(SEARCH("▼",Z62)))</formula>
    </cfRule>
    <cfRule type="containsText" priority="257" operator="containsText" dxfId="1" text="▲">
      <formula>NOT(ISERROR(SEARCH("▲",Z62)))</formula>
    </cfRule>
    <cfRule type="containsText" priority="258" operator="containsText" dxfId="0" text="▼">
      <formula>NOT(ISERROR(SEARCH("▼",Z62)))</formula>
    </cfRule>
    <cfRule type="containsText" priority="255" operator="containsText" dxfId="1" text="▲">
      <formula>NOT(ISERROR(SEARCH("▲",Z62)))</formula>
    </cfRule>
    <cfRule type="containsText" priority="256" operator="containsText" dxfId="0" text="▼">
      <formula>NOT(ISERROR(SEARCH("▼",Z62)))</formula>
    </cfRule>
    <cfRule type="containsText" priority="253" operator="containsText" dxfId="1" text="▲">
      <formula>NOT(ISERROR(SEARCH("▲",Z62)))</formula>
    </cfRule>
    <cfRule type="containsText" priority="254" operator="containsText" dxfId="0" text="▼">
      <formula>NOT(ISERROR(SEARCH("▼",Z62)))</formula>
    </cfRule>
    <cfRule type="containsText" priority="251" operator="containsText" dxfId="1" text="▲">
      <formula>NOT(ISERROR(SEARCH("▲",Z62)))</formula>
    </cfRule>
    <cfRule type="containsText" priority="252" operator="containsText" dxfId="0" text="▼">
      <formula>NOT(ISERROR(SEARCH("▼",Z62)))</formula>
    </cfRule>
    <cfRule type="containsText" priority="249" operator="containsText" dxfId="1" text="△">
      <formula>NOT(ISERROR(SEARCH("△",Z62)))</formula>
    </cfRule>
    <cfRule type="containsText" priority="250" operator="containsText" dxfId="0" text="▽">
      <formula>NOT(ISERROR(SEARCH("▽",Z62)))</formula>
    </cfRule>
    <cfRule type="containsText" priority="247" operator="containsText" dxfId="1" text="▲">
      <formula>NOT(ISERROR(SEARCH("▲",Z62)))</formula>
    </cfRule>
    <cfRule type="containsText" priority="248" operator="containsText" dxfId="0" text="▼">
      <formula>NOT(ISERROR(SEARCH("▼",Z62)))</formula>
    </cfRule>
    <cfRule type="containsText" priority="245" operator="containsText" dxfId="1" text="▲">
      <formula>NOT(ISERROR(SEARCH("▲",Z62)))</formula>
    </cfRule>
    <cfRule type="containsText" priority="246" operator="containsText" dxfId="0" text="▼">
      <formula>NOT(ISERROR(SEARCH("▼",Z62)))</formula>
    </cfRule>
    <cfRule type="containsText" priority="243" operator="containsText" dxfId="1" text="▲">
      <formula>NOT(ISERROR(SEARCH("▲",Z62)))</formula>
    </cfRule>
    <cfRule type="containsText" priority="244" operator="containsText" dxfId="0" text="▼">
      <formula>NOT(ISERROR(SEARCH("▼",Z62)))</formula>
    </cfRule>
    <cfRule type="containsText" priority="241" operator="containsText" dxfId="1" text="▲">
      <formula>NOT(ISERROR(SEARCH("▲",Z62)))</formula>
    </cfRule>
    <cfRule type="containsText" priority="242" operator="containsText" dxfId="0" text="▼">
      <formula>NOT(ISERROR(SEARCH("▼",Z62)))</formula>
    </cfRule>
    <cfRule type="containsText" priority="239" operator="containsText" dxfId="1" text="▲">
      <formula>NOT(ISERROR(SEARCH("▲",Z62)))</formula>
    </cfRule>
    <cfRule type="containsText" priority="240" operator="containsText" dxfId="0" text="▼">
      <formula>NOT(ISERROR(SEARCH("▼",Z62)))</formula>
    </cfRule>
    <cfRule type="containsText" priority="237" operator="containsText" dxfId="1" text="▲">
      <formula>NOT(ISERROR(SEARCH("▲",Z62)))</formula>
    </cfRule>
    <cfRule type="containsText" priority="238" operator="containsText" dxfId="0" text="▼">
      <formula>NOT(ISERROR(SEARCH("▼",Z62)))</formula>
    </cfRule>
    <cfRule type="containsText" priority="235" operator="containsText" dxfId="1" text="▲">
      <formula>NOT(ISERROR(SEARCH("▲",Z62)))</formula>
    </cfRule>
    <cfRule type="containsText" priority="236" operator="containsText" dxfId="0" text="▼">
      <formula>NOT(ISERROR(SEARCH("▼",Z62)))</formula>
    </cfRule>
    <cfRule type="containsText" priority="233" operator="containsText" dxfId="1" text="▲">
      <formula>NOT(ISERROR(SEARCH("▲",Z62)))</formula>
    </cfRule>
    <cfRule type="containsText" priority="234" operator="containsText" dxfId="0" text="▼">
      <formula>NOT(ISERROR(SEARCH("▼",Z62)))</formula>
    </cfRule>
    <cfRule type="containsText" priority="231" operator="containsText" dxfId="1" text="▲">
      <formula>NOT(ISERROR(SEARCH("▲",Z62)))</formula>
    </cfRule>
    <cfRule type="containsText" priority="232" operator="containsText" dxfId="0" text="▼">
      <formula>NOT(ISERROR(SEARCH("▼",Z62)))</formula>
    </cfRule>
    <cfRule type="containsText" priority="229" operator="containsText" dxfId="1" text="▲">
      <formula>NOT(ISERROR(SEARCH("▲",Z62)))</formula>
    </cfRule>
    <cfRule type="containsText" priority="230" operator="containsText" dxfId="0" text="▼">
      <formula>NOT(ISERROR(SEARCH("▼",Z62)))</formula>
    </cfRule>
    <cfRule type="containsText" priority="227" operator="containsText" dxfId="1" text="▲">
      <formula>NOT(ISERROR(SEARCH("▲",Z62)))</formula>
    </cfRule>
    <cfRule type="containsText" priority="228" operator="containsText" dxfId="0" text="▼">
      <formula>NOT(ISERROR(SEARCH("▼",Z62)))</formula>
    </cfRule>
    <cfRule type="containsText" priority="225" operator="containsText" dxfId="1" text="▲">
      <formula>NOT(ISERROR(SEARCH("▲",Z62)))</formula>
    </cfRule>
    <cfRule type="containsText" priority="226" operator="containsText" dxfId="0" text="▼">
      <formula>NOT(ISERROR(SEARCH("▼",Z62)))</formula>
    </cfRule>
    <cfRule type="containsText" priority="223" operator="containsText" dxfId="1" text="▲">
      <formula>NOT(ISERROR(SEARCH("▲",Z62)))</formula>
    </cfRule>
    <cfRule type="containsText" priority="224" operator="containsText" dxfId="0" text="▼">
      <formula>NOT(ISERROR(SEARCH("▼",Z62)))</formula>
    </cfRule>
    <cfRule type="containsText" priority="221" operator="containsText" dxfId="1" text="▲">
      <formula>NOT(ISERROR(SEARCH("▲",Z62)))</formula>
    </cfRule>
    <cfRule type="containsText" priority="222" operator="containsText" dxfId="0" text="▼">
      <formula>NOT(ISERROR(SEARCH("▼",Z62)))</formula>
    </cfRule>
    <cfRule type="containsText" priority="219" operator="containsText" dxfId="1" text="▲">
      <formula>NOT(ISERROR(SEARCH("▲",Z62)))</formula>
    </cfRule>
    <cfRule type="containsText" priority="220" operator="containsText" dxfId="0" text="▼">
      <formula>NOT(ISERROR(SEARCH("▼",Z62)))</formula>
    </cfRule>
    <cfRule type="containsText" priority="217" operator="containsText" dxfId="1" text="▲">
      <formula>NOT(ISERROR(SEARCH("▲",Z62)))</formula>
    </cfRule>
    <cfRule type="containsText" priority="218" operator="containsText" dxfId="0" text="▼">
      <formula>NOT(ISERROR(SEARCH("▼",Z62)))</formula>
    </cfRule>
    <cfRule type="containsText" priority="215" operator="containsText" dxfId="1" text="▲">
      <formula>NOT(ISERROR(SEARCH("▲",Z62)))</formula>
    </cfRule>
    <cfRule type="containsText" priority="216" operator="containsText" dxfId="0" text="▼">
      <formula>NOT(ISERROR(SEARCH("▼",Z62)))</formula>
    </cfRule>
    <cfRule type="containsText" priority="213" operator="containsText" dxfId="1" text="▲">
      <formula>NOT(ISERROR(SEARCH("▲",Z62)))</formula>
    </cfRule>
    <cfRule type="containsText" priority="214" operator="containsText" dxfId="0" text="▼">
      <formula>NOT(ISERROR(SEARCH("▼",Z62)))</formula>
    </cfRule>
    <cfRule type="containsText" priority="211" operator="containsText" dxfId="1" text="▲">
      <formula>NOT(ISERROR(SEARCH("▲",Z62)))</formula>
    </cfRule>
    <cfRule type="containsText" priority="212" operator="containsText" dxfId="0" text="▼">
      <formula>NOT(ISERROR(SEARCH("▼",Z62)))</formula>
    </cfRule>
    <cfRule type="containsText" priority="209" operator="containsText" dxfId="1" text="▲">
      <formula>NOT(ISERROR(SEARCH("▲",Z62)))</formula>
    </cfRule>
    <cfRule type="containsText" priority="210" operator="containsText" dxfId="0" text="▼">
      <formula>NOT(ISERROR(SEARCH("▼",Z62)))</formula>
    </cfRule>
    <cfRule type="containsText" priority="207" operator="containsText" dxfId="1" text="▲">
      <formula>NOT(ISERROR(SEARCH("▲",Z62)))</formula>
    </cfRule>
    <cfRule type="containsText" priority="208" operator="containsText" dxfId="0" text="▼">
      <formula>NOT(ISERROR(SEARCH("▼",Z62)))</formula>
    </cfRule>
    <cfRule type="containsText" priority="205" operator="containsText" dxfId="1" text="▲">
      <formula>NOT(ISERROR(SEARCH("▲",Z62)))</formula>
    </cfRule>
    <cfRule type="containsText" priority="206" operator="containsText" dxfId="0" text="▼">
      <formula>NOT(ISERROR(SEARCH("▼",Z62)))</formula>
    </cfRule>
    <cfRule type="containsText" priority="203" operator="containsText" dxfId="1" text="▲">
      <formula>NOT(ISERROR(SEARCH("▲",Z62)))</formula>
    </cfRule>
    <cfRule type="containsText" priority="204" operator="containsText" dxfId="0" text="▼">
      <formula>NOT(ISERROR(SEARCH("▼",Z62)))</formula>
    </cfRule>
    <cfRule type="containsText" priority="201" operator="containsText" dxfId="1" text="▲">
      <formula>NOT(ISERROR(SEARCH("▲",Z62)))</formula>
    </cfRule>
    <cfRule type="containsText" priority="202" operator="containsText" dxfId="0" text="▼">
      <formula>NOT(ISERROR(SEARCH("▼",Z62)))</formula>
    </cfRule>
    <cfRule type="containsText" priority="199" operator="containsText" dxfId="1" text="△">
      <formula>NOT(ISERROR(SEARCH("△",Z62)))</formula>
    </cfRule>
    <cfRule type="containsText" priority="200" operator="containsText" dxfId="0" text="▽">
      <formula>NOT(ISERROR(SEARCH("▽",Z62)))</formula>
    </cfRule>
    <cfRule type="containsText" priority="197" operator="containsText" dxfId="1" text="▲">
      <formula>NOT(ISERROR(SEARCH("▲",Z62)))</formula>
    </cfRule>
    <cfRule type="containsText" priority="198" operator="containsText" dxfId="0" text="▼">
      <formula>NOT(ISERROR(SEARCH("▼",Z62)))</formula>
    </cfRule>
    <cfRule type="containsText" priority="195" operator="containsText" dxfId="1" text="▲">
      <formula>NOT(ISERROR(SEARCH("▲",Z62)))</formula>
    </cfRule>
    <cfRule type="containsText" priority="196" operator="containsText" dxfId="0" text="▼">
      <formula>NOT(ISERROR(SEARCH("▼",Z62)))</formula>
    </cfRule>
    <cfRule type="containsText" priority="193" operator="containsText" dxfId="1" text="▲">
      <formula>NOT(ISERROR(SEARCH("▲",Z62)))</formula>
    </cfRule>
    <cfRule type="containsText" priority="194" operator="containsText" dxfId="0" text="▼">
      <formula>NOT(ISERROR(SEARCH("▼",Z62)))</formula>
    </cfRule>
    <cfRule type="containsText" priority="191" operator="containsText" dxfId="1" text="▲">
      <formula>NOT(ISERROR(SEARCH("▲",Z62)))</formula>
    </cfRule>
    <cfRule type="containsText" priority="192" operator="containsText" dxfId="0" text="▼">
      <formula>NOT(ISERROR(SEARCH("▼",Z62)))</formula>
    </cfRule>
    <cfRule type="containsText" priority="189" operator="containsText" dxfId="1" text="▲">
      <formula>NOT(ISERROR(SEARCH("▲",Z62)))</formula>
    </cfRule>
    <cfRule type="containsText" priority="190" operator="containsText" dxfId="0" text="▼">
      <formula>NOT(ISERROR(SEARCH("▼",Z62)))</formula>
    </cfRule>
    <cfRule type="containsText" priority="187" operator="containsText" dxfId="1" text="▲">
      <formula>NOT(ISERROR(SEARCH("▲",Z62)))</formula>
    </cfRule>
    <cfRule type="containsText" priority="188" operator="containsText" dxfId="0" text="▼">
      <formula>NOT(ISERROR(SEARCH("▼",Z62)))</formula>
    </cfRule>
    <cfRule type="containsText" priority="185" operator="containsText" dxfId="1" text="▲">
      <formula>NOT(ISERROR(SEARCH("▲",Z62)))</formula>
    </cfRule>
    <cfRule type="containsText" priority="186" operator="containsText" dxfId="0" text="▼">
      <formula>NOT(ISERROR(SEARCH("▼",Z62)))</formula>
    </cfRule>
    <cfRule type="containsText" priority="183" operator="containsText" dxfId="1" text="▲">
      <formula>NOT(ISERROR(SEARCH("▲",Z62)))</formula>
    </cfRule>
    <cfRule type="containsText" priority="184" operator="containsText" dxfId="0" text="▼">
      <formula>NOT(ISERROR(SEARCH("▼",Z62)))</formula>
    </cfRule>
    <cfRule type="containsText" priority="181" operator="containsText" dxfId="1" text="▲">
      <formula>NOT(ISERROR(SEARCH("▲",Z62)))</formula>
    </cfRule>
    <cfRule type="containsText" priority="182" operator="containsText" dxfId="0" text="▼">
      <formula>NOT(ISERROR(SEARCH("▼",Z62)))</formula>
    </cfRule>
    <cfRule type="containsText" priority="179" operator="containsText" dxfId="1" text="▲">
      <formula>NOT(ISERROR(SEARCH("▲",Z62)))</formula>
    </cfRule>
    <cfRule type="containsText" priority="180" operator="containsText" dxfId="0" text="▼">
      <formula>NOT(ISERROR(SEARCH("▼",Z62)))</formula>
    </cfRule>
    <cfRule type="containsText" priority="177" operator="containsText" dxfId="1" text="▲">
      <formula>NOT(ISERROR(SEARCH("▲",Z62)))</formula>
    </cfRule>
    <cfRule type="containsText" priority="178" operator="containsText" dxfId="0" text="▼">
      <formula>NOT(ISERROR(SEARCH("▼",Z62)))</formula>
    </cfRule>
    <cfRule type="containsText" priority="175" operator="containsText" dxfId="1" text="▲">
      <formula>NOT(ISERROR(SEARCH("▲",Z62)))</formula>
    </cfRule>
    <cfRule type="containsText" priority="176" operator="containsText" dxfId="0" text="▼">
      <formula>NOT(ISERROR(SEARCH("▼",Z62)))</formula>
    </cfRule>
    <cfRule type="containsText" priority="173" operator="containsText" dxfId="1" text="▲">
      <formula>NOT(ISERROR(SEARCH("▲",Z62)))</formula>
    </cfRule>
    <cfRule type="containsText" priority="174" operator="containsText" dxfId="0" text="▼">
      <formula>NOT(ISERROR(SEARCH("▼",Z62)))</formula>
    </cfRule>
    <cfRule type="containsText" priority="171" operator="containsText" dxfId="1" text="▲">
      <formula>NOT(ISERROR(SEARCH("▲",Z62)))</formula>
    </cfRule>
    <cfRule type="containsText" priority="172" operator="containsText" dxfId="0" text="▼">
      <formula>NOT(ISERROR(SEARCH("▼",Z62)))</formula>
    </cfRule>
    <cfRule type="containsText" priority="169" operator="containsText" dxfId="1" text="▲">
      <formula>NOT(ISERROR(SEARCH("▲",Z62)))</formula>
    </cfRule>
    <cfRule type="containsText" priority="170" operator="containsText" dxfId="0" text="▼">
      <formula>NOT(ISERROR(SEARCH("▼",Z62)))</formula>
    </cfRule>
    <cfRule type="containsText" priority="167" operator="containsText" dxfId="1" text="▲">
      <formula>NOT(ISERROR(SEARCH("▲",Z62)))</formula>
    </cfRule>
    <cfRule type="containsText" priority="168" operator="containsText" dxfId="0" text="▼">
      <formula>NOT(ISERROR(SEARCH("▼",Z62)))</formula>
    </cfRule>
    <cfRule type="containsText" priority="165" operator="containsText" dxfId="1" text="▲">
      <formula>NOT(ISERROR(SEARCH("▲",Z62)))</formula>
    </cfRule>
    <cfRule type="containsText" priority="166" operator="containsText" dxfId="0" text="▼">
      <formula>NOT(ISERROR(SEARCH("▼",Z62)))</formula>
    </cfRule>
    <cfRule type="containsText" priority="163" operator="containsText" dxfId="1" text="▲">
      <formula>NOT(ISERROR(SEARCH("▲",Z62)))</formula>
    </cfRule>
    <cfRule type="containsText" priority="164" operator="containsText" dxfId="0" text="▼">
      <formula>NOT(ISERROR(SEARCH("▼",Z62)))</formula>
    </cfRule>
    <cfRule type="containsText" priority="161" operator="containsText" dxfId="1" text="▲">
      <formula>NOT(ISERROR(SEARCH("▲",Z62)))</formula>
    </cfRule>
    <cfRule type="containsText" priority="162" operator="containsText" dxfId="0" text="▼">
      <formula>NOT(ISERROR(SEARCH("▼",Z62)))</formula>
    </cfRule>
    <cfRule type="containsText" priority="159" operator="containsText" dxfId="1" text="▲">
      <formula>NOT(ISERROR(SEARCH("▲",Z62)))</formula>
    </cfRule>
    <cfRule type="containsText" priority="160" operator="containsText" dxfId="0" text="▼">
      <formula>NOT(ISERROR(SEARCH("▼",Z62)))</formula>
    </cfRule>
    <cfRule type="containsText" priority="157" operator="containsText" dxfId="1" text="▲">
      <formula>NOT(ISERROR(SEARCH("▲",Z62)))</formula>
    </cfRule>
    <cfRule type="containsText" priority="158" operator="containsText" dxfId="0" text="▼">
      <formula>NOT(ISERROR(SEARCH("▼",Z62)))</formula>
    </cfRule>
    <cfRule type="containsText" priority="155" operator="containsText" dxfId="1" text="▲">
      <formula>NOT(ISERROR(SEARCH("▲",Z62)))</formula>
    </cfRule>
    <cfRule type="containsText" priority="156" operator="containsText" dxfId="0" text="▼">
      <formula>NOT(ISERROR(SEARCH("▼",Z62)))</formula>
    </cfRule>
    <cfRule type="containsText" priority="153" operator="containsText" dxfId="1" text="▲">
      <formula>NOT(ISERROR(SEARCH("▲",Z62)))</formula>
    </cfRule>
    <cfRule type="containsText" priority="154" operator="containsText" dxfId="0" text="▼">
      <formula>NOT(ISERROR(SEARCH("▼",Z62)))</formula>
    </cfRule>
    <cfRule type="containsText" priority="151" operator="containsText" dxfId="1" text="▲">
      <formula>NOT(ISERROR(SEARCH("▲",Z62)))</formula>
    </cfRule>
    <cfRule type="containsText" priority="152" operator="containsText" dxfId="0" text="▼">
      <formula>NOT(ISERROR(SEARCH("▼",Z62)))</formula>
    </cfRule>
  </conditionalFormatting>
  <conditionalFormatting sqref="Z62">
    <cfRule type="containsText" priority="149" operator="containsText" dxfId="1" text="△">
      <formula>NOT(ISERROR(SEARCH("△",Z62)))</formula>
    </cfRule>
    <cfRule type="containsText" priority="150" operator="containsText" dxfId="0" text="▽">
      <formula>NOT(ISERROR(SEARCH("▽",Z62)))</formula>
    </cfRule>
    <cfRule type="containsText" priority="147" operator="containsText" dxfId="1" text="▲">
      <formula>NOT(ISERROR(SEARCH("▲",Z62)))</formula>
    </cfRule>
    <cfRule type="containsText" priority="148" operator="containsText" dxfId="0" text="▼">
      <formula>NOT(ISERROR(SEARCH("▼",Z62)))</formula>
    </cfRule>
    <cfRule type="containsText" priority="145" operator="containsText" dxfId="1" text="▲">
      <formula>NOT(ISERROR(SEARCH("▲",Z62)))</formula>
    </cfRule>
    <cfRule type="containsText" priority="146" operator="containsText" dxfId="0" text="▼">
      <formula>NOT(ISERROR(SEARCH("▼",Z62)))</formula>
    </cfRule>
    <cfRule type="containsText" priority="143" operator="containsText" dxfId="1" text="▲">
      <formula>NOT(ISERROR(SEARCH("▲",Z62)))</formula>
    </cfRule>
    <cfRule type="containsText" priority="144" operator="containsText" dxfId="0" text="▼">
      <formula>NOT(ISERROR(SEARCH("▼",Z62)))</formula>
    </cfRule>
    <cfRule type="containsText" priority="141" operator="containsText" dxfId="1" text="▲">
      <formula>NOT(ISERROR(SEARCH("▲",Z62)))</formula>
    </cfRule>
    <cfRule type="containsText" priority="142" operator="containsText" dxfId="0" text="▼">
      <formula>NOT(ISERROR(SEARCH("▼",Z62)))</formula>
    </cfRule>
    <cfRule type="containsText" priority="139" operator="containsText" dxfId="1" text="▲">
      <formula>NOT(ISERROR(SEARCH("▲",Z62)))</formula>
    </cfRule>
    <cfRule type="containsText" priority="140" operator="containsText" dxfId="0" text="▼">
      <formula>NOT(ISERROR(SEARCH("▼",Z62)))</formula>
    </cfRule>
    <cfRule type="containsText" priority="137" operator="containsText" dxfId="1" text="▲">
      <formula>NOT(ISERROR(SEARCH("▲",Z62)))</formula>
    </cfRule>
    <cfRule type="containsText" priority="138" operator="containsText" dxfId="0" text="▼">
      <formula>NOT(ISERROR(SEARCH("▼",Z62)))</formula>
    </cfRule>
    <cfRule type="containsText" priority="135" operator="containsText" dxfId="1" text="▲">
      <formula>NOT(ISERROR(SEARCH("▲",Z62)))</formula>
    </cfRule>
    <cfRule type="containsText" priority="136" operator="containsText" dxfId="0" text="▼">
      <formula>NOT(ISERROR(SEARCH("▼",Z62)))</formula>
    </cfRule>
    <cfRule type="containsText" priority="133" operator="containsText" dxfId="1" text="▲">
      <formula>NOT(ISERROR(SEARCH("▲",Z62)))</formula>
    </cfRule>
    <cfRule type="containsText" priority="134" operator="containsText" dxfId="0" text="▼">
      <formula>NOT(ISERROR(SEARCH("▼",Z62)))</formula>
    </cfRule>
    <cfRule type="containsText" priority="131" operator="containsText" dxfId="1" text="▲">
      <formula>NOT(ISERROR(SEARCH("▲",Z62)))</formula>
    </cfRule>
    <cfRule type="containsText" priority="132" operator="containsText" dxfId="0" text="▼">
      <formula>NOT(ISERROR(SEARCH("▼",Z62)))</formula>
    </cfRule>
    <cfRule type="containsText" priority="129" operator="containsText" dxfId="1" text="▲">
      <formula>NOT(ISERROR(SEARCH("▲",Z62)))</formula>
    </cfRule>
    <cfRule type="containsText" priority="130" operator="containsText" dxfId="0" text="▼">
      <formula>NOT(ISERROR(SEARCH("▼",Z62)))</formula>
    </cfRule>
    <cfRule type="containsText" priority="127" operator="containsText" dxfId="1" text="▲">
      <formula>NOT(ISERROR(SEARCH("▲",Z62)))</formula>
    </cfRule>
    <cfRule type="containsText" priority="128" operator="containsText" dxfId="0" text="▼">
      <formula>NOT(ISERROR(SEARCH("▼",Z62)))</formula>
    </cfRule>
    <cfRule type="containsText" priority="125" operator="containsText" dxfId="1" text="▲">
      <formula>NOT(ISERROR(SEARCH("▲",Z62)))</formula>
    </cfRule>
    <cfRule type="containsText" priority="126" operator="containsText" dxfId="0" text="▼">
      <formula>NOT(ISERROR(SEARCH("▼",Z62)))</formula>
    </cfRule>
    <cfRule type="containsText" priority="123" operator="containsText" dxfId="1" text="▲">
      <formula>NOT(ISERROR(SEARCH("▲",Z62)))</formula>
    </cfRule>
    <cfRule type="containsText" priority="124" operator="containsText" dxfId="0" text="▼">
      <formula>NOT(ISERROR(SEARCH("▼",Z62)))</formula>
    </cfRule>
    <cfRule type="containsText" priority="121" operator="containsText" dxfId="1" text="▲">
      <formula>NOT(ISERROR(SEARCH("▲",Z62)))</formula>
    </cfRule>
    <cfRule type="containsText" priority="122" operator="containsText" dxfId="0" text="▼">
      <formula>NOT(ISERROR(SEARCH("▼",Z62)))</formula>
    </cfRule>
    <cfRule type="containsText" priority="119" operator="containsText" dxfId="1" text="▲">
      <formula>NOT(ISERROR(SEARCH("▲",Z62)))</formula>
    </cfRule>
    <cfRule type="containsText" priority="120" operator="containsText" dxfId="0" text="▼">
      <formula>NOT(ISERROR(SEARCH("▼",Z62)))</formula>
    </cfRule>
    <cfRule type="containsText" priority="117" operator="containsText" dxfId="1" text="▲">
      <formula>NOT(ISERROR(SEARCH("▲",Z62)))</formula>
    </cfRule>
    <cfRule type="containsText" priority="118" operator="containsText" dxfId="0" text="▼">
      <formula>NOT(ISERROR(SEARCH("▼",Z62)))</formula>
    </cfRule>
    <cfRule type="containsText" priority="115" operator="containsText" dxfId="1" text="▲">
      <formula>NOT(ISERROR(SEARCH("▲",Z62)))</formula>
    </cfRule>
    <cfRule type="containsText" priority="116" operator="containsText" dxfId="0" text="▼">
      <formula>NOT(ISERROR(SEARCH("▼",Z62)))</formula>
    </cfRule>
    <cfRule type="containsText" priority="113" operator="containsText" dxfId="1" text="▲">
      <formula>NOT(ISERROR(SEARCH("▲",Z62)))</formula>
    </cfRule>
    <cfRule type="containsText" priority="114" operator="containsText" dxfId="0" text="▼">
      <formula>NOT(ISERROR(SEARCH("▼",Z62)))</formula>
    </cfRule>
    <cfRule type="containsText" priority="111" operator="containsText" dxfId="1" text="▲">
      <formula>NOT(ISERROR(SEARCH("▲",Z62)))</formula>
    </cfRule>
    <cfRule type="containsText" priority="112" operator="containsText" dxfId="0" text="▼">
      <formula>NOT(ISERROR(SEARCH("▼",Z62)))</formula>
    </cfRule>
    <cfRule type="containsText" priority="109" operator="containsText" dxfId="1" text="▲">
      <formula>NOT(ISERROR(SEARCH("▲",Z62)))</formula>
    </cfRule>
    <cfRule type="containsText" priority="110" operator="containsText" dxfId="0" text="▼">
      <formula>NOT(ISERROR(SEARCH("▼",Z62)))</formula>
    </cfRule>
    <cfRule type="containsText" priority="107" operator="containsText" dxfId="1" text="▲">
      <formula>NOT(ISERROR(SEARCH("▲",Z62)))</formula>
    </cfRule>
    <cfRule type="containsText" priority="108" operator="containsText" dxfId="0" text="▼">
      <formula>NOT(ISERROR(SEARCH("▼",Z62)))</formula>
    </cfRule>
    <cfRule type="containsText" priority="105" operator="containsText" dxfId="1" text="▲">
      <formula>NOT(ISERROR(SEARCH("▲",Z62)))</formula>
    </cfRule>
    <cfRule type="containsText" priority="106" operator="containsText" dxfId="0" text="▼">
      <formula>NOT(ISERROR(SEARCH("▼",Z62)))</formula>
    </cfRule>
    <cfRule type="containsText" priority="103" operator="containsText" dxfId="1" text="▲">
      <formula>NOT(ISERROR(SEARCH("▲",Z62)))</formula>
    </cfRule>
    <cfRule type="containsText" priority="104" operator="containsText" dxfId="0" text="▼">
      <formula>NOT(ISERROR(SEARCH("▼",Z62)))</formula>
    </cfRule>
    <cfRule type="containsText" priority="101" operator="containsText" dxfId="1" text="▲">
      <formula>NOT(ISERROR(SEARCH("▲",Z62)))</formula>
    </cfRule>
    <cfRule type="containsText" priority="102" operator="containsText" dxfId="0" text="▼">
      <formula>NOT(ISERROR(SEARCH("▼",Z62)))</formula>
    </cfRule>
  </conditionalFormatting>
  <conditionalFormatting sqref="Z63">
    <cfRule type="containsText" priority="99" operator="containsText" dxfId="1" text="△">
      <formula>NOT(ISERROR(SEARCH("△",Z63)))</formula>
    </cfRule>
    <cfRule type="containsText" priority="100" operator="containsText" dxfId="0" text="▽">
      <formula>NOT(ISERROR(SEARCH("▽",Z63)))</formula>
    </cfRule>
    <cfRule type="containsText" priority="97" operator="containsText" dxfId="1" text="▲">
      <formula>NOT(ISERROR(SEARCH("▲",Z63)))</formula>
    </cfRule>
    <cfRule type="containsText" priority="98" operator="containsText" dxfId="0" text="▼">
      <formula>NOT(ISERROR(SEARCH("▼",Z63)))</formula>
    </cfRule>
    <cfRule type="containsText" priority="95" operator="containsText" dxfId="1" text="▲">
      <formula>NOT(ISERROR(SEARCH("▲",Z63)))</formula>
    </cfRule>
    <cfRule type="containsText" priority="96" operator="containsText" dxfId="0" text="▼">
      <formula>NOT(ISERROR(SEARCH("▼",Z63)))</formula>
    </cfRule>
    <cfRule type="containsText" priority="93" operator="containsText" dxfId="1" text="▲">
      <formula>NOT(ISERROR(SEARCH("▲",Z63)))</formula>
    </cfRule>
    <cfRule type="containsText" priority="94" operator="containsText" dxfId="0" text="▼">
      <formula>NOT(ISERROR(SEARCH("▼",Z63)))</formula>
    </cfRule>
    <cfRule type="containsText" priority="91" operator="containsText" dxfId="1" text="▲">
      <formula>NOT(ISERROR(SEARCH("▲",Z63)))</formula>
    </cfRule>
    <cfRule type="containsText" priority="92" operator="containsText" dxfId="0" text="▼">
      <formula>NOT(ISERROR(SEARCH("▼",Z63)))</formula>
    </cfRule>
    <cfRule type="containsText" priority="89" operator="containsText" dxfId="1" text="▲">
      <formula>NOT(ISERROR(SEARCH("▲",Z63)))</formula>
    </cfRule>
    <cfRule type="containsText" priority="90" operator="containsText" dxfId="0" text="▼">
      <formula>NOT(ISERROR(SEARCH("▼",Z63)))</formula>
    </cfRule>
    <cfRule type="containsText" priority="87" operator="containsText" dxfId="1" text="▲">
      <formula>NOT(ISERROR(SEARCH("▲",Z63)))</formula>
    </cfRule>
    <cfRule type="containsText" priority="88" operator="containsText" dxfId="0" text="▼">
      <formula>NOT(ISERROR(SEARCH("▼",Z63)))</formula>
    </cfRule>
    <cfRule type="containsText" priority="85" operator="containsText" dxfId="1" text="▲">
      <formula>NOT(ISERROR(SEARCH("▲",Z63)))</formula>
    </cfRule>
    <cfRule type="containsText" priority="86" operator="containsText" dxfId="0" text="▼">
      <formula>NOT(ISERROR(SEARCH("▼",Z63)))</formula>
    </cfRule>
    <cfRule type="containsText" priority="83" operator="containsText" dxfId="1" text="▲">
      <formula>NOT(ISERROR(SEARCH("▲",Z63)))</formula>
    </cfRule>
    <cfRule type="containsText" priority="84" operator="containsText" dxfId="0" text="▼">
      <formula>NOT(ISERROR(SEARCH("▼",Z63)))</formula>
    </cfRule>
    <cfRule type="containsText" priority="81" operator="containsText" dxfId="1" text="▲">
      <formula>NOT(ISERROR(SEARCH("▲",Z63)))</formula>
    </cfRule>
    <cfRule type="containsText" priority="82" operator="containsText" dxfId="0" text="▼">
      <formula>NOT(ISERROR(SEARCH("▼",Z63)))</formula>
    </cfRule>
    <cfRule type="containsText" priority="79" operator="containsText" dxfId="1" text="▲">
      <formula>NOT(ISERROR(SEARCH("▲",Z63)))</formula>
    </cfRule>
    <cfRule type="containsText" priority="80" operator="containsText" dxfId="0" text="▼">
      <formula>NOT(ISERROR(SEARCH("▼",Z63)))</formula>
    </cfRule>
    <cfRule type="containsText" priority="77" operator="containsText" dxfId="1" text="▲">
      <formula>NOT(ISERROR(SEARCH("▲",Z63)))</formula>
    </cfRule>
    <cfRule type="containsText" priority="78" operator="containsText" dxfId="0" text="▼">
      <formula>NOT(ISERROR(SEARCH("▼",Z63)))</formula>
    </cfRule>
    <cfRule type="containsText" priority="75" operator="containsText" dxfId="1" text="▲">
      <formula>NOT(ISERROR(SEARCH("▲",Z63)))</formula>
    </cfRule>
    <cfRule type="containsText" priority="76" operator="containsText" dxfId="0" text="▼">
      <formula>NOT(ISERROR(SEARCH("▼",Z63)))</formula>
    </cfRule>
    <cfRule type="containsText" priority="73" operator="containsText" dxfId="1" text="▲">
      <formula>NOT(ISERROR(SEARCH("▲",Z63)))</formula>
    </cfRule>
    <cfRule type="containsText" priority="74" operator="containsText" dxfId="0" text="▼">
      <formula>NOT(ISERROR(SEARCH("▼",Z63)))</formula>
    </cfRule>
    <cfRule type="containsText" priority="71" operator="containsText" dxfId="1" text="▲">
      <formula>NOT(ISERROR(SEARCH("▲",Z63)))</formula>
    </cfRule>
    <cfRule type="containsText" priority="72" operator="containsText" dxfId="0" text="▼">
      <formula>NOT(ISERROR(SEARCH("▼",Z63)))</formula>
    </cfRule>
    <cfRule type="containsText" priority="69" operator="containsText" dxfId="1" text="▲">
      <formula>NOT(ISERROR(SEARCH("▲",Z63)))</formula>
    </cfRule>
    <cfRule type="containsText" priority="70" operator="containsText" dxfId="0" text="▼">
      <formula>NOT(ISERROR(SEARCH("▼",Z63)))</formula>
    </cfRule>
    <cfRule type="containsText" priority="67" operator="containsText" dxfId="1" text="▲">
      <formula>NOT(ISERROR(SEARCH("▲",Z63)))</formula>
    </cfRule>
    <cfRule type="containsText" priority="68" operator="containsText" dxfId="0" text="▼">
      <formula>NOT(ISERROR(SEARCH("▼",Z63)))</formula>
    </cfRule>
    <cfRule type="containsText" priority="65" operator="containsText" dxfId="1" text="▲">
      <formula>NOT(ISERROR(SEARCH("▲",Z63)))</formula>
    </cfRule>
    <cfRule type="containsText" priority="66" operator="containsText" dxfId="0" text="▼">
      <formula>NOT(ISERROR(SEARCH("▼",Z63)))</formula>
    </cfRule>
    <cfRule type="containsText" priority="63" operator="containsText" dxfId="1" text="▲">
      <formula>NOT(ISERROR(SEARCH("▲",Z63)))</formula>
    </cfRule>
    <cfRule type="containsText" priority="64" operator="containsText" dxfId="0" text="▼">
      <formula>NOT(ISERROR(SEARCH("▼",Z63)))</formula>
    </cfRule>
    <cfRule type="containsText" priority="61" operator="containsText" dxfId="1" text="▲">
      <formula>NOT(ISERROR(SEARCH("▲",Z63)))</formula>
    </cfRule>
    <cfRule type="containsText" priority="62" operator="containsText" dxfId="0" text="▼">
      <formula>NOT(ISERROR(SEARCH("▼",Z63)))</formula>
    </cfRule>
    <cfRule type="containsText" priority="59" operator="containsText" dxfId="1" text="▲">
      <formula>NOT(ISERROR(SEARCH("▲",Z63)))</formula>
    </cfRule>
    <cfRule type="containsText" priority="60" operator="containsText" dxfId="0" text="▼">
      <formula>NOT(ISERROR(SEARCH("▼",Z63)))</formula>
    </cfRule>
    <cfRule type="containsText" priority="57" operator="containsText" dxfId="1" text="▲">
      <formula>NOT(ISERROR(SEARCH("▲",Z63)))</formula>
    </cfRule>
    <cfRule type="containsText" priority="58" operator="containsText" dxfId="0" text="▼">
      <formula>NOT(ISERROR(SEARCH("▼",Z63)))</formula>
    </cfRule>
    <cfRule type="containsText" priority="55" operator="containsText" dxfId="1" text="▲">
      <formula>NOT(ISERROR(SEARCH("▲",Z63)))</formula>
    </cfRule>
    <cfRule type="containsText" priority="56" operator="containsText" dxfId="0" text="▼">
      <formula>NOT(ISERROR(SEARCH("▼",Z63)))</formula>
    </cfRule>
    <cfRule type="containsText" priority="53" operator="containsText" dxfId="1" text="▲">
      <formula>NOT(ISERROR(SEARCH("▲",Z63)))</formula>
    </cfRule>
    <cfRule type="containsText" priority="54" operator="containsText" dxfId="0" text="▼">
      <formula>NOT(ISERROR(SEARCH("▼",Z63)))</formula>
    </cfRule>
    <cfRule type="containsText" priority="51" operator="containsText" dxfId="1" text="▲">
      <formula>NOT(ISERROR(SEARCH("▲",Z63)))</formula>
    </cfRule>
    <cfRule type="containsText" priority="52" operator="containsText" dxfId="0" text="▼">
      <formula>NOT(ISERROR(SEARCH("▼",Z63)))</formula>
    </cfRule>
  </conditionalFormatting>
  <conditionalFormatting sqref="Z64">
    <cfRule type="containsText" priority="49" operator="containsText" dxfId="1" text="△">
      <formula>NOT(ISERROR(SEARCH("△",Z64)))</formula>
    </cfRule>
    <cfRule type="containsText" priority="50" operator="containsText" dxfId="0" text="▽">
      <formula>NOT(ISERROR(SEARCH("▽",Z64)))</formula>
    </cfRule>
    <cfRule type="containsText" priority="47" operator="containsText" dxfId="1" text="▲">
      <formula>NOT(ISERROR(SEARCH("▲",Z64)))</formula>
    </cfRule>
    <cfRule type="containsText" priority="48" operator="containsText" dxfId="0" text="▼">
      <formula>NOT(ISERROR(SEARCH("▼",Z64)))</formula>
    </cfRule>
    <cfRule type="containsText" priority="45" operator="containsText" dxfId="1" text="▲">
      <formula>NOT(ISERROR(SEARCH("▲",Z64)))</formula>
    </cfRule>
    <cfRule type="containsText" priority="46" operator="containsText" dxfId="0" text="▼">
      <formula>NOT(ISERROR(SEARCH("▼",Z64)))</formula>
    </cfRule>
    <cfRule type="containsText" priority="43" operator="containsText" dxfId="1" text="▲">
      <formula>NOT(ISERROR(SEARCH("▲",Z64)))</formula>
    </cfRule>
    <cfRule type="containsText" priority="44" operator="containsText" dxfId="0" text="▼">
      <formula>NOT(ISERROR(SEARCH("▼",Z64)))</formula>
    </cfRule>
    <cfRule type="containsText" priority="41" operator="containsText" dxfId="1" text="▲">
      <formula>NOT(ISERROR(SEARCH("▲",Z64)))</formula>
    </cfRule>
    <cfRule type="containsText" priority="42" operator="containsText" dxfId="0" text="▼">
      <formula>NOT(ISERROR(SEARCH("▼",Z64)))</formula>
    </cfRule>
    <cfRule type="containsText" priority="39" operator="containsText" dxfId="1" text="▲">
      <formula>NOT(ISERROR(SEARCH("▲",Z64)))</formula>
    </cfRule>
    <cfRule type="containsText" priority="40" operator="containsText" dxfId="0" text="▼">
      <formula>NOT(ISERROR(SEARCH("▼",Z64)))</formula>
    </cfRule>
    <cfRule type="containsText" priority="37" operator="containsText" dxfId="1" text="▲">
      <formula>NOT(ISERROR(SEARCH("▲",Z64)))</formula>
    </cfRule>
    <cfRule type="containsText" priority="38" operator="containsText" dxfId="0" text="▼">
      <formula>NOT(ISERROR(SEARCH("▼",Z64)))</formula>
    </cfRule>
    <cfRule type="containsText" priority="35" operator="containsText" dxfId="1" text="▲">
      <formula>NOT(ISERROR(SEARCH("▲",Z64)))</formula>
    </cfRule>
    <cfRule type="containsText" priority="36" operator="containsText" dxfId="0" text="▼">
      <formula>NOT(ISERROR(SEARCH("▼",Z64)))</formula>
    </cfRule>
    <cfRule type="containsText" priority="33" operator="containsText" dxfId="1" text="▲">
      <formula>NOT(ISERROR(SEARCH("▲",Z64)))</formula>
    </cfRule>
    <cfRule type="containsText" priority="34" operator="containsText" dxfId="0" text="▼">
      <formula>NOT(ISERROR(SEARCH("▼",Z64)))</formula>
    </cfRule>
    <cfRule type="containsText" priority="31" operator="containsText" dxfId="1" text="▲">
      <formula>NOT(ISERROR(SEARCH("▲",Z64)))</formula>
    </cfRule>
    <cfRule type="containsText" priority="32" operator="containsText" dxfId="0" text="▼">
      <formula>NOT(ISERROR(SEARCH("▼",Z64)))</formula>
    </cfRule>
    <cfRule type="containsText" priority="29" operator="containsText" dxfId="1" text="▲">
      <formula>NOT(ISERROR(SEARCH("▲",Z64)))</formula>
    </cfRule>
    <cfRule type="containsText" priority="30" operator="containsText" dxfId="0" text="▼">
      <formula>NOT(ISERROR(SEARCH("▼",Z64)))</formula>
    </cfRule>
    <cfRule type="containsText" priority="27" operator="containsText" dxfId="1" text="▲">
      <formula>NOT(ISERROR(SEARCH("▲",Z64)))</formula>
    </cfRule>
    <cfRule type="containsText" priority="28" operator="containsText" dxfId="0" text="▼">
      <formula>NOT(ISERROR(SEARCH("▼",Z64)))</formula>
    </cfRule>
    <cfRule type="containsText" priority="25" operator="containsText" dxfId="1" text="▲">
      <formula>NOT(ISERROR(SEARCH("▲",Z64)))</formula>
    </cfRule>
    <cfRule type="containsText" priority="26" operator="containsText" dxfId="0" text="▼">
      <formula>NOT(ISERROR(SEARCH("▼",Z64)))</formula>
    </cfRule>
    <cfRule type="containsText" priority="23" operator="containsText" dxfId="1" text="▲">
      <formula>NOT(ISERROR(SEARCH("▲",Z64)))</formula>
    </cfRule>
    <cfRule type="containsText" priority="24" operator="containsText" dxfId="0" text="▼">
      <formula>NOT(ISERROR(SEARCH("▼",Z64)))</formula>
    </cfRule>
    <cfRule type="containsText" priority="21" operator="containsText" dxfId="1" text="▲">
      <formula>NOT(ISERROR(SEARCH("▲",Z64)))</formula>
    </cfRule>
    <cfRule type="containsText" priority="22" operator="containsText" dxfId="0" text="▼">
      <formula>NOT(ISERROR(SEARCH("▼",Z64)))</formula>
    </cfRule>
    <cfRule type="containsText" priority="19" operator="containsText" dxfId="1" text="▲">
      <formula>NOT(ISERROR(SEARCH("▲",Z64)))</formula>
    </cfRule>
    <cfRule type="containsText" priority="20" operator="containsText" dxfId="0" text="▼">
      <formula>NOT(ISERROR(SEARCH("▼",Z64)))</formula>
    </cfRule>
    <cfRule type="containsText" priority="17" operator="containsText" dxfId="1" text="▲">
      <formula>NOT(ISERROR(SEARCH("▲",Z64)))</formula>
    </cfRule>
    <cfRule type="containsText" priority="18" operator="containsText" dxfId="0" text="▼">
      <formula>NOT(ISERROR(SEARCH("▼",Z64)))</formula>
    </cfRule>
    <cfRule type="containsText" priority="15" operator="containsText" dxfId="1" text="▲">
      <formula>NOT(ISERROR(SEARCH("▲",Z64)))</formula>
    </cfRule>
    <cfRule type="containsText" priority="16" operator="containsText" dxfId="0" text="▼">
      <formula>NOT(ISERROR(SEARCH("▼",Z64)))</formula>
    </cfRule>
    <cfRule type="containsText" priority="13" operator="containsText" dxfId="1" text="▲">
      <formula>NOT(ISERROR(SEARCH("▲",Z64)))</formula>
    </cfRule>
    <cfRule type="containsText" priority="14" operator="containsText" dxfId="0" text="▼">
      <formula>NOT(ISERROR(SEARCH("▼",Z64)))</formula>
    </cfRule>
    <cfRule type="containsText" priority="11" operator="containsText" dxfId="1" text="▲">
      <formula>NOT(ISERROR(SEARCH("▲",Z64)))</formula>
    </cfRule>
    <cfRule type="containsText" priority="12" operator="containsText" dxfId="0" text="▼">
      <formula>NOT(ISERROR(SEARCH("▼",Z64)))</formula>
    </cfRule>
    <cfRule type="containsText" priority="9" operator="containsText" dxfId="1" text="▲">
      <formula>NOT(ISERROR(SEARCH("▲",Z64)))</formula>
    </cfRule>
    <cfRule type="containsText" priority="10" operator="containsText" dxfId="0" text="▼">
      <formula>NOT(ISERROR(SEARCH("▼",Z64)))</formula>
    </cfRule>
    <cfRule type="containsText" priority="7" operator="containsText" dxfId="1" text="▲">
      <formula>NOT(ISERROR(SEARCH("▲",Z64)))</formula>
    </cfRule>
    <cfRule type="containsText" priority="8" operator="containsText" dxfId="0" text="▼">
      <formula>NOT(ISERROR(SEARCH("▼",Z64)))</formula>
    </cfRule>
    <cfRule type="containsText" priority="5" operator="containsText" dxfId="1" text="▲">
      <formula>NOT(ISERROR(SEARCH("▲",Z64)))</formula>
    </cfRule>
    <cfRule type="containsText" priority="6" operator="containsText" dxfId="0" text="▼">
      <formula>NOT(ISERROR(SEARCH("▼",Z64)))</formula>
    </cfRule>
    <cfRule type="containsText" priority="3" operator="containsText" dxfId="1" text="▲">
      <formula>NOT(ISERROR(SEARCH("▲",Z64)))</formula>
    </cfRule>
    <cfRule type="containsText" priority="4" operator="containsText" dxfId="0" text="▼">
      <formula>NOT(ISERROR(SEARCH("▼",Z64)))</formula>
    </cfRule>
    <cfRule type="containsText" priority="1" operator="containsText" dxfId="1" text="▲">
      <formula>NOT(ISERROR(SEARCH("▲",Z64)))</formula>
    </cfRule>
    <cfRule type="containsText" priority="2" operator="containsText" dxfId="0" text="▼">
      <formula>NOT(ISERROR(SEARCH("▼",Z64)))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baseColWidth="8" defaultRowHeight="16.5" outlineLevelRow="1"/>
  <cols>
    <col width="15" bestFit="1" customWidth="1" min="1" max="1"/>
    <col width="10.75" bestFit="1" customWidth="1" min="2" max="2"/>
    <col width="11.125" bestFit="1" customWidth="1" min="3" max="3"/>
    <col width="11.125" bestFit="1" customWidth="1" style="76" min="4" max="4"/>
    <col width="10.75" bestFit="1" customWidth="1" min="5" max="5"/>
    <col width="11.125" bestFit="1" customWidth="1" min="6" max="6"/>
    <col width="11.125" bestFit="1" customWidth="1" style="76" min="7" max="7"/>
    <col width="26.125" bestFit="1" customWidth="1" min="8" max="8"/>
    <col width="17" bestFit="1" customWidth="1" min="9" max="9"/>
    <col width="11.5" bestFit="1" customWidth="1" min="10" max="10"/>
    <col width="13.875" customWidth="1" min="11" max="11"/>
    <col width="11.625" customWidth="1" min="12" max="12"/>
  </cols>
  <sheetData>
    <row r="1" ht="17.25" customHeight="1">
      <c r="A1" s="483" t="inlineStr">
        <is>
          <t>日期</t>
        </is>
      </c>
      <c r="B1" s="484" t="inlineStr">
        <is>
          <t>提出</t>
        </is>
      </c>
      <c r="C1" s="485" t="inlineStr">
        <is>
          <t>存入</t>
        </is>
      </c>
      <c r="D1" s="484" t="inlineStr">
        <is>
          <t>結餘</t>
        </is>
      </c>
      <c r="E1" s="614" t="inlineStr">
        <is>
          <t>提出</t>
        </is>
      </c>
      <c r="F1" s="485" t="inlineStr">
        <is>
          <t>存入</t>
        </is>
      </c>
      <c r="G1" s="484" t="inlineStr">
        <is>
          <t>結餘</t>
        </is>
      </c>
      <c r="H1" s="487" t="n"/>
      <c r="I1" s="487" t="n"/>
      <c r="J1" s="487" t="inlineStr">
        <is>
          <t>類別</t>
        </is>
      </c>
      <c r="K1" s="487" t="inlineStr">
        <is>
          <t>台幣本金</t>
        </is>
      </c>
      <c r="L1" s="487" t="inlineStr">
        <is>
          <t>美金本金</t>
        </is>
      </c>
    </row>
    <row r="2">
      <c r="A2" s="615" t="n">
        <v>45696</v>
      </c>
      <c r="B2" s="616" t="n"/>
      <c r="C2" s="100" t="n">
        <v>500000</v>
      </c>
      <c r="D2" s="617">
        <f>C2-B2</f>
        <v/>
      </c>
      <c r="E2" s="618" t="n"/>
      <c r="F2" s="619" t="n"/>
      <c r="G2" s="620">
        <f>F2-E2</f>
        <v/>
      </c>
      <c r="I2" s="61" t="n"/>
      <c r="J2" t="inlineStr">
        <is>
          <t>本金</t>
        </is>
      </c>
      <c r="K2">
        <f>C2</f>
        <v/>
      </c>
      <c r="L2" s="621">
        <f>G2</f>
        <v/>
      </c>
    </row>
    <row r="3">
      <c r="A3" s="615" t="n">
        <v>45698</v>
      </c>
      <c r="B3" s="616" t="n"/>
      <c r="C3" s="100" t="n">
        <v>50000</v>
      </c>
      <c r="D3" s="617">
        <f>D2+C3-B3</f>
        <v/>
      </c>
      <c r="E3" s="618" t="n"/>
      <c r="F3" s="619" t="n"/>
      <c r="G3" s="620">
        <f>F3-E3</f>
        <v/>
      </c>
      <c r="I3" s="61" t="n"/>
      <c r="J3" t="inlineStr">
        <is>
          <t>本金</t>
        </is>
      </c>
      <c r="K3">
        <f>IF(J3="本金",C3+K2,K2)</f>
        <v/>
      </c>
      <c r="L3" s="621">
        <f>G3</f>
        <v/>
      </c>
    </row>
    <row r="4">
      <c r="A4" s="615" t="n">
        <v>45888</v>
      </c>
      <c r="B4" s="616" t="n"/>
      <c r="C4" s="100" t="n">
        <v>1424396</v>
      </c>
      <c r="D4" s="617">
        <f>D3+C4-B4</f>
        <v/>
      </c>
      <c r="E4" s="618" t="n"/>
      <c r="F4" s="619" t="n"/>
      <c r="G4" s="620">
        <f>F4-E4</f>
        <v/>
      </c>
      <c r="I4" s="61" t="n"/>
      <c r="J4" t="inlineStr">
        <is>
          <t>本金</t>
        </is>
      </c>
      <c r="K4">
        <f>IF(J4="本金",C4+K3,K3)</f>
        <v/>
      </c>
      <c r="L4" s="621">
        <f>G4</f>
        <v/>
      </c>
    </row>
    <row r="5" outlineLevel="1">
      <c r="A5" s="615" t="n"/>
      <c r="B5" s="616" t="n"/>
      <c r="C5" s="101" t="n"/>
      <c r="D5" s="617">
        <f>D4+C5-B5</f>
        <v/>
      </c>
      <c r="E5" s="618" t="n"/>
      <c r="F5" s="622" t="n"/>
      <c r="G5" s="620">
        <f>G4+F5-E5</f>
        <v/>
      </c>
      <c r="J5" t="inlineStr">
        <is>
          <t>投資</t>
        </is>
      </c>
      <c r="K5">
        <f>IF(J5="本金",C5+K4,K4)</f>
        <v/>
      </c>
      <c r="L5">
        <f>IF(J5="本金",F5+L4,L4)</f>
        <v/>
      </c>
    </row>
    <row r="6" outlineLevel="1">
      <c r="A6" s="615" t="n"/>
      <c r="B6" s="616" t="n"/>
      <c r="C6" s="101" t="n"/>
      <c r="D6" s="617">
        <f>D5+C6-B6</f>
        <v/>
      </c>
      <c r="E6" s="618" t="n"/>
      <c r="F6" s="622" t="n"/>
      <c r="G6" s="620">
        <f>G5+F6-E6</f>
        <v/>
      </c>
      <c r="J6" t="inlineStr">
        <is>
          <t>投資</t>
        </is>
      </c>
      <c r="K6">
        <f>IF(J6="本金",C6+K5,K5)</f>
        <v/>
      </c>
      <c r="L6">
        <f>IF(J6="本金",F6+L5,L5)</f>
        <v/>
      </c>
    </row>
    <row r="7" outlineLevel="1">
      <c r="A7" s="615" t="n"/>
      <c r="B7" s="616" t="n"/>
      <c r="C7" s="101" t="n"/>
      <c r="D7" s="617">
        <f>D6+C7-B7</f>
        <v/>
      </c>
      <c r="E7" s="618" t="n"/>
      <c r="F7" s="622" t="n"/>
      <c r="G7" s="620">
        <f>G6+F7-E7</f>
        <v/>
      </c>
      <c r="J7" t="inlineStr">
        <is>
          <t>投資</t>
        </is>
      </c>
      <c r="K7">
        <f>IF(J7="本金",C7+K6,K6)</f>
        <v/>
      </c>
      <c r="L7">
        <f>IF(J7="本金",F7+L6,L6)</f>
        <v/>
      </c>
    </row>
    <row r="8" outlineLevel="1">
      <c r="A8" s="615" t="n"/>
      <c r="B8" s="616" t="n"/>
      <c r="C8" s="101" t="n"/>
      <c r="D8" s="617">
        <f>D7+C8-B8</f>
        <v/>
      </c>
      <c r="E8" s="618" t="n"/>
      <c r="F8" s="622" t="n"/>
      <c r="G8" s="620">
        <f>G7+F8-E8</f>
        <v/>
      </c>
      <c r="J8" t="inlineStr">
        <is>
          <t>投資</t>
        </is>
      </c>
      <c r="K8">
        <f>IF(J8="本金",C8+K7,K7)</f>
        <v/>
      </c>
      <c r="L8">
        <f>IF(J8="本金",F8+L7,L7)</f>
        <v/>
      </c>
    </row>
    <row r="9" outlineLevel="1">
      <c r="A9" s="615" t="n"/>
      <c r="B9" s="616" t="n"/>
      <c r="C9" s="101" t="n"/>
      <c r="D9" s="617">
        <f>D8+C9-B9</f>
        <v/>
      </c>
      <c r="E9" s="618" t="n"/>
      <c r="F9" s="622" t="n"/>
      <c r="G9" s="620">
        <f>G8+F9-E9</f>
        <v/>
      </c>
      <c r="J9" t="inlineStr">
        <is>
          <t>投資</t>
        </is>
      </c>
      <c r="K9">
        <f>IF(J9="本金",C9+K8,K8)</f>
        <v/>
      </c>
      <c r="L9">
        <f>IF(J9="本金",F9+L8,L8)</f>
        <v/>
      </c>
    </row>
    <row r="10" outlineLevel="1">
      <c r="A10" s="615" t="n"/>
      <c r="B10" s="616" t="n"/>
      <c r="C10" s="101" t="n"/>
      <c r="D10" s="617">
        <f>D9+C10-B10</f>
        <v/>
      </c>
      <c r="E10" s="618" t="n"/>
      <c r="F10" s="622" t="n"/>
      <c r="G10" s="620">
        <f>G9+F10-E10</f>
        <v/>
      </c>
      <c r="J10" t="inlineStr">
        <is>
          <t>投資</t>
        </is>
      </c>
      <c r="K10">
        <f>IF(J10="本金",C10+K9,K9)</f>
        <v/>
      </c>
      <c r="L10">
        <f>IF(J10="本金",F10+L9,L9)</f>
        <v/>
      </c>
    </row>
    <row r="11" outlineLevel="1">
      <c r="A11" s="623" t="n"/>
      <c r="B11" s="624" t="n"/>
      <c r="C11" s="111" t="n"/>
      <c r="D11" s="625">
        <f>D10+C11-B11</f>
        <v/>
      </c>
      <c r="E11" s="626" t="n"/>
      <c r="F11" s="627" t="n"/>
      <c r="G11" s="628">
        <f>G10+F11-E11</f>
        <v/>
      </c>
      <c r="H11" s="114" t="n"/>
      <c r="I11" s="114" t="n"/>
      <c r="J11" t="inlineStr">
        <is>
          <t>投資</t>
        </is>
      </c>
      <c r="K11">
        <f>IF(J11="本金",C11+K10,K10)</f>
        <v/>
      </c>
      <c r="L11">
        <f>IF(J11="本金",F11+L10,L10)</f>
        <v/>
      </c>
    </row>
    <row r="12" outlineLevel="1">
      <c r="A12" s="615" t="n"/>
      <c r="B12" s="616" t="n"/>
      <c r="C12" s="101" t="n"/>
      <c r="D12" s="617">
        <f>D11+C12-B12</f>
        <v/>
      </c>
      <c r="E12" s="618" t="n"/>
      <c r="F12" s="622" t="n"/>
      <c r="G12" s="620">
        <f>G11+F12-E12</f>
        <v/>
      </c>
      <c r="J12" t="inlineStr">
        <is>
          <t>投資</t>
        </is>
      </c>
      <c r="K12">
        <f>IF(J12="本金",C12+K11,K11)</f>
        <v/>
      </c>
      <c r="L12">
        <f>IF(J12="本金",F12+L11,L11)</f>
        <v/>
      </c>
    </row>
    <row r="13" outlineLevel="1">
      <c r="A13" s="615" t="n"/>
      <c r="B13" s="616" t="n"/>
      <c r="C13" s="101" t="n"/>
      <c r="D13" s="617">
        <f>D12+C13-B13</f>
        <v/>
      </c>
      <c r="E13" s="618" t="n"/>
      <c r="F13" s="622" t="n"/>
      <c r="G13" s="620">
        <f>G12+F13-E13</f>
        <v/>
      </c>
      <c r="I13" s="61" t="n"/>
      <c r="J13" t="inlineStr">
        <is>
          <t>投資</t>
        </is>
      </c>
      <c r="K13">
        <f>IF(J13="本金",C13+K12,K12)</f>
        <v/>
      </c>
      <c r="L13">
        <f>IF(J13="本金",F13+L12,L12)</f>
        <v/>
      </c>
    </row>
    <row r="14" outlineLevel="1">
      <c r="A14" s="615" t="n"/>
      <c r="B14" s="616" t="n"/>
      <c r="C14" s="101" t="n"/>
      <c r="D14" s="617">
        <f>D13+C14-B14</f>
        <v/>
      </c>
      <c r="E14" s="618" t="n"/>
      <c r="F14" s="622" t="n"/>
      <c r="G14" s="620">
        <f>G13+F14-E14</f>
        <v/>
      </c>
      <c r="I14" s="61" t="n"/>
      <c r="J14" t="inlineStr">
        <is>
          <t>投資</t>
        </is>
      </c>
      <c r="K14">
        <f>IF(J14="本金",C14+K13,K13)</f>
        <v/>
      </c>
      <c r="L14">
        <f>IF(J14="本金",F14+L13,L13)</f>
        <v/>
      </c>
    </row>
    <row r="15" outlineLevel="1">
      <c r="A15" s="615" t="n"/>
      <c r="B15" s="616" t="n"/>
      <c r="C15" s="101" t="n"/>
      <c r="D15" s="617">
        <f>D14+C15-B15</f>
        <v/>
      </c>
      <c r="E15" s="618" t="n"/>
      <c r="F15" s="622" t="n"/>
      <c r="G15" s="620">
        <f>G14+F15-E15</f>
        <v/>
      </c>
      <c r="I15" s="61" t="n"/>
      <c r="J15" t="inlineStr">
        <is>
          <t>投資</t>
        </is>
      </c>
      <c r="K15">
        <f>IF(J15="本金",C15+K14,K14)</f>
        <v/>
      </c>
      <c r="L15">
        <f>IF(J15="本金",F15+L14,L14)</f>
        <v/>
      </c>
    </row>
    <row r="16" outlineLevel="1">
      <c r="A16" s="615" t="n"/>
      <c r="B16" s="616" t="n"/>
      <c r="C16" s="101" t="n"/>
      <c r="D16" s="617">
        <f>D15+C16-B16</f>
        <v/>
      </c>
      <c r="E16" s="618" t="n"/>
      <c r="F16" s="622" t="n"/>
      <c r="G16" s="620">
        <f>G15+F16-E16</f>
        <v/>
      </c>
      <c r="I16" s="61" t="n"/>
      <c r="J16" t="inlineStr">
        <is>
          <t>投資</t>
        </is>
      </c>
      <c r="K16">
        <f>IF(J16="本金",C16+K15,K15)</f>
        <v/>
      </c>
      <c r="L16">
        <f>IF(J16="本金",F16+L15,L15)</f>
        <v/>
      </c>
    </row>
    <row r="17" outlineLevel="1">
      <c r="A17" s="623" t="n"/>
      <c r="B17" s="624" t="n"/>
      <c r="C17" s="111" t="n"/>
      <c r="D17" s="625">
        <f>D16+C17-B17</f>
        <v/>
      </c>
      <c r="E17" s="626" t="n"/>
      <c r="F17" s="627" t="n"/>
      <c r="G17" s="628">
        <f>G16+F17-E17</f>
        <v/>
      </c>
      <c r="H17" s="114" t="n"/>
      <c r="I17" s="114" t="n"/>
      <c r="J17" t="inlineStr">
        <is>
          <t>投資</t>
        </is>
      </c>
      <c r="K17">
        <f>IF(J17="本金",C17+K16,K16)</f>
        <v/>
      </c>
      <c r="L17">
        <f>IF(J17="本金",F17+L16,L16)</f>
        <v/>
      </c>
    </row>
    <row r="18" outlineLevel="1">
      <c r="A18" s="615" t="n"/>
      <c r="B18" s="616" t="n"/>
      <c r="C18" s="101" t="n"/>
      <c r="D18" s="617">
        <f>D17+C18-B18</f>
        <v/>
      </c>
      <c r="E18" s="618" t="n"/>
      <c r="F18" s="622" t="n"/>
      <c r="G18" s="620">
        <f>G17+F18-E18</f>
        <v/>
      </c>
      <c r="I18" s="61" t="n"/>
      <c r="J18" t="inlineStr">
        <is>
          <t>投資</t>
        </is>
      </c>
      <c r="K18">
        <f>IF(J18="本金",C18+K17,K17)</f>
        <v/>
      </c>
      <c r="L18">
        <f>IF(J18="本金",F18+L17,L17)</f>
        <v/>
      </c>
    </row>
    <row r="19" outlineLevel="1">
      <c r="A19" s="615" t="n"/>
      <c r="B19" s="616" t="n"/>
      <c r="C19" s="101" t="n"/>
      <c r="D19" s="617">
        <f>D18+C19-B19</f>
        <v/>
      </c>
      <c r="E19" s="618" t="n"/>
      <c r="F19" s="622" t="n"/>
      <c r="G19" s="620">
        <f>G18+F19-E19</f>
        <v/>
      </c>
      <c r="I19" s="61" t="n"/>
      <c r="J19" t="inlineStr">
        <is>
          <t>投資</t>
        </is>
      </c>
      <c r="K19">
        <f>IF(J19="本金",C19+K18,K18)</f>
        <v/>
      </c>
      <c r="L19">
        <f>IF(J19="本金",F19+L18,L18)</f>
        <v/>
      </c>
    </row>
    <row r="20" outlineLevel="1">
      <c r="A20" s="615" t="n"/>
      <c r="B20" s="616" t="n"/>
      <c r="C20" s="101" t="n"/>
      <c r="D20" s="617">
        <f>D19+C20-B20</f>
        <v/>
      </c>
      <c r="E20" s="618" t="n"/>
      <c r="F20" s="622" t="n"/>
      <c r="G20" s="620">
        <f>G19+F20-E20</f>
        <v/>
      </c>
      <c r="I20" s="61" t="n"/>
      <c r="J20" t="inlineStr">
        <is>
          <t>投資</t>
        </is>
      </c>
      <c r="K20">
        <f>IF(J20="本金",C20+K19,K19)</f>
        <v/>
      </c>
      <c r="L20">
        <f>IF(J20="本金",F20+L19,L19)</f>
        <v/>
      </c>
    </row>
    <row r="21" outlineLevel="1">
      <c r="A21" s="615" t="n"/>
      <c r="B21" s="616" t="n"/>
      <c r="C21" s="101" t="n"/>
      <c r="D21" s="617">
        <f>D20+C21-B21</f>
        <v/>
      </c>
      <c r="E21" s="618" t="n"/>
      <c r="F21" s="622" t="n"/>
      <c r="G21" s="620">
        <f>G20+F21-E21</f>
        <v/>
      </c>
      <c r="I21" s="61" t="n"/>
      <c r="J21" t="inlineStr">
        <is>
          <t>投資</t>
        </is>
      </c>
      <c r="K21">
        <f>IF(J21="本金",C21+K20,K20)</f>
        <v/>
      </c>
      <c r="L21">
        <f>IF(J21="本金",F21+L20,L20)</f>
        <v/>
      </c>
    </row>
    <row r="22" outlineLevel="1">
      <c r="A22" s="623" t="n"/>
      <c r="B22" s="624" t="n"/>
      <c r="C22" s="111" t="n"/>
      <c r="D22" s="625">
        <f>D21+C22-B22</f>
        <v/>
      </c>
      <c r="E22" s="626" t="n"/>
      <c r="F22" s="627" t="n"/>
      <c r="G22" s="628">
        <f>G21+F22-E22</f>
        <v/>
      </c>
      <c r="H22" s="114" t="n"/>
      <c r="I22" s="114" t="n"/>
      <c r="J22" t="inlineStr">
        <is>
          <t>投資</t>
        </is>
      </c>
      <c r="K22">
        <f>IF(J22="本金",C22+K21,K21)</f>
        <v/>
      </c>
      <c r="L22">
        <f>IF(J22="本金",F22+L21,L21)</f>
        <v/>
      </c>
    </row>
    <row r="23" outlineLevel="1">
      <c r="A23" s="629" t="n"/>
      <c r="B23" s="630" t="n"/>
      <c r="C23" s="116" t="n"/>
      <c r="D23" s="631">
        <f>D22+C23-B23</f>
        <v/>
      </c>
      <c r="E23" s="632" t="n"/>
      <c r="F23" s="633" t="n"/>
      <c r="G23" s="634">
        <f>G22+F23-E23</f>
        <v/>
      </c>
      <c r="H23" s="119" t="n"/>
      <c r="I23" s="120" t="n"/>
      <c r="J23" t="inlineStr">
        <is>
          <t>投資</t>
        </is>
      </c>
      <c r="K23">
        <f>IF(J23="本金",C23+K22,K22)</f>
        <v/>
      </c>
      <c r="L23">
        <f>IF(J23="本金",F23+L22,L22)</f>
        <v/>
      </c>
    </row>
    <row r="24" outlineLevel="1">
      <c r="A24" s="615" t="n"/>
      <c r="B24" s="616" t="n"/>
      <c r="C24" s="101" t="n"/>
      <c r="D24" s="617">
        <f>D23+C24-B24</f>
        <v/>
      </c>
      <c r="E24" s="618" t="n"/>
      <c r="F24" s="622" t="n"/>
      <c r="G24" s="620">
        <f>G23+F24-E24</f>
        <v/>
      </c>
      <c r="H24" s="498" t="n"/>
      <c r="I24" s="62" t="n"/>
      <c r="J24" t="inlineStr">
        <is>
          <t>投資</t>
        </is>
      </c>
      <c r="K24">
        <f>IF(J24="本金",C24+K23,K23)</f>
        <v/>
      </c>
      <c r="L24">
        <f>IF(J24="本金",F24+L23,L23)</f>
        <v/>
      </c>
    </row>
    <row r="25" outlineLevel="1">
      <c r="A25" s="615" t="n"/>
      <c r="B25" s="616" t="n"/>
      <c r="C25" s="101" t="n"/>
      <c r="D25" s="617">
        <f>D24+C25-B25</f>
        <v/>
      </c>
      <c r="E25" s="618" t="n"/>
      <c r="F25" s="622" t="n"/>
      <c r="G25" s="620">
        <f>G24+F25-E25</f>
        <v/>
      </c>
      <c r="I25" s="62" t="n"/>
      <c r="J25" t="inlineStr">
        <is>
          <t>投資</t>
        </is>
      </c>
      <c r="K25">
        <f>IF(J25="本金",C25+K24,K24)</f>
        <v/>
      </c>
      <c r="L25">
        <f>IF(J25="本金",F25+L24,L24)</f>
        <v/>
      </c>
    </row>
    <row r="26" outlineLevel="1">
      <c r="A26" s="615" t="n"/>
      <c r="B26" s="616" t="n"/>
      <c r="C26" s="101" t="n"/>
      <c r="D26" s="617">
        <f>D25+C26-B26</f>
        <v/>
      </c>
      <c r="E26" s="618" t="n"/>
      <c r="F26" s="622" t="n"/>
      <c r="G26" s="620">
        <f>G25+F26-E26</f>
        <v/>
      </c>
      <c r="I26" s="62" t="n"/>
      <c r="J26" t="inlineStr">
        <is>
          <t>投資</t>
        </is>
      </c>
      <c r="K26">
        <f>IF(J26="本金",C26+K25,K25)</f>
        <v/>
      </c>
      <c r="L26">
        <f>IF(J26="本金",F26+L25,L25)</f>
        <v/>
      </c>
    </row>
    <row r="27" outlineLevel="1">
      <c r="A27" s="615" t="n"/>
      <c r="B27" s="616" t="n"/>
      <c r="C27" s="101" t="n"/>
      <c r="D27" s="617">
        <f>D26+C27-B27</f>
        <v/>
      </c>
      <c r="E27" s="618" t="n"/>
      <c r="F27" s="622" t="n"/>
      <c r="G27" s="620">
        <f>G26+F27-E27</f>
        <v/>
      </c>
      <c r="I27" s="62" t="n"/>
      <c r="J27" t="inlineStr">
        <is>
          <t>投資</t>
        </is>
      </c>
      <c r="K27">
        <f>IF(J27="本金",C27+K26,K26)</f>
        <v/>
      </c>
      <c r="L27">
        <f>IF(J27="本金",F27+L26,L26)</f>
        <v/>
      </c>
    </row>
    <row r="28" outlineLevel="1">
      <c r="A28" s="615" t="n"/>
      <c r="B28" s="616" t="n"/>
      <c r="C28" s="101" t="n"/>
      <c r="D28" s="617">
        <f>D27+C28-B28</f>
        <v/>
      </c>
      <c r="E28" s="618" t="n"/>
      <c r="F28" s="622" t="n"/>
      <c r="G28" s="620">
        <f>G27+F28-E28</f>
        <v/>
      </c>
      <c r="I28" s="62" t="n"/>
      <c r="J28" t="inlineStr">
        <is>
          <t>投資</t>
        </is>
      </c>
      <c r="K28">
        <f>IF(J28="本金",C28+K27,K27)</f>
        <v/>
      </c>
      <c r="L28">
        <f>IF(J28="本金",F28+L27,L27)</f>
        <v/>
      </c>
    </row>
    <row r="29" outlineLevel="1">
      <c r="A29" s="615" t="n"/>
      <c r="B29" s="616" t="n"/>
      <c r="C29" s="101" t="n"/>
      <c r="D29" s="617">
        <f>D28+C29-B29</f>
        <v/>
      </c>
      <c r="E29" s="618" t="n"/>
      <c r="F29" s="622" t="n"/>
      <c r="G29" s="620">
        <f>G28+F29-E29</f>
        <v/>
      </c>
      <c r="I29" s="62" t="n"/>
      <c r="J29" t="inlineStr">
        <is>
          <t>投資</t>
        </is>
      </c>
      <c r="K29">
        <f>IF(J29="本金",C29+K28,K28)</f>
        <v/>
      </c>
      <c r="L29">
        <f>IF(J29="本金",F29+L28,L28)</f>
        <v/>
      </c>
    </row>
    <row r="30" outlineLevel="1">
      <c r="A30" s="615" t="n"/>
      <c r="B30" s="616" t="n"/>
      <c r="C30" s="101" t="n"/>
      <c r="D30" s="617">
        <f>D29+C30-B30</f>
        <v/>
      </c>
      <c r="E30" s="618" t="n"/>
      <c r="F30" s="622" t="n"/>
      <c r="G30" s="620">
        <f>G29+F30-E30</f>
        <v/>
      </c>
      <c r="I30" s="62" t="n"/>
      <c r="J30" t="inlineStr">
        <is>
          <t>投資</t>
        </is>
      </c>
      <c r="K30">
        <f>IF(J30="本金",C30+K29,K29)</f>
        <v/>
      </c>
      <c r="L30">
        <f>IF(J30="本金",F30+L29,L29)</f>
        <v/>
      </c>
    </row>
    <row r="31" outlineLevel="1">
      <c r="A31" s="615" t="n"/>
      <c r="B31" s="616" t="n"/>
      <c r="C31" s="101" t="n"/>
      <c r="D31" s="617">
        <f>D30+C31-B31</f>
        <v/>
      </c>
      <c r="E31" s="618" t="n"/>
      <c r="F31" s="622" t="n"/>
      <c r="G31" s="620">
        <f>G30+F31-E31</f>
        <v/>
      </c>
      <c r="I31" s="62" t="n"/>
      <c r="J31" t="inlineStr">
        <is>
          <t>投資</t>
        </is>
      </c>
      <c r="K31">
        <f>IF(J31="本金",C31+K30,K30)</f>
        <v/>
      </c>
      <c r="L31">
        <f>IF(J31="本金",F31+L30,L30)</f>
        <v/>
      </c>
    </row>
    <row r="32" outlineLevel="1">
      <c r="A32" s="615" t="n"/>
      <c r="B32" s="616" t="n"/>
      <c r="C32" s="101" t="n"/>
      <c r="D32" s="617">
        <f>D31+C32-B32</f>
        <v/>
      </c>
      <c r="E32" s="618" t="n"/>
      <c r="F32" s="622" t="n"/>
      <c r="G32" s="620">
        <f>G31+F32-E32</f>
        <v/>
      </c>
      <c r="I32" s="62" t="n"/>
      <c r="J32" t="inlineStr">
        <is>
          <t>投資</t>
        </is>
      </c>
      <c r="K32">
        <f>IF(J32="本金",C32+K31,K31)</f>
        <v/>
      </c>
      <c r="L32">
        <f>IF(J32="本金",F32+L31,L31)</f>
        <v/>
      </c>
    </row>
    <row r="33" outlineLevel="1">
      <c r="A33" s="615" t="n"/>
      <c r="B33" s="616" t="n"/>
      <c r="C33" s="101" t="n"/>
      <c r="D33" s="617">
        <f>D32+C33-B33</f>
        <v/>
      </c>
      <c r="E33" s="618" t="n"/>
      <c r="F33" s="622" t="n"/>
      <c r="G33" s="620">
        <f>G32+F33-E33</f>
        <v/>
      </c>
      <c r="I33" s="62" t="n"/>
      <c r="J33" t="inlineStr">
        <is>
          <t>投資</t>
        </is>
      </c>
      <c r="K33">
        <f>IF(J33="本金",C33+K32,K32)</f>
        <v/>
      </c>
      <c r="L33">
        <f>IF(J33="本金",F33+L32,L32)</f>
        <v/>
      </c>
    </row>
    <row r="34" outlineLevel="1">
      <c r="A34" s="615" t="n"/>
      <c r="B34" s="616" t="n"/>
      <c r="C34" s="101" t="n"/>
      <c r="D34" s="617">
        <f>D33+C34-B34</f>
        <v/>
      </c>
      <c r="E34" s="618" t="n"/>
      <c r="F34" s="622" t="n"/>
      <c r="G34" s="620">
        <f>G33+F34-E34</f>
        <v/>
      </c>
      <c r="I34" s="62" t="n"/>
      <c r="J34" t="inlineStr">
        <is>
          <t>投資</t>
        </is>
      </c>
      <c r="K34">
        <f>IF(J34="本金",C34+K33,K33)</f>
        <v/>
      </c>
      <c r="L34">
        <f>IF(J34="本金",F34+L33,L33)</f>
        <v/>
      </c>
    </row>
    <row r="35" outlineLevel="1">
      <c r="A35" s="615" t="n"/>
      <c r="B35" s="616" t="n"/>
      <c r="C35" s="101" t="n"/>
      <c r="D35" s="617">
        <f>D34+C35-B35</f>
        <v/>
      </c>
      <c r="E35" s="618" t="n"/>
      <c r="F35" s="622" t="n"/>
      <c r="G35" s="620">
        <f>G34+F35-E35</f>
        <v/>
      </c>
      <c r="I35" s="62" t="n"/>
      <c r="J35" t="inlineStr">
        <is>
          <t>投資</t>
        </is>
      </c>
      <c r="K35">
        <f>IF(J35="本金",C35+K34,K34)</f>
        <v/>
      </c>
      <c r="L35">
        <f>IF(J35="本金",F35+L34,L34)</f>
        <v/>
      </c>
    </row>
    <row r="36" outlineLevel="1">
      <c r="A36" s="615" t="n"/>
      <c r="B36" s="616" t="n"/>
      <c r="C36" s="101" t="n"/>
      <c r="D36" s="617">
        <f>D35+C36-B36</f>
        <v/>
      </c>
      <c r="E36" s="618" t="n"/>
      <c r="F36" s="622" t="n"/>
      <c r="G36" s="620">
        <f>G35+F36-E36</f>
        <v/>
      </c>
      <c r="I36" s="62" t="n"/>
      <c r="J36" t="inlineStr">
        <is>
          <t>投資</t>
        </is>
      </c>
      <c r="K36">
        <f>IF(J36="本金",C36+K35,K35)</f>
        <v/>
      </c>
      <c r="L36">
        <f>IF(J36="本金",F36+L35,L35)</f>
        <v/>
      </c>
    </row>
    <row r="37" outlineLevel="1">
      <c r="A37" s="615" t="n"/>
      <c r="B37" s="616" t="n"/>
      <c r="C37" s="101" t="n"/>
      <c r="D37" s="617">
        <f>D36+C37-B37</f>
        <v/>
      </c>
      <c r="E37" s="618" t="n"/>
      <c r="F37" s="622" t="n"/>
      <c r="G37" s="620">
        <f>G36+F37-E37</f>
        <v/>
      </c>
      <c r="H37" s="498" t="n"/>
      <c r="I37" s="62" t="n"/>
      <c r="J37" t="inlineStr">
        <is>
          <t>投資</t>
        </is>
      </c>
      <c r="K37">
        <f>IF(J37="本金",C37+K36,K36)</f>
        <v/>
      </c>
      <c r="L37">
        <f>IF(J37="本金",F37+L36,L36)</f>
        <v/>
      </c>
    </row>
    <row r="38" outlineLevel="1">
      <c r="A38" s="615" t="n"/>
      <c r="B38" s="616" t="n"/>
      <c r="C38" s="101" t="n"/>
      <c r="D38" s="617">
        <f>D37+C38-B38</f>
        <v/>
      </c>
      <c r="E38" s="618" t="n"/>
      <c r="F38" s="622" t="n"/>
      <c r="G38" s="620">
        <f>G37+F38-E38</f>
        <v/>
      </c>
      <c r="I38" s="62" t="n"/>
      <c r="J38" t="inlineStr">
        <is>
          <t>投資</t>
        </is>
      </c>
      <c r="K38">
        <f>IF(J38="本金",C38+K37,K37)</f>
        <v/>
      </c>
      <c r="L38">
        <f>IF(J38="本金",F38+L37,L37)</f>
        <v/>
      </c>
    </row>
    <row r="39" outlineLevel="1">
      <c r="A39" s="615" t="n"/>
      <c r="B39" s="616" t="n"/>
      <c r="C39" s="101" t="n"/>
      <c r="D39" s="617">
        <f>D38+C39-B39</f>
        <v/>
      </c>
      <c r="E39" s="618" t="n"/>
      <c r="F39" s="622" t="n"/>
      <c r="G39" s="620">
        <f>G38+F39-E39</f>
        <v/>
      </c>
      <c r="I39" s="62" t="n"/>
      <c r="J39" t="inlineStr">
        <is>
          <t>投資</t>
        </is>
      </c>
      <c r="K39">
        <f>IF(J39="本金",C39+K38,K38)</f>
        <v/>
      </c>
      <c r="L39">
        <f>IF(J39="本金",F39+L38,L38)</f>
        <v/>
      </c>
    </row>
    <row r="40" outlineLevel="1">
      <c r="A40" s="615" t="n"/>
      <c r="B40" s="616" t="n"/>
      <c r="C40" s="101" t="n"/>
      <c r="D40" s="617">
        <f>D39+C40-B40</f>
        <v/>
      </c>
      <c r="E40" s="618" t="n"/>
      <c r="F40" s="622" t="n"/>
      <c r="G40" s="620">
        <f>G39+F40-E40</f>
        <v/>
      </c>
      <c r="I40" s="62" t="n"/>
      <c r="J40" t="inlineStr">
        <is>
          <t>投資</t>
        </is>
      </c>
      <c r="K40">
        <f>IF(J40="本金",C40+K39,K39)</f>
        <v/>
      </c>
      <c r="L40">
        <f>IF(J40="本金",F40+L39,L39)</f>
        <v/>
      </c>
    </row>
    <row r="41" outlineLevel="1">
      <c r="A41" s="615" t="n"/>
      <c r="B41" s="616" t="n"/>
      <c r="C41" s="101" t="n"/>
      <c r="D41" s="617">
        <f>D40+C41-B41</f>
        <v/>
      </c>
      <c r="E41" s="618" t="n"/>
      <c r="F41" s="622" t="n"/>
      <c r="G41" s="620">
        <f>G40+F41-E41</f>
        <v/>
      </c>
      <c r="I41" s="62" t="n"/>
      <c r="J41" t="inlineStr">
        <is>
          <t>投資</t>
        </is>
      </c>
      <c r="K41">
        <f>IF(J41="本金",C41+K40,K40)</f>
        <v/>
      </c>
      <c r="L41">
        <f>IF(J41="本金",F41+L40,L40)</f>
        <v/>
      </c>
    </row>
    <row r="42" outlineLevel="1">
      <c r="A42" s="615" t="n"/>
      <c r="B42" s="616" t="n"/>
      <c r="C42" s="101" t="n"/>
      <c r="D42" s="617">
        <f>D41+C42-B42</f>
        <v/>
      </c>
      <c r="E42" s="618" t="n"/>
      <c r="F42" s="622" t="n"/>
      <c r="G42" s="620">
        <f>G41+F42-E42</f>
        <v/>
      </c>
      <c r="I42" s="62" t="n"/>
      <c r="J42" t="inlineStr">
        <is>
          <t>投資</t>
        </is>
      </c>
      <c r="K42">
        <f>IF(J42="本金",C42+K41,K41)</f>
        <v/>
      </c>
      <c r="L42">
        <f>IF(J42="本金",F42+L41,L41)</f>
        <v/>
      </c>
    </row>
    <row r="43" outlineLevel="1">
      <c r="A43" s="623" t="n"/>
      <c r="B43" s="624" t="n"/>
      <c r="C43" s="111" t="n"/>
      <c r="D43" s="625">
        <f>D42+C43-B43</f>
        <v/>
      </c>
      <c r="E43" s="626" t="n"/>
      <c r="F43" s="627" t="n"/>
      <c r="G43" s="628">
        <f>G42+F43-E43</f>
        <v/>
      </c>
      <c r="H43" s="114" t="n"/>
      <c r="I43" s="114" t="n"/>
      <c r="J43" t="inlineStr">
        <is>
          <t>投資</t>
        </is>
      </c>
      <c r="K43">
        <f>IF(J43="本金",C43+K42,K42)</f>
        <v/>
      </c>
      <c r="L43">
        <f>IF(J43="本金",F43+L42,L42)</f>
        <v/>
      </c>
    </row>
    <row r="44" outlineLevel="1">
      <c r="A44" s="615" t="n"/>
      <c r="B44" s="616" t="n"/>
      <c r="C44" s="101" t="n"/>
      <c r="D44" s="617">
        <f>D43+C44-B44</f>
        <v/>
      </c>
      <c r="E44" s="618" t="n"/>
      <c r="F44" s="622" t="n"/>
      <c r="G44" s="620">
        <f>G43+F44-E44</f>
        <v/>
      </c>
      <c r="I44" s="62" t="n"/>
      <c r="J44" t="inlineStr">
        <is>
          <t>投資</t>
        </is>
      </c>
      <c r="K44">
        <f>IF(J44="本金",C44+K43,K43)</f>
        <v/>
      </c>
      <c r="L44">
        <f>IF(J44="本金",F44+L43,L43)</f>
        <v/>
      </c>
    </row>
    <row r="45" outlineLevel="1">
      <c r="A45" s="615" t="n"/>
      <c r="B45" s="616" t="n"/>
      <c r="C45" s="101" t="n"/>
      <c r="D45" s="617">
        <f>D44+C45-B45</f>
        <v/>
      </c>
      <c r="E45" s="618" t="n"/>
      <c r="F45" s="622" t="n"/>
      <c r="G45" s="620">
        <f>G44+F45-E45</f>
        <v/>
      </c>
      <c r="I45" s="62" t="n"/>
      <c r="J45" t="inlineStr">
        <is>
          <t>投資</t>
        </is>
      </c>
      <c r="K45">
        <f>IF(J45="本金",C45+K44,K44)</f>
        <v/>
      </c>
      <c r="L45">
        <f>IF(J45="本金",F45+L44,L44)</f>
        <v/>
      </c>
    </row>
    <row r="46" outlineLevel="1">
      <c r="A46" s="635" t="n"/>
      <c r="B46" s="636" t="n"/>
      <c r="C46" s="170" t="n"/>
      <c r="D46" s="637">
        <f>D45+C46-B46</f>
        <v/>
      </c>
      <c r="E46" s="638" t="n"/>
      <c r="F46" s="639" t="n"/>
      <c r="G46" s="640">
        <f>G45+F46-E46</f>
        <v/>
      </c>
      <c r="H46" s="173" t="n"/>
      <c r="I46" s="173" t="n"/>
      <c r="J46" t="inlineStr">
        <is>
          <t>投資</t>
        </is>
      </c>
      <c r="K46">
        <f>IF(J46="本金",C46+K45,K45)</f>
        <v/>
      </c>
      <c r="L46">
        <f>IF(J46="本金",F46+L45,L45)</f>
        <v/>
      </c>
    </row>
    <row r="47" outlineLevel="1">
      <c r="A47" s="635" t="n"/>
      <c r="B47" s="636" t="n"/>
      <c r="C47" s="170" t="n"/>
      <c r="D47" s="637">
        <f>D46+C47-B47</f>
        <v/>
      </c>
      <c r="E47" s="638" t="n"/>
      <c r="F47" s="639" t="n"/>
      <c r="G47" s="640">
        <f>G46+F47-E47</f>
        <v/>
      </c>
      <c r="H47" s="173" t="n"/>
      <c r="I47" s="173" t="n"/>
      <c r="J47" t="inlineStr">
        <is>
          <t>投資</t>
        </is>
      </c>
      <c r="K47">
        <f>IF(J47="本金",C47+K46,K46)</f>
        <v/>
      </c>
      <c r="L47">
        <f>IF(J47="本金",F47+L46,L46)</f>
        <v/>
      </c>
    </row>
    <row r="48" outlineLevel="1">
      <c r="A48" s="615" t="n"/>
      <c r="B48" s="616" t="n"/>
      <c r="C48" s="101" t="n"/>
      <c r="D48" s="617">
        <f>D47+C48-B48</f>
        <v/>
      </c>
      <c r="E48" s="618" t="n"/>
      <c r="F48" s="622" t="n"/>
      <c r="G48" s="620">
        <f>G47+F48-E48</f>
        <v/>
      </c>
      <c r="I48" s="62" t="n"/>
      <c r="J48" t="inlineStr">
        <is>
          <t>投資</t>
        </is>
      </c>
      <c r="K48">
        <f>IF(J48="本金",C48+K47,K47)</f>
        <v/>
      </c>
      <c r="L48">
        <f>IF(J48="本金",F48+L47,L47)</f>
        <v/>
      </c>
    </row>
    <row r="49" outlineLevel="1">
      <c r="A49" s="615" t="n"/>
      <c r="B49" s="616" t="n"/>
      <c r="C49" s="101" t="n"/>
      <c r="D49" s="617">
        <f>D48+C49-B49</f>
        <v/>
      </c>
      <c r="E49" s="618" t="n"/>
      <c r="F49" s="622" t="n"/>
      <c r="G49" s="620">
        <f>G48+F49-E49</f>
        <v/>
      </c>
      <c r="I49" s="62" t="n"/>
      <c r="J49" t="inlineStr">
        <is>
          <t>投資</t>
        </is>
      </c>
      <c r="K49">
        <f>IF(J49="本金",C49+K48,K48)</f>
        <v/>
      </c>
      <c r="L49">
        <f>IF(J49="本金",F49+L48,L48)</f>
        <v/>
      </c>
    </row>
    <row r="50" outlineLevel="1">
      <c r="A50" s="615" t="n"/>
      <c r="B50" s="616" t="n"/>
      <c r="C50" s="101" t="n"/>
      <c r="D50" s="617">
        <f>D49+C50-B50</f>
        <v/>
      </c>
      <c r="E50" s="618" t="n"/>
      <c r="F50" s="622" t="n"/>
      <c r="G50" s="620">
        <f>G49+F50-E50</f>
        <v/>
      </c>
      <c r="I50" s="62" t="n"/>
      <c r="J50" t="inlineStr">
        <is>
          <t>投資</t>
        </is>
      </c>
      <c r="K50">
        <f>IF(J50="本金",C50+K49,K49)</f>
        <v/>
      </c>
      <c r="L50">
        <f>IF(J50="本金",F50+L49,L49)</f>
        <v/>
      </c>
    </row>
    <row r="51" outlineLevel="1">
      <c r="A51" s="635" t="n"/>
      <c r="B51" s="636" t="n"/>
      <c r="C51" s="170" t="n"/>
      <c r="D51" s="637">
        <f>D50+C51-B51</f>
        <v/>
      </c>
      <c r="E51" s="638" t="n"/>
      <c r="F51" s="639" t="n"/>
      <c r="G51" s="640">
        <f>G50+F51-E51</f>
        <v/>
      </c>
      <c r="H51" s="173" t="n"/>
      <c r="I51" s="173" t="n"/>
      <c r="J51" t="inlineStr">
        <is>
          <t>投資</t>
        </is>
      </c>
      <c r="K51">
        <f>IF(J51="本金",C51+K50,K50)</f>
        <v/>
      </c>
      <c r="L51">
        <f>IF(J51="本金",F51+L50,L50)</f>
        <v/>
      </c>
    </row>
    <row r="52" outlineLevel="1">
      <c r="A52" s="635" t="n"/>
      <c r="B52" s="636" t="n"/>
      <c r="C52" s="170" t="n"/>
      <c r="D52" s="637">
        <f>D51+C52-B52</f>
        <v/>
      </c>
      <c r="E52" s="638" t="n"/>
      <c r="F52" s="639" t="n"/>
      <c r="G52" s="640">
        <f>G51+F52-E52</f>
        <v/>
      </c>
      <c r="H52" s="173" t="n"/>
      <c r="I52" s="173" t="n"/>
      <c r="J52" t="inlineStr">
        <is>
          <t>投資</t>
        </is>
      </c>
      <c r="K52">
        <f>IF(J52="本金",C52+K51,K51)</f>
        <v/>
      </c>
      <c r="L52">
        <f>IF(J52="本金",F52+L51,L51)</f>
        <v/>
      </c>
    </row>
    <row r="53" outlineLevel="1">
      <c r="A53" s="635" t="n"/>
      <c r="B53" s="636" t="n"/>
      <c r="C53" s="170" t="n"/>
      <c r="D53" s="637">
        <f>D52+C53-B53</f>
        <v/>
      </c>
      <c r="E53" s="638" t="n"/>
      <c r="F53" s="639" t="n"/>
      <c r="G53" s="640">
        <f>G52+F53-E53</f>
        <v/>
      </c>
      <c r="H53" s="173" t="n"/>
      <c r="I53" s="173" t="n"/>
      <c r="J53" t="inlineStr">
        <is>
          <t>投資</t>
        </is>
      </c>
      <c r="K53">
        <f>IF(J53="本金",C53+K52,K52)</f>
        <v/>
      </c>
      <c r="L53">
        <f>IF(J53="本金",F53+L52,L52)</f>
        <v/>
      </c>
    </row>
    <row r="54" outlineLevel="1">
      <c r="A54" s="635" t="n"/>
      <c r="B54" s="636" t="n"/>
      <c r="C54" s="170" t="n"/>
      <c r="D54" s="637">
        <f>D53+C54-B54</f>
        <v/>
      </c>
      <c r="E54" s="638" t="n"/>
      <c r="F54" s="639" t="n"/>
      <c r="G54" s="640">
        <f>G53+F54-E54</f>
        <v/>
      </c>
      <c r="H54" s="173" t="n"/>
      <c r="I54" s="173" t="n"/>
      <c r="J54" t="inlineStr">
        <is>
          <t>投資</t>
        </is>
      </c>
      <c r="K54">
        <f>IF(J54="本金",C54+K53,K53)</f>
        <v/>
      </c>
      <c r="L54">
        <f>IF(J54="本金",F54+L53,L53)</f>
        <v/>
      </c>
    </row>
    <row r="55" outlineLevel="1">
      <c r="A55" s="635" t="n"/>
      <c r="B55" s="636" t="n"/>
      <c r="C55" s="170" t="n"/>
      <c r="D55" s="637">
        <f>D54+C55-B55</f>
        <v/>
      </c>
      <c r="E55" s="638" t="n"/>
      <c r="F55" s="639" t="n"/>
      <c r="G55" s="640">
        <f>G54+F55-E55</f>
        <v/>
      </c>
      <c r="H55" s="173" t="n"/>
      <c r="I55" s="173" t="n"/>
      <c r="J55" t="inlineStr">
        <is>
          <t>投資</t>
        </is>
      </c>
      <c r="K55">
        <f>IF(J55="本金",C55+K54,K54)</f>
        <v/>
      </c>
      <c r="L55">
        <f>IF(J55="本金",F55+L54,L54)</f>
        <v/>
      </c>
    </row>
    <row r="56" outlineLevel="1">
      <c r="A56" s="635" t="n"/>
      <c r="B56" s="636" t="n"/>
      <c r="C56" s="170" t="n"/>
      <c r="D56" s="637">
        <f>D55+C56-B56</f>
        <v/>
      </c>
      <c r="E56" s="638" t="n"/>
      <c r="F56" s="639" t="n"/>
      <c r="G56" s="640">
        <f>G55+F56-E56</f>
        <v/>
      </c>
      <c r="H56" s="173" t="n"/>
      <c r="I56" s="173" t="n"/>
      <c r="J56" t="inlineStr">
        <is>
          <t>投資</t>
        </is>
      </c>
      <c r="K56">
        <f>IF(J56="本金",C56+K55,K55)</f>
        <v/>
      </c>
      <c r="L56">
        <f>IF(J56="本金",F56+L55,L55)</f>
        <v/>
      </c>
    </row>
    <row r="57" outlineLevel="1">
      <c r="A57" s="635" t="n"/>
      <c r="B57" s="636" t="n"/>
      <c r="C57" s="170" t="n"/>
      <c r="D57" s="637">
        <f>D56+C57-B57</f>
        <v/>
      </c>
      <c r="E57" s="638" t="n"/>
      <c r="F57" s="639" t="n"/>
      <c r="G57" s="640">
        <f>G56+F57-E57</f>
        <v/>
      </c>
      <c r="H57" s="173" t="n"/>
      <c r="I57" s="173" t="n"/>
      <c r="J57" t="inlineStr">
        <is>
          <t>投資</t>
        </is>
      </c>
      <c r="K57">
        <f>IF(J57="本金",C57+K56,K56)</f>
        <v/>
      </c>
      <c r="L57">
        <f>IF(J57="本金",F57+L56,L56)</f>
        <v/>
      </c>
    </row>
    <row r="58" outlineLevel="1">
      <c r="A58" s="635" t="n"/>
      <c r="B58" s="636" t="n"/>
      <c r="C58" s="170" t="n"/>
      <c r="D58" s="637">
        <f>D57+C58-B58</f>
        <v/>
      </c>
      <c r="E58" s="638" t="n"/>
      <c r="F58" s="639" t="n"/>
      <c r="G58" s="640">
        <f>G57+F58-E58</f>
        <v/>
      </c>
      <c r="H58" s="173" t="n"/>
      <c r="I58" s="173" t="n"/>
      <c r="J58" t="inlineStr">
        <is>
          <t>投資</t>
        </is>
      </c>
      <c r="K58">
        <f>IF(J58="本金",C58+K57,K57)</f>
        <v/>
      </c>
      <c r="L58">
        <f>IF(J58="本金",F58+L57,L57)</f>
        <v/>
      </c>
    </row>
    <row r="59" outlineLevel="1">
      <c r="A59" s="635" t="n"/>
      <c r="B59" s="636" t="n"/>
      <c r="C59" s="170" t="n"/>
      <c r="D59" s="637">
        <f>D58+C59-B59</f>
        <v/>
      </c>
      <c r="E59" s="638" t="n"/>
      <c r="F59" s="639" t="n"/>
      <c r="G59" s="640">
        <f>G58+F59-E59</f>
        <v/>
      </c>
      <c r="H59" s="173" t="n"/>
      <c r="I59" s="173" t="n"/>
      <c r="J59" t="inlineStr">
        <is>
          <t>投資</t>
        </is>
      </c>
      <c r="K59">
        <f>IF(J59="本金",C59+K58,K58)</f>
        <v/>
      </c>
      <c r="L59">
        <f>IF(J59="本金",F59+L58,L58)</f>
        <v/>
      </c>
    </row>
    <row r="60" outlineLevel="1">
      <c r="A60" s="635" t="n"/>
      <c r="B60" s="636" t="n"/>
      <c r="C60" s="170" t="n"/>
      <c r="D60" s="637">
        <f>D59+C60-B60</f>
        <v/>
      </c>
      <c r="E60" s="638" t="n"/>
      <c r="F60" s="639" t="n"/>
      <c r="G60" s="640">
        <f>G59+F60-E60</f>
        <v/>
      </c>
      <c r="H60" s="173" t="n"/>
      <c r="I60" s="173" t="n"/>
      <c r="J60" t="inlineStr">
        <is>
          <t>投資</t>
        </is>
      </c>
      <c r="K60">
        <f>IF(J60="本金",C60+K59,K59)</f>
        <v/>
      </c>
      <c r="L60">
        <f>IF(J60="本金",F60+L59,L59)</f>
        <v/>
      </c>
    </row>
    <row r="61" outlineLevel="1">
      <c r="A61" s="623" t="n"/>
      <c r="B61" s="624" t="n"/>
      <c r="C61" s="111" t="n"/>
      <c r="D61" s="625">
        <f>D60+C61-B61</f>
        <v/>
      </c>
      <c r="E61" s="626" t="n"/>
      <c r="F61" s="627" t="n"/>
      <c r="G61" s="628">
        <f>G60+F61-E61</f>
        <v/>
      </c>
      <c r="H61" s="114" t="n"/>
      <c r="I61" s="114" t="n"/>
      <c r="J61" t="inlineStr">
        <is>
          <t>投資</t>
        </is>
      </c>
      <c r="K61">
        <f>IF(J61="本金",C61+K60,K60)</f>
        <v/>
      </c>
      <c r="L61">
        <f>IF(J61="本金",F61+L60,L60)</f>
        <v/>
      </c>
    </row>
    <row r="62" outlineLevel="1">
      <c r="A62" s="629" t="n"/>
      <c r="B62" s="630" t="n"/>
      <c r="C62" s="116" t="n"/>
      <c r="D62" s="631">
        <f>D61+C62-B62</f>
        <v/>
      </c>
      <c r="E62" s="632" t="n"/>
      <c r="F62" s="633" t="n"/>
      <c r="G62" s="634">
        <f>G61+F62-E62</f>
        <v/>
      </c>
      <c r="H62" s="119" t="n"/>
      <c r="I62" s="120" t="n"/>
      <c r="J62" t="inlineStr">
        <is>
          <t>投資</t>
        </is>
      </c>
      <c r="K62">
        <f>IF(J62="本金",C62+K61,K61)</f>
        <v/>
      </c>
      <c r="L62">
        <f>IF(J62="本金",F62+L61,L61)</f>
        <v/>
      </c>
    </row>
    <row r="63" outlineLevel="1">
      <c r="A63" s="615" t="n"/>
      <c r="B63" s="616" t="n"/>
      <c r="C63" s="101" t="n"/>
      <c r="D63" s="617">
        <f>D62+C63-B63</f>
        <v/>
      </c>
      <c r="E63" s="618" t="n"/>
      <c r="F63" s="622" t="n"/>
      <c r="G63" s="620">
        <f>G62+F63-E63</f>
        <v/>
      </c>
      <c r="H63" s="61" t="n"/>
      <c r="I63" s="61" t="n"/>
      <c r="J63" t="inlineStr">
        <is>
          <t>投資</t>
        </is>
      </c>
      <c r="K63">
        <f>IF(J63="本金",C63+K62,K62)</f>
        <v/>
      </c>
      <c r="L63">
        <f>IF(J63="本金",F63+L62,L62)</f>
        <v/>
      </c>
    </row>
    <row r="64" outlineLevel="1" customFormat="1" s="61">
      <c r="A64" s="629" t="n"/>
      <c r="B64" s="630" t="n"/>
      <c r="C64" s="116" t="n"/>
      <c r="D64" s="631">
        <f>D63+C64-B64</f>
        <v/>
      </c>
      <c r="E64" s="632" t="n"/>
      <c r="F64" s="633" t="n"/>
      <c r="G64" s="634">
        <f>G63+F64-E64</f>
        <v/>
      </c>
      <c r="H64" s="119" t="n"/>
      <c r="I64" s="120" t="n"/>
      <c r="J64" t="inlineStr">
        <is>
          <t>投資</t>
        </is>
      </c>
      <c r="K64">
        <f>IF(J64="本金",C64+K63,K63)</f>
        <v/>
      </c>
      <c r="L64">
        <f>IF(J64="本金",F64+L63,L63)</f>
        <v/>
      </c>
    </row>
    <row r="65" outlineLevel="1" customFormat="1" s="61">
      <c r="A65" s="615" t="n"/>
      <c r="B65" s="616" t="n"/>
      <c r="C65" s="101" t="n"/>
      <c r="D65" s="617">
        <f>D64+C65-B65</f>
        <v/>
      </c>
      <c r="E65" s="618" t="n"/>
      <c r="F65" s="622" t="n"/>
      <c r="G65" s="620">
        <f>G64+F65-E65</f>
        <v/>
      </c>
      <c r="J65" t="inlineStr">
        <is>
          <t>投資</t>
        </is>
      </c>
      <c r="K65">
        <f>IF(J65="本金",C65+K64,K64)</f>
        <v/>
      </c>
      <c r="L65">
        <f>IF(J65="本金",F65+L64,L64)</f>
        <v/>
      </c>
    </row>
    <row r="66" outlineLevel="1" customFormat="1" s="61">
      <c r="A66" s="615" t="n"/>
      <c r="B66" s="616" t="n"/>
      <c r="C66" s="101" t="n"/>
      <c r="D66" s="617">
        <f>D65+C66-B66</f>
        <v/>
      </c>
      <c r="E66" s="618" t="n"/>
      <c r="F66" s="622" t="n"/>
      <c r="G66" s="620">
        <f>G65+F66-E66</f>
        <v/>
      </c>
      <c r="J66" t="inlineStr">
        <is>
          <t>投資</t>
        </is>
      </c>
      <c r="K66">
        <f>IF(J66="本金",C66+K65,K65)</f>
        <v/>
      </c>
      <c r="L66">
        <f>IF(J66="本金",F66+L65,L65)</f>
        <v/>
      </c>
    </row>
    <row r="67" outlineLevel="1" customFormat="1" s="61">
      <c r="A67" s="615" t="n"/>
      <c r="B67" s="616" t="n"/>
      <c r="C67" s="101" t="n"/>
      <c r="D67" s="617">
        <f>D66+C67-B67</f>
        <v/>
      </c>
      <c r="E67" s="618" t="n"/>
      <c r="F67" s="622" t="n"/>
      <c r="G67" s="620">
        <f>G66+F67-E67</f>
        <v/>
      </c>
      <c r="J67" t="inlineStr">
        <is>
          <t>投資</t>
        </is>
      </c>
      <c r="K67">
        <f>IF(J67="本金",C67+K66,K66)</f>
        <v/>
      </c>
      <c r="L67">
        <f>IF(J67="本金",F67+L66,L66)</f>
        <v/>
      </c>
    </row>
    <row r="68" outlineLevel="1" customFormat="1" s="61">
      <c r="A68" s="623" t="n"/>
      <c r="B68" s="624" t="n"/>
      <c r="C68" s="111" t="n"/>
      <c r="D68" s="625">
        <f>D67+C68-B68</f>
        <v/>
      </c>
      <c r="E68" s="626" t="n"/>
      <c r="F68" s="627" t="n"/>
      <c r="G68" s="628">
        <f>G67+F68-E68</f>
        <v/>
      </c>
      <c r="H68" s="114" t="n"/>
      <c r="I68" s="114" t="n"/>
      <c r="J68" t="inlineStr">
        <is>
          <t>投資</t>
        </is>
      </c>
      <c r="K68">
        <f>IF(J68="本金",C68+K67,K67)</f>
        <v/>
      </c>
      <c r="L68">
        <f>IF(J68="本金",F68+L67,L67)</f>
        <v/>
      </c>
    </row>
    <row r="69" outlineLevel="1" customFormat="1" s="61">
      <c r="A69" s="615" t="n"/>
      <c r="B69" s="616" t="n"/>
      <c r="C69" s="101" t="n"/>
      <c r="D69" s="617">
        <f>D68+C69-B69</f>
        <v/>
      </c>
      <c r="E69" s="618" t="n"/>
      <c r="F69" s="622" t="n"/>
      <c r="G69" s="620">
        <f>G68+F69-E69</f>
        <v/>
      </c>
      <c r="J69" t="inlineStr">
        <is>
          <t>投資</t>
        </is>
      </c>
      <c r="K69">
        <f>IF(J69="本金",C69+K68,K68)</f>
        <v/>
      </c>
      <c r="L69">
        <f>IF(J69="本金",F69+L68,L68)</f>
        <v/>
      </c>
    </row>
    <row r="70" outlineLevel="1" customFormat="1" s="61">
      <c r="A70" s="635" t="n"/>
      <c r="B70" s="636" t="n"/>
      <c r="C70" s="170" t="n"/>
      <c r="D70" s="637">
        <f>D69+C70-B70</f>
        <v/>
      </c>
      <c r="E70" s="638" t="n"/>
      <c r="F70" s="639" t="n"/>
      <c r="G70" s="640">
        <f>G69+F70-E70</f>
        <v/>
      </c>
      <c r="H70" s="173" t="n"/>
      <c r="I70" s="173" t="n"/>
      <c r="J70" t="inlineStr">
        <is>
          <t>投資</t>
        </is>
      </c>
      <c r="K70">
        <f>IF(J70="本金",C70+K69,K69)</f>
        <v/>
      </c>
      <c r="L70">
        <f>IF(J70="本金",F70+L69,L69)</f>
        <v/>
      </c>
    </row>
    <row r="71" outlineLevel="1" customFormat="1" s="61">
      <c r="A71" s="635" t="n"/>
      <c r="B71" s="636" t="n"/>
      <c r="C71" s="170" t="n"/>
      <c r="D71" s="637">
        <f>D70+C71-B71</f>
        <v/>
      </c>
      <c r="E71" s="638" t="n"/>
      <c r="F71" s="639" t="n"/>
      <c r="G71" s="640">
        <f>G70+F71-E71</f>
        <v/>
      </c>
      <c r="H71" s="173" t="n"/>
      <c r="I71" s="173" t="n"/>
      <c r="J71" t="inlineStr">
        <is>
          <t>投資</t>
        </is>
      </c>
      <c r="K71">
        <f>IF(J71="本金",C71+K70,K70)</f>
        <v/>
      </c>
      <c r="L71">
        <f>IF(J71="本金",F71+L70,L70)</f>
        <v/>
      </c>
    </row>
    <row r="72" outlineLevel="1" customFormat="1" s="61">
      <c r="A72" s="615" t="n"/>
      <c r="B72" s="616" t="n"/>
      <c r="C72" s="101" t="n"/>
      <c r="D72" s="617">
        <f>D71+C72-B72</f>
        <v/>
      </c>
      <c r="E72" s="618" t="n"/>
      <c r="F72" s="622" t="n"/>
      <c r="G72" s="620">
        <f>G71+F72-E72</f>
        <v/>
      </c>
      <c r="J72" t="inlineStr">
        <is>
          <t>投資</t>
        </is>
      </c>
      <c r="K72">
        <f>IF(J72="本金",C72+K71,K71)</f>
        <v/>
      </c>
      <c r="L72">
        <f>IF(J72="本金",F72+L71,L71)</f>
        <v/>
      </c>
    </row>
    <row r="73" outlineLevel="1" customFormat="1" s="61">
      <c r="A73" s="623" t="n"/>
      <c r="B73" s="624" t="n"/>
      <c r="C73" s="111" t="n"/>
      <c r="D73" s="625">
        <f>D72+C73-B73</f>
        <v/>
      </c>
      <c r="E73" s="626" t="n"/>
      <c r="F73" s="627" t="n"/>
      <c r="G73" s="628">
        <f>G72+F73-E73</f>
        <v/>
      </c>
      <c r="H73" s="114" t="n"/>
      <c r="I73" s="114" t="n"/>
      <c r="J73" t="inlineStr">
        <is>
          <t>投資</t>
        </is>
      </c>
      <c r="K73">
        <f>IF(J73="本金",C73+K72,K72)</f>
        <v/>
      </c>
      <c r="L73">
        <f>IF(J73="本金",F73+L72,L72)</f>
        <v/>
      </c>
    </row>
    <row r="74" outlineLevel="1" customFormat="1" s="61">
      <c r="A74" s="615" t="n"/>
      <c r="B74" s="616" t="n"/>
      <c r="C74" s="101" t="n"/>
      <c r="D74" s="617">
        <f>D73+C74-B74</f>
        <v/>
      </c>
      <c r="E74" s="618" t="n"/>
      <c r="F74" s="622" t="n"/>
      <c r="G74" s="620">
        <f>G73+F74-E74</f>
        <v/>
      </c>
      <c r="J74" t="inlineStr">
        <is>
          <t>投資</t>
        </is>
      </c>
      <c r="K74">
        <f>IF(J74="本金",C74+K73,K73)</f>
        <v/>
      </c>
      <c r="L74">
        <f>IF(J74="本金",F74+L73,L73)</f>
        <v/>
      </c>
    </row>
    <row r="75" outlineLevel="1" customFormat="1" s="61">
      <c r="A75" s="615" t="n"/>
      <c r="B75" s="616" t="n"/>
      <c r="C75" s="101" t="n"/>
      <c r="D75" s="617">
        <f>D74+C75-B75</f>
        <v/>
      </c>
      <c r="E75" s="618" t="n"/>
      <c r="F75" s="622" t="n"/>
      <c r="G75" s="620">
        <f>G74+F75-E75</f>
        <v/>
      </c>
      <c r="J75" t="inlineStr">
        <is>
          <t>投資</t>
        </is>
      </c>
      <c r="K75">
        <f>IF(J75="本金",C75+K74,K74)</f>
        <v/>
      </c>
      <c r="L75">
        <f>IF(J75="本金",F75+L74,L74)</f>
        <v/>
      </c>
    </row>
    <row r="76" outlineLevel="1" customFormat="1" s="61">
      <c r="A76" s="615" t="n"/>
      <c r="B76" s="616" t="n"/>
      <c r="C76" s="101" t="n"/>
      <c r="D76" s="617">
        <f>D75+C76-B76</f>
        <v/>
      </c>
      <c r="E76" s="618" t="n"/>
      <c r="F76" s="622" t="n"/>
      <c r="G76" s="620">
        <f>G75+F76-E76</f>
        <v/>
      </c>
      <c r="J76" t="inlineStr">
        <is>
          <t>投資</t>
        </is>
      </c>
      <c r="K76">
        <f>IF(J76="本金",C76+K75,K75)</f>
        <v/>
      </c>
      <c r="L76">
        <f>IF(J76="本金",F76+L75,L75)</f>
        <v/>
      </c>
    </row>
    <row r="77" outlineLevel="1" customFormat="1" s="61">
      <c r="A77" s="615" t="n"/>
      <c r="B77" s="616" t="n"/>
      <c r="C77" s="101" t="n"/>
      <c r="D77" s="617">
        <f>D76+C77-B77</f>
        <v/>
      </c>
      <c r="E77" s="618" t="n"/>
      <c r="F77" s="622" t="n"/>
      <c r="G77" s="620">
        <f>G76+F77-E77</f>
        <v/>
      </c>
      <c r="J77" t="inlineStr">
        <is>
          <t>投資</t>
        </is>
      </c>
      <c r="K77">
        <f>IF(J77="本金",C77+K76,K76)</f>
        <v/>
      </c>
      <c r="L77">
        <f>IF(J77="本金",F77+L76,L76)</f>
        <v/>
      </c>
    </row>
    <row r="78" outlineLevel="1" customFormat="1" s="61">
      <c r="A78" s="615" t="n"/>
      <c r="B78" s="616" t="n"/>
      <c r="C78" s="101" t="n"/>
      <c r="D78" s="617">
        <f>D77+C78-B78</f>
        <v/>
      </c>
      <c r="E78" s="618" t="n"/>
      <c r="F78" s="622" t="n"/>
      <c r="G78" s="620">
        <f>G77+F78-E78</f>
        <v/>
      </c>
      <c r="J78" t="inlineStr">
        <is>
          <t>投資</t>
        </is>
      </c>
      <c r="K78">
        <f>IF(J78="本金",C78+K77,K77)</f>
        <v/>
      </c>
      <c r="L78">
        <f>IF(J78="本金",F78+L77,L77)</f>
        <v/>
      </c>
    </row>
    <row r="79" outlineLevel="1" customFormat="1" s="61">
      <c r="A79" s="615" t="n"/>
      <c r="B79" s="616" t="n"/>
      <c r="C79" s="101" t="n"/>
      <c r="D79" s="617">
        <f>D78+C79-B79</f>
        <v/>
      </c>
      <c r="E79" s="618" t="n"/>
      <c r="F79" s="622" t="n"/>
      <c r="G79" s="620">
        <f>G78+F79-E79</f>
        <v/>
      </c>
      <c r="J79" t="inlineStr">
        <is>
          <t>投資</t>
        </is>
      </c>
      <c r="K79">
        <f>IF(J79="本金",C79+K78,K78)</f>
        <v/>
      </c>
      <c r="L79">
        <f>IF(J79="本金",F79+L78,L78)</f>
        <v/>
      </c>
    </row>
    <row r="80" outlineLevel="1" customFormat="1" s="61">
      <c r="A80" s="615" t="n"/>
      <c r="B80" s="616" t="n"/>
      <c r="C80" s="101" t="n"/>
      <c r="D80" s="617">
        <f>D79+C80-B80</f>
        <v/>
      </c>
      <c r="E80" s="618" t="n"/>
      <c r="F80" s="622" t="n"/>
      <c r="G80" s="620">
        <f>G79+F80-E80</f>
        <v/>
      </c>
      <c r="J80" t="inlineStr">
        <is>
          <t>投資</t>
        </is>
      </c>
      <c r="K80">
        <f>IF(J80="本金",C80+K79,K79)</f>
        <v/>
      </c>
      <c r="L80">
        <f>IF(J80="本金",F80+L79,L79)</f>
        <v/>
      </c>
    </row>
    <row r="81" outlineLevel="1" customFormat="1" s="61">
      <c r="A81" s="615" t="n"/>
      <c r="B81" s="616" t="n"/>
      <c r="C81" s="101" t="n"/>
      <c r="D81" s="617">
        <f>D80+C81-B81</f>
        <v/>
      </c>
      <c r="E81" s="618" t="n"/>
      <c r="F81" s="622" t="n"/>
      <c r="G81" s="620">
        <f>G80+F81-E81</f>
        <v/>
      </c>
      <c r="J81" t="inlineStr">
        <is>
          <t>投資</t>
        </is>
      </c>
      <c r="K81">
        <f>IF(J81="本金",C81+K80,K80)</f>
        <v/>
      </c>
      <c r="L81">
        <f>IF(J81="本金",F81+L80,L80)</f>
        <v/>
      </c>
    </row>
    <row r="82" outlineLevel="1" customFormat="1" s="61">
      <c r="A82" s="623" t="n"/>
      <c r="B82" s="624" t="n"/>
      <c r="C82" s="111" t="n"/>
      <c r="D82" s="625">
        <f>D81+C82-B82</f>
        <v/>
      </c>
      <c r="E82" s="626" t="n"/>
      <c r="F82" s="627" t="n"/>
      <c r="G82" s="628">
        <f>G81+F82-E82</f>
        <v/>
      </c>
      <c r="H82" s="114" t="n"/>
      <c r="I82" s="114" t="n"/>
      <c r="J82" t="inlineStr">
        <is>
          <t>投資</t>
        </is>
      </c>
      <c r="K82">
        <f>IF(J82="本金",C82+K81,K81)</f>
        <v/>
      </c>
      <c r="L82">
        <f>IF(J82="本金",F82+L81,L81)</f>
        <v/>
      </c>
    </row>
    <row r="83" outlineLevel="1" customFormat="1" s="61">
      <c r="A83" s="615" t="n"/>
      <c r="B83" s="616" t="n"/>
      <c r="C83" s="101" t="n"/>
      <c r="D83" s="617">
        <f>D82+C83-B83</f>
        <v/>
      </c>
      <c r="E83" s="618" t="n"/>
      <c r="F83" s="622" t="n"/>
      <c r="G83" s="620">
        <f>G82+F83-E83</f>
        <v/>
      </c>
      <c r="J83" t="inlineStr">
        <is>
          <t>投資</t>
        </is>
      </c>
      <c r="K83">
        <f>IF(J83="本金",C83+K82,K82)</f>
        <v/>
      </c>
      <c r="L83">
        <f>IF(J83="本金",F83+L82,L82)</f>
        <v/>
      </c>
    </row>
    <row r="84" outlineLevel="1" customFormat="1" s="61">
      <c r="A84" s="615" t="n"/>
      <c r="B84" s="616" t="n"/>
      <c r="C84" s="101" t="n"/>
      <c r="D84" s="617">
        <f>D83+C84-B84</f>
        <v/>
      </c>
      <c r="E84" s="618" t="n"/>
      <c r="F84" s="622" t="n"/>
      <c r="G84" s="620">
        <f>G83+F84-E84</f>
        <v/>
      </c>
      <c r="J84" t="inlineStr">
        <is>
          <t>投資</t>
        </is>
      </c>
      <c r="K84">
        <f>IF(J84="本金",C84+K83,K83)</f>
        <v/>
      </c>
      <c r="L84">
        <f>IF(J84="本金",F84+L83,L83)</f>
        <v/>
      </c>
    </row>
    <row r="85" outlineLevel="1" customFormat="1" s="61">
      <c r="A85" s="623" t="n"/>
      <c r="B85" s="624" t="n"/>
      <c r="C85" s="111" t="n"/>
      <c r="D85" s="625">
        <f>D84+C85-B85</f>
        <v/>
      </c>
      <c r="E85" s="626" t="n"/>
      <c r="F85" s="627" t="n"/>
      <c r="G85" s="628">
        <f>G84+F85-E85</f>
        <v/>
      </c>
      <c r="H85" s="114" t="n"/>
      <c r="I85" s="114" t="n"/>
      <c r="J85" t="inlineStr">
        <is>
          <t>投資</t>
        </is>
      </c>
      <c r="K85">
        <f>IF(J85="本金",C85+K84,K84)</f>
        <v/>
      </c>
      <c r="L85">
        <f>IF(J85="本金",F85+L84,L84)</f>
        <v/>
      </c>
    </row>
    <row r="86" outlineLevel="1" customFormat="1" s="61">
      <c r="A86" s="615" t="n"/>
      <c r="B86" s="616" t="n"/>
      <c r="C86" s="101" t="n"/>
      <c r="D86" s="617">
        <f>D85+C86-B86</f>
        <v/>
      </c>
      <c r="E86" s="618" t="n"/>
      <c r="F86" s="622" t="n"/>
      <c r="G86" s="620">
        <f>G85+F86-E86</f>
        <v/>
      </c>
      <c r="J86" t="inlineStr">
        <is>
          <t>投資</t>
        </is>
      </c>
      <c r="K86">
        <f>IF(J86="本金",C86+K85,K85)</f>
        <v/>
      </c>
      <c r="L86">
        <f>IF(J86="本金",F86+L85,L85)</f>
        <v/>
      </c>
    </row>
    <row r="87" outlineLevel="1" customFormat="1" s="61">
      <c r="A87" s="623" t="n"/>
      <c r="B87" s="624" t="n"/>
      <c r="C87" s="111" t="n"/>
      <c r="D87" s="625">
        <f>D86+C87-B87</f>
        <v/>
      </c>
      <c r="E87" s="626" t="n"/>
      <c r="F87" s="627" t="n"/>
      <c r="G87" s="628">
        <f>G86+F87-E87</f>
        <v/>
      </c>
      <c r="H87" s="114" t="n"/>
      <c r="I87" s="114" t="n"/>
      <c r="J87" t="inlineStr">
        <is>
          <t>投資</t>
        </is>
      </c>
      <c r="K87">
        <f>IF(J87="本金",C87+K86,K86)</f>
        <v/>
      </c>
      <c r="L87">
        <f>IF(J87="本金",F87+L86,L86)</f>
        <v/>
      </c>
    </row>
    <row r="88" outlineLevel="1" customFormat="1" s="61">
      <c r="A88" s="615" t="n"/>
      <c r="B88" s="616" t="n"/>
      <c r="C88" s="101" t="n"/>
      <c r="D88" s="617">
        <f>D87+C88-B88</f>
        <v/>
      </c>
      <c r="E88" s="618" t="n"/>
      <c r="F88" s="622" t="n"/>
      <c r="G88" s="620">
        <f>G87+F88-E88</f>
        <v/>
      </c>
      <c r="J88" t="inlineStr">
        <is>
          <t>投資</t>
        </is>
      </c>
      <c r="K88">
        <f>IF(J88="本金",C88+K87,K87)</f>
        <v/>
      </c>
      <c r="L88">
        <f>IF(J88="本金",F88+L87,L87)</f>
        <v/>
      </c>
    </row>
    <row r="89" outlineLevel="1" customFormat="1" s="61">
      <c r="A89" s="615" t="n"/>
      <c r="B89" s="616" t="n"/>
      <c r="C89" s="101" t="n"/>
      <c r="D89" s="617">
        <f>D88+C89-B89</f>
        <v/>
      </c>
      <c r="E89" s="618" t="n"/>
      <c r="F89" s="622" t="n"/>
      <c r="G89" s="620">
        <f>G88+F89-E89</f>
        <v/>
      </c>
      <c r="J89" t="inlineStr">
        <is>
          <t>投資</t>
        </is>
      </c>
      <c r="K89">
        <f>IF(J89="本金",C89+K88,K88)</f>
        <v/>
      </c>
      <c r="L89">
        <f>IF(J89="本金",F89+L88,L88)</f>
        <v/>
      </c>
    </row>
    <row r="90" outlineLevel="1" customFormat="1" s="61">
      <c r="A90" s="615" t="n"/>
      <c r="B90" s="616" t="n"/>
      <c r="C90" s="101" t="n"/>
      <c r="D90" s="617">
        <f>D89+C90-B90</f>
        <v/>
      </c>
      <c r="E90" s="618" t="n"/>
      <c r="F90" s="622" t="n"/>
      <c r="G90" s="620">
        <f>G89+F90-E90</f>
        <v/>
      </c>
      <c r="J90" t="inlineStr">
        <is>
          <t>投資</t>
        </is>
      </c>
      <c r="K90">
        <f>IF(J90="本金",C90+K89,K89)</f>
        <v/>
      </c>
      <c r="L90">
        <f>IF(J90="本金",F90+L89,L89)</f>
        <v/>
      </c>
    </row>
    <row r="91" outlineLevel="1" customFormat="1" s="61">
      <c r="A91" s="641" t="n"/>
      <c r="B91" s="642" t="n"/>
      <c r="C91" s="123" t="n"/>
      <c r="D91" s="643">
        <f>D90+C91-B91</f>
        <v/>
      </c>
      <c r="E91" s="644" t="n"/>
      <c r="F91" s="645" t="n"/>
      <c r="G91" s="646">
        <f>G90+F91-E91</f>
        <v/>
      </c>
      <c r="H91" s="126" t="n"/>
      <c r="I91" s="126" t="n"/>
      <c r="J91" t="inlineStr">
        <is>
          <t>本金</t>
        </is>
      </c>
      <c r="K91">
        <f>IF(J91="本金",C91+K90,K90)</f>
        <v/>
      </c>
      <c r="L91">
        <f>IF(J91="本金",F91+L90,L90)</f>
        <v/>
      </c>
    </row>
    <row r="92" outlineLevel="1" customFormat="1" s="61">
      <c r="A92" s="615" t="n"/>
      <c r="B92" s="616" t="n"/>
      <c r="C92" s="101" t="n"/>
      <c r="D92" s="617">
        <f>D91+C92-B92</f>
        <v/>
      </c>
      <c r="E92" s="618" t="n"/>
      <c r="F92" s="622" t="n"/>
      <c r="G92" s="620">
        <f>G91+F92-E92</f>
        <v/>
      </c>
      <c r="J92" t="inlineStr">
        <is>
          <t>投資</t>
        </is>
      </c>
      <c r="K92">
        <f>IF(J92="本金",C92+K91,K91)</f>
        <v/>
      </c>
      <c r="L92">
        <f>IF(J92="本金",F92+L91,L91)</f>
        <v/>
      </c>
    </row>
    <row r="93" outlineLevel="1" customFormat="1" s="61">
      <c r="A93" s="615" t="n"/>
      <c r="B93" s="616" t="n"/>
      <c r="C93" s="101" t="n"/>
      <c r="D93" s="617">
        <f>D92+C93-B93</f>
        <v/>
      </c>
      <c r="E93" s="618" t="n"/>
      <c r="F93" s="622" t="n"/>
      <c r="G93" s="620">
        <f>G92+F93-E93</f>
        <v/>
      </c>
      <c r="J93" t="inlineStr">
        <is>
          <t>投資</t>
        </is>
      </c>
      <c r="K93">
        <f>IF(J93="本金",C93+K92,K92)</f>
        <v/>
      </c>
      <c r="L93">
        <f>IF(J93="本金",F93+L92,L92)</f>
        <v/>
      </c>
    </row>
    <row r="94" outlineLevel="1" customFormat="1" s="61">
      <c r="A94" s="615" t="n"/>
      <c r="B94" s="616" t="n"/>
      <c r="C94" s="101" t="n"/>
      <c r="D94" s="617">
        <f>D93+C94-B94</f>
        <v/>
      </c>
      <c r="E94" s="618" t="n"/>
      <c r="F94" s="622" t="n"/>
      <c r="G94" s="620">
        <f>G93+F94-E94</f>
        <v/>
      </c>
      <c r="J94" t="inlineStr">
        <is>
          <t>投資</t>
        </is>
      </c>
      <c r="K94">
        <f>IF(J94="本金",C94+K93,K93)</f>
        <v/>
      </c>
      <c r="L94">
        <f>IF(J94="本金",F94+L93,L93)</f>
        <v/>
      </c>
    </row>
    <row r="95" outlineLevel="1" customFormat="1" s="61">
      <c r="A95" s="615" t="n"/>
      <c r="B95" s="616" t="n"/>
      <c r="C95" s="101" t="n"/>
      <c r="D95" s="617">
        <f>D94+C95-B95</f>
        <v/>
      </c>
      <c r="E95" s="618" t="n"/>
      <c r="F95" s="622" t="n"/>
      <c r="G95" s="620">
        <f>G94+F95-E95</f>
        <v/>
      </c>
      <c r="J95" t="inlineStr">
        <is>
          <t>投資</t>
        </is>
      </c>
      <c r="K95">
        <f>IF(J95="本金",C95+K94,K94)</f>
        <v/>
      </c>
      <c r="L95">
        <f>IF(J95="本金",F95+L94,L94)</f>
        <v/>
      </c>
    </row>
    <row r="96" outlineLevel="1" customFormat="1" s="61">
      <c r="A96" s="615" t="n"/>
      <c r="B96" s="616" t="n"/>
      <c r="C96" s="101" t="n"/>
      <c r="D96" s="617">
        <f>D95+C96-B96</f>
        <v/>
      </c>
      <c r="E96" s="618" t="n"/>
      <c r="F96" s="622" t="n"/>
      <c r="G96" s="620">
        <f>G95+F96-E96</f>
        <v/>
      </c>
      <c r="J96" t="inlineStr">
        <is>
          <t>投資</t>
        </is>
      </c>
      <c r="K96">
        <f>IF(J96="本金",C96+K95,K95)</f>
        <v/>
      </c>
      <c r="L96">
        <f>IF(J96="本金",F96+L95,L95)</f>
        <v/>
      </c>
    </row>
    <row r="97" outlineLevel="1" customFormat="1" s="61">
      <c r="A97" s="615" t="n"/>
      <c r="B97" s="616" t="n"/>
      <c r="C97" s="101" t="n"/>
      <c r="D97" s="617">
        <f>D96+C97-B97</f>
        <v/>
      </c>
      <c r="E97" s="618" t="n"/>
      <c r="F97" s="622" t="n"/>
      <c r="G97" s="620">
        <f>G96+F97-E97</f>
        <v/>
      </c>
      <c r="J97" t="inlineStr">
        <is>
          <t>投資</t>
        </is>
      </c>
      <c r="K97">
        <f>IF(J97="本金",C97+K96,K96)</f>
        <v/>
      </c>
      <c r="L97">
        <f>IF(J97="本金",F97+L96,L96)</f>
        <v/>
      </c>
    </row>
    <row r="98" outlineLevel="1" customFormat="1" s="61">
      <c r="A98" s="615" t="n"/>
      <c r="B98" s="616" t="n"/>
      <c r="C98" s="101" t="n"/>
      <c r="D98" s="617">
        <f>D97+C98-B98</f>
        <v/>
      </c>
      <c r="E98" s="618" t="n"/>
      <c r="F98" s="622" t="n"/>
      <c r="G98" s="620">
        <f>G97+F98-E98</f>
        <v/>
      </c>
      <c r="J98" t="inlineStr">
        <is>
          <t>投資</t>
        </is>
      </c>
      <c r="K98">
        <f>IF(J98="本金",C98+K97,K97)</f>
        <v/>
      </c>
      <c r="L98">
        <f>IF(J98="本金",F98+L97,L97)</f>
        <v/>
      </c>
    </row>
    <row r="99" outlineLevel="1" customFormat="1" s="61">
      <c r="A99" s="615" t="n"/>
      <c r="B99" s="616" t="n"/>
      <c r="C99" s="101" t="n"/>
      <c r="D99" s="617">
        <f>D98+C99-B99</f>
        <v/>
      </c>
      <c r="E99" s="618" t="n"/>
      <c r="F99" s="622" t="n"/>
      <c r="G99" s="620">
        <f>G98+F99-E99</f>
        <v/>
      </c>
      <c r="J99" t="inlineStr">
        <is>
          <t>投資</t>
        </is>
      </c>
      <c r="K99">
        <f>IF(J99="本金",C99+K98,K98)</f>
        <v/>
      </c>
      <c r="L99">
        <f>IF(J99="本金",F99+L98,L98)</f>
        <v/>
      </c>
    </row>
    <row r="100" outlineLevel="1" customFormat="1" s="61">
      <c r="A100" s="615" t="n"/>
      <c r="B100" s="616" t="n"/>
      <c r="C100" s="101" t="n"/>
      <c r="D100" s="617">
        <f>D99+C100-B100</f>
        <v/>
      </c>
      <c r="E100" s="618" t="n"/>
      <c r="F100" s="622" t="n"/>
      <c r="G100" s="620">
        <f>G99+F100-E100</f>
        <v/>
      </c>
      <c r="J100" t="inlineStr">
        <is>
          <t>投資</t>
        </is>
      </c>
      <c r="K100">
        <f>IF(J100="本金",C100+K99,K99)</f>
        <v/>
      </c>
      <c r="L100">
        <f>IF(J100="本金",F100+L99,L99)</f>
        <v/>
      </c>
    </row>
    <row r="101" outlineLevel="1" customFormat="1" s="61">
      <c r="A101" s="615" t="n"/>
      <c r="B101" s="616" t="n"/>
      <c r="C101" s="101" t="n"/>
      <c r="D101" s="617">
        <f>D100+C101-B101</f>
        <v/>
      </c>
      <c r="E101" s="618" t="n"/>
      <c r="F101" s="622" t="n"/>
      <c r="G101" s="620">
        <f>G100+F101-E101</f>
        <v/>
      </c>
      <c r="J101" t="inlineStr">
        <is>
          <t>投資</t>
        </is>
      </c>
      <c r="K101">
        <f>IF(J101="本金",C101+K100,K100)</f>
        <v/>
      </c>
      <c r="L101">
        <f>IF(J101="本金",F101+L100,L100)</f>
        <v/>
      </c>
    </row>
    <row r="102" outlineLevel="1" customFormat="1" s="61">
      <c r="A102" s="615" t="n"/>
      <c r="B102" s="616" t="n"/>
      <c r="C102" s="101" t="n"/>
      <c r="D102" s="617">
        <f>D101+C102-B102</f>
        <v/>
      </c>
      <c r="E102" s="618" t="n"/>
      <c r="F102" s="622" t="n"/>
      <c r="G102" s="620">
        <f>G101+F102-E102</f>
        <v/>
      </c>
      <c r="J102" t="inlineStr">
        <is>
          <t>投資</t>
        </is>
      </c>
      <c r="K102">
        <f>IF(J102="本金",C102+K101,K101)</f>
        <v/>
      </c>
      <c r="L102">
        <f>IF(J102="本金",F102+L101,L101)</f>
        <v/>
      </c>
    </row>
    <row r="103" outlineLevel="1" customFormat="1" s="61">
      <c r="A103" s="615" t="n"/>
      <c r="B103" s="616" t="n"/>
      <c r="C103" s="101" t="n"/>
      <c r="D103" s="617">
        <f>D102+C103-B103</f>
        <v/>
      </c>
      <c r="E103" s="618" t="n"/>
      <c r="F103" s="622" t="n"/>
      <c r="G103" s="620">
        <f>G102+F103-E103</f>
        <v/>
      </c>
      <c r="J103" t="inlineStr">
        <is>
          <t>投資</t>
        </is>
      </c>
      <c r="K103">
        <f>IF(J103="本金",C103+K102,K102)</f>
        <v/>
      </c>
      <c r="L103">
        <f>IF(J103="本金",F103+L102,L102)</f>
        <v/>
      </c>
    </row>
    <row r="104" outlineLevel="1" customFormat="1" s="61">
      <c r="A104" s="615" t="n"/>
      <c r="B104" s="616" t="n"/>
      <c r="C104" s="101" t="n"/>
      <c r="D104" s="617">
        <f>D103+C104-B104</f>
        <v/>
      </c>
      <c r="E104" s="618" t="n"/>
      <c r="F104" s="622" t="n"/>
      <c r="G104" s="620">
        <f>G103+F104-E104</f>
        <v/>
      </c>
      <c r="J104" t="inlineStr">
        <is>
          <t>投資</t>
        </is>
      </c>
      <c r="K104">
        <f>IF(J104="本金",C104+K103,K103)</f>
        <v/>
      </c>
      <c r="L104">
        <f>IF(J104="本金",F104+L103,L103)</f>
        <v/>
      </c>
    </row>
    <row r="105" outlineLevel="1" customFormat="1" s="61">
      <c r="A105" s="615" t="n"/>
      <c r="B105" s="616" t="n"/>
      <c r="C105" s="101" t="n"/>
      <c r="D105" s="617">
        <f>D104+C105-B105</f>
        <v/>
      </c>
      <c r="E105" s="618" t="n"/>
      <c r="F105" s="622" t="n"/>
      <c r="G105" s="620">
        <f>G104+F105-E105</f>
        <v/>
      </c>
      <c r="J105" t="inlineStr">
        <is>
          <t>投資</t>
        </is>
      </c>
      <c r="K105">
        <f>IF(J105="本金",C105+K104,K104)</f>
        <v/>
      </c>
      <c r="L105">
        <f>IF(J105="本金",F105+L104,L104)</f>
        <v/>
      </c>
    </row>
    <row r="106" outlineLevel="1" customFormat="1" s="61">
      <c r="A106" s="615" t="n"/>
      <c r="B106" s="616" t="n"/>
      <c r="C106" s="101" t="n"/>
      <c r="D106" s="617">
        <f>D105+C106-B106</f>
        <v/>
      </c>
      <c r="E106" s="618" t="n"/>
      <c r="F106" s="622" t="n"/>
      <c r="G106" s="620">
        <f>G105+F106-E106</f>
        <v/>
      </c>
      <c r="J106" t="inlineStr">
        <is>
          <t>投資</t>
        </is>
      </c>
      <c r="K106">
        <f>IF(J106="本金",C106+K105,K105)</f>
        <v/>
      </c>
      <c r="L106">
        <f>IF(J106="本金",F106+L105,L105)</f>
        <v/>
      </c>
    </row>
    <row r="107" outlineLevel="1" customFormat="1" s="61">
      <c r="A107" s="615" t="n"/>
      <c r="B107" s="616" t="n"/>
      <c r="C107" s="101" t="n"/>
      <c r="D107" s="617">
        <f>D106+C107-B107</f>
        <v/>
      </c>
      <c r="E107" s="618" t="n"/>
      <c r="F107" s="622" t="n"/>
      <c r="G107" s="620">
        <f>G106+F107-E107</f>
        <v/>
      </c>
      <c r="J107" t="inlineStr">
        <is>
          <t>投資</t>
        </is>
      </c>
      <c r="K107">
        <f>IF(J107="本金",C107+K106,K106)</f>
        <v/>
      </c>
      <c r="L107">
        <f>IF(J107="本金",F107+L106,L106)</f>
        <v/>
      </c>
    </row>
    <row r="108" outlineLevel="1" customFormat="1" s="61">
      <c r="A108" s="615" t="n"/>
      <c r="B108" s="616" t="n"/>
      <c r="C108" s="101" t="n"/>
      <c r="D108" s="617">
        <f>D107+C108-B108</f>
        <v/>
      </c>
      <c r="E108" s="618" t="n"/>
      <c r="F108" s="622" t="n"/>
      <c r="G108" s="620">
        <f>G107+F108-E108</f>
        <v/>
      </c>
      <c r="J108" t="inlineStr">
        <is>
          <t>投資</t>
        </is>
      </c>
      <c r="K108">
        <f>IF(J108="本金",C108+K107,K107)</f>
        <v/>
      </c>
      <c r="L108">
        <f>IF(J108="本金",F108+L107,L107)</f>
        <v/>
      </c>
    </row>
    <row r="109" outlineLevel="1" customFormat="1" s="61">
      <c r="A109" s="615" t="n"/>
      <c r="B109" s="616" t="n"/>
      <c r="C109" s="101" t="n"/>
      <c r="D109" s="617">
        <f>D108+C109-B109</f>
        <v/>
      </c>
      <c r="E109" s="618" t="n"/>
      <c r="F109" s="622" t="n"/>
      <c r="G109" s="620">
        <f>G108+F109-E109</f>
        <v/>
      </c>
      <c r="J109" t="inlineStr">
        <is>
          <t>投資</t>
        </is>
      </c>
      <c r="K109">
        <f>IF(J109="本金",C109+K108,K108)</f>
        <v/>
      </c>
      <c r="L109">
        <f>IF(J109="本金",F109+L108,L108)</f>
        <v/>
      </c>
    </row>
    <row r="110" outlineLevel="1" customFormat="1" s="61">
      <c r="A110" s="623" t="n"/>
      <c r="B110" s="624" t="n"/>
      <c r="C110" s="111" t="n"/>
      <c r="D110" s="625">
        <f>D109+C110-B110</f>
        <v/>
      </c>
      <c r="E110" s="626" t="n"/>
      <c r="F110" s="627" t="n"/>
      <c r="G110" s="628">
        <f>G109+F110-E110</f>
        <v/>
      </c>
      <c r="H110" s="114" t="n"/>
      <c r="I110" s="114" t="n"/>
      <c r="J110" t="inlineStr">
        <is>
          <t>投資</t>
        </is>
      </c>
      <c r="K110">
        <f>IF(J110="本金",C110+K109,K109)</f>
        <v/>
      </c>
      <c r="L110">
        <f>IF(J110="本金",F110+L109,L109)</f>
        <v/>
      </c>
    </row>
    <row r="111" outlineLevel="1" customFormat="1" s="61">
      <c r="A111" s="615" t="n"/>
      <c r="B111" s="616" t="n"/>
      <c r="C111" s="101" t="n"/>
      <c r="D111" s="617">
        <f>D110+C111-B111</f>
        <v/>
      </c>
      <c r="E111" s="618" t="n"/>
      <c r="F111" s="622" t="n"/>
      <c r="G111" s="620">
        <f>G110+F111-E111</f>
        <v/>
      </c>
      <c r="J111" t="inlineStr">
        <is>
          <t>投資</t>
        </is>
      </c>
      <c r="K111">
        <f>IF(J111="本金",C111+K110,K110)</f>
        <v/>
      </c>
      <c r="L111">
        <f>IF(J111="本金",F111+L110,L110)</f>
        <v/>
      </c>
    </row>
    <row r="112" outlineLevel="1" customFormat="1" s="61">
      <c r="A112" s="615" t="n"/>
      <c r="B112" s="616" t="n"/>
      <c r="C112" s="101" t="n"/>
      <c r="D112" s="617">
        <f>D111+C112-B112</f>
        <v/>
      </c>
      <c r="E112" s="618" t="n"/>
      <c r="F112" s="622" t="n"/>
      <c r="G112" s="620">
        <f>G111+F112-E112</f>
        <v/>
      </c>
      <c r="J112" t="inlineStr">
        <is>
          <t>投資</t>
        </is>
      </c>
      <c r="K112">
        <f>IF(J112="本金",C112+K111,K111)</f>
        <v/>
      </c>
      <c r="L112">
        <f>IF(J112="本金",F112+L111,L111)</f>
        <v/>
      </c>
    </row>
    <row r="113" outlineLevel="1" customFormat="1" s="61">
      <c r="A113" s="615" t="n"/>
      <c r="B113" s="616" t="n"/>
      <c r="C113" s="101" t="n"/>
      <c r="D113" s="617">
        <f>D112+C113-B113</f>
        <v/>
      </c>
      <c r="E113" s="618" t="n"/>
      <c r="F113" s="622" t="n"/>
      <c r="G113" s="620">
        <f>G112+F113-E113</f>
        <v/>
      </c>
      <c r="J113" t="inlineStr">
        <is>
          <t>投資</t>
        </is>
      </c>
      <c r="K113">
        <f>IF(J113="本金",C113+K112,K112)</f>
        <v/>
      </c>
      <c r="L113">
        <f>IF(J113="本金",F113+L112,L112)</f>
        <v/>
      </c>
    </row>
    <row r="114" outlineLevel="1" customFormat="1" s="61">
      <c r="A114" s="615" t="n"/>
      <c r="B114" s="616" t="n"/>
      <c r="C114" s="101" t="n"/>
      <c r="D114" s="617">
        <f>D113+C114-B114</f>
        <v/>
      </c>
      <c r="E114" s="618" t="n"/>
      <c r="F114" s="622" t="n"/>
      <c r="G114" s="620">
        <f>G113+F114-E114</f>
        <v/>
      </c>
      <c r="J114" t="inlineStr">
        <is>
          <t>投資</t>
        </is>
      </c>
      <c r="K114">
        <f>IF(J114="本金",C114+K113,K113)</f>
        <v/>
      </c>
      <c r="L114">
        <f>IF(J114="本金",F114+L113,L113)</f>
        <v/>
      </c>
    </row>
    <row r="115" outlineLevel="1" customFormat="1" s="61">
      <c r="A115" s="615" t="n"/>
      <c r="B115" s="616" t="n"/>
      <c r="C115" s="101" t="n"/>
      <c r="D115" s="617">
        <f>D114+C115-B115</f>
        <v/>
      </c>
      <c r="E115" s="618" t="n"/>
      <c r="F115" s="622" t="n"/>
      <c r="G115" s="620">
        <f>G114+F115-E115</f>
        <v/>
      </c>
      <c r="J115" t="inlineStr">
        <is>
          <t>投資</t>
        </is>
      </c>
      <c r="K115">
        <f>IF(J115="本金",C115+K114,K114)</f>
        <v/>
      </c>
      <c r="L115">
        <f>IF(J115="本金",F115+L114,L114)</f>
        <v/>
      </c>
    </row>
    <row r="116" outlineLevel="1" customFormat="1" s="61">
      <c r="A116" s="615" t="n"/>
      <c r="B116" s="616" t="n"/>
      <c r="C116" s="101" t="n"/>
      <c r="D116" s="617">
        <f>D115+C116-B116</f>
        <v/>
      </c>
      <c r="E116" s="618" t="n"/>
      <c r="F116" s="622" t="n"/>
      <c r="G116" s="620">
        <f>G115+F116-E116</f>
        <v/>
      </c>
      <c r="J116" t="inlineStr">
        <is>
          <t>投資</t>
        </is>
      </c>
      <c r="K116">
        <f>IF(J116="本金",C116+K115,K115)</f>
        <v/>
      </c>
      <c r="L116">
        <f>IF(J116="本金",F116+L115,L115)</f>
        <v/>
      </c>
    </row>
    <row r="117" outlineLevel="1" customFormat="1" s="61">
      <c r="A117" s="615" t="n"/>
      <c r="B117" s="616" t="n"/>
      <c r="C117" s="101" t="n"/>
      <c r="D117" s="617">
        <f>D116+C117-B117</f>
        <v/>
      </c>
      <c r="E117" s="618" t="n"/>
      <c r="F117" s="622" t="n"/>
      <c r="G117" s="620">
        <f>G116+F117-E117</f>
        <v/>
      </c>
      <c r="J117" t="inlineStr">
        <is>
          <t>投資</t>
        </is>
      </c>
      <c r="K117">
        <f>IF(J117="本金",C117+K116,K116)</f>
        <v/>
      </c>
      <c r="L117">
        <f>IF(J117="本金",F117+L116,L116)</f>
        <v/>
      </c>
    </row>
    <row r="118" outlineLevel="1" customFormat="1" s="61">
      <c r="A118" s="615" t="n"/>
      <c r="B118" s="616" t="n"/>
      <c r="C118" s="101" t="n"/>
      <c r="D118" s="617">
        <f>D117+C118-B118</f>
        <v/>
      </c>
      <c r="E118" s="618" t="n"/>
      <c r="F118" s="622" t="n"/>
      <c r="G118" s="620">
        <f>G117+F118-E118</f>
        <v/>
      </c>
      <c r="J118" t="inlineStr">
        <is>
          <t>投資</t>
        </is>
      </c>
      <c r="K118">
        <f>IF(J118="本金",C118+K117,K117)</f>
        <v/>
      </c>
      <c r="L118">
        <f>IF(J118="本金",F118+L117,L117)</f>
        <v/>
      </c>
    </row>
    <row r="119" outlineLevel="1" customFormat="1" s="61">
      <c r="A119" s="615" t="n"/>
      <c r="B119" s="616" t="n"/>
      <c r="C119" s="101" t="n"/>
      <c r="D119" s="617">
        <f>D118+C119-B119</f>
        <v/>
      </c>
      <c r="E119" s="618" t="n"/>
      <c r="F119" s="622" t="n"/>
      <c r="G119" s="620">
        <f>G118+F119-E119</f>
        <v/>
      </c>
      <c r="J119" t="inlineStr">
        <is>
          <t>投資</t>
        </is>
      </c>
      <c r="K119">
        <f>IF(J119="本金",C119+K118,K118)</f>
        <v/>
      </c>
      <c r="L119">
        <f>IF(J119="本金",F119+L118,L118)</f>
        <v/>
      </c>
    </row>
    <row r="120" outlineLevel="1" customFormat="1" s="61">
      <c r="A120" s="615" t="n"/>
      <c r="B120" s="616" t="n"/>
      <c r="C120" s="101" t="n"/>
      <c r="D120" s="617">
        <f>D119+C120-B120</f>
        <v/>
      </c>
      <c r="E120" s="618" t="n"/>
      <c r="F120" s="622" t="n"/>
      <c r="G120" s="620">
        <f>G119+F120-E120</f>
        <v/>
      </c>
      <c r="J120" t="inlineStr">
        <is>
          <t>投資</t>
        </is>
      </c>
      <c r="K120">
        <f>IF(J120="本金",C120+K119,K119)</f>
        <v/>
      </c>
      <c r="L120">
        <f>IF(J120="本金",F120+L119,L119)</f>
        <v/>
      </c>
    </row>
    <row r="121" outlineLevel="1" customFormat="1" s="61">
      <c r="A121" s="615" t="n"/>
      <c r="B121" s="616" t="n"/>
      <c r="C121" s="101" t="n"/>
      <c r="D121" s="617">
        <f>D120+C121-B121</f>
        <v/>
      </c>
      <c r="E121" s="618" t="n"/>
      <c r="F121" s="622" t="n"/>
      <c r="G121" s="620">
        <f>G120+F121-E121</f>
        <v/>
      </c>
      <c r="J121" t="inlineStr">
        <is>
          <t>投資</t>
        </is>
      </c>
      <c r="K121">
        <f>IF(J121="本金",C121+K120,K120)</f>
        <v/>
      </c>
      <c r="L121">
        <f>IF(J121="本金",F121+L120,L120)</f>
        <v/>
      </c>
    </row>
    <row r="122" outlineLevel="1" customFormat="1" s="61">
      <c r="A122" s="615" t="n"/>
      <c r="B122" s="616" t="n"/>
      <c r="C122" s="101" t="n"/>
      <c r="D122" s="617">
        <f>D121+C122-B122</f>
        <v/>
      </c>
      <c r="E122" s="618" t="n"/>
      <c r="F122" s="622" t="n"/>
      <c r="G122" s="620">
        <f>G121+F122-E122</f>
        <v/>
      </c>
      <c r="J122" t="inlineStr">
        <is>
          <t>投資</t>
        </is>
      </c>
      <c r="K122">
        <f>IF(J122="本金",C122+K121,K121)</f>
        <v/>
      </c>
      <c r="L122">
        <f>IF(J122="本金",F122+L121,L121)</f>
        <v/>
      </c>
    </row>
    <row r="123" outlineLevel="1" customFormat="1" s="61">
      <c r="A123" s="615" t="n"/>
      <c r="B123" s="616" t="n"/>
      <c r="C123" s="101" t="n"/>
      <c r="D123" s="617">
        <f>D122+C123-B123</f>
        <v/>
      </c>
      <c r="E123" s="618" t="n"/>
      <c r="F123" s="622" t="n"/>
      <c r="G123" s="620">
        <f>G122+F123-E123</f>
        <v/>
      </c>
      <c r="J123" t="inlineStr">
        <is>
          <t>投資</t>
        </is>
      </c>
      <c r="K123">
        <f>IF(J123="本金",C123+K122,K122)</f>
        <v/>
      </c>
      <c r="L123">
        <f>IF(J123="本金",F123+L122,L122)</f>
        <v/>
      </c>
    </row>
    <row r="124" outlineLevel="1" customFormat="1" s="61">
      <c r="A124" s="615" t="n"/>
      <c r="B124" s="616" t="n"/>
      <c r="C124" s="101" t="n"/>
      <c r="D124" s="617">
        <f>D123+C124-B124</f>
        <v/>
      </c>
      <c r="E124" s="618" t="n"/>
      <c r="F124" s="622" t="n"/>
      <c r="G124" s="620">
        <f>G123+F124-E124</f>
        <v/>
      </c>
      <c r="J124" t="inlineStr">
        <is>
          <t>投資</t>
        </is>
      </c>
      <c r="K124">
        <f>IF(J124="本金",C124+K123,K123)</f>
        <v/>
      </c>
      <c r="L124">
        <f>IF(J124="本金",F124+L123,L123)</f>
        <v/>
      </c>
    </row>
    <row r="125" outlineLevel="1" customFormat="1" s="61">
      <c r="A125" s="615" t="n"/>
      <c r="B125" s="616" t="n"/>
      <c r="C125" s="101" t="n"/>
      <c r="D125" s="617">
        <f>D124+C125-B125</f>
        <v/>
      </c>
      <c r="E125" s="618" t="n"/>
      <c r="F125" s="622" t="n"/>
      <c r="G125" s="620">
        <f>G124+F125-E125</f>
        <v/>
      </c>
      <c r="J125" t="inlineStr">
        <is>
          <t>投資</t>
        </is>
      </c>
      <c r="K125">
        <f>IF(J125="本金",C125+K124,K124)</f>
        <v/>
      </c>
      <c r="L125">
        <f>IF(J125="本金",F125+L124,L124)</f>
        <v/>
      </c>
    </row>
    <row r="126" outlineLevel="1" customFormat="1" s="61">
      <c r="A126" s="615" t="n"/>
      <c r="B126" s="616" t="n"/>
      <c r="C126" s="101" t="n"/>
      <c r="D126" s="617">
        <f>D125+C126-B126</f>
        <v/>
      </c>
      <c r="E126" s="618" t="n"/>
      <c r="F126" s="622" t="n"/>
      <c r="G126" s="620">
        <f>G125+F126-E126</f>
        <v/>
      </c>
      <c r="J126" t="inlineStr">
        <is>
          <t>投資</t>
        </is>
      </c>
      <c r="K126">
        <f>IF(J126="本金",C126+K125,K125)</f>
        <v/>
      </c>
      <c r="L126">
        <f>IF(J126="本金",F126+L125,L125)</f>
        <v/>
      </c>
    </row>
    <row r="127" outlineLevel="1" customFormat="1" s="61">
      <c r="A127" s="615" t="n"/>
      <c r="B127" s="616" t="n"/>
      <c r="C127" s="101" t="n"/>
      <c r="D127" s="617">
        <f>D126+C127-B127</f>
        <v/>
      </c>
      <c r="E127" s="618" t="n"/>
      <c r="F127" s="622" t="n"/>
      <c r="G127" s="620">
        <f>G126+F127-E127</f>
        <v/>
      </c>
      <c r="J127" t="inlineStr">
        <is>
          <t>投資</t>
        </is>
      </c>
      <c r="K127">
        <f>IF(J127="本金",C127+K126,K126)</f>
        <v/>
      </c>
      <c r="L127">
        <f>IF(J127="本金",F127+L126,L126)</f>
        <v/>
      </c>
    </row>
    <row r="128" outlineLevel="1" customFormat="1" s="61">
      <c r="A128" s="629" t="n"/>
      <c r="B128" s="630" t="n"/>
      <c r="C128" s="116" t="n"/>
      <c r="D128" s="631">
        <f>D127+C128-B128</f>
        <v/>
      </c>
      <c r="E128" s="632" t="n"/>
      <c r="F128" s="633" t="n"/>
      <c r="G128" s="634">
        <f>G127+F128-E128</f>
        <v/>
      </c>
      <c r="H128" s="119" t="n"/>
      <c r="I128" s="120" t="n"/>
      <c r="J128" t="inlineStr">
        <is>
          <t>投資</t>
        </is>
      </c>
      <c r="K128">
        <f>IF(J128="本金",C128+K127,K127)</f>
        <v/>
      </c>
      <c r="L128">
        <f>IF(J128="本金",F128+L127,L127)</f>
        <v/>
      </c>
    </row>
    <row r="129" outlineLevel="1" customFormat="1" s="61">
      <c r="A129" s="615" t="n"/>
      <c r="B129" s="616" t="n"/>
      <c r="C129" s="101" t="n"/>
      <c r="D129" s="617">
        <f>D128+C129-B129</f>
        <v/>
      </c>
      <c r="E129" s="618" t="n"/>
      <c r="F129" s="622" t="n"/>
      <c r="G129" s="620">
        <f>G128+F129-E129</f>
        <v/>
      </c>
      <c r="J129" t="inlineStr">
        <is>
          <t>投資</t>
        </is>
      </c>
      <c r="K129">
        <f>IF(J129="本金",C129+K128,K128)</f>
        <v/>
      </c>
      <c r="L129">
        <f>IF(J129="本金",F129+L128,L128)</f>
        <v/>
      </c>
    </row>
    <row r="130" outlineLevel="1" customFormat="1" s="61">
      <c r="A130" s="615" t="n"/>
      <c r="B130" s="616" t="n"/>
      <c r="C130" s="101" t="n"/>
      <c r="D130" s="617">
        <f>D129+C130-B130</f>
        <v/>
      </c>
      <c r="E130" s="618" t="n"/>
      <c r="F130" s="622" t="n"/>
      <c r="G130" s="620">
        <f>G129+F130-E130</f>
        <v/>
      </c>
      <c r="J130" t="inlineStr">
        <is>
          <t>投資</t>
        </is>
      </c>
      <c r="K130">
        <f>IF(J130="本金",C130+K129,K129)</f>
        <v/>
      </c>
      <c r="L130">
        <f>IF(J130="本金",F130+L129,L129)</f>
        <v/>
      </c>
    </row>
    <row r="131" customFormat="1" s="61">
      <c r="A131" s="623" t="n"/>
      <c r="B131" s="624" t="n"/>
      <c r="C131" s="111" t="n"/>
      <c r="D131" s="625">
        <f>D130+C131-B131</f>
        <v/>
      </c>
      <c r="E131" s="626" t="n"/>
      <c r="F131" s="627" t="n"/>
      <c r="G131" s="628">
        <f>G130+F131-E131</f>
        <v/>
      </c>
      <c r="H131" s="114" t="n"/>
      <c r="I131" s="114" t="n"/>
      <c r="J131" t="inlineStr">
        <is>
          <t>投資</t>
        </is>
      </c>
      <c r="K131">
        <f>IF(J131="本金",C131+K130,K130)</f>
        <v/>
      </c>
      <c r="L131">
        <f>IF(J131="本金",F131+L130,L130)</f>
        <v/>
      </c>
    </row>
    <row r="132" outlineLevel="1" customFormat="1" s="61">
      <c r="A132" s="615" t="n"/>
      <c r="B132" s="616" t="n"/>
      <c r="C132" s="101" t="n"/>
      <c r="D132" s="617">
        <f>D131+C132-B132</f>
        <v/>
      </c>
      <c r="E132" s="618" t="n"/>
      <c r="F132" s="622" t="n"/>
      <c r="G132" s="620">
        <f>G131+F132-E132</f>
        <v/>
      </c>
      <c r="J132" t="inlineStr">
        <is>
          <t>投資</t>
        </is>
      </c>
      <c r="K132">
        <f>IF(J132="本金",C132+K131,K131)</f>
        <v/>
      </c>
      <c r="L132">
        <f>IF(J132="本金",F132+L131,L131)</f>
        <v/>
      </c>
    </row>
    <row r="133" outlineLevel="1" customFormat="1" s="61">
      <c r="A133" s="615" t="n"/>
      <c r="B133" s="616" t="n"/>
      <c r="C133" s="101" t="n"/>
      <c r="D133" s="617">
        <f>D132+C133-B133</f>
        <v/>
      </c>
      <c r="E133" s="618" t="n"/>
      <c r="F133" s="622" t="n"/>
      <c r="G133" s="620">
        <f>G132+F133-E133</f>
        <v/>
      </c>
      <c r="J133" t="inlineStr">
        <is>
          <t>投資</t>
        </is>
      </c>
      <c r="K133">
        <f>IF(J133="本金",C133+K132,K132)</f>
        <v/>
      </c>
      <c r="L133">
        <f>IF(J133="本金",F133+L132,L132)</f>
        <v/>
      </c>
    </row>
    <row r="134" outlineLevel="1" customFormat="1" s="61">
      <c r="A134" s="615" t="n"/>
      <c r="B134" s="616" t="n"/>
      <c r="C134" s="101" t="n"/>
      <c r="D134" s="617">
        <f>D133+C134-B134</f>
        <v/>
      </c>
      <c r="E134" s="618" t="n"/>
      <c r="F134" s="622" t="n"/>
      <c r="G134" s="620">
        <f>G133+F134-E134</f>
        <v/>
      </c>
      <c r="J134" t="inlineStr">
        <is>
          <t>投資</t>
        </is>
      </c>
      <c r="K134">
        <f>IF(J134="本金",C134+K133,K133)</f>
        <v/>
      </c>
      <c r="L134">
        <f>IF(J134="本金",F134+L133,L133)</f>
        <v/>
      </c>
    </row>
    <row r="135" outlineLevel="1" customFormat="1" s="61">
      <c r="A135" s="615" t="n"/>
      <c r="B135" s="616" t="n"/>
      <c r="C135" s="101" t="n"/>
      <c r="D135" s="617">
        <f>D134+C135-B135</f>
        <v/>
      </c>
      <c r="E135" s="618" t="n"/>
      <c r="F135" s="622" t="n"/>
      <c r="G135" s="620">
        <f>G134+F135-E135</f>
        <v/>
      </c>
      <c r="J135" t="inlineStr">
        <is>
          <t>投資</t>
        </is>
      </c>
      <c r="K135">
        <f>IF(J135="本金",C135+K134,K134)</f>
        <v/>
      </c>
      <c r="L135">
        <f>IF(J135="本金",F135+L134,L134)</f>
        <v/>
      </c>
    </row>
    <row r="136" outlineLevel="1" customFormat="1" s="61">
      <c r="A136" s="615" t="n"/>
      <c r="B136" s="616" t="n"/>
      <c r="C136" s="101" t="n"/>
      <c r="D136" s="617">
        <f>D135+C136-B136</f>
        <v/>
      </c>
      <c r="E136" s="618" t="n"/>
      <c r="F136" s="622" t="n"/>
      <c r="G136" s="620">
        <f>G135+F136-E136</f>
        <v/>
      </c>
      <c r="J136" t="inlineStr">
        <is>
          <t>投資</t>
        </is>
      </c>
      <c r="K136">
        <f>IF(J136="本金",C136+K135,K135)</f>
        <v/>
      </c>
      <c r="L136">
        <f>IF(J136="本金",F136+L135,L135)</f>
        <v/>
      </c>
    </row>
    <row r="137" outlineLevel="1" customFormat="1" s="61">
      <c r="A137" s="615" t="n"/>
      <c r="B137" s="616" t="n"/>
      <c r="C137" s="101" t="n"/>
      <c r="D137" s="617">
        <f>D136+C137-B137</f>
        <v/>
      </c>
      <c r="E137" s="618" t="n"/>
      <c r="F137" s="622" t="n"/>
      <c r="G137" s="620">
        <f>G136+F137-E137</f>
        <v/>
      </c>
      <c r="J137" t="inlineStr">
        <is>
          <t>投資</t>
        </is>
      </c>
      <c r="K137">
        <f>IF(J137="本金",C137+K136,K136)</f>
        <v/>
      </c>
      <c r="L137">
        <f>IF(J137="本金",F137+L136,L136)</f>
        <v/>
      </c>
    </row>
    <row r="138" outlineLevel="1" customFormat="1" s="61">
      <c r="A138" s="615" t="n"/>
      <c r="B138" s="616" t="n"/>
      <c r="C138" s="101" t="n"/>
      <c r="D138" s="617">
        <f>D137+C138-B138</f>
        <v/>
      </c>
      <c r="E138" s="618" t="n"/>
      <c r="F138" s="622" t="n"/>
      <c r="G138" s="620">
        <f>G137+F138-E138</f>
        <v/>
      </c>
      <c r="J138" t="inlineStr">
        <is>
          <t>投資</t>
        </is>
      </c>
      <c r="K138">
        <f>IF(J138="本金",C138+K137,K137)</f>
        <v/>
      </c>
      <c r="L138">
        <f>IF(J138="本金",F138+L137,L137)</f>
        <v/>
      </c>
    </row>
    <row r="139" outlineLevel="1" customFormat="1" s="61">
      <c r="A139" s="615" t="n"/>
      <c r="B139" s="616" t="n"/>
      <c r="C139" s="101" t="n"/>
      <c r="D139" s="617">
        <f>D138+C139-B139</f>
        <v/>
      </c>
      <c r="E139" s="618" t="n"/>
      <c r="F139" s="622" t="n"/>
      <c r="G139" s="620">
        <f>G138+F139-E139</f>
        <v/>
      </c>
      <c r="J139" t="inlineStr">
        <is>
          <t>投資</t>
        </is>
      </c>
      <c r="K139">
        <f>IF(J139="本金",C139+K138,K138)</f>
        <v/>
      </c>
      <c r="L139">
        <f>IF(J139="本金",F139+L138,L138)</f>
        <v/>
      </c>
    </row>
    <row r="140" outlineLevel="1" customFormat="1" s="61">
      <c r="A140" s="615" t="n"/>
      <c r="B140" s="616" t="n"/>
      <c r="C140" s="101" t="n"/>
      <c r="D140" s="617">
        <f>D139+C140-B140</f>
        <v/>
      </c>
      <c r="E140" s="618" t="n"/>
      <c r="F140" s="622" t="n"/>
      <c r="G140" s="620">
        <f>G139+F140-E140</f>
        <v/>
      </c>
      <c r="J140" t="inlineStr">
        <is>
          <t>投資</t>
        </is>
      </c>
      <c r="K140">
        <f>IF(J140="本金",C140+K139,K139)</f>
        <v/>
      </c>
      <c r="L140">
        <f>IF(J140="本金",F140+L139,L139)</f>
        <v/>
      </c>
    </row>
    <row r="141" outlineLevel="1" customFormat="1" s="61">
      <c r="A141" s="615" t="n"/>
      <c r="B141" s="616" t="n"/>
      <c r="C141" s="101" t="n"/>
      <c r="D141" s="617">
        <f>D140+C141-B141</f>
        <v/>
      </c>
      <c r="E141" s="618" t="n"/>
      <c r="F141" s="622" t="n"/>
      <c r="G141" s="620">
        <f>G140+F141-E141</f>
        <v/>
      </c>
      <c r="J141" t="inlineStr">
        <is>
          <t>投資</t>
        </is>
      </c>
      <c r="K141">
        <f>IF(J141="本金",C141+K140,K140)</f>
        <v/>
      </c>
      <c r="L141">
        <f>IF(J141="本金",F141+L140,L140)</f>
        <v/>
      </c>
    </row>
    <row r="142" outlineLevel="1" customFormat="1" s="61">
      <c r="A142" s="615" t="n"/>
      <c r="B142" s="616" t="n"/>
      <c r="C142" s="101" t="n"/>
      <c r="D142" s="617">
        <f>D141+C142-B142</f>
        <v/>
      </c>
      <c r="E142" s="618" t="n"/>
      <c r="F142" s="622" t="n"/>
      <c r="G142" s="620">
        <f>G141+F142-E142</f>
        <v/>
      </c>
      <c r="J142" t="inlineStr">
        <is>
          <t>投資</t>
        </is>
      </c>
      <c r="K142">
        <f>IF(J142="本金",C142+K141,K141)</f>
        <v/>
      </c>
      <c r="L142">
        <f>IF(J142="本金",F142+L141,L141)</f>
        <v/>
      </c>
    </row>
    <row r="143" outlineLevel="1" customFormat="1" s="61">
      <c r="A143" s="615" t="n"/>
      <c r="B143" s="616" t="n"/>
      <c r="C143" s="101" t="n"/>
      <c r="D143" s="617">
        <f>D142+C143-B143</f>
        <v/>
      </c>
      <c r="E143" s="618" t="n"/>
      <c r="F143" s="622" t="n"/>
      <c r="G143" s="620">
        <f>G142+F143-E143</f>
        <v/>
      </c>
      <c r="J143" t="inlineStr">
        <is>
          <t>投資</t>
        </is>
      </c>
      <c r="K143">
        <f>IF(J143="本金",C143+K142,K142)</f>
        <v/>
      </c>
      <c r="L143">
        <f>IF(J143="本金",F143+L142,L142)</f>
        <v/>
      </c>
    </row>
    <row r="144" outlineLevel="1" customFormat="1" s="61">
      <c r="A144" s="615" t="n"/>
      <c r="B144" s="616" t="n"/>
      <c r="C144" s="101" t="n"/>
      <c r="D144" s="617">
        <f>D143+C144-B144</f>
        <v/>
      </c>
      <c r="E144" s="618" t="n"/>
      <c r="F144" s="622" t="n"/>
      <c r="G144" s="620">
        <f>G143+F144-E144</f>
        <v/>
      </c>
      <c r="J144" t="inlineStr">
        <is>
          <t>投資</t>
        </is>
      </c>
      <c r="K144">
        <f>IF(J144="本金",C144+K143,K143)</f>
        <v/>
      </c>
      <c r="L144">
        <f>IF(J144="本金",F144+L143,L143)</f>
        <v/>
      </c>
    </row>
    <row r="145" outlineLevel="1" customFormat="1" s="61">
      <c r="A145" s="615" t="n"/>
      <c r="B145" s="616" t="n"/>
      <c r="C145" s="101" t="n"/>
      <c r="D145" s="617">
        <f>D144+C145-B145</f>
        <v/>
      </c>
      <c r="E145" s="618" t="n"/>
      <c r="F145" s="622" t="n"/>
      <c r="G145" s="620">
        <f>G144+F145-E145</f>
        <v/>
      </c>
      <c r="J145" t="inlineStr">
        <is>
          <t>投資</t>
        </is>
      </c>
      <c r="K145">
        <f>IF(J145="本金",C145+K144,K144)</f>
        <v/>
      </c>
      <c r="L145">
        <f>IF(J145="本金",F145+L144,L144)</f>
        <v/>
      </c>
    </row>
    <row r="146" outlineLevel="1" customFormat="1" s="61">
      <c r="A146" s="615" t="n"/>
      <c r="B146" s="616" t="n"/>
      <c r="C146" s="101" t="n"/>
      <c r="D146" s="617">
        <f>D145+C146-B146</f>
        <v/>
      </c>
      <c r="E146" s="618" t="n"/>
      <c r="F146" s="622" t="n"/>
      <c r="G146" s="620">
        <f>G145+F146-E146</f>
        <v/>
      </c>
      <c r="J146" t="inlineStr">
        <is>
          <t>投資</t>
        </is>
      </c>
      <c r="K146">
        <f>IF(J146="本金",C146+K145,K145)</f>
        <v/>
      </c>
      <c r="L146">
        <f>IF(J146="本金",F146+L145,L145)</f>
        <v/>
      </c>
    </row>
    <row r="147" outlineLevel="1" customFormat="1" s="61">
      <c r="A147" s="615" t="n"/>
      <c r="B147" s="616" t="n"/>
      <c r="C147" s="101" t="n"/>
      <c r="D147" s="617">
        <f>D146+C147-B147</f>
        <v/>
      </c>
      <c r="E147" s="618" t="n"/>
      <c r="F147" s="622" t="n"/>
      <c r="G147" s="620">
        <f>G146+F147-E147</f>
        <v/>
      </c>
      <c r="J147" t="inlineStr">
        <is>
          <t>投資</t>
        </is>
      </c>
      <c r="K147">
        <f>IF(J147="本金",C147+K146,K146)</f>
        <v/>
      </c>
      <c r="L147">
        <f>IF(J147="本金",F147+L146,L146)</f>
        <v/>
      </c>
    </row>
    <row r="148" outlineLevel="1" customFormat="1" s="61">
      <c r="A148" s="615" t="n"/>
      <c r="B148" s="616" t="n"/>
      <c r="C148" s="101" t="n"/>
      <c r="D148" s="617">
        <f>D147+C148-B148</f>
        <v/>
      </c>
      <c r="E148" s="618" t="n"/>
      <c r="F148" s="622" t="n"/>
      <c r="G148" s="620">
        <f>G147+F148-E148</f>
        <v/>
      </c>
      <c r="J148" t="inlineStr">
        <is>
          <t>投資</t>
        </is>
      </c>
      <c r="K148">
        <f>IF(J148="本金",C148+K147,K147)</f>
        <v/>
      </c>
      <c r="L148">
        <f>IF(J148="本金",F148+L147,L147)</f>
        <v/>
      </c>
    </row>
    <row r="149" outlineLevel="1" customFormat="1" s="61">
      <c r="A149" s="615" t="n"/>
      <c r="B149" s="616" t="n"/>
      <c r="C149" s="101" t="n"/>
      <c r="D149" s="617">
        <f>D148+C149-B149</f>
        <v/>
      </c>
      <c r="E149" s="618" t="n"/>
      <c r="F149" s="622" t="n"/>
      <c r="G149" s="620">
        <f>G148+F149-E149</f>
        <v/>
      </c>
      <c r="J149" t="inlineStr">
        <is>
          <t>投資</t>
        </is>
      </c>
      <c r="K149">
        <f>IF(J149="本金",C149+K148,K148)</f>
        <v/>
      </c>
      <c r="L149">
        <f>IF(J149="本金",F149+L148,L148)</f>
        <v/>
      </c>
    </row>
    <row r="150" outlineLevel="1" customFormat="1" s="61">
      <c r="A150" s="615" t="n"/>
      <c r="B150" s="616" t="n"/>
      <c r="C150" s="101" t="n"/>
      <c r="D150" s="617">
        <f>D149+C150-B150</f>
        <v/>
      </c>
      <c r="E150" s="618" t="n"/>
      <c r="F150" s="622" t="n"/>
      <c r="G150" s="620">
        <f>G149+F150-E150</f>
        <v/>
      </c>
      <c r="J150" t="inlineStr">
        <is>
          <t>投資</t>
        </is>
      </c>
      <c r="K150">
        <f>IF(J150="本金",C150+K149,K149)</f>
        <v/>
      </c>
      <c r="L150">
        <f>IF(J150="本金",F150+L149,L149)</f>
        <v/>
      </c>
    </row>
    <row r="151" outlineLevel="1" customFormat="1" s="61">
      <c r="A151" s="615" t="n"/>
      <c r="B151" s="616" t="n"/>
      <c r="C151" s="101" t="n"/>
      <c r="D151" s="617">
        <f>D150+C151-B151</f>
        <v/>
      </c>
      <c r="E151" s="618" t="n"/>
      <c r="F151" s="622" t="n"/>
      <c r="G151" s="620">
        <f>G150+F151-E151</f>
        <v/>
      </c>
      <c r="J151" t="inlineStr">
        <is>
          <t>投資</t>
        </is>
      </c>
      <c r="K151">
        <f>IF(J151="本金",C151+K150,K150)</f>
        <v/>
      </c>
      <c r="L151">
        <f>IF(J151="本金",F151+L150,L150)</f>
        <v/>
      </c>
    </row>
    <row r="152" outlineLevel="1" customFormat="1" s="61">
      <c r="A152" s="615" t="n"/>
      <c r="B152" s="616" t="n"/>
      <c r="C152" s="101" t="n"/>
      <c r="D152" s="617">
        <f>D151+C152-B152</f>
        <v/>
      </c>
      <c r="E152" s="618" t="n"/>
      <c r="F152" s="622" t="n"/>
      <c r="G152" s="620">
        <f>G151+F152-E152</f>
        <v/>
      </c>
      <c r="J152" t="inlineStr">
        <is>
          <t>投資</t>
        </is>
      </c>
      <c r="K152">
        <f>IF(J152="本金",C152+K151,K151)</f>
        <v/>
      </c>
      <c r="L152">
        <f>IF(J152="本金",F152+L151,L151)</f>
        <v/>
      </c>
    </row>
    <row r="153" outlineLevel="1" customFormat="1" s="61">
      <c r="A153" s="615" t="n"/>
      <c r="B153" s="616" t="n"/>
      <c r="C153" s="101" t="n"/>
      <c r="D153" s="617">
        <f>D152+C153-B153</f>
        <v/>
      </c>
      <c r="E153" s="618" t="n"/>
      <c r="F153" s="622" t="n"/>
      <c r="G153" s="620">
        <f>G152+F153-E153</f>
        <v/>
      </c>
      <c r="J153" t="inlineStr">
        <is>
          <t>投資</t>
        </is>
      </c>
      <c r="K153">
        <f>IF(J153="本金",C153+K152,K152)</f>
        <v/>
      </c>
      <c r="L153">
        <f>IF(J153="本金",F153+L152,L152)</f>
        <v/>
      </c>
    </row>
    <row r="154" outlineLevel="1" customFormat="1" s="61">
      <c r="A154" s="615" t="n"/>
      <c r="B154" s="616" t="n"/>
      <c r="C154" s="101" t="n"/>
      <c r="D154" s="617">
        <f>D153+C154-B154</f>
        <v/>
      </c>
      <c r="E154" s="618" t="n"/>
      <c r="F154" s="622" t="n"/>
      <c r="G154" s="620">
        <f>G153+F154-E154</f>
        <v/>
      </c>
      <c r="J154" t="inlineStr">
        <is>
          <t>投資</t>
        </is>
      </c>
      <c r="K154">
        <f>IF(J154="本金",C154+K153,K153)</f>
        <v/>
      </c>
      <c r="L154">
        <f>IF(J154="本金",F154+L153,L153)</f>
        <v/>
      </c>
    </row>
    <row r="155" outlineLevel="1" customFormat="1" s="61">
      <c r="A155" s="615" t="n"/>
      <c r="B155" s="616" t="n"/>
      <c r="C155" s="101" t="n"/>
      <c r="D155" s="617">
        <f>D154+C155-B155</f>
        <v/>
      </c>
      <c r="E155" s="618" t="n"/>
      <c r="F155" s="622" t="n"/>
      <c r="G155" s="620">
        <f>G154+F155-E155</f>
        <v/>
      </c>
      <c r="J155" t="inlineStr">
        <is>
          <t>投資</t>
        </is>
      </c>
      <c r="K155">
        <f>IF(J155="本金",C155+K154,K154)</f>
        <v/>
      </c>
      <c r="L155">
        <f>IF(J155="本金",F155+L154,L154)</f>
        <v/>
      </c>
    </row>
    <row r="156" outlineLevel="1" customFormat="1" s="61">
      <c r="A156" s="615" t="n"/>
      <c r="B156" s="616" t="n"/>
      <c r="C156" s="101" t="n"/>
      <c r="D156" s="617">
        <f>D155+C156-B156</f>
        <v/>
      </c>
      <c r="E156" s="618" t="n"/>
      <c r="F156" s="622" t="n"/>
      <c r="G156" s="620">
        <f>G155+F156-E156</f>
        <v/>
      </c>
      <c r="J156" t="inlineStr">
        <is>
          <t>投資</t>
        </is>
      </c>
      <c r="K156">
        <f>IF(J156="本金",C156+K155,K155)</f>
        <v/>
      </c>
      <c r="L156">
        <f>IF(J156="本金",F156+L155,L155)</f>
        <v/>
      </c>
    </row>
    <row r="157" outlineLevel="1" customFormat="1" s="61">
      <c r="A157" s="615" t="n"/>
      <c r="B157" s="616" t="n"/>
      <c r="C157" s="101" t="n"/>
      <c r="D157" s="617">
        <f>D156+C157-B157</f>
        <v/>
      </c>
      <c r="E157" s="618" t="n"/>
      <c r="F157" s="622" t="n"/>
      <c r="G157" s="620">
        <f>G156+F157-E157</f>
        <v/>
      </c>
      <c r="J157" t="inlineStr">
        <is>
          <t>投資</t>
        </is>
      </c>
      <c r="K157">
        <f>IF(J157="本金",C157+K156,K156)</f>
        <v/>
      </c>
      <c r="L157">
        <f>IF(J157="本金",F157+L156,L156)</f>
        <v/>
      </c>
    </row>
    <row r="158" outlineLevel="1" customFormat="1" s="61">
      <c r="A158" s="615" t="n"/>
      <c r="B158" s="616" t="n"/>
      <c r="C158" s="101" t="n"/>
      <c r="D158" s="617">
        <f>D157+C158-B158</f>
        <v/>
      </c>
      <c r="E158" s="618" t="n"/>
      <c r="F158" s="622" t="n"/>
      <c r="G158" s="620">
        <f>G157+F158-E158</f>
        <v/>
      </c>
      <c r="J158" t="inlineStr">
        <is>
          <t>投資</t>
        </is>
      </c>
      <c r="K158">
        <f>IF(J158="本金",C158+K157,K157)</f>
        <v/>
      </c>
      <c r="L158">
        <f>IF(J158="本金",F158+L157,L157)</f>
        <v/>
      </c>
    </row>
    <row r="159" outlineLevel="1" customFormat="1" s="61">
      <c r="A159" s="615" t="n"/>
      <c r="B159" s="616" t="n"/>
      <c r="C159" s="101" t="n"/>
      <c r="D159" s="617">
        <f>D158+C159-B159</f>
        <v/>
      </c>
      <c r="E159" s="618" t="n"/>
      <c r="F159" s="622" t="n"/>
      <c r="G159" s="620">
        <f>G158+F159-E159</f>
        <v/>
      </c>
      <c r="J159" t="inlineStr">
        <is>
          <t>投資</t>
        </is>
      </c>
      <c r="K159">
        <f>IF(J159="本金",C159+K158,K158)</f>
        <v/>
      </c>
      <c r="L159">
        <f>IF(J159="本金",F159+L158,L158)</f>
        <v/>
      </c>
    </row>
    <row r="160" outlineLevel="1" customFormat="1" s="61">
      <c r="A160" s="623" t="n"/>
      <c r="B160" s="624" t="n"/>
      <c r="C160" s="111" t="n"/>
      <c r="D160" s="625">
        <f>D159+C160-B160</f>
        <v/>
      </c>
      <c r="E160" s="626" t="n"/>
      <c r="F160" s="627" t="n"/>
      <c r="G160" s="628">
        <f>G159+F160-E160</f>
        <v/>
      </c>
      <c r="H160" s="114" t="n"/>
      <c r="I160" s="114" t="n"/>
      <c r="J160" t="inlineStr">
        <is>
          <t>投資</t>
        </is>
      </c>
      <c r="K160">
        <f>IF(J160="本金",C160+K159,K159)</f>
        <v/>
      </c>
      <c r="L160">
        <f>IF(J160="本金",F160+L159,L159)</f>
        <v/>
      </c>
    </row>
    <row r="161" outlineLevel="1" customFormat="1" s="61">
      <c r="A161" s="615" t="n"/>
      <c r="B161" s="616" t="n"/>
      <c r="C161" s="101" t="n"/>
      <c r="D161" s="617">
        <f>D160+C161-B161</f>
        <v/>
      </c>
      <c r="E161" s="618" t="n"/>
      <c r="F161" s="622" t="n"/>
      <c r="G161" s="620">
        <f>G160+F161-E161</f>
        <v/>
      </c>
      <c r="J161" t="inlineStr">
        <is>
          <t>投資</t>
        </is>
      </c>
      <c r="K161">
        <f>IF(J161="本金",C161+K160,K160)</f>
        <v/>
      </c>
      <c r="L161">
        <f>IF(J161="本金",F161+L160,L160)</f>
        <v/>
      </c>
    </row>
    <row r="162" outlineLevel="1" customFormat="1" s="61">
      <c r="A162" s="615" t="n"/>
      <c r="B162" s="616" t="n"/>
      <c r="C162" s="101" t="n"/>
      <c r="D162" s="617">
        <f>D161+C162-B162</f>
        <v/>
      </c>
      <c r="E162" s="618" t="n"/>
      <c r="F162" s="622" t="n"/>
      <c r="G162" s="620">
        <f>G161+F162-E162</f>
        <v/>
      </c>
      <c r="J162" t="inlineStr">
        <is>
          <t>投資</t>
        </is>
      </c>
      <c r="K162">
        <f>IF(J162="本金",C162+K161,K161)</f>
        <v/>
      </c>
      <c r="L162">
        <f>IF(J162="本金",F162+L161,L161)</f>
        <v/>
      </c>
    </row>
    <row r="163" outlineLevel="1" customFormat="1" s="61">
      <c r="A163" s="615" t="n"/>
      <c r="B163" s="616" t="n"/>
      <c r="C163" s="101" t="n"/>
      <c r="D163" s="617">
        <f>D162+C163-B163</f>
        <v/>
      </c>
      <c r="E163" s="618" t="n"/>
      <c r="F163" s="622" t="n"/>
      <c r="G163" s="620">
        <f>G162+F163-E163</f>
        <v/>
      </c>
      <c r="J163" t="inlineStr">
        <is>
          <t>投資</t>
        </is>
      </c>
      <c r="K163">
        <f>IF(J163="本金",C163+K162,K162)</f>
        <v/>
      </c>
      <c r="L163">
        <f>IF(J163="本金",F163+L162,L162)</f>
        <v/>
      </c>
    </row>
    <row r="164" outlineLevel="1" customFormat="1" s="61">
      <c r="A164" s="615" t="n"/>
      <c r="B164" s="616" t="n"/>
      <c r="C164" s="101" t="n"/>
      <c r="D164" s="617">
        <f>D163+C164-B164</f>
        <v/>
      </c>
      <c r="E164" s="618" t="n"/>
      <c r="F164" s="622" t="n"/>
      <c r="G164" s="620">
        <f>G163+F164-E164</f>
        <v/>
      </c>
      <c r="J164" t="inlineStr">
        <is>
          <t>投資</t>
        </is>
      </c>
      <c r="K164">
        <f>IF(J164="本金",C164+K163,K163)</f>
        <v/>
      </c>
      <c r="L164">
        <f>IF(J164="本金",F164+L163,L163)</f>
        <v/>
      </c>
    </row>
    <row r="165" outlineLevel="1" customFormat="1" s="61">
      <c r="A165" s="615" t="n"/>
      <c r="B165" s="616" t="n"/>
      <c r="C165" s="101" t="n"/>
      <c r="D165" s="617">
        <f>D164+C165-B165</f>
        <v/>
      </c>
      <c r="E165" s="618" t="n"/>
      <c r="F165" s="622" t="n"/>
      <c r="G165" s="620">
        <f>G164+F165-E165</f>
        <v/>
      </c>
      <c r="J165" t="inlineStr">
        <is>
          <t>投資</t>
        </is>
      </c>
      <c r="K165">
        <f>IF(J165="本金",C165+K164,K164)</f>
        <v/>
      </c>
      <c r="L165">
        <f>IF(J165="本金",F165+L164,L164)</f>
        <v/>
      </c>
    </row>
    <row r="166" outlineLevel="1" customFormat="1" s="61">
      <c r="A166" s="615" t="n"/>
      <c r="B166" s="616" t="n"/>
      <c r="C166" s="101" t="n"/>
      <c r="D166" s="617">
        <f>D165+C166-B166</f>
        <v/>
      </c>
      <c r="E166" s="618" t="n"/>
      <c r="F166" s="622" t="n"/>
      <c r="G166" s="620">
        <f>G165+F166-E166</f>
        <v/>
      </c>
      <c r="J166" t="inlineStr">
        <is>
          <t>投資</t>
        </is>
      </c>
      <c r="K166">
        <f>IF(J166="本金",C166+K165,K165)</f>
        <v/>
      </c>
      <c r="L166">
        <f>IF(J166="本金",F166+L165,L165)</f>
        <v/>
      </c>
    </row>
    <row r="167" outlineLevel="1" customFormat="1" s="61">
      <c r="A167" s="615" t="n"/>
      <c r="B167" s="616" t="n"/>
      <c r="C167" s="101" t="n"/>
      <c r="D167" s="617">
        <f>D166+C167-B167</f>
        <v/>
      </c>
      <c r="E167" s="618" t="n"/>
      <c r="F167" s="622" t="n"/>
      <c r="G167" s="620">
        <f>G166+F167-E167</f>
        <v/>
      </c>
      <c r="J167" t="inlineStr">
        <is>
          <t>投資</t>
        </is>
      </c>
      <c r="K167">
        <f>IF(J167="本金",C167+K166,K166)</f>
        <v/>
      </c>
      <c r="L167">
        <f>IF(J167="本金",F167+L166,L166)</f>
        <v/>
      </c>
    </row>
    <row r="168" outlineLevel="1" customFormat="1" s="61">
      <c r="A168" s="615" t="n"/>
      <c r="B168" s="616" t="n"/>
      <c r="C168" s="101" t="n"/>
      <c r="D168" s="617">
        <f>D167+C168-B168</f>
        <v/>
      </c>
      <c r="E168" s="618" t="n"/>
      <c r="F168" s="622" t="n"/>
      <c r="G168" s="620">
        <f>G167+F168-E168</f>
        <v/>
      </c>
      <c r="J168" t="inlineStr">
        <is>
          <t>投資</t>
        </is>
      </c>
      <c r="K168">
        <f>IF(J168="本金",C168+K167,K167)</f>
        <v/>
      </c>
      <c r="L168">
        <f>IF(J168="本金",F168+L167,L167)</f>
        <v/>
      </c>
    </row>
    <row r="169" outlineLevel="1" customFormat="1" s="61">
      <c r="A169" s="615" t="n"/>
      <c r="B169" s="616" t="n"/>
      <c r="C169" s="101" t="n"/>
      <c r="D169" s="617">
        <f>D168+C169-B169</f>
        <v/>
      </c>
      <c r="E169" s="618" t="n"/>
      <c r="F169" s="622" t="n"/>
      <c r="G169" s="620">
        <f>G168+F169-E169</f>
        <v/>
      </c>
      <c r="J169" t="inlineStr">
        <is>
          <t>投資</t>
        </is>
      </c>
      <c r="K169">
        <f>IF(J169="本金",C169+K168,K168)</f>
        <v/>
      </c>
      <c r="L169">
        <f>IF(J169="本金",F169+L168,L168)</f>
        <v/>
      </c>
    </row>
    <row r="170" outlineLevel="1" customFormat="1" s="61">
      <c r="A170" s="615" t="n"/>
      <c r="B170" s="616" t="n"/>
      <c r="C170" s="101" t="n"/>
      <c r="D170" s="617">
        <f>D169+C170-B170</f>
        <v/>
      </c>
      <c r="E170" s="618" t="n"/>
      <c r="F170" s="622" t="n"/>
      <c r="G170" s="620">
        <f>G169+F170-E170</f>
        <v/>
      </c>
      <c r="J170" t="inlineStr">
        <is>
          <t>投資</t>
        </is>
      </c>
      <c r="K170">
        <f>IF(J170="本金",C170+K169,K169)</f>
        <v/>
      </c>
      <c r="L170">
        <f>IF(J170="本金",F170+L169,L169)</f>
        <v/>
      </c>
    </row>
    <row r="171" outlineLevel="1" customFormat="1" s="61">
      <c r="A171" s="615" t="n"/>
      <c r="B171" s="616" t="n"/>
      <c r="C171" s="101" t="n"/>
      <c r="D171" s="617">
        <f>D170+C171-B171</f>
        <v/>
      </c>
      <c r="E171" s="618" t="n"/>
      <c r="F171" s="622" t="n"/>
      <c r="G171" s="620">
        <f>G170+F171-E171</f>
        <v/>
      </c>
      <c r="J171" t="inlineStr">
        <is>
          <t>投資</t>
        </is>
      </c>
      <c r="K171">
        <f>IF(J171="本金",C171+K170,K170)</f>
        <v/>
      </c>
      <c r="L171">
        <f>IF(J171="本金",F171+L170,L170)</f>
        <v/>
      </c>
    </row>
    <row r="172" outlineLevel="1" customFormat="1" s="61">
      <c r="A172" s="615" t="n"/>
      <c r="B172" s="616" t="n"/>
      <c r="C172" s="101" t="n"/>
      <c r="D172" s="617">
        <f>D171+C172-B172</f>
        <v/>
      </c>
      <c r="E172" s="618" t="n"/>
      <c r="F172" s="622" t="n"/>
      <c r="G172" s="620">
        <f>G171+F172-E172</f>
        <v/>
      </c>
      <c r="J172" t="inlineStr">
        <is>
          <t>投資</t>
        </is>
      </c>
      <c r="K172">
        <f>IF(J172="本金",C172+K171,K171)</f>
        <v/>
      </c>
      <c r="L172">
        <f>IF(J172="本金",F172+L171,L171)</f>
        <v/>
      </c>
    </row>
    <row r="173" outlineLevel="1" customFormat="1" s="61">
      <c r="A173" s="615" t="n"/>
      <c r="B173" s="616" t="n"/>
      <c r="C173" s="101" t="n"/>
      <c r="D173" s="617">
        <f>D172+C173-B173</f>
        <v/>
      </c>
      <c r="E173" s="618" t="n"/>
      <c r="F173" s="622" t="n"/>
      <c r="G173" s="620">
        <f>G172+F173-E173</f>
        <v/>
      </c>
      <c r="J173" t="inlineStr">
        <is>
          <t>投資</t>
        </is>
      </c>
      <c r="K173">
        <f>IF(J173="本金",C173+K172,K172)</f>
        <v/>
      </c>
      <c r="L173">
        <f>IF(J173="本金",F173+L172,L172)</f>
        <v/>
      </c>
    </row>
    <row r="174" outlineLevel="1" customFormat="1" s="61">
      <c r="A174" s="615" t="n"/>
      <c r="B174" s="616" t="n"/>
      <c r="C174" s="101" t="n"/>
      <c r="D174" s="617">
        <f>D173+C174-B174</f>
        <v/>
      </c>
      <c r="E174" s="618" t="n"/>
      <c r="F174" s="622" t="n"/>
      <c r="G174" s="620">
        <f>G173+F174-E174</f>
        <v/>
      </c>
      <c r="J174" t="inlineStr">
        <is>
          <t>投資</t>
        </is>
      </c>
      <c r="K174">
        <f>IF(J174="本金",C174+K173,K173)</f>
        <v/>
      </c>
      <c r="L174">
        <f>IF(J174="本金",F174+L173,L173)</f>
        <v/>
      </c>
    </row>
    <row r="175" outlineLevel="1" customFormat="1" s="61">
      <c r="A175" s="615" t="n"/>
      <c r="B175" s="616" t="n"/>
      <c r="C175" s="101" t="n"/>
      <c r="D175" s="617">
        <f>D174+C175-B175</f>
        <v/>
      </c>
      <c r="E175" s="618" t="n"/>
      <c r="F175" s="622" t="n"/>
      <c r="G175" s="620">
        <f>G174+F175-E175</f>
        <v/>
      </c>
      <c r="J175" t="inlineStr">
        <is>
          <t>投資</t>
        </is>
      </c>
      <c r="K175">
        <f>IF(J175="本金",C175+K174,K174)</f>
        <v/>
      </c>
      <c r="L175">
        <f>IF(J175="本金",F175+L174,L174)</f>
        <v/>
      </c>
    </row>
    <row r="176" outlineLevel="1" customFormat="1" s="61">
      <c r="A176" s="615" t="n"/>
      <c r="B176" s="616" t="n"/>
      <c r="C176" s="101" t="n"/>
      <c r="D176" s="617">
        <f>D175+C176-B176</f>
        <v/>
      </c>
      <c r="E176" s="618" t="n"/>
      <c r="F176" s="622" t="n"/>
      <c r="G176" s="620">
        <f>G175+F176-E176</f>
        <v/>
      </c>
      <c r="J176" t="inlineStr">
        <is>
          <t>投資</t>
        </is>
      </c>
      <c r="K176">
        <f>IF(J176="本金",C176+K175,K175)</f>
        <v/>
      </c>
      <c r="L176">
        <f>IF(J176="本金",F176+L175,L175)</f>
        <v/>
      </c>
    </row>
    <row r="177" outlineLevel="1" customFormat="1" s="61">
      <c r="A177" s="615" t="n"/>
      <c r="B177" s="616" t="n"/>
      <c r="C177" s="101" t="n"/>
      <c r="D177" s="617">
        <f>D176+C177-B177</f>
        <v/>
      </c>
      <c r="E177" s="618" t="n"/>
      <c r="F177" s="622" t="n"/>
      <c r="G177" s="620">
        <f>G176+F177-E177</f>
        <v/>
      </c>
      <c r="J177" t="inlineStr">
        <is>
          <t>投資</t>
        </is>
      </c>
      <c r="K177">
        <f>IF(J177="本金",C177+K176,K176)</f>
        <v/>
      </c>
      <c r="L177">
        <f>IF(J177="本金",F177+L176,L176)</f>
        <v/>
      </c>
    </row>
    <row r="178" outlineLevel="1" customFormat="1" s="61">
      <c r="A178" s="615" t="n"/>
      <c r="B178" s="616" t="n"/>
      <c r="C178" s="101" t="n"/>
      <c r="D178" s="617">
        <f>D177+C178-B178</f>
        <v/>
      </c>
      <c r="E178" s="618" t="n"/>
      <c r="F178" s="622" t="n"/>
      <c r="G178" s="620">
        <f>G177+F178-E178</f>
        <v/>
      </c>
      <c r="J178" t="inlineStr">
        <is>
          <t>投資</t>
        </is>
      </c>
      <c r="K178">
        <f>IF(J178="本金",C178+K177,K177)</f>
        <v/>
      </c>
      <c r="L178">
        <f>IF(J178="本金",F178+L177,L177)</f>
        <v/>
      </c>
    </row>
    <row r="179" outlineLevel="1" customFormat="1" s="61">
      <c r="A179" s="615" t="n"/>
      <c r="B179" s="616" t="n"/>
      <c r="C179" s="101" t="n"/>
      <c r="D179" s="617">
        <f>D178+C179-B179</f>
        <v/>
      </c>
      <c r="E179" s="618" t="n"/>
      <c r="F179" s="622" t="n"/>
      <c r="G179" s="620">
        <f>G178+F179-E179</f>
        <v/>
      </c>
      <c r="J179" t="inlineStr">
        <is>
          <t>投資</t>
        </is>
      </c>
      <c r="K179">
        <f>IF(J179="本金",C179+K178,K178)</f>
        <v/>
      </c>
      <c r="L179">
        <f>IF(J179="本金",F179+L178,L178)</f>
        <v/>
      </c>
    </row>
    <row r="180" outlineLevel="1" customFormat="1" s="61">
      <c r="A180" s="615" t="n"/>
      <c r="B180" s="616" t="n"/>
      <c r="C180" s="101" t="n"/>
      <c r="D180" s="617">
        <f>D179+C180-B180</f>
        <v/>
      </c>
      <c r="E180" s="618" t="n"/>
      <c r="F180" s="622" t="n"/>
      <c r="G180" s="620">
        <f>G179+F180-E180</f>
        <v/>
      </c>
      <c r="J180" t="inlineStr">
        <is>
          <t>投資</t>
        </is>
      </c>
      <c r="K180">
        <f>IF(J180="本金",C180+K179,K179)</f>
        <v/>
      </c>
      <c r="L180">
        <f>IF(J180="本金",F180+L179,L179)</f>
        <v/>
      </c>
    </row>
    <row r="181" outlineLevel="1" customFormat="1" s="61">
      <c r="A181" s="615" t="n"/>
      <c r="B181" s="616" t="n"/>
      <c r="C181" s="101" t="n"/>
      <c r="D181" s="617">
        <f>D180+C181-B181</f>
        <v/>
      </c>
      <c r="E181" s="618" t="n"/>
      <c r="F181" s="622" t="n"/>
      <c r="G181" s="620">
        <f>G180+F181-E181</f>
        <v/>
      </c>
      <c r="J181" t="inlineStr">
        <is>
          <t>投資</t>
        </is>
      </c>
      <c r="K181">
        <f>IF(J181="本金",C181+K180,K180)</f>
        <v/>
      </c>
      <c r="L181">
        <f>IF(J181="本金",F181+L180,L180)</f>
        <v/>
      </c>
    </row>
    <row r="182" outlineLevel="1" customFormat="1" s="61">
      <c r="A182" s="615" t="n"/>
      <c r="B182" s="616" t="n"/>
      <c r="C182" s="101" t="n"/>
      <c r="D182" s="617">
        <f>D181+C182-B182</f>
        <v/>
      </c>
      <c r="E182" s="618" t="n"/>
      <c r="F182" s="622" t="n"/>
      <c r="G182" s="620">
        <f>G181+F182-E182</f>
        <v/>
      </c>
      <c r="J182" t="inlineStr">
        <is>
          <t>投資</t>
        </is>
      </c>
      <c r="K182">
        <f>IF(J182="本金",C182+K181,K181)</f>
        <v/>
      </c>
      <c r="L182">
        <f>IF(J182="本金",F182+L181,L181)</f>
        <v/>
      </c>
    </row>
    <row r="183" outlineLevel="1" customFormat="1" s="61">
      <c r="A183" s="615" t="n"/>
      <c r="B183" s="616" t="n"/>
      <c r="C183" s="101" t="n"/>
      <c r="D183" s="617">
        <f>D182+C183-B183</f>
        <v/>
      </c>
      <c r="E183" s="618" t="n"/>
      <c r="F183" s="622" t="n"/>
      <c r="G183" s="620">
        <f>G182+F183-E183</f>
        <v/>
      </c>
      <c r="J183" t="inlineStr">
        <is>
          <t>投資</t>
        </is>
      </c>
      <c r="K183">
        <f>IF(J183="本金",C183+K182,K182)</f>
        <v/>
      </c>
      <c r="L183">
        <f>IF(J183="本金",F183+L182,L182)</f>
        <v/>
      </c>
    </row>
    <row r="184" outlineLevel="1" customFormat="1" s="61">
      <c r="A184" s="615" t="n"/>
      <c r="B184" s="616" t="n"/>
      <c r="C184" s="101" t="n"/>
      <c r="D184" s="617">
        <f>D183+C184-B184</f>
        <v/>
      </c>
      <c r="E184" s="618" t="n"/>
      <c r="F184" s="622" t="n"/>
      <c r="G184" s="620">
        <f>G183+F184-E184</f>
        <v/>
      </c>
      <c r="J184" t="inlineStr">
        <is>
          <t>投資</t>
        </is>
      </c>
      <c r="K184">
        <f>IF(J184="本金",C184+K183,K183)</f>
        <v/>
      </c>
      <c r="L184">
        <f>IF(J184="本金",F184+L183,L183)</f>
        <v/>
      </c>
    </row>
    <row r="185" outlineLevel="1" customFormat="1" s="61">
      <c r="A185" s="615" t="n"/>
      <c r="B185" s="616" t="n"/>
      <c r="C185" s="101" t="n"/>
      <c r="D185" s="617">
        <f>D184+C185-B185</f>
        <v/>
      </c>
      <c r="E185" s="618" t="n"/>
      <c r="F185" s="622" t="n"/>
      <c r="G185" s="620">
        <f>G184+F185-E185</f>
        <v/>
      </c>
      <c r="J185" t="inlineStr">
        <is>
          <t>投資</t>
        </is>
      </c>
      <c r="K185">
        <f>IF(J185="本金",C185+K184,K184)</f>
        <v/>
      </c>
      <c r="L185">
        <f>IF(J185="本金",F185+L184,L184)</f>
        <v/>
      </c>
    </row>
    <row r="186" outlineLevel="1" customFormat="1" s="61">
      <c r="A186" s="615" t="n"/>
      <c r="B186" s="616" t="n"/>
      <c r="C186" s="101" t="n"/>
      <c r="D186" s="617">
        <f>D185+C186-B186</f>
        <v/>
      </c>
      <c r="E186" s="618" t="n"/>
      <c r="F186" s="622" t="n"/>
      <c r="G186" s="620">
        <f>G185+F186-E186</f>
        <v/>
      </c>
      <c r="J186" t="inlineStr">
        <is>
          <t>投資</t>
        </is>
      </c>
      <c r="K186">
        <f>IF(J186="本金",C186+K185,K185)</f>
        <v/>
      </c>
      <c r="L186">
        <f>IF(J186="本金",F186+L185,L185)</f>
        <v/>
      </c>
    </row>
    <row r="187" outlineLevel="1" customFormat="1" s="61">
      <c r="A187" s="615" t="n"/>
      <c r="B187" s="616" t="n"/>
      <c r="C187" s="101" t="n"/>
      <c r="D187" s="617">
        <f>D186+C187-B187</f>
        <v/>
      </c>
      <c r="E187" s="618" t="n"/>
      <c r="F187" s="622" t="n"/>
      <c r="G187" s="620">
        <f>G186+F187-E187</f>
        <v/>
      </c>
      <c r="J187" t="inlineStr">
        <is>
          <t>投資</t>
        </is>
      </c>
      <c r="K187">
        <f>IF(J187="本金",C187+K186,K186)</f>
        <v/>
      </c>
      <c r="L187">
        <f>IF(J187="本金",F187+L186,L186)</f>
        <v/>
      </c>
    </row>
    <row r="188" outlineLevel="1" customFormat="1" s="61">
      <c r="A188" s="615" t="n"/>
      <c r="B188" s="616" t="n"/>
      <c r="C188" s="101" t="n"/>
      <c r="D188" s="617">
        <f>D187+C188-B188</f>
        <v/>
      </c>
      <c r="E188" s="618" t="n"/>
      <c r="F188" s="622" t="n"/>
      <c r="G188" s="620">
        <f>G187+F188-E188</f>
        <v/>
      </c>
      <c r="J188" t="inlineStr">
        <is>
          <t>投資</t>
        </is>
      </c>
      <c r="K188">
        <f>IF(J188="本金",C188+K187,K187)</f>
        <v/>
      </c>
      <c r="L188">
        <f>IF(J188="本金",F188+L187,L187)</f>
        <v/>
      </c>
    </row>
    <row r="189" outlineLevel="1" customFormat="1" s="61">
      <c r="A189" s="615" t="n"/>
      <c r="B189" s="616" t="n"/>
      <c r="C189" s="101" t="n"/>
      <c r="D189" s="617">
        <f>D188+C189-B189</f>
        <v/>
      </c>
      <c r="E189" s="618" t="n"/>
      <c r="F189" s="622" t="n"/>
      <c r="G189" s="620">
        <f>G188+F189-E189</f>
        <v/>
      </c>
      <c r="J189" t="inlineStr">
        <is>
          <t>投資</t>
        </is>
      </c>
      <c r="K189">
        <f>IF(J189="本金",C189+K188,K188)</f>
        <v/>
      </c>
      <c r="L189">
        <f>IF(J189="本金",F189+L188,L188)</f>
        <v/>
      </c>
    </row>
    <row r="190" outlineLevel="1" customFormat="1" s="61">
      <c r="A190" s="615" t="n"/>
      <c r="B190" s="616" t="n"/>
      <c r="C190" s="101" t="n"/>
      <c r="D190" s="617">
        <f>D189+C190-B190</f>
        <v/>
      </c>
      <c r="E190" s="618" t="n"/>
      <c r="F190" s="622" t="n"/>
      <c r="G190" s="620">
        <f>G189+F190-E190</f>
        <v/>
      </c>
      <c r="J190" t="inlineStr">
        <is>
          <t>投資</t>
        </is>
      </c>
      <c r="K190">
        <f>IF(J190="本金",C190+K189,K189)</f>
        <v/>
      </c>
      <c r="L190">
        <f>IF(J190="本金",F190+L189,L189)</f>
        <v/>
      </c>
    </row>
    <row r="191" outlineLevel="1" customFormat="1" s="61">
      <c r="A191" s="615" t="n"/>
      <c r="B191" s="616" t="n"/>
      <c r="C191" s="101" t="n"/>
      <c r="D191" s="617">
        <f>D190+C191-B191</f>
        <v/>
      </c>
      <c r="E191" s="618" t="n"/>
      <c r="F191" s="622" t="n"/>
      <c r="G191" s="620">
        <f>G190+F191-E191</f>
        <v/>
      </c>
      <c r="J191" t="inlineStr">
        <is>
          <t>投資</t>
        </is>
      </c>
      <c r="K191">
        <f>IF(J191="本金",C191+K190,K190)</f>
        <v/>
      </c>
      <c r="L191">
        <f>IF(J191="本金",F191+L190,L190)</f>
        <v/>
      </c>
    </row>
    <row r="192" outlineLevel="1" customFormat="1" s="61">
      <c r="A192" s="615" t="n"/>
      <c r="B192" s="616" t="n"/>
      <c r="C192" s="101" t="n"/>
      <c r="D192" s="617">
        <f>D191+C192-B192</f>
        <v/>
      </c>
      <c r="E192" s="618" t="n"/>
      <c r="F192" s="622" t="n"/>
      <c r="G192" s="620">
        <f>G191+F192-E192</f>
        <v/>
      </c>
      <c r="J192" t="inlineStr">
        <is>
          <t>投資</t>
        </is>
      </c>
      <c r="K192">
        <f>IF(J192="本金",C192+K191,K191)</f>
        <v/>
      </c>
      <c r="L192">
        <f>IF(J192="本金",F192+L191,L191)</f>
        <v/>
      </c>
    </row>
    <row r="193" outlineLevel="1" customFormat="1" s="61">
      <c r="A193" s="623" t="n"/>
      <c r="B193" s="624" t="n"/>
      <c r="C193" s="111" t="n"/>
      <c r="D193" s="625">
        <f>D192+C193-B193</f>
        <v/>
      </c>
      <c r="E193" s="626" t="n"/>
      <c r="F193" s="627" t="n"/>
      <c r="G193" s="628">
        <f>G192+F193-E193</f>
        <v/>
      </c>
      <c r="H193" s="114" t="n"/>
      <c r="I193" s="114" t="n"/>
      <c r="J193" t="inlineStr">
        <is>
          <t>投資</t>
        </is>
      </c>
      <c r="K193">
        <f>IF(J193="本金",C193+K192,K192)</f>
        <v/>
      </c>
      <c r="L193">
        <f>IF(J193="本金",F193+L192,L192)</f>
        <v/>
      </c>
    </row>
    <row r="194" outlineLevel="1" customFormat="1" s="61">
      <c r="A194" s="62" t="n"/>
      <c r="B194" s="616" t="n"/>
      <c r="C194" s="101" t="n"/>
      <c r="D194" s="617">
        <f>D193+C194-B194</f>
        <v/>
      </c>
      <c r="E194" s="618" t="n"/>
      <c r="F194" s="622" t="n"/>
      <c r="G194" s="620">
        <f>G193+F194-E194</f>
        <v/>
      </c>
      <c r="J194" t="inlineStr">
        <is>
          <t>投資</t>
        </is>
      </c>
      <c r="K194">
        <f>IF(J194="本金",C194+K193,K193)</f>
        <v/>
      </c>
      <c r="L194">
        <f>IF(J194="本金",F194+L193,L193)</f>
        <v/>
      </c>
    </row>
    <row r="195" outlineLevel="1" customFormat="1" s="61">
      <c r="A195" s="615" t="n"/>
      <c r="B195" s="616" t="n"/>
      <c r="C195" s="101" t="n"/>
      <c r="D195" s="617">
        <f>D194+C195-B195</f>
        <v/>
      </c>
      <c r="E195" s="618" t="n"/>
      <c r="F195" s="622" t="n"/>
      <c r="G195" s="620">
        <f>G194+F195-E195</f>
        <v/>
      </c>
      <c r="J195" t="inlineStr">
        <is>
          <t>投資</t>
        </is>
      </c>
      <c r="K195">
        <f>IF(J195="本金",C195+K194,K194)</f>
        <v/>
      </c>
      <c r="L195">
        <f>IF(J195="本金",F195+L194,L194)</f>
        <v/>
      </c>
    </row>
    <row r="196" outlineLevel="1" customFormat="1" s="61">
      <c r="A196" s="615" t="n"/>
      <c r="B196" s="616" t="n"/>
      <c r="C196" s="101" t="n"/>
      <c r="D196" s="617">
        <f>D195+C196-B196</f>
        <v/>
      </c>
      <c r="E196" s="618" t="n"/>
      <c r="F196" s="622" t="n"/>
      <c r="G196" s="620">
        <f>G195+F196-E196</f>
        <v/>
      </c>
      <c r="J196" t="inlineStr">
        <is>
          <t>投資</t>
        </is>
      </c>
      <c r="K196">
        <f>IF(J196="本金",C196+K195,K195)</f>
        <v/>
      </c>
      <c r="L196">
        <f>IF(J196="本金",F196+L195,L195)</f>
        <v/>
      </c>
    </row>
    <row r="197" outlineLevel="1" customFormat="1" s="61">
      <c r="A197" s="615" t="n"/>
      <c r="B197" s="616" t="n"/>
      <c r="C197" s="101" t="n"/>
      <c r="D197" s="617">
        <f>D196+C197-B197</f>
        <v/>
      </c>
      <c r="E197" s="618" t="n"/>
      <c r="F197" s="622" t="n"/>
      <c r="G197" s="620">
        <f>G196+F197-E197</f>
        <v/>
      </c>
      <c r="J197" t="inlineStr">
        <is>
          <t>投資</t>
        </is>
      </c>
      <c r="K197">
        <f>IF(J197="本金",C197+K196,K196)</f>
        <v/>
      </c>
      <c r="L197">
        <f>IF(J197="本金",F197+L196,L196)</f>
        <v/>
      </c>
    </row>
    <row r="198" outlineLevel="1" customFormat="1" s="61">
      <c r="A198" s="615" t="n"/>
      <c r="B198" s="616" t="n"/>
      <c r="C198" s="101" t="n"/>
      <c r="D198" s="617">
        <f>D197+C198-B198</f>
        <v/>
      </c>
      <c r="E198" s="618" t="n"/>
      <c r="F198" s="622" t="n"/>
      <c r="G198" s="620">
        <f>G197+F198-E198</f>
        <v/>
      </c>
      <c r="J198" t="inlineStr">
        <is>
          <t>投資</t>
        </is>
      </c>
      <c r="K198">
        <f>IF(J198="本金",C198+K197,K197)</f>
        <v/>
      </c>
      <c r="L198">
        <f>IF(J198="本金",F198+L197,L197)</f>
        <v/>
      </c>
    </row>
    <row r="199" outlineLevel="1" customFormat="1" s="61">
      <c r="A199" s="615" t="n"/>
      <c r="B199" s="616" t="n"/>
      <c r="C199" s="101" t="n"/>
      <c r="D199" s="617">
        <f>D198+C199-B199</f>
        <v/>
      </c>
      <c r="E199" s="618" t="n"/>
      <c r="F199" s="622" t="n"/>
      <c r="G199" s="620">
        <f>G198+F199-E199</f>
        <v/>
      </c>
      <c r="J199" t="inlineStr">
        <is>
          <t>投資</t>
        </is>
      </c>
      <c r="K199">
        <f>IF(J199="本金",C199+K198,K198)</f>
        <v/>
      </c>
      <c r="L199">
        <f>IF(J199="本金",F199+L198,L198)</f>
        <v/>
      </c>
    </row>
    <row r="200" outlineLevel="1" customFormat="1" s="61">
      <c r="A200" s="615" t="n"/>
      <c r="B200" s="616" t="n"/>
      <c r="C200" s="101" t="n"/>
      <c r="D200" s="617">
        <f>D199+C200-B200</f>
        <v/>
      </c>
      <c r="E200" s="618" t="n"/>
      <c r="F200" s="622" t="n"/>
      <c r="G200" s="620">
        <f>G199+F200-E200</f>
        <v/>
      </c>
      <c r="J200" t="inlineStr">
        <is>
          <t>投資</t>
        </is>
      </c>
      <c r="K200">
        <f>IF(J200="本金",C200+K199,K199)</f>
        <v/>
      </c>
      <c r="L200">
        <f>IF(J200="本金",F200+L199,L199)</f>
        <v/>
      </c>
    </row>
    <row r="201" outlineLevel="1" customFormat="1" s="61">
      <c r="A201" s="615" t="n"/>
      <c r="B201" s="616" t="n"/>
      <c r="C201" s="101" t="n"/>
      <c r="D201" s="617">
        <f>D200+C201-B201</f>
        <v/>
      </c>
      <c r="E201" s="618" t="n"/>
      <c r="F201" s="622" t="n"/>
      <c r="G201" s="620">
        <f>G200+F201-E201</f>
        <v/>
      </c>
      <c r="J201" t="inlineStr">
        <is>
          <t>投資</t>
        </is>
      </c>
      <c r="K201">
        <f>IF(J201="本金",C201+K200,K200)</f>
        <v/>
      </c>
      <c r="L201">
        <f>IF(J201="本金",F201+L200,L200)</f>
        <v/>
      </c>
    </row>
    <row r="202" outlineLevel="1" customFormat="1" s="61">
      <c r="A202" s="615" t="n"/>
      <c r="B202" s="616" t="n"/>
      <c r="C202" s="101" t="n"/>
      <c r="D202" s="617">
        <f>D201+C202-B202</f>
        <v/>
      </c>
      <c r="E202" s="618" t="n"/>
      <c r="F202" s="622" t="n"/>
      <c r="G202" s="620">
        <f>G201+F202-E202</f>
        <v/>
      </c>
      <c r="J202" t="inlineStr">
        <is>
          <t>投資</t>
        </is>
      </c>
      <c r="K202">
        <f>IF(J202="本金",C202+K201,K201)</f>
        <v/>
      </c>
      <c r="L202">
        <f>IF(J202="本金",F202+L201,L201)</f>
        <v/>
      </c>
    </row>
    <row r="203" outlineLevel="1" customFormat="1" s="61">
      <c r="A203" s="615" t="n"/>
      <c r="B203" s="616" t="n"/>
      <c r="C203" s="101" t="n"/>
      <c r="D203" s="617">
        <f>D202+C203-B203</f>
        <v/>
      </c>
      <c r="E203" s="618" t="n"/>
      <c r="F203" s="622" t="n"/>
      <c r="G203" s="620">
        <f>G202+F203-E203</f>
        <v/>
      </c>
      <c r="J203" t="inlineStr">
        <is>
          <t>投資</t>
        </is>
      </c>
      <c r="K203">
        <f>IF(J203="本金",C203+K202,K202)</f>
        <v/>
      </c>
      <c r="L203">
        <f>IF(J203="本金",F203+L202,L202)</f>
        <v/>
      </c>
    </row>
    <row r="204" outlineLevel="1" customFormat="1" s="61">
      <c r="A204" s="615" t="n"/>
      <c r="B204" s="616" t="n"/>
      <c r="C204" s="101" t="n"/>
      <c r="D204" s="617">
        <f>D203+C204-B204</f>
        <v/>
      </c>
      <c r="E204" s="618" t="n"/>
      <c r="F204" s="622" t="n"/>
      <c r="G204" s="620">
        <f>G203+F204-E204</f>
        <v/>
      </c>
      <c r="J204" t="inlineStr">
        <is>
          <t>投資</t>
        </is>
      </c>
      <c r="K204">
        <f>IF(J204="本金",C204+K203,K203)</f>
        <v/>
      </c>
      <c r="L204">
        <f>IF(J204="本金",F204+L203,L203)</f>
        <v/>
      </c>
    </row>
    <row r="205" outlineLevel="1" customFormat="1" s="61">
      <c r="A205" s="615" t="n"/>
      <c r="B205" s="616" t="n"/>
      <c r="C205" s="101" t="n"/>
      <c r="D205" s="617">
        <f>D204+C205-B205</f>
        <v/>
      </c>
      <c r="E205" s="618" t="n"/>
      <c r="F205" s="622" t="n"/>
      <c r="G205" s="620">
        <f>G204+F205-E205</f>
        <v/>
      </c>
      <c r="J205" t="inlineStr">
        <is>
          <t>投資</t>
        </is>
      </c>
      <c r="K205">
        <f>IF(J205="本金",C205+K204,K204)</f>
        <v/>
      </c>
      <c r="L205">
        <f>IF(J205="本金",F205+L204,L204)</f>
        <v/>
      </c>
    </row>
    <row r="206" outlineLevel="1" customFormat="1" s="61">
      <c r="A206" s="615" t="n"/>
      <c r="B206" s="616" t="n"/>
      <c r="C206" s="101" t="n"/>
      <c r="D206" s="617">
        <f>D205+C206-B206</f>
        <v/>
      </c>
      <c r="E206" s="618" t="n"/>
      <c r="F206" s="622" t="n"/>
      <c r="G206" s="620">
        <f>G205+F206-E206</f>
        <v/>
      </c>
      <c r="J206" t="inlineStr">
        <is>
          <t>投資</t>
        </is>
      </c>
      <c r="K206">
        <f>IF(J206="本金",C206+K205,K205)</f>
        <v/>
      </c>
      <c r="L206">
        <f>IF(J206="本金",F206+L205,L205)</f>
        <v/>
      </c>
    </row>
    <row r="207" outlineLevel="1" customFormat="1" s="61">
      <c r="A207" s="615" t="n"/>
      <c r="B207" s="616" t="n"/>
      <c r="C207" s="101" t="n"/>
      <c r="D207" s="617">
        <f>D206+C207-B207</f>
        <v/>
      </c>
      <c r="E207" s="618" t="n"/>
      <c r="F207" s="622" t="n"/>
      <c r="G207" s="620">
        <f>G206+F207-E207</f>
        <v/>
      </c>
      <c r="J207" t="inlineStr">
        <is>
          <t>投資</t>
        </is>
      </c>
      <c r="K207">
        <f>IF(J207="本金",C207+K206,K206)</f>
        <v/>
      </c>
      <c r="L207">
        <f>IF(J207="本金",F207+L206,L206)</f>
        <v/>
      </c>
    </row>
    <row r="208" outlineLevel="1" customFormat="1" s="61">
      <c r="A208" s="615" t="n"/>
      <c r="B208" s="616" t="n"/>
      <c r="C208" s="101" t="n"/>
      <c r="D208" s="617">
        <f>D207+C208-B208</f>
        <v/>
      </c>
      <c r="E208" s="618" t="n"/>
      <c r="F208" s="622" t="n"/>
      <c r="G208" s="620">
        <f>G207+F208-E208</f>
        <v/>
      </c>
      <c r="J208" t="inlineStr">
        <is>
          <t>投資</t>
        </is>
      </c>
      <c r="K208">
        <f>IF(J208="本金",C208+K207,K207)</f>
        <v/>
      </c>
      <c r="L208">
        <f>IF(J208="本金",F208+L207,L207)</f>
        <v/>
      </c>
    </row>
    <row r="209" outlineLevel="1" customFormat="1" s="61">
      <c r="A209" s="615" t="n"/>
      <c r="B209" s="616" t="n"/>
      <c r="C209" s="101" t="n"/>
      <c r="D209" s="617">
        <f>D208+C209-B209</f>
        <v/>
      </c>
      <c r="E209" s="618" t="n"/>
      <c r="F209" s="622" t="n"/>
      <c r="G209" s="620">
        <f>G208+F209-E209</f>
        <v/>
      </c>
      <c r="J209" t="inlineStr">
        <is>
          <t>投資</t>
        </is>
      </c>
      <c r="K209">
        <f>IF(J209="本金",C209+K208,K208)</f>
        <v/>
      </c>
      <c r="L209">
        <f>IF(J209="本金",F209+L208,L208)</f>
        <v/>
      </c>
    </row>
    <row r="210" outlineLevel="1" customFormat="1" s="61">
      <c r="A210" s="615" t="n"/>
      <c r="B210" s="616" t="n"/>
      <c r="C210" s="101" t="n"/>
      <c r="D210" s="617">
        <f>D209+C210-B210</f>
        <v/>
      </c>
      <c r="E210" s="618" t="n"/>
      <c r="F210" s="622" t="n"/>
      <c r="G210" s="620">
        <f>G209+F210-E210</f>
        <v/>
      </c>
      <c r="J210" t="inlineStr">
        <is>
          <t>投資</t>
        </is>
      </c>
      <c r="K210">
        <f>IF(J210="本金",C210+K209,K209)</f>
        <v/>
      </c>
      <c r="L210">
        <f>IF(J210="本金",F210+L209,L209)</f>
        <v/>
      </c>
    </row>
    <row r="211" outlineLevel="1" customFormat="1" s="61">
      <c r="A211" s="615" t="n"/>
      <c r="B211" s="616" t="n"/>
      <c r="C211" s="101" t="n"/>
      <c r="D211" s="617">
        <f>D210+C211-B211</f>
        <v/>
      </c>
      <c r="E211" s="618" t="n"/>
      <c r="F211" s="622" t="n"/>
      <c r="G211" s="620">
        <f>G210+F211-E211</f>
        <v/>
      </c>
      <c r="J211" t="inlineStr">
        <is>
          <t>投資</t>
        </is>
      </c>
      <c r="K211">
        <f>IF(J211="本金",C211+K210,K210)</f>
        <v/>
      </c>
      <c r="L211">
        <f>IF(J211="本金",F211+L210,L210)</f>
        <v/>
      </c>
    </row>
    <row r="212" outlineLevel="1" customFormat="1" s="61">
      <c r="A212" s="615" t="n"/>
      <c r="B212" s="616" t="n"/>
      <c r="C212" s="101" t="n"/>
      <c r="D212" s="617">
        <f>D211+C212-B212</f>
        <v/>
      </c>
      <c r="E212" s="618" t="n"/>
      <c r="F212" s="622" t="n"/>
      <c r="G212" s="620">
        <f>G211+F212-E212</f>
        <v/>
      </c>
      <c r="J212" t="inlineStr">
        <is>
          <t>投資</t>
        </is>
      </c>
      <c r="K212">
        <f>IF(J212="本金",C212+K211,K211)</f>
        <v/>
      </c>
      <c r="L212">
        <f>IF(J212="本金",F212+L211,L211)</f>
        <v/>
      </c>
    </row>
    <row r="213" outlineLevel="1" customFormat="1" s="61">
      <c r="A213" s="615" t="n"/>
      <c r="B213" s="616" t="n"/>
      <c r="C213" s="101" t="n"/>
      <c r="D213" s="617">
        <f>D212+C213-B213</f>
        <v/>
      </c>
      <c r="E213" s="618" t="n"/>
      <c r="F213" s="622" t="n"/>
      <c r="G213" s="620">
        <f>G212+F213-E213</f>
        <v/>
      </c>
      <c r="J213" t="inlineStr">
        <is>
          <t>投資</t>
        </is>
      </c>
      <c r="K213">
        <f>IF(J213="本金",C213+K212,K212)</f>
        <v/>
      </c>
      <c r="L213">
        <f>IF(J213="本金",F213+L212,L212)</f>
        <v/>
      </c>
    </row>
    <row r="214" outlineLevel="1" customFormat="1" s="61">
      <c r="A214" s="615" t="n"/>
      <c r="B214" s="616" t="n"/>
      <c r="C214" s="101" t="n"/>
      <c r="D214" s="617">
        <f>D213+C214-B214</f>
        <v/>
      </c>
      <c r="E214" s="618" t="n"/>
      <c r="F214" s="622" t="n"/>
      <c r="G214" s="620">
        <f>G213+F214-E214</f>
        <v/>
      </c>
      <c r="J214" t="inlineStr">
        <is>
          <t>投資</t>
        </is>
      </c>
      <c r="K214">
        <f>IF(J214="本金",C214+K213,K213)</f>
        <v/>
      </c>
      <c r="L214">
        <f>IF(J214="本金",F214+L213,L213)</f>
        <v/>
      </c>
    </row>
    <row r="215" outlineLevel="1" customFormat="1" s="61">
      <c r="A215" s="615" t="n"/>
      <c r="B215" s="616" t="n"/>
      <c r="C215" s="101" t="n"/>
      <c r="D215" s="617">
        <f>D214+C215-B215</f>
        <v/>
      </c>
      <c r="E215" s="618" t="n"/>
      <c r="F215" s="622" t="n"/>
      <c r="G215" s="620">
        <f>G214+F215-E215</f>
        <v/>
      </c>
      <c r="J215" t="inlineStr">
        <is>
          <t>投資</t>
        </is>
      </c>
      <c r="K215">
        <f>IF(J215="本金",C215+K214,K214)</f>
        <v/>
      </c>
      <c r="L215">
        <f>IF(J215="本金",F215+L214,L214)</f>
        <v/>
      </c>
    </row>
    <row r="216" outlineLevel="1" customFormat="1" s="61">
      <c r="A216" s="615" t="n"/>
      <c r="B216" s="616" t="n"/>
      <c r="C216" s="101" t="n"/>
      <c r="D216" s="617">
        <f>D215+C216-B216</f>
        <v/>
      </c>
      <c r="E216" s="618" t="n"/>
      <c r="F216" s="622" t="n"/>
      <c r="G216" s="620">
        <f>G215+F216-E216</f>
        <v/>
      </c>
      <c r="J216" t="inlineStr">
        <is>
          <t>投資</t>
        </is>
      </c>
      <c r="K216">
        <f>IF(J216="本金",C216+K215,K215)</f>
        <v/>
      </c>
      <c r="L216">
        <f>IF(J216="本金",F216+L215,L215)</f>
        <v/>
      </c>
    </row>
    <row r="217" outlineLevel="1" customFormat="1" s="61">
      <c r="A217" s="615" t="n"/>
      <c r="B217" s="616" t="n"/>
      <c r="C217" s="101" t="n"/>
      <c r="D217" s="617">
        <f>D216+C217-B217</f>
        <v/>
      </c>
      <c r="E217" s="618" t="n"/>
      <c r="F217" s="622" t="n"/>
      <c r="G217" s="620">
        <f>G216+F217-E217</f>
        <v/>
      </c>
      <c r="J217" t="inlineStr">
        <is>
          <t>投資</t>
        </is>
      </c>
      <c r="K217">
        <f>IF(J217="本金",C217+K216,K216)</f>
        <v/>
      </c>
      <c r="L217">
        <f>IF(J217="本金",F217+L216,L216)</f>
        <v/>
      </c>
    </row>
    <row r="218" outlineLevel="1" customFormat="1" s="61">
      <c r="A218" s="615" t="n"/>
      <c r="B218" s="616" t="n"/>
      <c r="C218" s="101" t="n"/>
      <c r="D218" s="617">
        <f>D217+C218-B218</f>
        <v/>
      </c>
      <c r="E218" s="618" t="n"/>
      <c r="F218" s="622" t="n"/>
      <c r="G218" s="620">
        <f>G217+F218-E218</f>
        <v/>
      </c>
      <c r="J218" t="inlineStr">
        <is>
          <t>投資</t>
        </is>
      </c>
      <c r="K218">
        <f>IF(J218="本金",C218+K217,K217)</f>
        <v/>
      </c>
      <c r="L218">
        <f>IF(J218="本金",F218+L217,L217)</f>
        <v/>
      </c>
    </row>
    <row r="219" outlineLevel="1" customFormat="1" s="61">
      <c r="A219" s="615" t="n"/>
      <c r="B219" s="616" t="n"/>
      <c r="C219" s="101" t="n"/>
      <c r="D219" s="617">
        <f>D218+C219-B219</f>
        <v/>
      </c>
      <c r="E219" s="618" t="n"/>
      <c r="F219" s="622" t="n"/>
      <c r="G219" s="620">
        <f>G218+F219-E219</f>
        <v/>
      </c>
      <c r="J219" t="inlineStr">
        <is>
          <t>投資</t>
        </is>
      </c>
      <c r="K219">
        <f>IF(J219="本金",C219+K218,K218)</f>
        <v/>
      </c>
      <c r="L219">
        <f>IF(J219="本金",F219+L218,L218)</f>
        <v/>
      </c>
    </row>
    <row r="220" outlineLevel="1" customFormat="1" s="61">
      <c r="A220" s="615" t="n"/>
      <c r="B220" s="616" t="n"/>
      <c r="C220" s="101" t="n"/>
      <c r="D220" s="617">
        <f>D219+C220-B220</f>
        <v/>
      </c>
      <c r="E220" s="618" t="n"/>
      <c r="F220" s="622" t="n"/>
      <c r="G220" s="620">
        <f>G219+F220-E220</f>
        <v/>
      </c>
      <c r="J220" t="inlineStr">
        <is>
          <t>投資</t>
        </is>
      </c>
      <c r="K220">
        <f>IF(J220="本金",C220+K219,K219)</f>
        <v/>
      </c>
      <c r="L220">
        <f>IF(J220="本金",F220+L219,L219)</f>
        <v/>
      </c>
    </row>
    <row r="221" outlineLevel="1" customFormat="1" s="61">
      <c r="A221" s="615" t="n"/>
      <c r="B221" s="616" t="n"/>
      <c r="C221" s="101" t="n"/>
      <c r="D221" s="617">
        <f>D220+C221-B221</f>
        <v/>
      </c>
      <c r="E221" s="618" t="n"/>
      <c r="F221" s="622" t="n"/>
      <c r="G221" s="620">
        <f>G220+F221-E221</f>
        <v/>
      </c>
      <c r="J221" t="inlineStr">
        <is>
          <t>投資</t>
        </is>
      </c>
      <c r="K221">
        <f>IF(J221="本金",C221+K220,K220)</f>
        <v/>
      </c>
      <c r="L221">
        <f>IF(J221="本金",F221+L220,L220)</f>
        <v/>
      </c>
    </row>
    <row r="222" outlineLevel="1" customFormat="1" s="61">
      <c r="A222" s="615" t="n"/>
      <c r="B222" s="616" t="n"/>
      <c r="C222" s="101" t="n"/>
      <c r="D222" s="617">
        <f>D221+C222-B222</f>
        <v/>
      </c>
      <c r="E222" s="618" t="n"/>
      <c r="F222" s="622" t="n"/>
      <c r="G222" s="620">
        <f>G221+F222-E222</f>
        <v/>
      </c>
      <c r="J222" t="inlineStr">
        <is>
          <t>投資</t>
        </is>
      </c>
      <c r="K222">
        <f>IF(J222="本金",C222+K221,K221)</f>
        <v/>
      </c>
      <c r="L222">
        <f>IF(J222="本金",F222+L221,L221)</f>
        <v/>
      </c>
    </row>
    <row r="223" outlineLevel="1" customFormat="1" s="61">
      <c r="A223" s="615" t="n"/>
      <c r="B223" s="616" t="n"/>
      <c r="C223" s="101" t="n"/>
      <c r="D223" s="617">
        <f>D222+C223-B223</f>
        <v/>
      </c>
      <c r="E223" s="618" t="n"/>
      <c r="F223" s="622" t="n"/>
      <c r="G223" s="620">
        <f>G222+F223-E223</f>
        <v/>
      </c>
      <c r="J223" t="inlineStr">
        <is>
          <t>投資</t>
        </is>
      </c>
      <c r="K223">
        <f>IF(J223="本金",C223+K222,K222)</f>
        <v/>
      </c>
      <c r="L223">
        <f>IF(J223="本金",F223+L222,L222)</f>
        <v/>
      </c>
    </row>
    <row r="224" outlineLevel="1" customFormat="1" s="61">
      <c r="A224" s="615" t="n"/>
      <c r="B224" s="616" t="n"/>
      <c r="C224" s="101" t="n"/>
      <c r="D224" s="617">
        <f>D223+C224-B224</f>
        <v/>
      </c>
      <c r="E224" s="618" t="n"/>
      <c r="F224" s="622" t="n"/>
      <c r="G224" s="620">
        <f>G223+F224-E224</f>
        <v/>
      </c>
      <c r="J224" t="inlineStr">
        <is>
          <t>投資</t>
        </is>
      </c>
      <c r="K224">
        <f>IF(J224="本金",C224+K223,K223)</f>
        <v/>
      </c>
      <c r="L224">
        <f>IF(J224="本金",F224+L223,L223)</f>
        <v/>
      </c>
    </row>
    <row r="225" outlineLevel="1" customFormat="1" s="61">
      <c r="A225" s="615" t="n"/>
      <c r="B225" s="616" t="n"/>
      <c r="C225" s="101" t="n"/>
      <c r="D225" s="617">
        <f>D224+C225-B225</f>
        <v/>
      </c>
      <c r="E225" s="618" t="n"/>
      <c r="F225" s="622" t="n"/>
      <c r="G225" s="620">
        <f>G224+F225-E225</f>
        <v/>
      </c>
      <c r="J225" t="inlineStr">
        <is>
          <t>投資</t>
        </is>
      </c>
      <c r="K225">
        <f>IF(J225="本金",C225+K224,K224)</f>
        <v/>
      </c>
      <c r="L225">
        <f>IF(J225="本金",F225+L224,L224)</f>
        <v/>
      </c>
    </row>
    <row r="226" outlineLevel="1" customFormat="1" s="61">
      <c r="A226" s="615" t="n"/>
      <c r="B226" s="616" t="n"/>
      <c r="C226" s="101" t="n"/>
      <c r="D226" s="617">
        <f>D225+C226-B226</f>
        <v/>
      </c>
      <c r="E226" s="618" t="n"/>
      <c r="F226" s="622" t="n"/>
      <c r="G226" s="620">
        <f>G225+F226-E226</f>
        <v/>
      </c>
      <c r="J226" t="inlineStr">
        <is>
          <t>投資</t>
        </is>
      </c>
      <c r="K226">
        <f>IF(J226="本金",C226+K225,K225)</f>
        <v/>
      </c>
      <c r="L226">
        <f>IF(J226="本金",F226+L225,L225)</f>
        <v/>
      </c>
    </row>
    <row r="227" outlineLevel="1" customFormat="1" s="61">
      <c r="A227" s="615" t="n"/>
      <c r="B227" s="616" t="n"/>
      <c r="C227" s="101" t="n"/>
      <c r="D227" s="617">
        <f>D226+C227-B227</f>
        <v/>
      </c>
      <c r="E227" s="618" t="n"/>
      <c r="F227" s="622" t="n"/>
      <c r="G227" s="620">
        <f>G226+F227-E227</f>
        <v/>
      </c>
      <c r="J227" t="inlineStr">
        <is>
          <t>投資</t>
        </is>
      </c>
      <c r="K227">
        <f>IF(J227="本金",C227+K226,K226)</f>
        <v/>
      </c>
      <c r="L227">
        <f>IF(J227="本金",F227+L226,L226)</f>
        <v/>
      </c>
    </row>
    <row r="228" outlineLevel="1" customFormat="1" s="61">
      <c r="A228" s="615" t="n"/>
      <c r="B228" s="616" t="n"/>
      <c r="C228" s="101" t="n"/>
      <c r="D228" s="617">
        <f>D227+C228-B228</f>
        <v/>
      </c>
      <c r="E228" s="618" t="n"/>
      <c r="F228" s="622" t="n"/>
      <c r="G228" s="620">
        <f>G227+F228-E228</f>
        <v/>
      </c>
      <c r="J228" t="inlineStr">
        <is>
          <t>投資</t>
        </is>
      </c>
      <c r="K228">
        <f>IF(J228="本金",C228+K227,K227)</f>
        <v/>
      </c>
      <c r="L228">
        <f>IF(J228="本金",F228+L227,L227)</f>
        <v/>
      </c>
    </row>
    <row r="229" outlineLevel="1" customFormat="1" s="61">
      <c r="A229" s="615" t="n"/>
      <c r="B229" s="616" t="n"/>
      <c r="C229" s="101" t="n"/>
      <c r="D229" s="617">
        <f>D228+C229-B229</f>
        <v/>
      </c>
      <c r="E229" s="618" t="n"/>
      <c r="F229" s="622" t="n"/>
      <c r="G229" s="620">
        <f>G228+F229-E229</f>
        <v/>
      </c>
      <c r="J229" t="inlineStr">
        <is>
          <t>投資</t>
        </is>
      </c>
      <c r="K229">
        <f>IF(J229="本金",C229+K228,K228)</f>
        <v/>
      </c>
      <c r="L229">
        <f>IF(J229="本金",F229+L228,L228)</f>
        <v/>
      </c>
    </row>
    <row r="230" outlineLevel="1" customFormat="1" s="61">
      <c r="A230" s="615" t="n"/>
      <c r="B230" s="616" t="n"/>
      <c r="C230" s="101" t="n"/>
      <c r="D230" s="617">
        <f>D229+C230-B230</f>
        <v/>
      </c>
      <c r="E230" s="618" t="n"/>
      <c r="F230" s="622" t="n"/>
      <c r="G230" s="620">
        <f>G229+F230-E230</f>
        <v/>
      </c>
      <c r="J230" t="inlineStr">
        <is>
          <t>投資</t>
        </is>
      </c>
      <c r="K230">
        <f>IF(J230="本金",C230+K229,K229)</f>
        <v/>
      </c>
      <c r="L230">
        <f>IF(J230="本金",F230+L229,L229)</f>
        <v/>
      </c>
    </row>
    <row r="231" outlineLevel="1" customFormat="1" s="61">
      <c r="A231" s="615" t="n"/>
      <c r="B231" s="616" t="n"/>
      <c r="C231" s="101" t="n"/>
      <c r="D231" s="617">
        <f>D230+C231-B231</f>
        <v/>
      </c>
      <c r="E231" s="618" t="n"/>
      <c r="F231" s="622" t="n"/>
      <c r="G231" s="620">
        <f>G230+F231-E231</f>
        <v/>
      </c>
      <c r="J231" t="inlineStr">
        <is>
          <t>投資</t>
        </is>
      </c>
      <c r="K231">
        <f>IF(J231="本金",C231+K230,K230)</f>
        <v/>
      </c>
      <c r="L231">
        <f>IF(J231="本金",F231+L230,L230)</f>
        <v/>
      </c>
    </row>
    <row r="232" outlineLevel="1" customFormat="1" s="61">
      <c r="A232" s="615" t="n"/>
      <c r="B232" s="616" t="n"/>
      <c r="C232" s="101" t="n"/>
      <c r="D232" s="617">
        <f>D231+C232-B232</f>
        <v/>
      </c>
      <c r="E232" s="618" t="n"/>
      <c r="F232" s="622" t="n"/>
      <c r="G232" s="620">
        <f>G231+F232-E232</f>
        <v/>
      </c>
      <c r="J232" t="inlineStr">
        <is>
          <t>投資</t>
        </is>
      </c>
      <c r="K232">
        <f>IF(J232="本金",C232+K231,K231)</f>
        <v/>
      </c>
      <c r="L232">
        <f>IF(J232="本金",F232+L231,L231)</f>
        <v/>
      </c>
    </row>
    <row r="233" outlineLevel="1" customFormat="1" s="61">
      <c r="A233" s="615" t="n"/>
      <c r="B233" s="616" t="n"/>
      <c r="C233" s="101" t="n"/>
      <c r="D233" s="617">
        <f>D232+C233-B233</f>
        <v/>
      </c>
      <c r="E233" s="618" t="n"/>
      <c r="F233" s="622" t="n"/>
      <c r="G233" s="620">
        <f>G232+F233-E233</f>
        <v/>
      </c>
      <c r="J233" t="inlineStr">
        <is>
          <t>投資</t>
        </is>
      </c>
      <c r="K233">
        <f>IF(J233="本金",C233+K232,K232)</f>
        <v/>
      </c>
      <c r="L233">
        <f>IF(J233="本金",F233+L232,L232)</f>
        <v/>
      </c>
    </row>
    <row r="234" outlineLevel="1" customFormat="1" s="61">
      <c r="A234" s="623" t="n"/>
      <c r="B234" s="624" t="n"/>
      <c r="C234" s="111" t="n"/>
      <c r="D234" s="625">
        <f>D233+C234-B234</f>
        <v/>
      </c>
      <c r="E234" s="626" t="n"/>
      <c r="F234" s="627" t="n"/>
      <c r="G234" s="628">
        <f>G233+F234-E234</f>
        <v/>
      </c>
      <c r="H234" s="114" t="n"/>
      <c r="I234" s="114" t="n"/>
      <c r="J234" t="inlineStr">
        <is>
          <t>投資</t>
        </is>
      </c>
      <c r="K234">
        <f>IF(J234="本金",C234+K233,K233)</f>
        <v/>
      </c>
      <c r="L234">
        <f>IF(J234="本金",F234+L233,L233)</f>
        <v/>
      </c>
    </row>
    <row r="235" outlineLevel="1" customFormat="1" s="61">
      <c r="A235" s="615" t="n"/>
      <c r="B235" s="616" t="n"/>
      <c r="C235" s="101" t="n"/>
      <c r="D235" s="617">
        <f>D234+C235-B235</f>
        <v/>
      </c>
      <c r="E235" s="618" t="n"/>
      <c r="F235" s="622" t="n"/>
      <c r="G235" s="620">
        <f>G234+F235-E235</f>
        <v/>
      </c>
      <c r="J235" t="inlineStr">
        <is>
          <t>投資</t>
        </is>
      </c>
      <c r="K235">
        <f>IF(J235="本金",C235+K234,K234)</f>
        <v/>
      </c>
      <c r="L235">
        <f>IF(J235="本金",F235+L234,L234)</f>
        <v/>
      </c>
    </row>
    <row r="236" outlineLevel="1" customFormat="1" s="61">
      <c r="A236" s="615" t="n"/>
      <c r="B236" s="616" t="n"/>
      <c r="C236" s="101" t="n"/>
      <c r="D236" s="617">
        <f>D235+C236-B236</f>
        <v/>
      </c>
      <c r="E236" s="618" t="n"/>
      <c r="F236" s="622" t="n"/>
      <c r="G236" s="620">
        <f>G235+F236-E236</f>
        <v/>
      </c>
      <c r="J236" t="inlineStr">
        <is>
          <t>投資</t>
        </is>
      </c>
      <c r="K236">
        <f>IF(J236="本金",C236+K235,K235)</f>
        <v/>
      </c>
      <c r="L236">
        <f>IF(J236="本金",F236+L235,L235)</f>
        <v/>
      </c>
    </row>
    <row r="237" outlineLevel="1" customFormat="1" s="61">
      <c r="A237" s="615" t="n"/>
      <c r="B237" s="616" t="n"/>
      <c r="C237" s="101" t="n"/>
      <c r="D237" s="617">
        <f>D236+C237-B237</f>
        <v/>
      </c>
      <c r="E237" s="618" t="n"/>
      <c r="F237" s="622" t="n"/>
      <c r="G237" s="620">
        <f>G236+F237-E237</f>
        <v/>
      </c>
      <c r="J237" t="inlineStr">
        <is>
          <t>投資</t>
        </is>
      </c>
      <c r="K237">
        <f>IF(J237="本金",C237+K236,K236)</f>
        <v/>
      </c>
      <c r="L237">
        <f>IF(J237="本金",F237+L236,L236)</f>
        <v/>
      </c>
    </row>
    <row r="238" outlineLevel="1" customFormat="1" s="61">
      <c r="A238" s="615" t="n"/>
      <c r="B238" s="616" t="n"/>
      <c r="C238" s="101" t="n"/>
      <c r="D238" s="617">
        <f>D237+C238-B238</f>
        <v/>
      </c>
      <c r="E238" s="618" t="n"/>
      <c r="F238" s="622" t="n"/>
      <c r="G238" s="620">
        <f>G237+F238-E238</f>
        <v/>
      </c>
      <c r="J238" t="inlineStr">
        <is>
          <t>投資</t>
        </is>
      </c>
      <c r="K238">
        <f>IF(J238="本金",C238+K237,K237)</f>
        <v/>
      </c>
      <c r="L238">
        <f>IF(J238="本金",F238+L237,L237)</f>
        <v/>
      </c>
    </row>
    <row r="239" outlineLevel="1" customFormat="1" s="61">
      <c r="A239" s="615" t="n"/>
      <c r="B239" s="616" t="n"/>
      <c r="C239" s="101" t="n"/>
      <c r="D239" s="617">
        <f>D238+C239-B239</f>
        <v/>
      </c>
      <c r="E239" s="618" t="n"/>
      <c r="F239" s="622" t="n"/>
      <c r="G239" s="620">
        <f>G238+F239-E239</f>
        <v/>
      </c>
      <c r="J239" t="inlineStr">
        <is>
          <t>投資</t>
        </is>
      </c>
      <c r="K239">
        <f>IF(J239="本金",C239+K238,K238)</f>
        <v/>
      </c>
      <c r="L239">
        <f>IF(J239="本金",F239+L238,L238)</f>
        <v/>
      </c>
    </row>
    <row r="240" outlineLevel="1" customFormat="1" s="61">
      <c r="A240" s="615" t="n"/>
      <c r="B240" s="616" t="n"/>
      <c r="C240" s="101" t="n"/>
      <c r="D240" s="617">
        <f>D239+C240-B240</f>
        <v/>
      </c>
      <c r="E240" s="618" t="n"/>
      <c r="F240" s="622" t="n"/>
      <c r="G240" s="620">
        <f>G239+F240-E240</f>
        <v/>
      </c>
      <c r="J240" t="inlineStr">
        <is>
          <t>投資</t>
        </is>
      </c>
      <c r="K240">
        <f>IF(J240="本金",C240+K239,K239)</f>
        <v/>
      </c>
      <c r="L240">
        <f>IF(J240="本金",F240+L239,L239)</f>
        <v/>
      </c>
    </row>
    <row r="241" outlineLevel="1" customFormat="1" s="61">
      <c r="A241" s="641" t="n"/>
      <c r="B241" s="642" t="n"/>
      <c r="C241" s="123" t="n"/>
      <c r="D241" s="643">
        <f>D240+C241-B241</f>
        <v/>
      </c>
      <c r="E241" s="644" t="n"/>
      <c r="F241" s="645" t="n"/>
      <c r="G241" s="646">
        <f>G240+F241-E241</f>
        <v/>
      </c>
      <c r="H241" s="126" t="n"/>
      <c r="I241" s="126" t="n"/>
      <c r="J241" t="inlineStr">
        <is>
          <t>本金</t>
        </is>
      </c>
      <c r="K241">
        <f>IF(J241="本金",C241+K240,K240)</f>
        <v/>
      </c>
      <c r="L241">
        <f>IF(J241="本金",F241+L240,L240)</f>
        <v/>
      </c>
    </row>
    <row r="242" outlineLevel="1" customFormat="1" s="61">
      <c r="A242" s="615" t="n"/>
      <c r="B242" s="616" t="n"/>
      <c r="C242" s="101" t="n"/>
      <c r="D242" s="617">
        <f>D241+C242-B242</f>
        <v/>
      </c>
      <c r="E242" s="618" t="n"/>
      <c r="F242" s="622" t="n"/>
      <c r="G242" s="620">
        <f>G241+F242-E242</f>
        <v/>
      </c>
      <c r="J242" t="inlineStr">
        <is>
          <t>投資</t>
        </is>
      </c>
      <c r="K242">
        <f>IF(J242="本金",C242+K241,K241)</f>
        <v/>
      </c>
      <c r="L242">
        <f>IF(J242="本金",F242+L241,L241)</f>
        <v/>
      </c>
    </row>
    <row r="243" outlineLevel="1" customFormat="1" s="61">
      <c r="A243" s="615" t="n"/>
      <c r="B243" s="616" t="n"/>
      <c r="C243" s="101" t="n"/>
      <c r="D243" s="617">
        <f>D242+C243-B243</f>
        <v/>
      </c>
      <c r="E243" s="618" t="n"/>
      <c r="F243" s="622" t="n"/>
      <c r="G243" s="620">
        <f>G242+F243-E243</f>
        <v/>
      </c>
      <c r="J243" t="inlineStr">
        <is>
          <t>投資</t>
        </is>
      </c>
      <c r="K243">
        <f>IF(J243="本金",C243+K242,K242)</f>
        <v/>
      </c>
      <c r="L243">
        <f>IF(J243="本金",F243+L242,L242)</f>
        <v/>
      </c>
    </row>
    <row r="244" outlineLevel="1" customFormat="1" s="61">
      <c r="A244" s="615" t="n"/>
      <c r="B244" s="616" t="n"/>
      <c r="C244" s="101" t="n"/>
      <c r="D244" s="617">
        <f>D243+C244-B244</f>
        <v/>
      </c>
      <c r="E244" s="618" t="n"/>
      <c r="F244" s="622" t="n"/>
      <c r="G244" s="620">
        <f>G243+F244-E244</f>
        <v/>
      </c>
      <c r="J244" t="inlineStr">
        <is>
          <t>投資</t>
        </is>
      </c>
      <c r="K244">
        <f>IF(J244="本金",C244+K243,K243)</f>
        <v/>
      </c>
      <c r="L244">
        <f>IF(J244="本金",F244+L243,L243)</f>
        <v/>
      </c>
    </row>
    <row r="245" outlineLevel="1" customFormat="1" s="61">
      <c r="A245" s="615" t="n"/>
      <c r="B245" s="616" t="n"/>
      <c r="C245" s="101" t="n"/>
      <c r="D245" s="617">
        <f>D244+C245-B245</f>
        <v/>
      </c>
      <c r="E245" s="618" t="n"/>
      <c r="F245" s="622" t="n"/>
      <c r="G245" s="620">
        <f>G244+F245-E245</f>
        <v/>
      </c>
      <c r="J245" t="inlineStr">
        <is>
          <t>投資</t>
        </is>
      </c>
      <c r="K245">
        <f>IF(J245="本金",C245+K244,K244)</f>
        <v/>
      </c>
      <c r="L245">
        <f>IF(J245="本金",F245+L244,L244)</f>
        <v/>
      </c>
    </row>
    <row r="246" outlineLevel="1" customFormat="1" s="61">
      <c r="A246" s="615" t="n"/>
      <c r="B246" s="616" t="n"/>
      <c r="C246" s="101" t="n"/>
      <c r="D246" s="617">
        <f>D245+C246-B246</f>
        <v/>
      </c>
      <c r="E246" s="618" t="n"/>
      <c r="F246" s="622" t="n"/>
      <c r="G246" s="620">
        <f>G245+F246-E246</f>
        <v/>
      </c>
      <c r="J246" t="inlineStr">
        <is>
          <t>投資</t>
        </is>
      </c>
      <c r="K246">
        <f>IF(J246="本金",C246+K245,K245)</f>
        <v/>
      </c>
      <c r="L246">
        <f>IF(J246="本金",F246+L245,L245)</f>
        <v/>
      </c>
    </row>
    <row r="247" outlineLevel="1" customFormat="1" s="61">
      <c r="A247" s="615" t="n"/>
      <c r="B247" s="616" t="n"/>
      <c r="C247" s="101" t="n"/>
      <c r="D247" s="617">
        <f>D246+C247-B247</f>
        <v/>
      </c>
      <c r="E247" s="618" t="n"/>
      <c r="F247" s="622" t="n"/>
      <c r="G247" s="620">
        <f>G246+F247-E247</f>
        <v/>
      </c>
      <c r="J247" t="inlineStr">
        <is>
          <t>投資</t>
        </is>
      </c>
      <c r="K247">
        <f>IF(J247="本金",C247+K246,K246)</f>
        <v/>
      </c>
      <c r="L247">
        <f>IF(J247="本金",F247+L246,L246)</f>
        <v/>
      </c>
    </row>
    <row r="248" outlineLevel="1" customFormat="1" s="61">
      <c r="A248" s="615" t="n"/>
      <c r="B248" s="616" t="n"/>
      <c r="C248" s="101" t="n"/>
      <c r="D248" s="617">
        <f>D247+C248-B248</f>
        <v/>
      </c>
      <c r="E248" s="618" t="n"/>
      <c r="F248" s="622" t="n"/>
      <c r="G248" s="620">
        <f>G247+F248-E248</f>
        <v/>
      </c>
      <c r="J248" t="inlineStr">
        <is>
          <t>投資</t>
        </is>
      </c>
      <c r="K248">
        <f>IF(J248="本金",C248+K247,K247)</f>
        <v/>
      </c>
      <c r="L248">
        <f>IF(J248="本金",F248+L247,L247)</f>
        <v/>
      </c>
    </row>
    <row r="249" outlineLevel="1" customFormat="1" s="61">
      <c r="A249" s="615" t="n"/>
      <c r="B249" s="616" t="n"/>
      <c r="C249" s="101" t="n"/>
      <c r="D249" s="617">
        <f>D248+C249-B249</f>
        <v/>
      </c>
      <c r="E249" s="618" t="n"/>
      <c r="F249" s="622" t="n"/>
      <c r="G249" s="620">
        <f>G248+F249-E249</f>
        <v/>
      </c>
      <c r="J249" t="inlineStr">
        <is>
          <t>投資</t>
        </is>
      </c>
      <c r="K249">
        <f>IF(J249="本金",C249+K248,K248)</f>
        <v/>
      </c>
      <c r="L249">
        <f>IF(J249="本金",F249+L248,L248)</f>
        <v/>
      </c>
    </row>
    <row r="250" outlineLevel="1" customFormat="1" s="61">
      <c r="A250" s="615" t="n"/>
      <c r="B250" s="616" t="n"/>
      <c r="C250" s="101" t="n"/>
      <c r="D250" s="617">
        <f>D249+C250-B250</f>
        <v/>
      </c>
      <c r="E250" s="618" t="n"/>
      <c r="F250" s="622" t="n"/>
      <c r="G250" s="620">
        <f>G249+F250-E250</f>
        <v/>
      </c>
      <c r="J250" t="inlineStr">
        <is>
          <t>投資</t>
        </is>
      </c>
      <c r="K250">
        <f>IF(J250="本金",C250+K249,K249)</f>
        <v/>
      </c>
      <c r="L250">
        <f>IF(J250="本金",F250+L249,L249)</f>
        <v/>
      </c>
    </row>
    <row r="251" outlineLevel="1" customFormat="1" s="61">
      <c r="A251" s="615" t="n"/>
      <c r="B251" s="616" t="n"/>
      <c r="C251" s="101" t="n"/>
      <c r="D251" s="617">
        <f>D250+C251-B251</f>
        <v/>
      </c>
      <c r="E251" s="618" t="n"/>
      <c r="F251" s="622" t="n"/>
      <c r="G251" s="620">
        <f>G250+F251-E251</f>
        <v/>
      </c>
      <c r="J251" t="inlineStr">
        <is>
          <t>投資</t>
        </is>
      </c>
      <c r="K251">
        <f>IF(J251="本金",C251+K250,K250)</f>
        <v/>
      </c>
      <c r="L251">
        <f>IF(J251="本金",F251+L250,L250)</f>
        <v/>
      </c>
    </row>
    <row r="252" outlineLevel="1" customFormat="1" s="61">
      <c r="A252" s="615" t="n"/>
      <c r="B252" s="616" t="n"/>
      <c r="C252" s="101" t="n"/>
      <c r="D252" s="617">
        <f>D251+C252-B252</f>
        <v/>
      </c>
      <c r="E252" s="618" t="n"/>
      <c r="F252" s="622" t="n"/>
      <c r="G252" s="620">
        <f>G251+F252-E252</f>
        <v/>
      </c>
      <c r="J252" t="inlineStr">
        <is>
          <t>投資</t>
        </is>
      </c>
      <c r="K252">
        <f>IF(J252="本金",C252+K251,K251)</f>
        <v/>
      </c>
      <c r="L252">
        <f>IF(J252="本金",F252+L251,L251)</f>
        <v/>
      </c>
    </row>
    <row r="253" outlineLevel="1" customFormat="1" s="61">
      <c r="A253" s="615" t="n"/>
      <c r="B253" s="616" t="n"/>
      <c r="C253" s="101" t="n"/>
      <c r="D253" s="617">
        <f>D252+C253-B253</f>
        <v/>
      </c>
      <c r="E253" s="618" t="n"/>
      <c r="F253" s="622" t="n"/>
      <c r="G253" s="620">
        <f>G252+F253-E253</f>
        <v/>
      </c>
      <c r="J253" t="inlineStr">
        <is>
          <t>投資</t>
        </is>
      </c>
      <c r="K253">
        <f>IF(J253="本金",C253+K252,K252)</f>
        <v/>
      </c>
      <c r="L253">
        <f>IF(J253="本金",F253+L252,L252)</f>
        <v/>
      </c>
    </row>
    <row r="254" outlineLevel="1" customFormat="1" s="61">
      <c r="A254" s="615" t="n"/>
      <c r="B254" s="616" t="n"/>
      <c r="C254" s="101" t="n"/>
      <c r="D254" s="617">
        <f>D253+C254-B254</f>
        <v/>
      </c>
      <c r="E254" s="618" t="n"/>
      <c r="F254" s="622" t="n"/>
      <c r="G254" s="620">
        <f>G253+F254-E254</f>
        <v/>
      </c>
      <c r="J254" t="inlineStr">
        <is>
          <t>投資</t>
        </is>
      </c>
      <c r="K254">
        <f>IF(J254="本金",C254+K253,K253)</f>
        <v/>
      </c>
      <c r="L254">
        <f>IF(J254="本金",F254+L253,L253)</f>
        <v/>
      </c>
    </row>
    <row r="255" outlineLevel="1" customFormat="1" s="61">
      <c r="A255" s="641" t="n"/>
      <c r="B255" s="642" t="n"/>
      <c r="C255" s="123" t="n"/>
      <c r="D255" s="643">
        <f>D254+C255-B255</f>
        <v/>
      </c>
      <c r="E255" s="644" t="n"/>
      <c r="F255" s="645" t="n"/>
      <c r="G255" s="646">
        <f>G254+F255-E255</f>
        <v/>
      </c>
      <c r="H255" s="126" t="n"/>
      <c r="I255" s="126" t="n"/>
      <c r="J255" t="inlineStr">
        <is>
          <t>本金</t>
        </is>
      </c>
      <c r="K255">
        <f>IF(J255="本金",C255+K254,K254)</f>
        <v/>
      </c>
      <c r="L255">
        <f>IF(J255="本金",F255+L254,L254)</f>
        <v/>
      </c>
    </row>
    <row r="256" outlineLevel="1" customFormat="1" s="61">
      <c r="A256" s="615" t="n"/>
      <c r="B256" s="616" t="n"/>
      <c r="C256" s="101" t="n"/>
      <c r="D256" s="617">
        <f>D255+C256-B256</f>
        <v/>
      </c>
      <c r="E256" s="618" t="n"/>
      <c r="F256" s="622" t="n"/>
      <c r="G256" s="620">
        <f>G255+F256-E256</f>
        <v/>
      </c>
      <c r="J256" t="inlineStr">
        <is>
          <t>投資</t>
        </is>
      </c>
      <c r="K256">
        <f>IF(J256="本金",C256+K255,K255)</f>
        <v/>
      </c>
      <c r="L256">
        <f>IF(J256="本金",F256+L255,L255)</f>
        <v/>
      </c>
    </row>
    <row r="257" outlineLevel="1" customFormat="1" s="61">
      <c r="A257" s="615" t="n"/>
      <c r="B257" s="616" t="n"/>
      <c r="C257" s="101" t="n"/>
      <c r="D257" s="617">
        <f>D256+C257-B257</f>
        <v/>
      </c>
      <c r="E257" s="618" t="n"/>
      <c r="F257" s="622" t="n"/>
      <c r="G257" s="620">
        <f>G256+F257-E257</f>
        <v/>
      </c>
      <c r="J257" t="inlineStr">
        <is>
          <t>投資</t>
        </is>
      </c>
      <c r="K257">
        <f>IF(J257="本金",C257+K256,K256)</f>
        <v/>
      </c>
      <c r="L257">
        <f>IF(J257="本金",F257+L256,L256)</f>
        <v/>
      </c>
    </row>
    <row r="258" outlineLevel="1" customFormat="1" s="61">
      <c r="A258" s="615" t="n"/>
      <c r="B258" s="616" t="n"/>
      <c r="C258" s="101" t="n"/>
      <c r="D258" s="617">
        <f>D257+C258-B258</f>
        <v/>
      </c>
      <c r="E258" s="618" t="n"/>
      <c r="F258" s="622" t="n"/>
      <c r="G258" s="620">
        <f>G257+F258-E258</f>
        <v/>
      </c>
      <c r="J258" t="inlineStr">
        <is>
          <t>投資</t>
        </is>
      </c>
      <c r="K258">
        <f>IF(J258="本金",C258+K257,K257)</f>
        <v/>
      </c>
      <c r="L258">
        <f>IF(J258="本金",F258+L257,L257)</f>
        <v/>
      </c>
    </row>
    <row r="259" outlineLevel="1" customFormat="1" s="61">
      <c r="A259" s="615" t="n"/>
      <c r="B259" s="616" t="n"/>
      <c r="C259" s="101" t="n"/>
      <c r="D259" s="617">
        <f>D258+C259-B259</f>
        <v/>
      </c>
      <c r="E259" s="618" t="n"/>
      <c r="F259" s="622" t="n"/>
      <c r="G259" s="620">
        <f>G258+F259-E259</f>
        <v/>
      </c>
      <c r="J259" t="inlineStr">
        <is>
          <t>投資</t>
        </is>
      </c>
      <c r="K259">
        <f>IF(J259="本金",C259+K258,K258)</f>
        <v/>
      </c>
      <c r="L259">
        <f>IF(J259="本金",F259+L258,L258)</f>
        <v/>
      </c>
    </row>
    <row r="260" outlineLevel="1" customFormat="1" s="61">
      <c r="A260" s="615" t="n"/>
      <c r="B260" s="616" t="n"/>
      <c r="C260" s="101" t="n"/>
      <c r="D260" s="617">
        <f>D259+C260-B260</f>
        <v/>
      </c>
      <c r="E260" s="618" t="n"/>
      <c r="F260" s="622" t="n"/>
      <c r="G260" s="620">
        <f>G259+F260-E260</f>
        <v/>
      </c>
      <c r="J260" t="inlineStr">
        <is>
          <t>投資</t>
        </is>
      </c>
      <c r="K260">
        <f>IF(J260="本金",C260+K259,K259)</f>
        <v/>
      </c>
      <c r="L260">
        <f>IF(J260="本金",F260+L259,L259)</f>
        <v/>
      </c>
    </row>
    <row r="261" outlineLevel="1" customFormat="1" s="61">
      <c r="A261" s="615" t="n"/>
      <c r="B261" s="616" t="n"/>
      <c r="C261" s="101" t="n"/>
      <c r="D261" s="617">
        <f>D260+C261-B261</f>
        <v/>
      </c>
      <c r="E261" s="618" t="n"/>
      <c r="F261" s="622" t="n"/>
      <c r="G261" s="620">
        <f>G260+F261-E261</f>
        <v/>
      </c>
      <c r="J261" t="inlineStr">
        <is>
          <t>投資</t>
        </is>
      </c>
      <c r="K261">
        <f>IF(J261="本金",C261+K260,K260)</f>
        <v/>
      </c>
      <c r="L261">
        <f>IF(J261="本金",F261+L260,L260)</f>
        <v/>
      </c>
    </row>
    <row r="262" outlineLevel="1" customFormat="1" s="61">
      <c r="A262" s="615" t="n"/>
      <c r="B262" s="616" t="n"/>
      <c r="C262" s="101" t="n"/>
      <c r="D262" s="617">
        <f>D261+C262-B262</f>
        <v/>
      </c>
      <c r="E262" s="618" t="n"/>
      <c r="F262" s="622" t="n"/>
      <c r="G262" s="620">
        <f>G261+F262-E262</f>
        <v/>
      </c>
      <c r="J262" t="inlineStr">
        <is>
          <t>投資</t>
        </is>
      </c>
      <c r="K262">
        <f>IF(J262="本金",C262+K261,K261)</f>
        <v/>
      </c>
      <c r="L262">
        <f>IF(J262="本金",F262+L261,L261)</f>
        <v/>
      </c>
    </row>
    <row r="263" outlineLevel="1" customFormat="1" s="61">
      <c r="A263" s="615" t="n"/>
      <c r="B263" s="616" t="n"/>
      <c r="C263" s="101" t="n"/>
      <c r="D263" s="617">
        <f>D262+C263-B263</f>
        <v/>
      </c>
      <c r="E263" s="618" t="n"/>
      <c r="F263" s="622" t="n"/>
      <c r="G263" s="620">
        <f>G262+F263-E263</f>
        <v/>
      </c>
      <c r="J263" t="inlineStr">
        <is>
          <t>投資</t>
        </is>
      </c>
      <c r="K263">
        <f>IF(J263="本金",C263+K262,K262)</f>
        <v/>
      </c>
      <c r="L263">
        <f>IF(J263="本金",F263+L262,L262)</f>
        <v/>
      </c>
    </row>
    <row r="264" outlineLevel="1" customFormat="1" s="61">
      <c r="A264" s="615" t="n"/>
      <c r="B264" s="616" t="n"/>
      <c r="C264" s="101" t="n"/>
      <c r="D264" s="617">
        <f>D263+C264-B264</f>
        <v/>
      </c>
      <c r="E264" s="618" t="n"/>
      <c r="F264" s="622" t="n"/>
      <c r="G264" s="620">
        <f>G263+F264-E264</f>
        <v/>
      </c>
      <c r="J264" t="inlineStr">
        <is>
          <t>投資</t>
        </is>
      </c>
      <c r="K264">
        <f>IF(J264="本金",C264+K263,K263)</f>
        <v/>
      </c>
      <c r="L264">
        <f>IF(J264="本金",F264+L263,L263)</f>
        <v/>
      </c>
    </row>
    <row r="265" outlineLevel="1" customFormat="1" s="61">
      <c r="A265" s="615" t="n"/>
      <c r="B265" s="616" t="n"/>
      <c r="C265" s="101" t="n"/>
      <c r="D265" s="617">
        <f>D264+C265-B265</f>
        <v/>
      </c>
      <c r="E265" s="618" t="n"/>
      <c r="F265" s="622" t="n"/>
      <c r="G265" s="620">
        <f>G264+F265-E265</f>
        <v/>
      </c>
      <c r="J265" t="inlineStr">
        <is>
          <t>投資</t>
        </is>
      </c>
      <c r="K265">
        <f>IF(J265="本金",C265+K264,K264)</f>
        <v/>
      </c>
      <c r="L265">
        <f>IF(J265="本金",F265+L264,L264)</f>
        <v/>
      </c>
    </row>
    <row r="266" outlineLevel="1" customFormat="1" s="61">
      <c r="A266" s="615" t="n"/>
      <c r="B266" s="616" t="n"/>
      <c r="C266" s="101" t="n"/>
      <c r="D266" s="617">
        <f>D265+C266-B266</f>
        <v/>
      </c>
      <c r="E266" s="618" t="n"/>
      <c r="F266" s="622" t="n"/>
      <c r="G266" s="620">
        <f>G265+F266-E266</f>
        <v/>
      </c>
      <c r="J266" t="inlineStr">
        <is>
          <t>投資</t>
        </is>
      </c>
      <c r="K266">
        <f>IF(J266="本金",C266+K265,K265)</f>
        <v/>
      </c>
      <c r="L266">
        <f>IF(J266="本金",F266+L265,L265)</f>
        <v/>
      </c>
    </row>
    <row r="267" outlineLevel="1" customFormat="1" s="61">
      <c r="A267" s="615" t="n"/>
      <c r="B267" s="616" t="n"/>
      <c r="C267" s="101" t="n"/>
      <c r="D267" s="617">
        <f>D266+C267-B267</f>
        <v/>
      </c>
      <c r="E267" s="618" t="n"/>
      <c r="F267" s="622" t="n"/>
      <c r="G267" s="620">
        <f>G266+F267-E267</f>
        <v/>
      </c>
      <c r="J267" t="inlineStr">
        <is>
          <t>投資</t>
        </is>
      </c>
      <c r="K267">
        <f>IF(J267="本金",C267+K266,K266)</f>
        <v/>
      </c>
      <c r="L267">
        <f>IF(J267="本金",F267+L266,L266)</f>
        <v/>
      </c>
    </row>
    <row r="268" outlineLevel="1" customFormat="1" s="61">
      <c r="A268" s="615" t="n"/>
      <c r="B268" s="616" t="n"/>
      <c r="C268" s="101" t="n"/>
      <c r="D268" s="617">
        <f>D267+C268-B268</f>
        <v/>
      </c>
      <c r="E268" s="618" t="n"/>
      <c r="F268" s="622" t="n"/>
      <c r="G268" s="620">
        <f>G267+F268-E268</f>
        <v/>
      </c>
      <c r="J268" t="inlineStr">
        <is>
          <t>投資</t>
        </is>
      </c>
      <c r="K268">
        <f>IF(J268="本金",C268+K267,K267)</f>
        <v/>
      </c>
      <c r="L268">
        <f>IF(J268="本金",F268+L267,L267)</f>
        <v/>
      </c>
    </row>
    <row r="269" outlineLevel="1" customFormat="1" s="61">
      <c r="A269" s="615" t="n"/>
      <c r="B269" s="616" t="n"/>
      <c r="C269" s="101" t="n"/>
      <c r="D269" s="617">
        <f>D268+C269-B269</f>
        <v/>
      </c>
      <c r="E269" s="618" t="n"/>
      <c r="F269" s="622" t="n"/>
      <c r="G269" s="620">
        <f>G268+F269-E269</f>
        <v/>
      </c>
      <c r="J269" t="inlineStr">
        <is>
          <t>投資</t>
        </is>
      </c>
      <c r="K269">
        <f>IF(J269="本金",C269+K268,K268)</f>
        <v/>
      </c>
      <c r="L269">
        <f>IF(J269="本金",F269+L268,L268)</f>
        <v/>
      </c>
    </row>
    <row r="270" outlineLevel="1" customFormat="1" s="61">
      <c r="A270" s="615" t="n"/>
      <c r="B270" s="616" t="n"/>
      <c r="C270" s="101" t="n"/>
      <c r="D270" s="617">
        <f>D269+C270-B270</f>
        <v/>
      </c>
      <c r="E270" s="618" t="n"/>
      <c r="F270" s="622" t="n"/>
      <c r="G270" s="620">
        <f>G269+F270-E270</f>
        <v/>
      </c>
      <c r="J270" t="inlineStr">
        <is>
          <t>投資</t>
        </is>
      </c>
      <c r="K270">
        <f>IF(J270="本金",C270+K269,K269)</f>
        <v/>
      </c>
      <c r="L270">
        <f>IF(J270="本金",F270+L269,L269)</f>
        <v/>
      </c>
    </row>
    <row r="271" outlineLevel="1" customFormat="1" s="61">
      <c r="A271" s="615" t="n"/>
      <c r="B271" s="616" t="n"/>
      <c r="C271" s="101" t="n"/>
      <c r="D271" s="617">
        <f>D270+C271-B271</f>
        <v/>
      </c>
      <c r="E271" s="618" t="n"/>
      <c r="F271" s="622" t="n"/>
      <c r="G271" s="620">
        <f>G270+F271-E271</f>
        <v/>
      </c>
      <c r="J271" t="inlineStr">
        <is>
          <t>投資</t>
        </is>
      </c>
      <c r="K271">
        <f>IF(J271="本金",C271+K270,K270)</f>
        <v/>
      </c>
      <c r="L271">
        <f>IF(J271="本金",F271+L270,L270)</f>
        <v/>
      </c>
    </row>
    <row r="272" outlineLevel="1" customFormat="1" s="61">
      <c r="A272" s="615" t="n"/>
      <c r="B272" s="616" t="n"/>
      <c r="C272" s="101" t="n"/>
      <c r="D272" s="617">
        <f>D271+C272-B272</f>
        <v/>
      </c>
      <c r="E272" s="618" t="n"/>
      <c r="F272" s="622" t="n"/>
      <c r="G272" s="620">
        <f>G271+F272-E272</f>
        <v/>
      </c>
      <c r="J272" t="inlineStr">
        <is>
          <t>投資</t>
        </is>
      </c>
      <c r="K272">
        <f>IF(J272="本金",C272+K271,K271)</f>
        <v/>
      </c>
      <c r="L272">
        <f>IF(J272="本金",F272+L271,L271)</f>
        <v/>
      </c>
    </row>
    <row r="273" outlineLevel="1" customFormat="1" s="61">
      <c r="A273" s="615" t="n"/>
      <c r="B273" s="616" t="n"/>
      <c r="C273" s="101" t="n"/>
      <c r="D273" s="617">
        <f>D272+C273-B273</f>
        <v/>
      </c>
      <c r="E273" s="618" t="n"/>
      <c r="F273" s="622" t="n"/>
      <c r="G273" s="620">
        <f>G272+F273-E273</f>
        <v/>
      </c>
      <c r="J273" t="inlineStr">
        <is>
          <t>投資</t>
        </is>
      </c>
      <c r="K273">
        <f>IF(J273="本金",C273+K272,K272)</f>
        <v/>
      </c>
      <c r="L273">
        <f>IF(J273="本金",F273+L272,L272)</f>
        <v/>
      </c>
    </row>
    <row r="274" outlineLevel="1" customFormat="1" s="61">
      <c r="A274" s="615" t="n"/>
      <c r="B274" s="616" t="n"/>
      <c r="C274" s="101" t="n"/>
      <c r="D274" s="617">
        <f>D273+C274-B274</f>
        <v/>
      </c>
      <c r="E274" s="618" t="n"/>
      <c r="F274" s="622" t="n"/>
      <c r="G274" s="620">
        <f>G273+F274-E274</f>
        <v/>
      </c>
      <c r="J274" t="inlineStr">
        <is>
          <t>投資</t>
        </is>
      </c>
      <c r="K274">
        <f>IF(J274="本金",C274+K273,K273)</f>
        <v/>
      </c>
      <c r="L274">
        <f>IF(J274="本金",F274+L273,L273)</f>
        <v/>
      </c>
    </row>
    <row r="275" outlineLevel="1" customFormat="1" s="61">
      <c r="A275" s="615" t="n"/>
      <c r="B275" s="616" t="n"/>
      <c r="C275" s="101" t="n"/>
      <c r="D275" s="617">
        <f>D274+C275-B275</f>
        <v/>
      </c>
      <c r="E275" s="618" t="n"/>
      <c r="F275" s="622" t="n"/>
      <c r="G275" s="620">
        <f>G274+F275-E275</f>
        <v/>
      </c>
      <c r="J275" t="inlineStr">
        <is>
          <t>投資</t>
        </is>
      </c>
      <c r="K275">
        <f>IF(J275="本金",C275+K274,K274)</f>
        <v/>
      </c>
      <c r="L275">
        <f>IF(J275="本金",F275+L274,L274)</f>
        <v/>
      </c>
    </row>
    <row r="276" outlineLevel="1" customFormat="1" s="61">
      <c r="A276" s="635" t="n"/>
      <c r="B276" s="636" t="n"/>
      <c r="C276" s="170" t="n"/>
      <c r="D276" s="637">
        <f>D275+C276-B276</f>
        <v/>
      </c>
      <c r="E276" s="638" t="n"/>
      <c r="F276" s="639" t="n"/>
      <c r="G276" s="640">
        <f>G275+F276-E276</f>
        <v/>
      </c>
      <c r="H276" s="173" t="n"/>
      <c r="I276" s="173" t="n"/>
      <c r="J276" t="inlineStr">
        <is>
          <t>投資</t>
        </is>
      </c>
      <c r="K276">
        <f>IF(J276="本金",C276+K275,K275)</f>
        <v/>
      </c>
      <c r="L276">
        <f>IF(J276="本金",F276+L275,L275)</f>
        <v/>
      </c>
    </row>
    <row r="277" outlineLevel="1" customFormat="1" s="61">
      <c r="A277" s="615" t="n"/>
      <c r="B277" s="616" t="n"/>
      <c r="C277" s="101" t="n"/>
      <c r="D277" s="617">
        <f>D276+C277-B277</f>
        <v/>
      </c>
      <c r="E277" s="618" t="n"/>
      <c r="F277" s="622" t="n"/>
      <c r="G277" s="620">
        <f>G276+F277-E277</f>
        <v/>
      </c>
      <c r="J277" t="inlineStr">
        <is>
          <t>投資</t>
        </is>
      </c>
      <c r="K277">
        <f>IF(J277="本金",C277+K276,K276)</f>
        <v/>
      </c>
      <c r="L277">
        <f>IF(J277="本金",F277+L276,L276)</f>
        <v/>
      </c>
    </row>
    <row r="278" outlineLevel="1" customFormat="1" s="61">
      <c r="A278" s="615" t="n"/>
      <c r="B278" s="616" t="n"/>
      <c r="C278" s="101" t="n"/>
      <c r="D278" s="617">
        <f>D277+C278-B278</f>
        <v/>
      </c>
      <c r="E278" s="618" t="n"/>
      <c r="F278" s="622" t="n"/>
      <c r="G278" s="620">
        <f>G277+F278-E278</f>
        <v/>
      </c>
      <c r="J278" t="inlineStr">
        <is>
          <t>投資</t>
        </is>
      </c>
      <c r="K278">
        <f>IF(J278="本金",C278+K277,K277)</f>
        <v/>
      </c>
      <c r="L278">
        <f>IF(J278="本金",F278+L277,L277)</f>
        <v/>
      </c>
    </row>
    <row r="279" outlineLevel="1" customFormat="1" s="61">
      <c r="A279" s="615" t="n"/>
      <c r="B279" s="616" t="n"/>
      <c r="C279" s="101" t="n"/>
      <c r="D279" s="617">
        <f>D278+C279-B279</f>
        <v/>
      </c>
      <c r="E279" s="618" t="n"/>
      <c r="F279" s="622" t="n"/>
      <c r="G279" s="620">
        <f>G278+F279-E279</f>
        <v/>
      </c>
      <c r="J279" t="inlineStr">
        <is>
          <t>投資</t>
        </is>
      </c>
      <c r="K279">
        <f>IF(J279="本金",C279+K278,K278)</f>
        <v/>
      </c>
      <c r="L279">
        <f>IF(J279="本金",F279+L278,L278)</f>
        <v/>
      </c>
    </row>
    <row r="280" outlineLevel="1" customFormat="1" s="61">
      <c r="A280" s="635" t="n"/>
      <c r="B280" s="636" t="n"/>
      <c r="C280" s="170" t="n"/>
      <c r="D280" s="637">
        <f>D279+C280-B280</f>
        <v/>
      </c>
      <c r="E280" s="638" t="n"/>
      <c r="F280" s="639" t="n"/>
      <c r="G280" s="640">
        <f>G279+F280-E280</f>
        <v/>
      </c>
      <c r="H280" s="173" t="n"/>
      <c r="I280" s="173" t="n"/>
      <c r="J280" t="inlineStr">
        <is>
          <t>投資</t>
        </is>
      </c>
      <c r="K280">
        <f>IF(J280="本金",C280+K279,K279)</f>
        <v/>
      </c>
      <c r="L280">
        <f>IF(J280="本金",F280+L279,L279)</f>
        <v/>
      </c>
    </row>
    <row r="281" outlineLevel="1" customFormat="1" s="61">
      <c r="A281" s="635" t="n"/>
      <c r="B281" s="636" t="n"/>
      <c r="C281" s="170" t="n"/>
      <c r="D281" s="637">
        <f>D280+C281-B281</f>
        <v/>
      </c>
      <c r="E281" s="638" t="n"/>
      <c r="F281" s="639" t="n"/>
      <c r="G281" s="640">
        <f>G280+F281-E281</f>
        <v/>
      </c>
      <c r="H281" s="173" t="n"/>
      <c r="I281" s="173" t="n"/>
      <c r="J281" t="inlineStr">
        <is>
          <t>投資</t>
        </is>
      </c>
      <c r="K281">
        <f>IF(J281="本金",C281+K280,K280)</f>
        <v/>
      </c>
      <c r="L281">
        <f>IF(J281="本金",F281+L280,L280)</f>
        <v/>
      </c>
    </row>
    <row r="282" outlineLevel="1" customFormat="1" s="61">
      <c r="A282" s="615" t="n"/>
      <c r="B282" s="616" t="n"/>
      <c r="C282" s="101" t="n"/>
      <c r="D282" s="617">
        <f>D281+C282-B282</f>
        <v/>
      </c>
      <c r="E282" s="618" t="n"/>
      <c r="F282" s="622" t="n"/>
      <c r="G282" s="620">
        <f>G281+F282-E282</f>
        <v/>
      </c>
      <c r="J282" t="inlineStr">
        <is>
          <t>投資</t>
        </is>
      </c>
      <c r="K282">
        <f>IF(J282="本金",C282+K281,K281)</f>
        <v/>
      </c>
      <c r="L282">
        <f>IF(J282="本金",F282+L281,L281)</f>
        <v/>
      </c>
    </row>
    <row r="283" outlineLevel="1" customFormat="1" s="61">
      <c r="A283" s="623" t="n"/>
      <c r="B283" s="624" t="n"/>
      <c r="C283" s="111" t="n"/>
      <c r="D283" s="625">
        <f>D282+C283-B283</f>
        <v/>
      </c>
      <c r="E283" s="626" t="n"/>
      <c r="F283" s="627" t="n"/>
      <c r="G283" s="628">
        <f>G282+F283-E283</f>
        <v/>
      </c>
      <c r="H283" s="114" t="n"/>
      <c r="I283" s="121" t="n"/>
      <c r="J283" t="inlineStr">
        <is>
          <t>投資</t>
        </is>
      </c>
      <c r="K283">
        <f>IF(J283="本金",C283+K282,K282)</f>
        <v/>
      </c>
      <c r="L283">
        <f>IF(J283="本金",F283+L282,L282)</f>
        <v/>
      </c>
    </row>
    <row r="284" outlineLevel="1" customFormat="1" s="61">
      <c r="A284" s="615" t="n"/>
      <c r="B284" s="616" t="n"/>
      <c r="C284" s="101" t="n"/>
      <c r="D284" s="617">
        <f>D283+C284-B284</f>
        <v/>
      </c>
      <c r="E284" s="618" t="n"/>
      <c r="F284" s="622" t="n"/>
      <c r="G284" s="620">
        <f>G283+F284-E284</f>
        <v/>
      </c>
      <c r="J284" t="inlineStr">
        <is>
          <t>投資</t>
        </is>
      </c>
      <c r="K284">
        <f>IF(J284="本金",C284+K283,K283)</f>
        <v/>
      </c>
      <c r="L284">
        <f>IF(J284="本金",F284+L283,L283)</f>
        <v/>
      </c>
    </row>
    <row r="285" outlineLevel="1" customFormat="1" s="61">
      <c r="A285" s="641" t="n"/>
      <c r="B285" s="647" t="n"/>
      <c r="C285" s="123" t="n"/>
      <c r="D285" s="643">
        <f>D284+C285-B285</f>
        <v/>
      </c>
      <c r="E285" s="648" t="n"/>
      <c r="F285" s="645" t="n"/>
      <c r="G285" s="646">
        <f>G284+F285-E285</f>
        <v/>
      </c>
      <c r="H285" s="126" t="n"/>
      <c r="I285" s="126" t="n"/>
      <c r="J285" s="643" t="n"/>
      <c r="K285">
        <f>IF(J285="本金",C285+K284,K284)</f>
        <v/>
      </c>
      <c r="L285">
        <f>IF(J285="本金",F285+L284,L284)</f>
        <v/>
      </c>
    </row>
    <row r="286" outlineLevel="1" customFormat="1" s="61">
      <c r="A286" s="635" t="n"/>
      <c r="B286" s="636" t="n"/>
      <c r="C286" s="170" t="n"/>
      <c r="D286" s="637">
        <f>D285+C286-B286</f>
        <v/>
      </c>
      <c r="E286" s="638" t="n"/>
      <c r="F286" s="639" t="n"/>
      <c r="G286" s="640">
        <f>G285+F286-E286</f>
        <v/>
      </c>
      <c r="H286" s="173" t="n"/>
      <c r="I286" s="173" t="n"/>
      <c r="J286" t="inlineStr">
        <is>
          <t>投資</t>
        </is>
      </c>
      <c r="K286">
        <f>IF(J286="本金",C286+K285,K285)</f>
        <v/>
      </c>
      <c r="L286">
        <f>IF(J286="本金",F286+L285,L285)</f>
        <v/>
      </c>
    </row>
    <row r="287" outlineLevel="1" customFormat="1" s="61">
      <c r="A287" s="615" t="n"/>
      <c r="B287" s="616" t="n"/>
      <c r="C287" s="101" t="n"/>
      <c r="D287" s="617">
        <f>D286+C287-B287</f>
        <v/>
      </c>
      <c r="E287" s="618" t="n"/>
      <c r="F287" s="622" t="n"/>
      <c r="G287" s="620">
        <f>G286+F287-E287</f>
        <v/>
      </c>
      <c r="J287" t="inlineStr">
        <is>
          <t>投資</t>
        </is>
      </c>
      <c r="K287">
        <f>IF(J287="本金",C287+K286,K286)</f>
        <v/>
      </c>
      <c r="L287">
        <f>IF(J287="本金",F287+L286,L286)</f>
        <v/>
      </c>
    </row>
    <row r="288" outlineLevel="1" customFormat="1" s="61">
      <c r="A288" s="623" t="n"/>
      <c r="B288" s="624" t="n"/>
      <c r="C288" s="111" t="n"/>
      <c r="D288" s="625">
        <f>D287+C288-B288</f>
        <v/>
      </c>
      <c r="E288" s="626" t="n"/>
      <c r="F288" s="627" t="n"/>
      <c r="G288" s="628">
        <f>G287+F288-E288</f>
        <v/>
      </c>
      <c r="H288" s="114" t="n"/>
      <c r="I288" s="121" t="n"/>
      <c r="J288" t="inlineStr">
        <is>
          <t>投資</t>
        </is>
      </c>
      <c r="K288">
        <f>IF(J288="本金",C288+K287,K287)</f>
        <v/>
      </c>
      <c r="L288">
        <f>IF(J288="本金",F288+L287,L287)</f>
        <v/>
      </c>
    </row>
    <row r="289" outlineLevel="1" customFormat="1" s="61">
      <c r="A289" s="635" t="n"/>
      <c r="B289" s="636" t="n"/>
      <c r="C289" s="170" t="n"/>
      <c r="D289" s="637">
        <f>D288+C289-B289</f>
        <v/>
      </c>
      <c r="E289" s="638" t="n"/>
      <c r="F289" s="639" t="n"/>
      <c r="G289" s="640">
        <f>G288+F289-E289</f>
        <v/>
      </c>
      <c r="H289" s="173" t="n"/>
      <c r="I289" s="173" t="n"/>
      <c r="J289" t="inlineStr">
        <is>
          <t>投資</t>
        </is>
      </c>
      <c r="K289">
        <f>IF(J289="本金",C289+K288,K288)</f>
        <v/>
      </c>
      <c r="L289">
        <f>IF(J289="本金",F289+L288,L288)</f>
        <v/>
      </c>
    </row>
    <row r="290" outlineLevel="1" customFormat="1" s="61">
      <c r="A290" s="629" t="n"/>
      <c r="B290" s="630" t="n"/>
      <c r="C290" s="116" t="n"/>
      <c r="D290" s="631">
        <f>D289+C290-B290</f>
        <v/>
      </c>
      <c r="E290" s="632" t="n"/>
      <c r="F290" s="633" t="n"/>
      <c r="G290" s="634">
        <f>G289+F290-E290</f>
        <v/>
      </c>
      <c r="H290" s="119" t="n"/>
      <c r="I290" s="120" t="n"/>
      <c r="J290" t="inlineStr">
        <is>
          <t>投資</t>
        </is>
      </c>
      <c r="K290">
        <f>IF(J290="本金",C290+K289,K289)</f>
        <v/>
      </c>
      <c r="L290">
        <f>IF(J290="本金",F290+L289,L289)</f>
        <v/>
      </c>
    </row>
    <row r="291" outlineLevel="1">
      <c r="A291" s="615" t="n"/>
      <c r="B291" s="616" t="n"/>
      <c r="C291" s="101" t="n"/>
      <c r="D291" s="617">
        <f>D290+C291-B291</f>
        <v/>
      </c>
      <c r="E291" s="618" t="n"/>
      <c r="F291" s="622" t="n"/>
      <c r="G291" s="620">
        <f>G290+F291-E291</f>
        <v/>
      </c>
      <c r="H291" s="61" t="n"/>
      <c r="I291" s="61" t="n"/>
      <c r="J291" t="inlineStr">
        <is>
          <t>投資</t>
        </is>
      </c>
      <c r="K291">
        <f>IF(J291="本金",C291+K290,K290)</f>
        <v/>
      </c>
      <c r="L291">
        <f>IF(J291="本金",F291+L290,L290)</f>
        <v/>
      </c>
    </row>
    <row r="292" outlineLevel="1" customFormat="1" s="61">
      <c r="A292" s="615" t="n"/>
      <c r="B292" s="616" t="n"/>
      <c r="C292" s="101" t="n"/>
      <c r="D292" s="617">
        <f>D291+C292-B292</f>
        <v/>
      </c>
      <c r="E292" s="618" t="n"/>
      <c r="F292" s="622" t="n"/>
      <c r="G292" s="620">
        <f>G291+F292-E292</f>
        <v/>
      </c>
      <c r="J292" t="inlineStr">
        <is>
          <t>投資</t>
        </is>
      </c>
      <c r="K292">
        <f>IF(J292="本金",C292+K291,K291)</f>
        <v/>
      </c>
      <c r="L292">
        <f>IF(J292="本金",F292+L291,L291)</f>
        <v/>
      </c>
    </row>
    <row r="293" outlineLevel="1">
      <c r="A293" s="615" t="n"/>
      <c r="B293" s="616" t="n"/>
      <c r="C293" s="101" t="n"/>
      <c r="D293" s="617">
        <f>D292+C293-B293</f>
        <v/>
      </c>
      <c r="E293" s="618" t="n"/>
      <c r="F293" s="622" t="n"/>
      <c r="G293" s="620">
        <f>G292+F293-E293</f>
        <v/>
      </c>
      <c r="H293" s="61" t="n"/>
      <c r="I293" s="61" t="n"/>
      <c r="J293" t="inlineStr">
        <is>
          <t>投資</t>
        </is>
      </c>
      <c r="K293">
        <f>IF(J293="本金",C293+K292,K292)</f>
        <v/>
      </c>
      <c r="L293">
        <f>IF(J293="本金",F293+L292,L292)</f>
        <v/>
      </c>
    </row>
    <row r="294" outlineLevel="1">
      <c r="A294" s="635" t="n"/>
      <c r="B294" s="636" t="n"/>
      <c r="C294" s="170" t="n"/>
      <c r="D294" s="637">
        <f>D293+C294-B294</f>
        <v/>
      </c>
      <c r="E294" s="638" t="n"/>
      <c r="F294" s="639" t="n"/>
      <c r="G294" s="640">
        <f>G293+F294-E294</f>
        <v/>
      </c>
      <c r="H294" s="173" t="n"/>
      <c r="I294" s="173" t="n"/>
      <c r="J294" t="inlineStr">
        <is>
          <t>投資</t>
        </is>
      </c>
      <c r="K294">
        <f>IF(J294="本金",C294+K293,K293)</f>
        <v/>
      </c>
      <c r="L294">
        <f>IF(J294="本金",F294+L293,L293)</f>
        <v/>
      </c>
    </row>
    <row r="295" outlineLevel="1">
      <c r="A295" s="635" t="n"/>
      <c r="B295" s="636" t="n"/>
      <c r="C295" s="170" t="n"/>
      <c r="D295" s="637">
        <f>D294+C295-B295</f>
        <v/>
      </c>
      <c r="E295" s="638" t="n"/>
      <c r="F295" s="639" t="n"/>
      <c r="G295" s="640">
        <f>G294+F295-E295</f>
        <v/>
      </c>
      <c r="H295" s="173" t="n"/>
      <c r="I295" s="173" t="n"/>
      <c r="J295" t="inlineStr">
        <is>
          <t>投資</t>
        </is>
      </c>
      <c r="K295">
        <f>IF(J295="本金",C295+K294,K294)</f>
        <v/>
      </c>
      <c r="L295">
        <f>IF(J295="本金",F295+L294,L294)</f>
        <v/>
      </c>
    </row>
    <row r="296" outlineLevel="1">
      <c r="A296" s="615" t="n"/>
      <c r="B296" s="616" t="n"/>
      <c r="C296" s="101" t="n"/>
      <c r="D296" s="617">
        <f>D295+C296-B296</f>
        <v/>
      </c>
      <c r="E296" s="618" t="n"/>
      <c r="F296" s="622" t="n"/>
      <c r="G296" s="620">
        <f>G295+F296-E296</f>
        <v/>
      </c>
      <c r="H296" s="61" t="n"/>
      <c r="I296" s="61" t="n"/>
      <c r="J296" t="inlineStr">
        <is>
          <t>投資</t>
        </is>
      </c>
      <c r="K296">
        <f>IF(J296="本金",C296+K295,K295)</f>
        <v/>
      </c>
      <c r="L296">
        <f>IF(J296="本金",F296+L295,L295)</f>
        <v/>
      </c>
    </row>
    <row r="297" outlineLevel="1" customFormat="1" s="61">
      <c r="A297" s="615" t="n"/>
      <c r="B297" s="616" t="n"/>
      <c r="C297" s="101" t="n"/>
      <c r="D297" s="617">
        <f>D296+C297-B297</f>
        <v/>
      </c>
      <c r="E297" s="618" t="n"/>
      <c r="F297" s="622" t="n"/>
      <c r="G297" s="620">
        <f>G296+F297-E297</f>
        <v/>
      </c>
      <c r="J297" t="inlineStr">
        <is>
          <t>投資</t>
        </is>
      </c>
      <c r="K297">
        <f>IF(J297="本金",C297+K296,K296)</f>
        <v/>
      </c>
      <c r="L297">
        <f>IF(J297="本金",F297+L296,L296)</f>
        <v/>
      </c>
    </row>
    <row r="298" outlineLevel="1">
      <c r="A298" s="623" t="n"/>
      <c r="B298" s="624" t="n"/>
      <c r="C298" s="111" t="n"/>
      <c r="D298" s="625">
        <f>D297+C298-B298</f>
        <v/>
      </c>
      <c r="E298" s="626" t="n"/>
      <c r="F298" s="627" t="n"/>
      <c r="G298" s="628">
        <f>G297+F298-E298</f>
        <v/>
      </c>
      <c r="H298" s="114" t="n"/>
      <c r="I298" s="121" t="n"/>
      <c r="J298" t="inlineStr">
        <is>
          <t>投資</t>
        </is>
      </c>
      <c r="K298">
        <f>IF(J298="本金",C298+K297,K297)</f>
        <v/>
      </c>
      <c r="L298">
        <f>IF(J298="本金",F298+L297,L297)</f>
        <v/>
      </c>
    </row>
    <row r="299" outlineLevel="1">
      <c r="A299" s="635" t="n"/>
      <c r="B299" s="636" t="n"/>
      <c r="C299" s="170" t="n"/>
      <c r="D299" s="637">
        <f>D298+C299-B299</f>
        <v/>
      </c>
      <c r="E299" s="638" t="n"/>
      <c r="F299" s="639" t="n"/>
      <c r="G299" s="640">
        <f>G298+F299-E299</f>
        <v/>
      </c>
      <c r="H299" s="173" t="n"/>
      <c r="I299" s="173" t="n"/>
      <c r="J299" t="inlineStr">
        <is>
          <t>投資</t>
        </is>
      </c>
      <c r="K299">
        <f>IF(J299="本金",C299+K298,K298)</f>
        <v/>
      </c>
      <c r="L299">
        <f>IF(J299="本金",F299+L298,L298)</f>
        <v/>
      </c>
    </row>
    <row r="300" outlineLevel="1">
      <c r="A300" s="635" t="n"/>
      <c r="B300" s="636" t="n"/>
      <c r="C300" s="170" t="n"/>
      <c r="D300" s="637">
        <f>D299+C300-B300</f>
        <v/>
      </c>
      <c r="E300" s="638" t="n"/>
      <c r="F300" s="639" t="n"/>
      <c r="G300" s="640">
        <f>G299+F300-E300</f>
        <v/>
      </c>
      <c r="H300" s="173" t="n"/>
      <c r="I300" s="173" t="n"/>
      <c r="J300" t="inlineStr">
        <is>
          <t>投資</t>
        </is>
      </c>
      <c r="K300">
        <f>IF(J300="本金",C300+K299,K299)</f>
        <v/>
      </c>
      <c r="L300">
        <f>IF(J300="本金",F300+L299,L299)</f>
        <v/>
      </c>
    </row>
    <row r="301" outlineLevel="1">
      <c r="A301" s="635" t="n"/>
      <c r="B301" s="636" t="n"/>
      <c r="C301" s="170" t="n"/>
      <c r="D301" s="637">
        <f>D300+C301-B301</f>
        <v/>
      </c>
      <c r="E301" s="638" t="n"/>
      <c r="F301" s="639" t="n"/>
      <c r="G301" s="640">
        <f>G300+F301-E301</f>
        <v/>
      </c>
      <c r="H301" s="173" t="n"/>
      <c r="I301" s="173" t="n"/>
      <c r="J301" t="inlineStr">
        <is>
          <t>投資</t>
        </is>
      </c>
      <c r="K301">
        <f>IF(J301="本金",C301+K300,K300)</f>
        <v/>
      </c>
      <c r="L301">
        <f>IF(J301="本金",F301+L300,L300)</f>
        <v/>
      </c>
    </row>
    <row r="302" outlineLevel="1">
      <c r="A302" s="635" t="n"/>
      <c r="B302" s="636" t="n"/>
      <c r="C302" s="170" t="n"/>
      <c r="D302" s="637">
        <f>D301+C302-B302</f>
        <v/>
      </c>
      <c r="E302" s="638" t="n"/>
      <c r="F302" s="639" t="n"/>
      <c r="G302" s="640">
        <f>G301+F302-E302</f>
        <v/>
      </c>
      <c r="H302" s="173" t="n"/>
      <c r="I302" s="173" t="n"/>
      <c r="J302" t="inlineStr">
        <is>
          <t>投資</t>
        </is>
      </c>
      <c r="K302">
        <f>IF(J302="本金",C302+K301,K301)</f>
        <v/>
      </c>
      <c r="L302">
        <f>IF(J302="本金",F302+L301,L301)</f>
        <v/>
      </c>
    </row>
    <row r="303" outlineLevel="1">
      <c r="A303" s="635" t="n"/>
      <c r="B303" s="636" t="n"/>
      <c r="C303" s="170" t="n"/>
      <c r="D303" s="637">
        <f>D302+C303-B303</f>
        <v/>
      </c>
      <c r="E303" s="638" t="n"/>
      <c r="F303" s="639" t="n"/>
      <c r="G303" s="640">
        <f>G302+F303-E303</f>
        <v/>
      </c>
      <c r="H303" s="173" t="n"/>
      <c r="I303" s="173" t="n"/>
      <c r="J303" t="inlineStr">
        <is>
          <t>投資</t>
        </is>
      </c>
      <c r="K303">
        <f>IF(J303="本金",C303+K302,K302)</f>
        <v/>
      </c>
      <c r="L303">
        <f>IF(J303="本金",F303+L302,L302)</f>
        <v/>
      </c>
    </row>
    <row r="304" outlineLevel="1">
      <c r="A304" s="635" t="n"/>
      <c r="B304" s="636" t="n"/>
      <c r="C304" s="170" t="n"/>
      <c r="D304" s="637">
        <f>D303+C304-B304</f>
        <v/>
      </c>
      <c r="E304" s="638" t="n"/>
      <c r="F304" s="639" t="n"/>
      <c r="G304" s="640">
        <f>G303+F304-E304</f>
        <v/>
      </c>
      <c r="H304" s="173" t="n"/>
      <c r="I304" s="173" t="n"/>
      <c r="J304" t="inlineStr">
        <is>
          <t>投資</t>
        </is>
      </c>
      <c r="K304">
        <f>IF(J304="本金",C304+K303,K303)</f>
        <v/>
      </c>
      <c r="L304">
        <f>IF(J304="本金",F304+L303,L303)</f>
        <v/>
      </c>
    </row>
    <row r="305" outlineLevel="1">
      <c r="A305" s="635" t="n"/>
      <c r="B305" s="636" t="n"/>
      <c r="C305" s="170" t="n"/>
      <c r="D305" s="637">
        <f>D304+C305-B305</f>
        <v/>
      </c>
      <c r="E305" s="638" t="n"/>
      <c r="F305" s="639" t="n"/>
      <c r="G305" s="640">
        <f>G304+F305-E305</f>
        <v/>
      </c>
      <c r="H305" s="173" t="n"/>
      <c r="I305" s="173" t="n"/>
      <c r="J305" t="inlineStr">
        <is>
          <t>投資</t>
        </is>
      </c>
      <c r="K305">
        <f>IF(J305="本金",C305+K304,K304)</f>
        <v/>
      </c>
      <c r="L305">
        <f>IF(J305="本金",F305+L304,L304)</f>
        <v/>
      </c>
    </row>
    <row r="306" outlineLevel="1">
      <c r="A306" s="635" t="n"/>
      <c r="B306" s="636" t="n"/>
      <c r="C306" s="170" t="n"/>
      <c r="D306" s="637">
        <f>D305+C306-B306</f>
        <v/>
      </c>
      <c r="E306" s="638" t="n"/>
      <c r="F306" s="639" t="n"/>
      <c r="G306" s="640">
        <f>G305+F306-E306</f>
        <v/>
      </c>
      <c r="H306" s="173" t="n"/>
      <c r="I306" s="173" t="n"/>
      <c r="J306" t="inlineStr">
        <is>
          <t>投資</t>
        </is>
      </c>
      <c r="K306">
        <f>IF(J306="本金",C306+K305,K305)</f>
        <v/>
      </c>
      <c r="L306">
        <f>IF(J306="本金",F306+L305,L305)</f>
        <v/>
      </c>
    </row>
    <row r="307" outlineLevel="1">
      <c r="A307" s="641" t="n"/>
      <c r="B307" s="642" t="n"/>
      <c r="C307" s="123" t="n"/>
      <c r="D307" s="643">
        <f>D306+C307-B307</f>
        <v/>
      </c>
      <c r="E307" s="644" t="n"/>
      <c r="F307" s="645" t="n"/>
      <c r="G307" s="646">
        <f>G306+F307-E307</f>
        <v/>
      </c>
      <c r="H307" s="126" t="n"/>
      <c r="I307" s="126" t="n"/>
      <c r="J307" t="inlineStr">
        <is>
          <t>本金</t>
        </is>
      </c>
      <c r="K307">
        <f>IF(J307="本金",C307+K306,K306)</f>
        <v/>
      </c>
      <c r="L307">
        <f>IF(J307="本金",F307+L306,L306)</f>
        <v/>
      </c>
    </row>
    <row r="308" outlineLevel="1" customFormat="1" s="61">
      <c r="A308" s="615" t="n"/>
      <c r="B308" s="616" t="n"/>
      <c r="C308" s="101" t="n"/>
      <c r="D308" s="617">
        <f>D307+C308-B308</f>
        <v/>
      </c>
      <c r="E308" s="618" t="n"/>
      <c r="F308" s="622" t="n"/>
      <c r="G308" s="620">
        <f>G307+F308-E308</f>
        <v/>
      </c>
      <c r="J308" t="inlineStr">
        <is>
          <t>投資</t>
        </is>
      </c>
      <c r="K308">
        <f>IF(J308="本金",C308+K307,K307)</f>
        <v/>
      </c>
      <c r="L308">
        <f>IF(J308="本金",F308+L307,L307)</f>
        <v/>
      </c>
    </row>
    <row r="309" outlineLevel="1" customFormat="1" s="61">
      <c r="A309" s="615" t="n"/>
      <c r="B309" s="616" t="n"/>
      <c r="C309" s="101" t="n"/>
      <c r="D309" s="617">
        <f>D308+C309-B309</f>
        <v/>
      </c>
      <c r="E309" s="618" t="n"/>
      <c r="F309" s="622" t="n"/>
      <c r="G309" s="620">
        <f>G308+F309-E309</f>
        <v/>
      </c>
      <c r="J309" t="inlineStr">
        <is>
          <t>投資</t>
        </is>
      </c>
      <c r="K309">
        <f>IF(J309="本金",C309+K308,K308)</f>
        <v/>
      </c>
      <c r="L309">
        <f>IF(J309="本金",F309+L308,L308)</f>
        <v/>
      </c>
    </row>
    <row r="310" outlineLevel="1">
      <c r="A310" s="615" t="n"/>
      <c r="B310" s="616" t="n"/>
      <c r="C310" s="101" t="n"/>
      <c r="D310" s="617">
        <f>D309+C310-B310</f>
        <v/>
      </c>
      <c r="E310" s="618" t="n"/>
      <c r="F310" s="622" t="n"/>
      <c r="G310" s="620">
        <f>G309+F310-E310</f>
        <v/>
      </c>
      <c r="H310" s="61" t="n"/>
      <c r="I310" s="61" t="n"/>
      <c r="J310" t="inlineStr">
        <is>
          <t>投資</t>
        </is>
      </c>
      <c r="K310">
        <f>IF(J310="本金",C310+K309,K309)</f>
        <v/>
      </c>
      <c r="L310">
        <f>IF(J310="本金",F310+L309,L309)</f>
        <v/>
      </c>
    </row>
    <row r="311" outlineLevel="1" customFormat="1" s="61">
      <c r="A311" s="615" t="n"/>
      <c r="B311" s="616" t="n"/>
      <c r="C311" s="101" t="n"/>
      <c r="D311" s="617">
        <f>D310+C311-B311</f>
        <v/>
      </c>
      <c r="E311" s="618" t="n"/>
      <c r="F311" s="622" t="n"/>
      <c r="G311" s="620">
        <f>G310+F311-E311</f>
        <v/>
      </c>
      <c r="J311" t="inlineStr">
        <is>
          <t>投資</t>
        </is>
      </c>
      <c r="K311">
        <f>IF(J311="本金",C311+K310,K310)</f>
        <v/>
      </c>
      <c r="L311">
        <f>IF(J311="本金",F311+L310,L310)</f>
        <v/>
      </c>
    </row>
    <row r="312" outlineLevel="1" customFormat="1" s="61">
      <c r="A312" s="615" t="n"/>
      <c r="B312" s="616" t="n"/>
      <c r="C312" s="101" t="n"/>
      <c r="D312" s="617">
        <f>D311+C312-B312</f>
        <v/>
      </c>
      <c r="E312" s="618" t="n"/>
      <c r="F312" s="622" t="n"/>
      <c r="G312" s="620">
        <f>G311+F312-E312</f>
        <v/>
      </c>
      <c r="J312" t="inlineStr">
        <is>
          <t>投資</t>
        </is>
      </c>
      <c r="K312">
        <f>IF(J312="本金",C312+K311,K311)</f>
        <v/>
      </c>
      <c r="L312">
        <f>IF(J312="本金",F312+L311,L311)</f>
        <v/>
      </c>
    </row>
    <row r="313" outlineLevel="1" customFormat="1" s="61">
      <c r="A313" s="615" t="n"/>
      <c r="B313" s="616" t="n"/>
      <c r="C313" s="101" t="n"/>
      <c r="D313" s="617">
        <f>D312+C313-B313</f>
        <v/>
      </c>
      <c r="E313" s="618" t="n"/>
      <c r="F313" s="622" t="n"/>
      <c r="G313" s="620">
        <f>G312+F313-E313</f>
        <v/>
      </c>
      <c r="J313" t="inlineStr">
        <is>
          <t>投資</t>
        </is>
      </c>
      <c r="K313">
        <f>IF(J313="本金",C313+K312,K312)</f>
        <v/>
      </c>
      <c r="L313">
        <f>IF(J313="本金",F313+L312,L312)</f>
        <v/>
      </c>
    </row>
    <row r="314" outlineLevel="1" customFormat="1" s="61">
      <c r="A314" s="615" t="n"/>
      <c r="B314" s="616" t="n"/>
      <c r="C314" s="101" t="n"/>
      <c r="D314" s="617">
        <f>D313+C314-B314</f>
        <v/>
      </c>
      <c r="E314" s="618" t="n"/>
      <c r="F314" s="622" t="n"/>
      <c r="G314" s="620">
        <f>G313+F314-E314</f>
        <v/>
      </c>
      <c r="J314" t="inlineStr">
        <is>
          <t>投資</t>
        </is>
      </c>
      <c r="K314">
        <f>IF(J314="本金",C314+K313,K313)</f>
        <v/>
      </c>
      <c r="L314">
        <f>IF(J314="本金",F314+L313,L313)</f>
        <v/>
      </c>
    </row>
    <row r="315" outlineLevel="1">
      <c r="A315" s="615" t="n"/>
      <c r="B315" s="616" t="n"/>
      <c r="C315" s="101" t="n"/>
      <c r="D315" s="617">
        <f>D314+C315-B315</f>
        <v/>
      </c>
      <c r="E315" s="618" t="n"/>
      <c r="F315" s="622" t="n"/>
      <c r="G315" s="620">
        <f>G314+F315-E315</f>
        <v/>
      </c>
      <c r="H315" s="61" t="n"/>
      <c r="I315" s="61" t="n"/>
      <c r="J315" t="inlineStr">
        <is>
          <t>投資</t>
        </is>
      </c>
      <c r="K315">
        <f>IF(J315="本金",C315+K314,K314)</f>
        <v/>
      </c>
      <c r="L315">
        <f>IF(J315="本金",F315+L314,L314)</f>
        <v/>
      </c>
    </row>
    <row r="316" outlineLevel="1">
      <c r="A316" s="635" t="n"/>
      <c r="B316" s="636" t="n"/>
      <c r="C316" s="170" t="n"/>
      <c r="D316" s="637">
        <f>D315+C316-B316</f>
        <v/>
      </c>
      <c r="E316" s="638" t="n"/>
      <c r="F316" s="639" t="n"/>
      <c r="G316" s="640">
        <f>G315+F316-E316</f>
        <v/>
      </c>
      <c r="H316" s="173" t="n"/>
      <c r="I316" s="173" t="n"/>
      <c r="J316" t="inlineStr">
        <is>
          <t>投資</t>
        </is>
      </c>
      <c r="K316">
        <f>IF(J316="本金",C316+K315,K315)</f>
        <v/>
      </c>
      <c r="L316">
        <f>IF(J316="本金",F316+L315,L315)</f>
        <v/>
      </c>
    </row>
    <row r="317" outlineLevel="1">
      <c r="A317" s="623" t="n"/>
      <c r="B317" s="624" t="n"/>
      <c r="C317" s="111" t="n"/>
      <c r="D317" s="625">
        <f>D316+C317-B317</f>
        <v/>
      </c>
      <c r="E317" s="626" t="n"/>
      <c r="F317" s="627" t="n"/>
      <c r="G317" s="628">
        <f>G316+F317-E317</f>
        <v/>
      </c>
      <c r="H317" s="114" t="n"/>
      <c r="I317" s="121" t="n"/>
      <c r="J317" t="inlineStr">
        <is>
          <t>投資</t>
        </is>
      </c>
      <c r="K317">
        <f>IF(J317="本金",C317+K316,K316)</f>
        <v/>
      </c>
      <c r="L317">
        <f>IF(J317="本金",F317+L316,L316)</f>
        <v/>
      </c>
    </row>
    <row r="318" outlineLevel="1">
      <c r="A318" s="635" t="n"/>
      <c r="B318" s="636" t="n"/>
      <c r="C318" s="170" t="n"/>
      <c r="D318" s="637">
        <f>D317+C318-B318</f>
        <v/>
      </c>
      <c r="E318" s="638" t="n"/>
      <c r="F318" s="639" t="n"/>
      <c r="G318" s="640">
        <f>G317+F318-E318</f>
        <v/>
      </c>
      <c r="H318" s="173" t="n"/>
      <c r="I318" s="173" t="n"/>
      <c r="J318" t="inlineStr">
        <is>
          <t>投資</t>
        </is>
      </c>
      <c r="K318">
        <f>IF(J318="本金",C318+K317,K317)</f>
        <v/>
      </c>
      <c r="L318">
        <f>IF(J318="本金",F318+L317,L317)</f>
        <v/>
      </c>
    </row>
    <row r="319" outlineLevel="1">
      <c r="A319" s="635" t="n"/>
      <c r="B319" s="636" t="n"/>
      <c r="C319" s="170" t="n"/>
      <c r="D319" s="637">
        <f>D318+C319-B319</f>
        <v/>
      </c>
      <c r="E319" s="638" t="n"/>
      <c r="F319" s="639" t="n"/>
      <c r="G319" s="640">
        <f>G318+F319-E319</f>
        <v/>
      </c>
      <c r="H319" s="173" t="n"/>
      <c r="I319" s="173" t="n"/>
      <c r="J319" t="inlineStr">
        <is>
          <t>投資</t>
        </is>
      </c>
      <c r="K319">
        <f>IF(J319="本金",C319+K318,K318)</f>
        <v/>
      </c>
      <c r="L319">
        <f>IF(J319="本金",F319+L318,L318)</f>
        <v/>
      </c>
    </row>
    <row r="320" outlineLevel="1">
      <c r="A320" s="635" t="n"/>
      <c r="B320" s="636" t="n"/>
      <c r="C320" s="170" t="n"/>
      <c r="D320" s="637">
        <f>D319+C320-B320</f>
        <v/>
      </c>
      <c r="E320" s="638" t="n"/>
      <c r="F320" s="639" t="n"/>
      <c r="G320" s="640">
        <f>G319+F320-E320</f>
        <v/>
      </c>
      <c r="H320" s="173" t="n"/>
      <c r="I320" s="173" t="n"/>
      <c r="J320" t="inlineStr">
        <is>
          <t>投資</t>
        </is>
      </c>
      <c r="K320">
        <f>IF(J320="本金",C320+K319,K319)</f>
        <v/>
      </c>
      <c r="L320">
        <f>IF(J320="本金",F320+L319,L319)</f>
        <v/>
      </c>
    </row>
    <row r="321" outlineLevel="1">
      <c r="A321" s="635" t="n"/>
      <c r="B321" s="636" t="n"/>
      <c r="C321" s="170" t="n"/>
      <c r="D321" s="637">
        <f>D320+C321-B321</f>
        <v/>
      </c>
      <c r="E321" s="638" t="n"/>
      <c r="F321" s="639" t="n"/>
      <c r="G321" s="640">
        <f>G320+F321-E321</f>
        <v/>
      </c>
      <c r="H321" s="173" t="n"/>
      <c r="I321" s="173" t="n"/>
      <c r="J321" t="inlineStr">
        <is>
          <t>投資</t>
        </is>
      </c>
      <c r="K321">
        <f>IF(J321="本金",C321+K320,K320)</f>
        <v/>
      </c>
      <c r="L321">
        <f>IF(J321="本金",F321+L320,L320)</f>
        <v/>
      </c>
    </row>
    <row r="322" outlineLevel="1">
      <c r="A322" s="635" t="n"/>
      <c r="B322" s="636" t="n"/>
      <c r="C322" s="170" t="n"/>
      <c r="D322" s="637">
        <f>D321+C322-B322</f>
        <v/>
      </c>
      <c r="E322" s="638" t="n"/>
      <c r="F322" s="639" t="n"/>
      <c r="G322" s="640">
        <f>G321+F322-E322</f>
        <v/>
      </c>
      <c r="H322" s="173" t="n"/>
      <c r="I322" s="173" t="n"/>
      <c r="J322" t="inlineStr">
        <is>
          <t>投資</t>
        </is>
      </c>
      <c r="K322">
        <f>IF(J322="本金",C322+K321,K321)</f>
        <v/>
      </c>
      <c r="L322">
        <f>IF(J322="本金",F322+L321,L321)</f>
        <v/>
      </c>
    </row>
    <row r="323" outlineLevel="1">
      <c r="A323" s="615" t="n"/>
      <c r="B323" s="616" t="n"/>
      <c r="C323" s="101" t="n"/>
      <c r="D323" s="617">
        <f>D322+C323-B323</f>
        <v/>
      </c>
      <c r="E323" s="618" t="n"/>
      <c r="F323" s="622" t="n"/>
      <c r="G323" s="620">
        <f>G322+F323-E323</f>
        <v/>
      </c>
      <c r="H323" s="61" t="n"/>
      <c r="I323" s="61" t="n"/>
      <c r="J323" t="inlineStr">
        <is>
          <t>投資</t>
        </is>
      </c>
      <c r="K323">
        <f>IF(J323="本金",C323+K322,K322)</f>
        <v/>
      </c>
      <c r="L323">
        <f>IF(J323="本金",F323+L322,L322)</f>
        <v/>
      </c>
    </row>
    <row r="324" outlineLevel="1">
      <c r="A324" s="623" t="n"/>
      <c r="B324" s="624" t="n"/>
      <c r="C324" s="111" t="n"/>
      <c r="D324" s="625">
        <f>D323+C324-B324</f>
        <v/>
      </c>
      <c r="E324" s="626" t="n"/>
      <c r="F324" s="627" t="n"/>
      <c r="G324" s="628">
        <f>G323+F324-E324</f>
        <v/>
      </c>
      <c r="H324" s="114" t="n"/>
      <c r="I324" s="121" t="n"/>
      <c r="J324" t="inlineStr">
        <is>
          <t>投資</t>
        </is>
      </c>
      <c r="K324">
        <f>IF(J324="本金",C324+K323,K323)</f>
        <v/>
      </c>
      <c r="L324">
        <f>IF(J324="本金",F324+L323,L323)</f>
        <v/>
      </c>
    </row>
    <row r="325" outlineLevel="1" customFormat="1" s="61">
      <c r="A325" s="615" t="n"/>
      <c r="B325" s="616" t="n"/>
      <c r="C325" s="101" t="n"/>
      <c r="D325" s="617">
        <f>D324+C325-B325</f>
        <v/>
      </c>
      <c r="E325" s="618" t="n"/>
      <c r="F325" s="622" t="n"/>
      <c r="G325" s="620">
        <f>G324+F325-E325</f>
        <v/>
      </c>
      <c r="J325" t="inlineStr">
        <is>
          <t>投資</t>
        </is>
      </c>
      <c r="K325">
        <f>IF(J325="本金",C325+K324,K324)</f>
        <v/>
      </c>
      <c r="L325">
        <f>IF(J325="本金",F325+L324,L324)</f>
        <v/>
      </c>
    </row>
    <row r="326" outlineLevel="1">
      <c r="A326" s="615" t="n"/>
      <c r="B326" s="616" t="n"/>
      <c r="C326" s="101" t="n"/>
      <c r="D326" s="617">
        <f>D325+C326-B326</f>
        <v/>
      </c>
      <c r="E326" s="618" t="n"/>
      <c r="F326" s="622" t="n"/>
      <c r="G326" s="620">
        <f>G325+F326-E326</f>
        <v/>
      </c>
      <c r="H326" s="61" t="n"/>
      <c r="I326" s="61" t="n"/>
      <c r="J326" t="inlineStr">
        <is>
          <t>投資</t>
        </is>
      </c>
      <c r="K326">
        <f>IF(J326="本金",C326+K325,K325)</f>
        <v/>
      </c>
      <c r="L326">
        <f>IF(J326="本金",F326+L325,L325)</f>
        <v/>
      </c>
    </row>
    <row r="327" outlineLevel="1">
      <c r="A327" s="615" t="n"/>
      <c r="B327" s="616" t="n"/>
      <c r="C327" s="101" t="n"/>
      <c r="D327" s="617">
        <f>D326+C327-B327</f>
        <v/>
      </c>
      <c r="E327" s="618" t="n"/>
      <c r="F327" s="622" t="n"/>
      <c r="G327" s="620">
        <f>G326+F327-E327</f>
        <v/>
      </c>
      <c r="H327" s="61" t="n"/>
      <c r="I327" s="61" t="n"/>
      <c r="J327" t="inlineStr">
        <is>
          <t>投資</t>
        </is>
      </c>
      <c r="K327">
        <f>IF(J327="本金",C327+K326,K326)</f>
        <v/>
      </c>
      <c r="L327">
        <f>IF(J327="本金",F327+L326,L326)</f>
        <v/>
      </c>
    </row>
    <row r="328" outlineLevel="1" customFormat="1" s="61">
      <c r="A328" s="615" t="n"/>
      <c r="B328" s="616" t="n"/>
      <c r="C328" s="101" t="n"/>
      <c r="D328" s="617">
        <f>D327+C328-B328</f>
        <v/>
      </c>
      <c r="E328" s="618" t="n"/>
      <c r="F328" s="622" t="n"/>
      <c r="G328" s="620">
        <f>G327+F328-E328</f>
        <v/>
      </c>
      <c r="J328" t="inlineStr">
        <is>
          <t>投資</t>
        </is>
      </c>
      <c r="K328">
        <f>IF(J328="本金",C328+K327,K327)</f>
        <v/>
      </c>
      <c r="L328">
        <f>IF(J328="本金",F328+L327,L327)</f>
        <v/>
      </c>
    </row>
    <row r="329" outlineLevel="1" customFormat="1" s="61">
      <c r="A329" s="615" t="n"/>
      <c r="B329" s="616" t="n"/>
      <c r="C329" s="101" t="n"/>
      <c r="D329" s="617">
        <f>D328+C329-B329</f>
        <v/>
      </c>
      <c r="E329" s="618" t="n"/>
      <c r="F329" s="622" t="n"/>
      <c r="G329" s="620">
        <f>G328+F329-E329</f>
        <v/>
      </c>
      <c r="J329" t="inlineStr">
        <is>
          <t>投資</t>
        </is>
      </c>
      <c r="K329">
        <f>IF(J329="本金",C329+K328,K328)</f>
        <v/>
      </c>
      <c r="L329">
        <f>IF(J329="本金",F329+L328,L328)</f>
        <v/>
      </c>
    </row>
    <row r="330" outlineLevel="1" customFormat="1" s="61">
      <c r="A330" s="615" t="n"/>
      <c r="B330" s="616" t="n"/>
      <c r="C330" s="101" t="n"/>
      <c r="D330" s="617">
        <f>D329+C330-B330</f>
        <v/>
      </c>
      <c r="E330" s="618" t="n"/>
      <c r="F330" s="622" t="n"/>
      <c r="G330" s="620">
        <f>G329+F330-E330</f>
        <v/>
      </c>
      <c r="J330" t="inlineStr">
        <is>
          <t>投資</t>
        </is>
      </c>
      <c r="K330">
        <f>IF(J330="本金",C330+K329,K329)</f>
        <v/>
      </c>
      <c r="L330">
        <f>IF(J330="本金",F330+L329,L329)</f>
        <v/>
      </c>
    </row>
    <row r="331" outlineLevel="1" customFormat="1" s="61">
      <c r="A331" s="615" t="n"/>
      <c r="B331" s="616" t="n"/>
      <c r="C331" s="101" t="n"/>
      <c r="D331" s="617">
        <f>D330+C331-B331</f>
        <v/>
      </c>
      <c r="E331" s="618" t="n"/>
      <c r="F331" s="622" t="n"/>
      <c r="G331" s="620">
        <f>G330+F331-E331</f>
        <v/>
      </c>
      <c r="J331" t="inlineStr">
        <is>
          <t>投資</t>
        </is>
      </c>
      <c r="K331">
        <f>IF(J331="本金",C331+K330,K330)</f>
        <v/>
      </c>
      <c r="L331">
        <f>IF(J331="本金",F331+L330,L330)</f>
        <v/>
      </c>
    </row>
    <row r="332" outlineLevel="1">
      <c r="A332" s="623" t="n"/>
      <c r="B332" s="624" t="n"/>
      <c r="C332" s="111" t="n"/>
      <c r="D332" s="625">
        <f>D331+C332-B332</f>
        <v/>
      </c>
      <c r="E332" s="626" t="n"/>
      <c r="F332" s="627" t="n"/>
      <c r="G332" s="628">
        <f>G331+F332-E332</f>
        <v/>
      </c>
      <c r="H332" s="114" t="n"/>
      <c r="I332" s="121" t="n"/>
      <c r="J332" t="inlineStr">
        <is>
          <t>投資</t>
        </is>
      </c>
      <c r="K332">
        <f>IF(J332="本金",C332+K331,K331)</f>
        <v/>
      </c>
      <c r="L332">
        <f>IF(J332="本金",F332+L331,L331)</f>
        <v/>
      </c>
    </row>
    <row r="333" outlineLevel="1">
      <c r="A333" s="615" t="n"/>
      <c r="B333" s="616" t="n"/>
      <c r="C333" s="101" t="n"/>
      <c r="D333" s="617">
        <f>D332+C333-B333</f>
        <v/>
      </c>
      <c r="E333" s="618" t="n"/>
      <c r="F333" s="622" t="n"/>
      <c r="G333" s="620">
        <f>G332+F333-E333</f>
        <v/>
      </c>
      <c r="H333" s="61" t="n"/>
      <c r="I333" s="61" t="n"/>
      <c r="J333" t="inlineStr">
        <is>
          <t>投資</t>
        </is>
      </c>
      <c r="K333">
        <f>IF(J333="本金",C333+K332,K332)</f>
        <v/>
      </c>
      <c r="L333">
        <f>IF(J333="本金",F333+L332,L332)</f>
        <v/>
      </c>
    </row>
    <row r="334" outlineLevel="1" customFormat="1" s="61">
      <c r="A334" s="629" t="n"/>
      <c r="B334" s="630" t="n"/>
      <c r="C334" s="116" t="n"/>
      <c r="D334" s="631">
        <f>D333+C334-B334</f>
        <v/>
      </c>
      <c r="E334" s="632" t="n"/>
      <c r="F334" s="633" t="n"/>
      <c r="G334" s="634">
        <f>G333+F334-E334</f>
        <v/>
      </c>
      <c r="H334" s="119" t="n"/>
      <c r="I334" s="120" t="n"/>
      <c r="J334" t="inlineStr">
        <is>
          <t>投資</t>
        </is>
      </c>
      <c r="K334">
        <f>IF(J334="本金",C334+K333,K333)</f>
        <v/>
      </c>
      <c r="L334">
        <f>IF(J334="本金",F334+L333,L333)</f>
        <v/>
      </c>
    </row>
    <row r="335" outlineLevel="1" customFormat="1" s="61">
      <c r="A335" s="615" t="n"/>
      <c r="B335" s="616" t="n"/>
      <c r="C335" s="101" t="n"/>
      <c r="D335" s="617">
        <f>D334+C335-B335</f>
        <v/>
      </c>
      <c r="E335" s="618" t="n"/>
      <c r="F335" s="622" t="n"/>
      <c r="G335" s="620">
        <f>G334+F335-E335</f>
        <v/>
      </c>
      <c r="J335" t="inlineStr">
        <is>
          <t>投資</t>
        </is>
      </c>
      <c r="K335">
        <f>IF(J335="本金",C335+K334,K334)</f>
        <v/>
      </c>
      <c r="L335">
        <f>IF(J335="本金",F335+L334,L334)</f>
        <v/>
      </c>
    </row>
    <row r="336" outlineLevel="1" customFormat="1" s="61">
      <c r="A336" s="615" t="n"/>
      <c r="B336" s="616" t="n"/>
      <c r="C336" s="101" t="n"/>
      <c r="D336" s="617">
        <f>D335+C336-B336</f>
        <v/>
      </c>
      <c r="E336" s="618" t="n"/>
      <c r="F336" s="622" t="n"/>
      <c r="G336" s="620">
        <f>G335+F336-E336</f>
        <v/>
      </c>
      <c r="J336" t="inlineStr">
        <is>
          <t>投資</t>
        </is>
      </c>
      <c r="K336">
        <f>IF(J336="本金",C336+K335,K335)</f>
        <v/>
      </c>
      <c r="L336">
        <f>IF(J336="本金",F336+L335,L335)</f>
        <v/>
      </c>
    </row>
    <row r="337" outlineLevel="1" customFormat="1" s="61">
      <c r="A337" s="615" t="n"/>
      <c r="B337" s="616" t="n"/>
      <c r="C337" s="101" t="n"/>
      <c r="D337" s="617">
        <f>D336+C337-B337</f>
        <v/>
      </c>
      <c r="E337" s="618" t="n"/>
      <c r="F337" s="622" t="n"/>
      <c r="G337" s="620">
        <f>G336+F337-E337</f>
        <v/>
      </c>
      <c r="J337" t="inlineStr">
        <is>
          <t>投資</t>
        </is>
      </c>
      <c r="K337">
        <f>IF(J337="本金",C337+K336,K336)</f>
        <v/>
      </c>
      <c r="L337">
        <f>IF(J337="本金",F337+L336,L336)</f>
        <v/>
      </c>
    </row>
    <row r="338" outlineLevel="1" customFormat="1" s="61">
      <c r="A338" s="615" t="n"/>
      <c r="B338" s="616" t="n"/>
      <c r="C338" s="101" t="n"/>
      <c r="D338" s="617">
        <f>D337+C338-B338</f>
        <v/>
      </c>
      <c r="E338" s="618" t="n"/>
      <c r="F338" s="622" t="n"/>
      <c r="G338" s="620">
        <f>G337+F338-E338</f>
        <v/>
      </c>
      <c r="J338" t="inlineStr">
        <is>
          <t>投資</t>
        </is>
      </c>
      <c r="K338">
        <f>IF(J338="本金",C338+K337,K337)</f>
        <v/>
      </c>
      <c r="L338">
        <f>IF(J338="本金",F338+L337,L337)</f>
        <v/>
      </c>
    </row>
    <row r="339" outlineLevel="1" customFormat="1" s="61">
      <c r="A339" s="615" t="n"/>
      <c r="B339" s="616" t="n"/>
      <c r="C339" s="101" t="n"/>
      <c r="D339" s="617">
        <f>D338+C339-B339</f>
        <v/>
      </c>
      <c r="E339" s="618" t="n"/>
      <c r="F339" s="622" t="n"/>
      <c r="G339" s="620">
        <f>G338+F339-E339</f>
        <v/>
      </c>
      <c r="J339" t="inlineStr">
        <is>
          <t>投資</t>
        </is>
      </c>
      <c r="K339">
        <f>IF(J339="本金",C339+K338,K338)</f>
        <v/>
      </c>
      <c r="L339">
        <f>IF(J339="本金",F339+L338,L338)</f>
        <v/>
      </c>
    </row>
    <row r="340" outlineLevel="1" customFormat="1" s="61">
      <c r="A340" s="615" t="n"/>
      <c r="B340" s="616" t="n"/>
      <c r="C340" s="101" t="n"/>
      <c r="D340" s="617">
        <f>D339+C340-B340</f>
        <v/>
      </c>
      <c r="E340" s="618" t="n"/>
      <c r="F340" s="622" t="n"/>
      <c r="G340" s="620">
        <f>G339+F340-E340</f>
        <v/>
      </c>
      <c r="J340" t="inlineStr">
        <is>
          <t>投資</t>
        </is>
      </c>
      <c r="K340">
        <f>IF(J340="本金",C340+K339,K339)</f>
        <v/>
      </c>
      <c r="L340">
        <f>IF(J340="本金",F340+L339,L339)</f>
        <v/>
      </c>
    </row>
    <row r="341" outlineLevel="1" customFormat="1" s="61">
      <c r="A341" s="615" t="n"/>
      <c r="B341" s="616" t="n"/>
      <c r="C341" s="101" t="n"/>
      <c r="D341" s="617">
        <f>D340+C341-B341</f>
        <v/>
      </c>
      <c r="E341" s="618" t="n"/>
      <c r="F341" s="622" t="n"/>
      <c r="G341" s="620">
        <f>G340+F341-E341</f>
        <v/>
      </c>
      <c r="J341" t="inlineStr">
        <is>
          <t>投資</t>
        </is>
      </c>
      <c r="K341">
        <f>IF(J341="本金",C341+K340,K340)</f>
        <v/>
      </c>
      <c r="L341">
        <f>IF(J341="本金",F341+L340,L340)</f>
        <v/>
      </c>
    </row>
    <row r="342" outlineLevel="1" customFormat="1" s="61">
      <c r="A342" s="615" t="n"/>
      <c r="B342" s="616" t="n"/>
      <c r="C342" s="101" t="n"/>
      <c r="D342" s="617">
        <f>D341+C342-B342</f>
        <v/>
      </c>
      <c r="E342" s="618" t="n"/>
      <c r="F342" s="622" t="n"/>
      <c r="G342" s="620">
        <f>G341+F342-E342</f>
        <v/>
      </c>
      <c r="J342" t="inlineStr">
        <is>
          <t>投資</t>
        </is>
      </c>
      <c r="K342">
        <f>IF(J342="本金",C342+K341,K341)</f>
        <v/>
      </c>
      <c r="L342">
        <f>IF(J342="本金",F342+L341,L341)</f>
        <v/>
      </c>
    </row>
    <row r="343" outlineLevel="1" customFormat="1" s="61">
      <c r="A343" s="615" t="n"/>
      <c r="B343" s="616" t="n"/>
      <c r="C343" s="101" t="n"/>
      <c r="D343" s="617">
        <f>D342+C343-B343</f>
        <v/>
      </c>
      <c r="E343" s="618" t="n"/>
      <c r="F343" s="622" t="n"/>
      <c r="G343" s="620">
        <f>G342+F343-E343</f>
        <v/>
      </c>
      <c r="J343" t="inlineStr">
        <is>
          <t>投資</t>
        </is>
      </c>
      <c r="K343">
        <f>IF(J343="本金",C343+K342,K342)</f>
        <v/>
      </c>
      <c r="L343">
        <f>IF(J343="本金",F343+L342,L342)</f>
        <v/>
      </c>
    </row>
    <row r="344" outlineLevel="1">
      <c r="A344" s="615" t="n"/>
      <c r="B344" s="616" t="n"/>
      <c r="C344" s="101" t="n"/>
      <c r="D344" s="617">
        <f>D343+C344-B344</f>
        <v/>
      </c>
      <c r="E344" s="618" t="n"/>
      <c r="F344" s="622" t="n"/>
      <c r="G344" s="620">
        <f>G343+F344-E344</f>
        <v/>
      </c>
      <c r="H344" s="61" t="n"/>
      <c r="I344" s="61" t="n"/>
      <c r="J344" t="inlineStr">
        <is>
          <t>投資</t>
        </is>
      </c>
      <c r="K344">
        <f>IF(J344="本金",C344+K343,K343)</f>
        <v/>
      </c>
      <c r="L344">
        <f>IF(J344="本金",F344+L343,L343)</f>
        <v/>
      </c>
    </row>
    <row r="345">
      <c r="A345" s="615" t="n"/>
      <c r="B345" s="616" t="n"/>
      <c r="C345" s="101" t="n"/>
      <c r="D345" s="617">
        <f>D344+C345-B345</f>
        <v/>
      </c>
      <c r="E345" s="618" t="n"/>
      <c r="F345" s="622" t="n"/>
      <c r="G345" s="620">
        <f>G344+F345-E345</f>
        <v/>
      </c>
      <c r="H345" s="61" t="n"/>
      <c r="I345" s="61" t="n"/>
      <c r="J345" t="inlineStr">
        <is>
          <t>投資</t>
        </is>
      </c>
      <c r="K345">
        <f>IF(J345="本金",C345+K344,K344)</f>
        <v/>
      </c>
      <c r="L345">
        <f>IF(J345="本金",F345+L344,L344)</f>
        <v/>
      </c>
    </row>
    <row r="346" outlineLevel="1">
      <c r="A346" s="623" t="n"/>
      <c r="B346" s="624" t="n"/>
      <c r="C346" s="111" t="n"/>
      <c r="D346" s="625">
        <f>D345+C346-B346</f>
        <v/>
      </c>
      <c r="E346" s="626" t="n"/>
      <c r="F346" s="627" t="n"/>
      <c r="G346" s="628">
        <f>G345+F346-E346</f>
        <v/>
      </c>
      <c r="H346" s="114" t="n"/>
      <c r="I346" s="121" t="n"/>
      <c r="J346" t="inlineStr">
        <is>
          <t>投資</t>
        </is>
      </c>
      <c r="K346">
        <f>IF(J346="本金",C346+K345,K345)</f>
        <v/>
      </c>
      <c r="L346">
        <f>IF(J346="本金",F346+L345,L345)</f>
        <v/>
      </c>
    </row>
    <row r="347" outlineLevel="1">
      <c r="A347" s="615" t="n"/>
      <c r="B347" s="616" t="n"/>
      <c r="C347" s="101" t="n"/>
      <c r="D347" s="617">
        <f>D346+C347-B347</f>
        <v/>
      </c>
      <c r="E347" s="618" t="n"/>
      <c r="F347" s="622" t="n"/>
      <c r="G347" s="620">
        <f>G346+F347-E347</f>
        <v/>
      </c>
      <c r="H347" s="61" t="n"/>
      <c r="I347" s="61" t="n"/>
      <c r="J347" t="inlineStr">
        <is>
          <t>投資</t>
        </is>
      </c>
      <c r="K347">
        <f>IF(J347="本金",C347+K346,K346)</f>
        <v/>
      </c>
      <c r="L347">
        <f>IF(J347="本金",F347+L346,L346)</f>
        <v/>
      </c>
    </row>
    <row r="348" outlineLevel="1">
      <c r="A348" s="615" t="n"/>
      <c r="B348" s="616" t="n"/>
      <c r="C348" s="101" t="n"/>
      <c r="D348" s="617">
        <f>D347+C348-B348</f>
        <v/>
      </c>
      <c r="E348" s="618" t="n"/>
      <c r="F348" s="622" t="n"/>
      <c r="G348" s="620">
        <f>G347+F348-E348</f>
        <v/>
      </c>
      <c r="H348" s="61" t="n"/>
      <c r="I348" s="61" t="n"/>
      <c r="J348" t="inlineStr">
        <is>
          <t>投資</t>
        </is>
      </c>
      <c r="K348">
        <f>IF(J348="本金",C348+K347,K347)</f>
        <v/>
      </c>
      <c r="L348">
        <f>IF(J348="本金",F348+L347,L347)</f>
        <v/>
      </c>
    </row>
    <row r="349" outlineLevel="1">
      <c r="A349" s="615" t="n"/>
      <c r="B349" s="616" t="n"/>
      <c r="C349" s="101" t="n"/>
      <c r="D349" s="617">
        <f>D348+C349-B349</f>
        <v/>
      </c>
      <c r="E349" s="618" t="n"/>
      <c r="F349" s="622" t="n"/>
      <c r="G349" s="620">
        <f>G348+F349-E349</f>
        <v/>
      </c>
      <c r="H349" s="61" t="n"/>
      <c r="I349" s="61" t="n"/>
      <c r="J349" t="inlineStr">
        <is>
          <t>投資</t>
        </is>
      </c>
      <c r="K349">
        <f>IF(J349="本金",C349+K348,K348)</f>
        <v/>
      </c>
      <c r="L349">
        <f>IF(J349="本金",F349+L348,L348)</f>
        <v/>
      </c>
    </row>
    <row r="350" outlineLevel="1">
      <c r="A350" s="615" t="n"/>
      <c r="B350" s="616" t="n"/>
      <c r="C350" s="101" t="n"/>
      <c r="D350" s="617">
        <f>D349+C350-B350</f>
        <v/>
      </c>
      <c r="E350" s="618" t="n"/>
      <c r="F350" s="622" t="n"/>
      <c r="G350" s="620">
        <f>G349+F350-E350</f>
        <v/>
      </c>
      <c r="H350" s="61" t="n"/>
      <c r="I350" s="61" t="n"/>
      <c r="J350" t="inlineStr">
        <is>
          <t>投資</t>
        </is>
      </c>
      <c r="K350">
        <f>IF(J350="本金",C350+K349,K349)</f>
        <v/>
      </c>
      <c r="L350">
        <f>IF(J350="本金",F350+L349,L349)</f>
        <v/>
      </c>
    </row>
    <row r="351" outlineLevel="1">
      <c r="A351" s="615" t="n"/>
      <c r="B351" s="616" t="n"/>
      <c r="C351" s="101" t="n"/>
      <c r="D351" s="617">
        <f>D350+C351-B351</f>
        <v/>
      </c>
      <c r="E351" s="618" t="n"/>
      <c r="F351" s="622" t="n"/>
      <c r="G351" s="620">
        <f>G350+F351-E351</f>
        <v/>
      </c>
      <c r="H351" s="61" t="n"/>
      <c r="I351" s="61" t="n"/>
      <c r="J351" t="inlineStr">
        <is>
          <t>投資</t>
        </is>
      </c>
      <c r="K351">
        <f>IF(J351="本金",C351+K350,K350)</f>
        <v/>
      </c>
      <c r="L351">
        <f>IF(J351="本金",F351+L350,L350)</f>
        <v/>
      </c>
    </row>
    <row r="352" outlineLevel="1">
      <c r="A352" s="615" t="n"/>
      <c r="B352" s="616" t="n"/>
      <c r="C352" s="101" t="n"/>
      <c r="D352" s="617">
        <f>D351+C352-B352</f>
        <v/>
      </c>
      <c r="E352" s="618" t="n"/>
      <c r="F352" s="622" t="n"/>
      <c r="G352" s="620">
        <f>G351+F352-E352</f>
        <v/>
      </c>
      <c r="H352" s="61" t="n"/>
      <c r="I352" s="61" t="n"/>
      <c r="J352" t="inlineStr">
        <is>
          <t>投資</t>
        </is>
      </c>
      <c r="K352">
        <f>IF(J352="本金",C352+K351,K351)</f>
        <v/>
      </c>
      <c r="L352">
        <f>IF(J352="本金",F352+L351,L351)</f>
        <v/>
      </c>
    </row>
    <row r="353" outlineLevel="1">
      <c r="A353" s="615" t="n"/>
      <c r="B353" s="616" t="n"/>
      <c r="C353" s="101" t="n"/>
      <c r="D353" s="617">
        <f>D352+C353-B353</f>
        <v/>
      </c>
      <c r="E353" s="618" t="n"/>
      <c r="F353" s="622" t="n"/>
      <c r="G353" s="620">
        <f>G352+F353-E353</f>
        <v/>
      </c>
      <c r="H353" s="61" t="n"/>
      <c r="I353" s="61" t="n"/>
      <c r="J353" t="inlineStr">
        <is>
          <t>投資</t>
        </is>
      </c>
      <c r="K353">
        <f>IF(J353="本金",C353+K352,K352)</f>
        <v/>
      </c>
      <c r="L353">
        <f>IF(J353="本金",F353+L352,L352)</f>
        <v/>
      </c>
    </row>
    <row r="354" outlineLevel="1">
      <c r="A354" s="615" t="n"/>
      <c r="B354" s="616" t="n"/>
      <c r="C354" s="101" t="n"/>
      <c r="D354" s="617">
        <f>D353+C354-B354</f>
        <v/>
      </c>
      <c r="E354" s="618" t="n"/>
      <c r="F354" s="622" t="n"/>
      <c r="G354" s="620">
        <f>G353+F354-E354</f>
        <v/>
      </c>
      <c r="H354" s="61" t="n"/>
      <c r="I354" s="61" t="n"/>
      <c r="J354" t="inlineStr">
        <is>
          <t>投資</t>
        </is>
      </c>
      <c r="K354">
        <f>IF(J354="本金",C354+K353,K353)</f>
        <v/>
      </c>
      <c r="L354">
        <f>IF(J354="本金",F354+L353,L353)</f>
        <v/>
      </c>
    </row>
    <row r="355" outlineLevel="1">
      <c r="A355" s="615" t="n"/>
      <c r="B355" s="616" t="n"/>
      <c r="C355" s="101" t="n"/>
      <c r="D355" s="617">
        <f>D354+C355-B355</f>
        <v/>
      </c>
      <c r="E355" s="618" t="n"/>
      <c r="F355" s="622" t="n"/>
      <c r="G355" s="620">
        <f>G354+F355-E355</f>
        <v/>
      </c>
      <c r="H355" s="61" t="n"/>
      <c r="I355" s="61" t="n"/>
      <c r="J355" t="inlineStr">
        <is>
          <t>投資</t>
        </is>
      </c>
      <c r="K355">
        <f>IF(J355="本金",C355+K354,K354)</f>
        <v/>
      </c>
      <c r="L355">
        <f>IF(J355="本金",F355+L354,L354)</f>
        <v/>
      </c>
    </row>
    <row r="356" outlineLevel="1">
      <c r="A356" s="615" t="n"/>
      <c r="B356" s="616" t="n"/>
      <c r="C356" s="101" t="n"/>
      <c r="D356" s="617">
        <f>D355+C356-B356</f>
        <v/>
      </c>
      <c r="E356" s="618" t="n"/>
      <c r="F356" s="622" t="n"/>
      <c r="G356" s="620">
        <f>G355+F356-E356</f>
        <v/>
      </c>
      <c r="H356" s="61" t="n"/>
      <c r="I356" s="61" t="n"/>
      <c r="J356" t="inlineStr">
        <is>
          <t>投資</t>
        </is>
      </c>
      <c r="K356">
        <f>IF(J356="本金",C356+K355,K355)</f>
        <v/>
      </c>
      <c r="L356">
        <f>IF(J356="本金",F356+L355,L355)</f>
        <v/>
      </c>
    </row>
    <row r="357" outlineLevel="1">
      <c r="A357" s="615" t="n"/>
      <c r="B357" s="616" t="n"/>
      <c r="C357" s="101" t="n"/>
      <c r="D357" s="617">
        <f>D356+C357-B357</f>
        <v/>
      </c>
      <c r="E357" s="618" t="n"/>
      <c r="F357" s="622" t="n"/>
      <c r="G357" s="620">
        <f>G356+F357-E357</f>
        <v/>
      </c>
      <c r="H357" s="61" t="n"/>
      <c r="I357" s="61" t="n"/>
      <c r="J357" t="inlineStr">
        <is>
          <t>投資</t>
        </is>
      </c>
      <c r="K357">
        <f>IF(J357="本金",C357+K356,K356)</f>
        <v/>
      </c>
      <c r="L357">
        <f>IF(J357="本金",F357+L356,L356)</f>
        <v/>
      </c>
    </row>
    <row r="358" outlineLevel="1">
      <c r="A358" s="615" t="n"/>
      <c r="B358" s="616" t="n"/>
      <c r="C358" s="101" t="n"/>
      <c r="D358" s="617">
        <f>D357+C358-B358</f>
        <v/>
      </c>
      <c r="E358" s="618" t="n"/>
      <c r="F358" s="622" t="n"/>
      <c r="G358" s="620">
        <f>G357+F358-E358</f>
        <v/>
      </c>
      <c r="H358" s="61" t="n"/>
      <c r="I358" s="61" t="n"/>
      <c r="J358" t="inlineStr">
        <is>
          <t>投資</t>
        </is>
      </c>
      <c r="K358">
        <f>IF(J358="本金",C358+K357,K357)</f>
        <v/>
      </c>
      <c r="L358">
        <f>IF(J358="本金",F358+L357,L357)</f>
        <v/>
      </c>
    </row>
    <row r="359" outlineLevel="1">
      <c r="A359" s="623" t="n"/>
      <c r="B359" s="624" t="n"/>
      <c r="C359" s="111" t="n"/>
      <c r="D359" s="625">
        <f>D358+C359-B359</f>
        <v/>
      </c>
      <c r="E359" s="626" t="n"/>
      <c r="F359" s="627" t="n"/>
      <c r="G359" s="628">
        <f>G358+F359-E359</f>
        <v/>
      </c>
      <c r="H359" s="114" t="n"/>
      <c r="I359" s="121" t="n"/>
      <c r="J359" t="inlineStr">
        <is>
          <t>投資</t>
        </is>
      </c>
      <c r="K359">
        <f>IF(J359="本金",C359+K358,K358)</f>
        <v/>
      </c>
      <c r="L359">
        <f>IF(J359="本金",F359+L358,L358)</f>
        <v/>
      </c>
    </row>
    <row r="360" outlineLevel="1">
      <c r="A360" s="615" t="n"/>
      <c r="B360" s="616" t="n"/>
      <c r="C360" s="101" t="n"/>
      <c r="D360" s="617">
        <f>D359+C360-B360</f>
        <v/>
      </c>
      <c r="E360" s="618" t="n"/>
      <c r="F360" s="622" t="n"/>
      <c r="G360" s="620">
        <f>G359+F360-E360</f>
        <v/>
      </c>
      <c r="H360" s="61" t="n"/>
      <c r="I360" s="61" t="n"/>
      <c r="J360" t="inlineStr">
        <is>
          <t>投資</t>
        </is>
      </c>
      <c r="K360">
        <f>IF(J360="本金",C360+K359,K359)</f>
        <v/>
      </c>
      <c r="L360">
        <f>IF(J360="本金",F360+L359,L359)</f>
        <v/>
      </c>
    </row>
    <row r="361" outlineLevel="1">
      <c r="A361" s="615" t="n"/>
      <c r="B361" s="616" t="n"/>
      <c r="C361" s="101" t="n"/>
      <c r="D361" s="617">
        <f>D360+C361-B361</f>
        <v/>
      </c>
      <c r="E361" s="618" t="n"/>
      <c r="F361" s="622" t="n"/>
      <c r="G361" s="620">
        <f>G360+F361-E361</f>
        <v/>
      </c>
      <c r="H361" s="61" t="n"/>
      <c r="I361" s="61" t="n"/>
      <c r="J361" t="inlineStr">
        <is>
          <t>投資</t>
        </is>
      </c>
      <c r="K361">
        <f>IF(J361="本金",C361+K360,K360)</f>
        <v/>
      </c>
      <c r="L361">
        <f>IF(J361="本金",F361+L360,L360)</f>
        <v/>
      </c>
    </row>
    <row r="362" outlineLevel="1">
      <c r="A362" s="615" t="n"/>
      <c r="B362" s="616" t="n"/>
      <c r="C362" s="101" t="n"/>
      <c r="D362" s="617">
        <f>D361+C362-B362</f>
        <v/>
      </c>
      <c r="E362" s="618" t="n"/>
      <c r="F362" s="622" t="n"/>
      <c r="G362" s="620">
        <f>G361+F362-E362</f>
        <v/>
      </c>
      <c r="H362" s="61" t="n"/>
      <c r="I362" s="61" t="n"/>
      <c r="J362" t="inlineStr">
        <is>
          <t>投資</t>
        </is>
      </c>
      <c r="K362">
        <f>IF(J362="本金",C362+K361,K361)</f>
        <v/>
      </c>
      <c r="L362">
        <f>IF(J362="本金",F362+L361,L361)</f>
        <v/>
      </c>
    </row>
    <row r="363" outlineLevel="1">
      <c r="A363" s="615" t="n"/>
      <c r="B363" s="616" t="n"/>
      <c r="C363" s="101" t="n"/>
      <c r="D363" s="617">
        <f>D362+C363-B363</f>
        <v/>
      </c>
      <c r="E363" s="618" t="n"/>
      <c r="F363" s="622" t="n"/>
      <c r="G363" s="620">
        <f>G362+F363-E363</f>
        <v/>
      </c>
      <c r="H363" s="61" t="n"/>
      <c r="I363" s="61" t="n"/>
      <c r="J363" t="inlineStr">
        <is>
          <t>投資</t>
        </is>
      </c>
      <c r="K363">
        <f>IF(J363="本金",C363+K362,K362)</f>
        <v/>
      </c>
      <c r="L363">
        <f>IF(J363="本金",F363+L362,L362)</f>
        <v/>
      </c>
    </row>
    <row r="364" outlineLevel="1">
      <c r="A364" s="615" t="n"/>
      <c r="B364" s="616" t="n"/>
      <c r="C364" s="101" t="n"/>
      <c r="D364" s="617">
        <f>D363+C364-B364</f>
        <v/>
      </c>
      <c r="E364" s="618" t="n"/>
      <c r="F364" s="622" t="n"/>
      <c r="G364" s="620">
        <f>G363+F364-E364</f>
        <v/>
      </c>
      <c r="H364" s="61" t="n"/>
      <c r="I364" s="61" t="n"/>
      <c r="J364" t="inlineStr">
        <is>
          <t>投資</t>
        </is>
      </c>
      <c r="K364">
        <f>IF(J364="本金",C364+K363,K363)</f>
        <v/>
      </c>
      <c r="L364">
        <f>IF(J364="本金",F364+L363,L363)</f>
        <v/>
      </c>
    </row>
    <row r="365" outlineLevel="1">
      <c r="A365" s="615" t="n"/>
      <c r="B365" s="616" t="n"/>
      <c r="C365" s="101" t="n"/>
      <c r="D365" s="617">
        <f>D364+C365-B365</f>
        <v/>
      </c>
      <c r="E365" s="618" t="n"/>
      <c r="F365" s="622" t="n"/>
      <c r="G365" s="620">
        <f>G364+F365-E365</f>
        <v/>
      </c>
      <c r="H365" s="61" t="n"/>
      <c r="I365" s="61" t="n"/>
      <c r="J365" t="inlineStr">
        <is>
          <t>投資</t>
        </is>
      </c>
      <c r="K365">
        <f>IF(J365="本金",C365+K364,K364)</f>
        <v/>
      </c>
      <c r="L365">
        <f>IF(J365="本金",F365+L364,L364)</f>
        <v/>
      </c>
    </row>
    <row r="366" outlineLevel="1">
      <c r="A366" s="615" t="n"/>
      <c r="B366" s="616" t="n"/>
      <c r="C366" s="101" t="n"/>
      <c r="D366" s="617">
        <f>D365+C366-B366</f>
        <v/>
      </c>
      <c r="E366" s="618" t="n"/>
      <c r="F366" s="622" t="n"/>
      <c r="G366" s="620">
        <f>G365+F366-E366</f>
        <v/>
      </c>
      <c r="H366" s="61" t="n"/>
      <c r="I366" s="61" t="n"/>
      <c r="J366" t="inlineStr">
        <is>
          <t>投資</t>
        </is>
      </c>
      <c r="K366">
        <f>IF(J366="本金",C366+K365,K365)</f>
        <v/>
      </c>
      <c r="L366">
        <f>IF(J366="本金",F366+L365,L365)</f>
        <v/>
      </c>
    </row>
    <row r="367" outlineLevel="1">
      <c r="A367" s="615" t="n"/>
      <c r="B367" s="616" t="n"/>
      <c r="C367" s="101" t="n"/>
      <c r="D367" s="617">
        <f>D366+C367-B367</f>
        <v/>
      </c>
      <c r="E367" s="618" t="n"/>
      <c r="F367" s="622" t="n"/>
      <c r="G367" s="620">
        <f>G366+F367-E367</f>
        <v/>
      </c>
      <c r="H367" s="61" t="n"/>
      <c r="I367" s="61" t="n"/>
      <c r="J367" t="inlineStr">
        <is>
          <t>投資</t>
        </is>
      </c>
      <c r="K367">
        <f>IF(J367="本金",C367+K366,K366)</f>
        <v/>
      </c>
      <c r="L367">
        <f>IF(J367="本金",F367+L366,L366)</f>
        <v/>
      </c>
    </row>
    <row r="368" outlineLevel="1">
      <c r="A368" s="615" t="n"/>
      <c r="B368" s="616" t="n"/>
      <c r="C368" s="101" t="n"/>
      <c r="D368" s="617">
        <f>D367+C368-B368</f>
        <v/>
      </c>
      <c r="E368" s="618" t="n"/>
      <c r="F368" s="622" t="n"/>
      <c r="G368" s="620">
        <f>G367+F368-E368</f>
        <v/>
      </c>
      <c r="H368" s="61" t="n"/>
      <c r="I368" s="61" t="n"/>
      <c r="J368" t="inlineStr">
        <is>
          <t>投資</t>
        </is>
      </c>
      <c r="K368">
        <f>IF(J368="本金",C368+K367,K367)</f>
        <v/>
      </c>
      <c r="L368">
        <f>IF(J368="本金",F368+L367,L367)</f>
        <v/>
      </c>
    </row>
    <row r="369" outlineLevel="1">
      <c r="A369" s="615" t="n"/>
      <c r="B369" s="616" t="n"/>
      <c r="C369" s="101" t="n"/>
      <c r="D369" s="617">
        <f>D368+C369-B369</f>
        <v/>
      </c>
      <c r="E369" s="618" t="n"/>
      <c r="F369" s="622" t="n"/>
      <c r="G369" s="620">
        <f>G368+F369-E369</f>
        <v/>
      </c>
      <c r="H369" s="61" t="n"/>
      <c r="I369" s="61" t="n"/>
      <c r="J369" t="inlineStr">
        <is>
          <t>投資</t>
        </is>
      </c>
      <c r="K369">
        <f>IF(J369="本金",C369+K368,K368)</f>
        <v/>
      </c>
      <c r="L369">
        <f>IF(J369="本金",F369+L368,L368)</f>
        <v/>
      </c>
    </row>
    <row r="370" outlineLevel="1">
      <c r="A370" s="615" t="n"/>
      <c r="B370" s="616" t="n"/>
      <c r="C370" s="101" t="n"/>
      <c r="D370" s="617">
        <f>D369+C370-B370</f>
        <v/>
      </c>
      <c r="E370" s="618" t="n"/>
      <c r="F370" s="622" t="n"/>
      <c r="G370" s="620">
        <f>G369+F370-E370</f>
        <v/>
      </c>
      <c r="H370" s="61" t="n"/>
      <c r="I370" s="61" t="n"/>
      <c r="J370" t="inlineStr">
        <is>
          <t>投資</t>
        </is>
      </c>
      <c r="K370">
        <f>IF(J370="本金",C370+K369,K369)</f>
        <v/>
      </c>
      <c r="L370">
        <f>IF(J370="本金",F370+L369,L369)</f>
        <v/>
      </c>
    </row>
    <row r="371" outlineLevel="1">
      <c r="A371" s="623" t="n"/>
      <c r="B371" s="624" t="n"/>
      <c r="C371" s="111" t="n"/>
      <c r="D371" s="625">
        <f>D370+C371-B371</f>
        <v/>
      </c>
      <c r="E371" s="626" t="n"/>
      <c r="F371" s="627" t="n"/>
      <c r="G371" s="628">
        <f>G370+F371-E371</f>
        <v/>
      </c>
      <c r="H371" s="114" t="n"/>
      <c r="I371" s="121" t="n"/>
      <c r="J371" t="inlineStr">
        <is>
          <t>投資</t>
        </is>
      </c>
      <c r="K371">
        <f>IF(J371="本金",C371+K370,K370)</f>
        <v/>
      </c>
      <c r="L371">
        <f>IF(J371="本金",F371+L370,L370)</f>
        <v/>
      </c>
    </row>
    <row r="372" outlineLevel="1">
      <c r="A372" s="635" t="n"/>
      <c r="B372" s="636" t="n"/>
      <c r="C372" s="170" t="n"/>
      <c r="D372" s="637">
        <f>D371+C372-B372</f>
        <v/>
      </c>
      <c r="E372" s="638" t="n"/>
      <c r="F372" s="639" t="n"/>
      <c r="G372" s="640">
        <f>G371+F372-E372</f>
        <v/>
      </c>
      <c r="H372" s="173" t="n"/>
      <c r="I372" s="173" t="n"/>
      <c r="J372" t="inlineStr">
        <is>
          <t>投資</t>
        </is>
      </c>
      <c r="K372">
        <f>IF(J372="本金",C372+K371,K371)</f>
        <v/>
      </c>
      <c r="L372">
        <f>IF(J372="本金",F372+L371,L371)</f>
        <v/>
      </c>
    </row>
    <row r="373" outlineLevel="1">
      <c r="A373" s="615" t="n"/>
      <c r="B373" s="616" t="n"/>
      <c r="C373" s="101" t="n"/>
      <c r="D373" s="617">
        <f>D372+C373-B373</f>
        <v/>
      </c>
      <c r="E373" s="618" t="n"/>
      <c r="F373" s="622" t="n"/>
      <c r="G373" s="620">
        <f>G372+F373-E373</f>
        <v/>
      </c>
      <c r="H373" s="61" t="n"/>
      <c r="I373" s="61" t="n"/>
      <c r="J373" t="inlineStr">
        <is>
          <t>投資</t>
        </is>
      </c>
      <c r="K373">
        <f>IF(J373="本金",C373+K372,K372)</f>
        <v/>
      </c>
      <c r="L373">
        <f>IF(J373="本金",F373+L372,L372)</f>
        <v/>
      </c>
    </row>
    <row r="374" outlineLevel="1">
      <c r="A374" s="615" t="n"/>
      <c r="B374" s="616" t="n"/>
      <c r="C374" s="101" t="n"/>
      <c r="D374" s="617">
        <f>D373+C374-B374</f>
        <v/>
      </c>
      <c r="E374" s="618" t="n"/>
      <c r="F374" s="622" t="n"/>
      <c r="G374" s="620">
        <f>G373+F374-E374</f>
        <v/>
      </c>
      <c r="H374" s="61" t="n"/>
      <c r="I374" s="61" t="n"/>
      <c r="J374" t="inlineStr">
        <is>
          <t>投資</t>
        </is>
      </c>
      <c r="K374">
        <f>IF(J374="本金",C374+K373,K373)</f>
        <v/>
      </c>
      <c r="L374">
        <f>IF(J374="本金",F374+L373,L373)</f>
        <v/>
      </c>
    </row>
    <row r="375">
      <c r="A375" s="635" t="n"/>
      <c r="B375" s="636" t="n"/>
      <c r="C375" s="170" t="n"/>
      <c r="D375" s="637">
        <f>D374+C375-B375</f>
        <v/>
      </c>
      <c r="E375" s="638" t="n"/>
      <c r="F375" s="639" t="n"/>
      <c r="G375" s="640">
        <f>G374+F375-E375</f>
        <v/>
      </c>
      <c r="H375" s="173" t="n"/>
      <c r="I375" s="173" t="n"/>
      <c r="J375" t="inlineStr">
        <is>
          <t>投資</t>
        </is>
      </c>
      <c r="K375">
        <f>IF(J375="本金",C375+K374,K374)</f>
        <v/>
      </c>
      <c r="L375">
        <f>IF(J375="本金",F375+L374,L374)</f>
        <v/>
      </c>
    </row>
    <row r="376" outlineLevel="1">
      <c r="A376" s="615" t="n"/>
      <c r="B376" s="616" t="n"/>
      <c r="C376" s="101" t="n"/>
      <c r="D376" s="617">
        <f>D375+C376-B376</f>
        <v/>
      </c>
      <c r="E376" s="618" t="n"/>
      <c r="F376" s="622" t="n"/>
      <c r="G376" s="620">
        <f>G375+F376-E376</f>
        <v/>
      </c>
      <c r="H376" s="61" t="n"/>
      <c r="I376" s="61" t="n"/>
      <c r="J376" t="inlineStr">
        <is>
          <t>投資</t>
        </is>
      </c>
      <c r="K376">
        <f>IF(J376="本金",C376+K375,K375)</f>
        <v/>
      </c>
      <c r="L376">
        <f>IF(J376="本金",F376+L375,L375)</f>
        <v/>
      </c>
    </row>
    <row r="377" outlineLevel="1">
      <c r="A377" s="615" t="n"/>
      <c r="B377" s="616" t="n"/>
      <c r="C377" s="101" t="n"/>
      <c r="D377" s="617">
        <f>D376+C377-B377</f>
        <v/>
      </c>
      <c r="E377" s="618" t="n"/>
      <c r="F377" s="622" t="n"/>
      <c r="G377" s="620">
        <f>G376+F377-E377</f>
        <v/>
      </c>
      <c r="H377" s="61" t="n"/>
      <c r="I377" s="61" t="n"/>
      <c r="J377" t="inlineStr">
        <is>
          <t>投資</t>
        </is>
      </c>
      <c r="K377">
        <f>IF(J377="本金",C377+K376,K376)</f>
        <v/>
      </c>
      <c r="L377">
        <f>IF(J377="本金",F377+L376,L376)</f>
        <v/>
      </c>
    </row>
    <row r="378" outlineLevel="1">
      <c r="A378" s="615" t="n"/>
      <c r="B378" s="616" t="n"/>
      <c r="C378" s="101" t="n"/>
      <c r="D378" s="617">
        <f>D377+C378-B378</f>
        <v/>
      </c>
      <c r="E378" s="618" t="n"/>
      <c r="F378" s="622" t="n"/>
      <c r="G378" s="620">
        <f>G377+F378-E378</f>
        <v/>
      </c>
      <c r="H378" s="61" t="n"/>
      <c r="I378" s="61" t="n"/>
      <c r="J378" t="inlineStr">
        <is>
          <t>投資</t>
        </is>
      </c>
      <c r="K378">
        <f>IF(J378="本金",C378+K377,K377)</f>
        <v/>
      </c>
      <c r="L378">
        <f>IF(J378="本金",F378+L377,L377)</f>
        <v/>
      </c>
    </row>
    <row r="379" outlineLevel="1">
      <c r="A379" s="615" t="n"/>
      <c r="B379" s="616" t="n"/>
      <c r="C379" s="101" t="n"/>
      <c r="D379" s="617">
        <f>D378+C379-B379</f>
        <v/>
      </c>
      <c r="E379" s="618" t="n"/>
      <c r="F379" s="622" t="n"/>
      <c r="G379" s="620">
        <f>G378+F379-E379</f>
        <v/>
      </c>
      <c r="H379" s="61" t="n"/>
      <c r="I379" s="61" t="n"/>
      <c r="J379" t="inlineStr">
        <is>
          <t>投資</t>
        </is>
      </c>
      <c r="K379">
        <f>IF(J379="本金",C379+K378,K378)</f>
        <v/>
      </c>
      <c r="L379">
        <f>IF(J379="本金",F379+L378,L378)</f>
        <v/>
      </c>
    </row>
    <row r="380" outlineLevel="1">
      <c r="A380" s="623" t="n"/>
      <c r="B380" s="624" t="n"/>
      <c r="C380" s="111" t="n"/>
      <c r="D380" s="625">
        <f>D379+C380-B380</f>
        <v/>
      </c>
      <c r="E380" s="626" t="n"/>
      <c r="F380" s="627" t="n"/>
      <c r="G380" s="628">
        <f>G379+F380-E380</f>
        <v/>
      </c>
      <c r="H380" s="114" t="n"/>
      <c r="I380" s="121" t="n"/>
      <c r="J380" t="inlineStr">
        <is>
          <t>投資</t>
        </is>
      </c>
      <c r="K380">
        <f>IF(J380="本金",C380+K379,K379)</f>
        <v/>
      </c>
      <c r="L380">
        <f>IF(J380="本金",F380+L379,L379)</f>
        <v/>
      </c>
    </row>
    <row r="381" outlineLevel="1">
      <c r="A381" s="615" t="n"/>
      <c r="B381" s="616" t="n"/>
      <c r="C381" s="101" t="n"/>
      <c r="D381" s="617">
        <f>D380+C381-B381</f>
        <v/>
      </c>
      <c r="E381" s="618" t="n"/>
      <c r="F381" s="622" t="n"/>
      <c r="G381" s="620">
        <f>G380+F381-E381</f>
        <v/>
      </c>
      <c r="H381" s="61" t="n"/>
      <c r="I381" s="61" t="n"/>
      <c r="J381" t="inlineStr">
        <is>
          <t>投資</t>
        </is>
      </c>
      <c r="K381">
        <f>IF(J381="本金",C381+K380,K380)</f>
        <v/>
      </c>
      <c r="L381">
        <f>IF(J381="本金",F381+L380,L380)</f>
        <v/>
      </c>
    </row>
    <row r="382" outlineLevel="1">
      <c r="A382" s="615" t="n"/>
      <c r="B382" s="616" t="n"/>
      <c r="C382" s="101" t="n"/>
      <c r="D382" s="617">
        <f>D381+C382-B382</f>
        <v/>
      </c>
      <c r="E382" s="618" t="n"/>
      <c r="F382" s="622" t="n"/>
      <c r="G382" s="620">
        <f>G381+F382-E382</f>
        <v/>
      </c>
      <c r="H382" s="61" t="n"/>
      <c r="I382" s="61" t="n"/>
      <c r="J382" t="inlineStr">
        <is>
          <t>投資</t>
        </is>
      </c>
      <c r="K382">
        <f>IF(J382="本金",C382+K381,K381)</f>
        <v/>
      </c>
      <c r="L382">
        <f>IF(J382="本金",F382+L381,L381)</f>
        <v/>
      </c>
    </row>
    <row r="383" outlineLevel="1">
      <c r="A383" s="615" t="n"/>
      <c r="B383" s="616" t="n"/>
      <c r="C383" s="101" t="n"/>
      <c r="D383" s="617">
        <f>D382+C383-B383</f>
        <v/>
      </c>
      <c r="E383" s="618" t="n"/>
      <c r="F383" s="622" t="n"/>
      <c r="G383" s="620">
        <f>G382+F383-E383</f>
        <v/>
      </c>
      <c r="H383" s="61" t="n"/>
      <c r="I383" s="61" t="n"/>
      <c r="J383" t="inlineStr">
        <is>
          <t>投資</t>
        </is>
      </c>
      <c r="K383">
        <f>IF(J383="本金",C383+K382,K382)</f>
        <v/>
      </c>
      <c r="L383">
        <f>IF(J383="本金",F383+L382,L382)</f>
        <v/>
      </c>
    </row>
    <row r="384" outlineLevel="1">
      <c r="A384" s="615" t="n"/>
      <c r="B384" s="616" t="n"/>
      <c r="C384" s="101" t="n"/>
      <c r="D384" s="617">
        <f>D383+C384-B384</f>
        <v/>
      </c>
      <c r="E384" s="618" t="n"/>
      <c r="F384" s="622" t="n"/>
      <c r="G384" s="620">
        <f>G383+F384-E384</f>
        <v/>
      </c>
      <c r="H384" s="61" t="n"/>
      <c r="I384" s="61" t="n"/>
      <c r="J384" t="inlineStr">
        <is>
          <t>投資</t>
        </is>
      </c>
      <c r="K384">
        <f>IF(J384="本金",C384+K383,K383)</f>
        <v/>
      </c>
      <c r="L384">
        <f>IF(J384="本金",F384+L383,L383)</f>
        <v/>
      </c>
    </row>
    <row r="385" outlineLevel="1">
      <c r="A385" s="615" t="n"/>
      <c r="B385" s="616" t="n"/>
      <c r="C385" s="101" t="n"/>
      <c r="D385" s="617">
        <f>D384+C385-B385</f>
        <v/>
      </c>
      <c r="E385" s="618" t="n"/>
      <c r="F385" s="622" t="n"/>
      <c r="G385" s="620">
        <f>G384+F385-E385</f>
        <v/>
      </c>
      <c r="H385" s="61" t="n"/>
      <c r="I385" s="61" t="n"/>
      <c r="J385" t="inlineStr">
        <is>
          <t>投資</t>
        </is>
      </c>
      <c r="K385">
        <f>IF(J385="本金",C385+K384,K384)</f>
        <v/>
      </c>
      <c r="L385">
        <f>IF(J385="本金",F385+L384,L384)</f>
        <v/>
      </c>
    </row>
    <row r="386" outlineLevel="1">
      <c r="A386" s="615" t="n"/>
      <c r="B386" s="616" t="n"/>
      <c r="C386" s="101" t="n"/>
      <c r="D386" s="617">
        <f>D385+C386-B386</f>
        <v/>
      </c>
      <c r="E386" s="618" t="n"/>
      <c r="F386" s="622" t="n"/>
      <c r="G386" s="620">
        <f>G385+F386-E386</f>
        <v/>
      </c>
      <c r="H386" s="61" t="n"/>
      <c r="I386" s="61" t="n"/>
      <c r="J386" t="inlineStr">
        <is>
          <t>投資</t>
        </is>
      </c>
      <c r="K386">
        <f>IF(J386="本金",C386+K385,K385)</f>
        <v/>
      </c>
      <c r="L386">
        <f>IF(J386="本金",F386+L385,L385)</f>
        <v/>
      </c>
    </row>
    <row r="387" outlineLevel="1">
      <c r="A387" s="615" t="n"/>
      <c r="B387" s="616" t="n"/>
      <c r="C387" s="101" t="n"/>
      <c r="D387" s="617">
        <f>D386+C387-B387</f>
        <v/>
      </c>
      <c r="E387" s="618" t="n"/>
      <c r="F387" s="622" t="n"/>
      <c r="G387" s="620">
        <f>G386+F387-E387</f>
        <v/>
      </c>
      <c r="H387" s="61" t="n"/>
      <c r="I387" s="61" t="n"/>
      <c r="J387" t="inlineStr">
        <is>
          <t>投資</t>
        </is>
      </c>
      <c r="K387">
        <f>IF(J387="本金",C387+K386,K386)</f>
        <v/>
      </c>
      <c r="L387">
        <f>IF(J387="本金",F387+L386,L386)</f>
        <v/>
      </c>
    </row>
    <row r="388" outlineLevel="1">
      <c r="A388" s="615" t="n"/>
      <c r="B388" s="616" t="n"/>
      <c r="C388" s="101" t="n"/>
      <c r="D388" s="617">
        <f>D387+C388-B388</f>
        <v/>
      </c>
      <c r="E388" s="618" t="n"/>
      <c r="F388" s="622" t="n"/>
      <c r="G388" s="620">
        <f>G387+F388-E388</f>
        <v/>
      </c>
      <c r="H388" s="61" t="n"/>
      <c r="I388" s="61" t="n"/>
      <c r="J388" t="inlineStr">
        <is>
          <t>投資</t>
        </is>
      </c>
      <c r="K388">
        <f>IF(J388="本金",C388+K387,K387)</f>
        <v/>
      </c>
      <c r="L388">
        <f>IF(J388="本金",F388+L387,L387)</f>
        <v/>
      </c>
    </row>
    <row r="389" outlineLevel="1">
      <c r="A389" s="615" t="n"/>
      <c r="B389" s="616" t="n"/>
      <c r="C389" s="101" t="n"/>
      <c r="D389" s="617">
        <f>D388+C389-B389</f>
        <v/>
      </c>
      <c r="E389" s="618" t="n"/>
      <c r="F389" s="622" t="n"/>
      <c r="G389" s="620">
        <f>G388+F389-E389</f>
        <v/>
      </c>
      <c r="H389" s="61" t="n"/>
      <c r="I389" s="61" t="n"/>
      <c r="J389" t="inlineStr">
        <is>
          <t>投資</t>
        </is>
      </c>
      <c r="K389">
        <f>IF(J389="本金",C389+K388,K388)</f>
        <v/>
      </c>
      <c r="L389">
        <f>IF(J389="本金",F389+L388,L388)</f>
        <v/>
      </c>
    </row>
    <row r="390" outlineLevel="1">
      <c r="A390" s="635" t="n"/>
      <c r="B390" s="636" t="n"/>
      <c r="C390" s="170" t="n"/>
      <c r="D390" s="637">
        <f>D389+C390-B390</f>
        <v/>
      </c>
      <c r="E390" s="638" t="n"/>
      <c r="F390" s="639" t="n"/>
      <c r="G390" s="640">
        <f>G389+F390-E390</f>
        <v/>
      </c>
      <c r="H390" s="173" t="n"/>
      <c r="I390" s="173" t="n"/>
      <c r="J390" t="inlineStr">
        <is>
          <t>投資</t>
        </is>
      </c>
      <c r="K390">
        <f>IF(J390="本金",C390+K389,K389)</f>
        <v/>
      </c>
      <c r="L390">
        <f>IF(J390="本金",F390+L389,L389)</f>
        <v/>
      </c>
    </row>
    <row r="391" outlineLevel="1">
      <c r="A391" s="635" t="n"/>
      <c r="B391" s="636" t="n"/>
      <c r="C391" s="170" t="n"/>
      <c r="D391" s="637">
        <f>D390+C391-B391</f>
        <v/>
      </c>
      <c r="E391" s="638" t="n"/>
      <c r="F391" s="639" t="n"/>
      <c r="G391" s="640">
        <f>G390+F391-E391</f>
        <v/>
      </c>
      <c r="H391" s="173" t="n"/>
      <c r="I391" s="173" t="n"/>
      <c r="J391" t="inlineStr">
        <is>
          <t>投資</t>
        </is>
      </c>
      <c r="K391">
        <f>IF(J391="本金",C391+K390,K390)</f>
        <v/>
      </c>
      <c r="L391">
        <f>IF(J391="本金",F391+L390,L390)</f>
        <v/>
      </c>
    </row>
    <row r="392" outlineLevel="1">
      <c r="A392" s="623" t="n"/>
      <c r="B392" s="624" t="n"/>
      <c r="C392" s="111" t="n"/>
      <c r="D392" s="625">
        <f>D391+C392-B392</f>
        <v/>
      </c>
      <c r="E392" s="626" t="n"/>
      <c r="F392" s="627" t="n"/>
      <c r="G392" s="628">
        <f>G391+F392-E392</f>
        <v/>
      </c>
      <c r="H392" s="114" t="n"/>
      <c r="I392" s="121" t="n"/>
      <c r="J392" t="inlineStr">
        <is>
          <t>投資</t>
        </is>
      </c>
      <c r="K392">
        <f>IF(J392="本金",C392+K391,K391)</f>
        <v/>
      </c>
      <c r="L392">
        <f>IF(J392="本金",F392+L391,L391)</f>
        <v/>
      </c>
    </row>
    <row r="393" outlineLevel="1">
      <c r="A393" s="615" t="n"/>
      <c r="B393" s="616" t="n"/>
      <c r="C393" s="101" t="n"/>
      <c r="D393" s="617">
        <f>D392+C393-B393</f>
        <v/>
      </c>
      <c r="E393" s="618" t="n"/>
      <c r="F393" s="622" t="n"/>
      <c r="G393" s="620">
        <f>G392+F393-E393</f>
        <v/>
      </c>
      <c r="H393" s="61" t="n"/>
      <c r="I393" s="61" t="n"/>
      <c r="J393" t="inlineStr">
        <is>
          <t>投資</t>
        </is>
      </c>
      <c r="K393">
        <f>IF(J393="本金",C393+K392,K392)</f>
        <v/>
      </c>
      <c r="L393">
        <f>IF(J393="本金",F393+L392,L392)</f>
        <v/>
      </c>
    </row>
    <row r="394" outlineLevel="1">
      <c r="A394" s="615" t="n"/>
      <c r="B394" s="616" t="n"/>
      <c r="C394" s="101" t="n"/>
      <c r="D394" s="617">
        <f>D393+C394-B394</f>
        <v/>
      </c>
      <c r="E394" s="618" t="n"/>
      <c r="F394" s="622" t="n"/>
      <c r="G394" s="620">
        <f>G393+F394-E394</f>
        <v/>
      </c>
      <c r="H394" s="61" t="n"/>
      <c r="I394" s="61" t="n"/>
      <c r="J394" t="inlineStr">
        <is>
          <t>投資</t>
        </is>
      </c>
      <c r="K394">
        <f>IF(J394="本金",C394+K393,K393)</f>
        <v/>
      </c>
      <c r="L394">
        <f>IF(J394="本金",F394+L393,L393)</f>
        <v/>
      </c>
    </row>
    <row r="395" outlineLevel="1">
      <c r="A395" s="615" t="n"/>
      <c r="B395" s="616" t="n"/>
      <c r="C395" s="101" t="n"/>
      <c r="D395" s="617">
        <f>D394+C395-B395</f>
        <v/>
      </c>
      <c r="E395" s="618" t="n"/>
      <c r="F395" s="622" t="n"/>
      <c r="G395" s="620">
        <f>G394+F395-E395</f>
        <v/>
      </c>
      <c r="H395" s="61" t="n"/>
      <c r="I395" s="61" t="n"/>
      <c r="J395" t="inlineStr">
        <is>
          <t>投資</t>
        </is>
      </c>
      <c r="K395">
        <f>IF(J395="本金",C395+K394,K394)</f>
        <v/>
      </c>
      <c r="L395">
        <f>IF(J395="本金",F395+L394,L394)</f>
        <v/>
      </c>
    </row>
    <row r="396" outlineLevel="1">
      <c r="A396" s="615" t="n"/>
      <c r="B396" s="616" t="n"/>
      <c r="C396" s="101" t="n"/>
      <c r="D396" s="617">
        <f>D395+C396-B396</f>
        <v/>
      </c>
      <c r="E396" s="618" t="n"/>
      <c r="F396" s="622" t="n"/>
      <c r="G396" s="620">
        <f>G395+F396-E396</f>
        <v/>
      </c>
      <c r="H396" s="61" t="n"/>
      <c r="I396" s="61" t="n"/>
      <c r="J396" t="inlineStr">
        <is>
          <t>投資</t>
        </is>
      </c>
      <c r="K396">
        <f>IF(J396="本金",C396+K395,K395)</f>
        <v/>
      </c>
      <c r="L396">
        <f>IF(J396="本金",F396+L395,L395)</f>
        <v/>
      </c>
    </row>
    <row r="397" outlineLevel="1">
      <c r="A397" s="615" t="n"/>
      <c r="B397" s="616" t="n"/>
      <c r="C397" s="101" t="n"/>
      <c r="D397" s="617">
        <f>D396+C397-B397</f>
        <v/>
      </c>
      <c r="E397" s="618" t="n"/>
      <c r="F397" s="622" t="n"/>
      <c r="G397" s="620">
        <f>G396+F397-E397</f>
        <v/>
      </c>
      <c r="H397" s="61" t="n"/>
      <c r="I397" s="61" t="n"/>
      <c r="J397" t="inlineStr">
        <is>
          <t>投資</t>
        </is>
      </c>
      <c r="K397">
        <f>IF(J397="本金",C397+K396,K396)</f>
        <v/>
      </c>
      <c r="L397">
        <f>IF(J397="本金",F397+L396,L396)</f>
        <v/>
      </c>
    </row>
    <row r="398" outlineLevel="1">
      <c r="A398" s="629" t="n"/>
      <c r="B398" s="630" t="n"/>
      <c r="C398" s="116" t="n"/>
      <c r="D398" s="631">
        <f>D397+C398-B398</f>
        <v/>
      </c>
      <c r="E398" s="632" t="n"/>
      <c r="F398" s="633" t="n"/>
      <c r="G398" s="634">
        <f>G397+F398-E398</f>
        <v/>
      </c>
      <c r="H398" s="119" t="n"/>
      <c r="I398" s="120" t="n"/>
      <c r="J398" t="inlineStr">
        <is>
          <t>投資</t>
        </is>
      </c>
      <c r="K398">
        <f>IF(J398="本金",C398+K397,K397)</f>
        <v/>
      </c>
      <c r="L398">
        <f>IF(J398="本金",F398+L397,L397)</f>
        <v/>
      </c>
    </row>
    <row r="399" outlineLevel="1">
      <c r="A399" s="623" t="n"/>
      <c r="B399" s="624" t="n"/>
      <c r="C399" s="111" t="n"/>
      <c r="D399" s="625">
        <f>D398+C399-B399</f>
        <v/>
      </c>
      <c r="E399" s="626" t="n"/>
      <c r="F399" s="627" t="n"/>
      <c r="G399" s="628">
        <f>G398+F399-E399</f>
        <v/>
      </c>
      <c r="H399" s="114" t="n"/>
      <c r="I399" s="121" t="n"/>
      <c r="J399" t="inlineStr">
        <is>
          <t>投資</t>
        </is>
      </c>
      <c r="K399">
        <f>IF(J399="本金",C399+K398,K398)</f>
        <v/>
      </c>
      <c r="L399">
        <f>IF(J399="本金",F399+L398,L398)</f>
        <v/>
      </c>
    </row>
    <row r="400" outlineLevel="1">
      <c r="A400" s="635" t="n"/>
      <c r="B400" s="636" t="n"/>
      <c r="C400" s="170" t="n"/>
      <c r="D400" s="637">
        <f>D399+C400-B400</f>
        <v/>
      </c>
      <c r="E400" s="638" t="n"/>
      <c r="F400" s="639" t="n"/>
      <c r="G400" s="640">
        <f>G399+F400-E400</f>
        <v/>
      </c>
      <c r="H400" s="173" t="n"/>
      <c r="I400" s="173" t="n"/>
      <c r="J400" t="inlineStr">
        <is>
          <t>投資</t>
        </is>
      </c>
      <c r="K400">
        <f>IF(J400="本金",C400+K399,K399)</f>
        <v/>
      </c>
      <c r="L400">
        <f>IF(J400="本金",F400+L399,L399)</f>
        <v/>
      </c>
    </row>
    <row r="401" outlineLevel="1">
      <c r="A401" s="615" t="n"/>
      <c r="B401" s="616" t="n"/>
      <c r="C401" s="101" t="n"/>
      <c r="D401" s="617">
        <f>D400+C401-B401</f>
        <v/>
      </c>
      <c r="E401" s="618" t="n"/>
      <c r="F401" s="622" t="n"/>
      <c r="G401" s="620">
        <f>G400+F401-E401</f>
        <v/>
      </c>
      <c r="H401" s="61" t="n"/>
      <c r="I401" s="61" t="n"/>
      <c r="J401" t="inlineStr">
        <is>
          <t>投資</t>
        </is>
      </c>
      <c r="K401">
        <f>IF(J401="本金",C401+K400,K400)</f>
        <v/>
      </c>
      <c r="L401">
        <f>IF(J401="本金",F401+L400,L400)</f>
        <v/>
      </c>
    </row>
    <row r="402" outlineLevel="1">
      <c r="A402" s="635" t="n"/>
      <c r="B402" s="636" t="n"/>
      <c r="C402" s="170" t="n"/>
      <c r="D402" s="637">
        <f>D401+C402-B402</f>
        <v/>
      </c>
      <c r="E402" s="638" t="n"/>
      <c r="F402" s="639" t="n"/>
      <c r="G402" s="640">
        <f>G401+F402-E402</f>
        <v/>
      </c>
      <c r="H402" s="173" t="n"/>
      <c r="I402" s="173" t="n"/>
      <c r="J402" t="inlineStr">
        <is>
          <t>投資</t>
        </is>
      </c>
      <c r="K402">
        <f>IF(J402="本金",C402+K401,K401)</f>
        <v/>
      </c>
      <c r="L402">
        <f>IF(J402="本金",F402+L401,L401)</f>
        <v/>
      </c>
    </row>
    <row r="403" outlineLevel="1">
      <c r="A403" s="635" t="n"/>
      <c r="B403" s="636" t="n"/>
      <c r="C403" s="170" t="n"/>
      <c r="D403" s="637">
        <f>D402+C403-B403</f>
        <v/>
      </c>
      <c r="E403" s="638" t="n"/>
      <c r="F403" s="639" t="n"/>
      <c r="G403" s="640">
        <f>G402+F403-E403</f>
        <v/>
      </c>
      <c r="H403" s="173" t="n"/>
      <c r="I403" s="173" t="n"/>
      <c r="J403" t="inlineStr">
        <is>
          <t>投資</t>
        </is>
      </c>
      <c r="K403">
        <f>IF(J403="本金",C403+K402,K402)</f>
        <v/>
      </c>
      <c r="L403">
        <f>IF(J403="本金",F403+L402,L402)</f>
        <v/>
      </c>
    </row>
    <row r="404" outlineLevel="1">
      <c r="A404" s="635" t="n"/>
      <c r="B404" s="636" t="n"/>
      <c r="C404" s="170" t="n"/>
      <c r="D404" s="637">
        <f>D403+C404-B404</f>
        <v/>
      </c>
      <c r="E404" s="638" t="n"/>
      <c r="F404" s="639" t="n"/>
      <c r="G404" s="640">
        <f>G403+F404-E404</f>
        <v/>
      </c>
      <c r="H404" s="173" t="n"/>
      <c r="I404" s="173" t="n"/>
      <c r="J404" t="inlineStr">
        <is>
          <t>投資</t>
        </is>
      </c>
      <c r="K404">
        <f>IF(J404="本金",C404+K403,K403)</f>
        <v/>
      </c>
      <c r="L404">
        <f>IF(J404="本金",F404+L403,L403)</f>
        <v/>
      </c>
    </row>
    <row r="405" outlineLevel="1">
      <c r="A405" s="635" t="n"/>
      <c r="B405" s="636" t="n"/>
      <c r="C405" s="170" t="n"/>
      <c r="D405" s="637">
        <f>D404+C405-B405</f>
        <v/>
      </c>
      <c r="E405" s="638" t="n"/>
      <c r="F405" s="639" t="n"/>
      <c r="G405" s="640">
        <f>G404+F405-E405</f>
        <v/>
      </c>
      <c r="H405" s="173" t="n"/>
      <c r="I405" s="173" t="n"/>
      <c r="J405" t="inlineStr">
        <is>
          <t>投資</t>
        </is>
      </c>
      <c r="K405">
        <f>IF(J405="本金",C405+K404,K404)</f>
        <v/>
      </c>
      <c r="L405">
        <f>IF(J405="本金",F405+L404,L404)</f>
        <v/>
      </c>
    </row>
    <row r="406" outlineLevel="1">
      <c r="A406" s="635" t="n"/>
      <c r="B406" s="636" t="n"/>
      <c r="C406" s="170" t="n"/>
      <c r="D406" s="637">
        <f>D405+C406-B406</f>
        <v/>
      </c>
      <c r="E406" s="638" t="n"/>
      <c r="F406" s="639" t="n"/>
      <c r="G406" s="640">
        <f>G405+F406-E406</f>
        <v/>
      </c>
      <c r="H406" s="173" t="n"/>
      <c r="I406" s="173" t="n"/>
      <c r="J406" t="inlineStr">
        <is>
          <t>投資</t>
        </is>
      </c>
      <c r="K406">
        <f>IF(J406="本金",C406+K405,K405)</f>
        <v/>
      </c>
      <c r="L406">
        <f>IF(J406="本金",F406+L405,L405)</f>
        <v/>
      </c>
    </row>
    <row r="407" outlineLevel="1">
      <c r="A407" s="635" t="n"/>
      <c r="B407" s="636" t="n"/>
      <c r="C407" s="170" t="n"/>
      <c r="D407" s="637">
        <f>D406+C407-B407</f>
        <v/>
      </c>
      <c r="E407" s="638" t="n"/>
      <c r="F407" s="639" t="n"/>
      <c r="G407" s="640">
        <f>G406+F407-E407</f>
        <v/>
      </c>
      <c r="H407" s="173" t="n"/>
      <c r="I407" s="173" t="n"/>
      <c r="J407" t="inlineStr">
        <is>
          <t>投資</t>
        </is>
      </c>
      <c r="K407">
        <f>IF(J407="本金",C407+K406,K406)</f>
        <v/>
      </c>
      <c r="L407">
        <f>IF(J407="本金",F407+L406,L406)</f>
        <v/>
      </c>
    </row>
    <row r="408" outlineLevel="1">
      <c r="A408" s="623" t="n"/>
      <c r="B408" s="624" t="n"/>
      <c r="C408" s="111" t="n"/>
      <c r="D408" s="625">
        <f>D407+C408-B408</f>
        <v/>
      </c>
      <c r="E408" s="626" t="n"/>
      <c r="F408" s="627" t="n"/>
      <c r="G408" s="628">
        <f>G407+F408-E408</f>
        <v/>
      </c>
      <c r="H408" s="114" t="n"/>
      <c r="I408" s="121" t="n"/>
      <c r="J408" t="inlineStr">
        <is>
          <t>投資</t>
        </is>
      </c>
      <c r="K408">
        <f>IF(J408="本金",C408+K407,K407)</f>
        <v/>
      </c>
      <c r="L408">
        <f>IF(J408="本金",F408+L407,L407)</f>
        <v/>
      </c>
    </row>
    <row r="409" outlineLevel="1">
      <c r="A409" s="635" t="n"/>
      <c r="B409" s="636" t="n"/>
      <c r="C409" s="170" t="n"/>
      <c r="D409" s="637">
        <f>D408+C409-B409</f>
        <v/>
      </c>
      <c r="E409" s="638" t="n"/>
      <c r="F409" s="639" t="n"/>
      <c r="G409" s="640">
        <f>G408+F409-E409</f>
        <v/>
      </c>
      <c r="H409" s="173" t="n"/>
      <c r="I409" s="173" t="n"/>
      <c r="J409" t="inlineStr">
        <is>
          <t>投資</t>
        </is>
      </c>
      <c r="K409">
        <f>IF(J409="本金",C409+K408,K408)</f>
        <v/>
      </c>
      <c r="L409">
        <f>IF(J409="本金",F409+L408,L408)</f>
        <v/>
      </c>
    </row>
    <row r="410" outlineLevel="1">
      <c r="A410" s="635" t="n"/>
      <c r="B410" s="636" t="n"/>
      <c r="C410" s="170" t="n"/>
      <c r="D410" s="637">
        <f>D409+C410-B410</f>
        <v/>
      </c>
      <c r="E410" s="638" t="n"/>
      <c r="F410" s="639" t="n"/>
      <c r="G410" s="640">
        <f>G409+F410-E410</f>
        <v/>
      </c>
      <c r="H410" s="173" t="n"/>
      <c r="I410" s="173" t="n"/>
      <c r="J410" t="inlineStr">
        <is>
          <t>投資</t>
        </is>
      </c>
      <c r="K410">
        <f>IF(J410="本金",C410+K409,K409)</f>
        <v/>
      </c>
      <c r="L410">
        <f>IF(J410="本金",F410+L409,L409)</f>
        <v/>
      </c>
    </row>
    <row r="411" outlineLevel="1">
      <c r="A411" s="635" t="n"/>
      <c r="B411" s="636" t="n"/>
      <c r="C411" s="170" t="n"/>
      <c r="D411" s="637">
        <f>D410+C411-B411</f>
        <v/>
      </c>
      <c r="E411" s="638" t="n"/>
      <c r="F411" s="639" t="n"/>
      <c r="G411" s="640">
        <f>G410+F411-E411</f>
        <v/>
      </c>
      <c r="H411" s="173" t="n"/>
      <c r="I411" s="173" t="n"/>
      <c r="J411" t="inlineStr">
        <is>
          <t>投資</t>
        </is>
      </c>
      <c r="K411">
        <f>IF(J411="本金",C411+K410,K410)</f>
        <v/>
      </c>
      <c r="L411">
        <f>IF(J411="本金",F411+L410,L410)</f>
        <v/>
      </c>
    </row>
    <row r="412" outlineLevel="1">
      <c r="A412" s="635" t="n"/>
      <c r="B412" s="636" t="n"/>
      <c r="C412" s="170" t="n"/>
      <c r="D412" s="637">
        <f>D411+C412-B412</f>
        <v/>
      </c>
      <c r="E412" s="638" t="n"/>
      <c r="F412" s="639" t="n"/>
      <c r="G412" s="640">
        <f>G411+F412-E412</f>
        <v/>
      </c>
      <c r="H412" s="173" t="n"/>
      <c r="I412" s="173" t="n"/>
      <c r="J412" t="inlineStr">
        <is>
          <t>投資</t>
        </is>
      </c>
      <c r="K412">
        <f>IF(J412="本金",C412+K411,K411)</f>
        <v/>
      </c>
      <c r="L412">
        <f>IF(J412="本金",F412+L411,L411)</f>
        <v/>
      </c>
    </row>
    <row r="413" outlineLevel="1">
      <c r="A413" s="635" t="n"/>
      <c r="B413" s="636" t="n"/>
      <c r="C413" s="170" t="n"/>
      <c r="D413" s="637">
        <f>D412+C413-B413</f>
        <v/>
      </c>
      <c r="E413" s="638" t="n"/>
      <c r="F413" s="639" t="n"/>
      <c r="G413" s="640">
        <f>G412+F413-E413</f>
        <v/>
      </c>
      <c r="H413" s="173" t="n"/>
      <c r="I413" s="173" t="n"/>
      <c r="J413" t="inlineStr">
        <is>
          <t>投資</t>
        </is>
      </c>
      <c r="K413">
        <f>IF(J413="本金",C413+K412,K412)</f>
        <v/>
      </c>
      <c r="L413">
        <f>IF(J413="本金",F413+L412,L412)</f>
        <v/>
      </c>
    </row>
    <row r="414" outlineLevel="1">
      <c r="A414" s="635" t="n"/>
      <c r="B414" s="636" t="n"/>
      <c r="C414" s="170" t="n"/>
      <c r="D414" s="637">
        <f>D413+C414-B414</f>
        <v/>
      </c>
      <c r="E414" s="638" t="n"/>
      <c r="F414" s="639" t="n"/>
      <c r="G414" s="640">
        <f>G413+F414-E414</f>
        <v/>
      </c>
      <c r="H414" s="173" t="n"/>
      <c r="I414" s="173" t="n"/>
      <c r="J414" t="inlineStr">
        <is>
          <t>投資</t>
        </is>
      </c>
      <c r="K414">
        <f>IF(J414="本金",C414+K413,K413)</f>
        <v/>
      </c>
      <c r="L414">
        <f>IF(J414="本金",F414+L413,L413)</f>
        <v/>
      </c>
    </row>
    <row r="415" outlineLevel="1">
      <c r="A415" s="635" t="n"/>
      <c r="B415" s="636" t="n"/>
      <c r="C415" s="170" t="n"/>
      <c r="D415" s="637">
        <f>D414+C415-B415</f>
        <v/>
      </c>
      <c r="E415" s="638" t="n"/>
      <c r="F415" s="639" t="n"/>
      <c r="G415" s="640">
        <f>G414+F415-E415</f>
        <v/>
      </c>
      <c r="H415" s="173" t="n"/>
      <c r="I415" s="173" t="n"/>
      <c r="J415" t="inlineStr">
        <is>
          <t>投資</t>
        </is>
      </c>
      <c r="K415">
        <f>IF(J415="本金",C415+K414,K414)</f>
        <v/>
      </c>
      <c r="L415">
        <f>IF(J415="本金",F415+L414,L414)</f>
        <v/>
      </c>
    </row>
    <row r="416" outlineLevel="1">
      <c r="A416" s="615" t="n"/>
      <c r="B416" s="616" t="n"/>
      <c r="C416" s="101" t="n"/>
      <c r="D416" s="617">
        <f>D415+C416-B416</f>
        <v/>
      </c>
      <c r="E416" s="618" t="n"/>
      <c r="F416" s="622" t="n"/>
      <c r="G416" s="620">
        <f>G415+F416-E416</f>
        <v/>
      </c>
      <c r="H416" s="61" t="n"/>
      <c r="I416" s="61" t="n"/>
      <c r="J416" t="inlineStr">
        <is>
          <t>投資</t>
        </is>
      </c>
      <c r="K416">
        <f>IF(J416="本金",C416+K415,K415)</f>
        <v/>
      </c>
      <c r="L416">
        <f>IF(J416="本金",F416+L415,L415)</f>
        <v/>
      </c>
    </row>
    <row r="417" outlineLevel="1">
      <c r="A417" s="615" t="n"/>
      <c r="B417" s="616" t="n"/>
      <c r="C417" s="101" t="n"/>
      <c r="D417" s="617">
        <f>D416+C417-B417</f>
        <v/>
      </c>
      <c r="E417" s="618" t="n"/>
      <c r="F417" s="622" t="n"/>
      <c r="G417" s="620">
        <f>G416+F417-E417</f>
        <v/>
      </c>
      <c r="H417" s="61" t="n"/>
      <c r="I417" s="61" t="n"/>
      <c r="J417" t="inlineStr">
        <is>
          <t>投資</t>
        </is>
      </c>
      <c r="K417">
        <f>IF(J417="本金",C417+K416,K416)</f>
        <v/>
      </c>
      <c r="L417">
        <f>IF(J417="本金",F417+L416,L416)</f>
        <v/>
      </c>
    </row>
    <row r="418" outlineLevel="1">
      <c r="A418" s="635" t="n"/>
      <c r="B418" s="636" t="n"/>
      <c r="C418" s="170" t="n"/>
      <c r="D418" s="637">
        <f>D417+C418-B418</f>
        <v/>
      </c>
      <c r="E418" s="638" t="n"/>
      <c r="F418" s="639" t="n"/>
      <c r="G418" s="640">
        <f>G417+F418-E418</f>
        <v/>
      </c>
      <c r="H418" s="173" t="n"/>
      <c r="I418" s="173" t="n"/>
      <c r="J418" t="inlineStr">
        <is>
          <t>投資</t>
        </is>
      </c>
      <c r="K418">
        <f>IF(J418="本金",C418+K417,K417)</f>
        <v/>
      </c>
      <c r="L418">
        <f>IF(J418="本金",F418+L417,L417)</f>
        <v/>
      </c>
    </row>
    <row r="419" outlineLevel="1">
      <c r="A419" s="635" t="n"/>
      <c r="B419" s="636" t="n"/>
      <c r="C419" s="170" t="n"/>
      <c r="D419" s="637">
        <f>D418+C419-B419</f>
        <v/>
      </c>
      <c r="E419" s="638" t="n"/>
      <c r="F419" s="639" t="n"/>
      <c r="G419" s="640">
        <f>G418+F419-E419</f>
        <v/>
      </c>
      <c r="H419" s="173" t="n"/>
      <c r="I419" s="173" t="n"/>
      <c r="J419" t="inlineStr">
        <is>
          <t>投資</t>
        </is>
      </c>
      <c r="K419">
        <f>IF(J419="本金",C419+K418,K418)</f>
        <v/>
      </c>
      <c r="L419">
        <f>IF(J419="本金",F419+L418,L418)</f>
        <v/>
      </c>
    </row>
    <row r="420" outlineLevel="1">
      <c r="A420" s="635" t="n"/>
      <c r="B420" s="636" t="n"/>
      <c r="C420" s="170" t="n"/>
      <c r="D420" s="637">
        <f>D419+C420-B420</f>
        <v/>
      </c>
      <c r="E420" s="638" t="n"/>
      <c r="F420" s="639" t="n"/>
      <c r="G420" s="640">
        <f>G419+F420-E420</f>
        <v/>
      </c>
      <c r="H420" s="173" t="n"/>
      <c r="I420" s="173" t="n"/>
      <c r="J420" t="inlineStr">
        <is>
          <t>投資</t>
        </is>
      </c>
      <c r="K420">
        <f>IF(J420="本金",C420+K419,K419)</f>
        <v/>
      </c>
      <c r="L420">
        <f>IF(J420="本金",F420+L419,L419)</f>
        <v/>
      </c>
    </row>
    <row r="421" outlineLevel="1">
      <c r="A421" s="629" t="n"/>
      <c r="B421" s="630" t="n"/>
      <c r="C421" s="116" t="n"/>
      <c r="D421" s="631">
        <f>D420+C421-B421</f>
        <v/>
      </c>
      <c r="E421" s="632" t="n"/>
      <c r="F421" s="633" t="n"/>
      <c r="G421" s="634">
        <f>G420+F421-E421</f>
        <v/>
      </c>
      <c r="H421" s="119" t="n"/>
      <c r="I421" s="120" t="n"/>
      <c r="J421" t="inlineStr">
        <is>
          <t>投資</t>
        </is>
      </c>
      <c r="K421">
        <f>IF(J421="本金",C421+K420,K420)</f>
        <v/>
      </c>
      <c r="L421">
        <f>IF(J421="本金",F421+L420,L420)</f>
        <v/>
      </c>
    </row>
    <row r="422" outlineLevel="1">
      <c r="A422" s="615" t="n"/>
      <c r="B422" s="616" t="n"/>
      <c r="C422" s="101" t="n"/>
      <c r="D422" s="617">
        <f>D421+C422-B422</f>
        <v/>
      </c>
      <c r="E422" s="618" t="n"/>
      <c r="F422" s="622" t="n"/>
      <c r="G422" s="620">
        <f>G421+F422-E422</f>
        <v/>
      </c>
      <c r="H422" s="61" t="n"/>
      <c r="I422" s="61" t="n"/>
      <c r="J422" t="inlineStr">
        <is>
          <t>投資</t>
        </is>
      </c>
      <c r="K422">
        <f>IF(J422="本金",C422+K421,K421)</f>
        <v/>
      </c>
      <c r="L422">
        <f>IF(J422="本金",F422+L421,L421)</f>
        <v/>
      </c>
    </row>
    <row r="423">
      <c r="A423" s="635" t="n"/>
      <c r="B423" s="636" t="n"/>
      <c r="C423" s="170" t="n"/>
      <c r="D423" s="637">
        <f>D422+C423-B423</f>
        <v/>
      </c>
      <c r="E423" s="638" t="n"/>
      <c r="F423" s="639" t="n"/>
      <c r="G423" s="640">
        <f>G422+F423-E423</f>
        <v/>
      </c>
      <c r="H423" s="173" t="n"/>
      <c r="I423" s="173" t="n"/>
      <c r="J423" t="inlineStr">
        <is>
          <t>投資</t>
        </is>
      </c>
      <c r="K423">
        <f>IF(J423="本金",C423+K422,K422)</f>
        <v/>
      </c>
      <c r="L423">
        <f>IF(J423="本金",F423+L422,L422)</f>
        <v/>
      </c>
    </row>
    <row r="424" outlineLevel="1">
      <c r="A424" s="615" t="n"/>
      <c r="B424" s="616" t="n"/>
      <c r="C424" s="101" t="n"/>
      <c r="D424" s="617">
        <f>D423+C424-B424</f>
        <v/>
      </c>
      <c r="E424" s="618" t="n"/>
      <c r="F424" s="622" t="n"/>
      <c r="G424" s="620">
        <f>G423+F424-E424</f>
        <v/>
      </c>
      <c r="H424" s="61" t="n"/>
      <c r="I424" s="61" t="n"/>
      <c r="J424" t="inlineStr">
        <is>
          <t>投資</t>
        </is>
      </c>
      <c r="K424">
        <f>IF(J424="本金",C424+K423,K423)</f>
        <v/>
      </c>
      <c r="L424">
        <f>IF(J424="本金",F424+L423,L423)</f>
        <v/>
      </c>
    </row>
    <row r="425" outlineLevel="1">
      <c r="A425" s="615" t="n"/>
      <c r="B425" s="616" t="n"/>
      <c r="C425" s="101" t="n"/>
      <c r="D425" s="617">
        <f>D424+C425-B425</f>
        <v/>
      </c>
      <c r="E425" s="618" t="n"/>
      <c r="F425" s="622" t="n"/>
      <c r="G425" s="620">
        <f>G424+F425-E425</f>
        <v/>
      </c>
      <c r="H425" s="61" t="n"/>
      <c r="I425" s="61" t="n"/>
      <c r="J425" t="inlineStr">
        <is>
          <t>投資</t>
        </is>
      </c>
      <c r="K425">
        <f>IF(J425="本金",C425+K424,K424)</f>
        <v/>
      </c>
      <c r="L425">
        <f>IF(J425="本金",F425+L424,L424)</f>
        <v/>
      </c>
    </row>
    <row r="426" outlineLevel="1">
      <c r="A426" s="615" t="n"/>
      <c r="B426" s="616" t="n"/>
      <c r="C426" s="101" t="n"/>
      <c r="D426" s="617">
        <f>D425+C426-B426</f>
        <v/>
      </c>
      <c r="E426" s="618" t="n"/>
      <c r="F426" s="622" t="n"/>
      <c r="G426" s="620">
        <f>G425+F426-E426</f>
        <v/>
      </c>
      <c r="H426" s="61" t="n"/>
      <c r="I426" s="61" t="n"/>
      <c r="J426" t="inlineStr">
        <is>
          <t>投資</t>
        </is>
      </c>
      <c r="K426">
        <f>IF(J426="本金",C426+K425,K425)</f>
        <v/>
      </c>
      <c r="L426">
        <f>IF(J426="本金",F426+L425,L425)</f>
        <v/>
      </c>
    </row>
    <row r="427" outlineLevel="1">
      <c r="A427" s="615" t="n"/>
      <c r="B427" s="616" t="n"/>
      <c r="C427" s="101" t="n"/>
      <c r="D427" s="617">
        <f>D426+C427-B427</f>
        <v/>
      </c>
      <c r="E427" s="618" t="n"/>
      <c r="F427" s="622" t="n"/>
      <c r="G427" s="620">
        <f>G426+F427-E427</f>
        <v/>
      </c>
      <c r="H427" s="61" t="n"/>
      <c r="I427" s="61" t="n"/>
      <c r="J427" t="inlineStr">
        <is>
          <t>投資</t>
        </is>
      </c>
      <c r="K427">
        <f>IF(J427="本金",C427+K426,K426)</f>
        <v/>
      </c>
      <c r="L427">
        <f>IF(J427="本金",F427+L426,L426)</f>
        <v/>
      </c>
    </row>
    <row r="428" outlineLevel="1">
      <c r="A428" s="623" t="n"/>
      <c r="B428" s="624" t="n"/>
      <c r="C428" s="111" t="n"/>
      <c r="D428" s="625">
        <f>D427+C428-B428</f>
        <v/>
      </c>
      <c r="E428" s="626" t="n"/>
      <c r="F428" s="627" t="n"/>
      <c r="G428" s="628">
        <f>G427+F428-E428</f>
        <v/>
      </c>
      <c r="H428" s="114" t="n"/>
      <c r="I428" s="114" t="n"/>
      <c r="J428" t="inlineStr">
        <is>
          <t>投資</t>
        </is>
      </c>
      <c r="K428">
        <f>IF(J428="本金",C428+K427,K427)</f>
        <v/>
      </c>
      <c r="L428">
        <f>IF(J428="本金",F428+L427,L427)</f>
        <v/>
      </c>
    </row>
    <row r="429" outlineLevel="1">
      <c r="A429" s="615" t="n"/>
      <c r="B429" s="616" t="n"/>
      <c r="C429" s="101" t="n"/>
      <c r="D429" s="617">
        <f>D428+C429-B429</f>
        <v/>
      </c>
      <c r="E429" s="618" t="n"/>
      <c r="F429" s="622" t="n"/>
      <c r="G429" s="620">
        <f>G428+F429-E429</f>
        <v/>
      </c>
      <c r="H429" s="61" t="n"/>
      <c r="I429" s="61" t="n"/>
      <c r="J429" t="inlineStr">
        <is>
          <t>投資</t>
        </is>
      </c>
      <c r="K429">
        <f>IF(J429="本金",C429+K428,K428)</f>
        <v/>
      </c>
      <c r="L429">
        <f>IF(J429="本金",F429+L428,L428)</f>
        <v/>
      </c>
    </row>
    <row r="430" outlineLevel="1">
      <c r="A430" s="635" t="n"/>
      <c r="B430" s="636" t="n"/>
      <c r="C430" s="170" t="n"/>
      <c r="D430" s="637">
        <f>D429+C430-B430</f>
        <v/>
      </c>
      <c r="E430" s="638" t="n"/>
      <c r="F430" s="639" t="n"/>
      <c r="G430" s="640">
        <f>G429+F430-E430</f>
        <v/>
      </c>
      <c r="H430" s="173" t="n"/>
      <c r="I430" s="173" t="n"/>
      <c r="J430" t="inlineStr">
        <is>
          <t>投資</t>
        </is>
      </c>
      <c r="K430">
        <f>IF(J430="本金",C430+K429,K429)</f>
        <v/>
      </c>
      <c r="L430">
        <f>IF(J430="本金",F430+L429,L429)</f>
        <v/>
      </c>
    </row>
    <row r="431" outlineLevel="1">
      <c r="A431" s="635" t="n"/>
      <c r="B431" s="636" t="n"/>
      <c r="C431" s="170" t="n"/>
      <c r="D431" s="637">
        <f>D430+C431-B431</f>
        <v/>
      </c>
      <c r="E431" s="638" t="n"/>
      <c r="F431" s="639" t="n"/>
      <c r="G431" s="640">
        <f>G430+F431-E431</f>
        <v/>
      </c>
      <c r="H431" s="173" t="n"/>
      <c r="I431" s="173" t="n"/>
      <c r="J431" t="inlineStr">
        <is>
          <t>投資</t>
        </is>
      </c>
      <c r="K431">
        <f>IF(J431="本金",C431+K430,K430)</f>
        <v/>
      </c>
      <c r="L431">
        <f>IF(J431="本金",F431+L430,L430)</f>
        <v/>
      </c>
    </row>
    <row r="432" outlineLevel="1">
      <c r="A432" s="635" t="n"/>
      <c r="B432" s="636" t="n"/>
      <c r="C432" s="170" t="n"/>
      <c r="D432" s="637">
        <f>D431+C432-B432</f>
        <v/>
      </c>
      <c r="E432" s="638" t="n"/>
      <c r="F432" s="639" t="n"/>
      <c r="G432" s="640">
        <f>G431+F432-E432</f>
        <v/>
      </c>
      <c r="H432" s="173" t="n"/>
      <c r="I432" s="173" t="n"/>
      <c r="J432" t="inlineStr">
        <is>
          <t>投資</t>
        </is>
      </c>
      <c r="K432">
        <f>IF(J432="本金",C432+K431,K431)</f>
        <v/>
      </c>
      <c r="L432">
        <f>IF(J432="本金",F432+L431,L431)</f>
        <v/>
      </c>
    </row>
    <row r="433" outlineLevel="1">
      <c r="A433" s="635" t="n"/>
      <c r="B433" s="636" t="n"/>
      <c r="C433" s="170" t="n"/>
      <c r="D433" s="637">
        <f>D432+C433-B433</f>
        <v/>
      </c>
      <c r="E433" s="638" t="n"/>
      <c r="F433" s="639" t="n"/>
      <c r="G433" s="640">
        <f>G432+F433-E433</f>
        <v/>
      </c>
      <c r="H433" s="173" t="n"/>
      <c r="I433" s="173" t="n"/>
      <c r="J433" t="inlineStr">
        <is>
          <t>投資</t>
        </is>
      </c>
      <c r="K433">
        <f>IF(J433="本金",C433+K432,K432)</f>
        <v/>
      </c>
      <c r="L433">
        <f>IF(J433="本金",F433+L432,L432)</f>
        <v/>
      </c>
    </row>
    <row r="434" outlineLevel="1">
      <c r="A434" s="623" t="n"/>
      <c r="B434" s="624" t="n"/>
      <c r="C434" s="111" t="n"/>
      <c r="D434" s="625">
        <f>D433+C434-B434</f>
        <v/>
      </c>
      <c r="E434" s="626" t="n"/>
      <c r="F434" s="627" t="n"/>
      <c r="G434" s="628">
        <f>G433+F434-E434</f>
        <v/>
      </c>
      <c r="H434" s="114" t="n"/>
      <c r="I434" s="114" t="n"/>
      <c r="J434" t="inlineStr">
        <is>
          <t>投資</t>
        </is>
      </c>
      <c r="K434">
        <f>IF(J434="本金",C434+K433,K433)</f>
        <v/>
      </c>
      <c r="L434">
        <f>IF(J434="本金",F434+L433,L433)</f>
        <v/>
      </c>
    </row>
    <row r="435" outlineLevel="1">
      <c r="A435" s="629" t="n"/>
      <c r="B435" s="630" t="n"/>
      <c r="C435" s="116" t="n"/>
      <c r="D435" s="631">
        <f>D434+C435-B435</f>
        <v/>
      </c>
      <c r="E435" s="632" t="n"/>
      <c r="F435" s="633" t="n"/>
      <c r="G435" s="634">
        <f>G434+F435-E435</f>
        <v/>
      </c>
      <c r="H435" s="119" t="n"/>
      <c r="I435" s="120" t="n"/>
      <c r="J435" t="inlineStr">
        <is>
          <t>投資</t>
        </is>
      </c>
      <c r="K435">
        <f>IF(J435="本金",C435+K434,K434)</f>
        <v/>
      </c>
      <c r="L435">
        <f>IF(J435="本金",F435+L434,L434)</f>
        <v/>
      </c>
    </row>
    <row r="436" outlineLevel="1">
      <c r="A436" s="615" t="n"/>
      <c r="B436" s="616" t="n"/>
      <c r="C436" s="101" t="n"/>
      <c r="D436" s="617">
        <f>D435+C436-B436</f>
        <v/>
      </c>
      <c r="E436" s="618" t="n"/>
      <c r="F436" s="622" t="n"/>
      <c r="G436" s="620">
        <f>G435+F436-E436</f>
        <v/>
      </c>
      <c r="H436" s="61" t="n"/>
      <c r="I436" s="61" t="n"/>
      <c r="J436" t="inlineStr">
        <is>
          <t>投資</t>
        </is>
      </c>
      <c r="K436">
        <f>IF(J436="本金",C436+K435,K435)</f>
        <v/>
      </c>
      <c r="L436">
        <f>IF(J436="本金",F436+L435,L435)</f>
        <v/>
      </c>
    </row>
    <row r="437" outlineLevel="1">
      <c r="A437" s="615" t="n"/>
      <c r="B437" s="616" t="n"/>
      <c r="C437" s="101" t="n"/>
      <c r="D437" s="617">
        <f>D436+C437-B437</f>
        <v/>
      </c>
      <c r="E437" s="618" t="n"/>
      <c r="F437" s="622" t="n"/>
      <c r="G437" s="620">
        <f>G436+F437-E437</f>
        <v/>
      </c>
      <c r="H437" s="61" t="n"/>
      <c r="I437" s="61" t="n"/>
      <c r="J437" t="inlineStr">
        <is>
          <t>投資</t>
        </is>
      </c>
      <c r="K437">
        <f>IF(J437="本金",C437+K436,K436)</f>
        <v/>
      </c>
      <c r="L437">
        <f>IF(J437="本金",F437+L436,L436)</f>
        <v/>
      </c>
    </row>
    <row r="438" outlineLevel="1">
      <c r="A438" s="615" t="n"/>
      <c r="B438" s="616" t="n"/>
      <c r="C438" s="101" t="n"/>
      <c r="D438" s="617">
        <f>D437+C438-B438</f>
        <v/>
      </c>
      <c r="E438" s="618" t="n"/>
      <c r="F438" s="622" t="n"/>
      <c r="G438" s="620">
        <f>G437+F438-E438</f>
        <v/>
      </c>
      <c r="H438" s="61" t="n"/>
      <c r="I438" s="61" t="n"/>
      <c r="J438" t="inlineStr">
        <is>
          <t>投資</t>
        </is>
      </c>
      <c r="K438">
        <f>IF(J438="本金",C438+K437,K437)</f>
        <v/>
      </c>
      <c r="L438">
        <f>IF(J438="本金",F438+L437,L437)</f>
        <v/>
      </c>
    </row>
    <row r="439" outlineLevel="1">
      <c r="A439" s="615" t="n"/>
      <c r="B439" s="616" t="n"/>
      <c r="C439" s="101" t="n"/>
      <c r="D439" s="617">
        <f>D438+C439-B439</f>
        <v/>
      </c>
      <c r="E439" s="618" t="n"/>
      <c r="F439" s="622" t="n"/>
      <c r="G439" s="620">
        <f>G438+F439-E439</f>
        <v/>
      </c>
      <c r="H439" s="61" t="n"/>
      <c r="I439" s="61" t="n"/>
      <c r="J439" t="inlineStr">
        <is>
          <t>投資</t>
        </is>
      </c>
      <c r="K439">
        <f>IF(J439="本金",C439+K438,K438)</f>
        <v/>
      </c>
      <c r="L439">
        <f>IF(J439="本金",F439+L438,L438)</f>
        <v/>
      </c>
    </row>
    <row r="440" outlineLevel="1">
      <c r="A440" s="615" t="n"/>
      <c r="B440" s="616" t="n"/>
      <c r="C440" s="101" t="n"/>
      <c r="D440" s="617">
        <f>D439+C440-B440</f>
        <v/>
      </c>
      <c r="E440" s="618" t="n"/>
      <c r="F440" s="622" t="n"/>
      <c r="G440" s="620">
        <f>G439+F440-E440</f>
        <v/>
      </c>
      <c r="H440" s="61" t="n"/>
      <c r="I440" s="61" t="n"/>
      <c r="J440" t="inlineStr">
        <is>
          <t>投資</t>
        </is>
      </c>
      <c r="K440">
        <f>IF(J440="本金",C440+K439,K439)</f>
        <v/>
      </c>
      <c r="L440">
        <f>IF(J440="本金",F440+L439,L439)</f>
        <v/>
      </c>
    </row>
    <row r="441" outlineLevel="1">
      <c r="A441" s="623" t="n"/>
      <c r="B441" s="624" t="n"/>
      <c r="C441" s="111" t="n"/>
      <c r="D441" s="625">
        <f>D440+C441-B441</f>
        <v/>
      </c>
      <c r="E441" s="626" t="n"/>
      <c r="F441" s="627" t="n"/>
      <c r="G441" s="628">
        <f>G440+F441-E441</f>
        <v/>
      </c>
      <c r="H441" s="114" t="n"/>
      <c r="I441" s="114" t="n"/>
      <c r="J441" t="inlineStr">
        <is>
          <t>投資</t>
        </is>
      </c>
      <c r="K441">
        <f>IF(J441="本金",C441+K440,K440)</f>
        <v/>
      </c>
      <c r="L441">
        <f>IF(J441="本金",F441+L440,L440)</f>
        <v/>
      </c>
    </row>
    <row r="442" outlineLevel="1">
      <c r="A442" s="615" t="n"/>
      <c r="B442" s="616" t="n"/>
      <c r="C442" s="101" t="n"/>
      <c r="D442" s="617">
        <f>D441+C442-B442</f>
        <v/>
      </c>
      <c r="E442" s="618" t="n"/>
      <c r="F442" s="622" t="n"/>
      <c r="G442" s="620">
        <f>G441+F442-E442</f>
        <v/>
      </c>
      <c r="H442" s="61" t="n"/>
      <c r="I442" s="61" t="n"/>
      <c r="J442" t="inlineStr">
        <is>
          <t>投資</t>
        </is>
      </c>
      <c r="K442">
        <f>IF(J442="本金",C442+K441,K441)</f>
        <v/>
      </c>
      <c r="L442">
        <f>IF(J442="本金",F442+L441,L441)</f>
        <v/>
      </c>
    </row>
    <row r="443" outlineLevel="1">
      <c r="A443" s="615" t="n"/>
      <c r="B443" s="616" t="n"/>
      <c r="C443" s="101" t="n"/>
      <c r="D443" s="617">
        <f>D442+C443-B443</f>
        <v/>
      </c>
      <c r="E443" s="618" t="n"/>
      <c r="F443" s="622" t="n"/>
      <c r="G443" s="620">
        <f>G442+F443-E443</f>
        <v/>
      </c>
      <c r="H443" s="61" t="n"/>
      <c r="I443" s="61" t="n"/>
      <c r="J443" t="inlineStr">
        <is>
          <t>投資</t>
        </is>
      </c>
      <c r="K443">
        <f>IF(J443="本金",C443+K442,K442)</f>
        <v/>
      </c>
      <c r="L443">
        <f>IF(J443="本金",F443+L442,L442)</f>
        <v/>
      </c>
    </row>
    <row r="444" outlineLevel="1">
      <c r="A444" s="615" t="n"/>
      <c r="B444" s="616" t="n"/>
      <c r="C444" s="101" t="n"/>
      <c r="D444" s="617">
        <f>D443+C444-B444</f>
        <v/>
      </c>
      <c r="E444" s="618" t="n"/>
      <c r="F444" s="622" t="n"/>
      <c r="G444" s="620">
        <f>G443+F444-E444</f>
        <v/>
      </c>
      <c r="H444" s="61" t="n"/>
      <c r="I444" s="61" t="n"/>
      <c r="J444" t="inlineStr">
        <is>
          <t>投資</t>
        </is>
      </c>
      <c r="K444">
        <f>IF(J444="本金",C444+K443,K443)</f>
        <v/>
      </c>
      <c r="L444">
        <f>IF(J444="本金",F444+L443,L443)</f>
        <v/>
      </c>
    </row>
    <row r="445" outlineLevel="1">
      <c r="A445" s="615" t="n"/>
      <c r="B445" s="616" t="n"/>
      <c r="C445" s="101" t="n"/>
      <c r="D445" s="617">
        <f>D444+C445-B445</f>
        <v/>
      </c>
      <c r="E445" s="618" t="n"/>
      <c r="F445" s="622" t="n"/>
      <c r="G445" s="620">
        <f>G444+F445-E445</f>
        <v/>
      </c>
      <c r="H445" s="61" t="n"/>
      <c r="I445" s="61" t="n"/>
      <c r="J445" t="inlineStr">
        <is>
          <t>投資</t>
        </is>
      </c>
      <c r="K445">
        <f>IF(J445="本金",C445+K444,K444)</f>
        <v/>
      </c>
      <c r="L445">
        <f>IF(J445="本金",F445+L444,L444)</f>
        <v/>
      </c>
    </row>
    <row r="446" outlineLevel="1">
      <c r="A446" s="615" t="n"/>
      <c r="B446" s="616" t="n"/>
      <c r="C446" s="101" t="n"/>
      <c r="D446" s="617">
        <f>D445+C446-B446</f>
        <v/>
      </c>
      <c r="E446" s="618" t="n"/>
      <c r="F446" s="622" t="n"/>
      <c r="G446" s="620">
        <f>G445+F446-E446</f>
        <v/>
      </c>
      <c r="H446" s="61" t="n"/>
      <c r="I446" s="61" t="n"/>
      <c r="J446" t="inlineStr">
        <is>
          <t>投資</t>
        </is>
      </c>
      <c r="K446">
        <f>IF(J446="本金",C446+K445,K445)</f>
        <v/>
      </c>
      <c r="L446">
        <f>IF(J446="本金",F446+L445,L445)</f>
        <v/>
      </c>
    </row>
    <row r="447" outlineLevel="1">
      <c r="A447" s="615" t="n"/>
      <c r="B447" s="616" t="n"/>
      <c r="C447" s="101" t="n"/>
      <c r="D447" s="617">
        <f>D446+C447-B447</f>
        <v/>
      </c>
      <c r="E447" s="618" t="n"/>
      <c r="F447" s="622" t="n"/>
      <c r="G447" s="620">
        <f>G446+F447-E447</f>
        <v/>
      </c>
      <c r="H447" s="61" t="n"/>
      <c r="I447" s="61" t="n"/>
      <c r="J447" t="inlineStr">
        <is>
          <t>投資</t>
        </is>
      </c>
      <c r="K447">
        <f>IF(J447="本金",C447+K446,K446)</f>
        <v/>
      </c>
      <c r="L447">
        <f>IF(J447="本金",F447+L446,L446)</f>
        <v/>
      </c>
    </row>
    <row r="448" outlineLevel="1">
      <c r="A448" s="635" t="n"/>
      <c r="B448" s="636" t="n"/>
      <c r="C448" s="170" t="n"/>
      <c r="D448" s="637">
        <f>D447+C448-B448</f>
        <v/>
      </c>
      <c r="E448" s="638" t="n"/>
      <c r="F448" s="639" t="n"/>
      <c r="G448" s="640">
        <f>G447+F448-E448</f>
        <v/>
      </c>
      <c r="H448" s="173" t="n"/>
      <c r="I448" s="173" t="n"/>
      <c r="J448" t="inlineStr">
        <is>
          <t>投資</t>
        </is>
      </c>
      <c r="K448">
        <f>IF(J448="本金",C448+K447,K447)</f>
        <v/>
      </c>
      <c r="L448">
        <f>IF(J448="本金",F448+L447,L447)</f>
        <v/>
      </c>
    </row>
    <row r="449" outlineLevel="1">
      <c r="A449" s="635" t="n"/>
      <c r="B449" s="636" t="n"/>
      <c r="C449" s="170" t="n"/>
      <c r="D449" s="637">
        <f>D448+C449-B449</f>
        <v/>
      </c>
      <c r="E449" s="638" t="n"/>
      <c r="F449" s="639" t="n"/>
      <c r="G449" s="640">
        <f>G448+F449-E449</f>
        <v/>
      </c>
      <c r="H449" s="173" t="n"/>
      <c r="I449" s="173" t="n"/>
      <c r="J449" t="inlineStr">
        <is>
          <t>投資</t>
        </is>
      </c>
      <c r="K449">
        <f>IF(J449="本金",C449+K448,K448)</f>
        <v/>
      </c>
      <c r="L449">
        <f>IF(J449="本金",F449+L448,L448)</f>
        <v/>
      </c>
    </row>
    <row r="450" outlineLevel="1">
      <c r="A450" s="635" t="n"/>
      <c r="B450" s="636" t="n"/>
      <c r="C450" s="170" t="n"/>
      <c r="D450" s="637">
        <f>D449+C450-B450</f>
        <v/>
      </c>
      <c r="E450" s="638" t="n"/>
      <c r="F450" s="639" t="n"/>
      <c r="G450" s="640">
        <f>G449+F450-E450</f>
        <v/>
      </c>
      <c r="H450" s="173" t="n"/>
      <c r="I450" s="173" t="n"/>
      <c r="J450" t="inlineStr">
        <is>
          <t>投資</t>
        </is>
      </c>
      <c r="K450">
        <f>IF(J450="本金",C450+K449,K449)</f>
        <v/>
      </c>
      <c r="L450">
        <f>IF(J450="本金",F450+L449,L449)</f>
        <v/>
      </c>
    </row>
    <row r="451" outlineLevel="1">
      <c r="A451" s="615" t="n"/>
      <c r="B451" s="616" t="n"/>
      <c r="C451" s="101" t="n"/>
      <c r="D451" s="617">
        <f>D450+C451-B451</f>
        <v/>
      </c>
      <c r="E451" s="618" t="n"/>
      <c r="F451" s="622" t="n"/>
      <c r="G451" s="620">
        <f>G450+F451-E451</f>
        <v/>
      </c>
      <c r="H451" s="61" t="n"/>
      <c r="I451" s="61" t="n"/>
      <c r="J451" t="inlineStr">
        <is>
          <t>投資</t>
        </is>
      </c>
      <c r="K451">
        <f>IF(J451="本金",C451+K450,K450)</f>
        <v/>
      </c>
      <c r="L451">
        <f>IF(J451="本金",F451+L450,L450)</f>
        <v/>
      </c>
    </row>
    <row r="452" outlineLevel="1">
      <c r="A452" s="623" t="n"/>
      <c r="B452" s="624" t="n"/>
      <c r="C452" s="111" t="n"/>
      <c r="D452" s="625">
        <f>D451+C452-B452</f>
        <v/>
      </c>
      <c r="E452" s="626" t="n"/>
      <c r="F452" s="627" t="n"/>
      <c r="G452" s="628">
        <f>G451+F452-E452</f>
        <v/>
      </c>
      <c r="H452" s="114" t="n"/>
      <c r="I452" s="114" t="n"/>
      <c r="J452" t="inlineStr">
        <is>
          <t>投資</t>
        </is>
      </c>
      <c r="K452">
        <f>IF(J452="本金",C452+K451,K451)</f>
        <v/>
      </c>
      <c r="L452">
        <f>IF(J452="本金",F452+L451,L451)</f>
        <v/>
      </c>
    </row>
    <row r="453" outlineLevel="1">
      <c r="A453" s="615" t="n"/>
      <c r="B453" s="616" t="n"/>
      <c r="C453" s="101" t="n"/>
      <c r="D453" s="617">
        <f>D452+C453-B453</f>
        <v/>
      </c>
      <c r="E453" s="618" t="n"/>
      <c r="F453" s="622" t="n"/>
      <c r="G453" s="620">
        <f>G452+F453-E453</f>
        <v/>
      </c>
      <c r="H453" s="61" t="n"/>
      <c r="I453" s="61" t="n"/>
      <c r="J453" t="inlineStr">
        <is>
          <t>投資</t>
        </is>
      </c>
      <c r="K453">
        <f>IF(J453="本金",C453+K452,K452)</f>
        <v/>
      </c>
      <c r="L453">
        <f>IF(J453="本金",F453+L452,L452)</f>
        <v/>
      </c>
    </row>
    <row r="454" outlineLevel="1">
      <c r="A454" s="615" t="n"/>
      <c r="B454" s="616" t="n"/>
      <c r="C454" s="101" t="n"/>
      <c r="D454" s="617">
        <f>D453+C454-B454</f>
        <v/>
      </c>
      <c r="E454" s="618" t="n"/>
      <c r="F454" s="622" t="n"/>
      <c r="G454" s="620">
        <f>G453+F454-E454</f>
        <v/>
      </c>
      <c r="H454" s="61" t="n"/>
      <c r="I454" s="61" t="n"/>
      <c r="J454" t="inlineStr">
        <is>
          <t>投資</t>
        </is>
      </c>
      <c r="K454">
        <f>IF(J454="本金",C454+K453,K453)</f>
        <v/>
      </c>
      <c r="L454">
        <f>IF(J454="本金",F454+L453,L453)</f>
        <v/>
      </c>
    </row>
    <row r="455" outlineLevel="1">
      <c r="A455" s="615" t="n"/>
      <c r="B455" s="616" t="n"/>
      <c r="C455" s="101" t="n"/>
      <c r="D455" s="617">
        <f>D454+C455-B455</f>
        <v/>
      </c>
      <c r="E455" s="618" t="n"/>
      <c r="F455" s="622" t="n"/>
      <c r="G455" s="620">
        <f>G454+F455-E455</f>
        <v/>
      </c>
      <c r="H455" s="61" t="n"/>
      <c r="I455" s="61" t="n"/>
      <c r="J455" t="inlineStr">
        <is>
          <t>投資</t>
        </is>
      </c>
      <c r="K455">
        <f>IF(J455="本金",C455+K454,K454)</f>
        <v/>
      </c>
      <c r="L455">
        <f>IF(J455="本金",F455+L454,L454)</f>
        <v/>
      </c>
    </row>
    <row r="456" outlineLevel="1">
      <c r="A456" s="635" t="n"/>
      <c r="B456" s="636" t="n"/>
      <c r="C456" s="170" t="n"/>
      <c r="D456" s="637">
        <f>D455+C456-B456</f>
        <v/>
      </c>
      <c r="E456" s="638" t="n"/>
      <c r="F456" s="639" t="n"/>
      <c r="G456" s="640">
        <f>G455+F456-E456</f>
        <v/>
      </c>
      <c r="H456" s="173" t="n"/>
      <c r="I456" s="173" t="n"/>
      <c r="J456" t="inlineStr">
        <is>
          <t>投資</t>
        </is>
      </c>
      <c r="K456">
        <f>IF(J456="本金",C456+K455,K455)</f>
        <v/>
      </c>
      <c r="L456">
        <f>IF(J456="本金",F456+L455,L455)</f>
        <v/>
      </c>
    </row>
    <row r="457" outlineLevel="1">
      <c r="A457" s="615" t="n"/>
      <c r="B457" s="616" t="n"/>
      <c r="C457" s="101" t="n"/>
      <c r="D457" s="617">
        <f>D456+C457-B457</f>
        <v/>
      </c>
      <c r="E457" s="618" t="n"/>
      <c r="F457" s="622" t="n"/>
      <c r="G457" s="620">
        <f>G456+F457-E457</f>
        <v/>
      </c>
      <c r="H457" s="61" t="n"/>
      <c r="I457" s="61" t="n"/>
      <c r="J457" t="inlineStr">
        <is>
          <t>投資</t>
        </is>
      </c>
      <c r="K457">
        <f>IF(J457="本金",C457+K456,K456)</f>
        <v/>
      </c>
      <c r="L457">
        <f>IF(J457="本金",F457+L456,L456)</f>
        <v/>
      </c>
    </row>
    <row r="458" outlineLevel="1">
      <c r="A458" s="635" t="n"/>
      <c r="B458" s="636" t="n"/>
      <c r="C458" s="170" t="n"/>
      <c r="D458" s="637">
        <f>D457+C458-B458</f>
        <v/>
      </c>
      <c r="E458" s="638" t="n"/>
      <c r="F458" s="639" t="n"/>
      <c r="G458" s="640">
        <f>G457+F458-E458</f>
        <v/>
      </c>
      <c r="H458" s="173" t="n"/>
      <c r="I458" s="173" t="n"/>
      <c r="J458" t="inlineStr">
        <is>
          <t>投資</t>
        </is>
      </c>
      <c r="K458">
        <f>IF(J458="本金",C458+K457,K457)</f>
        <v/>
      </c>
      <c r="L458">
        <f>IF(J458="本金",F458+L457,L457)</f>
        <v/>
      </c>
    </row>
    <row r="459" outlineLevel="1">
      <c r="A459" s="635" t="n"/>
      <c r="B459" s="636" t="n"/>
      <c r="C459" s="170" t="n"/>
      <c r="D459" s="637">
        <f>D458+C459-B459</f>
        <v/>
      </c>
      <c r="E459" s="638" t="n"/>
      <c r="F459" s="639" t="n"/>
      <c r="G459" s="640">
        <f>G458+F459-E459</f>
        <v/>
      </c>
      <c r="H459" s="173" t="n"/>
      <c r="I459" s="173" t="n"/>
      <c r="J459" t="inlineStr">
        <is>
          <t>投資</t>
        </is>
      </c>
      <c r="K459">
        <f>IF(J459="本金",C459+K458,K458)</f>
        <v/>
      </c>
      <c r="L459">
        <f>IF(J459="本金",F459+L458,L458)</f>
        <v/>
      </c>
    </row>
    <row r="460" outlineLevel="1">
      <c r="A460" s="635" t="n"/>
      <c r="B460" s="636" t="n"/>
      <c r="C460" s="170" t="n"/>
      <c r="D460" s="637">
        <f>D459+C460-B460</f>
        <v/>
      </c>
      <c r="E460" s="638" t="n"/>
      <c r="F460" s="639" t="n"/>
      <c r="G460" s="640">
        <f>G459+F460-E460</f>
        <v/>
      </c>
      <c r="H460" s="173" t="n"/>
      <c r="I460" s="173" t="n"/>
      <c r="J460" t="inlineStr">
        <is>
          <t>投資</t>
        </is>
      </c>
      <c r="K460">
        <f>IF(J460="本金",C460+K459,K459)</f>
        <v/>
      </c>
      <c r="L460">
        <f>IF(J460="本金",F460+L459,L459)</f>
        <v/>
      </c>
    </row>
    <row r="461" outlineLevel="1">
      <c r="A461" s="635" t="n"/>
      <c r="B461" s="636" t="n"/>
      <c r="C461" s="170" t="n"/>
      <c r="D461" s="637">
        <f>D460+C461-B461</f>
        <v/>
      </c>
      <c r="E461" s="638" t="n"/>
      <c r="F461" s="639" t="n"/>
      <c r="G461" s="640">
        <f>G460+F461-E461</f>
        <v/>
      </c>
      <c r="H461" s="173" t="n"/>
      <c r="I461" s="173" t="n"/>
      <c r="J461" t="inlineStr">
        <is>
          <t>投資</t>
        </is>
      </c>
      <c r="K461">
        <f>IF(J461="本金",C461+K460,K460)</f>
        <v/>
      </c>
      <c r="L461">
        <f>IF(J461="本金",F461+L460,L460)</f>
        <v/>
      </c>
    </row>
    <row r="462" outlineLevel="1">
      <c r="A462" s="635" t="n"/>
      <c r="B462" s="636" t="n"/>
      <c r="C462" s="170" t="n"/>
      <c r="D462" s="637">
        <f>D461+C462-B462</f>
        <v/>
      </c>
      <c r="E462" s="638" t="n"/>
      <c r="F462" s="639" t="n"/>
      <c r="G462" s="640">
        <f>G461+F462-E462</f>
        <v/>
      </c>
      <c r="H462" s="173" t="n"/>
      <c r="I462" s="173" t="n"/>
      <c r="J462" t="inlineStr">
        <is>
          <t>投資</t>
        </is>
      </c>
      <c r="K462">
        <f>IF(J462="本金",C462+K461,K461)</f>
        <v/>
      </c>
      <c r="L462">
        <f>IF(J462="本金",F462+L461,L461)</f>
        <v/>
      </c>
    </row>
    <row r="463" outlineLevel="1">
      <c r="A463" s="635" t="n"/>
      <c r="B463" s="636" t="n"/>
      <c r="C463" s="170" t="n"/>
      <c r="D463" s="637">
        <f>D462+C463-B463</f>
        <v/>
      </c>
      <c r="E463" s="638" t="n"/>
      <c r="F463" s="639" t="n"/>
      <c r="G463" s="640">
        <f>G462+F463-E463</f>
        <v/>
      </c>
      <c r="H463" s="173" t="n"/>
      <c r="I463" s="173" t="n"/>
      <c r="J463" t="inlineStr">
        <is>
          <t>投資</t>
        </is>
      </c>
      <c r="K463">
        <f>IF(J463="本金",C463+K462,K462)</f>
        <v/>
      </c>
      <c r="L463">
        <f>IF(J463="本金",F463+L462,L462)</f>
        <v/>
      </c>
    </row>
    <row r="464" outlineLevel="1">
      <c r="A464" s="623" t="n"/>
      <c r="B464" s="624" t="n"/>
      <c r="C464" s="111" t="n"/>
      <c r="D464" s="625">
        <f>D463+C464-B464</f>
        <v/>
      </c>
      <c r="E464" s="626" t="n"/>
      <c r="F464" s="627" t="n"/>
      <c r="G464" s="628">
        <f>G463+F464-E464</f>
        <v/>
      </c>
      <c r="H464" s="114" t="n"/>
      <c r="I464" s="114" t="n"/>
      <c r="J464" t="inlineStr">
        <is>
          <t>投資</t>
        </is>
      </c>
      <c r="K464">
        <f>IF(J464="本金",C464+K463,K463)</f>
        <v/>
      </c>
      <c r="L464">
        <f>IF(J464="本金",F464+L463,L463)</f>
        <v/>
      </c>
    </row>
    <row r="465" outlineLevel="1">
      <c r="A465" s="615" t="n"/>
      <c r="B465" s="616" t="n"/>
      <c r="C465" s="101" t="n"/>
      <c r="D465" s="617">
        <f>D464+C465-B465</f>
        <v/>
      </c>
      <c r="E465" s="618" t="n"/>
      <c r="F465" s="622" t="n"/>
      <c r="G465" s="620">
        <f>G464+F465-E465</f>
        <v/>
      </c>
      <c r="H465" s="61" t="n"/>
      <c r="I465" s="61" t="n"/>
      <c r="J465" t="inlineStr">
        <is>
          <t>投資</t>
        </is>
      </c>
      <c r="K465">
        <f>IF(J465="本金",C465+K464,K464)</f>
        <v/>
      </c>
      <c r="L465">
        <f>IF(J465="本金",F465+L464,L464)</f>
        <v/>
      </c>
    </row>
    <row r="466" outlineLevel="1">
      <c r="A466" s="635" t="n"/>
      <c r="B466" s="636" t="n"/>
      <c r="C466" s="170" t="n"/>
      <c r="D466" s="637">
        <f>D465+C466-B466</f>
        <v/>
      </c>
      <c r="E466" s="638" t="n"/>
      <c r="F466" s="639" t="n"/>
      <c r="G466" s="640">
        <f>G465+F466-E466</f>
        <v/>
      </c>
      <c r="H466" s="173" t="n"/>
      <c r="I466" s="173" t="n"/>
      <c r="J466" t="inlineStr">
        <is>
          <t>投資</t>
        </is>
      </c>
      <c r="K466">
        <f>IF(J466="本金",C466+K465,K465)</f>
        <v/>
      </c>
      <c r="L466">
        <f>IF(J466="本金",F466+L465,L465)</f>
        <v/>
      </c>
    </row>
    <row r="467" outlineLevel="1">
      <c r="A467" s="635" t="n"/>
      <c r="B467" s="636" t="n"/>
      <c r="C467" s="170" t="n"/>
      <c r="D467" s="637">
        <f>D466+C467-B467</f>
        <v/>
      </c>
      <c r="E467" s="638" t="n"/>
      <c r="F467" s="639" t="n"/>
      <c r="G467" s="640">
        <f>G466+F467-E467</f>
        <v/>
      </c>
      <c r="H467" s="173" t="n"/>
      <c r="I467" s="173" t="n"/>
      <c r="J467" t="inlineStr">
        <is>
          <t>投資</t>
        </is>
      </c>
      <c r="K467">
        <f>IF(J467="本金",C467+K466,K466)</f>
        <v/>
      </c>
      <c r="L467">
        <f>IF(J467="本金",F467+L466,L466)</f>
        <v/>
      </c>
    </row>
    <row r="468" outlineLevel="1">
      <c r="A468" s="635" t="n"/>
      <c r="B468" s="636" t="n"/>
      <c r="C468" s="170" t="n"/>
      <c r="D468" s="637">
        <f>D467+C468-B468</f>
        <v/>
      </c>
      <c r="E468" s="638" t="n"/>
      <c r="F468" s="639" t="n"/>
      <c r="G468" s="640">
        <f>G467+F468-E468</f>
        <v/>
      </c>
      <c r="H468" s="173" t="n"/>
      <c r="I468" s="173" t="n"/>
      <c r="J468" t="inlineStr">
        <is>
          <t>投資</t>
        </is>
      </c>
      <c r="K468">
        <f>IF(J468="本金",C468+K467,K467)</f>
        <v/>
      </c>
      <c r="L468">
        <f>IF(J468="本金",F468+L467,L467)</f>
        <v/>
      </c>
    </row>
    <row r="469" outlineLevel="1">
      <c r="A469" s="623" t="n"/>
      <c r="B469" s="624" t="n"/>
      <c r="C469" s="111" t="n"/>
      <c r="D469" s="625">
        <f>D468+C469-B469</f>
        <v/>
      </c>
      <c r="E469" s="626" t="n"/>
      <c r="F469" s="627" t="n"/>
      <c r="G469" s="628">
        <f>G468+F469-E469</f>
        <v/>
      </c>
      <c r="H469" s="114" t="n"/>
      <c r="I469" s="114" t="n"/>
      <c r="J469" t="inlineStr">
        <is>
          <t>投資</t>
        </is>
      </c>
      <c r="K469">
        <f>IF(J469="本金",C469+K468,K468)</f>
        <v/>
      </c>
      <c r="L469">
        <f>IF(J469="本金",F469+L468,L468)</f>
        <v/>
      </c>
    </row>
    <row r="470" outlineLevel="1">
      <c r="A470" s="615" t="n"/>
      <c r="B470" s="616" t="n"/>
      <c r="C470" s="101" t="n"/>
      <c r="D470" s="617">
        <f>D469+C470-B470</f>
        <v/>
      </c>
      <c r="E470" s="618" t="n"/>
      <c r="F470" s="622" t="n"/>
      <c r="G470" s="620">
        <f>G469+F470-E470</f>
        <v/>
      </c>
      <c r="H470" s="61" t="n"/>
      <c r="I470" s="61" t="n"/>
      <c r="J470" t="inlineStr">
        <is>
          <t>投資</t>
        </is>
      </c>
      <c r="K470">
        <f>IF(J470="本金",C470+K469,K469)</f>
        <v/>
      </c>
      <c r="L470">
        <f>IF(J470="本金",F470+L469,L469)</f>
        <v/>
      </c>
    </row>
    <row r="471" outlineLevel="1">
      <c r="A471" s="635" t="n"/>
      <c r="B471" s="636" t="n"/>
      <c r="C471" s="170" t="n"/>
      <c r="D471" s="637">
        <f>D470+C471-B471</f>
        <v/>
      </c>
      <c r="E471" s="638" t="n"/>
      <c r="F471" s="639" t="n"/>
      <c r="G471" s="640">
        <f>G470+F471-E471</f>
        <v/>
      </c>
      <c r="H471" s="173" t="n"/>
      <c r="I471" s="173" t="n"/>
      <c r="J471" t="inlineStr">
        <is>
          <t>投資</t>
        </is>
      </c>
      <c r="K471">
        <f>IF(J471="本金",C471+K470,K470)</f>
        <v/>
      </c>
      <c r="L471">
        <f>IF(J471="本金",F471+L470,L470)</f>
        <v/>
      </c>
    </row>
    <row r="472" outlineLevel="1">
      <c r="A472" s="615" t="n"/>
      <c r="B472" s="616" t="n"/>
      <c r="C472" s="101" t="n"/>
      <c r="D472" s="617">
        <f>D471+C472-B472</f>
        <v/>
      </c>
      <c r="E472" s="618" t="n"/>
      <c r="F472" s="622" t="n"/>
      <c r="G472" s="620">
        <f>G471+F472-E472</f>
        <v/>
      </c>
      <c r="H472" s="61" t="n"/>
      <c r="I472" s="61" t="n"/>
      <c r="J472" t="inlineStr">
        <is>
          <t>投資</t>
        </is>
      </c>
      <c r="K472">
        <f>IF(J472="本金",C472+K471,K471)</f>
        <v/>
      </c>
      <c r="L472">
        <f>IF(J472="本金",F472+L471,L471)</f>
        <v/>
      </c>
    </row>
    <row r="473" outlineLevel="1">
      <c r="A473" s="635" t="n"/>
      <c r="B473" s="636" t="n"/>
      <c r="C473" s="170" t="n"/>
      <c r="D473" s="637">
        <f>D472+C473-B473</f>
        <v/>
      </c>
      <c r="E473" s="638" t="n"/>
      <c r="F473" s="639" t="n"/>
      <c r="G473" s="640">
        <f>G472+F473-E473</f>
        <v/>
      </c>
      <c r="H473" s="173" t="n"/>
      <c r="I473" s="173" t="n"/>
      <c r="J473" t="inlineStr">
        <is>
          <t>投資</t>
        </is>
      </c>
      <c r="K473">
        <f>IF(J473="本金",C473+K472,K472)</f>
        <v/>
      </c>
      <c r="L473">
        <f>IF(J473="本金",F473+L472,L472)</f>
        <v/>
      </c>
    </row>
    <row r="474" outlineLevel="1">
      <c r="A474" s="623" t="n"/>
      <c r="B474" s="624" t="n"/>
      <c r="C474" s="111" t="n"/>
      <c r="D474" s="625">
        <f>D473+C474-B474</f>
        <v/>
      </c>
      <c r="E474" s="626" t="n"/>
      <c r="F474" s="627" t="n"/>
      <c r="G474" s="628">
        <f>G473+F474-E474</f>
        <v/>
      </c>
      <c r="H474" s="114" t="n"/>
      <c r="I474" s="114" t="n"/>
      <c r="J474" t="inlineStr">
        <is>
          <t>投資</t>
        </is>
      </c>
      <c r="K474">
        <f>IF(J474="本金",C474+K473,K473)</f>
        <v/>
      </c>
      <c r="L474">
        <f>IF(J474="本金",F474+L473,L473)</f>
        <v/>
      </c>
    </row>
    <row r="475" outlineLevel="1">
      <c r="A475" s="615" t="n"/>
      <c r="B475" s="616" t="n"/>
      <c r="C475" s="101" t="n"/>
      <c r="D475" s="617">
        <f>D474+C475-B475</f>
        <v/>
      </c>
      <c r="E475" s="618" t="n"/>
      <c r="F475" s="622" t="n"/>
      <c r="G475" s="620">
        <f>G474+F475-E475</f>
        <v/>
      </c>
      <c r="H475" s="61" t="n"/>
      <c r="I475" s="61" t="n"/>
      <c r="J475" t="inlineStr">
        <is>
          <t>投資</t>
        </is>
      </c>
      <c r="K475">
        <f>IF(J475="本金",C475+K474,K474)</f>
        <v/>
      </c>
      <c r="L475">
        <f>IF(J475="本金",F475+L474,L474)</f>
        <v/>
      </c>
    </row>
    <row r="476" outlineLevel="1">
      <c r="A476" s="635" t="n"/>
      <c r="B476" s="636" t="n"/>
      <c r="C476" s="170" t="n"/>
      <c r="D476" s="637">
        <f>D475+C476-B476</f>
        <v/>
      </c>
      <c r="E476" s="638" t="n"/>
      <c r="F476" s="639" t="n"/>
      <c r="G476" s="640">
        <f>G475+F476-E476</f>
        <v/>
      </c>
      <c r="H476" s="173" t="n"/>
      <c r="I476" s="173" t="n"/>
      <c r="J476" t="inlineStr">
        <is>
          <t>投資</t>
        </is>
      </c>
      <c r="K476">
        <f>IF(J476="本金",C476+K475,K475)</f>
        <v/>
      </c>
      <c r="L476">
        <f>IF(J476="本金",F476+L475,L475)</f>
        <v/>
      </c>
    </row>
    <row r="477" outlineLevel="1">
      <c r="A477" s="615" t="n"/>
      <c r="B477" s="616" t="n"/>
      <c r="C477" s="101" t="n"/>
      <c r="D477" s="617">
        <f>D476+C477-B477</f>
        <v/>
      </c>
      <c r="E477" s="618" t="n"/>
      <c r="F477" s="622" t="n"/>
      <c r="G477" s="620">
        <f>G476+F477-E477</f>
        <v/>
      </c>
      <c r="H477" s="61" t="n"/>
      <c r="I477" s="61" t="n"/>
      <c r="J477" t="inlineStr">
        <is>
          <t>投資</t>
        </is>
      </c>
      <c r="K477">
        <f>IF(J477="本金",C477+K476,K476)</f>
        <v/>
      </c>
      <c r="L477">
        <f>IF(J477="本金",F477+L476,L476)</f>
        <v/>
      </c>
    </row>
    <row r="478" outlineLevel="1">
      <c r="A478" s="615" t="n"/>
      <c r="B478" s="616" t="n"/>
      <c r="C478" s="101" t="n"/>
      <c r="D478" s="617">
        <f>D477+C478-B478</f>
        <v/>
      </c>
      <c r="E478" s="618" t="n"/>
      <c r="F478" s="622" t="n"/>
      <c r="G478" s="620">
        <f>G477+F478-E478</f>
        <v/>
      </c>
      <c r="H478" s="61" t="n"/>
      <c r="I478" s="61" t="n"/>
      <c r="J478" t="inlineStr">
        <is>
          <t>投資</t>
        </is>
      </c>
      <c r="K478">
        <f>IF(J478="本金",C478+K477,K477)</f>
        <v/>
      </c>
      <c r="L478">
        <f>IF(J478="本金",F478+L477,L477)</f>
        <v/>
      </c>
    </row>
    <row r="479" outlineLevel="1">
      <c r="A479" s="615" t="n"/>
      <c r="B479" s="616" t="n"/>
      <c r="C479" s="101" t="n"/>
      <c r="D479" s="617">
        <f>D478+C479-B479</f>
        <v/>
      </c>
      <c r="E479" s="618" t="n"/>
      <c r="F479" s="622" t="n"/>
      <c r="G479" s="620">
        <f>G478+F479-E479</f>
        <v/>
      </c>
      <c r="H479" s="61" t="n"/>
      <c r="I479" s="61" t="n"/>
      <c r="J479" t="inlineStr">
        <is>
          <t>投資</t>
        </is>
      </c>
      <c r="K479">
        <f>IF(J479="本金",C479+K478,K478)</f>
        <v/>
      </c>
      <c r="L479">
        <f>IF(J479="本金",F479+L478,L478)</f>
        <v/>
      </c>
    </row>
    <row r="480" outlineLevel="1">
      <c r="A480" s="635" t="n"/>
      <c r="B480" s="636" t="n"/>
      <c r="C480" s="170" t="n"/>
      <c r="D480" s="637">
        <f>D479+C480-B480</f>
        <v/>
      </c>
      <c r="E480" s="638" t="n"/>
      <c r="F480" s="639" t="n"/>
      <c r="G480" s="640">
        <f>G479+F480-E480</f>
        <v/>
      </c>
      <c r="H480" s="173" t="n"/>
      <c r="I480" s="173" t="n"/>
      <c r="J480" t="inlineStr">
        <is>
          <t>投資</t>
        </is>
      </c>
      <c r="K480">
        <f>IF(J480="本金",C480+K479,K479)</f>
        <v/>
      </c>
      <c r="L480">
        <f>IF(J480="本金",F480+L479,L479)</f>
        <v/>
      </c>
    </row>
    <row r="481" outlineLevel="1">
      <c r="A481" s="629" t="n"/>
      <c r="B481" s="630" t="n"/>
      <c r="C481" s="116" t="n"/>
      <c r="D481" s="631">
        <f>D480+C481-B481</f>
        <v/>
      </c>
      <c r="E481" s="632" t="n"/>
      <c r="F481" s="633" t="n"/>
      <c r="G481" s="634">
        <f>G480+F481-E481</f>
        <v/>
      </c>
      <c r="H481" s="119" t="n"/>
      <c r="I481" s="120" t="n"/>
      <c r="J481" t="inlineStr">
        <is>
          <t>投資</t>
        </is>
      </c>
      <c r="K481">
        <f>IF(J481="本金",C481+K480,K480)</f>
        <v/>
      </c>
      <c r="L481">
        <f>IF(J481="本金",F481+L480,L480)</f>
        <v/>
      </c>
    </row>
    <row r="482" outlineLevel="1">
      <c r="A482" s="615" t="n"/>
      <c r="B482" s="616" t="n"/>
      <c r="C482" s="101" t="n"/>
      <c r="D482" s="617">
        <f>D481+C482-B482</f>
        <v/>
      </c>
      <c r="E482" s="618" t="n"/>
      <c r="F482" s="622" t="n"/>
      <c r="G482" s="620">
        <f>G481+F482-E482</f>
        <v/>
      </c>
      <c r="H482" s="61" t="n"/>
      <c r="I482" s="61" t="n"/>
      <c r="J482" t="inlineStr">
        <is>
          <t>投資</t>
        </is>
      </c>
      <c r="K482">
        <f>IF(J482="本金",C482+K481,K481)</f>
        <v/>
      </c>
      <c r="L482">
        <f>IF(J482="本金",F482+L481,L481)</f>
        <v/>
      </c>
    </row>
    <row r="483" outlineLevel="1">
      <c r="A483" s="615" t="n"/>
      <c r="B483" s="616" t="n"/>
      <c r="C483" s="101" t="n"/>
      <c r="D483" s="617">
        <f>D482+C483-B483</f>
        <v/>
      </c>
      <c r="E483" s="618" t="n"/>
      <c r="F483" s="622" t="n"/>
      <c r="G483" s="620">
        <f>G482+F483-E483</f>
        <v/>
      </c>
      <c r="H483" s="61" t="n"/>
      <c r="I483" s="61" t="n"/>
      <c r="J483" t="inlineStr">
        <is>
          <t>投資</t>
        </is>
      </c>
      <c r="K483">
        <f>IF(J483="本金",C483+K482,K482)</f>
        <v/>
      </c>
      <c r="L483">
        <f>IF(J483="本金",F483+L482,L482)</f>
        <v/>
      </c>
    </row>
    <row r="484" outlineLevel="1">
      <c r="A484" s="615" t="n"/>
      <c r="B484" s="616" t="n"/>
      <c r="C484" s="101" t="n"/>
      <c r="D484" s="617">
        <f>D483+C484-B484</f>
        <v/>
      </c>
      <c r="E484" s="618" t="n"/>
      <c r="F484" s="622" t="n"/>
      <c r="G484" s="620">
        <f>G483+F484-E484</f>
        <v/>
      </c>
      <c r="H484" s="61" t="n"/>
      <c r="I484" s="61" t="n"/>
      <c r="J484" t="inlineStr">
        <is>
          <t>投資</t>
        </is>
      </c>
      <c r="K484">
        <f>IF(J484="本金",C484+K483,K483)</f>
        <v/>
      </c>
      <c r="L484">
        <f>IF(J484="本金",F484+L483,L483)</f>
        <v/>
      </c>
    </row>
    <row r="485">
      <c r="A485" s="623" t="n"/>
      <c r="B485" s="624" t="n"/>
      <c r="C485" s="111" t="n"/>
      <c r="D485" s="625">
        <f>D484+C485-B485</f>
        <v/>
      </c>
      <c r="E485" s="626" t="n"/>
      <c r="F485" s="627" t="n"/>
      <c r="G485" s="628">
        <f>G484+F485-E485</f>
        <v/>
      </c>
      <c r="H485" s="114" t="n"/>
      <c r="I485" s="114" t="n"/>
      <c r="J485" t="inlineStr">
        <is>
          <t>投資</t>
        </is>
      </c>
      <c r="K485">
        <f>IF(J485="本金",C485+K484,K484)</f>
        <v/>
      </c>
      <c r="L485">
        <f>IF(J485="本金",F485+L484,L484)</f>
        <v/>
      </c>
    </row>
    <row r="486">
      <c r="A486" s="615" t="n"/>
      <c r="B486" s="616" t="n"/>
      <c r="C486" s="101" t="n"/>
      <c r="D486" s="617">
        <f>D485+C486-B486</f>
        <v/>
      </c>
      <c r="E486" s="618" t="n"/>
      <c r="F486" s="622" t="n"/>
      <c r="G486" s="620">
        <f>G485+F486-E486</f>
        <v/>
      </c>
      <c r="H486" s="61" t="n"/>
      <c r="I486" s="61" t="n"/>
      <c r="J486" t="inlineStr">
        <is>
          <t>投資</t>
        </is>
      </c>
      <c r="K486">
        <f>IF(J486="本金",C486+K485,K485)</f>
        <v/>
      </c>
      <c r="L486">
        <f>IF(J486="本金",F486+L485,L485)</f>
        <v/>
      </c>
    </row>
    <row r="487">
      <c r="A487" s="635" t="n"/>
      <c r="B487" s="636" t="n"/>
      <c r="C487" s="170" t="n"/>
      <c r="D487" s="637">
        <f>D486+C487-B487</f>
        <v/>
      </c>
      <c r="E487" s="638" t="n"/>
      <c r="F487" s="639" t="n"/>
      <c r="G487" s="640">
        <f>G486+F487-E487</f>
        <v/>
      </c>
      <c r="H487" s="173" t="n"/>
      <c r="I487" s="173" t="n"/>
      <c r="J487" t="inlineStr">
        <is>
          <t>投資</t>
        </is>
      </c>
      <c r="K487">
        <f>IF(J487="本金",C487+K486,K486)</f>
        <v/>
      </c>
      <c r="L487">
        <f>IF(J487="本金",F487+L486,L486)</f>
        <v/>
      </c>
    </row>
    <row r="488">
      <c r="A488" s="635" t="n"/>
      <c r="B488" s="636" t="n"/>
      <c r="C488" s="170" t="n"/>
      <c r="D488" s="637">
        <f>D487+C488-B488</f>
        <v/>
      </c>
      <c r="E488" s="638" t="n"/>
      <c r="F488" s="639" t="n"/>
      <c r="G488" s="640">
        <f>G487+F488-E488</f>
        <v/>
      </c>
      <c r="H488" s="173" t="n"/>
      <c r="I488" s="173" t="n"/>
      <c r="J488" t="inlineStr">
        <is>
          <t>投資</t>
        </is>
      </c>
      <c r="K488">
        <f>IF(J488="本金",C488+K487,K487)</f>
        <v/>
      </c>
      <c r="L488">
        <f>IF(J488="本金",F488+L487,L487)</f>
        <v/>
      </c>
    </row>
    <row r="489">
      <c r="A489" s="615" t="n"/>
      <c r="B489" s="616" t="n"/>
      <c r="C489" s="101" t="n"/>
      <c r="D489" s="617">
        <f>D488+C489-B489</f>
        <v/>
      </c>
      <c r="E489" s="618" t="n"/>
      <c r="F489" s="622" t="n"/>
      <c r="G489" s="620">
        <f>G488+F489-E489</f>
        <v/>
      </c>
      <c r="H489" s="61" t="n"/>
      <c r="I489" s="61" t="n"/>
      <c r="J489" t="inlineStr">
        <is>
          <t>投資</t>
        </is>
      </c>
      <c r="K489">
        <f>IF(J489="本金",C489+K488,K488)</f>
        <v/>
      </c>
      <c r="L489">
        <f>IF(J489="本金",F489+L488,L488)</f>
        <v/>
      </c>
    </row>
    <row r="490">
      <c r="A490" s="615" t="n"/>
      <c r="B490" s="616" t="n"/>
      <c r="C490" s="101" t="n"/>
      <c r="D490" s="617">
        <f>D489+C490-B490</f>
        <v/>
      </c>
      <c r="E490" s="618" t="n"/>
      <c r="F490" s="622" t="n"/>
      <c r="G490" s="620">
        <f>G489+F490-E490</f>
        <v/>
      </c>
      <c r="H490" s="61" t="n"/>
      <c r="I490" s="61" t="n"/>
      <c r="J490" t="inlineStr">
        <is>
          <t>投資</t>
        </is>
      </c>
      <c r="K490">
        <f>IF(J490="本金",C490+K489,K489)</f>
        <v/>
      </c>
      <c r="L490">
        <f>IF(J490="本金",F490+L489,L489)</f>
        <v/>
      </c>
    </row>
    <row r="491">
      <c r="A491" s="623" t="n"/>
      <c r="B491" s="624" t="n"/>
      <c r="C491" s="111" t="n"/>
      <c r="D491" s="625">
        <f>D490+C491-B491</f>
        <v/>
      </c>
      <c r="E491" s="626" t="n"/>
      <c r="F491" s="627" t="n"/>
      <c r="G491" s="628">
        <f>G490+F491-E491</f>
        <v/>
      </c>
      <c r="H491" s="114" t="n"/>
      <c r="I491" s="114" t="n"/>
      <c r="J491" t="inlineStr">
        <is>
          <t>投資</t>
        </is>
      </c>
      <c r="K491">
        <f>IF(J491="本金",C491+K490,K490)</f>
        <v/>
      </c>
      <c r="L491">
        <f>IF(J491="本金",F491+L490,L490)</f>
        <v/>
      </c>
    </row>
    <row r="492">
      <c r="A492" s="615" t="n"/>
      <c r="B492" s="616" t="n"/>
      <c r="C492" s="101" t="n"/>
      <c r="D492" s="617">
        <f>D491+C492-B492</f>
        <v/>
      </c>
      <c r="E492" s="618" t="n"/>
      <c r="F492" s="622" t="n"/>
      <c r="G492" s="620">
        <f>G491+F492-E492</f>
        <v/>
      </c>
      <c r="H492" s="61" t="n"/>
      <c r="I492" s="61" t="n"/>
      <c r="J492" t="inlineStr">
        <is>
          <t>投資</t>
        </is>
      </c>
      <c r="K492">
        <f>IF(J492="本金",C492+K491,K491)</f>
        <v/>
      </c>
      <c r="L492">
        <f>IF(J492="本金",F492+L491,L491)</f>
        <v/>
      </c>
    </row>
    <row r="493">
      <c r="A493" s="615" t="n"/>
      <c r="B493" s="616" t="n"/>
      <c r="C493" s="101" t="n"/>
      <c r="D493" s="617">
        <f>D492+C493-B493</f>
        <v/>
      </c>
      <c r="E493" s="618" t="n"/>
      <c r="F493" s="622" t="n"/>
      <c r="G493" s="620">
        <f>G492+F493-E493</f>
        <v/>
      </c>
      <c r="H493" s="61" t="n"/>
      <c r="I493" s="61" t="n"/>
      <c r="J493" t="inlineStr">
        <is>
          <t>投資</t>
        </is>
      </c>
      <c r="K493">
        <f>IF(J493="本金",C493+K492,K492)</f>
        <v/>
      </c>
      <c r="L493">
        <f>IF(J493="本金",F493+L492,L492)</f>
        <v/>
      </c>
    </row>
    <row r="494">
      <c r="A494" s="615" t="n"/>
      <c r="B494" s="616" t="n"/>
      <c r="C494" s="101" t="n"/>
      <c r="D494" s="617">
        <f>D493+C494-B494</f>
        <v/>
      </c>
      <c r="E494" s="618" t="n"/>
      <c r="F494" s="622" t="n"/>
      <c r="G494" s="620">
        <f>G493+F494-E494</f>
        <v/>
      </c>
      <c r="H494" s="61" t="n"/>
      <c r="I494" s="61" t="n"/>
      <c r="J494" t="inlineStr">
        <is>
          <t>投資</t>
        </is>
      </c>
      <c r="K494">
        <f>IF(J494="本金",C494+K493,K493)</f>
        <v/>
      </c>
      <c r="L494">
        <f>IF(J494="本金",F494+L493,L493)</f>
        <v/>
      </c>
    </row>
    <row r="495">
      <c r="A495" s="635" t="n"/>
      <c r="B495" s="636" t="n"/>
      <c r="C495" s="170" t="n"/>
      <c r="D495" s="637">
        <f>D494+C495-B495</f>
        <v/>
      </c>
      <c r="E495" s="638" t="n"/>
      <c r="F495" s="639" t="n"/>
      <c r="G495" s="640">
        <f>G494+F495-E495</f>
        <v/>
      </c>
      <c r="H495" s="173" t="n"/>
      <c r="I495" s="173" t="n"/>
      <c r="J495" t="inlineStr">
        <is>
          <t>投資</t>
        </is>
      </c>
      <c r="K495">
        <f>IF(J495="本金",C495+K494,K494)</f>
        <v/>
      </c>
      <c r="L495">
        <f>IF(J495="本金",F495+L494,L494)</f>
        <v/>
      </c>
    </row>
    <row r="496">
      <c r="A496" s="615" t="n"/>
      <c r="B496" s="616" t="n"/>
      <c r="C496" s="101" t="n"/>
      <c r="D496" s="617">
        <f>D495+C496-B496</f>
        <v/>
      </c>
      <c r="E496" s="618" t="n"/>
      <c r="F496" s="622" t="n"/>
      <c r="G496" s="620">
        <f>G495+F496-E496</f>
        <v/>
      </c>
      <c r="H496" s="61" t="n"/>
      <c r="I496" s="61" t="n"/>
      <c r="J496" t="inlineStr">
        <is>
          <t>投資</t>
        </is>
      </c>
      <c r="K496">
        <f>IF(J496="本金",C496+K495,K495)</f>
        <v/>
      </c>
      <c r="L496">
        <f>IF(J496="本金",F496+L495,L495)</f>
        <v/>
      </c>
    </row>
    <row r="497">
      <c r="A497" s="623" t="n"/>
      <c r="B497" s="624" t="n"/>
      <c r="C497" s="111" t="n"/>
      <c r="D497" s="625">
        <f>D496+C497-B497</f>
        <v/>
      </c>
      <c r="E497" s="626" t="n"/>
      <c r="F497" s="627" t="n"/>
      <c r="G497" s="628">
        <f>G496+F497-E497</f>
        <v/>
      </c>
      <c r="H497" s="114" t="n"/>
      <c r="I497" s="114" t="n"/>
      <c r="J497" t="inlineStr">
        <is>
          <t>投資</t>
        </is>
      </c>
      <c r="K497">
        <f>IF(J497="本金",C497+K496,K496)</f>
        <v/>
      </c>
      <c r="L497">
        <f>IF(J497="本金",F497+L496,L496)</f>
        <v/>
      </c>
    </row>
    <row r="498">
      <c r="A498" s="615" t="n"/>
      <c r="B498" s="616" t="n"/>
      <c r="C498" s="101" t="n"/>
      <c r="D498" s="617">
        <f>D497+C498-B498</f>
        <v/>
      </c>
      <c r="E498" s="618" t="n"/>
      <c r="F498" s="622" t="n"/>
      <c r="G498" s="620">
        <f>G497+F498-E498</f>
        <v/>
      </c>
      <c r="H498" s="61" t="n"/>
      <c r="I498" s="61" t="n"/>
      <c r="J498" t="inlineStr">
        <is>
          <t>投資</t>
        </is>
      </c>
      <c r="K498">
        <f>IF(J498="本金",C498+K497,K497)</f>
        <v/>
      </c>
      <c r="L498">
        <f>IF(J498="本金",F498+L497,L497)</f>
        <v/>
      </c>
    </row>
    <row r="499">
      <c r="A499" s="615" t="n"/>
      <c r="B499" s="616" t="n"/>
      <c r="C499" s="101" t="n"/>
      <c r="D499" s="617">
        <f>D498+C499-B499</f>
        <v/>
      </c>
      <c r="E499" s="618" t="n"/>
      <c r="F499" s="622" t="n"/>
      <c r="G499" s="620">
        <f>G498+F499-E499</f>
        <v/>
      </c>
      <c r="H499" s="61" t="n"/>
      <c r="I499" s="61" t="n"/>
      <c r="J499" t="inlineStr">
        <is>
          <t>投資</t>
        </is>
      </c>
      <c r="K499">
        <f>IF(J499="本金",C499+K498,K498)</f>
        <v/>
      </c>
      <c r="L499">
        <f>IF(J499="本金",F499+L498,L498)</f>
        <v/>
      </c>
    </row>
    <row r="500">
      <c r="A500" s="615" t="n"/>
      <c r="B500" s="616" t="n"/>
      <c r="C500" s="101" t="n"/>
      <c r="D500" s="617">
        <f>D499+C500-B500</f>
        <v/>
      </c>
      <c r="E500" s="618" t="n"/>
      <c r="F500" s="622" t="n"/>
      <c r="G500" s="620">
        <f>G499+F500-E500</f>
        <v/>
      </c>
      <c r="H500" s="61" t="n"/>
      <c r="I500" s="61" t="n"/>
      <c r="J500" t="inlineStr">
        <is>
          <t>投資</t>
        </is>
      </c>
      <c r="K500">
        <f>IF(J500="本金",C500+K499,K499)</f>
        <v/>
      </c>
      <c r="L500">
        <f>IF(J500="本金",F500+L499,L499)</f>
        <v/>
      </c>
    </row>
    <row r="501">
      <c r="A501" s="615" t="n"/>
      <c r="B501" s="616" t="n"/>
      <c r="C501" s="101" t="n"/>
      <c r="D501" s="617">
        <f>D500+C501-B501</f>
        <v/>
      </c>
      <c r="E501" s="618" t="n"/>
      <c r="F501" s="622" t="n"/>
      <c r="G501" s="620">
        <f>G500+F501-E501</f>
        <v/>
      </c>
      <c r="H501" s="61" t="n"/>
      <c r="I501" s="61" t="n"/>
      <c r="J501" t="inlineStr">
        <is>
          <t>投資</t>
        </is>
      </c>
      <c r="K501">
        <f>IF(J501="本金",C501+K500,K500)</f>
        <v/>
      </c>
      <c r="L501">
        <f>IF(J501="本金",F501+L500,L500)</f>
        <v/>
      </c>
    </row>
    <row r="502">
      <c r="A502" s="615" t="n"/>
      <c r="B502" s="616" t="n"/>
      <c r="C502" s="101" t="n"/>
      <c r="D502" s="617">
        <f>D501+C502-B502</f>
        <v/>
      </c>
      <c r="E502" s="618" t="n"/>
      <c r="F502" s="622" t="n"/>
      <c r="G502" s="620">
        <f>G501+F502-E502</f>
        <v/>
      </c>
      <c r="H502" s="61" t="n"/>
      <c r="I502" s="61" t="n"/>
      <c r="J502" t="inlineStr">
        <is>
          <t>投資</t>
        </is>
      </c>
      <c r="K502">
        <f>IF(J502="本金",C502+K501,K501)</f>
        <v/>
      </c>
      <c r="L502">
        <f>IF(J502="本金",F502+L501,L501)</f>
        <v/>
      </c>
    </row>
    <row r="503">
      <c r="A503" s="635" t="n"/>
      <c r="B503" s="636" t="n"/>
      <c r="C503" s="170" t="n"/>
      <c r="D503" s="637">
        <f>D502+C503-B503</f>
        <v/>
      </c>
      <c r="E503" s="638" t="n"/>
      <c r="F503" s="639" t="n"/>
      <c r="G503" s="640">
        <f>G502+F503-E503</f>
        <v/>
      </c>
      <c r="H503" s="173" t="n"/>
      <c r="I503" s="173" t="n"/>
      <c r="J503" t="inlineStr">
        <is>
          <t>投資</t>
        </is>
      </c>
      <c r="K503">
        <f>IF(J503="本金",C503+K502,K502)</f>
        <v/>
      </c>
      <c r="L503">
        <f>IF(J503="本金",F503+L502,L502)</f>
        <v/>
      </c>
    </row>
    <row r="504">
      <c r="A504" s="615" t="n"/>
      <c r="B504" s="616" t="n"/>
      <c r="C504" s="101" t="n"/>
      <c r="D504" s="617">
        <f>D503+C504-B504</f>
        <v/>
      </c>
      <c r="E504" s="618" t="n"/>
      <c r="F504" s="622" t="n"/>
      <c r="G504" s="620">
        <f>G503+F504-E504</f>
        <v/>
      </c>
      <c r="H504" s="61" t="n"/>
      <c r="I504" s="61" t="n"/>
      <c r="J504" t="inlineStr">
        <is>
          <t>投資</t>
        </is>
      </c>
      <c r="K504">
        <f>IF(J504="本金",C504+K503,K503)</f>
        <v/>
      </c>
      <c r="L504">
        <f>IF(J504="本金",F504+L503,L503)</f>
        <v/>
      </c>
    </row>
    <row r="505">
      <c r="A505" s="615" t="n"/>
      <c r="B505" s="616" t="n"/>
      <c r="C505" s="101" t="n"/>
      <c r="D505" s="617">
        <f>D504+C505-B505</f>
        <v/>
      </c>
      <c r="E505" s="618" t="n"/>
      <c r="F505" s="622" t="n"/>
      <c r="G505" s="620">
        <f>G504+F505-E505</f>
        <v/>
      </c>
      <c r="H505" s="61" t="n"/>
      <c r="I505" s="61" t="n"/>
      <c r="J505" t="inlineStr">
        <is>
          <t>投資</t>
        </is>
      </c>
      <c r="K505">
        <f>IF(J505="本金",C505+K504,K504)</f>
        <v/>
      </c>
      <c r="L505">
        <f>IF(J505="本金",F505+L504,L504)</f>
        <v/>
      </c>
    </row>
    <row r="506">
      <c r="A506" s="623" t="n"/>
      <c r="B506" s="624" t="n"/>
      <c r="C506" s="111" t="n"/>
      <c r="D506" s="625">
        <f>D505+C506-B506</f>
        <v/>
      </c>
      <c r="E506" s="626" t="n"/>
      <c r="F506" s="627" t="n"/>
      <c r="G506" s="628">
        <f>G505+F506-E506</f>
        <v/>
      </c>
      <c r="H506" s="114" t="n"/>
      <c r="I506" s="114" t="n"/>
      <c r="J506" t="inlineStr">
        <is>
          <t>投資</t>
        </is>
      </c>
      <c r="K506">
        <f>IF(J506="本金",C506+K505,K505)</f>
        <v/>
      </c>
      <c r="L506">
        <f>IF(J506="本金",F506+L505,L505)</f>
        <v/>
      </c>
    </row>
    <row r="507">
      <c r="A507" s="615" t="n"/>
      <c r="B507" s="616" t="n"/>
      <c r="C507" s="101" t="n"/>
      <c r="D507" s="617">
        <f>D506+C507-B507</f>
        <v/>
      </c>
      <c r="E507" s="618" t="n"/>
      <c r="F507" s="622" t="n"/>
      <c r="G507" s="620">
        <f>G506+F507-E507</f>
        <v/>
      </c>
      <c r="H507" s="61" t="n"/>
      <c r="I507" s="61" t="n"/>
      <c r="J507" t="inlineStr">
        <is>
          <t>投資</t>
        </is>
      </c>
      <c r="K507">
        <f>IF(J507="本金",C507+K506,K506)</f>
        <v/>
      </c>
      <c r="L507">
        <f>IF(J507="本金",F507+L506,L506)</f>
        <v/>
      </c>
    </row>
    <row r="508">
      <c r="A508" s="615" t="n"/>
      <c r="B508" s="616" t="n"/>
      <c r="C508" s="101" t="n"/>
      <c r="D508" s="617">
        <f>D507+C508-B508</f>
        <v/>
      </c>
      <c r="E508" s="618" t="n"/>
      <c r="F508" s="622" t="n"/>
      <c r="G508" s="620">
        <f>G507+F508-E508</f>
        <v/>
      </c>
      <c r="H508" s="61" t="n"/>
      <c r="I508" s="61" t="n"/>
      <c r="J508" t="inlineStr">
        <is>
          <t>投資</t>
        </is>
      </c>
      <c r="K508">
        <f>IF(J508="本金",C508+K507,K507)</f>
        <v/>
      </c>
      <c r="L508">
        <f>IF(J508="本金",F508+L507,L507)</f>
        <v/>
      </c>
    </row>
    <row r="509">
      <c r="A509" s="615" t="n"/>
      <c r="B509" s="616" t="n"/>
      <c r="C509" s="101" t="n"/>
      <c r="D509" s="617">
        <f>D508+C509-B509</f>
        <v/>
      </c>
      <c r="E509" s="618" t="n"/>
      <c r="F509" s="622" t="n"/>
      <c r="G509" s="620">
        <f>G508+F509-E509</f>
        <v/>
      </c>
      <c r="H509" s="61" t="n"/>
      <c r="I509" s="61" t="n"/>
      <c r="J509" t="inlineStr">
        <is>
          <t>投資</t>
        </is>
      </c>
      <c r="K509">
        <f>IF(J509="本金",C509+K508,K508)</f>
        <v/>
      </c>
      <c r="L509">
        <f>IF(J509="本金",F509+L508,L508)</f>
        <v/>
      </c>
    </row>
    <row r="510">
      <c r="A510" s="615" t="n"/>
      <c r="B510" s="616" t="n"/>
      <c r="C510" s="101" t="n"/>
      <c r="D510" s="617">
        <f>D509+C510-B510</f>
        <v/>
      </c>
      <c r="E510" s="618" t="n"/>
      <c r="F510" s="622" t="n"/>
      <c r="G510" s="620">
        <f>G509+F510-E510</f>
        <v/>
      </c>
      <c r="H510" s="61" t="n"/>
      <c r="I510" s="61" t="n"/>
      <c r="J510" t="inlineStr">
        <is>
          <t>投資</t>
        </is>
      </c>
      <c r="K510">
        <f>IF(J510="本金",C510+K509,K509)</f>
        <v/>
      </c>
      <c r="L510">
        <f>IF(J510="本金",F510+L509,L509)</f>
        <v/>
      </c>
    </row>
    <row r="511">
      <c r="A511" s="615" t="n"/>
      <c r="B511" s="616" t="n"/>
      <c r="C511" s="101" t="n"/>
      <c r="D511" s="617">
        <f>D510+C511-B511</f>
        <v/>
      </c>
      <c r="E511" s="618" t="n"/>
      <c r="F511" s="622" t="n"/>
      <c r="G511" s="620">
        <f>G510+F511-E511</f>
        <v/>
      </c>
      <c r="H511" s="61" t="n"/>
      <c r="I511" s="61" t="n"/>
      <c r="J511" t="inlineStr">
        <is>
          <t>投資</t>
        </is>
      </c>
      <c r="K511">
        <f>IF(J511="本金",C511+K510,K510)</f>
        <v/>
      </c>
      <c r="L511">
        <f>IF(J511="本金",F511+L510,L510)</f>
        <v/>
      </c>
    </row>
    <row r="512">
      <c r="A512" s="615" t="n"/>
      <c r="B512" s="616" t="n"/>
      <c r="C512" s="101" t="n"/>
      <c r="D512" s="617">
        <f>D511+C512-B512</f>
        <v/>
      </c>
      <c r="E512" s="618" t="n"/>
      <c r="F512" s="622" t="n"/>
      <c r="G512" s="620">
        <f>G511+F512-E512</f>
        <v/>
      </c>
      <c r="H512" s="61" t="n"/>
      <c r="I512" s="61" t="n"/>
      <c r="J512" t="inlineStr">
        <is>
          <t>投資</t>
        </is>
      </c>
      <c r="K512">
        <f>IF(J512="本金",C512+K511,K511)</f>
        <v/>
      </c>
      <c r="L512">
        <f>IF(J512="本金",F512+L511,L511)</f>
        <v/>
      </c>
    </row>
    <row r="513">
      <c r="A513" s="615" t="n"/>
      <c r="B513" s="616" t="n"/>
      <c r="C513" s="101" t="n"/>
      <c r="D513" s="617">
        <f>D512+C513-B513</f>
        <v/>
      </c>
      <c r="E513" s="618" t="n"/>
      <c r="F513" s="622" t="n"/>
      <c r="G513" s="620">
        <f>G512+F513-E513</f>
        <v/>
      </c>
      <c r="H513" s="61" t="n"/>
      <c r="I513" s="61" t="n"/>
      <c r="J513" t="inlineStr">
        <is>
          <t>投資</t>
        </is>
      </c>
      <c r="K513">
        <f>IF(J513="本金",C513+K512,K512)</f>
        <v/>
      </c>
      <c r="L513">
        <f>IF(J513="本金",F513+L512,L512)</f>
        <v/>
      </c>
    </row>
    <row r="514">
      <c r="A514" s="635" t="n"/>
      <c r="B514" s="636" t="n"/>
      <c r="C514" s="170" t="n"/>
      <c r="D514" s="637">
        <f>D513+C514-B514</f>
        <v/>
      </c>
      <c r="E514" s="638" t="n"/>
      <c r="F514" s="639" t="n"/>
      <c r="G514" s="640">
        <f>G513+F514-E514</f>
        <v/>
      </c>
      <c r="H514" s="173" t="n"/>
      <c r="I514" s="173" t="n"/>
      <c r="J514" t="inlineStr">
        <is>
          <t>投資</t>
        </is>
      </c>
      <c r="K514">
        <f>IF(J514="本金",C514+K513,K513)</f>
        <v/>
      </c>
      <c r="L514">
        <f>IF(J514="本金",F514+L513,L513)</f>
        <v/>
      </c>
    </row>
    <row r="515">
      <c r="A515" s="635" t="n"/>
      <c r="B515" s="636" t="n"/>
      <c r="C515" s="170" t="n"/>
      <c r="D515" s="637">
        <f>D514+C515-B515</f>
        <v/>
      </c>
      <c r="E515" s="638" t="n"/>
      <c r="F515" s="639" t="n"/>
      <c r="G515" s="640">
        <f>G514+F515-E515</f>
        <v/>
      </c>
      <c r="H515" s="173" t="n"/>
      <c r="I515" s="173" t="n"/>
      <c r="J515" t="inlineStr">
        <is>
          <t>投資</t>
        </is>
      </c>
      <c r="K515">
        <f>IF(J515="本金",C515+K514,K514)</f>
        <v/>
      </c>
      <c r="L515">
        <f>IF(J515="本金",F515+L514,L514)</f>
        <v/>
      </c>
    </row>
    <row r="516">
      <c r="A516" s="635" t="n"/>
      <c r="B516" s="636" t="n"/>
      <c r="C516" s="170" t="n"/>
      <c r="D516" s="637">
        <f>D515+C516-B516</f>
        <v/>
      </c>
      <c r="E516" s="638" t="n"/>
      <c r="F516" s="639" t="n"/>
      <c r="G516" s="640">
        <f>G515+F516-E516</f>
        <v/>
      </c>
      <c r="H516" s="173" t="n"/>
      <c r="I516" s="173" t="n"/>
      <c r="J516" t="inlineStr">
        <is>
          <t>投資</t>
        </is>
      </c>
      <c r="K516">
        <f>IF(J516="本金",C516+K515,K515)</f>
        <v/>
      </c>
      <c r="L516">
        <f>IF(J516="本金",F516+L515,L515)</f>
        <v/>
      </c>
    </row>
    <row r="517">
      <c r="A517" s="635" t="n"/>
      <c r="B517" s="636" t="n"/>
      <c r="C517" s="170" t="n"/>
      <c r="D517" s="637">
        <f>D516+C517-B517</f>
        <v/>
      </c>
      <c r="E517" s="638" t="n"/>
      <c r="F517" s="639" t="n"/>
      <c r="G517" s="640">
        <f>G516+F517-E517</f>
        <v/>
      </c>
      <c r="H517" s="173" t="n"/>
      <c r="I517" s="173" t="n"/>
      <c r="J517" t="inlineStr">
        <is>
          <t>投資</t>
        </is>
      </c>
      <c r="K517">
        <f>IF(J517="本金",C517+K516,K516)</f>
        <v/>
      </c>
      <c r="L517">
        <f>IF(J517="本金",F517+L516,L516)</f>
        <v/>
      </c>
    </row>
    <row r="518">
      <c r="A518" s="623" t="n"/>
      <c r="B518" s="624" t="n"/>
      <c r="C518" s="111" t="n"/>
      <c r="D518" s="625">
        <f>D517+C518-B518</f>
        <v/>
      </c>
      <c r="E518" s="626" t="n"/>
      <c r="F518" s="627" t="n"/>
      <c r="G518" s="628">
        <f>G517+F518-E518</f>
        <v/>
      </c>
      <c r="H518" s="114" t="n"/>
      <c r="I518" s="114" t="n"/>
      <c r="J518" t="inlineStr">
        <is>
          <t>投資</t>
        </is>
      </c>
      <c r="K518">
        <f>IF(J518="本金",C518+K517,K517)</f>
        <v/>
      </c>
      <c r="L518">
        <f>IF(J518="本金",F518+L517,L517)</f>
        <v/>
      </c>
    </row>
    <row r="519">
      <c r="A519" s="615" t="n"/>
      <c r="B519" s="616" t="n"/>
      <c r="C519" s="101" t="n"/>
      <c r="D519" s="617">
        <f>D518+C519-B519</f>
        <v/>
      </c>
      <c r="E519" s="618" t="n"/>
      <c r="F519" s="622" t="n"/>
      <c r="G519" s="620">
        <f>G518+F519-E519</f>
        <v/>
      </c>
      <c r="H519" s="61" t="n"/>
      <c r="I519" s="61" t="n"/>
      <c r="J519" t="inlineStr">
        <is>
          <t>投資</t>
        </is>
      </c>
      <c r="K519">
        <f>IF(J519="本金",C519+K518,K518)</f>
        <v/>
      </c>
      <c r="L519">
        <f>IF(J519="本金",F519+L518,L518)</f>
        <v/>
      </c>
    </row>
    <row r="520">
      <c r="A520" s="615" t="n"/>
      <c r="B520" s="616" t="n"/>
      <c r="C520" s="101" t="n"/>
      <c r="D520" s="617">
        <f>D519+C520-B520</f>
        <v/>
      </c>
      <c r="E520" s="618" t="n"/>
      <c r="F520" s="622" t="n"/>
      <c r="G520" s="620">
        <f>G519+F520-E520</f>
        <v/>
      </c>
      <c r="H520" s="61" t="n"/>
      <c r="I520" s="61" t="n"/>
      <c r="J520" t="inlineStr">
        <is>
          <t>投資</t>
        </is>
      </c>
      <c r="K520">
        <f>IF(J520="本金",C520+K519,K519)</f>
        <v/>
      </c>
      <c r="L520">
        <f>IF(J520="本金",F520+L519,L519)</f>
        <v/>
      </c>
    </row>
    <row r="521">
      <c r="A521" s="615" t="n"/>
      <c r="B521" s="616" t="n"/>
      <c r="C521" s="101" t="n"/>
      <c r="D521" s="617">
        <f>D520+C521-B521</f>
        <v/>
      </c>
      <c r="E521" s="618" t="n"/>
      <c r="F521" s="622" t="n"/>
      <c r="G521" s="620">
        <f>G520+F521-E521</f>
        <v/>
      </c>
      <c r="H521" s="61" t="n"/>
      <c r="I521" s="61" t="n"/>
      <c r="J521" t="inlineStr">
        <is>
          <t>投資</t>
        </is>
      </c>
      <c r="K521">
        <f>IF(J521="本金",C521+K520,K520)</f>
        <v/>
      </c>
      <c r="L521">
        <f>IF(J521="本金",F521+L520,L520)</f>
        <v/>
      </c>
    </row>
    <row r="522">
      <c r="A522" s="635" t="n"/>
      <c r="B522" s="636" t="n"/>
      <c r="C522" s="170" t="n"/>
      <c r="D522" s="637">
        <f>D521+C522-B522</f>
        <v/>
      </c>
      <c r="E522" s="638" t="n"/>
      <c r="F522" s="639" t="n"/>
      <c r="G522" s="640">
        <f>G521+F522-E522</f>
        <v/>
      </c>
      <c r="H522" s="173" t="n"/>
      <c r="I522" s="173" t="n"/>
      <c r="J522" t="inlineStr">
        <is>
          <t>投資</t>
        </is>
      </c>
      <c r="K522">
        <f>IF(J522="本金",C522+K521,K521)</f>
        <v/>
      </c>
      <c r="L522">
        <f>IF(J522="本金",F522+L521,L521)</f>
        <v/>
      </c>
    </row>
    <row r="523">
      <c r="A523" s="635" t="n"/>
      <c r="B523" s="636" t="n"/>
      <c r="C523" s="170" t="n"/>
      <c r="D523" s="637">
        <f>D522+C523-B523</f>
        <v/>
      </c>
      <c r="E523" s="638" t="n"/>
      <c r="F523" s="639" t="n"/>
      <c r="G523" s="640">
        <f>G522+F523-E523</f>
        <v/>
      </c>
      <c r="H523" s="173" t="n"/>
      <c r="I523" s="173" t="n"/>
      <c r="J523" t="inlineStr">
        <is>
          <t>投資</t>
        </is>
      </c>
      <c r="K523">
        <f>IF(J523="本金",C523+K522,K522)</f>
        <v/>
      </c>
      <c r="L523">
        <f>IF(J523="本金",F523+L522,L522)</f>
        <v/>
      </c>
    </row>
    <row r="524">
      <c r="A524" s="615" t="n"/>
      <c r="B524" s="616" t="n"/>
      <c r="C524" s="101" t="n"/>
      <c r="D524" s="617">
        <f>D523+C524-B524</f>
        <v/>
      </c>
      <c r="E524" s="618" t="n"/>
      <c r="F524" s="622" t="n"/>
      <c r="G524" s="620">
        <f>G523+F524-E524</f>
        <v/>
      </c>
      <c r="H524" s="61" t="n"/>
      <c r="I524" s="61" t="n"/>
      <c r="J524" t="inlineStr">
        <is>
          <t>投資</t>
        </is>
      </c>
      <c r="K524">
        <f>IF(J524="本金",C524+K523,K523)</f>
        <v/>
      </c>
      <c r="L524">
        <f>IF(J524="本金",F524+L523,L523)</f>
        <v/>
      </c>
    </row>
    <row r="525">
      <c r="A525" s="635" t="n"/>
      <c r="B525" s="636" t="n"/>
      <c r="C525" s="170" t="n"/>
      <c r="D525" s="637">
        <f>D524+C525-B525</f>
        <v/>
      </c>
      <c r="E525" s="638" t="n"/>
      <c r="F525" s="639" t="n"/>
      <c r="G525" s="640">
        <f>G524+F525-E525</f>
        <v/>
      </c>
      <c r="H525" s="173" t="n"/>
      <c r="I525" s="173" t="n"/>
      <c r="J525" t="inlineStr">
        <is>
          <t>投資</t>
        </is>
      </c>
      <c r="K525">
        <f>IF(J525="本金",C525+K524,K524)</f>
        <v/>
      </c>
      <c r="L525">
        <f>IF(J525="本金",F525+L524,L524)</f>
        <v/>
      </c>
    </row>
    <row r="526">
      <c r="A526" s="615" t="n"/>
      <c r="B526" s="616" t="n"/>
      <c r="C526" s="101" t="n"/>
      <c r="D526" s="617">
        <f>D525+C526-B526</f>
        <v/>
      </c>
      <c r="E526" s="618" t="n"/>
      <c r="F526" s="622" t="n"/>
      <c r="G526" s="620">
        <f>G525+F526-E526</f>
        <v/>
      </c>
      <c r="H526" s="61" t="n"/>
      <c r="I526" s="61" t="n"/>
      <c r="J526" t="inlineStr">
        <is>
          <t>投資</t>
        </is>
      </c>
      <c r="K526">
        <f>IF(J526="本金",C526+K525,K525)</f>
        <v/>
      </c>
      <c r="L526">
        <f>IF(J526="本金",F526+L525,L525)</f>
        <v/>
      </c>
    </row>
    <row r="527">
      <c r="A527" s="615" t="n"/>
      <c r="B527" s="616" t="n"/>
      <c r="C527" s="101" t="n"/>
      <c r="D527" s="617">
        <f>D526+C527-B527</f>
        <v/>
      </c>
      <c r="E527" s="618" t="n"/>
      <c r="F527" s="622" t="n"/>
      <c r="G527" s="620">
        <f>G526+F527-E527</f>
        <v/>
      </c>
      <c r="H527" s="61" t="n"/>
      <c r="I527" s="61" t="n"/>
      <c r="J527" t="inlineStr">
        <is>
          <t>投資</t>
        </is>
      </c>
      <c r="K527">
        <f>IF(J527="本金",C527+K526,K526)</f>
        <v/>
      </c>
      <c r="L527">
        <f>IF(J527="本金",F527+L526,L526)</f>
        <v/>
      </c>
    </row>
    <row r="528">
      <c r="A528" s="615" t="n"/>
      <c r="B528" s="616" t="n"/>
      <c r="C528" s="101" t="n"/>
      <c r="D528" s="617">
        <f>D527+C528-B528</f>
        <v/>
      </c>
      <c r="E528" s="618" t="n"/>
      <c r="F528" s="622" t="n"/>
      <c r="G528" s="620">
        <f>G527+F528-E528</f>
        <v/>
      </c>
      <c r="H528" s="61" t="n"/>
      <c r="I528" s="179" t="n"/>
      <c r="J528" t="inlineStr">
        <is>
          <t>本金</t>
        </is>
      </c>
      <c r="K528">
        <f>IF(J528="本金",C528+K527,K527)</f>
        <v/>
      </c>
      <c r="L528">
        <f>IF(J528="本金",F528+L527,L527)</f>
        <v/>
      </c>
    </row>
    <row r="529">
      <c r="A529" s="615" t="n"/>
      <c r="B529" s="616" t="n"/>
      <c r="C529" s="101" t="n"/>
      <c r="D529" s="617">
        <f>D528+C529-B529</f>
        <v/>
      </c>
      <c r="E529" s="618" t="n"/>
      <c r="F529" s="622" t="n"/>
      <c r="G529" s="620">
        <f>G528+F529-E529</f>
        <v/>
      </c>
      <c r="H529" s="61" t="n"/>
      <c r="I529" s="179" t="n"/>
      <c r="J529" t="inlineStr">
        <is>
          <t>投資</t>
        </is>
      </c>
      <c r="K529">
        <f>IF(J529="本金",C529+K528,K528)</f>
        <v/>
      </c>
      <c r="L529">
        <f>IF(J529="本金",F529+L528,L528)</f>
        <v/>
      </c>
    </row>
    <row r="530">
      <c r="A530" s="615" t="n"/>
      <c r="B530" s="616" t="n"/>
      <c r="C530" s="101" t="n"/>
      <c r="D530" s="617">
        <f>D529+C530-B530</f>
        <v/>
      </c>
      <c r="E530" s="618" t="n"/>
      <c r="F530" s="622" t="n"/>
      <c r="G530" s="620">
        <f>G529+F530-E530</f>
        <v/>
      </c>
      <c r="H530" s="61" t="n"/>
      <c r="I530" s="61" t="n"/>
      <c r="J530" t="inlineStr">
        <is>
          <t>投資</t>
        </is>
      </c>
      <c r="K530">
        <f>IF(J530="本金",C530+K529,K529)</f>
        <v/>
      </c>
      <c r="L530">
        <f>IF(J530="本金",F530+L529,L529)</f>
        <v/>
      </c>
    </row>
    <row r="531">
      <c r="A531" s="615" t="n"/>
      <c r="B531" s="616" t="n"/>
      <c r="C531" s="101" t="n"/>
      <c r="D531" s="617">
        <f>D530+C531-B531</f>
        <v/>
      </c>
      <c r="E531" s="618" t="n"/>
      <c r="F531" s="622" t="n"/>
      <c r="G531" s="620">
        <f>G530+F531-E531</f>
        <v/>
      </c>
      <c r="H531" s="61" t="n"/>
      <c r="I531" s="179" t="n"/>
      <c r="J531" t="inlineStr">
        <is>
          <t>本金</t>
        </is>
      </c>
      <c r="K531">
        <f>IF(J531="本金",C531+K530,K530)</f>
        <v/>
      </c>
      <c r="L531">
        <f>IF(J531="本金",F531+L530,L530)</f>
        <v/>
      </c>
    </row>
    <row r="532">
      <c r="A532" s="615" t="n"/>
      <c r="B532" s="616" t="n"/>
      <c r="C532" s="101" t="n"/>
      <c r="D532" s="617">
        <f>D531+C532-B532</f>
        <v/>
      </c>
      <c r="E532" s="618" t="n"/>
      <c r="F532" s="622" t="n"/>
      <c r="G532" s="620">
        <f>G531+F532-E532</f>
        <v/>
      </c>
      <c r="I532" s="61" t="n"/>
      <c r="J532" t="inlineStr">
        <is>
          <t>投資</t>
        </is>
      </c>
      <c r="K532">
        <f>IF(J532="本金",C532+K531,K531)</f>
        <v/>
      </c>
      <c r="L532">
        <f>IF(J532="本金",F532+L531,L531)</f>
        <v/>
      </c>
    </row>
    <row r="533">
      <c r="A533" s="635" t="n"/>
      <c r="B533" s="636" t="n"/>
      <c r="C533" s="170" t="n"/>
      <c r="D533" s="637">
        <f>D532+C533-B533</f>
        <v/>
      </c>
      <c r="E533" s="638" t="n"/>
      <c r="F533" s="639" t="n"/>
      <c r="G533" s="640">
        <f>G532+F533-E533</f>
        <v/>
      </c>
      <c r="H533" s="173" t="n"/>
      <c r="I533" s="173" t="n"/>
      <c r="J533" t="inlineStr">
        <is>
          <t>投資</t>
        </is>
      </c>
      <c r="K533">
        <f>IF(J533="本金",C533+K532,K532)</f>
        <v/>
      </c>
      <c r="L533">
        <f>IF(J533="本金",F533+L532,L532)</f>
        <v/>
      </c>
    </row>
    <row r="534">
      <c r="A534" s="615" t="n"/>
      <c r="B534" s="616" t="n"/>
      <c r="C534" s="101" t="n"/>
      <c r="D534" s="617">
        <f>D533+C534-B534</f>
        <v/>
      </c>
      <c r="E534" s="618" t="n"/>
      <c r="F534" s="622" t="n"/>
      <c r="G534" s="620">
        <f>G533+F534-E534</f>
        <v/>
      </c>
      <c r="J534" t="inlineStr">
        <is>
          <t>投資</t>
        </is>
      </c>
      <c r="K534">
        <f>IF(J534="本金",C534+K533,K533)</f>
        <v/>
      </c>
      <c r="L534">
        <f>IF(J534="本金",F534+L533,L533)</f>
        <v/>
      </c>
    </row>
    <row r="535">
      <c r="A535" s="635" t="n"/>
      <c r="B535" s="636" t="n"/>
      <c r="C535" s="170" t="n"/>
      <c r="D535" s="637">
        <f>D534+C535-B535</f>
        <v/>
      </c>
      <c r="E535" s="638" t="n"/>
      <c r="F535" s="639" t="n"/>
      <c r="G535" s="640">
        <f>G534+F535-E535</f>
        <v/>
      </c>
      <c r="H535" s="173" t="n"/>
      <c r="I535" s="173" t="n"/>
      <c r="J535" t="inlineStr">
        <is>
          <t>投資</t>
        </is>
      </c>
      <c r="K535">
        <f>IF(J535="本金",C535+K534,K534)</f>
        <v/>
      </c>
      <c r="L535">
        <f>IF(J535="本金",F535+L534,L534)</f>
        <v/>
      </c>
    </row>
    <row r="536">
      <c r="A536" s="615" t="n"/>
      <c r="B536" s="616" t="n"/>
      <c r="C536" s="101" t="n"/>
      <c r="D536" s="617">
        <f>D535+C536-B536</f>
        <v/>
      </c>
      <c r="E536" s="618" t="n"/>
      <c r="F536" s="622" t="n"/>
      <c r="G536" s="620">
        <f>G535+F536-E536</f>
        <v/>
      </c>
      <c r="J536" t="inlineStr">
        <is>
          <t>投資</t>
        </is>
      </c>
      <c r="K536">
        <f>IF(J536="本金",C536+K535,K535)</f>
        <v/>
      </c>
      <c r="L536">
        <f>IF(J536="本金",F536+L535,L535)</f>
        <v/>
      </c>
    </row>
    <row r="537">
      <c r="A537" s="635" t="n"/>
      <c r="B537" s="636" t="n"/>
      <c r="C537" s="170" t="n"/>
      <c r="D537" s="637">
        <f>D536+C537-B537</f>
        <v/>
      </c>
      <c r="E537" s="638" t="n"/>
      <c r="F537" s="639" t="n"/>
      <c r="G537" s="640">
        <f>G536+F537-E537</f>
        <v/>
      </c>
      <c r="H537" s="173" t="n"/>
      <c r="I537" s="173" t="n"/>
      <c r="J537" t="inlineStr">
        <is>
          <t>投資</t>
        </is>
      </c>
      <c r="K537">
        <f>IF(J537="本金",C537+K536,K536)</f>
        <v/>
      </c>
      <c r="L537">
        <f>IF(J537="本金",F537+L536,L536)</f>
        <v/>
      </c>
    </row>
    <row r="538">
      <c r="A538" s="635" t="n"/>
      <c r="B538" s="636" t="n"/>
      <c r="C538" s="170" t="n"/>
      <c r="D538" s="637">
        <f>D537+C538-B538</f>
        <v/>
      </c>
      <c r="E538" s="638" t="n"/>
      <c r="F538" s="639" t="n"/>
      <c r="G538" s="640">
        <f>G537+F538-E538</f>
        <v/>
      </c>
      <c r="H538" s="173" t="n"/>
      <c r="I538" s="173" t="n"/>
      <c r="J538" t="inlineStr">
        <is>
          <t>投資</t>
        </is>
      </c>
      <c r="K538">
        <f>IF(J538="本金",C538+K537,K537)</f>
        <v/>
      </c>
      <c r="L538">
        <f>IF(J538="本金",F538+L537,L537)</f>
        <v/>
      </c>
    </row>
    <row r="539">
      <c r="A539" s="615" t="n"/>
      <c r="B539" s="616" t="n"/>
      <c r="C539" s="101" t="n"/>
      <c r="D539" s="617">
        <f>D538+C539-B539</f>
        <v/>
      </c>
      <c r="E539" s="618" t="n"/>
      <c r="F539" s="622" t="n"/>
      <c r="G539" s="620">
        <f>G538+F539-E539</f>
        <v/>
      </c>
      <c r="J539" t="inlineStr">
        <is>
          <t>投資</t>
        </is>
      </c>
      <c r="K539">
        <f>IF(J539="本金",C539+K538,K538)</f>
        <v/>
      </c>
      <c r="L539">
        <f>IF(J539="本金",F539+L538,L538)</f>
        <v/>
      </c>
    </row>
    <row r="540">
      <c r="A540" s="635" t="n"/>
      <c r="B540" s="636" t="n"/>
      <c r="C540" s="170" t="n"/>
      <c r="D540" s="637">
        <f>D539+C540-B540</f>
        <v/>
      </c>
      <c r="E540" s="638" t="n"/>
      <c r="F540" s="639" t="n"/>
      <c r="G540" s="640">
        <f>G539+F540-E540</f>
        <v/>
      </c>
      <c r="H540" s="173" t="n"/>
      <c r="I540" s="173" t="n"/>
      <c r="J540" t="inlineStr">
        <is>
          <t>投資</t>
        </is>
      </c>
      <c r="K540">
        <f>IF(J540="本金",C540+K539,K539)</f>
        <v/>
      </c>
      <c r="L540">
        <f>IF(J540="本金",F540+L539,L539)</f>
        <v/>
      </c>
    </row>
    <row r="541">
      <c r="A541" s="635" t="n"/>
      <c r="B541" s="636" t="n"/>
      <c r="C541" s="170" t="n"/>
      <c r="D541" s="637">
        <f>D540+C541-B541</f>
        <v/>
      </c>
      <c r="E541" s="638" t="n"/>
      <c r="F541" s="639" t="n"/>
      <c r="G541" s="640">
        <f>G540+F541-E541</f>
        <v/>
      </c>
      <c r="H541" s="173" t="n"/>
      <c r="I541" s="173" t="n"/>
      <c r="J541" t="inlineStr">
        <is>
          <t>投資</t>
        </is>
      </c>
      <c r="K541">
        <f>IF(J541="本金",C541+K540,K540)</f>
        <v/>
      </c>
      <c r="L541">
        <f>IF(J541="本金",F541+L540,L540)</f>
        <v/>
      </c>
    </row>
    <row r="542">
      <c r="A542" s="623" t="n"/>
      <c r="B542" s="624" t="n"/>
      <c r="C542" s="111" t="n"/>
      <c r="D542" s="625">
        <f>D541+C542-B542</f>
        <v/>
      </c>
      <c r="E542" s="626" t="n"/>
      <c r="F542" s="627" t="n"/>
      <c r="G542" s="628">
        <f>G541+F542-E542</f>
        <v/>
      </c>
      <c r="H542" s="114" t="n"/>
      <c r="I542" s="114" t="n"/>
      <c r="J542" t="inlineStr">
        <is>
          <t>投資</t>
        </is>
      </c>
      <c r="K542">
        <f>IF(J542="本金",C542+K541,K541)</f>
        <v/>
      </c>
      <c r="L542">
        <f>IF(J542="本金",F542+L541,L541)</f>
        <v/>
      </c>
    </row>
    <row r="543">
      <c r="A543" s="615" t="n"/>
      <c r="B543" s="616" t="n"/>
      <c r="C543" s="101" t="n"/>
      <c r="D543" s="617">
        <f>D542+C543-B543</f>
        <v/>
      </c>
      <c r="E543" s="618" t="n"/>
      <c r="F543" s="622" t="n"/>
      <c r="G543" s="620">
        <f>G542+F543-E543</f>
        <v/>
      </c>
      <c r="J543" t="inlineStr">
        <is>
          <t>投資</t>
        </is>
      </c>
      <c r="K543">
        <f>IF(J543="本金",C543+K542,K542)</f>
        <v/>
      </c>
      <c r="L543">
        <f>IF(J543="本金",F543+L542,L542)</f>
        <v/>
      </c>
    </row>
    <row r="544">
      <c r="A544" s="635" t="n"/>
      <c r="B544" s="636" t="n"/>
      <c r="C544" s="170" t="n"/>
      <c r="D544" s="637">
        <f>D543+C544-B544</f>
        <v/>
      </c>
      <c r="E544" s="638" t="n"/>
      <c r="F544" s="639" t="n"/>
      <c r="G544" s="640">
        <f>G543+F544-E544</f>
        <v/>
      </c>
      <c r="H544" s="173" t="n"/>
      <c r="I544" s="173" t="n"/>
      <c r="J544" t="inlineStr">
        <is>
          <t>投資</t>
        </is>
      </c>
      <c r="K544">
        <f>IF(J544="本金",C544+K543,K543)</f>
        <v/>
      </c>
      <c r="L544">
        <f>IF(J544="本金",F544+L543,L543)</f>
        <v/>
      </c>
    </row>
    <row r="545">
      <c r="A545" s="635" t="n"/>
      <c r="B545" s="636" t="n"/>
      <c r="C545" s="170" t="n"/>
      <c r="D545" s="637">
        <f>D544+C545-B545</f>
        <v/>
      </c>
      <c r="E545" s="638" t="n"/>
      <c r="F545" s="639" t="n"/>
      <c r="G545" s="640">
        <f>G544+F545-E545</f>
        <v/>
      </c>
      <c r="H545" s="173" t="n"/>
      <c r="I545" s="173" t="n"/>
      <c r="J545" t="inlineStr">
        <is>
          <t>投資</t>
        </is>
      </c>
      <c r="K545">
        <f>IF(J545="本金",C545+K544,K544)</f>
        <v/>
      </c>
      <c r="L545">
        <f>IF(J545="本金",F545+L544,L544)</f>
        <v/>
      </c>
    </row>
    <row r="546">
      <c r="A546" s="623" t="n"/>
      <c r="B546" s="624" t="n"/>
      <c r="C546" s="111" t="n"/>
      <c r="D546" s="625">
        <f>D545+C546-B546</f>
        <v/>
      </c>
      <c r="E546" s="626" t="n"/>
      <c r="F546" s="627" t="n"/>
      <c r="G546" s="628">
        <f>G545+F546-E546</f>
        <v/>
      </c>
      <c r="H546" s="114" t="n"/>
      <c r="I546" s="114" t="n"/>
      <c r="J546" t="inlineStr">
        <is>
          <t>投資</t>
        </is>
      </c>
      <c r="K546">
        <f>IF(J546="本金",C546+K545,K545)</f>
        <v/>
      </c>
      <c r="L546">
        <f>IF(J546="本金",F546+L545,L545)</f>
        <v/>
      </c>
    </row>
    <row r="547">
      <c r="A547" s="615" t="n"/>
      <c r="B547" s="616" t="n"/>
      <c r="C547" s="101" t="n"/>
      <c r="D547" s="617">
        <f>D546+C547-B547</f>
        <v/>
      </c>
      <c r="E547" s="618" t="n"/>
      <c r="F547" s="622" t="n"/>
      <c r="G547" s="620">
        <f>G546+F547-E547</f>
        <v/>
      </c>
      <c r="J547" t="inlineStr">
        <is>
          <t>投資</t>
        </is>
      </c>
      <c r="K547">
        <f>IF(J547="本金",C547+K546,K546)</f>
        <v/>
      </c>
      <c r="L547">
        <f>IF(J547="本金",F547+L546,L546)</f>
        <v/>
      </c>
    </row>
    <row r="548">
      <c r="A548" s="635" t="n"/>
      <c r="B548" s="636" t="n"/>
      <c r="C548" s="170" t="n"/>
      <c r="D548" s="637">
        <f>D547+C548-B548</f>
        <v/>
      </c>
      <c r="E548" s="638" t="n"/>
      <c r="F548" s="639" t="n"/>
      <c r="G548" s="640">
        <f>G547+F548-E548</f>
        <v/>
      </c>
      <c r="H548" s="173" t="n"/>
      <c r="I548" s="173" t="n"/>
      <c r="J548" t="inlineStr">
        <is>
          <t>投資</t>
        </is>
      </c>
      <c r="K548">
        <f>IF(J548="本金",C548+K547,K547)</f>
        <v/>
      </c>
      <c r="L548">
        <f>IF(J548="本金",F548+L547,L547)</f>
        <v/>
      </c>
    </row>
    <row r="549">
      <c r="A549" s="615" t="n"/>
      <c r="B549" s="616" t="n"/>
      <c r="C549" s="101" t="n"/>
      <c r="D549" s="617">
        <f>D548+C549-B549</f>
        <v/>
      </c>
      <c r="E549" s="618" t="n"/>
      <c r="F549" s="622" t="n"/>
      <c r="G549" s="620">
        <f>G548+F549-E549</f>
        <v/>
      </c>
      <c r="H549" s="61" t="n"/>
      <c r="I549" s="61" t="n"/>
      <c r="J549" t="inlineStr">
        <is>
          <t>投資</t>
        </is>
      </c>
      <c r="K549">
        <f>IF(J549="本金",C549+K548,K548)</f>
        <v/>
      </c>
      <c r="L549">
        <f>IF(J549="本金",F549+L548,L548)</f>
        <v/>
      </c>
    </row>
    <row r="550">
      <c r="A550" s="623" t="n"/>
      <c r="B550" s="624" t="n"/>
      <c r="C550" s="111" t="n"/>
      <c r="D550" s="625">
        <f>D549+C550-B550</f>
        <v/>
      </c>
      <c r="E550" s="626" t="n"/>
      <c r="F550" s="627" t="n"/>
      <c r="G550" s="628">
        <f>G549+F550-E550</f>
        <v/>
      </c>
      <c r="H550" s="114" t="n"/>
      <c r="I550" s="114" t="n"/>
      <c r="J550" t="inlineStr">
        <is>
          <t>投資</t>
        </is>
      </c>
      <c r="K550">
        <f>IF(J550="本金",C550+K549,K549)</f>
        <v/>
      </c>
      <c r="L550">
        <f>IF(J550="本金",F550+L549,L549)</f>
        <v/>
      </c>
    </row>
    <row r="551">
      <c r="A551" s="635" t="n"/>
      <c r="B551" s="636" t="n"/>
      <c r="C551" s="170" t="n"/>
      <c r="D551" s="637">
        <f>D550+C551-B551</f>
        <v/>
      </c>
      <c r="E551" s="638" t="n"/>
      <c r="F551" s="639" t="n"/>
      <c r="G551" s="640">
        <f>G550+F551-E551</f>
        <v/>
      </c>
      <c r="H551" s="173" t="n"/>
      <c r="I551" s="173" t="n"/>
      <c r="J551" t="inlineStr">
        <is>
          <t>投資</t>
        </is>
      </c>
      <c r="K551">
        <f>IF(J551="本金",C551+K550,K550)</f>
        <v/>
      </c>
      <c r="L551">
        <f>IF(J551="本金",F551+L550,L550)</f>
        <v/>
      </c>
    </row>
    <row r="552">
      <c r="A552" s="629" t="n"/>
      <c r="B552" s="630" t="n"/>
      <c r="C552" s="116" t="n"/>
      <c r="D552" s="631">
        <f>D551+C552-B552</f>
        <v/>
      </c>
      <c r="E552" s="632" t="n"/>
      <c r="F552" s="633" t="n"/>
      <c r="G552" s="634">
        <f>G551+F552-E552</f>
        <v/>
      </c>
      <c r="H552" s="119" t="n"/>
      <c r="I552" s="120" t="n"/>
      <c r="J552" t="inlineStr">
        <is>
          <t>投資</t>
        </is>
      </c>
      <c r="K552">
        <f>IF(J552="本金",C552+K551,K551)</f>
        <v/>
      </c>
      <c r="L552">
        <f>IF(J552="本金",F552+L551,L551)</f>
        <v/>
      </c>
    </row>
    <row r="553">
      <c r="A553" s="629" t="n"/>
      <c r="B553" s="630" t="n"/>
      <c r="C553" s="116" t="n"/>
      <c r="D553" s="631">
        <f>D552+C553-B553</f>
        <v/>
      </c>
      <c r="E553" s="632" t="n"/>
      <c r="F553" s="633" t="n"/>
      <c r="G553" s="634">
        <f>G552+F553-E553</f>
        <v/>
      </c>
      <c r="H553" s="119" t="n"/>
      <c r="I553" s="120" t="n"/>
      <c r="J553" t="inlineStr">
        <is>
          <t>投資</t>
        </is>
      </c>
      <c r="K553">
        <f>IF(J553="本金",C553+K552,K552)</f>
        <v/>
      </c>
      <c r="L553">
        <f>IF(J553="本金",F553+L552,L552)</f>
        <v/>
      </c>
    </row>
    <row r="554">
      <c r="A554" s="635" t="n"/>
      <c r="B554" s="636" t="n"/>
      <c r="C554" s="170" t="n"/>
      <c r="D554" s="637">
        <f>D553+C554-B554</f>
        <v/>
      </c>
      <c r="E554" s="638" t="n"/>
      <c r="F554" s="639" t="n"/>
      <c r="G554" s="640">
        <f>G553+F554-E554</f>
        <v/>
      </c>
      <c r="H554" s="173" t="n"/>
      <c r="I554" s="173" t="n"/>
      <c r="J554" t="inlineStr">
        <is>
          <t>投資</t>
        </is>
      </c>
      <c r="K554">
        <f>IF(J554="本金",C554+K553,K553)</f>
        <v/>
      </c>
      <c r="L554">
        <f>IF(J554="本金",F554+L553,L553)</f>
        <v/>
      </c>
    </row>
    <row r="555">
      <c r="A555" s="615" t="n"/>
      <c r="B555" s="616" t="n"/>
      <c r="C555" s="101" t="n"/>
      <c r="D555" s="617">
        <f>D554+C555-B555</f>
        <v/>
      </c>
      <c r="E555" s="618" t="n"/>
      <c r="F555" s="622" t="n"/>
      <c r="G555" s="620">
        <f>G554+F555-E555</f>
        <v/>
      </c>
      <c r="H555" s="61" t="n"/>
      <c r="I555" s="61" t="n"/>
      <c r="J555" t="inlineStr">
        <is>
          <t>投資</t>
        </is>
      </c>
      <c r="K555">
        <f>IF(J555="本金",C555+K554,K554)</f>
        <v/>
      </c>
      <c r="L555">
        <f>IF(J555="本金",F555+L554,L554)</f>
        <v/>
      </c>
    </row>
    <row r="556">
      <c r="A556" s="615" t="n"/>
      <c r="B556" s="616" t="n"/>
      <c r="C556" s="101" t="n"/>
      <c r="D556" s="617">
        <f>D555+C556-B556</f>
        <v/>
      </c>
      <c r="E556" s="618" t="n"/>
      <c r="F556" s="622" t="n"/>
      <c r="G556" s="620">
        <f>G555+F556-E556</f>
        <v/>
      </c>
      <c r="I556" s="61" t="n"/>
      <c r="J556" t="inlineStr">
        <is>
          <t>投資</t>
        </is>
      </c>
      <c r="K556">
        <f>IF(J556="本金",C556+K555,K555)</f>
        <v/>
      </c>
      <c r="L556">
        <f>IF(J556="本金",F556+L555,L555)</f>
        <v/>
      </c>
    </row>
    <row r="557">
      <c r="A557" s="615" t="n"/>
      <c r="B557" s="616" t="n"/>
      <c r="C557" s="101" t="n"/>
      <c r="D557" s="617">
        <f>D556+C557-B557</f>
        <v/>
      </c>
      <c r="E557" s="618" t="n"/>
      <c r="F557" s="622" t="n"/>
      <c r="G557" s="620">
        <f>G556+F557-E557</f>
        <v/>
      </c>
      <c r="I557" s="61" t="n"/>
      <c r="J557" t="inlineStr">
        <is>
          <t>投資</t>
        </is>
      </c>
      <c r="K557">
        <f>IF(J557="本金",C557+K556,K556)</f>
        <v/>
      </c>
      <c r="L557">
        <f>IF(J557="本金",F557+L556,L556)</f>
        <v/>
      </c>
    </row>
    <row r="558">
      <c r="A558" s="615" t="n"/>
      <c r="B558" s="616" t="n"/>
      <c r="C558" s="101" t="n"/>
      <c r="D558" s="617">
        <f>D557+C558-B558</f>
        <v/>
      </c>
      <c r="E558" s="618" t="n"/>
      <c r="F558" s="622" t="n"/>
      <c r="G558" s="620">
        <f>G557+F558-E558</f>
        <v/>
      </c>
      <c r="I558" s="61" t="n"/>
      <c r="J558" t="inlineStr">
        <is>
          <t>投資</t>
        </is>
      </c>
      <c r="K558">
        <f>IF(J558="本金",C558+K557,K557)</f>
        <v/>
      </c>
      <c r="L558">
        <f>IF(J558="本金",F558+L557,L557)</f>
        <v/>
      </c>
    </row>
    <row r="559">
      <c r="A559" s="635" t="n"/>
      <c r="B559" s="636" t="n"/>
      <c r="C559" s="170" t="n"/>
      <c r="D559" s="637">
        <f>D558+C559-B559</f>
        <v/>
      </c>
      <c r="E559" s="638" t="n"/>
      <c r="F559" s="639" t="n"/>
      <c r="G559" s="640">
        <f>G558+F559-E559</f>
        <v/>
      </c>
      <c r="H559" s="173" t="n"/>
      <c r="I559" s="173" t="n"/>
      <c r="J559" t="inlineStr">
        <is>
          <t>投資</t>
        </is>
      </c>
      <c r="K559">
        <f>IF(J559="本金",C559+K558,K558)</f>
        <v/>
      </c>
      <c r="L559">
        <f>IF(J559="本金",F559+L558,L558)</f>
        <v/>
      </c>
    </row>
    <row r="560">
      <c r="A560" s="623" t="n"/>
      <c r="B560" s="624" t="n"/>
      <c r="C560" s="111" t="n"/>
      <c r="D560" s="625">
        <f>D559+C560-B560</f>
        <v/>
      </c>
      <c r="E560" s="626" t="n"/>
      <c r="F560" s="627" t="n"/>
      <c r="G560" s="628">
        <f>G559+F560-E560</f>
        <v/>
      </c>
      <c r="H560" s="114" t="n"/>
      <c r="I560" s="114" t="n"/>
      <c r="J560" t="inlineStr">
        <is>
          <t>投資</t>
        </is>
      </c>
      <c r="K560">
        <f>IF(J560="本金",C560+K559,K559)</f>
        <v/>
      </c>
      <c r="L560">
        <f>IF(J560="本金",F560+L559,L559)</f>
        <v/>
      </c>
    </row>
    <row r="561">
      <c r="A561" s="615" t="n"/>
      <c r="B561" s="616" t="n"/>
      <c r="C561" s="101" t="n"/>
      <c r="D561" s="617">
        <f>D560+C561-B561</f>
        <v/>
      </c>
      <c r="E561" s="618" t="n"/>
      <c r="F561" s="622" t="n"/>
      <c r="G561" s="620">
        <f>G560+F561-E561</f>
        <v/>
      </c>
      <c r="I561" s="61" t="n"/>
      <c r="J561" t="inlineStr">
        <is>
          <t>投資</t>
        </is>
      </c>
      <c r="K561">
        <f>IF(J561="本金",C561+K560,K560)</f>
        <v/>
      </c>
      <c r="L561">
        <f>IF(J561="本金",F561+L560,L560)</f>
        <v/>
      </c>
    </row>
    <row r="562">
      <c r="A562" s="623" t="n"/>
      <c r="B562" s="624" t="n"/>
      <c r="C562" s="111" t="n"/>
      <c r="D562" s="625">
        <f>D561+C562-B562</f>
        <v/>
      </c>
      <c r="E562" s="626" t="n"/>
      <c r="F562" s="627" t="n"/>
      <c r="G562" s="628">
        <f>G561+F562-E562</f>
        <v/>
      </c>
      <c r="H562" s="114" t="n"/>
      <c r="I562" s="114" t="n"/>
      <c r="J562" t="inlineStr">
        <is>
          <t>投資</t>
        </is>
      </c>
      <c r="K562">
        <f>IF(J562="本金",C562+K561,K561)</f>
        <v/>
      </c>
      <c r="L562">
        <f>IF(J562="本金",F562+L561,L561)</f>
        <v/>
      </c>
    </row>
    <row r="563">
      <c r="A563" s="615" t="n"/>
      <c r="B563" s="616" t="n"/>
      <c r="C563" s="101" t="n"/>
      <c r="D563" s="617">
        <f>D562+C563-B563</f>
        <v/>
      </c>
      <c r="E563" s="618" t="n"/>
      <c r="F563" s="622" t="n"/>
      <c r="G563" s="620">
        <f>G562+F563-E563</f>
        <v/>
      </c>
      <c r="I563" s="61" t="n"/>
      <c r="J563" t="inlineStr">
        <is>
          <t>投資</t>
        </is>
      </c>
      <c r="K563">
        <f>IF(J563="本金",C563+K562,K562)</f>
        <v/>
      </c>
      <c r="L563">
        <f>IF(J563="本金",F563+L562,L562)</f>
        <v/>
      </c>
    </row>
    <row r="564">
      <c r="A564" s="623" t="n"/>
      <c r="B564" s="624" t="n"/>
      <c r="C564" s="111" t="n"/>
      <c r="D564" s="625">
        <f>D563+C564-B564</f>
        <v/>
      </c>
      <c r="E564" s="626" t="n"/>
      <c r="F564" s="627" t="n"/>
      <c r="G564" s="628">
        <f>G563+F564-E564</f>
        <v/>
      </c>
      <c r="H564" s="114" t="n"/>
      <c r="I564" s="114" t="n"/>
      <c r="J564" t="inlineStr">
        <is>
          <t>投資</t>
        </is>
      </c>
      <c r="K564">
        <f>IF(J564="本金",C564+K563,K563)</f>
        <v/>
      </c>
      <c r="L564">
        <f>IF(J564="本金",F564+L563,L563)</f>
        <v/>
      </c>
    </row>
    <row r="565">
      <c r="A565" s="615" t="n"/>
      <c r="B565" s="616" t="n"/>
      <c r="C565" s="101" t="n"/>
      <c r="D565" s="617">
        <f>D564+C565-B565</f>
        <v/>
      </c>
      <c r="E565" s="618" t="n"/>
      <c r="F565" s="622" t="n"/>
      <c r="G565" s="620">
        <f>G564+F565-E565</f>
        <v/>
      </c>
      <c r="I565" s="61" t="n"/>
      <c r="J565" t="inlineStr">
        <is>
          <t>投資</t>
        </is>
      </c>
      <c r="K565">
        <f>IF(J565="本金",C565+K564,K564)</f>
        <v/>
      </c>
      <c r="L565">
        <f>IF(J565="本金",F565+L564,L564)</f>
        <v/>
      </c>
    </row>
    <row r="566">
      <c r="A566" s="635" t="n"/>
      <c r="B566" s="636" t="n"/>
      <c r="C566" s="170" t="n"/>
      <c r="D566" s="637">
        <f>D565+C566-B566</f>
        <v/>
      </c>
      <c r="E566" s="638" t="n"/>
      <c r="F566" s="639" t="n"/>
      <c r="G566" s="640">
        <f>G565+F566-E566</f>
        <v/>
      </c>
      <c r="H566" s="173" t="n"/>
      <c r="I566" s="173" t="n"/>
      <c r="J566" t="inlineStr">
        <is>
          <t>投資</t>
        </is>
      </c>
      <c r="K566">
        <f>IF(J566="本金",C566+K565,K565)</f>
        <v/>
      </c>
      <c r="L566">
        <f>IF(J566="本金",F566+L565,L565)</f>
        <v/>
      </c>
    </row>
    <row r="567">
      <c r="A567" s="635" t="n"/>
      <c r="B567" s="636" t="n"/>
      <c r="C567" s="170" t="n"/>
      <c r="D567" s="637">
        <f>D566+C567-B567</f>
        <v/>
      </c>
      <c r="E567" s="638" t="n"/>
      <c r="F567" s="639" t="n"/>
      <c r="G567" s="640">
        <f>G566+F567-E567</f>
        <v/>
      </c>
      <c r="H567" s="173" t="n"/>
      <c r="I567" s="173" t="n"/>
      <c r="J567" t="inlineStr">
        <is>
          <t>投資</t>
        </is>
      </c>
      <c r="K567">
        <f>IF(J567="本金",C567+K566,K566)</f>
        <v/>
      </c>
      <c r="L567">
        <f>IF(J567="本金",F567+L566,L566)</f>
        <v/>
      </c>
    </row>
    <row r="568">
      <c r="A568" s="635" t="n"/>
      <c r="B568" s="636" t="n"/>
      <c r="C568" s="170" t="n"/>
      <c r="D568" s="637">
        <f>D567+C568-B568</f>
        <v/>
      </c>
      <c r="E568" s="638" t="n"/>
      <c r="F568" s="639" t="n"/>
      <c r="G568" s="640">
        <f>G567+F568-E568</f>
        <v/>
      </c>
      <c r="H568" s="173" t="n"/>
      <c r="I568" s="173" t="n"/>
      <c r="J568" t="inlineStr">
        <is>
          <t>投資</t>
        </is>
      </c>
      <c r="K568">
        <f>IF(J568="本金",C568+K567,K567)</f>
        <v/>
      </c>
      <c r="L568">
        <f>IF(J568="本金",F568+L567,L567)</f>
        <v/>
      </c>
    </row>
    <row r="569">
      <c r="A569" s="635" t="n"/>
      <c r="B569" s="636" t="n"/>
      <c r="C569" s="170" t="n"/>
      <c r="D569" s="637">
        <f>D568+C569-B569</f>
        <v/>
      </c>
      <c r="E569" s="638" t="n"/>
      <c r="F569" s="639" t="n"/>
      <c r="G569" s="640">
        <f>G568+F569-E569</f>
        <v/>
      </c>
      <c r="H569" s="173" t="n"/>
      <c r="I569" s="173" t="n"/>
      <c r="J569" t="inlineStr">
        <is>
          <t>投資</t>
        </is>
      </c>
      <c r="K569">
        <f>IF(J569="本金",C569+K568,K568)</f>
        <v/>
      </c>
      <c r="L569">
        <f>IF(J569="本金",F569+L568,L568)</f>
        <v/>
      </c>
    </row>
    <row r="570">
      <c r="A570" s="635" t="n"/>
      <c r="B570" s="636" t="n"/>
      <c r="C570" s="170" t="n"/>
      <c r="D570" s="637">
        <f>D569+C570-B570</f>
        <v/>
      </c>
      <c r="E570" s="638" t="n"/>
      <c r="F570" s="639" t="n"/>
      <c r="G570" s="640">
        <f>G569+F570-E570</f>
        <v/>
      </c>
      <c r="H570" s="173" t="n"/>
      <c r="I570" s="173" t="n"/>
      <c r="J570" t="inlineStr">
        <is>
          <t>投資</t>
        </is>
      </c>
      <c r="K570">
        <f>IF(J570="本金",C570+K569,K569)</f>
        <v/>
      </c>
      <c r="L570">
        <f>IF(J570="本金",F570+L569,L569)</f>
        <v/>
      </c>
    </row>
    <row r="571">
      <c r="A571" s="629" t="n"/>
      <c r="B571" s="630" t="n"/>
      <c r="C571" s="116" t="n"/>
      <c r="D571" s="631">
        <f>D570+C571-B571</f>
        <v/>
      </c>
      <c r="E571" s="632" t="n"/>
      <c r="F571" s="633" t="n"/>
      <c r="G571" s="634">
        <f>G570+F571-E571</f>
        <v/>
      </c>
      <c r="H571" s="119" t="n"/>
      <c r="I571" s="120" t="n"/>
      <c r="J571" t="inlineStr">
        <is>
          <t>投資</t>
        </is>
      </c>
      <c r="K571">
        <f>IF(J571="本金",C571+K570,K570)</f>
        <v/>
      </c>
      <c r="L571">
        <f>IF(J571="本金",F571+L570,L570)</f>
        <v/>
      </c>
    </row>
    <row r="572">
      <c r="A572" s="629" t="n"/>
      <c r="B572" s="630" t="n"/>
      <c r="C572" s="116" t="n"/>
      <c r="D572" s="631">
        <f>D571+C572-B572</f>
        <v/>
      </c>
      <c r="E572" s="632" t="n"/>
      <c r="F572" s="633" t="n"/>
      <c r="G572" s="634">
        <f>G571+F572-E572</f>
        <v/>
      </c>
      <c r="H572" s="119" t="n"/>
      <c r="I572" s="120" t="n"/>
      <c r="J572" t="inlineStr">
        <is>
          <t>投資</t>
        </is>
      </c>
      <c r="K572">
        <f>IF(J572="本金",C572+K571,K571)</f>
        <v/>
      </c>
      <c r="L572">
        <f>IF(J572="本金",F572+L571,L571)</f>
        <v/>
      </c>
    </row>
    <row r="573">
      <c r="A573" s="615" t="n"/>
      <c r="B573" s="616" t="n"/>
      <c r="C573" s="101" t="n"/>
      <c r="D573" s="617">
        <f>D572+C573-B573</f>
        <v/>
      </c>
      <c r="E573" s="618" t="n"/>
      <c r="F573" s="622" t="n"/>
      <c r="G573" s="620">
        <f>G572+F573-E573</f>
        <v/>
      </c>
      <c r="I573" s="61" t="n"/>
      <c r="J573" t="inlineStr">
        <is>
          <t>投資</t>
        </is>
      </c>
      <c r="K573">
        <f>IF(J573="本金",C573+K572,K572)</f>
        <v/>
      </c>
      <c r="L573">
        <f>IF(J573="本金",F573+L572,L572)</f>
        <v/>
      </c>
    </row>
    <row r="574">
      <c r="A574" s="623" t="n"/>
      <c r="B574" s="624" t="n"/>
      <c r="C574" s="111" t="n"/>
      <c r="D574" s="625">
        <f>D573+C574-B574</f>
        <v/>
      </c>
      <c r="E574" s="626" t="n"/>
      <c r="F574" s="627" t="n"/>
      <c r="G574" s="628">
        <f>G573+F574-E574</f>
        <v/>
      </c>
      <c r="H574" s="114" t="n"/>
      <c r="I574" s="114" t="n"/>
      <c r="J574" t="inlineStr">
        <is>
          <t>投資</t>
        </is>
      </c>
      <c r="K574">
        <f>IF(J574="本金",C574+K573,K573)</f>
        <v/>
      </c>
      <c r="L574">
        <f>IF(J574="本金",F574+L573,L573)</f>
        <v/>
      </c>
    </row>
    <row r="575">
      <c r="A575" s="635" t="n"/>
      <c r="B575" s="636" t="n"/>
      <c r="C575" s="170" t="n"/>
      <c r="D575" s="637">
        <f>D574+C575-B575</f>
        <v/>
      </c>
      <c r="E575" s="638" t="n"/>
      <c r="F575" s="639" t="n"/>
      <c r="G575" s="640">
        <f>G574+F575-E575</f>
        <v/>
      </c>
      <c r="H575" s="173" t="n"/>
      <c r="I575" s="173" t="n"/>
      <c r="J575" t="inlineStr">
        <is>
          <t>投資</t>
        </is>
      </c>
      <c r="K575">
        <f>IF(J575="本金",C575+K574,K574)</f>
        <v/>
      </c>
      <c r="L575">
        <f>IF(J575="本金",F575+L574,L574)</f>
        <v/>
      </c>
    </row>
    <row r="576">
      <c r="A576" s="615" t="n"/>
      <c r="B576" s="616" t="n"/>
      <c r="C576" s="101" t="n"/>
      <c r="D576" s="617">
        <f>D575+C576-B576</f>
        <v/>
      </c>
      <c r="E576" s="618" t="n"/>
      <c r="F576" s="622" t="n"/>
      <c r="G576" s="620">
        <f>G575+F576-E576</f>
        <v/>
      </c>
      <c r="I576" s="61" t="n"/>
      <c r="J576" t="inlineStr">
        <is>
          <t>投資</t>
        </is>
      </c>
      <c r="K576">
        <f>IF(J576="本金",C576+K575,K575)</f>
        <v/>
      </c>
      <c r="L576">
        <f>IF(J576="本金",F576+L575,L575)</f>
        <v/>
      </c>
    </row>
    <row r="577">
      <c r="A577" s="635" t="n"/>
      <c r="B577" s="636" t="n"/>
      <c r="C577" s="170" t="n"/>
      <c r="D577" s="637">
        <f>D576+C577-B577</f>
        <v/>
      </c>
      <c r="E577" s="638" t="n"/>
      <c r="F577" s="639" t="n"/>
      <c r="G577" s="640">
        <f>G576+F577-E577</f>
        <v/>
      </c>
      <c r="H577" s="173" t="n"/>
      <c r="I577" s="173" t="n"/>
      <c r="J577" t="inlineStr">
        <is>
          <t>投資</t>
        </is>
      </c>
      <c r="K577">
        <f>IF(J577="本金",C577+K576,K576)</f>
        <v/>
      </c>
      <c r="L577">
        <f>IF(J577="本金",F577+L576,L576)</f>
        <v/>
      </c>
    </row>
    <row r="578">
      <c r="A578" s="635" t="n"/>
      <c r="B578" s="636" t="n"/>
      <c r="C578" s="170" t="n"/>
      <c r="D578" s="637">
        <f>D577+C578-B578</f>
        <v/>
      </c>
      <c r="E578" s="638" t="n"/>
      <c r="F578" s="639" t="n"/>
      <c r="G578" s="640">
        <f>G577+F578-E578</f>
        <v/>
      </c>
      <c r="H578" s="173" t="n"/>
      <c r="I578" s="173" t="n"/>
      <c r="J578" t="inlineStr">
        <is>
          <t>投資</t>
        </is>
      </c>
      <c r="K578">
        <f>IF(J578="本金",C578+K577,K577)</f>
        <v/>
      </c>
      <c r="L578">
        <f>IF(J578="本金",F578+L577,L577)</f>
        <v/>
      </c>
    </row>
    <row r="579">
      <c r="A579" s="635" t="n"/>
      <c r="B579" s="636" t="n"/>
      <c r="C579" s="170" t="n"/>
      <c r="D579" s="637">
        <f>D578+C579-B579</f>
        <v/>
      </c>
      <c r="E579" s="638" t="n"/>
      <c r="F579" s="639" t="n"/>
      <c r="G579" s="640">
        <f>G578+F579-E579</f>
        <v/>
      </c>
      <c r="H579" s="173" t="n"/>
      <c r="I579" s="173" t="n"/>
      <c r="J579" t="inlineStr">
        <is>
          <t>投資</t>
        </is>
      </c>
      <c r="K579">
        <f>IF(J579="本金",C579+K578,K578)</f>
        <v/>
      </c>
      <c r="L579">
        <f>IF(J579="本金",F579+L578,L578)</f>
        <v/>
      </c>
    </row>
    <row r="580">
      <c r="A580" s="635" t="n"/>
      <c r="B580" s="636" t="n"/>
      <c r="C580" s="170" t="n"/>
      <c r="D580" s="637">
        <f>D579+C580-B580</f>
        <v/>
      </c>
      <c r="E580" s="638" t="n"/>
      <c r="F580" s="639" t="n"/>
      <c r="G580" s="640">
        <f>G579+F580-E580</f>
        <v/>
      </c>
      <c r="H580" s="173" t="n"/>
      <c r="I580" s="173" t="n"/>
      <c r="J580" t="inlineStr">
        <is>
          <t>投資</t>
        </is>
      </c>
      <c r="K580">
        <f>IF(J580="本金",C580+K579,K579)</f>
        <v/>
      </c>
      <c r="L580">
        <f>IF(J580="本金",F580+L579,L579)</f>
        <v/>
      </c>
    </row>
    <row r="581">
      <c r="A581" s="615" t="n"/>
      <c r="B581" s="616" t="n"/>
      <c r="C581" s="101" t="n"/>
      <c r="D581" s="617">
        <f>D580+C581-B581</f>
        <v/>
      </c>
      <c r="E581" s="618" t="n"/>
      <c r="F581" s="622" t="n"/>
      <c r="G581" s="620">
        <f>G580+F581-E581</f>
        <v/>
      </c>
      <c r="I581" s="61" t="n"/>
      <c r="J581" t="inlineStr">
        <is>
          <t>投資</t>
        </is>
      </c>
      <c r="K581">
        <f>IF(J581="本金",C581+K580,K580)</f>
        <v/>
      </c>
      <c r="L581">
        <f>IF(J581="本金",F581+L580,L580)</f>
        <v/>
      </c>
    </row>
    <row r="582">
      <c r="A582" s="635" t="n"/>
      <c r="B582" s="636" t="n"/>
      <c r="C582" s="170" t="n"/>
      <c r="D582" s="637">
        <f>D581+C582-B582</f>
        <v/>
      </c>
      <c r="E582" s="638" t="n"/>
      <c r="F582" s="639" t="n"/>
      <c r="G582" s="640">
        <f>G581+F582-E582</f>
        <v/>
      </c>
      <c r="H582" s="173" t="n"/>
      <c r="I582" s="173" t="n"/>
      <c r="J582" t="inlineStr">
        <is>
          <t>投資</t>
        </is>
      </c>
      <c r="K582">
        <f>IF(J582="本金",C582+K581,K581)</f>
        <v/>
      </c>
      <c r="L582">
        <f>IF(J582="本金",F582+L581,L581)</f>
        <v/>
      </c>
    </row>
    <row r="583">
      <c r="A583" s="615" t="n"/>
      <c r="B583" s="616" t="n"/>
      <c r="C583" s="101" t="n"/>
      <c r="D583" s="617">
        <f>D582+C583-B583</f>
        <v/>
      </c>
      <c r="E583" s="618" t="n"/>
      <c r="F583" s="622" t="n"/>
      <c r="G583" s="620">
        <f>G582+F583-E583</f>
        <v/>
      </c>
      <c r="I583" s="61" t="n"/>
      <c r="J583" t="inlineStr">
        <is>
          <t>投資</t>
        </is>
      </c>
      <c r="K583">
        <f>IF(J583="本金",C583+K582,K582)</f>
        <v/>
      </c>
      <c r="L583">
        <f>IF(J583="本金",F583+L582,L582)</f>
        <v/>
      </c>
    </row>
    <row r="584">
      <c r="A584" s="623" t="n"/>
      <c r="B584" s="624" t="n"/>
      <c r="C584" s="111" t="n"/>
      <c r="D584" s="625">
        <f>D583+C584-B584</f>
        <v/>
      </c>
      <c r="E584" s="626" t="n"/>
      <c r="F584" s="627" t="n"/>
      <c r="G584" s="628">
        <f>G583+F584-E584</f>
        <v/>
      </c>
      <c r="H584" s="114" t="n"/>
      <c r="I584" s="114" t="n"/>
      <c r="J584" t="inlineStr">
        <is>
          <t>投資</t>
        </is>
      </c>
      <c r="K584">
        <f>IF(J584="本金",C584+K583,K583)</f>
        <v/>
      </c>
      <c r="L584">
        <f>IF(J584="本金",F584+L583,L583)</f>
        <v/>
      </c>
    </row>
    <row r="585">
      <c r="A585" s="635" t="n"/>
      <c r="B585" s="636" t="n"/>
      <c r="C585" s="170" t="n"/>
      <c r="D585" s="637">
        <f>D584+C585-B585</f>
        <v/>
      </c>
      <c r="E585" s="638" t="n"/>
      <c r="F585" s="639" t="n"/>
      <c r="G585" s="640">
        <f>G584+F585-E585</f>
        <v/>
      </c>
      <c r="H585" s="173" t="n"/>
      <c r="I585" s="173" t="n"/>
      <c r="J585" t="inlineStr">
        <is>
          <t>投資</t>
        </is>
      </c>
      <c r="K585">
        <f>IF(J585="本金",C585+K584,K584)</f>
        <v/>
      </c>
      <c r="L585">
        <f>IF(J585="本金",F585+L584,L584)</f>
        <v/>
      </c>
    </row>
    <row r="586">
      <c r="A586" s="635" t="n"/>
      <c r="B586" s="636" t="n"/>
      <c r="C586" s="170" t="n"/>
      <c r="D586" s="637">
        <f>D585+C586-B586</f>
        <v/>
      </c>
      <c r="E586" s="638" t="n"/>
      <c r="F586" s="639" t="n"/>
      <c r="G586" s="640">
        <f>G585+F586-E586</f>
        <v/>
      </c>
      <c r="H586" s="173" t="n"/>
      <c r="I586" s="173" t="n"/>
      <c r="J586" t="inlineStr">
        <is>
          <t>投資</t>
        </is>
      </c>
      <c r="K586">
        <f>IF(J586="本金",C586+K585,K585)</f>
        <v/>
      </c>
      <c r="L586">
        <f>IF(J586="本金",F586+L585,L585)</f>
        <v/>
      </c>
    </row>
    <row r="587">
      <c r="A587" s="635" t="n"/>
      <c r="B587" s="636" t="n"/>
      <c r="C587" s="170" t="n"/>
      <c r="D587" s="637">
        <f>D586+C587-B587</f>
        <v/>
      </c>
      <c r="E587" s="638" t="n"/>
      <c r="F587" s="639" t="n"/>
      <c r="G587" s="640">
        <f>G586+F587-E587</f>
        <v/>
      </c>
      <c r="H587" s="173" t="n"/>
      <c r="I587" s="173" t="n"/>
      <c r="J587" t="inlineStr">
        <is>
          <t>投資</t>
        </is>
      </c>
      <c r="K587">
        <f>IF(J587="本金",C587+K586,K586)</f>
        <v/>
      </c>
      <c r="L587">
        <f>IF(J587="本金",F587+L586,L586)</f>
        <v/>
      </c>
    </row>
    <row r="588">
      <c r="A588" s="635" t="n"/>
      <c r="B588" s="636" t="n"/>
      <c r="C588" s="170" t="n"/>
      <c r="D588" s="637">
        <f>D587+C588-B588</f>
        <v/>
      </c>
      <c r="E588" s="638" t="n"/>
      <c r="F588" s="639" t="n"/>
      <c r="G588" s="640">
        <f>G587+F588-E588</f>
        <v/>
      </c>
      <c r="H588" s="173" t="n"/>
      <c r="I588" s="173" t="n"/>
      <c r="J588" t="inlineStr">
        <is>
          <t>投資</t>
        </is>
      </c>
      <c r="K588">
        <f>IF(J588="本金",C588+K587,K587)</f>
        <v/>
      </c>
      <c r="L588">
        <f>IF(J588="本金",F588+L587,L587)</f>
        <v/>
      </c>
    </row>
    <row r="589">
      <c r="A589" s="635" t="n"/>
      <c r="B589" s="636" t="n"/>
      <c r="C589" s="170" t="n"/>
      <c r="D589" s="637">
        <f>D588+C589-B589</f>
        <v/>
      </c>
      <c r="E589" s="638" t="n"/>
      <c r="F589" s="639" t="n"/>
      <c r="G589" s="640">
        <f>G588+F589-E589</f>
        <v/>
      </c>
      <c r="H589" s="173" t="n"/>
      <c r="I589" s="173" t="n"/>
      <c r="J589" t="inlineStr">
        <is>
          <t>投資</t>
        </is>
      </c>
      <c r="K589">
        <f>IF(J589="本金",C589+K588,K588)</f>
        <v/>
      </c>
      <c r="L589">
        <f>IF(J589="本金",F589+L588,L588)</f>
        <v/>
      </c>
    </row>
    <row r="590">
      <c r="A590" s="615" t="n"/>
      <c r="B590" s="616" t="n"/>
      <c r="C590" s="101" t="n"/>
      <c r="D590" s="617">
        <f>D589+C590-B590</f>
        <v/>
      </c>
      <c r="E590" s="618" t="n"/>
      <c r="F590" s="622" t="n"/>
      <c r="G590" s="620">
        <f>G589+F590-E590</f>
        <v/>
      </c>
      <c r="I590" s="61" t="n"/>
      <c r="J590" t="inlineStr">
        <is>
          <t>投資</t>
        </is>
      </c>
      <c r="K590">
        <f>IF(J590="本金",C590+K589,K589)</f>
        <v/>
      </c>
      <c r="L590">
        <f>IF(J590="本金",F590+L589,L589)</f>
        <v/>
      </c>
    </row>
    <row r="591">
      <c r="A591" s="623" t="n"/>
      <c r="B591" s="624" t="n"/>
      <c r="C591" s="111" t="n"/>
      <c r="D591" s="625">
        <f>D590+C591-B591</f>
        <v/>
      </c>
      <c r="E591" s="626" t="n"/>
      <c r="F591" s="627" t="n"/>
      <c r="G591" s="628">
        <f>G590+F591-E591</f>
        <v/>
      </c>
      <c r="H591" s="114" t="n"/>
      <c r="I591" s="114" t="n"/>
      <c r="J591" t="inlineStr">
        <is>
          <t>投資</t>
        </is>
      </c>
      <c r="K591">
        <f>IF(J591="本金",C591+K590,K590)</f>
        <v/>
      </c>
      <c r="L591">
        <f>IF(J591="本金",F591+L590,L590)</f>
        <v/>
      </c>
    </row>
    <row r="592">
      <c r="A592" s="635" t="n"/>
      <c r="B592" s="636" t="n"/>
      <c r="C592" s="170" t="n"/>
      <c r="D592" s="637">
        <f>D591+C592-B592</f>
        <v/>
      </c>
      <c r="E592" s="638" t="n"/>
      <c r="F592" s="639" t="n"/>
      <c r="G592" s="640">
        <f>G591+F592-E592</f>
        <v/>
      </c>
      <c r="H592" s="173" t="n"/>
      <c r="I592" s="173" t="n"/>
      <c r="J592" t="inlineStr">
        <is>
          <t>投資</t>
        </is>
      </c>
      <c r="K592">
        <f>IF(J592="本金",C592+K591,K591)</f>
        <v/>
      </c>
      <c r="L592">
        <f>IF(J592="本金",F592+L591,L591)</f>
        <v/>
      </c>
    </row>
    <row r="593">
      <c r="A593" s="615" t="n"/>
      <c r="B593" s="616" t="n"/>
      <c r="C593" s="101" t="n"/>
      <c r="D593" s="617">
        <f>D592+C593-B593</f>
        <v/>
      </c>
      <c r="E593" s="618" t="n"/>
      <c r="F593" s="622" t="n"/>
      <c r="G593" s="620">
        <f>G592+F593-E593</f>
        <v/>
      </c>
      <c r="I593" s="61" t="n"/>
      <c r="J593" t="inlineStr">
        <is>
          <t>本金</t>
        </is>
      </c>
      <c r="K593">
        <f>IF(J593="本金",C593+K592,K592)</f>
        <v/>
      </c>
      <c r="L593">
        <f>IF(J593="本金",F593+L592,L592)</f>
        <v/>
      </c>
    </row>
    <row r="594">
      <c r="A594" s="635" t="n"/>
      <c r="B594" s="636" t="n"/>
      <c r="C594" s="170" t="n"/>
      <c r="D594" s="637">
        <f>D593+C594-B594</f>
        <v/>
      </c>
      <c r="E594" s="638" t="n"/>
      <c r="F594" s="639" t="n"/>
      <c r="G594" s="640">
        <f>G593+F594-E594</f>
        <v/>
      </c>
      <c r="H594" s="173" t="n"/>
      <c r="I594" s="173" t="n"/>
      <c r="J594" t="inlineStr">
        <is>
          <t>投資</t>
        </is>
      </c>
      <c r="K594">
        <f>IF(J594="本金",C594+K593,K593)</f>
        <v/>
      </c>
      <c r="L594">
        <f>IF(J594="本金",F594+L593,L593)</f>
        <v/>
      </c>
    </row>
    <row r="595">
      <c r="A595" s="629" t="n"/>
      <c r="B595" s="630" t="n"/>
      <c r="C595" s="116" t="n"/>
      <c r="D595" s="631">
        <f>D594+C595-B595</f>
        <v/>
      </c>
      <c r="E595" s="632" t="n"/>
      <c r="F595" s="633" t="n"/>
      <c r="G595" s="634">
        <f>G594+F595-E595</f>
        <v/>
      </c>
      <c r="H595" s="119" t="n"/>
      <c r="I595" s="120" t="n"/>
      <c r="J595" t="inlineStr">
        <is>
          <t>投資</t>
        </is>
      </c>
      <c r="K595">
        <f>IF(J595="本金",C595+K594,K594)</f>
        <v/>
      </c>
      <c r="L595">
        <f>IF(J595="本金",F595+L594,L594)</f>
        <v/>
      </c>
    </row>
    <row r="596">
      <c r="A596" s="635" t="n"/>
      <c r="B596" s="636" t="n"/>
      <c r="C596" s="170" t="n"/>
      <c r="D596" s="637">
        <f>D595+C596-B596</f>
        <v/>
      </c>
      <c r="E596" s="638" t="n"/>
      <c r="F596" s="639" t="n"/>
      <c r="G596" s="640">
        <f>G595+F596-E596</f>
        <v/>
      </c>
      <c r="H596" s="173" t="n"/>
      <c r="I596" s="173" t="n"/>
      <c r="J596" t="inlineStr">
        <is>
          <t>投資</t>
        </is>
      </c>
      <c r="K596">
        <f>IF(J596="本金",C596+K595,K595)</f>
        <v/>
      </c>
      <c r="L596">
        <f>IF(J596="本金",F596+L595,L595)</f>
        <v/>
      </c>
    </row>
    <row r="597">
      <c r="A597" s="615" t="n"/>
      <c r="B597" s="616" t="n"/>
      <c r="C597" s="101" t="n"/>
      <c r="D597" s="617">
        <f>D596+C597-B597</f>
        <v/>
      </c>
      <c r="E597" s="618" t="n"/>
      <c r="F597" s="622" t="n"/>
      <c r="G597" s="620">
        <f>G596+F597-E597</f>
        <v/>
      </c>
      <c r="H597" s="61" t="n"/>
      <c r="I597" s="61" t="n"/>
      <c r="J597" t="inlineStr">
        <is>
          <t>投資</t>
        </is>
      </c>
      <c r="K597">
        <f>IF(J597="本金",C597+K596,K596)</f>
        <v/>
      </c>
      <c r="L597">
        <f>IF(J597="本金",F597+L596,L596)</f>
        <v/>
      </c>
    </row>
    <row r="598">
      <c r="A598" s="615" t="n"/>
      <c r="B598" s="616" t="n"/>
      <c r="C598" s="101" t="n"/>
      <c r="D598" s="617">
        <f>D597+C598-B598</f>
        <v/>
      </c>
      <c r="E598" s="618" t="n"/>
      <c r="F598" s="622" t="n"/>
      <c r="G598" s="620">
        <f>G597+F598-E598</f>
        <v/>
      </c>
      <c r="H598" s="61" t="n"/>
      <c r="I598" s="61" t="n"/>
      <c r="J598" t="inlineStr">
        <is>
          <t>投資</t>
        </is>
      </c>
      <c r="K598">
        <f>IF(J598="本金",C598+K597,K597)</f>
        <v/>
      </c>
      <c r="L598">
        <f>IF(J598="本金",F598+L597,L597)</f>
        <v/>
      </c>
    </row>
    <row r="599">
      <c r="A599" s="615" t="n"/>
      <c r="B599" s="616" t="n"/>
      <c r="C599" s="101" t="n"/>
      <c r="D599" s="617">
        <f>D598+C599-B599</f>
        <v/>
      </c>
      <c r="E599" s="618" t="n"/>
      <c r="F599" s="622" t="n"/>
      <c r="G599" s="620">
        <f>G598+F599-E599</f>
        <v/>
      </c>
      <c r="H599" s="61" t="n"/>
      <c r="I599" s="61" t="n"/>
      <c r="J599" t="inlineStr">
        <is>
          <t>投資</t>
        </is>
      </c>
      <c r="K599">
        <f>IF(J599="本金",C599+K598,K598)</f>
        <v/>
      </c>
      <c r="L599">
        <f>IF(J599="本金",F599+L598,L598)</f>
        <v/>
      </c>
    </row>
    <row r="600">
      <c r="A600" s="615" t="n"/>
      <c r="B600" s="616" t="n"/>
      <c r="C600" s="101" t="n"/>
      <c r="D600" s="617">
        <f>D599+C600-B600</f>
        <v/>
      </c>
      <c r="E600" s="618" t="n"/>
      <c r="F600" s="622" t="n"/>
      <c r="G600" s="620">
        <f>G599+F600-E600</f>
        <v/>
      </c>
      <c r="H600" s="61" t="n"/>
      <c r="I600" s="61" t="n"/>
      <c r="J600" t="inlineStr">
        <is>
          <t>投資</t>
        </is>
      </c>
      <c r="K600">
        <f>IF(J600="本金",C600+K599,K599)</f>
        <v/>
      </c>
      <c r="L600">
        <f>IF(J600="本金",F600+L599,L599)</f>
        <v/>
      </c>
    </row>
    <row r="601">
      <c r="A601" s="615" t="n"/>
      <c r="B601" s="616" t="n"/>
      <c r="C601" s="101" t="n"/>
      <c r="D601" s="617">
        <f>D600+C601-B601</f>
        <v/>
      </c>
      <c r="E601" s="618" t="n"/>
      <c r="F601" s="622" t="n"/>
      <c r="G601" s="620">
        <f>G600+F601-E601</f>
        <v/>
      </c>
      <c r="I601" s="61" t="n"/>
      <c r="J601" t="inlineStr">
        <is>
          <t>投資</t>
        </is>
      </c>
      <c r="K601">
        <f>IF(J601="本金",C601+K600,K600)</f>
        <v/>
      </c>
      <c r="L601">
        <f>IF(J601="本金",F601+L600,L600)</f>
        <v/>
      </c>
    </row>
    <row r="602">
      <c r="A602" s="615" t="n"/>
      <c r="B602" s="616" t="n"/>
      <c r="C602" s="101" t="n"/>
      <c r="D602" s="617">
        <f>D601+C602-B602</f>
        <v/>
      </c>
      <c r="E602" s="618" t="n"/>
      <c r="F602" s="622" t="n"/>
      <c r="G602" s="620">
        <f>G601+F602-E602</f>
        <v/>
      </c>
      <c r="H602" s="61" t="n"/>
      <c r="I602" s="61" t="n"/>
      <c r="J602" t="inlineStr">
        <is>
          <t>投資</t>
        </is>
      </c>
      <c r="K602">
        <f>IF(J602="本金",C602+K601,K601)</f>
        <v/>
      </c>
      <c r="L602">
        <f>IF(J602="本金",F602+L601,L601)</f>
        <v/>
      </c>
    </row>
    <row r="603">
      <c r="A603" s="615" t="n"/>
      <c r="B603" s="616" t="n"/>
      <c r="C603" s="101" t="n"/>
      <c r="D603" s="617">
        <f>D602+C603-B603</f>
        <v/>
      </c>
      <c r="E603" s="618" t="n"/>
      <c r="F603" s="622" t="n"/>
      <c r="G603" s="620">
        <f>G602+F603-E603</f>
        <v/>
      </c>
      <c r="I603" s="61" t="n"/>
      <c r="J603" t="inlineStr">
        <is>
          <t>投資</t>
        </is>
      </c>
      <c r="K603">
        <f>IF(J603="本金",C603+K602,K602)</f>
        <v/>
      </c>
      <c r="L603">
        <f>IF(J603="本金",F603+L602,L602)</f>
        <v/>
      </c>
    </row>
    <row r="604">
      <c r="A604" s="623" t="n"/>
      <c r="B604" s="624" t="n"/>
      <c r="C604" s="111" t="n"/>
      <c r="D604" s="625">
        <f>D603+C604-B604</f>
        <v/>
      </c>
      <c r="E604" s="626" t="n"/>
      <c r="F604" s="627" t="n"/>
      <c r="G604" s="628">
        <f>G603+F604-E604</f>
        <v/>
      </c>
      <c r="H604" s="114" t="n"/>
      <c r="I604" s="114" t="n"/>
      <c r="J604" t="inlineStr">
        <is>
          <t>投資</t>
        </is>
      </c>
      <c r="K604">
        <f>IF(J604="本金",C604+K603,K603)</f>
        <v/>
      </c>
      <c r="L604">
        <f>IF(J604="本金",F604+L603,L603)</f>
        <v/>
      </c>
    </row>
    <row r="605">
      <c r="A605" s="615" t="n"/>
      <c r="B605" s="616" t="n"/>
      <c r="C605" s="101" t="n"/>
      <c r="D605" s="617">
        <f>D604+C605-B605</f>
        <v/>
      </c>
      <c r="E605" s="618" t="n"/>
      <c r="F605" s="622" t="n"/>
      <c r="G605" s="620">
        <f>G604+F605-E605</f>
        <v/>
      </c>
      <c r="H605" s="61" t="n"/>
      <c r="I605" s="61" t="n"/>
      <c r="J605" t="inlineStr">
        <is>
          <t>投資</t>
        </is>
      </c>
      <c r="K605">
        <f>IF(J605="本金",C605+K604,K604)</f>
        <v/>
      </c>
      <c r="L605">
        <f>IF(J605="本金",F605+L604,L604)</f>
        <v/>
      </c>
    </row>
    <row r="606">
      <c r="A606" s="635" t="n"/>
      <c r="B606" s="636" t="n"/>
      <c r="C606" s="170" t="n"/>
      <c r="D606" s="637">
        <f>D605+C606-B606</f>
        <v/>
      </c>
      <c r="E606" s="638" t="n"/>
      <c r="F606" s="639" t="n"/>
      <c r="G606" s="640">
        <f>G605+F606-E606</f>
        <v/>
      </c>
      <c r="H606" s="173" t="n"/>
      <c r="I606" s="173" t="n"/>
      <c r="J606" t="inlineStr">
        <is>
          <t>投資</t>
        </is>
      </c>
      <c r="K606">
        <f>IF(J606="本金",C606+K605,K605)</f>
        <v/>
      </c>
      <c r="L606">
        <f>IF(J606="本金",F606+L605,L605)</f>
        <v/>
      </c>
    </row>
    <row r="607">
      <c r="A607" s="615" t="n"/>
      <c r="B607" s="616" t="n"/>
      <c r="C607" s="101" t="n"/>
      <c r="D607" s="617">
        <f>D606+C607-B607</f>
        <v/>
      </c>
      <c r="E607" s="618" t="n"/>
      <c r="F607" s="622" t="n"/>
      <c r="G607" s="620">
        <f>G606+F607-E607</f>
        <v/>
      </c>
      <c r="H607" s="61" t="n"/>
      <c r="I607" s="61" t="n"/>
      <c r="J607" t="inlineStr">
        <is>
          <t>投資</t>
        </is>
      </c>
      <c r="K607">
        <f>IF(J607="本金",C607+K606,K606)</f>
        <v/>
      </c>
      <c r="L607">
        <f>IF(J607="本金",F607+L605,L605)</f>
        <v/>
      </c>
    </row>
    <row r="608">
      <c r="A608" s="615" t="n"/>
      <c r="B608" s="616" t="n"/>
      <c r="C608" s="101" t="n"/>
      <c r="D608" s="617">
        <f>D607+C608-B608</f>
        <v/>
      </c>
      <c r="E608" s="618" t="n"/>
      <c r="F608" s="622" t="n"/>
      <c r="G608" s="620">
        <f>G607+F608-E608</f>
        <v/>
      </c>
      <c r="H608" s="61" t="n"/>
      <c r="I608" s="61" t="n"/>
      <c r="J608" t="inlineStr">
        <is>
          <t>投資</t>
        </is>
      </c>
      <c r="K608">
        <f>IF(J608="本金",C608+K607,K607)</f>
        <v/>
      </c>
      <c r="L608">
        <f>IF(J608="本金",F608+L606,L606)</f>
        <v/>
      </c>
    </row>
    <row r="609">
      <c r="A609" s="615" t="n"/>
      <c r="B609" s="616" t="n"/>
      <c r="C609" s="101" t="n"/>
      <c r="D609" s="617">
        <f>D608+C609-B609</f>
        <v/>
      </c>
      <c r="E609" s="618" t="n"/>
      <c r="F609" s="622" t="n"/>
      <c r="G609" s="620">
        <f>G608+F609-E609</f>
        <v/>
      </c>
      <c r="H609" s="61" t="n"/>
      <c r="I609" s="61" t="n"/>
      <c r="J609" t="inlineStr">
        <is>
          <t>投資</t>
        </is>
      </c>
      <c r="K609">
        <f>IF(J609="本金",C609+K608,K608)</f>
        <v/>
      </c>
      <c r="L609">
        <f>IF(J609="本金",F609+L608,L608)</f>
        <v/>
      </c>
    </row>
    <row r="610">
      <c r="A610" s="615" t="n"/>
      <c r="B610" s="616" t="n"/>
      <c r="C610" s="101" t="n"/>
      <c r="D610" s="617">
        <f>D609+C610-B610</f>
        <v/>
      </c>
      <c r="E610" s="618" t="n"/>
      <c r="F610" s="622" t="n"/>
      <c r="G610" s="620">
        <f>G609+F610-E610</f>
        <v/>
      </c>
      <c r="H610" s="61" t="n"/>
      <c r="I610" s="61" t="n"/>
      <c r="J610" t="inlineStr">
        <is>
          <t>投資</t>
        </is>
      </c>
      <c r="K610">
        <f>IF(J610="本金",C610+K609,K609)</f>
        <v/>
      </c>
      <c r="L610">
        <f>IF(J610="本金",F610+L607,L607)</f>
        <v/>
      </c>
    </row>
    <row r="611">
      <c r="A611" s="615" t="n"/>
      <c r="B611" s="616" t="n"/>
      <c r="C611" s="101" t="n"/>
      <c r="D611" s="617">
        <f>D610+C611-B611</f>
        <v/>
      </c>
      <c r="E611" s="618" t="n"/>
      <c r="F611" s="622" t="n"/>
      <c r="G611" s="620">
        <f>G610+F611-E611</f>
        <v/>
      </c>
      <c r="H611" s="61" t="n"/>
      <c r="I611" s="61" t="n"/>
      <c r="J611" t="inlineStr">
        <is>
          <t>投資</t>
        </is>
      </c>
      <c r="K611">
        <f>IF(J611="本金",C611+K610,K610)</f>
        <v/>
      </c>
      <c r="L611">
        <f>IF(J611="本金",F611+L608,L608)</f>
        <v/>
      </c>
    </row>
    <row r="612">
      <c r="A612" s="615" t="n"/>
      <c r="B612" s="616" t="n"/>
      <c r="C612" s="101" t="n"/>
      <c r="D612" s="617">
        <f>D611+C612-B612</f>
        <v/>
      </c>
      <c r="E612" s="618" t="n"/>
      <c r="F612" s="622" t="n"/>
      <c r="G612" s="620">
        <f>G611+F612-E612</f>
        <v/>
      </c>
      <c r="I612" s="61" t="n"/>
      <c r="J612" t="inlineStr">
        <is>
          <t>投資</t>
        </is>
      </c>
      <c r="K612">
        <f>IF(J612="本金",C612+K611,K611)</f>
        <v/>
      </c>
      <c r="L612">
        <f>IF(J612="本金",F612+L611,L611)</f>
        <v/>
      </c>
    </row>
    <row r="613">
      <c r="A613" s="615" t="n"/>
      <c r="B613" s="616" t="n"/>
      <c r="C613" s="101" t="n"/>
      <c r="D613" s="617">
        <f>D612+C613-B613</f>
        <v/>
      </c>
      <c r="E613" s="618" t="n"/>
      <c r="F613" s="622" t="n"/>
      <c r="G613" s="620">
        <f>G612+F613-E613</f>
        <v/>
      </c>
      <c r="I613" s="61" t="n"/>
      <c r="J613" t="inlineStr">
        <is>
          <t>投資</t>
        </is>
      </c>
      <c r="K613">
        <f>IF(J613="本金",C613+K612,K612)</f>
        <v/>
      </c>
      <c r="L613">
        <f>IF(J613="本金",F613+L612,L612)</f>
        <v/>
      </c>
    </row>
    <row r="614">
      <c r="A614" s="615" t="n"/>
      <c r="B614" s="616" t="n"/>
      <c r="C614" s="101" t="n"/>
      <c r="D614" s="617">
        <f>D613+C614-B614</f>
        <v/>
      </c>
      <c r="E614" s="618" t="n"/>
      <c r="F614" s="622" t="n"/>
      <c r="G614" s="620">
        <f>G613+F614-E614</f>
        <v/>
      </c>
      <c r="H614" s="61" t="n"/>
      <c r="I614" s="61" t="n"/>
      <c r="J614" t="inlineStr">
        <is>
          <t>投資</t>
        </is>
      </c>
      <c r="K614">
        <f>IF(J614="本金",C614+K613,K613)</f>
        <v/>
      </c>
      <c r="L614">
        <f>IF(J614="本金",F614+L612,L612)</f>
        <v/>
      </c>
    </row>
    <row r="615">
      <c r="A615" s="615" t="n"/>
      <c r="B615" s="616" t="n"/>
      <c r="C615" s="101" t="n"/>
      <c r="D615" s="617">
        <f>D614+C615-B615</f>
        <v/>
      </c>
      <c r="E615" s="618" t="n"/>
      <c r="F615" s="622" t="n"/>
      <c r="G615" s="620">
        <f>G614+F615-E615</f>
        <v/>
      </c>
      <c r="H615" s="61" t="n"/>
      <c r="I615" s="61" t="n"/>
      <c r="J615" t="inlineStr">
        <is>
          <t>投資</t>
        </is>
      </c>
      <c r="K615">
        <f>IF(J615="本金",C615+K614,K614)</f>
        <v/>
      </c>
      <c r="L615">
        <f>IF(J615="本金",F615+L613,L613)</f>
        <v/>
      </c>
    </row>
    <row r="616">
      <c r="A616" s="615" t="n"/>
      <c r="B616" s="616" t="n"/>
      <c r="C616" s="101" t="n"/>
      <c r="D616" s="617">
        <f>D615+C616-B616</f>
        <v/>
      </c>
      <c r="E616" s="618" t="n"/>
      <c r="F616" s="622" t="n"/>
      <c r="G616" s="620">
        <f>G615+F616-E616</f>
        <v/>
      </c>
      <c r="H616" s="61" t="n"/>
      <c r="I616" s="61" t="n"/>
      <c r="J616" t="inlineStr">
        <is>
          <t>投資</t>
        </is>
      </c>
      <c r="K616">
        <f>IF(J616="本金",C616+K615,K615)</f>
        <v/>
      </c>
      <c r="L616">
        <f>IF(J616="本金",F616+L614,L614)</f>
        <v/>
      </c>
    </row>
    <row r="617">
      <c r="A617" s="615" t="n"/>
      <c r="B617" s="616" t="n"/>
      <c r="C617" s="101" t="n"/>
      <c r="D617" s="617">
        <f>D616+C617-B617</f>
        <v/>
      </c>
      <c r="E617" s="618" t="n"/>
      <c r="F617" s="622" t="n"/>
      <c r="G617" s="620">
        <f>G616+F617-E617</f>
        <v/>
      </c>
      <c r="I617" s="61" t="n"/>
      <c r="J617" t="inlineStr">
        <is>
          <t>投資</t>
        </is>
      </c>
      <c r="K617">
        <f>IF(J617="本金",C617+K616,K616)</f>
        <v/>
      </c>
      <c r="L617">
        <f>IF(J617="本金",F617+L616,L616)</f>
        <v/>
      </c>
    </row>
    <row r="618">
      <c r="A618" s="615" t="n"/>
      <c r="B618" s="616" t="n"/>
      <c r="C618" s="101" t="n"/>
      <c r="D618" s="617">
        <f>D617+C618-B618</f>
        <v/>
      </c>
      <c r="E618" s="618" t="n"/>
      <c r="F618" s="622" t="n"/>
      <c r="G618" s="620">
        <f>G617+F618-E618</f>
        <v/>
      </c>
      <c r="I618" s="61" t="n"/>
      <c r="J618" t="inlineStr">
        <is>
          <t>投資</t>
        </is>
      </c>
      <c r="K618">
        <f>IF(J618="本金",C618+K617,K617)</f>
        <v/>
      </c>
      <c r="L618">
        <f>IF(J618="本金",F618+L617,L617)</f>
        <v/>
      </c>
    </row>
    <row r="619">
      <c r="A619" s="623" t="n"/>
      <c r="B619" s="624" t="n"/>
      <c r="C619" s="111" t="n"/>
      <c r="D619" s="625">
        <f>D618+C619-B619</f>
        <v/>
      </c>
      <c r="E619" s="626" t="n"/>
      <c r="F619" s="627" t="n"/>
      <c r="G619" s="628">
        <f>G618+F619-E619</f>
        <v/>
      </c>
      <c r="H619" s="114" t="n"/>
      <c r="I619" s="114" t="n"/>
      <c r="J619" t="inlineStr">
        <is>
          <t>投資</t>
        </is>
      </c>
      <c r="K619">
        <f>IF(J619="本金",C619+K618,K618)</f>
        <v/>
      </c>
      <c r="L619">
        <f>IF(J619="本金",F619+L618,L618)</f>
        <v/>
      </c>
    </row>
    <row r="620">
      <c r="A620" s="635" t="n"/>
      <c r="B620" s="636" t="n"/>
      <c r="C620" s="170" t="n"/>
      <c r="D620" s="637">
        <f>D619+C620-B620</f>
        <v/>
      </c>
      <c r="E620" s="638" t="n"/>
      <c r="F620" s="639" t="n"/>
      <c r="G620" s="640">
        <f>G619+F620-E620</f>
        <v/>
      </c>
      <c r="H620" s="173" t="n"/>
      <c r="I620" s="173" t="n"/>
      <c r="J620" t="inlineStr">
        <is>
          <t>投資</t>
        </is>
      </c>
      <c r="K620">
        <f>IF(J620="本金",C620+K619,K619)</f>
        <v/>
      </c>
      <c r="L620">
        <f>IF(J620="本金",F620+L619,L619)</f>
        <v/>
      </c>
    </row>
    <row r="621">
      <c r="A621" s="615" t="n"/>
      <c r="B621" s="616" t="n"/>
      <c r="C621" s="101" t="n"/>
      <c r="D621" s="617">
        <f>D620+C621-B621</f>
        <v/>
      </c>
      <c r="E621" s="618" t="n"/>
      <c r="F621" s="622" t="n"/>
      <c r="G621" s="620">
        <f>G620+F621-E621</f>
        <v/>
      </c>
      <c r="H621" s="61" t="n"/>
      <c r="I621" s="61" t="n"/>
      <c r="J621" t="inlineStr">
        <is>
          <t>投資</t>
        </is>
      </c>
      <c r="K621">
        <f>IF(J621="本金",C621+K620,K620)</f>
        <v/>
      </c>
      <c r="L621">
        <f>IF(J621="本金",F621+L618,L618)</f>
        <v/>
      </c>
    </row>
    <row r="622">
      <c r="A622" s="615" t="n"/>
      <c r="B622" s="616" t="n"/>
      <c r="C622" s="101" t="n"/>
      <c r="D622" s="617">
        <f>D621+C622-B622</f>
        <v/>
      </c>
      <c r="E622" s="618" t="n"/>
      <c r="F622" s="622" t="n"/>
      <c r="G622" s="620">
        <f>G621+F622-E622</f>
        <v/>
      </c>
      <c r="H622" s="61" t="n"/>
      <c r="I622" s="61" t="n"/>
      <c r="J622" t="inlineStr">
        <is>
          <t>投資</t>
        </is>
      </c>
      <c r="K622">
        <f>IF(J622="本金",C622+K621,K621)</f>
        <v/>
      </c>
      <c r="L622">
        <f>IF(J622="本金",F622+L619,L619)</f>
        <v/>
      </c>
    </row>
    <row r="623">
      <c r="A623" s="615" t="n"/>
      <c r="B623" s="616" t="n"/>
      <c r="C623" s="101" t="n"/>
      <c r="D623" s="617">
        <f>D622+C623-B623</f>
        <v/>
      </c>
      <c r="E623" s="618" t="n"/>
      <c r="F623" s="622" t="n"/>
      <c r="G623" s="620">
        <f>G622+F623-E623</f>
        <v/>
      </c>
      <c r="I623" s="61" t="n"/>
      <c r="J623" t="inlineStr">
        <is>
          <t>投資</t>
        </is>
      </c>
      <c r="K623">
        <f>IF(J623="本金",C623+K622,K622)</f>
        <v/>
      </c>
      <c r="L623">
        <f>IF(J623="本金",F623+L622,L622)</f>
        <v/>
      </c>
    </row>
    <row r="624">
      <c r="A624" s="635" t="n"/>
      <c r="B624" s="636" t="n"/>
      <c r="C624" s="170" t="n"/>
      <c r="D624" s="637">
        <f>D623+C624-B624</f>
        <v/>
      </c>
      <c r="E624" s="638" t="n"/>
      <c r="F624" s="639" t="n"/>
      <c r="G624" s="640">
        <f>G623+F624-E624</f>
        <v/>
      </c>
      <c r="H624" s="173" t="n"/>
      <c r="I624" s="173" t="n"/>
      <c r="J624" t="inlineStr">
        <is>
          <t>投資</t>
        </is>
      </c>
      <c r="K624">
        <f>IF(J624="本金",C624+K623,K623)</f>
        <v/>
      </c>
      <c r="L624">
        <f>IF(J624="本金",F624+L623,L623)</f>
        <v/>
      </c>
    </row>
    <row r="625">
      <c r="A625" s="635" t="n"/>
      <c r="B625" s="636" t="n"/>
      <c r="C625" s="170" t="n"/>
      <c r="D625" s="637">
        <f>D624+C625-B625</f>
        <v/>
      </c>
      <c r="E625" s="638" t="n"/>
      <c r="F625" s="639" t="n"/>
      <c r="G625" s="640">
        <f>G624+F625-E625</f>
        <v/>
      </c>
      <c r="H625" s="173" t="n"/>
      <c r="I625" s="173" t="n"/>
      <c r="J625" t="inlineStr">
        <is>
          <t>投資</t>
        </is>
      </c>
      <c r="K625">
        <f>IF(J625="本金",C625+K624,K624)</f>
        <v/>
      </c>
      <c r="L625">
        <f>IF(J625="本金",F625+L624,L624)</f>
        <v/>
      </c>
    </row>
    <row r="626">
      <c r="A626" s="615" t="n"/>
      <c r="B626" s="616" t="n"/>
      <c r="C626" s="101" t="n"/>
      <c r="D626" s="617">
        <f>D625+C626-B626</f>
        <v/>
      </c>
      <c r="E626" s="618" t="n"/>
      <c r="F626" s="622" t="n"/>
      <c r="G626" s="620">
        <f>G625+F626-E626</f>
        <v/>
      </c>
      <c r="I626" s="61" t="n"/>
      <c r="J626" t="inlineStr">
        <is>
          <t>投資</t>
        </is>
      </c>
      <c r="K626">
        <f>IF(J626="本金",C626+K625,K625)</f>
        <v/>
      </c>
      <c r="L626">
        <f>IF(J626="本金",F626+L625,L625)</f>
        <v/>
      </c>
    </row>
    <row r="627">
      <c r="A627" s="615" t="n"/>
      <c r="B627" s="616" t="n"/>
      <c r="C627" s="101" t="n"/>
      <c r="D627" s="617">
        <f>D626+C627-B627</f>
        <v/>
      </c>
      <c r="E627" s="618" t="n"/>
      <c r="F627" s="622" t="n"/>
      <c r="G627" s="620">
        <f>G626+F627-E627</f>
        <v/>
      </c>
      <c r="H627" s="61" t="n"/>
      <c r="I627" s="61" t="n"/>
      <c r="J627" t="inlineStr">
        <is>
          <t>投資</t>
        </is>
      </c>
      <c r="K627">
        <f>IF(J627="本金",C627+K626,K626)</f>
        <v/>
      </c>
      <c r="L627">
        <f>IF(J627="本金",F627+L626,L626)</f>
        <v/>
      </c>
    </row>
    <row r="628">
      <c r="A628" s="615" t="n"/>
      <c r="B628" s="616" t="n"/>
      <c r="C628" s="101" t="n"/>
      <c r="D628" s="617">
        <f>D627+C628-B628</f>
        <v/>
      </c>
      <c r="E628" s="618" t="n"/>
      <c r="F628" s="622" t="n"/>
      <c r="G628" s="620">
        <f>G627+F628-E628</f>
        <v/>
      </c>
      <c r="H628" s="61" t="n"/>
      <c r="I628" s="61" t="n"/>
      <c r="J628" t="inlineStr">
        <is>
          <t>投資</t>
        </is>
      </c>
      <c r="K628">
        <f>IF(J628="本金",C628+K627,K627)</f>
        <v/>
      </c>
      <c r="L628">
        <f>IF(J628="本金",F628+L627,L627)</f>
        <v/>
      </c>
    </row>
    <row r="629">
      <c r="A629" s="615" t="n"/>
      <c r="B629" s="616" t="n"/>
      <c r="C629" s="101" t="n"/>
      <c r="D629" s="617">
        <f>D628+C629-B629</f>
        <v/>
      </c>
      <c r="E629" s="618" t="n"/>
      <c r="F629" s="622" t="n"/>
      <c r="G629" s="620">
        <f>G628+F629-E629</f>
        <v/>
      </c>
      <c r="I629" s="61" t="n"/>
      <c r="J629" t="inlineStr">
        <is>
          <t>投資</t>
        </is>
      </c>
      <c r="K629">
        <f>IF(J629="本金",C629+K628,K628)</f>
        <v/>
      </c>
      <c r="L629">
        <f>IF(J629="本金",F629+L628,L628)</f>
        <v/>
      </c>
    </row>
    <row r="630">
      <c r="A630" s="615" t="n"/>
      <c r="B630" s="616" t="n"/>
      <c r="C630" s="101" t="n"/>
      <c r="D630" s="617">
        <f>D629+C630-B630</f>
        <v/>
      </c>
      <c r="E630" s="618" t="n"/>
      <c r="F630" s="622" t="n"/>
      <c r="G630" s="620">
        <f>G629+F630-E630</f>
        <v/>
      </c>
      <c r="H630" s="61" t="n"/>
      <c r="I630" s="61" t="n"/>
      <c r="J630" t="inlineStr">
        <is>
          <t>投資</t>
        </is>
      </c>
      <c r="K630">
        <f>IF(J630="本金",C630+K629,K629)</f>
        <v/>
      </c>
      <c r="L630">
        <f>IF(J630="本金",F630+L629,L629)</f>
        <v/>
      </c>
    </row>
    <row r="631">
      <c r="A631" s="615" t="n"/>
      <c r="B631" s="616" t="n"/>
      <c r="C631" s="101" t="n"/>
      <c r="D631" s="617">
        <f>D630+C631-B631</f>
        <v/>
      </c>
      <c r="E631" s="618" t="n"/>
      <c r="F631" s="622" t="n"/>
      <c r="G631" s="620">
        <f>G630+F631-E631</f>
        <v/>
      </c>
      <c r="I631" s="61" t="n"/>
      <c r="J631" t="inlineStr">
        <is>
          <t>投資</t>
        </is>
      </c>
      <c r="K631">
        <f>IF(J631="本金",C631+K630,K630)</f>
        <v/>
      </c>
      <c r="L631">
        <f>IF(J631="本金",F631+L630,L630)</f>
        <v/>
      </c>
    </row>
    <row r="632">
      <c r="A632" s="635" t="n"/>
      <c r="B632" s="636" t="n"/>
      <c r="C632" s="170" t="n"/>
      <c r="D632" s="637">
        <f>D631+C632-B632</f>
        <v/>
      </c>
      <c r="E632" s="638" t="n"/>
      <c r="F632" s="639" t="n"/>
      <c r="G632" s="640">
        <f>G631+F632-E632</f>
        <v/>
      </c>
      <c r="H632" s="173" t="n"/>
      <c r="I632" s="173" t="n"/>
      <c r="J632" t="inlineStr">
        <is>
          <t>投資</t>
        </is>
      </c>
      <c r="K632">
        <f>IF(J632="本金",C632+K631,K631)</f>
        <v/>
      </c>
      <c r="L632">
        <f>IF(J632="本金",F632+L631,L631)</f>
        <v/>
      </c>
    </row>
    <row r="633">
      <c r="A633" s="615" t="n"/>
      <c r="B633" s="616" t="n"/>
      <c r="C633" s="101" t="n"/>
      <c r="D633" s="617">
        <f>D632+C633-B633</f>
        <v/>
      </c>
      <c r="E633" s="618" t="n"/>
      <c r="F633" s="622" t="n"/>
      <c r="G633" s="620">
        <f>G632+F633-E633</f>
        <v/>
      </c>
      <c r="I633" s="61" t="n"/>
      <c r="J633" t="inlineStr">
        <is>
          <t>投資</t>
        </is>
      </c>
      <c r="K633">
        <f>IF(J633="本金",C633+K632,K632)</f>
        <v/>
      </c>
      <c r="L633">
        <f>IF(J633="本金",F633+L632,L632)</f>
        <v/>
      </c>
    </row>
    <row r="634">
      <c r="A634" s="615" t="n"/>
      <c r="B634" s="616" t="n"/>
      <c r="C634" s="101" t="n"/>
      <c r="D634" s="617">
        <f>D633+C634-B634</f>
        <v/>
      </c>
      <c r="E634" s="618" t="n"/>
      <c r="F634" s="622" t="n"/>
      <c r="G634" s="620">
        <f>G633+F634-E634</f>
        <v/>
      </c>
      <c r="I634" s="61" t="n"/>
      <c r="J634" t="inlineStr">
        <is>
          <t>投資</t>
        </is>
      </c>
      <c r="K634">
        <f>IF(J634="本金",C634+K633,K633)</f>
        <v/>
      </c>
      <c r="L634">
        <f>IF(J634="本金",F634+L633,L633)</f>
        <v/>
      </c>
    </row>
    <row r="635">
      <c r="A635" s="635" t="n"/>
      <c r="B635" s="636" t="n"/>
      <c r="C635" s="170" t="n"/>
      <c r="D635" s="637">
        <f>D634+C635-B635</f>
        <v/>
      </c>
      <c r="E635" s="638" t="n"/>
      <c r="F635" s="639" t="n"/>
      <c r="G635" s="640">
        <f>G634+F635-E635</f>
        <v/>
      </c>
      <c r="H635" s="173" t="n"/>
      <c r="I635" s="173" t="n"/>
      <c r="J635" t="inlineStr">
        <is>
          <t>投資</t>
        </is>
      </c>
      <c r="K635">
        <f>IF(J635="本金",C635+K634,K634)</f>
        <v/>
      </c>
      <c r="L635">
        <f>IF(J635="本金",F635+L634,L634)</f>
        <v/>
      </c>
    </row>
    <row r="636">
      <c r="A636" s="615" t="n"/>
      <c r="B636" s="616" t="n"/>
      <c r="C636" s="101" t="n"/>
      <c r="D636" s="617">
        <f>D635+C636-B636</f>
        <v/>
      </c>
      <c r="E636" s="618" t="n"/>
      <c r="F636" s="622" t="n"/>
      <c r="G636" s="620">
        <f>G635+F636-E636</f>
        <v/>
      </c>
      <c r="H636" s="61" t="n"/>
      <c r="I636" s="61" t="n"/>
      <c r="J636" t="inlineStr">
        <is>
          <t>投資</t>
        </is>
      </c>
      <c r="K636">
        <f>IF(J636="本金",C636+K635,K635)</f>
        <v/>
      </c>
      <c r="L636">
        <f>IF(J636="本金",F636+L635,L635)</f>
        <v/>
      </c>
    </row>
    <row r="639">
      <c r="A639" s="506" t="n"/>
      <c r="B639" s="506" t="n"/>
      <c r="C639" s="506" t="n"/>
      <c r="D639" s="649">
        <f>D636</f>
        <v/>
      </c>
      <c r="E639" s="650" t="n"/>
      <c r="F639" s="506" t="n"/>
      <c r="G639" s="649">
        <f>G636</f>
        <v/>
      </c>
      <c r="H639" s="506" t="n"/>
      <c r="I639" s="506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4">
    <outlinePr summaryBelow="1" summaryRight="1"/>
    <pageSetUpPr/>
  </sheetPr>
  <dimension ref="A1:J21"/>
  <sheetViews>
    <sheetView zoomScaleNormal="100" workbookViewId="0">
      <selection activeCell="I21" sqref="I21"/>
    </sheetView>
  </sheetViews>
  <sheetFormatPr baseColWidth="8" defaultColWidth="9" defaultRowHeight="16.5"/>
  <cols>
    <col width="6.125" bestFit="1" customWidth="1" style="76" min="1" max="1"/>
    <col width="9.625" bestFit="1" customWidth="1" style="76" min="2" max="2"/>
    <col width="10.125" bestFit="1" customWidth="1" style="76" min="3" max="3"/>
    <col width="11.5" bestFit="1" customWidth="1" style="76" min="4" max="4"/>
    <col width="11.5" customWidth="1" style="76" min="5" max="5"/>
    <col width="10.25" bestFit="1" customWidth="1" style="76" min="6" max="6"/>
    <col width="12.625" bestFit="1" customWidth="1" style="76" min="7" max="7"/>
    <col width="12.625" customWidth="1" style="76" min="8" max="8"/>
    <col width="13.375" bestFit="1" customWidth="1" style="76" min="9" max="9"/>
    <col width="15" bestFit="1" customWidth="1" style="76" min="10" max="10"/>
    <col width="9" customWidth="1" style="76" min="11" max="16384"/>
  </cols>
  <sheetData>
    <row r="1" ht="33" customHeight="1">
      <c r="A1" s="219" t="inlineStr">
        <is>
          <t>年度</t>
        </is>
      </c>
      <c r="B1" s="219" t="n"/>
      <c r="C1" s="219" t="inlineStr">
        <is>
          <t>投資損益</t>
        </is>
      </c>
      <c r="D1" s="90" t="inlineStr">
        <is>
          <t>交易金額</t>
        </is>
      </c>
      <c r="E1" s="90" t="inlineStr">
        <is>
          <t>存款均額</t>
        </is>
      </c>
      <c r="F1" s="651" t="inlineStr">
        <is>
          <t>交易成本</t>
        </is>
      </c>
      <c r="G1" s="103" t="inlineStr">
        <is>
          <t>投資收益率
交易金額計</t>
        </is>
      </c>
      <c r="H1" s="103" t="inlineStr">
        <is>
          <t>投資收益率
存款均額計</t>
        </is>
      </c>
      <c r="I1" s="220" t="inlineStr">
        <is>
          <t>年化報酬率
交易金額計</t>
        </is>
      </c>
      <c r="J1" s="92" t="n"/>
    </row>
    <row r="2">
      <c r="A2" s="83" t="n">
        <v>2014</v>
      </c>
      <c r="B2" s="83" t="inlineStr">
        <is>
          <t>股票</t>
        </is>
      </c>
      <c r="C2" s="652">
        <f>'14股'!P63</f>
        <v/>
      </c>
      <c r="D2" s="652">
        <f>'14股'!G63</f>
        <v/>
      </c>
      <c r="E2" s="652" t="n"/>
      <c r="F2" s="652">
        <f>SUM('14股'!H63,'14股'!L63:M63)</f>
        <v/>
      </c>
      <c r="G2" s="653">
        <f>C2/D2</f>
        <v/>
      </c>
      <c r="H2" s="653" t="n"/>
      <c r="I2" s="653">
        <f>C2/'14股'!Z63</f>
        <v/>
      </c>
      <c r="J2" s="86" t="n"/>
    </row>
    <row r="3">
      <c r="A3" s="83" t="n">
        <v>2015</v>
      </c>
      <c r="B3" s="83" t="inlineStr">
        <is>
          <t>股票</t>
        </is>
      </c>
      <c r="C3" s="652">
        <f>'15股'!P144</f>
        <v/>
      </c>
      <c r="D3" s="652">
        <f>'15股'!G144</f>
        <v/>
      </c>
      <c r="E3" s="652" t="n"/>
      <c r="F3" s="652">
        <f>SUM('15股'!H144,'15股'!L144:M144)</f>
        <v/>
      </c>
      <c r="G3" s="653">
        <f>'15股'!X144</f>
        <v/>
      </c>
      <c r="H3" s="653" t="n"/>
      <c r="I3" s="653">
        <f>'15股'!Z144</f>
        <v/>
      </c>
      <c r="J3" s="83" t="n"/>
    </row>
    <row r="4">
      <c r="A4" s="87" t="n">
        <v>2015</v>
      </c>
      <c r="B4" s="87" t="inlineStr">
        <is>
          <t>存股</t>
        </is>
      </c>
      <c r="C4" s="654">
        <f>存股!P30</f>
        <v/>
      </c>
      <c r="D4" s="654">
        <f>存股!G30</f>
        <v/>
      </c>
      <c r="E4" s="654" t="n"/>
      <c r="F4" s="654">
        <f>SUM(存股!H30,存股!L30:M30)</f>
        <v/>
      </c>
      <c r="G4" s="655">
        <f>存股!X30</f>
        <v/>
      </c>
      <c r="H4" s="655" t="n"/>
      <c r="I4" s="655">
        <f>存股!Z30</f>
        <v/>
      </c>
      <c r="J4" s="87" t="n"/>
    </row>
    <row r="5">
      <c r="A5" s="83" t="n">
        <v>2016</v>
      </c>
      <c r="B5" s="83" t="inlineStr">
        <is>
          <t>股票</t>
        </is>
      </c>
      <c r="C5" s="652">
        <f>'16股'!P54</f>
        <v/>
      </c>
      <c r="D5" s="652">
        <f>'16股'!G54</f>
        <v/>
      </c>
      <c r="E5" s="652" t="n"/>
      <c r="F5" s="652">
        <f>SUM('16股'!H54,'16股'!L54:M54)</f>
        <v/>
      </c>
      <c r="G5" s="653">
        <f>'16股'!X54</f>
        <v/>
      </c>
      <c r="H5" s="653" t="n"/>
      <c r="I5" s="653">
        <f>'16股'!Z54</f>
        <v/>
      </c>
      <c r="J5" s="83" t="inlineStr">
        <is>
          <t>阿水一式</t>
        </is>
      </c>
    </row>
    <row r="6">
      <c r="A6" s="87" t="n">
        <v>2016</v>
      </c>
      <c r="B6" s="87" t="inlineStr">
        <is>
          <t>存股</t>
        </is>
      </c>
      <c r="C6" s="654">
        <f>存股!P31</f>
        <v/>
      </c>
      <c r="D6" s="654">
        <f>存股!G31</f>
        <v/>
      </c>
      <c r="E6" s="654" t="n"/>
      <c r="F6" s="654">
        <f>SUM(存股!H31,存股!L31:M31)</f>
        <v/>
      </c>
      <c r="G6" s="655">
        <f>存股!X31</f>
        <v/>
      </c>
      <c r="H6" s="655" t="n"/>
      <c r="I6" s="655">
        <f>存股!Z31</f>
        <v/>
      </c>
      <c r="J6" s="87" t="n"/>
    </row>
    <row r="7">
      <c r="A7" s="221" t="n">
        <v>2016</v>
      </c>
      <c r="B7" s="221" t="inlineStr">
        <is>
          <t>期權</t>
        </is>
      </c>
      <c r="C7" s="656">
        <f>'16期'!I692</f>
        <v/>
      </c>
      <c r="D7" s="656" t="n"/>
      <c r="E7" s="656" t="n"/>
      <c r="F7" s="656">
        <f>'16期'!G692</f>
        <v/>
      </c>
      <c r="G7" s="657">
        <f>'16期'!J692</f>
        <v/>
      </c>
      <c r="H7" s="657" t="n"/>
      <c r="I7" s="657">
        <f>'16期'!L692</f>
        <v/>
      </c>
      <c r="J7" s="221" t="inlineStr">
        <is>
          <t>阿水期權專班</t>
        </is>
      </c>
    </row>
    <row r="8">
      <c r="A8" s="83" t="n">
        <v>2017</v>
      </c>
      <c r="B8" s="83" t="inlineStr">
        <is>
          <t>股票</t>
        </is>
      </c>
      <c r="C8" s="652">
        <f>SUM('17股'!P37:R37)</f>
        <v/>
      </c>
      <c r="D8" s="652">
        <f>'17股'!G37</f>
        <v/>
      </c>
      <c r="E8" s="652" t="n"/>
      <c r="F8" s="652">
        <f>SUM('17股'!H37,'17股'!L37:M37)</f>
        <v/>
      </c>
      <c r="G8" s="653">
        <f>'17股'!X37</f>
        <v/>
      </c>
      <c r="H8" s="653" t="n"/>
      <c r="I8" s="653">
        <f>'17股'!Z37</f>
        <v/>
      </c>
      <c r="J8" s="83" t="inlineStr">
        <is>
          <t>阿水學院</t>
        </is>
      </c>
    </row>
    <row r="9">
      <c r="A9" s="221" t="n">
        <v>2017</v>
      </c>
      <c r="B9" s="221" t="inlineStr">
        <is>
          <t>期權</t>
        </is>
      </c>
      <c r="C9" s="656">
        <f>'17期'!I378</f>
        <v/>
      </c>
      <c r="D9" s="656" t="n"/>
      <c r="E9" s="656" t="n"/>
      <c r="F9" s="656">
        <f>'17期'!G378</f>
        <v/>
      </c>
      <c r="G9" s="657">
        <f>'17期'!J378</f>
        <v/>
      </c>
      <c r="H9" s="657" t="n"/>
      <c r="I9" s="657" t="n"/>
      <c r="J9" s="221" t="inlineStr">
        <is>
          <t>阿水心魔班</t>
        </is>
      </c>
    </row>
    <row r="10">
      <c r="A10" s="83" t="n">
        <v>2018</v>
      </c>
      <c r="B10" s="83" t="inlineStr">
        <is>
          <t>股票</t>
        </is>
      </c>
      <c r="C10" s="652">
        <f>SUM('18股'!P21:R21)</f>
        <v/>
      </c>
      <c r="D10" s="652">
        <f>'18股'!G21</f>
        <v/>
      </c>
      <c r="E10" s="652" t="n"/>
      <c r="F10" s="652">
        <f>SUM('18股'!H21,'18股'!L21:M21)</f>
        <v/>
      </c>
      <c r="G10" s="653">
        <f>'18股'!X21</f>
        <v/>
      </c>
      <c r="H10" s="653" t="n"/>
      <c r="I10" s="653">
        <f>'18股'!Z21</f>
        <v/>
      </c>
      <c r="J10" s="83" t="inlineStr">
        <is>
          <t>阿水學院</t>
        </is>
      </c>
    </row>
    <row r="11">
      <c r="A11" s="221" t="n">
        <v>2018</v>
      </c>
      <c r="B11" s="221" t="inlineStr">
        <is>
          <t>期權</t>
        </is>
      </c>
      <c r="C11" s="656">
        <f>'18期'!H1852</f>
        <v/>
      </c>
      <c r="D11" s="656" t="n"/>
      <c r="E11" s="656" t="n"/>
      <c r="F11" s="656">
        <f>'18期'!F1852</f>
        <v/>
      </c>
      <c r="G11" s="657">
        <f>'18期'!I1852</f>
        <v/>
      </c>
      <c r="H11" s="657" t="n"/>
      <c r="I11" s="657" t="n"/>
      <c r="J11" s="221" t="inlineStr">
        <is>
          <t>阿水制霸班</t>
        </is>
      </c>
    </row>
    <row r="12">
      <c r="A12" s="83" t="n">
        <v>2019</v>
      </c>
      <c r="B12" s="83" t="inlineStr">
        <is>
          <t>股票</t>
        </is>
      </c>
      <c r="C12" s="652">
        <f>'19股'!P18</f>
        <v/>
      </c>
      <c r="D12" s="652">
        <f>'19股'!G18</f>
        <v/>
      </c>
      <c r="E12" s="652" t="n"/>
      <c r="F12" s="652">
        <f>SUM('19股'!H18,'19股'!L18:M18)</f>
        <v/>
      </c>
      <c r="G12" s="653">
        <f>'19股'!X18</f>
        <v/>
      </c>
      <c r="H12" s="653" t="n"/>
      <c r="I12" s="653">
        <f>'19股'!Z18</f>
        <v/>
      </c>
      <c r="J12" s="83" t="inlineStr">
        <is>
          <t>阿水學院</t>
        </is>
      </c>
    </row>
    <row r="13">
      <c r="A13" s="221" t="n">
        <v>2019</v>
      </c>
      <c r="B13" s="221" t="inlineStr">
        <is>
          <t>期權</t>
        </is>
      </c>
      <c r="C13" s="656">
        <f>'19期'!H290</f>
        <v/>
      </c>
      <c r="D13" s="656" t="n"/>
      <c r="E13" s="656" t="n"/>
      <c r="F13" s="656">
        <f>'19期'!F290</f>
        <v/>
      </c>
      <c r="G13" s="657">
        <f>'19期'!I290</f>
        <v/>
      </c>
      <c r="H13" s="657" t="n"/>
      <c r="I13" s="657" t="n"/>
      <c r="J13" s="221" t="n"/>
    </row>
    <row r="14">
      <c r="A14" s="221" t="n">
        <v>2021</v>
      </c>
      <c r="B14" s="221" t="inlineStr">
        <is>
          <t>期權(共)</t>
        </is>
      </c>
      <c r="C14" s="656" t="n">
        <v>-100000</v>
      </c>
      <c r="D14" s="656" t="n"/>
      <c r="E14" s="656" t="n"/>
      <c r="F14" s="656">
        <f>'19期'!F291</f>
        <v/>
      </c>
      <c r="G14" s="657">
        <f>'19期'!I291</f>
        <v/>
      </c>
      <c r="H14" s="657" t="n"/>
      <c r="I14" s="657" t="n"/>
      <c r="J14" s="221" t="n"/>
    </row>
    <row r="15">
      <c r="A15" s="221" t="n">
        <v>2022</v>
      </c>
      <c r="B15" s="221" t="inlineStr">
        <is>
          <t>期權</t>
        </is>
      </c>
      <c r="C15" s="656">
        <f>'Even 期權'!L16</f>
        <v/>
      </c>
      <c r="D15" s="656" t="n"/>
      <c r="E15" s="656" t="n"/>
      <c r="F15" s="656" t="n"/>
      <c r="G15" s="657" t="n"/>
      <c r="H15" s="657" t="n"/>
      <c r="I15" s="657" t="n"/>
      <c r="J15" s="221" t="n"/>
    </row>
    <row r="16">
      <c r="A16" s="221" t="n">
        <v>2023</v>
      </c>
      <c r="B16" s="221" t="inlineStr">
        <is>
          <t>期權</t>
        </is>
      </c>
      <c r="C16" s="656">
        <f>'Even 期權'!L22</f>
        <v/>
      </c>
      <c r="D16" s="656" t="n"/>
      <c r="E16" s="656" t="n"/>
      <c r="F16" s="656" t="n"/>
      <c r="G16" s="657" t="n"/>
      <c r="H16" s="657" t="n"/>
      <c r="I16" s="657" t="n"/>
      <c r="J16" s="221" t="n"/>
    </row>
    <row r="17">
      <c r="A17" s="221" t="n">
        <v>2024</v>
      </c>
      <c r="B17" s="221" t="inlineStr">
        <is>
          <t>期權</t>
        </is>
      </c>
      <c r="C17" s="656">
        <f>'Even 期權'!L151</f>
        <v/>
      </c>
      <c r="D17" s="656" t="n"/>
      <c r="E17" s="656" t="n"/>
      <c r="F17" s="656" t="n"/>
      <c r="G17" s="657" t="n"/>
      <c r="H17" s="657" t="n"/>
      <c r="I17" s="657" t="n"/>
      <c r="J17" s="221" t="n"/>
    </row>
    <row r="18">
      <c r="A18" s="221" t="n">
        <v>2025</v>
      </c>
      <c r="B18" s="221" t="inlineStr">
        <is>
          <t>期權</t>
        </is>
      </c>
      <c r="C18" s="656">
        <f>'Even 期權'!L1007</f>
        <v/>
      </c>
      <c r="D18" s="656" t="n"/>
      <c r="E18" s="656" t="n"/>
      <c r="F18" s="656" t="n"/>
      <c r="G18" s="657" t="n"/>
      <c r="H18" s="657" t="n"/>
      <c r="I18" s="657" t="n"/>
      <c r="J18" s="221" t="n"/>
    </row>
    <row r="19">
      <c r="A19" s="83" t="n">
        <v>2025</v>
      </c>
      <c r="B19" s="83" t="inlineStr">
        <is>
          <t>股票</t>
        </is>
      </c>
      <c r="C19" s="652">
        <f>'2025'!P107</f>
        <v/>
      </c>
      <c r="D19" s="652">
        <f>'2025'!G107</f>
        <v/>
      </c>
      <c r="E19" s="652" t="n"/>
      <c r="F19" s="652">
        <f>SUM('2025'!H107,'2025'!L107:M107)</f>
        <v/>
      </c>
      <c r="G19" s="653">
        <f>'2025'!X107</f>
        <v/>
      </c>
      <c r="H19" s="653" t="n"/>
      <c r="I19" s="653">
        <f>'2025'!Z107</f>
        <v/>
      </c>
      <c r="J19" s="83" t="n"/>
    </row>
    <row r="20">
      <c r="A20" s="92" t="n"/>
      <c r="B20" s="92" t="n"/>
      <c r="C20" s="658" t="n"/>
      <c r="D20" s="658" t="n"/>
      <c r="E20" s="658" t="n"/>
      <c r="F20" s="658" t="n"/>
      <c r="G20" s="659" t="n"/>
      <c r="H20" s="659" t="n"/>
      <c r="I20" s="659" t="n"/>
      <c r="J20" s="92" t="n"/>
    </row>
    <row r="21">
      <c r="A21" s="92" t="n"/>
      <c r="B21" s="92" t="n"/>
      <c r="C21" s="658">
        <f>SUM(C2:C20)</f>
        <v/>
      </c>
      <c r="D21" s="658">
        <f>SUM(D2:D20)</f>
        <v/>
      </c>
      <c r="E21" s="658" t="n"/>
      <c r="F21" s="658">
        <f>SUM(F2:F20)</f>
        <v/>
      </c>
      <c r="G21" s="659">
        <f>C21/D21</f>
        <v/>
      </c>
      <c r="H21" s="659" t="n"/>
      <c r="I21" s="660" t="n">
        <v>-0.7359594844483076</v>
      </c>
      <c r="J21" s="92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Sheet20">
    <outlinePr summaryBelow="0" summaryRight="0"/>
    <pageSetUpPr/>
  </sheetPr>
  <dimension ref="A1:AD138"/>
  <sheetViews>
    <sheetView tabSelected="1"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02" sqref="A96:XFD102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68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9" min="27" max="27"/>
    <col width="12.125" bestFit="1" customWidth="1" style="28" min="28" max="28"/>
    <col width="30.125" customWidth="1" style="28" min="29" max="29"/>
    <col width="19.875" bestFit="1" customWidth="1" style="9" min="30" max="30"/>
    <col width="9" customWidth="1" style="9" min="31" max="16384"/>
  </cols>
  <sheetData>
    <row r="1" collapsed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6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175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78" t="inlineStr">
        <is>
          <t>買進理由</t>
        </is>
      </c>
      <c r="AC1" s="479" t="inlineStr">
        <is>
          <t>賣出理由</t>
        </is>
      </c>
    </row>
    <row r="2" hidden="1" outlineLevel="1">
      <c r="A2" s="95" t="n">
        <v>45707</v>
      </c>
      <c r="B2" s="11" t="n"/>
      <c r="C2" s="11" t="n">
        <v>3078</v>
      </c>
      <c r="D2" s="163" t="inlineStr">
        <is>
          <t>僑威</t>
        </is>
      </c>
      <c r="E2" s="11" t="n">
        <v>1000</v>
      </c>
      <c r="F2" s="11" t="n">
        <v>87.90000000000001</v>
      </c>
      <c r="G2" s="583">
        <f>E2*F2</f>
        <v/>
      </c>
      <c r="H2" s="11" t="n">
        <v>75</v>
      </c>
      <c r="I2" s="99" t="n">
        <v>45709</v>
      </c>
      <c r="J2" s="16" t="n">
        <v>85.3</v>
      </c>
      <c r="K2" s="11">
        <f>E2*J2</f>
        <v/>
      </c>
      <c r="L2" s="17" t="n">
        <v>72</v>
      </c>
      <c r="M2" s="11" t="n">
        <v>255</v>
      </c>
      <c r="N2" s="11" t="n">
        <v>0</v>
      </c>
      <c r="O2" s="584">
        <f>IF(I2="",E2*Y2,0)</f>
        <v/>
      </c>
      <c r="P2" s="585">
        <f>IF(I2="",R2-H2,(K2-H2-SUM(L2:N2)+R2-S2-T2)-G2)+(ROUND(R2*V2,0)-ROUND(R2*(1+V2),0)*W2)</f>
        <v/>
      </c>
      <c r="Q2" s="585">
        <f>IF(I2="",(O2-G2-(O2*0.1425%*0.65)-(O2*0.3%)-S2-T2),0)</f>
        <v/>
      </c>
      <c r="R2" s="585" t="n"/>
      <c r="S2" s="585" t="n">
        <v>10</v>
      </c>
      <c r="T2" s="585" t="n"/>
      <c r="U2" s="65">
        <f>(V2*50%)/(1+50%*V2)</f>
        <v/>
      </c>
      <c r="V2" s="65" t="n"/>
      <c r="W2" s="66" t="n">
        <v>0.11</v>
      </c>
      <c r="X2" s="586">
        <f>(P2+Q2)/G2</f>
        <v/>
      </c>
      <c r="Y2" s="16">
        <f>VLOOKUP(C2,每日行情!A:D,4,FALSE)</f>
        <v/>
      </c>
      <c r="Z2" s="587">
        <f>VLOOKUP(C2,每日行情!A:E,5,FALSE)</f>
        <v/>
      </c>
      <c r="AA2" s="588">
        <f>IF(I2="",((TODAY()-A2)*G2)/365.24,((I2-A2)*G2)/365.24)</f>
        <v/>
      </c>
      <c r="AB2" s="98" t="inlineStr">
        <is>
          <t>強勢股</t>
        </is>
      </c>
      <c r="AC2" s="108" t="inlineStr">
        <is>
          <t>破10日線，認賠出場</t>
        </is>
      </c>
    </row>
    <row r="3" hidden="1" outlineLevel="1">
      <c r="A3" s="95" t="n">
        <v>45698</v>
      </c>
      <c r="B3" s="11" t="n"/>
      <c r="C3" s="11" t="n">
        <v>6245</v>
      </c>
      <c r="D3" s="163" t="inlineStr">
        <is>
          <t>立端</t>
        </is>
      </c>
      <c r="E3" s="11" t="n">
        <v>1000</v>
      </c>
      <c r="F3" s="11" t="n">
        <v>113.5</v>
      </c>
      <c r="G3" s="583">
        <f>E3*F3</f>
        <v/>
      </c>
      <c r="H3" s="11" t="n">
        <v>97</v>
      </c>
      <c r="I3" s="99" t="n">
        <v>45713</v>
      </c>
      <c r="J3" s="16" t="n">
        <v>115.5</v>
      </c>
      <c r="K3" s="11">
        <f>E3*J3</f>
        <v/>
      </c>
      <c r="L3" s="17" t="n">
        <v>98</v>
      </c>
      <c r="M3" s="11" t="n">
        <v>346</v>
      </c>
      <c r="N3" s="11" t="n">
        <v>0</v>
      </c>
      <c r="O3" s="584">
        <f>IF(I3="",E3*Y3,0)</f>
        <v/>
      </c>
      <c r="P3" s="585">
        <f>IF(I3="",R3-H3,(K3-H3-SUM(L3:N3)+R3-S3-T3)-G3)+(ROUND(R3*V3,0)-ROUND(R3*(1+V3),0)*W3)</f>
        <v/>
      </c>
      <c r="Q3" s="585">
        <f>IF(I3="",(O3-G3-(O3*0.1425%*0.65)-(O3*0.3%)-S3-T3),0)</f>
        <v/>
      </c>
      <c r="R3" s="585" t="n"/>
      <c r="S3" s="585" t="n">
        <v>10</v>
      </c>
      <c r="T3" s="585" t="n"/>
      <c r="U3" s="65">
        <f>(V3*50%)/(1+50%*V3)</f>
        <v/>
      </c>
      <c r="V3" s="65" t="n"/>
      <c r="W3" s="66" t="n">
        <v>0.11</v>
      </c>
      <c r="X3" s="586">
        <f>(P3+Q3)/G3</f>
        <v/>
      </c>
      <c r="Y3" s="16">
        <f>VLOOKUP(C3,每日行情!A:D,4,FALSE)</f>
        <v/>
      </c>
      <c r="Z3" s="587">
        <f>VLOOKUP(C3,每日行情!A:E,5,FALSE)</f>
        <v/>
      </c>
      <c r="AA3" s="588">
        <f>IF(I3="",((TODAY()-A3)*G3)/365.24,((I3-A3)*G3)/365.24)</f>
        <v/>
      </c>
      <c r="AB3" s="98" t="inlineStr">
        <is>
          <t>強勢股</t>
        </is>
      </c>
      <c r="AC3" s="214" t="inlineStr">
        <is>
          <t>破5日線，獲利了結</t>
        </is>
      </c>
    </row>
    <row r="4" hidden="1" outlineLevel="1">
      <c r="A4" s="95" t="n">
        <v>45699</v>
      </c>
      <c r="B4" s="11" t="n"/>
      <c r="C4" s="11" t="n">
        <v>6596</v>
      </c>
      <c r="D4" s="163" t="inlineStr">
        <is>
          <t>寬宏藝術</t>
        </is>
      </c>
      <c r="E4" s="11" t="n">
        <v>1000</v>
      </c>
      <c r="F4" s="11" t="n">
        <v>92.5</v>
      </c>
      <c r="G4" s="583">
        <f>E4*F4</f>
        <v/>
      </c>
      <c r="H4" s="11" t="n">
        <v>79</v>
      </c>
      <c r="I4" s="99" t="n">
        <v>45714</v>
      </c>
      <c r="J4" s="16" t="n">
        <v>91.90000000000001</v>
      </c>
      <c r="K4" s="11">
        <f>E4*J4</f>
        <v/>
      </c>
      <c r="L4" s="17" t="n">
        <v>78</v>
      </c>
      <c r="M4" s="11" t="n">
        <v>275</v>
      </c>
      <c r="N4" s="11" t="n">
        <v>0</v>
      </c>
      <c r="O4" s="584">
        <f>IF(I4="",E4*Y4,0)</f>
        <v/>
      </c>
      <c r="P4" s="585">
        <f>IF(I4="",R4-H4,(K4-H4-SUM(L4:N4)+R4-S4-T4)-G4)+(ROUND(R4*V4,0)-ROUND(R4*(1+V4),0)*W4)</f>
        <v/>
      </c>
      <c r="Q4" s="585">
        <f>IF(I4="",(O4-G4-(O4*0.1425%*0.65)-(O4*0.3%)-S4-T4),0)</f>
        <v/>
      </c>
      <c r="R4" s="585" t="n"/>
      <c r="S4" s="585" t="n">
        <v>10</v>
      </c>
      <c r="T4" s="585" t="n"/>
      <c r="U4" s="65">
        <f>(V4*50%)/(1+50%*V4)</f>
        <v/>
      </c>
      <c r="V4" s="65" t="n"/>
      <c r="W4" s="66" t="n">
        <v>0.11</v>
      </c>
      <c r="X4" s="586">
        <f>(P4+Q4)/G4</f>
        <v/>
      </c>
      <c r="Y4" s="16">
        <f>VLOOKUP(C4,每日行情!A:D,4,FALSE)</f>
        <v/>
      </c>
      <c r="Z4" s="587">
        <f>VLOOKUP(C4,每日行情!A:E,5,FALSE)</f>
        <v/>
      </c>
      <c r="AA4" s="588">
        <f>IF(I4="",((TODAY()-A4)*G4)/365.24,((I4-A4)*G4)/365.24)</f>
        <v/>
      </c>
      <c r="AB4" s="98" t="inlineStr">
        <is>
          <t>強勢股</t>
        </is>
      </c>
      <c r="AC4" s="108" t="inlineStr">
        <is>
          <t>破10日線，認賠出場</t>
        </is>
      </c>
    </row>
    <row r="5" hidden="1" outlineLevel="1">
      <c r="A5" s="95" t="n">
        <v>45702</v>
      </c>
      <c r="B5" s="11" t="n"/>
      <c r="C5" s="11" t="n">
        <v>2301</v>
      </c>
      <c r="D5" s="163" t="inlineStr">
        <is>
          <t>光寶科</t>
        </is>
      </c>
      <c r="E5" s="11" t="n">
        <v>1000</v>
      </c>
      <c r="F5" s="11" t="n">
        <v>110.5</v>
      </c>
      <c r="G5" s="583">
        <f>E5*F5</f>
        <v/>
      </c>
      <c r="H5" s="11" t="n">
        <v>94</v>
      </c>
      <c r="I5" s="99" t="n">
        <v>45715</v>
      </c>
      <c r="J5" s="16" t="n">
        <v>110</v>
      </c>
      <c r="K5" s="11">
        <f>E5*J5</f>
        <v/>
      </c>
      <c r="L5" s="17" t="n">
        <v>94</v>
      </c>
      <c r="M5" s="11" t="n">
        <v>330</v>
      </c>
      <c r="N5" s="11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/>
      <c r="S5" s="585" t="n">
        <v>10</v>
      </c>
      <c r="T5" s="585" t="n"/>
      <c r="U5" s="65">
        <f>(V5*50%)/(1+50%*V5)</f>
        <v/>
      </c>
      <c r="V5" s="65" t="n"/>
      <c r="W5" s="66" t="n">
        <v>0.11</v>
      </c>
      <c r="X5" s="586">
        <f>(P5+Q5)/G5</f>
        <v/>
      </c>
      <c r="Y5" s="16">
        <f>VLOOKUP(C5,每日行情!A:D,4,FALSE)</f>
        <v/>
      </c>
      <c r="Z5" s="587">
        <f>VLOOKUP(C5,每日行情!A:E,5,FALSE)</f>
        <v/>
      </c>
      <c r="AA5" s="588">
        <f>IF(I5="",((TODAY()-A5)*G5)/365.24,((I5-A5)*G5)/365.24)</f>
        <v/>
      </c>
      <c r="AB5" s="98" t="inlineStr">
        <is>
          <t>強勢股</t>
        </is>
      </c>
      <c r="AC5" s="108" t="inlineStr">
        <is>
          <t>破10日線，認賠出場</t>
        </is>
      </c>
    </row>
    <row r="6" hidden="1" outlineLevel="1">
      <c r="A6" s="95" t="n">
        <v>45706</v>
      </c>
      <c r="B6" s="11" t="n"/>
      <c r="C6" s="11" t="n">
        <v>2883</v>
      </c>
      <c r="D6" s="163" t="inlineStr">
        <is>
          <t>凱基金</t>
        </is>
      </c>
      <c r="E6" s="11" t="n">
        <v>1000</v>
      </c>
      <c r="F6" s="11" t="n">
        <v>17.9</v>
      </c>
      <c r="G6" s="583">
        <f>E6*F6</f>
        <v/>
      </c>
      <c r="H6" s="11" t="n">
        <v>20</v>
      </c>
      <c r="I6" s="99" t="n">
        <v>45715</v>
      </c>
      <c r="J6" s="16" t="n">
        <v>18.15</v>
      </c>
      <c r="K6" s="11">
        <f>E6*J6</f>
        <v/>
      </c>
      <c r="L6" s="17" t="n">
        <v>20</v>
      </c>
      <c r="M6" s="11" t="n">
        <v>54</v>
      </c>
      <c r="N6" s="11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>
        <v>10</v>
      </c>
      <c r="T6" s="585" t="n"/>
      <c r="U6" s="65">
        <f>(V6*50%)/(1+50%*V6)</f>
        <v/>
      </c>
      <c r="V6" s="65" t="n"/>
      <c r="W6" s="66" t="n">
        <v>0.11</v>
      </c>
      <c r="X6" s="586">
        <f>(P6+Q6)/G6</f>
        <v/>
      </c>
      <c r="Y6" s="16">
        <f>VLOOKUP(C6,每日行情!A:D,4,FALSE)</f>
        <v/>
      </c>
      <c r="Z6" s="587">
        <f>VLOOKUP(C6,每日行情!A:E,5,FALSE)</f>
        <v/>
      </c>
      <c r="AA6" s="588">
        <f>IF(I6="",((TODAY()-A6)*G6)/365.24,((I6-A6)*G6)/365.24)</f>
        <v/>
      </c>
      <c r="AB6" s="98" t="inlineStr">
        <is>
          <t>強勢股</t>
        </is>
      </c>
      <c r="AC6" s="214" t="inlineStr">
        <is>
          <t>破10日線，獲利了結</t>
        </is>
      </c>
    </row>
    <row r="7" hidden="1" outlineLevel="1">
      <c r="A7" s="95" t="n">
        <v>45702</v>
      </c>
      <c r="B7" s="11" t="n"/>
      <c r="C7" s="11" t="n">
        <v>2884</v>
      </c>
      <c r="D7" s="163" t="inlineStr">
        <is>
          <t>玉山金</t>
        </is>
      </c>
      <c r="E7" s="11" t="n">
        <v>1000</v>
      </c>
      <c r="F7" s="11" t="n">
        <v>29.1</v>
      </c>
      <c r="G7" s="583">
        <f>E7*F7</f>
        <v/>
      </c>
      <c r="H7" s="11" t="n">
        <v>24</v>
      </c>
      <c r="I7" s="99" t="n">
        <v>45715</v>
      </c>
      <c r="J7" s="16" t="n">
        <v>29.5</v>
      </c>
      <c r="K7" s="11">
        <f>E7*J7</f>
        <v/>
      </c>
      <c r="L7" s="17" t="n">
        <v>25</v>
      </c>
      <c r="M7" s="11" t="n">
        <v>88</v>
      </c>
      <c r="N7" s="11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>
        <v>10</v>
      </c>
      <c r="T7" s="585" t="n"/>
      <c r="U7" s="65">
        <f>(V7*50%)/(1+50%*V7)</f>
        <v/>
      </c>
      <c r="V7" s="65" t="n"/>
      <c r="W7" s="66" t="n">
        <v>0.11</v>
      </c>
      <c r="X7" s="586">
        <f>(P7+Q7)/G7</f>
        <v/>
      </c>
      <c r="Y7" s="16">
        <f>VLOOKUP(C7,每日行情!A:D,4,FALSE)</f>
        <v/>
      </c>
      <c r="Z7" s="587">
        <f>VLOOKUP(C7,每日行情!A:E,5,FALSE)</f>
        <v/>
      </c>
      <c r="AA7" s="588">
        <f>IF(I7="",((TODAY()-A7)*G7)/365.24,((I7-A7)*G7)/365.24)</f>
        <v/>
      </c>
      <c r="AB7" s="98" t="inlineStr">
        <is>
          <t>強勢股</t>
        </is>
      </c>
      <c r="AC7" s="214" t="inlineStr">
        <is>
          <t>破10日線，獲利了結</t>
        </is>
      </c>
    </row>
    <row r="8" hidden="1" outlineLevel="1">
      <c r="A8" s="95" t="n">
        <v>45698</v>
      </c>
      <c r="B8" s="11" t="n"/>
      <c r="C8" s="11" t="n">
        <v>6206</v>
      </c>
      <c r="D8" s="163" t="inlineStr">
        <is>
          <t>飛捷</t>
        </is>
      </c>
      <c r="E8" s="11" t="n">
        <v>1000</v>
      </c>
      <c r="F8" s="11" t="n">
        <v>118.5</v>
      </c>
      <c r="G8" s="583">
        <f>E8*F8</f>
        <v/>
      </c>
      <c r="H8" s="11" t="n">
        <v>101</v>
      </c>
      <c r="I8" s="99" t="n">
        <v>45715</v>
      </c>
      <c r="J8" s="16" t="n">
        <v>162.5</v>
      </c>
      <c r="K8" s="11">
        <f>E8*J8</f>
        <v/>
      </c>
      <c r="L8" s="17" t="n">
        <v>138</v>
      </c>
      <c r="M8" s="11" t="n">
        <v>487</v>
      </c>
      <c r="N8" s="11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>
        <v>10</v>
      </c>
      <c r="T8" s="585" t="n"/>
      <c r="U8" s="65">
        <f>(V8*50%)/(1+50%*V8)</f>
        <v/>
      </c>
      <c r="V8" s="65" t="n"/>
      <c r="W8" s="66" t="n">
        <v>0.11</v>
      </c>
      <c r="X8" s="586">
        <f>(P8+Q8)/G8</f>
        <v/>
      </c>
      <c r="Y8" s="16">
        <f>VLOOKUP(C8,每日行情!A:D,4,FALSE)</f>
        <v/>
      </c>
      <c r="Z8" s="587">
        <f>VLOOKUP(C8,每日行情!A:E,5,FALSE)</f>
        <v/>
      </c>
      <c r="AA8" s="588">
        <f>IF(I8="",((TODAY()-A8)*G8)/365.24,((I8-A8)*G8)/365.24)</f>
        <v/>
      </c>
      <c r="AB8" s="98" t="inlineStr">
        <is>
          <t>強勢股</t>
        </is>
      </c>
      <c r="AC8" s="214" t="inlineStr">
        <is>
          <t>破10日線，獲利了結</t>
        </is>
      </c>
    </row>
    <row r="9" hidden="1" outlineLevel="1">
      <c r="A9" s="95" t="n">
        <v>45702</v>
      </c>
      <c r="B9" s="11" t="n"/>
      <c r="C9" s="11" t="n">
        <v>1605</v>
      </c>
      <c r="D9" s="163" t="inlineStr">
        <is>
          <t>華新</t>
        </is>
      </c>
      <c r="E9" s="11" t="n">
        <v>1000</v>
      </c>
      <c r="F9" s="11" t="n">
        <v>26.65</v>
      </c>
      <c r="G9" s="583">
        <f>E9*F9</f>
        <v/>
      </c>
      <c r="H9" s="11" t="n">
        <v>23</v>
      </c>
      <c r="I9" s="99" t="n">
        <v>45720</v>
      </c>
      <c r="J9" s="16" t="n">
        <v>27.6</v>
      </c>
      <c r="K9" s="11">
        <f>E9*J9</f>
        <v/>
      </c>
      <c r="L9" s="17" t="n">
        <v>23</v>
      </c>
      <c r="M9" s="11" t="n">
        <v>82</v>
      </c>
      <c r="N9" s="11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>
        <v>10</v>
      </c>
      <c r="T9" s="585" t="n"/>
      <c r="U9" s="65">
        <f>(V9*50%)/(1+50%*V9)</f>
        <v/>
      </c>
      <c r="V9" s="65" t="n"/>
      <c r="W9" s="66" t="n">
        <v>0.11</v>
      </c>
      <c r="X9" s="586">
        <f>(P9+Q9)/G9</f>
        <v/>
      </c>
      <c r="Y9" s="16">
        <f>VLOOKUP(C9,每日行情!A:D,4,FALSE)</f>
        <v/>
      </c>
      <c r="Z9" s="587">
        <f>VLOOKUP(C9,每日行情!A:E,5,FALSE)</f>
        <v/>
      </c>
      <c r="AA9" s="588">
        <f>IF(I9="",((TODAY()-A9)*G9)/365.24,((I9-A9)*G9)/365.24)</f>
        <v/>
      </c>
      <c r="AB9" s="98" t="inlineStr">
        <is>
          <t>強勢股</t>
        </is>
      </c>
      <c r="AC9" s="214" t="inlineStr">
        <is>
          <t>破10日線，獲利了結</t>
        </is>
      </c>
    </row>
    <row r="10" hidden="1" outlineLevel="1">
      <c r="A10" s="95" t="n">
        <v>45702</v>
      </c>
      <c r="B10" s="11" t="n"/>
      <c r="C10" s="11" t="n">
        <v>1605</v>
      </c>
      <c r="D10" s="163" t="inlineStr">
        <is>
          <t>華新</t>
        </is>
      </c>
      <c r="E10" s="11" t="n">
        <v>1000</v>
      </c>
      <c r="F10" s="11" t="n">
        <v>26.65</v>
      </c>
      <c r="G10" s="583">
        <f>E10*F10</f>
        <v/>
      </c>
      <c r="H10" s="11" t="n">
        <v>22</v>
      </c>
      <c r="I10" s="99" t="n">
        <v>45721</v>
      </c>
      <c r="J10" s="16" t="n">
        <v>27.75</v>
      </c>
      <c r="K10" s="11">
        <f>E10*J10</f>
        <v/>
      </c>
      <c r="L10" s="17" t="n">
        <v>23</v>
      </c>
      <c r="M10" s="11" t="n">
        <v>83</v>
      </c>
      <c r="N10" s="11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>
        <v>10</v>
      </c>
      <c r="T10" s="585" t="n"/>
      <c r="U10" s="65">
        <f>(V10*50%)/(1+50%*V10)</f>
        <v/>
      </c>
      <c r="V10" s="65" t="n"/>
      <c r="W10" s="66" t="n">
        <v>0.11</v>
      </c>
      <c r="X10" s="586">
        <f>(P10+Q10)/G10</f>
        <v/>
      </c>
      <c r="Y10" s="16">
        <f>VLOOKUP(C10,每日行情!A:D,4,FALSE)</f>
        <v/>
      </c>
      <c r="Z10" s="587">
        <f>VLOOKUP(C10,每日行情!A:E,5,FALSE)</f>
        <v/>
      </c>
      <c r="AA10" s="588">
        <f>IF(I10="",((TODAY()-A10)*G10)/365.24,((I10-A10)*G10)/365.24)</f>
        <v/>
      </c>
      <c r="AB10" s="98" t="inlineStr">
        <is>
          <t>強勢股</t>
        </is>
      </c>
      <c r="AC10" s="214" t="inlineStr">
        <is>
          <t>破10日線，獲利了結</t>
        </is>
      </c>
    </row>
    <row r="11" hidden="1" outlineLevel="1">
      <c r="A11" s="95" t="n">
        <v>45709</v>
      </c>
      <c r="B11" s="11" t="n"/>
      <c r="C11" s="11" t="n">
        <v>2357</v>
      </c>
      <c r="D11" s="163" t="inlineStr">
        <is>
          <t>華碩</t>
        </is>
      </c>
      <c r="E11" s="11" t="n">
        <v>100</v>
      </c>
      <c r="F11" s="11" t="n">
        <v>700</v>
      </c>
      <c r="G11" s="583">
        <f>E11*F11</f>
        <v/>
      </c>
      <c r="H11" s="11" t="n">
        <v>59</v>
      </c>
      <c r="I11" s="99" t="n">
        <v>45727</v>
      </c>
      <c r="J11" s="16" t="n">
        <v>646</v>
      </c>
      <c r="K11" s="11">
        <f>E11*J11</f>
        <v/>
      </c>
      <c r="L11" s="17" t="n">
        <v>55</v>
      </c>
      <c r="M11" s="11" t="n">
        <v>193</v>
      </c>
      <c r="N11" s="11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>
        <v>10</v>
      </c>
      <c r="T11" s="585" t="n"/>
      <c r="U11" s="65">
        <f>(V11*50%)/(1+50%*V11)</f>
        <v/>
      </c>
      <c r="V11" s="65" t="n"/>
      <c r="W11" s="66" t="n">
        <v>0.11</v>
      </c>
      <c r="X11" s="586">
        <f>(P11+Q11)/G11</f>
        <v/>
      </c>
      <c r="Y11" s="16">
        <f>VLOOKUP(C11,每日行情!A:D,4,FALSE)</f>
        <v/>
      </c>
      <c r="Z11" s="587">
        <f>VLOOKUP(C11,每日行情!A:E,5,FALSE)</f>
        <v/>
      </c>
      <c r="AA11" s="588">
        <f>IF(I11="",((TODAY()-A11)*G11)/365.24,((I11-A11)*G11)/365.24)</f>
        <v/>
      </c>
      <c r="AB11" s="98" t="inlineStr">
        <is>
          <t>強勢股</t>
        </is>
      </c>
      <c r="AC11" s="108" t="inlineStr">
        <is>
          <t>破10日線，認賠出場</t>
        </is>
      </c>
    </row>
    <row r="12" hidden="1" outlineLevel="1">
      <c r="A12" s="95" t="n">
        <v>45713</v>
      </c>
      <c r="B12" s="11" t="n"/>
      <c r="C12" s="11" t="n">
        <v>1519</v>
      </c>
      <c r="D12" s="163" t="inlineStr">
        <is>
          <t>華城</t>
        </is>
      </c>
      <c r="E12" s="11" t="n">
        <v>1000</v>
      </c>
      <c r="F12" s="11" t="n">
        <v>654</v>
      </c>
      <c r="G12" s="583">
        <f>E12*F12</f>
        <v/>
      </c>
      <c r="H12" s="11" t="n">
        <v>559</v>
      </c>
      <c r="I12" s="99" t="n">
        <v>45727</v>
      </c>
      <c r="J12" s="16" t="n">
        <v>590</v>
      </c>
      <c r="K12" s="11">
        <f>E12*J12</f>
        <v/>
      </c>
      <c r="L12" s="17" t="n">
        <v>504</v>
      </c>
      <c r="M12" s="11" t="n">
        <v>1770</v>
      </c>
      <c r="N12" s="11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>
        <v>10</v>
      </c>
      <c r="T12" s="585" t="n"/>
      <c r="U12" s="65">
        <f>(V12*50%)/(1+50%*V12)</f>
        <v/>
      </c>
      <c r="V12" s="65" t="n"/>
      <c r="W12" s="66" t="n">
        <v>0.11</v>
      </c>
      <c r="X12" s="586">
        <f>(P12+Q12)/G12</f>
        <v/>
      </c>
      <c r="Y12" s="16">
        <f>VLOOKUP(C12,每日行情!A:D,4,FALSE)</f>
        <v/>
      </c>
      <c r="Z12" s="587">
        <f>VLOOKUP(C12,每日行情!A:E,5,FALSE)</f>
        <v/>
      </c>
      <c r="AA12" s="588">
        <f>IF(I12="",((TODAY()-A12)*G12)/365.24,((I12-A12)*G12)/365.24)</f>
        <v/>
      </c>
      <c r="AB12" s="98" t="inlineStr">
        <is>
          <t>強勢股</t>
        </is>
      </c>
      <c r="AC12" s="108" t="inlineStr">
        <is>
          <t>破10日線，認賠出場</t>
        </is>
      </c>
      <c r="AD12" s="200" t="n"/>
    </row>
    <row r="13" hidden="1" outlineLevel="1">
      <c r="A13" s="95" t="n">
        <v>45723</v>
      </c>
      <c r="B13" s="11" t="n"/>
      <c r="C13" s="11" t="n">
        <v>6257</v>
      </c>
      <c r="D13" s="163" t="inlineStr">
        <is>
          <t>矽格</t>
        </is>
      </c>
      <c r="E13" s="11" t="n">
        <v>1000</v>
      </c>
      <c r="F13" s="11" t="n">
        <v>81.7</v>
      </c>
      <c r="G13" s="583">
        <f>E13*F13</f>
        <v/>
      </c>
      <c r="H13" s="11" t="n">
        <v>69</v>
      </c>
      <c r="I13" s="99" t="n">
        <v>45727</v>
      </c>
      <c r="J13" s="16" t="n">
        <v>75.5</v>
      </c>
      <c r="K13" s="11">
        <f>E13*J13</f>
        <v/>
      </c>
      <c r="L13" s="17" t="n">
        <v>64</v>
      </c>
      <c r="M13" s="11" t="n">
        <v>226</v>
      </c>
      <c r="N13" s="11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>
        <v>10</v>
      </c>
      <c r="T13" s="585" t="n"/>
      <c r="U13" s="65">
        <f>(V13*50%)/(1+50%*V13)</f>
        <v/>
      </c>
      <c r="V13" s="65" t="n"/>
      <c r="W13" s="66" t="n">
        <v>0.11</v>
      </c>
      <c r="X13" s="586">
        <f>(P13+Q13)/G13</f>
        <v/>
      </c>
      <c r="Y13" s="16">
        <f>VLOOKUP(C13,每日行情!A:D,4,FALSE)</f>
        <v/>
      </c>
      <c r="Z13" s="587">
        <f>VLOOKUP(C13,每日行情!A:E,5,FALSE)</f>
        <v/>
      </c>
      <c r="AA13" s="588">
        <f>IF(I13="",((TODAY()-A13)*G13)/365.24,((I13-A13)*G13)/365.24)</f>
        <v/>
      </c>
      <c r="AB13" s="98" t="inlineStr">
        <is>
          <t>強勢股</t>
        </is>
      </c>
      <c r="AC13" s="108" t="inlineStr">
        <is>
          <t>破10日線，認賠出場</t>
        </is>
      </c>
      <c r="AD13" s="200" t="n"/>
    </row>
    <row r="14" hidden="1" outlineLevel="1">
      <c r="A14" s="95" t="n">
        <v>45723</v>
      </c>
      <c r="B14" s="11" t="n"/>
      <c r="C14" s="11" t="n">
        <v>2027</v>
      </c>
      <c r="D14" s="163">
        <f>VLOOKUP(C14,每日行情!A:B,2,FALSE)</f>
        <v/>
      </c>
      <c r="E14" s="11" t="n">
        <v>1000</v>
      </c>
      <c r="F14" s="11" t="n">
        <v>49.2</v>
      </c>
      <c r="G14" s="583">
        <f>E14*F14</f>
        <v/>
      </c>
      <c r="H14" s="11" t="n">
        <v>42</v>
      </c>
      <c r="I14" s="99" t="n">
        <v>45728</v>
      </c>
      <c r="J14" s="16" t="n">
        <v>48.85</v>
      </c>
      <c r="K14" s="11">
        <f>E14*J14</f>
        <v/>
      </c>
      <c r="L14" s="17" t="n">
        <v>41</v>
      </c>
      <c r="M14" s="11" t="n">
        <v>146</v>
      </c>
      <c r="N14" s="11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>
        <v>10</v>
      </c>
      <c r="T14" s="585" t="n"/>
      <c r="U14" s="65">
        <f>(V14*50%)/(1+50%*V14)</f>
        <v/>
      </c>
      <c r="V14" s="65" t="n"/>
      <c r="W14" s="66" t="n">
        <v>0.11</v>
      </c>
      <c r="X14" s="586">
        <f>(P14+Q14)/G14</f>
        <v/>
      </c>
      <c r="Y14" s="16">
        <f>VLOOKUP(C14,每日行情!A:D,4,FALSE)</f>
        <v/>
      </c>
      <c r="Z14" s="587">
        <f>VLOOKUP(C14,每日行情!A:E,5,FALSE)</f>
        <v/>
      </c>
      <c r="AA14" s="588">
        <f>IF(I14="",((TODAY()-A14)*G14)/365.24,((I14-A14)*G14)/365.24)</f>
        <v/>
      </c>
      <c r="AB14" s="98" t="inlineStr">
        <is>
          <t>強勢股</t>
        </is>
      </c>
      <c r="AC14" s="108" t="inlineStr">
        <is>
          <t>破10日線，認賠出場</t>
        </is>
      </c>
      <c r="AD14" s="200" t="n"/>
    </row>
    <row r="15" hidden="1" outlineLevel="1">
      <c r="A15" s="95" t="n">
        <v>45702</v>
      </c>
      <c r="B15" s="11" t="n"/>
      <c r="C15" s="11" t="n">
        <v>2606</v>
      </c>
      <c r="D15" s="163">
        <f>VLOOKUP(C15,每日行情!A:B,2,FALSE)</f>
        <v/>
      </c>
      <c r="E15" s="11" t="n">
        <v>1000</v>
      </c>
      <c r="F15" s="11" t="n">
        <v>69.3</v>
      </c>
      <c r="G15" s="583">
        <f>E15*F15</f>
        <v/>
      </c>
      <c r="H15" s="11" t="n">
        <v>59</v>
      </c>
      <c r="I15" s="99" t="n">
        <v>45728</v>
      </c>
      <c r="J15" s="16" t="n">
        <v>70.59999999999999</v>
      </c>
      <c r="K15" s="11">
        <f>E15*J15</f>
        <v/>
      </c>
      <c r="L15" s="17" t="n">
        <v>60</v>
      </c>
      <c r="M15" s="11" t="n">
        <v>211</v>
      </c>
      <c r="N15" s="11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>
        <v>10</v>
      </c>
      <c r="T15" s="585" t="n"/>
      <c r="U15" s="65">
        <f>(V15*50%)/(1+50%*V15)</f>
        <v/>
      </c>
      <c r="V15" s="65" t="n"/>
      <c r="W15" s="66" t="n">
        <v>0.11</v>
      </c>
      <c r="X15" s="586">
        <f>(P15+Q15)/G15</f>
        <v/>
      </c>
      <c r="Y15" s="16">
        <f>VLOOKUP(C15,每日行情!A:D,4,FALSE)</f>
        <v/>
      </c>
      <c r="Z15" s="587">
        <f>VLOOKUP(C15,每日行情!A:E,5,FALSE)</f>
        <v/>
      </c>
      <c r="AA15" s="588">
        <f>IF(I15="",((TODAY()-A15)*G15)/365.24,((I15-A15)*G15)/365.24)</f>
        <v/>
      </c>
      <c r="AB15" s="98" t="inlineStr">
        <is>
          <t>強勢股</t>
        </is>
      </c>
      <c r="AC15" s="214" t="inlineStr">
        <is>
          <t>破10日線，獲利了結</t>
        </is>
      </c>
    </row>
    <row r="16" hidden="1" outlineLevel="1">
      <c r="A16" s="95" t="n">
        <v>45729</v>
      </c>
      <c r="B16" s="11" t="n"/>
      <c r="C16" s="11" t="n">
        <v>3211</v>
      </c>
      <c r="D16" s="163">
        <f>VLOOKUP(C16,每日行情!A:B,2,FALSE)</f>
        <v/>
      </c>
      <c r="E16" s="11" t="n">
        <v>1000</v>
      </c>
      <c r="F16" s="11" t="n">
        <v>210.5</v>
      </c>
      <c r="G16" s="583">
        <f>E16*F16</f>
        <v/>
      </c>
      <c r="H16" s="11" t="n">
        <v>179</v>
      </c>
      <c r="I16" s="99" t="n">
        <v>45729</v>
      </c>
      <c r="J16" s="16" t="n">
        <v>213.5</v>
      </c>
      <c r="K16" s="11">
        <f>E16*J16</f>
        <v/>
      </c>
      <c r="L16" s="17" t="n">
        <v>182</v>
      </c>
      <c r="M16" s="11" t="n">
        <v>320</v>
      </c>
      <c r="N16" s="11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>
        <v>10</v>
      </c>
      <c r="T16" s="585" t="n"/>
      <c r="U16" s="65">
        <f>(V16*50%)/(1+50%*V16)</f>
        <v/>
      </c>
      <c r="V16" s="65" t="n"/>
      <c r="W16" s="66" t="n">
        <v>0.11</v>
      </c>
      <c r="X16" s="586">
        <f>(P16+Q16)/G16</f>
        <v/>
      </c>
      <c r="Y16" s="16">
        <f>VLOOKUP(C16,每日行情!A:D,4,FALSE)</f>
        <v/>
      </c>
      <c r="Z16" s="587">
        <f>VLOOKUP(C16,每日行情!A:E,5,FALSE)</f>
        <v/>
      </c>
      <c r="AA16" s="588">
        <f>IF(I16="",((TODAY()-A16)*G16)/365.24,((I16-A16)*G16)/365.24)</f>
        <v/>
      </c>
      <c r="AB16" s="98" t="inlineStr">
        <is>
          <t>強勢股</t>
        </is>
      </c>
      <c r="AC16" s="214" t="inlineStr">
        <is>
          <t>當沖</t>
        </is>
      </c>
      <c r="AD16" s="200" t="n"/>
    </row>
    <row r="17" hidden="1" outlineLevel="1">
      <c r="A17" s="95" t="n">
        <v>45721</v>
      </c>
      <c r="B17" s="11" t="n"/>
      <c r="C17" s="11" t="n">
        <v>6196</v>
      </c>
      <c r="D17" s="163">
        <f>VLOOKUP(C17,每日行情!A:B,2,FALSE)</f>
        <v/>
      </c>
      <c r="E17" s="11" t="n">
        <v>1000</v>
      </c>
      <c r="F17" s="11" t="n">
        <v>172</v>
      </c>
      <c r="G17" s="583">
        <f>E17*F17</f>
        <v/>
      </c>
      <c r="H17" s="11" t="n">
        <v>147</v>
      </c>
      <c r="I17" s="99" t="n">
        <v>45729</v>
      </c>
      <c r="J17" s="16" t="n">
        <v>162</v>
      </c>
      <c r="K17" s="11">
        <f>E17*J17</f>
        <v/>
      </c>
      <c r="L17" s="17" t="n">
        <v>138</v>
      </c>
      <c r="M17" s="11" t="n">
        <v>486</v>
      </c>
      <c r="N17" s="11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>
        <v>10</v>
      </c>
      <c r="T17" s="585" t="n"/>
      <c r="U17" s="65">
        <f>(V17*50%)/(1+50%*V17)</f>
        <v/>
      </c>
      <c r="V17" s="65" t="n"/>
      <c r="W17" s="66" t="n">
        <v>0.11</v>
      </c>
      <c r="X17" s="586">
        <f>(P17+Q17)/G17</f>
        <v/>
      </c>
      <c r="Y17" s="16">
        <f>VLOOKUP(C17,每日行情!A:D,4,FALSE)</f>
        <v/>
      </c>
      <c r="Z17" s="587">
        <f>VLOOKUP(C17,每日行情!A:E,5,FALSE)</f>
        <v/>
      </c>
      <c r="AA17" s="588">
        <f>IF(I17="",((TODAY()-A17)*G17)/365.24,((I17-A17)*G17)/365.24)</f>
        <v/>
      </c>
      <c r="AB17" s="98" t="inlineStr">
        <is>
          <t>強勢股</t>
        </is>
      </c>
      <c r="AC17" s="108" t="inlineStr">
        <is>
          <t>破10日線，認賠出場</t>
        </is>
      </c>
      <c r="AD17" s="200" t="n"/>
    </row>
    <row r="18" hidden="1" outlineLevel="1">
      <c r="A18" s="95" t="n">
        <v>45728</v>
      </c>
      <c r="B18" s="11" t="n"/>
      <c r="C18" s="11" t="n">
        <v>4931</v>
      </c>
      <c r="D18" s="163">
        <f>VLOOKUP(C18,每日行情!A:B,2,FALSE)</f>
        <v/>
      </c>
      <c r="E18" s="11" t="n">
        <v>1000</v>
      </c>
      <c r="F18" s="11" t="n">
        <v>86.8</v>
      </c>
      <c r="G18" s="583">
        <f>E18*F18</f>
        <v/>
      </c>
      <c r="H18" s="11" t="n">
        <v>74</v>
      </c>
      <c r="I18" s="99" t="n">
        <v>45730</v>
      </c>
      <c r="J18" s="16" t="n">
        <v>87.59999999999999</v>
      </c>
      <c r="K18" s="11">
        <f>E18*J18</f>
        <v/>
      </c>
      <c r="L18" s="17" t="n">
        <v>74</v>
      </c>
      <c r="M18" s="11" t="n">
        <v>262</v>
      </c>
      <c r="N18" s="11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>
        <v>10</v>
      </c>
      <c r="T18" s="585" t="n"/>
      <c r="U18" s="65">
        <f>(V18*50%)/(1+50%*V18)</f>
        <v/>
      </c>
      <c r="V18" s="65" t="n"/>
      <c r="W18" s="66" t="n">
        <v>0.11</v>
      </c>
      <c r="X18" s="586">
        <f>(P18+Q18)/G18</f>
        <v/>
      </c>
      <c r="Y18" s="16">
        <f>VLOOKUP(C18,每日行情!A:D,4,FALSE)</f>
        <v/>
      </c>
      <c r="Z18" s="587">
        <f>VLOOKUP(C18,每日行情!A:E,5,FALSE)</f>
        <v/>
      </c>
      <c r="AA18" s="588">
        <f>IF(I18="",((TODAY()-A18)*G18)/365.24,((I18-A18)*G18)/365.24)</f>
        <v/>
      </c>
      <c r="AB18" s="98" t="inlineStr">
        <is>
          <t>強勢股</t>
        </is>
      </c>
      <c r="AC18" s="480" t="inlineStr">
        <is>
          <t>大盤籌碼軍空頭，股價下跌即賣出，收盤時未破5日線</t>
        </is>
      </c>
      <c r="AD18" s="200" t="n"/>
    </row>
    <row r="19" hidden="1" outlineLevel="1">
      <c r="A19" s="95" t="n">
        <v>45730</v>
      </c>
      <c r="B19" s="11" t="n"/>
      <c r="C19" s="11" t="n">
        <v>3163</v>
      </c>
      <c r="D19" s="163">
        <f>VLOOKUP(C19,每日行情!A:B,2,FALSE)</f>
        <v/>
      </c>
      <c r="E19" s="11" t="n">
        <v>1000</v>
      </c>
      <c r="F19" s="11" t="n">
        <v>170</v>
      </c>
      <c r="G19" s="583">
        <f>E19*F19</f>
        <v/>
      </c>
      <c r="H19" s="11" t="n">
        <v>145</v>
      </c>
      <c r="I19" s="99" t="n">
        <v>45730</v>
      </c>
      <c r="J19" s="16" t="n">
        <v>173</v>
      </c>
      <c r="K19" s="11">
        <f>E19*J19</f>
        <v/>
      </c>
      <c r="L19" s="17" t="n">
        <v>147</v>
      </c>
      <c r="M19" s="11" t="n">
        <v>259</v>
      </c>
      <c r="N19" s="11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>
        <v>10</v>
      </c>
      <c r="T19" s="585" t="n"/>
      <c r="U19" s="65">
        <f>(V19*50%)/(1+50%*V19)</f>
        <v/>
      </c>
      <c r="V19" s="65" t="n"/>
      <c r="W19" s="66" t="n">
        <v>0.11</v>
      </c>
      <c r="X19" s="586">
        <f>(P19+Q19)/G19</f>
        <v/>
      </c>
      <c r="Y19" s="16">
        <f>VLOOKUP(C19,每日行情!A:D,4,FALSE)</f>
        <v/>
      </c>
      <c r="Z19" s="587">
        <f>VLOOKUP(C19,每日行情!A:E,5,FALSE)</f>
        <v/>
      </c>
      <c r="AA19" s="588">
        <f>IF(I19="",((TODAY()-A19)*G19)/365.24,((I19-A19)*G19)/365.24)</f>
        <v/>
      </c>
      <c r="AB19" s="98" t="inlineStr">
        <is>
          <t>強勢股</t>
        </is>
      </c>
      <c r="AC19" s="214" t="inlineStr">
        <is>
          <t>當沖</t>
        </is>
      </c>
      <c r="AD19" s="200" t="n"/>
    </row>
    <row r="20" hidden="1" outlineLevel="1">
      <c r="A20" s="95" t="n">
        <v>45736</v>
      </c>
      <c r="B20" s="11" t="n"/>
      <c r="C20" s="11" t="n">
        <v>2634</v>
      </c>
      <c r="D20" s="163">
        <f>VLOOKUP(C20,每日行情!A:B,2,FALSE)</f>
        <v/>
      </c>
      <c r="E20" s="11" t="n">
        <v>1000</v>
      </c>
      <c r="F20" s="11" t="n">
        <v>52.9</v>
      </c>
      <c r="G20" s="583">
        <f>E20*F20</f>
        <v/>
      </c>
      <c r="H20" s="11" t="n">
        <v>45</v>
      </c>
      <c r="I20" s="99" t="n">
        <v>45736</v>
      </c>
      <c r="J20" s="16" t="n">
        <v>51.1</v>
      </c>
      <c r="K20" s="11">
        <f>E20*J20</f>
        <v/>
      </c>
      <c r="L20" s="17" t="n">
        <v>43</v>
      </c>
      <c r="M20" s="11" t="n">
        <v>76</v>
      </c>
      <c r="N20" s="11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>
        <v>10</v>
      </c>
      <c r="T20" s="585" t="n"/>
      <c r="U20" s="65">
        <f>(V20*50%)/(1+50%*V20)</f>
        <v/>
      </c>
      <c r="V20" s="65" t="n"/>
      <c r="W20" s="66" t="n">
        <v>0.11</v>
      </c>
      <c r="X20" s="586">
        <f>(P20+Q20)/G20</f>
        <v/>
      </c>
      <c r="Y20" s="16">
        <f>VLOOKUP(C20,每日行情!A:D,4,FALSE)</f>
        <v/>
      </c>
      <c r="Z20" s="587">
        <f>VLOOKUP(C20,每日行情!A:E,5,FALSE)</f>
        <v/>
      </c>
      <c r="AA20" s="588">
        <f>IF(I20="",((TODAY()-A20)*G20)/365.24,((I20-A20)*G20)/365.24)</f>
        <v/>
      </c>
      <c r="AB20" s="98" t="inlineStr">
        <is>
          <t>強勢股</t>
        </is>
      </c>
      <c r="AC20" s="108" t="inlineStr">
        <is>
          <t>當沖</t>
        </is>
      </c>
      <c r="AD20" s="200" t="n"/>
    </row>
    <row r="21" hidden="1" outlineLevel="1">
      <c r="A21" s="95" t="n">
        <v>45714</v>
      </c>
      <c r="B21" s="11" t="n"/>
      <c r="C21" s="11" t="n">
        <v>8299</v>
      </c>
      <c r="D21" s="163">
        <f>VLOOKUP(C21,每日行情!A:B,2,FALSE)</f>
        <v/>
      </c>
      <c r="E21" s="11" t="n">
        <v>1000</v>
      </c>
      <c r="F21" s="11" t="n">
        <v>564</v>
      </c>
      <c r="G21" s="583">
        <f>E21*F21</f>
        <v/>
      </c>
      <c r="H21" s="11" t="n">
        <v>482</v>
      </c>
      <c r="I21" s="99" t="n">
        <v>45741</v>
      </c>
      <c r="J21" s="16" t="n">
        <v>573</v>
      </c>
      <c r="K21" s="11">
        <f>E21*J21</f>
        <v/>
      </c>
      <c r="L21" s="17" t="n">
        <v>489</v>
      </c>
      <c r="M21" s="11" t="n">
        <v>1719</v>
      </c>
      <c r="N21" s="11" t="n">
        <v>0</v>
      </c>
      <c r="O21" s="584">
        <f>IF(I21="",E21*Y21,0)</f>
        <v/>
      </c>
      <c r="P21" s="585">
        <f>IF(I21="",R21-H21,(K21-H21-SUM(L21:N21)+R21-S21-T21)-G21)+(ROUND(R21*V21,0)-ROUND(R21*(1+V21),0)*W21)</f>
        <v/>
      </c>
      <c r="Q21" s="585">
        <f>IF(I21="",(O21-G21-(O21*0.1425%*0.65)-(O21*0.3%)-S21-T21),0)</f>
        <v/>
      </c>
      <c r="R21" s="585" t="n"/>
      <c r="S21" s="585" t="n">
        <v>10</v>
      </c>
      <c r="T21" s="585" t="n"/>
      <c r="U21" s="65">
        <f>(V21*50%)/(1+50%*V21)</f>
        <v/>
      </c>
      <c r="V21" s="65" t="n"/>
      <c r="W21" s="66" t="n">
        <v>0.11</v>
      </c>
      <c r="X21" s="586">
        <f>(P21+Q21)/G21</f>
        <v/>
      </c>
      <c r="Y21" s="16">
        <f>VLOOKUP(C21,每日行情!A:D,4,FALSE)</f>
        <v/>
      </c>
      <c r="Z21" s="587">
        <f>VLOOKUP(C21,每日行情!A:E,5,FALSE)</f>
        <v/>
      </c>
      <c r="AA21" s="588">
        <f>IF(I21="",((TODAY()-A21)*G21)/365.24,((I21-A21)*G21)/365.24)</f>
        <v/>
      </c>
      <c r="AB21" s="98" t="inlineStr">
        <is>
          <t>強勢股</t>
        </is>
      </c>
      <c r="AC21" s="481" t="inlineStr">
        <is>
          <t>破20MA，獲利了結</t>
        </is>
      </c>
      <c r="AD21" s="200" t="n"/>
    </row>
    <row r="22" hidden="1" outlineLevel="1">
      <c r="A22" s="95" t="n">
        <v>45737</v>
      </c>
      <c r="B22" s="11" t="n"/>
      <c r="C22" s="11" t="n">
        <v>1319</v>
      </c>
      <c r="D22" s="163">
        <f>VLOOKUP(C22,每日行情!A:B,2,FALSE)</f>
        <v/>
      </c>
      <c r="E22" s="11" t="n">
        <v>1000</v>
      </c>
      <c r="F22" s="11" t="n">
        <v>138</v>
      </c>
      <c r="G22" s="583">
        <f>E22*F22</f>
        <v/>
      </c>
      <c r="H22" s="11" t="n">
        <v>117</v>
      </c>
      <c r="I22" s="99" t="n">
        <v>45742</v>
      </c>
      <c r="J22" s="16" t="n">
        <v>133</v>
      </c>
      <c r="K22" s="11">
        <f>E22*J22</f>
        <v/>
      </c>
      <c r="L22" s="17" t="n">
        <v>113</v>
      </c>
      <c r="M22" s="11" t="n">
        <v>399</v>
      </c>
      <c r="N22" s="11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>
        <v>10</v>
      </c>
      <c r="T22" s="585" t="n"/>
      <c r="U22" s="65">
        <f>(V22*50%)/(1+50%*V22)</f>
        <v/>
      </c>
      <c r="V22" s="65" t="n"/>
      <c r="W22" s="66" t="n">
        <v>0.11</v>
      </c>
      <c r="X22" s="586">
        <f>(P22+Q22)/G22</f>
        <v/>
      </c>
      <c r="Y22" s="16">
        <f>VLOOKUP(C22,每日行情!A:D,4,FALSE)</f>
        <v/>
      </c>
      <c r="Z22" s="587">
        <f>VLOOKUP(C22,每日行情!A:E,5,FALSE)</f>
        <v/>
      </c>
      <c r="AA22" s="588">
        <f>IF(I22="",((TODAY()-A22)*G22)/365.24,((I22-A22)*G22)/365.24)</f>
        <v/>
      </c>
      <c r="AB22" s="98" t="inlineStr">
        <is>
          <t>強勢股</t>
        </is>
      </c>
      <c r="AC22" s="108" t="inlineStr">
        <is>
          <t>破10日線，認賠出場</t>
        </is>
      </c>
      <c r="AD22" s="200" t="n"/>
    </row>
    <row r="23" hidden="1" outlineLevel="1">
      <c r="A23" s="95" t="n">
        <v>45735</v>
      </c>
      <c r="B23" s="11" t="n"/>
      <c r="C23" s="11" t="n">
        <v>2609</v>
      </c>
      <c r="D23" s="163">
        <f>VLOOKUP(C23,每日行情!A:B,2,FALSE)</f>
        <v/>
      </c>
      <c r="E23" s="11" t="n">
        <v>1000</v>
      </c>
      <c r="F23" s="11" t="n">
        <v>77.2</v>
      </c>
      <c r="G23" s="583">
        <f>E23*F23</f>
        <v/>
      </c>
      <c r="H23" s="11" t="n">
        <v>45</v>
      </c>
      <c r="I23" s="99" t="n">
        <v>45743</v>
      </c>
      <c r="J23" s="16" t="n">
        <v>76.2</v>
      </c>
      <c r="K23" s="11">
        <f>E23*J23</f>
        <v/>
      </c>
      <c r="L23" s="17" t="n">
        <v>65</v>
      </c>
      <c r="M23" s="11" t="n">
        <v>228</v>
      </c>
      <c r="N23" s="11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>
        <v>10</v>
      </c>
      <c r="T23" s="585" t="n"/>
      <c r="U23" s="65">
        <f>(V23*50%)/(1+50%*V23)</f>
        <v/>
      </c>
      <c r="V23" s="65" t="n"/>
      <c r="W23" s="66" t="n">
        <v>0.11</v>
      </c>
      <c r="X23" s="586">
        <f>(P23+Q23)/G23</f>
        <v/>
      </c>
      <c r="Y23" s="16">
        <f>VLOOKUP(C23,每日行情!A:D,4,FALSE)</f>
        <v/>
      </c>
      <c r="Z23" s="587">
        <f>VLOOKUP(C23,每日行情!A:E,5,FALSE)</f>
        <v/>
      </c>
      <c r="AA23" s="588">
        <f>IF(I23="",((TODAY()-A23)*G23)/365.24,((I23-A23)*G23)/365.24)</f>
        <v/>
      </c>
      <c r="AB23" s="98" t="inlineStr">
        <is>
          <t>強勢股</t>
        </is>
      </c>
      <c r="AC23" s="108" t="inlineStr">
        <is>
          <t>破10日線，認賠出場</t>
        </is>
      </c>
      <c r="AD23" s="200" t="n"/>
    </row>
    <row r="24" hidden="1" outlineLevel="1">
      <c r="A24" s="95" t="n">
        <v>45737</v>
      </c>
      <c r="B24" s="11" t="n"/>
      <c r="C24" s="11" t="n">
        <v>2634</v>
      </c>
      <c r="D24" s="163">
        <f>VLOOKUP(C24,每日行情!A:B,2,FALSE)</f>
        <v/>
      </c>
      <c r="E24" s="11" t="n">
        <v>1000</v>
      </c>
      <c r="F24" s="11" t="n">
        <v>51.7</v>
      </c>
      <c r="G24" s="583">
        <f>E24*F24</f>
        <v/>
      </c>
      <c r="H24" s="11" t="n">
        <v>44</v>
      </c>
      <c r="I24" s="99" t="n">
        <v>45743</v>
      </c>
      <c r="J24" s="16" t="n">
        <v>52.5</v>
      </c>
      <c r="K24" s="11">
        <f>E24*J24</f>
        <v/>
      </c>
      <c r="L24" s="17" t="n">
        <v>44</v>
      </c>
      <c r="M24" s="11" t="n">
        <v>157</v>
      </c>
      <c r="N24" s="11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>
        <v>10</v>
      </c>
      <c r="T24" s="585" t="n"/>
      <c r="U24" s="65">
        <f>(V24*50%)/(1+50%*V24)</f>
        <v/>
      </c>
      <c r="V24" s="65" t="n"/>
      <c r="W24" s="66" t="n">
        <v>0.11</v>
      </c>
      <c r="X24" s="586">
        <f>(P24+Q24)/G24</f>
        <v/>
      </c>
      <c r="Y24" s="16">
        <f>VLOOKUP(C24,每日行情!A:D,4,FALSE)</f>
        <v/>
      </c>
      <c r="Z24" s="587">
        <f>VLOOKUP(C24,每日行情!A:E,5,FALSE)</f>
        <v/>
      </c>
      <c r="AA24" s="588">
        <f>IF(I24="",((TODAY()-A24)*G24)/365.24,((I24-A24)*G24)/365.24)</f>
        <v/>
      </c>
      <c r="AB24" s="98" t="inlineStr">
        <is>
          <t>強勢股</t>
        </is>
      </c>
      <c r="AC24" s="214" t="inlineStr">
        <is>
          <t>破10日線，獲利了結</t>
        </is>
      </c>
      <c r="AD24" s="200" t="n"/>
    </row>
    <row r="25" hidden="1" outlineLevel="1">
      <c r="A25" s="95" t="n">
        <v>45740</v>
      </c>
      <c r="B25" s="11" t="n"/>
      <c r="C25" s="11" t="n">
        <v>3035</v>
      </c>
      <c r="D25" s="163">
        <f>VLOOKUP(C25,每日行情!A:B,2,FALSE)</f>
        <v/>
      </c>
      <c r="E25" s="11" t="n">
        <v>1000</v>
      </c>
      <c r="F25" s="11" t="n">
        <v>249</v>
      </c>
      <c r="G25" s="583">
        <f>E25*F25</f>
        <v/>
      </c>
      <c r="H25" s="11" t="n">
        <v>212</v>
      </c>
      <c r="I25" s="99" t="n">
        <v>45743</v>
      </c>
      <c r="J25" s="16" t="n">
        <v>242</v>
      </c>
      <c r="K25" s="11">
        <f>E25*J25</f>
        <v/>
      </c>
      <c r="L25" s="17" t="n">
        <v>206</v>
      </c>
      <c r="M25" s="11" t="n">
        <v>726</v>
      </c>
      <c r="N25" s="11" t="n">
        <v>0</v>
      </c>
      <c r="O25" s="584">
        <f>IF(I25="",E25*Y25,0)</f>
        <v/>
      </c>
      <c r="P25" s="585">
        <f>IF(I25="",R25-H25,(K25-H25-SUM(L25:N25)+R25-S25-T25)-G25)+(ROUND(R25*V25,0)-ROUND(R25*(1+V25),0)*W25)</f>
        <v/>
      </c>
      <c r="Q25" s="585">
        <f>IF(I25="",(O25-G25-(O25*0.1425%*0.65)-(O25*0.3%)-S25-T25),0)</f>
        <v/>
      </c>
      <c r="R25" s="585" t="n"/>
      <c r="S25" s="585" t="n">
        <v>10</v>
      </c>
      <c r="T25" s="585" t="n"/>
      <c r="U25" s="65">
        <f>(V25*50%)/(1+50%*V25)</f>
        <v/>
      </c>
      <c r="V25" s="65" t="n"/>
      <c r="W25" s="66" t="n">
        <v>0.11</v>
      </c>
      <c r="X25" s="586">
        <f>(P25+Q25)/G25</f>
        <v/>
      </c>
      <c r="Y25" s="16">
        <f>VLOOKUP(C25,每日行情!A:D,4,FALSE)</f>
        <v/>
      </c>
      <c r="Z25" s="587">
        <f>VLOOKUP(C25,每日行情!A:E,5,FALSE)</f>
        <v/>
      </c>
      <c r="AA25" s="588">
        <f>IF(I25="",((TODAY()-A25)*G25)/365.24,((I25-A25)*G25)/365.24)</f>
        <v/>
      </c>
      <c r="AB25" s="98" t="inlineStr">
        <is>
          <t>強勢股</t>
        </is>
      </c>
      <c r="AC25" s="108" t="inlineStr">
        <is>
          <t>破10日線，認賠出場</t>
        </is>
      </c>
      <c r="AD25" s="200" t="n"/>
    </row>
    <row r="26" hidden="1" outlineLevel="1">
      <c r="A26" s="95" t="n">
        <v>45740</v>
      </c>
      <c r="B26" s="11" t="n"/>
      <c r="C26" s="11" t="n">
        <v>5534</v>
      </c>
      <c r="D26" s="163">
        <f>VLOOKUP(C26,每日行情!A:B,2,FALSE)</f>
        <v/>
      </c>
      <c r="E26" s="11" t="n">
        <v>1000</v>
      </c>
      <c r="F26" s="11" t="n">
        <v>108</v>
      </c>
      <c r="G26" s="583">
        <f>E26*F26</f>
        <v/>
      </c>
      <c r="H26" s="11" t="n">
        <v>92</v>
      </c>
      <c r="I26" s="99" t="n">
        <v>45743</v>
      </c>
      <c r="J26" s="16" t="n">
        <v>105.5</v>
      </c>
      <c r="K26" s="11">
        <f>E26*J26</f>
        <v/>
      </c>
      <c r="L26" s="17" t="n">
        <v>90</v>
      </c>
      <c r="M26" s="11" t="n">
        <v>316</v>
      </c>
      <c r="N26" s="11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>
        <v>10</v>
      </c>
      <c r="T26" s="585" t="n"/>
      <c r="U26" s="65">
        <f>(V26*50%)/(1+50%*V26)</f>
        <v/>
      </c>
      <c r="V26" s="65" t="n"/>
      <c r="W26" s="66" t="n">
        <v>0.11</v>
      </c>
      <c r="X26" s="586">
        <f>(P26+Q26)/G26</f>
        <v/>
      </c>
      <c r="Y26" s="16">
        <f>VLOOKUP(C26,每日行情!A:D,4,FALSE)</f>
        <v/>
      </c>
      <c r="Z26" s="587">
        <f>VLOOKUP(C26,每日行情!A:E,5,FALSE)</f>
        <v/>
      </c>
      <c r="AA26" s="588">
        <f>IF(I26="",((TODAY()-A26)*G26)/365.24,((I26-A26)*G26)/365.24)</f>
        <v/>
      </c>
      <c r="AB26" s="98" t="inlineStr">
        <is>
          <t>強勢股</t>
        </is>
      </c>
      <c r="AC26" s="108" t="inlineStr">
        <is>
          <t>破10日線，認賠出場</t>
        </is>
      </c>
      <c r="AD26" s="200" t="n"/>
    </row>
    <row r="27">
      <c r="A27" s="95" t="n">
        <v>45910</v>
      </c>
      <c r="B27" s="11" t="n"/>
      <c r="C27" s="11" t="n">
        <v>1711</v>
      </c>
      <c r="D27" s="163">
        <f>VLOOKUP(C27,每日行情!A:B,2,FALSE)</f>
        <v/>
      </c>
      <c r="E27" s="11" t="n">
        <v>3000</v>
      </c>
      <c r="F27" s="11" t="n">
        <v>20.3</v>
      </c>
      <c r="G27" s="583">
        <f>E27*F27</f>
        <v/>
      </c>
      <c r="H27" s="11" t="n">
        <v>52</v>
      </c>
      <c r="I27" s="99" t="n">
        <v>45924</v>
      </c>
      <c r="J27" s="16" t="n">
        <v>19.65</v>
      </c>
      <c r="K27" s="11">
        <f>E27*J27</f>
        <v/>
      </c>
      <c r="L27" s="17" t="n">
        <v>50</v>
      </c>
      <c r="M27" s="11" t="n">
        <v>176</v>
      </c>
      <c r="N27" s="11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/>
      <c r="S27" s="585" t="n"/>
      <c r="T27" s="585" t="n"/>
      <c r="U27" s="65">
        <f>(V27*50%)/(1+50%*V27)</f>
        <v/>
      </c>
      <c r="V27" s="65" t="n"/>
      <c r="W27" s="66" t="n">
        <v>0.11</v>
      </c>
      <c r="X27" s="586">
        <f>(P27+Q27)/G27</f>
        <v/>
      </c>
      <c r="Y27" s="16">
        <f>VLOOKUP(C27,每日行情!A:D,4,FALSE)</f>
        <v/>
      </c>
      <c r="Z27" s="587">
        <f>VLOOKUP(C27,每日行情!A:E,5,FALSE)</f>
        <v/>
      </c>
      <c r="AA27" s="588">
        <f>IF(I27="",((TODAY()-A27)*G27)/365.24,((I27-A27)*G27)/365.24)</f>
        <v/>
      </c>
      <c r="AB27" s="98" t="inlineStr">
        <is>
          <t>阿水一式</t>
        </is>
      </c>
      <c r="AC27" s="108" t="inlineStr">
        <is>
          <t>破5日線，認賠出場</t>
        </is>
      </c>
      <c r="AD27" s="200" t="n"/>
    </row>
    <row r="28">
      <c r="A28" s="95" t="n">
        <v>45917</v>
      </c>
      <c r="B28" s="11" t="n"/>
      <c r="C28" s="11" t="n">
        <v>3006</v>
      </c>
      <c r="D28" s="163">
        <f>VLOOKUP(C28,每日行情!A:B,2,FALSE)</f>
        <v/>
      </c>
      <c r="E28" s="11" t="n">
        <v>1000</v>
      </c>
      <c r="F28" s="11" t="n">
        <v>65.40000000000001</v>
      </c>
      <c r="G28" s="583">
        <f>E28*F28</f>
        <v/>
      </c>
      <c r="H28" s="11" t="n">
        <v>55</v>
      </c>
      <c r="I28" s="99" t="n">
        <v>45925</v>
      </c>
      <c r="J28" s="16" t="n">
        <v>72.5</v>
      </c>
      <c r="K28" s="11">
        <f>E28*J28</f>
        <v/>
      </c>
      <c r="L28" s="17" t="n">
        <v>61</v>
      </c>
      <c r="M28" s="11" t="n">
        <v>217</v>
      </c>
      <c r="N28" s="11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/>
      <c r="T28" s="585" t="n"/>
      <c r="U28" s="65">
        <f>(V28*50%)/(1+50%*V28)</f>
        <v/>
      </c>
      <c r="V28" s="65" t="n"/>
      <c r="W28" s="66" t="n">
        <v>0.11</v>
      </c>
      <c r="X28" s="586">
        <f>(P28+Q28)/G28</f>
        <v/>
      </c>
      <c r="Y28" s="16">
        <f>VLOOKUP(C28,每日行情!A:D,4,FALSE)</f>
        <v/>
      </c>
      <c r="Z28" s="587">
        <f>VLOOKUP(C28,每日行情!A:E,5,FALSE)</f>
        <v/>
      </c>
      <c r="AA28" s="588">
        <f>IF(I28="",((TODAY()-A28)*G28)/365.24,((I28-A28)*G28)/365.24)</f>
        <v/>
      </c>
      <c r="AB28" s="98" t="inlineStr">
        <is>
          <t>阿水一式</t>
        </is>
      </c>
      <c r="AC28" s="214" t="inlineStr">
        <is>
          <t>破5日線，獲利了結</t>
        </is>
      </c>
      <c r="AD28" s="200" t="n"/>
    </row>
    <row r="29">
      <c r="A29" s="95" t="n">
        <v>45917</v>
      </c>
      <c r="B29" s="11" t="n"/>
      <c r="C29" s="11" t="n">
        <v>3042</v>
      </c>
      <c r="D29" s="163">
        <f>VLOOKUP(C29,每日行情!A:B,2,FALSE)</f>
        <v/>
      </c>
      <c r="E29" s="11" t="n">
        <v>1000</v>
      </c>
      <c r="F29" s="11" t="n">
        <v>92.8</v>
      </c>
      <c r="G29" s="583">
        <f>E29*F29</f>
        <v/>
      </c>
      <c r="H29" s="11" t="n">
        <v>79</v>
      </c>
      <c r="I29" s="99" t="n">
        <v>45925</v>
      </c>
      <c r="J29" s="16" t="n">
        <v>91.40000000000001</v>
      </c>
      <c r="K29" s="11">
        <f>E29*J29</f>
        <v/>
      </c>
      <c r="L29" s="17" t="n">
        <v>78</v>
      </c>
      <c r="M29" s="11" t="n">
        <v>274</v>
      </c>
      <c r="N29" s="11" t="n">
        <v>0</v>
      </c>
      <c r="O29" s="584">
        <f>IF(I29="",E29*Y29,0)</f>
        <v/>
      </c>
      <c r="P29" s="585">
        <f>IF(I29="",R29-H29,(K29-H29-SUM(L29:N29)+R29-S29-T29)-G29)+(ROUND(R29*V29,0)-ROUND(R29*(1+V29),0)*W29)</f>
        <v/>
      </c>
      <c r="Q29" s="585">
        <f>IF(I29="",(O29-G29-(O29*0.1425%*0.65)-(O29*0.3%)-S29-T29),0)</f>
        <v/>
      </c>
      <c r="R29" s="585" t="n"/>
      <c r="S29" s="585" t="n"/>
      <c r="T29" s="585" t="n"/>
      <c r="U29" s="65">
        <f>(V29*50%)/(1+50%*V29)</f>
        <v/>
      </c>
      <c r="V29" s="65" t="n"/>
      <c r="W29" s="66" t="n">
        <v>0.11</v>
      </c>
      <c r="X29" s="586">
        <f>(P29+Q29)/G29</f>
        <v/>
      </c>
      <c r="Y29" s="16">
        <f>VLOOKUP(C29,每日行情!A:D,4,FALSE)</f>
        <v/>
      </c>
      <c r="Z29" s="587">
        <f>VLOOKUP(C29,每日行情!A:E,5,FALSE)</f>
        <v/>
      </c>
      <c r="AA29" s="588">
        <f>IF(I29="",((TODAY()-A29)*G29)/365.24,((I29-A29)*G29)/365.24)</f>
        <v/>
      </c>
      <c r="AB29" s="98" t="inlineStr">
        <is>
          <t>阿水一式</t>
        </is>
      </c>
      <c r="AC29" s="108" t="inlineStr">
        <is>
          <t>破5日線，認賠出場</t>
        </is>
      </c>
      <c r="AD29" s="200" t="n"/>
    </row>
    <row r="30">
      <c r="A30" s="95" t="n">
        <v>45917</v>
      </c>
      <c r="B30" s="11" t="n"/>
      <c r="C30" s="11" t="n">
        <v>3532</v>
      </c>
      <c r="D30" s="163">
        <f>VLOOKUP(C30,每日行情!A:B,2,FALSE)</f>
        <v/>
      </c>
      <c r="E30" s="11" t="n">
        <v>1000</v>
      </c>
      <c r="F30" s="11" t="n">
        <v>95</v>
      </c>
      <c r="G30" s="583">
        <f>E30*F30</f>
        <v/>
      </c>
      <c r="H30" s="11" t="n">
        <v>81</v>
      </c>
      <c r="I30" s="99" t="n">
        <v>45925</v>
      </c>
      <c r="J30" s="16" t="n">
        <v>106.5</v>
      </c>
      <c r="K30" s="11">
        <f>E30*J30</f>
        <v/>
      </c>
      <c r="L30" s="17" t="n">
        <v>91</v>
      </c>
      <c r="M30" s="11" t="n">
        <v>319</v>
      </c>
      <c r="N30" s="11" t="n">
        <v>0</v>
      </c>
      <c r="O30" s="584">
        <f>IF(I30="",E30*Y30,0)</f>
        <v/>
      </c>
      <c r="P30" s="585">
        <f>IF(I30="",R30-H30,(K30-H30-SUM(L30:N30)+R30-S30-T30)-G30)+(ROUND(R30*V30,0)-ROUND(R30*(1+V30),0)*W30)</f>
        <v/>
      </c>
      <c r="Q30" s="585">
        <f>IF(I30="",(O30-G30-(O30*0.1425%*0.65)-(O30*0.3%)-S30-T30),0)</f>
        <v/>
      </c>
      <c r="R30" s="585" t="n"/>
      <c r="S30" s="585" t="n"/>
      <c r="T30" s="585" t="n"/>
      <c r="U30" s="65">
        <f>(V30*50%)/(1+50%*V30)</f>
        <v/>
      </c>
      <c r="V30" s="65" t="n"/>
      <c r="W30" s="66" t="n">
        <v>0.11</v>
      </c>
      <c r="X30" s="586">
        <f>(P30+Q30)/G30</f>
        <v/>
      </c>
      <c r="Y30" s="16">
        <f>VLOOKUP(C30,每日行情!A:D,4,FALSE)</f>
        <v/>
      </c>
      <c r="Z30" s="587">
        <f>VLOOKUP(C30,每日行情!A:E,5,FALSE)</f>
        <v/>
      </c>
      <c r="AA30" s="588">
        <f>IF(I30="",((TODAY()-A30)*G30)/365.24,((I30-A30)*G30)/365.24)</f>
        <v/>
      </c>
      <c r="AB30" s="98" t="inlineStr">
        <is>
          <t>阿水一式</t>
        </is>
      </c>
      <c r="AC30" s="214" t="inlineStr">
        <is>
          <t>破5日線，獲利了結</t>
        </is>
      </c>
      <c r="AD30" s="200" t="n"/>
    </row>
    <row r="31">
      <c r="A31" s="95" t="n">
        <v>45925</v>
      </c>
      <c r="B31" s="11" t="n"/>
      <c r="C31" s="11" t="n">
        <v>2324</v>
      </c>
      <c r="D31" s="163">
        <f>VLOOKUP(C31,每日行情!A:B,2,FALSE)</f>
        <v/>
      </c>
      <c r="E31" s="11" t="n">
        <v>2000</v>
      </c>
      <c r="F31" s="11" t="n">
        <v>37.1</v>
      </c>
      <c r="G31" s="583">
        <f>E31*F31</f>
        <v/>
      </c>
      <c r="H31" s="11" t="n">
        <v>63</v>
      </c>
      <c r="I31" s="99" t="n">
        <v>45930</v>
      </c>
      <c r="J31" s="16" t="n">
        <v>32.4</v>
      </c>
      <c r="K31" s="11">
        <f>E31*J31</f>
        <v/>
      </c>
      <c r="L31" s="17" t="n">
        <v>55</v>
      </c>
      <c r="M31" s="11" t="n">
        <v>194</v>
      </c>
      <c r="N31" s="11" t="n">
        <v>0</v>
      </c>
      <c r="O31" s="584">
        <f>IF(I31="",E31*Y31,0)</f>
        <v/>
      </c>
      <c r="P31" s="585">
        <f>IF(I31="",R31-H31,(K31-H31-SUM(L31:N31)+R31-S31-T31)-G31)+(ROUND(R31*V31,0)-ROUND(R31*(1+V31),0)*W31)</f>
        <v/>
      </c>
      <c r="Q31" s="585">
        <f>IF(I31="",(O31-G31-(O31*0.1425%*0.65)-(O31*0.3%)-S31-T31),0)</f>
        <v/>
      </c>
      <c r="R31" s="585" t="n"/>
      <c r="S31" s="585" t="n"/>
      <c r="T31" s="585" t="n"/>
      <c r="U31" s="65">
        <f>(V31*50%)/(1+50%*V31)</f>
        <v/>
      </c>
      <c r="V31" s="65" t="n"/>
      <c r="W31" s="66" t="n">
        <v>0.11</v>
      </c>
      <c r="X31" s="586">
        <f>(P31+Q31)/G31</f>
        <v/>
      </c>
      <c r="Y31" s="16">
        <f>VLOOKUP(C31,每日行情!A:D,4,FALSE)</f>
        <v/>
      </c>
      <c r="Z31" s="587">
        <f>VLOOKUP(C31,每日行情!A:E,5,FALSE)</f>
        <v/>
      </c>
      <c r="AA31" s="588">
        <f>IF(I31="",((TODAY()-A31)*G31)/365.24,((I31-A31)*G31)/365.24)</f>
        <v/>
      </c>
      <c r="AB31" s="98" t="inlineStr">
        <is>
          <t>阿水一式</t>
        </is>
      </c>
      <c r="AC31" s="108" t="inlineStr">
        <is>
          <t>破10日線，認賠出場</t>
        </is>
      </c>
      <c r="AD31" s="200" t="n"/>
    </row>
    <row r="32">
      <c r="A32" s="95" t="n">
        <v>45925</v>
      </c>
      <c r="B32" s="11" t="n"/>
      <c r="C32" s="11" t="n">
        <v>6548</v>
      </c>
      <c r="D32" s="163">
        <f>VLOOKUP(C32,每日行情!A:B,2,FALSE)</f>
        <v/>
      </c>
      <c r="E32" s="11" t="n">
        <v>2000</v>
      </c>
      <c r="F32" s="11" t="n">
        <v>35.35</v>
      </c>
      <c r="G32" s="583">
        <f>E32*F32</f>
        <v/>
      </c>
      <c r="H32" s="11" t="n">
        <v>60</v>
      </c>
      <c r="I32" s="99" t="n">
        <v>45933</v>
      </c>
      <c r="J32" s="16" t="n">
        <v>36</v>
      </c>
      <c r="K32" s="11">
        <f>E32*J32</f>
        <v/>
      </c>
      <c r="L32" s="17" t="n">
        <v>61</v>
      </c>
      <c r="M32" s="11" t="n">
        <v>216</v>
      </c>
      <c r="N32" s="11" t="n">
        <v>0</v>
      </c>
      <c r="O32" s="584">
        <f>IF(I32="",E32*Y32,0)</f>
        <v/>
      </c>
      <c r="P32" s="585">
        <f>IF(I32="",R32-H32,(K32-H32-SUM(L32:N32)+R32-S32-T32)-G32)+(ROUND(R32*V32,0)-ROUND(R32*(1+V32),0)*W32)</f>
        <v/>
      </c>
      <c r="Q32" s="585">
        <f>IF(I32="",(O32-G32-(O32*0.1425%*0.65)-(O32*0.3%)-S32-T32),0)</f>
        <v/>
      </c>
      <c r="R32" s="585" t="n"/>
      <c r="S32" s="585" t="n"/>
      <c r="T32" s="585" t="n"/>
      <c r="U32" s="65">
        <f>(V32*50%)/(1+50%*V32)</f>
        <v/>
      </c>
      <c r="V32" s="65" t="n"/>
      <c r="W32" s="66" t="n">
        <v>0.11</v>
      </c>
      <c r="X32" s="586">
        <f>(P32+Q32)/G32</f>
        <v/>
      </c>
      <c r="Y32" s="16">
        <f>VLOOKUP(C32,每日行情!A:D,4,FALSE)</f>
        <v/>
      </c>
      <c r="Z32" s="587">
        <f>VLOOKUP(C32,每日行情!A:E,5,FALSE)</f>
        <v/>
      </c>
      <c r="AA32" s="588">
        <f>IF(I32="",((TODAY()-A32)*G32)/365.24,((I32-A32)*G32)/365.24)</f>
        <v/>
      </c>
      <c r="AB32" s="98" t="inlineStr">
        <is>
          <t>阿水一式</t>
        </is>
      </c>
      <c r="AC32" s="214" t="inlineStr">
        <is>
          <t>破5日線，獲利了結</t>
        </is>
      </c>
      <c r="AD32" s="200" t="n"/>
    </row>
    <row r="33">
      <c r="A33" s="95" t="n">
        <v>45925</v>
      </c>
      <c r="B33" s="11" t="n"/>
      <c r="C33" s="11" t="n">
        <v>2375</v>
      </c>
      <c r="D33" s="163">
        <f>VLOOKUP(C33,每日行情!A:B,2,FALSE)</f>
        <v/>
      </c>
      <c r="E33" s="11" t="n">
        <v>1000</v>
      </c>
      <c r="F33" s="11" t="n">
        <v>78.8</v>
      </c>
      <c r="G33" s="583">
        <f>E33*F33</f>
        <v/>
      </c>
      <c r="H33" s="11" t="n">
        <v>67</v>
      </c>
      <c r="I33" s="99" t="n">
        <v>45944</v>
      </c>
      <c r="J33" s="16" t="n">
        <v>76.8</v>
      </c>
      <c r="K33" s="11">
        <f>E33*J33</f>
        <v/>
      </c>
      <c r="L33" s="17" t="n">
        <v>65</v>
      </c>
      <c r="M33" s="11" t="n">
        <v>230</v>
      </c>
      <c r="N33" s="11" t="n">
        <v>0</v>
      </c>
      <c r="O33" s="584">
        <f>IF(I33="",E33*Y33,0)</f>
        <v/>
      </c>
      <c r="P33" s="585">
        <f>IF(I33="",R33-H33,(K33-H33-SUM(L33:N33)+R33-S33-T33)-G33)+(ROUND(R33*V33,0)-ROUND(R33*(1+V33),0)*W33)</f>
        <v/>
      </c>
      <c r="Q33" s="585">
        <f>IF(I33="",(O33-G33-(O33*0.1425%*0.65)-(O33*0.3%)-S33-T33),0)</f>
        <v/>
      </c>
      <c r="R33" s="585" t="n"/>
      <c r="S33" s="585" t="n"/>
      <c r="T33" s="585" t="n"/>
      <c r="U33" s="65">
        <f>(V33*50%)/(1+50%*V33)</f>
        <v/>
      </c>
      <c r="V33" s="65" t="n"/>
      <c r="W33" s="66" t="n">
        <v>0.11</v>
      </c>
      <c r="X33" s="586">
        <f>(P33+Q33)/G33</f>
        <v/>
      </c>
      <c r="Y33" s="16">
        <f>VLOOKUP(C33,每日行情!A:D,4,FALSE)</f>
        <v/>
      </c>
      <c r="Z33" s="587">
        <f>VLOOKUP(C33,每日行情!A:E,5,FALSE)</f>
        <v/>
      </c>
      <c r="AA33" s="588">
        <f>IF(I33="",((TODAY()-A33)*G33)/365.24,((I33-A33)*G33)/365.24)</f>
        <v/>
      </c>
      <c r="AB33" s="98" t="inlineStr">
        <is>
          <t>阿水一式</t>
        </is>
      </c>
      <c r="AC33" s="108" t="inlineStr">
        <is>
          <t>破10日線，認賠出場</t>
        </is>
      </c>
      <c r="AD33" s="200" t="n"/>
    </row>
    <row r="34">
      <c r="A34" s="95" t="n">
        <v>45925</v>
      </c>
      <c r="B34" s="11" t="n"/>
      <c r="C34" s="11" t="n">
        <v>3628</v>
      </c>
      <c r="D34" s="163">
        <f>VLOOKUP(C34,每日行情!A:B,2,FALSE)</f>
        <v/>
      </c>
      <c r="E34" s="11" t="n">
        <v>1000</v>
      </c>
      <c r="F34" s="11" t="n">
        <v>59.1</v>
      </c>
      <c r="G34" s="583">
        <f>E34*F34</f>
        <v/>
      </c>
      <c r="H34" s="11" t="n">
        <v>50</v>
      </c>
      <c r="I34" s="99" t="n">
        <v>45939</v>
      </c>
      <c r="J34" s="16" t="n">
        <v>73.5</v>
      </c>
      <c r="K34" s="11">
        <f>E34*J34</f>
        <v/>
      </c>
      <c r="L34" s="17" t="n">
        <v>62</v>
      </c>
      <c r="M34" s="11" t="n">
        <v>220</v>
      </c>
      <c r="N34" s="11" t="n">
        <v>0</v>
      </c>
      <c r="O34" s="584">
        <f>IF(I34="",E34*Y34,0)</f>
        <v/>
      </c>
      <c r="P34" s="585">
        <f>IF(I34="",R34-H34,(K34-H34-SUM(L34:N34)+R34-S34-T34)-G34)+(ROUND(R34*V34,0)-ROUND(R34*(1+V34),0)*W34)</f>
        <v/>
      </c>
      <c r="Q34" s="585">
        <f>IF(I34="",(O34-G34-(O34*0.1425%*0.65)-(O34*0.3%)-S34-T34),0)</f>
        <v/>
      </c>
      <c r="R34" s="585" t="n"/>
      <c r="S34" s="585" t="n"/>
      <c r="T34" s="585" t="n"/>
      <c r="U34" s="65">
        <f>(V34*50%)/(1+50%*V34)</f>
        <v/>
      </c>
      <c r="V34" s="65" t="n"/>
      <c r="W34" s="66" t="n">
        <v>0.11</v>
      </c>
      <c r="X34" s="586">
        <f>(P34+Q34)/G34</f>
        <v/>
      </c>
      <c r="Y34" s="16">
        <f>VLOOKUP(C34,每日行情!A:D,4,FALSE)</f>
        <v/>
      </c>
      <c r="Z34" s="587">
        <f>VLOOKUP(C34,每日行情!A:E,5,FALSE)</f>
        <v/>
      </c>
      <c r="AA34" s="588">
        <f>IF(I34="",((TODAY()-A34)*G34)/365.24,((I34-A34)*G34)/365.24)</f>
        <v/>
      </c>
      <c r="AB34" s="98" t="inlineStr">
        <is>
          <t>阿水一式</t>
        </is>
      </c>
      <c r="AC34" s="214" t="inlineStr">
        <is>
          <t>破5日線，獲利了結</t>
        </is>
      </c>
      <c r="AD34" s="200" t="n"/>
    </row>
    <row r="35">
      <c r="A35" s="95" t="n">
        <v>45889</v>
      </c>
      <c r="B35" s="11" t="n"/>
      <c r="C35" s="11" t="n">
        <v>3661</v>
      </c>
      <c r="D35" s="163">
        <f>VLOOKUP(C35,每日行情!A:B,2,FALSE)</f>
        <v/>
      </c>
      <c r="E35" s="11" t="n">
        <v>10</v>
      </c>
      <c r="F35" s="11" t="n">
        <v>3760</v>
      </c>
      <c r="G35" s="583">
        <f>E35*F35</f>
        <v/>
      </c>
      <c r="H35" s="11" t="n">
        <v>32</v>
      </c>
      <c r="I35" s="99" t="n">
        <v>45964</v>
      </c>
      <c r="J35" s="16" t="n">
        <v>3460</v>
      </c>
      <c r="K35" s="11">
        <f>E35*J35</f>
        <v/>
      </c>
      <c r="L35" s="17" t="n">
        <v>30</v>
      </c>
      <c r="M35" s="11" t="n">
        <v>104</v>
      </c>
      <c r="N35" s="11" t="n">
        <v>0</v>
      </c>
      <c r="O35" s="584">
        <f>IF(I35="",E35*Y35,0)</f>
        <v/>
      </c>
      <c r="P35" s="585">
        <f>IF(I35="",R35-H35,(K35-H35-SUM(L35:N35)+R35-S35-T35)-G35)+(ROUND(R35*V35,0)-ROUND(R35*(1+V35),0)*W35)</f>
        <v/>
      </c>
      <c r="Q35" s="585">
        <f>IF(I35="",(O35-G35-(O35*0.1425%*0.65)-(O35*0.3%)-S35-T35),0)</f>
        <v/>
      </c>
      <c r="R35" s="585" t="n">
        <v>364</v>
      </c>
      <c r="S35" s="585" t="n">
        <v>10</v>
      </c>
      <c r="T35" s="585" t="n"/>
      <c r="U35" s="65">
        <f>(V35*50%)/(1+50%*V35)</f>
        <v/>
      </c>
      <c r="V35" s="65" t="n"/>
      <c r="W35" s="66" t="n">
        <v>0.11</v>
      </c>
      <c r="X35" s="586">
        <f>(P35+Q35)/G35</f>
        <v/>
      </c>
      <c r="Y35" s="16">
        <f>VLOOKUP(C35,每日行情!A:D,4,FALSE)</f>
        <v/>
      </c>
      <c r="Z35" s="587">
        <f>VLOOKUP(C35,每日行情!A:E,5,FALSE)</f>
        <v/>
      </c>
      <c r="AA35" s="588">
        <f>IF(I35="",((TODAY()-A35)*G35)/365.24,((I35-A35)*G35)/365.24)</f>
        <v/>
      </c>
      <c r="AB35" s="98" t="inlineStr">
        <is>
          <t>存股</t>
        </is>
      </c>
      <c r="AC35" s="108" t="inlineStr">
        <is>
          <t>破5日線，認賠出場</t>
        </is>
      </c>
      <c r="AD35" s="200" t="n"/>
    </row>
    <row r="36">
      <c r="A36" s="95" t="n">
        <v>45924</v>
      </c>
      <c r="B36" s="11" t="n"/>
      <c r="C36" s="11" t="n">
        <v>3661</v>
      </c>
      <c r="D36" s="163">
        <f>VLOOKUP(C36,每日行情!A:B,2,FALSE)</f>
        <v/>
      </c>
      <c r="E36" s="11" t="n">
        <v>10</v>
      </c>
      <c r="F36" s="11" t="n">
        <v>3420</v>
      </c>
      <c r="G36" s="583">
        <f>E36*F36</f>
        <v/>
      </c>
      <c r="H36" s="11" t="n">
        <v>29</v>
      </c>
      <c r="I36" s="99" t="n">
        <v>45964</v>
      </c>
      <c r="J36" s="16" t="n">
        <v>3460</v>
      </c>
      <c r="K36" s="11">
        <f>E36*J36</f>
        <v/>
      </c>
      <c r="L36" s="17" t="n">
        <v>30</v>
      </c>
      <c r="M36" s="11" t="n">
        <v>104</v>
      </c>
      <c r="N36" s="11" t="n">
        <v>0</v>
      </c>
      <c r="O36" s="584">
        <f>IF(I36="",E36*Y36,0)</f>
        <v/>
      </c>
      <c r="P36" s="585">
        <f>IF(I36="",R36-H36,(K36-H36-SUM(L36:N36)+R36-S36-T36)-G36)+(ROUND(R36*V36,0)-ROUND(R36*(1+V36),0)*W36)</f>
        <v/>
      </c>
      <c r="Q36" s="585">
        <f>IF(I36="",(O36-G36-(O36*0.1425%*0.65)-(O36*0.3%)-S36-T36),0)</f>
        <v/>
      </c>
      <c r="R36" s="585" t="n"/>
      <c r="S36" s="585" t="n"/>
      <c r="T36" s="585" t="n"/>
      <c r="U36" s="65">
        <f>(V36*50%)/(1+50%*V36)</f>
        <v/>
      </c>
      <c r="V36" s="65" t="n"/>
      <c r="W36" s="66" t="n">
        <v>0.11</v>
      </c>
      <c r="X36" s="586">
        <f>(P36+Q36)/G36</f>
        <v/>
      </c>
      <c r="Y36" s="16">
        <f>VLOOKUP(C36,每日行情!A:D,4,FALSE)</f>
        <v/>
      </c>
      <c r="Z36" s="587">
        <f>VLOOKUP(C36,每日行情!A:E,5,FALSE)</f>
        <v/>
      </c>
      <c r="AA36" s="588">
        <f>IF(I36="",((TODAY()-A36)*G36)/365.24,((I36-A36)*G36)/365.24)</f>
        <v/>
      </c>
      <c r="AB36" s="98" t="inlineStr">
        <is>
          <t>存股</t>
        </is>
      </c>
      <c r="AC36" s="214" t="inlineStr">
        <is>
          <t>破5日線，獲利了結</t>
        </is>
      </c>
      <c r="AD36" s="200" t="n"/>
    </row>
    <row r="37">
      <c r="A37" s="95" t="n">
        <v>45926</v>
      </c>
      <c r="B37" s="11" t="n"/>
      <c r="C37" s="11" t="n">
        <v>3661</v>
      </c>
      <c r="D37" s="163">
        <f>VLOOKUP(C37,每日行情!A:B,2,FALSE)</f>
        <v/>
      </c>
      <c r="E37" s="11" t="n">
        <v>10</v>
      </c>
      <c r="F37" s="11" t="n">
        <v>3260</v>
      </c>
      <c r="G37" s="583">
        <f>E37*F37</f>
        <v/>
      </c>
      <c r="H37" s="11" t="n">
        <v>27</v>
      </c>
      <c r="I37" s="99" t="n">
        <v>45964</v>
      </c>
      <c r="J37" s="16" t="n">
        <v>3460</v>
      </c>
      <c r="K37" s="11">
        <f>E37*J37</f>
        <v/>
      </c>
      <c r="L37" s="17" t="n">
        <v>29</v>
      </c>
      <c r="M37" s="11" t="n">
        <v>104</v>
      </c>
      <c r="N37" s="11" t="n">
        <v>0</v>
      </c>
      <c r="O37" s="584">
        <f>IF(I37="",E37*Y37,0)</f>
        <v/>
      </c>
      <c r="P37" s="585">
        <f>IF(I37="",R37-H37,(K37-H37-SUM(L37:N37)+R37-S37-T37)-G37)+(ROUND(R37*V37,0)-ROUND(R37*(1+V37),0)*W37)</f>
        <v/>
      </c>
      <c r="Q37" s="585">
        <f>IF(I37="",(O37-G37-(O37*0.1425%*0.65)-(O37*0.3%)-S37-T37),0)</f>
        <v/>
      </c>
      <c r="R37" s="585" t="n"/>
      <c r="S37" s="585" t="n"/>
      <c r="T37" s="585" t="n"/>
      <c r="U37" s="65">
        <f>(V37*50%)/(1+50%*V37)</f>
        <v/>
      </c>
      <c r="V37" s="65" t="n"/>
      <c r="W37" s="66" t="n">
        <v>0.11</v>
      </c>
      <c r="X37" s="586">
        <f>(P37+Q37)/G37</f>
        <v/>
      </c>
      <c r="Y37" s="16">
        <f>VLOOKUP(C37,每日行情!A:D,4,FALSE)</f>
        <v/>
      </c>
      <c r="Z37" s="587">
        <f>VLOOKUP(C37,每日行情!A:E,5,FALSE)</f>
        <v/>
      </c>
      <c r="AA37" s="588">
        <f>IF(I37="",((TODAY()-A37)*G37)/365.24,((I37-A37)*G37)/365.24)</f>
        <v/>
      </c>
      <c r="AB37" s="98" t="inlineStr">
        <is>
          <t>存股</t>
        </is>
      </c>
      <c r="AC37" s="214" t="inlineStr">
        <is>
          <t>破5日線，獲利了結</t>
        </is>
      </c>
      <c r="AD37" s="200" t="n"/>
    </row>
    <row r="38">
      <c r="A38" s="99" t="n">
        <v>45944</v>
      </c>
      <c r="B38" s="11" t="n"/>
      <c r="C38" s="11" t="n">
        <v>3661</v>
      </c>
      <c r="D38" s="163">
        <f>VLOOKUP(C38,每日行情!A:B,2,FALSE)</f>
        <v/>
      </c>
      <c r="E38" s="11" t="n">
        <v>10</v>
      </c>
      <c r="F38" s="11" t="n">
        <v>3170</v>
      </c>
      <c r="G38" s="583">
        <f>E38*F38</f>
        <v/>
      </c>
      <c r="H38" s="11" t="n">
        <v>27</v>
      </c>
      <c r="I38" s="99" t="n">
        <v>45964</v>
      </c>
      <c r="J38" s="16" t="n">
        <v>3460</v>
      </c>
      <c r="K38" s="11">
        <f>E38*J38</f>
        <v/>
      </c>
      <c r="L38" s="17" t="n">
        <v>29</v>
      </c>
      <c r="M38" s="11" t="n">
        <v>103</v>
      </c>
      <c r="N38" s="11" t="n">
        <v>0</v>
      </c>
      <c r="O38" s="584">
        <f>IF(I38="",E38*Y38,0)</f>
        <v/>
      </c>
      <c r="P38" s="585">
        <f>IF(I38="",R38-H38,(K38-H38-SUM(L38:N38)+R38-S38-T38)-G38)+(ROUND(R38*V38,0)-ROUND(R38*(1+V38),0)*W38)</f>
        <v/>
      </c>
      <c r="Q38" s="585">
        <f>IF(I38="",(O38-G38-(O38*0.1425%*0.65)-(O38*0.3%)-S38-T38),0)</f>
        <v/>
      </c>
      <c r="R38" s="585" t="n"/>
      <c r="S38" s="585" t="n"/>
      <c r="T38" s="585" t="n"/>
      <c r="U38" s="65">
        <f>(V38*50%)/(1+50%*V38)</f>
        <v/>
      </c>
      <c r="V38" s="65" t="n"/>
      <c r="W38" s="66" t="n">
        <v>0.11</v>
      </c>
      <c r="X38" s="586">
        <f>(P38+Q38)/G38</f>
        <v/>
      </c>
      <c r="Y38" s="16">
        <f>VLOOKUP(C38,每日行情!A:D,4,FALSE)</f>
        <v/>
      </c>
      <c r="Z38" s="587">
        <f>VLOOKUP(C38,每日行情!A:E,5,FALSE)</f>
        <v/>
      </c>
      <c r="AA38" s="588">
        <f>IF(I38="",((TODAY()-A38)*G38)/365.24,((I38-A38)*G38)/365.24)</f>
        <v/>
      </c>
      <c r="AB38" s="98" t="inlineStr">
        <is>
          <t>存股</t>
        </is>
      </c>
      <c r="AC38" s="214" t="inlineStr">
        <is>
          <t>破5日線，獲利了結</t>
        </is>
      </c>
      <c r="AD38" s="200" t="n"/>
    </row>
    <row r="39">
      <c r="A39" s="95" t="n">
        <v>46043</v>
      </c>
      <c r="B39" s="11" t="n"/>
      <c r="C39" s="11" t="n">
        <v>50</v>
      </c>
      <c r="D39" s="163">
        <f>VLOOKUP(C39,每日行情!A:B,2,FALSE)</f>
        <v/>
      </c>
      <c r="E39" s="11" t="n">
        <v>2000</v>
      </c>
      <c r="F39" s="11" t="n">
        <v>72.45</v>
      </c>
      <c r="G39" s="583">
        <f>E39*F39</f>
        <v/>
      </c>
      <c r="H39" s="11" t="n">
        <v>123</v>
      </c>
      <c r="I39" s="99" t="n">
        <v>46050</v>
      </c>
      <c r="J39" s="16" t="n">
        <v>74</v>
      </c>
      <c r="K39" s="11">
        <f>E39*J39</f>
        <v/>
      </c>
      <c r="L39" s="17" t="n">
        <v>126</v>
      </c>
      <c r="M39" s="11" t="n">
        <v>148</v>
      </c>
      <c r="N39" s="11" t="n">
        <v>0</v>
      </c>
      <c r="O39" s="584">
        <f>IF(I39="",E39*Y39,0)</f>
        <v/>
      </c>
      <c r="P39" s="585">
        <f>IF(I39="",R39-H39,(K39-H39-SUM(L39:N39)+R39-S39-T39)-G39)+(ROUND(R39*V39,0)-ROUND(R39*(1+V39),0)*W39)</f>
        <v/>
      </c>
      <c r="Q39" s="585">
        <f>IF(I39="",(O39-G39-(O39*0.1425%*0.65)-(O39*0.3%)-S39-T39),0)</f>
        <v/>
      </c>
      <c r="R39" s="585" t="n">
        <v>2000</v>
      </c>
      <c r="S39" s="585" t="n">
        <v>10</v>
      </c>
      <c r="T39" s="585" t="n"/>
      <c r="U39" s="65">
        <f>(V39*50%)/(1+50%*V39)</f>
        <v/>
      </c>
      <c r="V39" s="65" t="n"/>
      <c r="W39" s="66" t="n">
        <v>0.11</v>
      </c>
      <c r="X39" s="586">
        <f>(P39+Q39)/G39</f>
        <v/>
      </c>
      <c r="Y39" s="16">
        <f>VLOOKUP(C39,每日行情!A:D,4,FALSE)</f>
        <v/>
      </c>
      <c r="Z39" s="587">
        <f>VLOOKUP(C39,每日行情!A:E,5,FALSE)</f>
        <v/>
      </c>
      <c r="AA39" s="588">
        <f>IF(I39="",((TODAY()-A39)*G39)/365.24,((I39-A39)*G39)/365.24)</f>
        <v/>
      </c>
      <c r="AB39" s="98" t="inlineStr">
        <is>
          <t>除權息</t>
        </is>
      </c>
      <c r="AC39" s="168" t="inlineStr">
        <is>
          <t>已填息</t>
        </is>
      </c>
      <c r="AD39" s="200" t="n"/>
    </row>
    <row r="40" collapsed="1">
      <c r="A40" s="95" t="n">
        <v>45901</v>
      </c>
      <c r="B40" s="11" t="n"/>
      <c r="C40" s="11" t="n">
        <v>56</v>
      </c>
      <c r="D40" s="163">
        <f>VLOOKUP(C40,每日行情!A:B,2,FALSE)</f>
        <v/>
      </c>
      <c r="E40" s="11" t="n">
        <v>285</v>
      </c>
      <c r="F40" s="11" t="n">
        <v>34.69</v>
      </c>
      <c r="G40" s="583" t="n">
        <v>9886</v>
      </c>
      <c r="H40" s="11" t="n">
        <v>1</v>
      </c>
      <c r="I40" s="99" t="n">
        <v>46051</v>
      </c>
      <c r="J40" s="16" t="n">
        <v>38.23</v>
      </c>
      <c r="K40" s="11">
        <f>E40*J40</f>
        <v/>
      </c>
      <c r="L40" s="17" t="n">
        <v>32</v>
      </c>
      <c r="M40" s="11" t="n">
        <v>38</v>
      </c>
      <c r="N40" s="11" t="n">
        <v>0</v>
      </c>
      <c r="O40" s="584">
        <f>IF(I40="",E40*Y40,0)</f>
        <v/>
      </c>
      <c r="P40" s="585">
        <f>IF(I40="",R40-H40,(K40-H40-SUM(L40:N40)+R40-S40-T40)-G40)+(ROUND(R40*V40,0)-ROUND(R40*(1+V40),0)*W40)</f>
        <v/>
      </c>
      <c r="Q40" s="585">
        <f>IF(I40="",(O40-G40-(O40*0.1425%*0.65)-(O40*0.3%)-S40-T40),0)</f>
        <v/>
      </c>
      <c r="R40" s="585" t="n">
        <v>331</v>
      </c>
      <c r="S40" s="585" t="n">
        <v>10</v>
      </c>
      <c r="T40" s="585" t="n"/>
      <c r="U40" s="65">
        <f>(V40*50%)/(1+50%*V40)</f>
        <v/>
      </c>
      <c r="V40" s="65" t="n"/>
      <c r="W40" s="66" t="n">
        <v>0.11</v>
      </c>
      <c r="X40" s="586">
        <f>(P40+Q40)/G40</f>
        <v/>
      </c>
      <c r="Y40" s="16">
        <f>VLOOKUP(C40,每日行情!A:D,4,FALSE)</f>
        <v/>
      </c>
      <c r="Z40" s="587">
        <f>VLOOKUP(C40,每日行情!A:E,5,FALSE)</f>
        <v/>
      </c>
      <c r="AA40" s="588">
        <f>IF(I40="",((TODAY()-A40)*G40)/365.24,((I40-A40)*G40)/365.24)</f>
        <v/>
      </c>
      <c r="AB40" s="98" t="inlineStr">
        <is>
          <t>存股</t>
        </is>
      </c>
      <c r="AC40" s="214" t="inlineStr">
        <is>
          <t>獲利了結，轉換標的</t>
        </is>
      </c>
      <c r="AD40" s="474" t="inlineStr">
        <is>
          <t>元大-台股定期定額</t>
        </is>
      </c>
    </row>
    <row r="41" hidden="1" outlineLevel="1">
      <c r="A41" s="95" t="n">
        <v>45931</v>
      </c>
      <c r="B41" s="11" t="n"/>
      <c r="C41" s="11" t="n">
        <v>56</v>
      </c>
      <c r="D41" s="163">
        <f>VLOOKUP(C41,每日行情!A:B,2,FALSE)</f>
        <v/>
      </c>
      <c r="E41" s="11" t="n">
        <v>268</v>
      </c>
      <c r="F41" s="11" t="n">
        <v>36.89</v>
      </c>
      <c r="G41" s="583" t="n">
        <v>9886</v>
      </c>
      <c r="H41" s="11" t="n">
        <v>1</v>
      </c>
      <c r="I41" s="99" t="n">
        <v>46051</v>
      </c>
      <c r="J41" s="16" t="n">
        <v>38.23</v>
      </c>
      <c r="K41" s="11">
        <f>E41*J41</f>
        <v/>
      </c>
      <c r="L41" s="17" t="n">
        <v>11</v>
      </c>
      <c r="M41" s="11" t="n">
        <v>13</v>
      </c>
      <c r="N41" s="11" t="n">
        <v>0</v>
      </c>
      <c r="O41" s="584">
        <f>IF(I41="",E41*Y41,0)</f>
        <v/>
      </c>
      <c r="P41" s="585">
        <f>IF(I41="",R41-H41,(K41-H41-SUM(L41:N41)+R41-S41-T41)-G41)+(ROUND(R41*V41,0)-ROUND(R41*(1+V41),0)*W41)</f>
        <v/>
      </c>
      <c r="Q41" s="585">
        <f>IF(I41="",(O41-G41-(O41*0.1425%*0.65)-(O41*0.3%)-S41-T41),0)</f>
        <v/>
      </c>
      <c r="R41" s="585" t="n">
        <v>330</v>
      </c>
      <c r="S41" s="585" t="n">
        <v>10</v>
      </c>
      <c r="T41" s="585" t="n"/>
      <c r="U41" s="65">
        <f>(V41*50%)/(1+50%*V41)</f>
        <v/>
      </c>
      <c r="V41" s="65" t="n"/>
      <c r="W41" s="66" t="n">
        <v>0.11</v>
      </c>
      <c r="X41" s="586">
        <f>(P41+Q41)/G41</f>
        <v/>
      </c>
      <c r="Y41" s="16">
        <f>VLOOKUP(C41,每日行情!A:D,4,FALSE)</f>
        <v/>
      </c>
      <c r="Z41" s="587">
        <f>VLOOKUP(C41,每日行情!A:E,5,FALSE)</f>
        <v/>
      </c>
      <c r="AA41" s="588">
        <f>IF(I41="",((TODAY()-A41)*G41)/365.24,((I41-A41)*G41)/365.24)</f>
        <v/>
      </c>
      <c r="AB41" s="98" t="inlineStr">
        <is>
          <t>存股</t>
        </is>
      </c>
      <c r="AC41" s="214" t="inlineStr">
        <is>
          <t>獲利了結，轉換標的</t>
        </is>
      </c>
      <c r="AD41" s="474" t="inlineStr">
        <is>
          <t>元大-台股定期定額</t>
        </is>
      </c>
    </row>
    <row r="42" hidden="1" outlineLevel="1">
      <c r="A42" s="95" t="n">
        <v>45964</v>
      </c>
      <c r="B42" s="11" t="n"/>
      <c r="C42" s="11" t="n">
        <v>56</v>
      </c>
      <c r="D42" s="163">
        <f>VLOOKUP(C42,每日行情!A:B,2,FALSE)</f>
        <v/>
      </c>
      <c r="E42" s="11" t="n">
        <v>264</v>
      </c>
      <c r="F42" s="11" t="n">
        <v>37.35</v>
      </c>
      <c r="G42" s="583" t="n">
        <v>9860</v>
      </c>
      <c r="H42" s="11" t="n">
        <v>1</v>
      </c>
      <c r="I42" s="99" t="n">
        <v>46051</v>
      </c>
      <c r="J42" s="16" t="n">
        <v>38.23</v>
      </c>
      <c r="K42" s="11">
        <f>E42*J42</f>
        <v/>
      </c>
      <c r="L42" s="17" t="n"/>
      <c r="M42" s="11" t="n"/>
      <c r="N42" s="11" t="n">
        <v>0</v>
      </c>
      <c r="O42" s="584">
        <f>IF(I42="",E42*Y42,0)</f>
        <v/>
      </c>
      <c r="P42" s="585">
        <f>IF(I42="",R42-H42,(K42-H42-SUM(L42:N42)+R42-S42-T42)-G42)+(ROUND(R42*V42,0)-ROUND(R42*(1+V42),0)*W42)</f>
        <v/>
      </c>
      <c r="Q42" s="585">
        <f>IF(I42="",(O42-G42-(O42*0.1425%*0.65)-(O42*0.3%)-S42-T42),0)</f>
        <v/>
      </c>
      <c r="R42" s="585" t="n">
        <v>330</v>
      </c>
      <c r="S42" s="585" t="n">
        <v>10</v>
      </c>
      <c r="T42" s="585" t="n"/>
      <c r="U42" s="65">
        <f>(V42*50%)/(1+50%*V42)</f>
        <v/>
      </c>
      <c r="V42" s="65" t="n"/>
      <c r="W42" s="66" t="n">
        <v>0.11</v>
      </c>
      <c r="X42" s="586">
        <f>(P42+Q42)/G42</f>
        <v/>
      </c>
      <c r="Y42" s="16">
        <f>VLOOKUP(C42,每日行情!A:D,4,FALSE)</f>
        <v/>
      </c>
      <c r="Z42" s="587">
        <f>VLOOKUP(C42,每日行情!A:E,5,FALSE)</f>
        <v/>
      </c>
      <c r="AA42" s="588">
        <f>IF(I42="",((TODAY()-A42)*G42)/365.24,((I42-A42)*G42)/365.24)</f>
        <v/>
      </c>
      <c r="AB42" s="98" t="inlineStr">
        <is>
          <t>存股</t>
        </is>
      </c>
      <c r="AC42" s="214" t="inlineStr">
        <is>
          <t>獲利了結，轉換標的</t>
        </is>
      </c>
      <c r="AD42" s="474" t="inlineStr">
        <is>
          <t>元大-台股定期定額</t>
        </is>
      </c>
    </row>
    <row r="43" hidden="1" outlineLevel="1">
      <c r="A43" s="95" t="n">
        <v>45992</v>
      </c>
      <c r="B43" s="11" t="n"/>
      <c r="C43" s="11" t="n">
        <v>56</v>
      </c>
      <c r="D43" s="163">
        <f>VLOOKUP(C43,每日行情!A:B,2,FALSE)</f>
        <v/>
      </c>
      <c r="E43" s="11" t="n">
        <v>275</v>
      </c>
      <c r="F43" s="11" t="n">
        <v>36.03</v>
      </c>
      <c r="G43" s="583" t="n">
        <v>9908</v>
      </c>
      <c r="H43" s="11" t="n">
        <v>1</v>
      </c>
      <c r="I43" s="99" t="n">
        <v>46051</v>
      </c>
      <c r="J43" s="16" t="n">
        <v>38.23</v>
      </c>
      <c r="K43" s="11">
        <f>E43*J43</f>
        <v/>
      </c>
      <c r="L43" s="17" t="n"/>
      <c r="M43" s="11" t="n"/>
      <c r="N43" s="11" t="n">
        <v>0</v>
      </c>
      <c r="O43" s="584">
        <f>IF(I43="",E43*Y43,0)</f>
        <v/>
      </c>
      <c r="P43" s="585">
        <f>IF(I43="",R43-H43,(K43-H43-SUM(L43:N43)+R43-S43-T43)-G43)+(ROUND(R43*V43,0)-ROUND(R43*(1+V43),0)*W43)</f>
        <v/>
      </c>
      <c r="Q43" s="585">
        <f>IF(I43="",(O43-G43-(O43*0.1425%*0.65)-(O43*0.3%)-S43-T43),0)</f>
        <v/>
      </c>
      <c r="R43" s="585" t="n">
        <v>330</v>
      </c>
      <c r="S43" s="585" t="n">
        <v>10</v>
      </c>
      <c r="T43" s="585" t="n"/>
      <c r="U43" s="65">
        <f>(V43*50%)/(1+50%*V43)</f>
        <v/>
      </c>
      <c r="V43" s="65" t="n"/>
      <c r="W43" s="66" t="n">
        <v>0.11</v>
      </c>
      <c r="X43" s="586">
        <f>(P43+Q43)/G43</f>
        <v/>
      </c>
      <c r="Y43" s="16">
        <f>VLOOKUP(C43,每日行情!A:D,4,FALSE)</f>
        <v/>
      </c>
      <c r="Z43" s="587">
        <f>VLOOKUP(C43,每日行情!A:E,5,FALSE)</f>
        <v/>
      </c>
      <c r="AA43" s="588">
        <f>IF(I43="",((TODAY()-A43)*G43)/365.24,((I43-A43)*G43)/365.24)</f>
        <v/>
      </c>
      <c r="AB43" s="98" t="inlineStr">
        <is>
          <t>存股</t>
        </is>
      </c>
      <c r="AC43" s="214" t="inlineStr">
        <is>
          <t>獲利了結，轉換標的</t>
        </is>
      </c>
      <c r="AD43" s="474" t="inlineStr">
        <is>
          <t>元大-台股定期定額</t>
        </is>
      </c>
    </row>
    <row r="44" hidden="1" outlineLevel="1">
      <c r="A44" s="95" t="n">
        <v>46024</v>
      </c>
      <c r="B44" s="11" t="n"/>
      <c r="C44" s="11" t="n">
        <v>56</v>
      </c>
      <c r="D44" s="163">
        <f>VLOOKUP(C44,每日行情!A:B,2,FALSE)</f>
        <v/>
      </c>
      <c r="E44" s="11" t="n">
        <v>267</v>
      </c>
      <c r="F44" s="11" t="n">
        <v>37.02</v>
      </c>
      <c r="G44" s="583" t="n">
        <v>9884</v>
      </c>
      <c r="H44" s="11" t="n">
        <v>1</v>
      </c>
      <c r="I44" s="99" t="n">
        <v>46051</v>
      </c>
      <c r="J44" s="16" t="n">
        <v>38.23</v>
      </c>
      <c r="K44" s="11">
        <f>E44*J44</f>
        <v/>
      </c>
      <c r="L44" s="17" t="n"/>
      <c r="M44" s="11" t="n"/>
      <c r="N44" s="11" t="n">
        <v>0</v>
      </c>
      <c r="O44" s="584">
        <f>IF(I44="",E44*Y44,0)</f>
        <v/>
      </c>
      <c r="P44" s="585">
        <f>IF(I44="",R44-H44,(K44-H44-SUM(L44:N44)+R44-S44-T44)-G44)+(ROUND(R44*V44,0)-ROUND(R44*(1+V44),0)*W44)</f>
        <v/>
      </c>
      <c r="Q44" s="585">
        <f>IF(I44="",(O44-G44-(O44*0.1425%*0.65)-(O44*0.3%)-S44-T44),0)</f>
        <v/>
      </c>
      <c r="R44" s="585" t="n">
        <v>330</v>
      </c>
      <c r="S44" s="585" t="n">
        <v>10</v>
      </c>
      <c r="T44" s="585" t="n"/>
      <c r="U44" s="65">
        <f>(V44*50%)/(1+50%*V44)</f>
        <v/>
      </c>
      <c r="V44" s="65" t="n"/>
      <c r="W44" s="66" t="n">
        <v>0.11</v>
      </c>
      <c r="X44" s="586">
        <f>(P44+Q44)/G44</f>
        <v/>
      </c>
      <c r="Y44" s="16">
        <f>VLOOKUP(C44,每日行情!A:D,4,FALSE)</f>
        <v/>
      </c>
      <c r="Z44" s="587">
        <f>VLOOKUP(C44,每日行情!A:E,5,FALSE)</f>
        <v/>
      </c>
      <c r="AA44" s="588">
        <f>IF(I44="",((TODAY()-A44)*G44)/365.24,((I44-A44)*G44)/365.24)</f>
        <v/>
      </c>
      <c r="AB44" s="98" t="inlineStr">
        <is>
          <t>存股</t>
        </is>
      </c>
      <c r="AC44" s="214" t="inlineStr">
        <is>
          <t>獲利了結，轉換標的</t>
        </is>
      </c>
      <c r="AD44" s="474" t="inlineStr">
        <is>
          <t>元大-台股定期定額</t>
        </is>
      </c>
    </row>
    <row r="45" collapsed="1">
      <c r="A45" s="95" t="n">
        <v>45908</v>
      </c>
      <c r="B45" s="11" t="n"/>
      <c r="C45" s="11" t="n">
        <v>770</v>
      </c>
      <c r="D45" s="163">
        <f>VLOOKUP(C45,每日行情!A:B,2,FALSE)</f>
        <v/>
      </c>
      <c r="E45" s="11" t="n">
        <v>192</v>
      </c>
      <c r="F45" s="11" t="n">
        <v>51.02</v>
      </c>
      <c r="G45" s="583" t="n">
        <v>9795</v>
      </c>
      <c r="H45" s="11" t="n">
        <v>1</v>
      </c>
      <c r="I45" s="99" t="n">
        <v>46090</v>
      </c>
      <c r="J45" s="16" t="n">
        <v>50.05</v>
      </c>
      <c r="K45" s="11">
        <f>E45*J45</f>
        <v/>
      </c>
      <c r="L45" s="17" t="n">
        <v>8</v>
      </c>
      <c r="M45" s="11" t="n">
        <v>10</v>
      </c>
      <c r="N45" s="11" t="n">
        <v>0</v>
      </c>
      <c r="O45" s="584">
        <f>IF(I45="",E45*Y45,0)</f>
        <v/>
      </c>
      <c r="P45" s="585">
        <f>IF(I45="",R45-H45,(K45-H45-SUM(L45:N45)+R45-S45-T45)-G45)+(ROUND(R45*V45,0)-ROUND(R45*(1+V45),0)*W45)</f>
        <v/>
      </c>
      <c r="Q45" s="585">
        <f>IF(I45="",(O45-G45-(O45*0.1425%*0.65)-(O45*0.3%)-S45-T45),0)</f>
        <v/>
      </c>
      <c r="R45" s="585" t="n">
        <v>743</v>
      </c>
      <c r="S45" s="585" t="n">
        <v>10</v>
      </c>
      <c r="T45" s="585" t="n"/>
      <c r="U45" s="65">
        <f>(V45*50%)/(1+50%*V45)</f>
        <v/>
      </c>
      <c r="V45" s="65" t="n"/>
      <c r="W45" s="66" t="n">
        <v>0.11</v>
      </c>
      <c r="X45" s="586">
        <f>(P45+Q45)/G45</f>
        <v/>
      </c>
      <c r="Y45" s="16">
        <f>VLOOKUP(C45,每日行情!A:D,4,FALSE)</f>
        <v/>
      </c>
      <c r="Z45" s="587">
        <f>VLOOKUP(C45,每日行情!A:E,5,FALSE)</f>
        <v/>
      </c>
      <c r="AA45" s="588">
        <f>IF(I45="",((TODAY()-A45)*G45)/365.24,((I45-A45)*G45)/365.24)</f>
        <v/>
      </c>
      <c r="AB45" s="98" t="inlineStr">
        <is>
          <t>存股</t>
        </is>
      </c>
      <c r="AC45" s="168" t="inlineStr">
        <is>
          <t>美伊戰爭，憂心崩跌，獲利了結</t>
        </is>
      </c>
      <c r="AD45" s="474" t="inlineStr">
        <is>
          <t>元大-台股定期定額</t>
        </is>
      </c>
    </row>
    <row r="46" hidden="1" outlineLevel="1">
      <c r="A46" s="95" t="n">
        <v>45937</v>
      </c>
      <c r="B46" s="11" t="n"/>
      <c r="C46" s="11" t="n">
        <v>770</v>
      </c>
      <c r="D46" s="163">
        <f>VLOOKUP(C46,每日行情!A:B,2,FALSE)</f>
        <v/>
      </c>
      <c r="E46" s="11" t="n">
        <v>179</v>
      </c>
      <c r="F46" s="11" t="n">
        <v>54.96</v>
      </c>
      <c r="G46" s="583" t="n">
        <v>9837</v>
      </c>
      <c r="H46" s="11" t="n">
        <v>1</v>
      </c>
      <c r="I46" s="99" t="n">
        <v>46090</v>
      </c>
      <c r="J46" s="16" t="n">
        <v>50.05</v>
      </c>
      <c r="K46" s="11">
        <f>E46*J46</f>
        <v/>
      </c>
      <c r="L46" s="17" t="n">
        <v>8</v>
      </c>
      <c r="M46" s="11" t="n">
        <v>10</v>
      </c>
      <c r="N46" s="11" t="n">
        <v>0</v>
      </c>
      <c r="O46" s="584">
        <f>IF(I46="",E46*Y46,0)</f>
        <v/>
      </c>
      <c r="P46" s="585">
        <f>IF(I46="",R46-H46,(K46-H46-SUM(L46:N46)+R46-S46-T46)-G46)+(ROUND(R46*V46,0)-ROUND(R46*(1+V46),0)*W46)</f>
        <v/>
      </c>
      <c r="Q46" s="585">
        <f>IF(I46="",(O46-G46-(O46*0.1425%*0.65)-(O46*0.3%)-S46-T46),0)</f>
        <v/>
      </c>
      <c r="R46" s="585" t="n">
        <v>742</v>
      </c>
      <c r="S46" s="585" t="n">
        <v>10</v>
      </c>
      <c r="T46" s="585" t="n"/>
      <c r="U46" s="65">
        <f>(V46*50%)/(1+50%*V46)</f>
        <v/>
      </c>
      <c r="V46" s="65" t="n"/>
      <c r="W46" s="66" t="n">
        <v>0.11</v>
      </c>
      <c r="X46" s="586">
        <f>(P46+Q46)/G46</f>
        <v/>
      </c>
      <c r="Y46" s="16">
        <f>VLOOKUP(C46,每日行情!A:D,4,FALSE)</f>
        <v/>
      </c>
      <c r="Z46" s="587">
        <f>VLOOKUP(C46,每日行情!A:E,5,FALSE)</f>
        <v/>
      </c>
      <c r="AA46" s="588">
        <f>IF(I46="",((TODAY()-A46)*G46)/365.24,((I46-A46)*G46)/365.24)</f>
        <v/>
      </c>
      <c r="AB46" s="98" t="inlineStr">
        <is>
          <t>存股</t>
        </is>
      </c>
      <c r="AC46" s="108" t="inlineStr">
        <is>
          <t>美伊戰爭，憂心崩跌，認賠出場</t>
        </is>
      </c>
      <c r="AD46" s="474" t="inlineStr">
        <is>
          <t>元大-台股定期定額</t>
        </is>
      </c>
    </row>
    <row r="47" hidden="1" outlineLevel="1">
      <c r="A47" s="95" t="n">
        <v>45967</v>
      </c>
      <c r="B47" s="11" t="n"/>
      <c r="C47" s="11" t="n">
        <v>770</v>
      </c>
      <c r="D47" s="163">
        <f>VLOOKUP(C47,每日行情!A:B,2,FALSE)</f>
        <v/>
      </c>
      <c r="E47" s="11" t="n">
        <v>173</v>
      </c>
      <c r="F47" s="11" t="n">
        <v>57.55</v>
      </c>
      <c r="G47" s="583" t="n">
        <v>9956</v>
      </c>
      <c r="H47" s="11" t="n">
        <v>1</v>
      </c>
      <c r="I47" s="99" t="n">
        <v>46090</v>
      </c>
      <c r="J47" s="16" t="n">
        <v>50.05</v>
      </c>
      <c r="K47" s="11">
        <f>E47*J47</f>
        <v/>
      </c>
      <c r="L47" s="17" t="n">
        <v>8</v>
      </c>
      <c r="M47" s="11" t="n">
        <v>10</v>
      </c>
      <c r="N47" s="11" t="n">
        <v>0</v>
      </c>
      <c r="O47" s="584">
        <f>IF(I47="",E47*Y47,0)</f>
        <v/>
      </c>
      <c r="P47" s="585">
        <f>IF(I47="",R47-H47,(K47-H47-SUM(L47:N47)+R47-S47-T47)-G47)+(ROUND(R47*V47,0)-ROUND(R47*(1+V47),0)*W47)</f>
        <v/>
      </c>
      <c r="Q47" s="585">
        <f>IF(I47="",(O47-G47-(O47*0.1425%*0.65)-(O47*0.3%)-S47-T47),0)</f>
        <v/>
      </c>
      <c r="R47" s="585" t="n">
        <v>742</v>
      </c>
      <c r="S47" s="585" t="n">
        <v>10</v>
      </c>
      <c r="T47" s="585" t="n"/>
      <c r="U47" s="65">
        <f>(V47*50%)/(1+50%*V47)</f>
        <v/>
      </c>
      <c r="V47" s="65" t="n"/>
      <c r="W47" s="66" t="n">
        <v>0.11</v>
      </c>
      <c r="X47" s="586">
        <f>(P47+Q47)/G47</f>
        <v/>
      </c>
      <c r="Y47" s="16">
        <f>VLOOKUP(C47,每日行情!A:D,4,FALSE)</f>
        <v/>
      </c>
      <c r="Z47" s="587">
        <f>VLOOKUP(C47,每日行情!A:E,5,FALSE)</f>
        <v/>
      </c>
      <c r="AA47" s="588">
        <f>IF(I47="",((TODAY()-A47)*G47)/365.24,((I47-A47)*G47)/365.24)</f>
        <v/>
      </c>
      <c r="AB47" s="98" t="inlineStr">
        <is>
          <t>存股</t>
        </is>
      </c>
      <c r="AC47" s="108" t="inlineStr">
        <is>
          <t>美伊戰爭，憂心崩跌，認賠出場</t>
        </is>
      </c>
      <c r="AD47" s="474" t="inlineStr">
        <is>
          <t>元大-台股定期定額</t>
        </is>
      </c>
    </row>
    <row r="48" hidden="1" outlineLevel="1">
      <c r="A48" s="95" t="n">
        <v>45999</v>
      </c>
      <c r="B48" s="11" t="n"/>
      <c r="C48" s="11" t="n">
        <v>770</v>
      </c>
      <c r="D48" s="163">
        <f>VLOOKUP(C48,每日行情!A:B,2,FALSE)</f>
        <v/>
      </c>
      <c r="E48" s="11" t="n">
        <v>170</v>
      </c>
      <c r="F48" s="11" t="n">
        <v>58.65</v>
      </c>
      <c r="G48" s="583" t="n">
        <v>9970</v>
      </c>
      <c r="H48" s="11" t="n">
        <v>1</v>
      </c>
      <c r="I48" s="99" t="n">
        <v>46090</v>
      </c>
      <c r="J48" s="16" t="n">
        <v>50.05</v>
      </c>
      <c r="K48" s="11">
        <f>E48*J48</f>
        <v/>
      </c>
      <c r="L48" s="17" t="n">
        <v>9</v>
      </c>
      <c r="M48" s="11" t="n">
        <v>10</v>
      </c>
      <c r="N48" s="11" t="n">
        <v>0</v>
      </c>
      <c r="O48" s="584">
        <f>IF(I48="",E48*Y48,0)</f>
        <v/>
      </c>
      <c r="P48" s="585">
        <f>IF(I48="",R48-H48,(K48-H48-SUM(L48:N48)+R48-S48-T48)-G48)+(ROUND(R48*V48,0)-ROUND(R48*(1+V48),0)*W48)</f>
        <v/>
      </c>
      <c r="Q48" s="585">
        <f>IF(I48="",(O48-G48-(O48*0.1425%*0.65)-(O48*0.3%)-S48-T48),0)</f>
        <v/>
      </c>
      <c r="R48" s="585" t="n">
        <v>742</v>
      </c>
      <c r="S48" s="585" t="n">
        <v>10</v>
      </c>
      <c r="T48" s="585" t="n"/>
      <c r="U48" s="65">
        <f>(V48*50%)/(1+50%*V48)</f>
        <v/>
      </c>
      <c r="V48" s="65" t="n"/>
      <c r="W48" s="66" t="n">
        <v>0.11</v>
      </c>
      <c r="X48" s="586">
        <f>(P48+Q48)/G48</f>
        <v/>
      </c>
      <c r="Y48" s="16">
        <f>VLOOKUP(C48,每日行情!A:D,4,FALSE)</f>
        <v/>
      </c>
      <c r="Z48" s="587">
        <f>VLOOKUP(C48,每日行情!A:E,5,FALSE)</f>
        <v/>
      </c>
      <c r="AA48" s="588">
        <f>IF(I48="",((TODAY()-A48)*G48)/365.24,((I48-A48)*G48)/365.24)</f>
        <v/>
      </c>
      <c r="AB48" s="98" t="inlineStr">
        <is>
          <t>存股</t>
        </is>
      </c>
      <c r="AC48" s="108" t="inlineStr">
        <is>
          <t>美伊戰爭，憂心崩跌，認賠出場</t>
        </is>
      </c>
      <c r="AD48" s="474" t="inlineStr">
        <is>
          <t>元大-台股定期定額</t>
        </is>
      </c>
    </row>
    <row r="49" hidden="1" outlineLevel="1">
      <c r="A49" s="95" t="n">
        <v>46028</v>
      </c>
      <c r="B49" s="11" t="n"/>
      <c r="C49" s="11" t="n">
        <v>770</v>
      </c>
      <c r="D49" s="163">
        <f>VLOOKUP(C49,每日行情!A:B,2,FALSE)</f>
        <v/>
      </c>
      <c r="E49" s="11" t="n">
        <v>170</v>
      </c>
      <c r="F49" s="11" t="n">
        <v>58.18</v>
      </c>
      <c r="G49" s="583" t="n">
        <v>9890</v>
      </c>
      <c r="H49" s="11" t="n">
        <v>1</v>
      </c>
      <c r="I49" s="99" t="n">
        <v>46090</v>
      </c>
      <c r="J49" s="16" t="n">
        <v>50.05</v>
      </c>
      <c r="K49" s="11">
        <f>E49*J49</f>
        <v/>
      </c>
      <c r="L49" s="17" t="n">
        <v>9</v>
      </c>
      <c r="M49" s="11" t="n">
        <v>10</v>
      </c>
      <c r="N49" s="11" t="n">
        <v>0</v>
      </c>
      <c r="O49" s="584">
        <f>IF(I49="",E49*Y49,0)</f>
        <v/>
      </c>
      <c r="P49" s="585">
        <f>IF(I49="",R49-H49,(K49-H49-SUM(L49:N49)+R49-S49-T49)-G49)+(ROUND(R49*V49,0)-ROUND(R49*(1+V49),0)*W49)</f>
        <v/>
      </c>
      <c r="Q49" s="585">
        <f>IF(I49="",(O49-G49-(O49*0.1425%*0.65)-(O49*0.3%)-S49-T49),0)</f>
        <v/>
      </c>
      <c r="R49" s="585" t="n">
        <v>742</v>
      </c>
      <c r="S49" s="585" t="n">
        <v>10</v>
      </c>
      <c r="T49" s="585" t="n"/>
      <c r="U49" s="65">
        <f>(V49*50%)/(1+50%*V49)</f>
        <v/>
      </c>
      <c r="V49" s="65" t="n"/>
      <c r="W49" s="66" t="n">
        <v>0.11</v>
      </c>
      <c r="X49" s="586">
        <f>(P49+Q49)/G49</f>
        <v/>
      </c>
      <c r="Y49" s="16">
        <f>VLOOKUP(C49,每日行情!A:D,4,FALSE)</f>
        <v/>
      </c>
      <c r="Z49" s="587">
        <f>VLOOKUP(C49,每日行情!A:E,5,FALSE)</f>
        <v/>
      </c>
      <c r="AA49" s="588">
        <f>IF(I49="",((TODAY()-A49)*G49)/365.24,((I49-A49)*G49)/365.24)</f>
        <v/>
      </c>
      <c r="AB49" s="98" t="inlineStr">
        <is>
          <t>存股</t>
        </is>
      </c>
      <c r="AC49" s="108" t="inlineStr">
        <is>
          <t>美伊戰爭，憂心崩跌，認賠出場</t>
        </is>
      </c>
      <c r="AD49" s="474" t="inlineStr">
        <is>
          <t>元大-台股定期定額</t>
        </is>
      </c>
    </row>
    <row r="50" hidden="1" outlineLevel="1">
      <c r="A50" s="99" t="n">
        <v>46059</v>
      </c>
      <c r="B50" s="11" t="n"/>
      <c r="C50" s="11" t="n">
        <v>770</v>
      </c>
      <c r="D50" s="163">
        <f>VLOOKUP(C50,每日行情!A:B,2,FALSE)</f>
        <v/>
      </c>
      <c r="E50" s="11" t="n">
        <v>194</v>
      </c>
      <c r="F50" s="11" t="n">
        <v>50.71</v>
      </c>
      <c r="G50" s="583" t="n">
        <v>9837</v>
      </c>
      <c r="H50" s="11" t="n">
        <v>1</v>
      </c>
      <c r="I50" s="99" t="n">
        <v>46090</v>
      </c>
      <c r="J50" s="16" t="n">
        <v>50.2</v>
      </c>
      <c r="K50" s="11">
        <f>E50*J50</f>
        <v/>
      </c>
      <c r="L50" s="17" t="n">
        <v>3</v>
      </c>
      <c r="M50" s="11" t="n">
        <v>3</v>
      </c>
      <c r="N50" s="11" t="n">
        <v>0</v>
      </c>
      <c r="O50" s="584">
        <f>IF(I50="",E50*Y50,0)</f>
        <v/>
      </c>
      <c r="P50" s="585">
        <f>IF(I50="",R50-H50,(K50-H50-SUM(L50:N50)+R50-S50-T50)-G50)+(ROUND(R50*V50,0)-ROUND(R50*(1+V50),0)*W50)</f>
        <v/>
      </c>
      <c r="Q50" s="585">
        <f>IF(I50="",(O50-G50-(O50*0.1425%*0.65)-(O50*0.3%)-S50-T50),0)</f>
        <v/>
      </c>
      <c r="R50" s="585" t="n"/>
      <c r="S50" s="585" t="n"/>
      <c r="T50" s="585" t="n"/>
      <c r="U50" s="65">
        <f>(V50*50%)/(1+50%*V50)</f>
        <v/>
      </c>
      <c r="V50" s="65" t="n"/>
      <c r="W50" s="66" t="n">
        <v>0.11</v>
      </c>
      <c r="X50" s="586">
        <f>(P50+Q50)/G50</f>
        <v/>
      </c>
      <c r="Y50" s="16">
        <f>VLOOKUP(C50,每日行情!A:D,4,FALSE)</f>
        <v/>
      </c>
      <c r="Z50" s="587">
        <f>VLOOKUP(C50,每日行情!A:E,5,FALSE)</f>
        <v/>
      </c>
      <c r="AA50" s="588">
        <f>IF(I50="",((TODAY()-A50)*G50)/365.24,((I50-A50)*G50)/365.24)</f>
        <v/>
      </c>
      <c r="AB50" s="98" t="inlineStr">
        <is>
          <t>存股</t>
        </is>
      </c>
      <c r="AC50" s="108" t="inlineStr">
        <is>
          <t>美伊戰爭，憂心崩跌，認賠出場</t>
        </is>
      </c>
      <c r="AD50" s="474" t="inlineStr">
        <is>
          <t>元大-台股定期定額</t>
        </is>
      </c>
    </row>
    <row r="51">
      <c r="A51" s="99" t="n">
        <v>46051</v>
      </c>
      <c r="B51" s="11" t="n"/>
      <c r="C51" s="11" t="n">
        <v>3163</v>
      </c>
      <c r="D51" s="163">
        <f>VLOOKUP(C51,每日行情!A:B,2,FALSE)</f>
        <v/>
      </c>
      <c r="E51" s="11" t="n">
        <v>1000</v>
      </c>
      <c r="F51" s="11" t="n">
        <v>486</v>
      </c>
      <c r="G51" s="583">
        <f>E51*F51</f>
        <v/>
      </c>
      <c r="H51" s="11" t="n">
        <v>415</v>
      </c>
      <c r="I51" s="99" t="n">
        <v>46090</v>
      </c>
      <c r="J51" s="16" t="n">
        <v>654</v>
      </c>
      <c r="K51" s="11">
        <f>E51*J51</f>
        <v/>
      </c>
      <c r="L51" s="17" t="n">
        <v>559</v>
      </c>
      <c r="M51" s="11" t="n">
        <v>1962</v>
      </c>
      <c r="N51" s="11" t="n">
        <v>0</v>
      </c>
      <c r="O51" s="584">
        <f>IF(I51="",E51*Y51,0)</f>
        <v/>
      </c>
      <c r="P51" s="585">
        <f>IF(I51="",R51-H51,(K51-H51-SUM(L51:N51)+R51-S51-T51)-G51)+(ROUND(R51*V51,0)-ROUND(R51*(1+V51),0)*W51)</f>
        <v/>
      </c>
      <c r="Q51" s="585">
        <f>IF(I51="",(O51-G51-(O51*0.1425%*0.65)-(O51*0.3%)-S51-T51),0)</f>
        <v/>
      </c>
      <c r="R51" s="585" t="n"/>
      <c r="S51" s="585" t="n"/>
      <c r="T51" s="585" t="n"/>
      <c r="U51" s="65">
        <f>(V51*50%)/(1+50%*V51)</f>
        <v/>
      </c>
      <c r="V51" s="65" t="n"/>
      <c r="W51" s="66" t="n">
        <v>0.11</v>
      </c>
      <c r="X51" s="586">
        <f>(P51+Q51)/G51</f>
        <v/>
      </c>
      <c r="Y51" s="16">
        <f>VLOOKUP(C51,每日行情!A:D,4,FALSE)</f>
        <v/>
      </c>
      <c r="Z51" s="587">
        <f>VLOOKUP(C51,每日行情!A:E,5,FALSE)</f>
        <v/>
      </c>
      <c r="AA51" s="588">
        <f>IF(I51="",((TODAY()-A51)*G51)/365.24,((I51-A51)*G51)/365.24)</f>
        <v/>
      </c>
      <c r="AB51" s="98" t="inlineStr">
        <is>
          <t>矽光子族群</t>
        </is>
      </c>
      <c r="AC51" s="214" t="inlineStr">
        <is>
          <t>美伊戰爭，憂心崩跌，獲利了結</t>
        </is>
      </c>
      <c r="AD51" s="200" t="n"/>
    </row>
    <row r="52">
      <c r="A52" s="99" t="n">
        <v>46051</v>
      </c>
      <c r="B52" s="11" t="n"/>
      <c r="C52" s="11" t="n">
        <v>8299</v>
      </c>
      <c r="D52" s="163">
        <f>VLOOKUP(C52,每日行情!A:B,2,FALSE)</f>
        <v/>
      </c>
      <c r="E52" s="11" t="n">
        <v>50</v>
      </c>
      <c r="F52" s="11" t="n">
        <v>2270</v>
      </c>
      <c r="G52" s="583">
        <f>E52*F52</f>
        <v/>
      </c>
      <c r="H52" s="11" t="n">
        <v>97</v>
      </c>
      <c r="I52" s="99" t="n">
        <v>46090</v>
      </c>
      <c r="J52" s="16" t="n">
        <v>1600</v>
      </c>
      <c r="K52" s="11">
        <f>E52*J52</f>
        <v/>
      </c>
      <c r="L52" s="17" t="n">
        <v>81</v>
      </c>
      <c r="M52" s="11" t="n">
        <v>300</v>
      </c>
      <c r="N52" s="11" t="n">
        <v>0</v>
      </c>
      <c r="O52" s="584">
        <f>IF(I52="",E52*Y52,0)</f>
        <v/>
      </c>
      <c r="P52" s="585">
        <f>IF(I52="",R52-H52,(K52-H52-SUM(L52:N52)+R52-S52-T52)-G52)+(ROUND(R52*V52,0)-ROUND(R52*(1+V52),0)*W52)</f>
        <v/>
      </c>
      <c r="Q52" s="585">
        <f>IF(I52="",(O52-G52-(O52*0.1425%*0.65)-(O52*0.3%)-S52-T52),0)</f>
        <v/>
      </c>
      <c r="R52" s="585" t="n"/>
      <c r="S52" s="585" t="n"/>
      <c r="T52" s="585" t="n"/>
      <c r="U52" s="65">
        <f>(V52*50%)/(1+50%*V52)</f>
        <v/>
      </c>
      <c r="V52" s="65" t="n"/>
      <c r="W52" s="66" t="n">
        <v>0.11</v>
      </c>
      <c r="X52" s="586">
        <f>(P52+Q52)/G52</f>
        <v/>
      </c>
      <c r="Y52" s="16">
        <f>VLOOKUP(C52,每日行情!A:D,4,FALSE)</f>
        <v/>
      </c>
      <c r="Z52" s="587">
        <f>VLOOKUP(C52,每日行情!A:E,5,FALSE)</f>
        <v/>
      </c>
      <c r="AA52" s="588">
        <f>IF(I52="",((TODAY()-A52)*G52)/365.24,((I52-A52)*G52)/365.24)</f>
        <v/>
      </c>
      <c r="AB52" s="98" t="inlineStr">
        <is>
          <t>記憶體族群</t>
        </is>
      </c>
      <c r="AC52" s="108" t="inlineStr">
        <is>
          <t>美伊戰爭，憂心崩跌，認賠出場</t>
        </is>
      </c>
      <c r="AD52" s="200" t="n"/>
    </row>
    <row r="53">
      <c r="A53" s="99" t="n">
        <v>46064</v>
      </c>
      <c r="B53" s="11" t="n"/>
      <c r="C53" s="11" t="n">
        <v>8299</v>
      </c>
      <c r="D53" s="163">
        <f>VLOOKUP(C53,每日行情!A:B,2,FALSE)</f>
        <v/>
      </c>
      <c r="E53" s="11" t="n">
        <v>20</v>
      </c>
      <c r="F53" s="11" t="n">
        <v>1860</v>
      </c>
      <c r="G53" s="583">
        <f>E53*F53</f>
        <v/>
      </c>
      <c r="H53" s="11" t="n">
        <v>31</v>
      </c>
      <c r="I53" s="99" t="n">
        <v>46090</v>
      </c>
      <c r="J53" s="16" t="n">
        <v>1600</v>
      </c>
      <c r="K53" s="11">
        <f>E53*J53</f>
        <v/>
      </c>
      <c r="L53" s="17" t="n">
        <v>14</v>
      </c>
      <c r="M53" s="11" t="n">
        <v>36</v>
      </c>
      <c r="N53" s="11" t="n">
        <v>0</v>
      </c>
      <c r="O53" s="584">
        <f>IF(I53="",E53*Y53,0)</f>
        <v/>
      </c>
      <c r="P53" s="585">
        <f>IF(I53="",R53-H53,(K53-H53-SUM(L53:N53)+R53-S53-T53)-G53)+(ROUND(R53*V53,0)-ROUND(R53*(1+V53),0)*W53)</f>
        <v/>
      </c>
      <c r="Q53" s="585">
        <f>IF(I53="",(O53-G53-(O53*0.1425%*0.65)-(O53*0.3%)-S53-T53),0)</f>
        <v/>
      </c>
      <c r="R53" s="585" t="n"/>
      <c r="S53" s="585" t="n"/>
      <c r="T53" s="585" t="n"/>
      <c r="U53" s="65">
        <f>(V53*50%)/(1+50%*V53)</f>
        <v/>
      </c>
      <c r="V53" s="65" t="n"/>
      <c r="W53" s="66" t="n">
        <v>0.11</v>
      </c>
      <c r="X53" s="586">
        <f>(P53+Q53)/G53</f>
        <v/>
      </c>
      <c r="Y53" s="16">
        <f>VLOOKUP(C53,每日行情!A:D,4,FALSE)</f>
        <v/>
      </c>
      <c r="Z53" s="587">
        <f>VLOOKUP(C53,每日行情!A:E,5,FALSE)</f>
        <v/>
      </c>
      <c r="AA53" s="588">
        <f>IF(I53="",((TODAY()-A53)*G53)/365.24,((I53-A53)*G53)/365.24)</f>
        <v/>
      </c>
      <c r="AB53" s="98" t="inlineStr">
        <is>
          <t>記憶體族群</t>
        </is>
      </c>
      <c r="AC53" s="108" t="inlineStr">
        <is>
          <t>美伊戰爭，憂心崩跌，認賠出場</t>
        </is>
      </c>
      <c r="AD53" s="200" t="n"/>
    </row>
    <row r="54">
      <c r="A54" s="99" t="n">
        <v>46126</v>
      </c>
      <c r="B54" s="11" t="n"/>
      <c r="C54" s="11" t="n">
        <v>56</v>
      </c>
      <c r="D54" s="163">
        <f>VLOOKUP(C54,每日行情!A:B,2,FALSE)</f>
        <v/>
      </c>
      <c r="E54" s="11" t="n">
        <v>2000</v>
      </c>
      <c r="F54" s="11" t="n">
        <v>39.98</v>
      </c>
      <c r="G54" s="583">
        <f>E54*F54</f>
        <v/>
      </c>
      <c r="H54" s="11" t="n">
        <v>68</v>
      </c>
      <c r="I54" s="99" t="n">
        <v>46134</v>
      </c>
      <c r="J54" s="16" t="n">
        <v>42.3</v>
      </c>
      <c r="K54" s="11">
        <f>E54*J54</f>
        <v/>
      </c>
      <c r="L54" s="11" t="n">
        <v>72</v>
      </c>
      <c r="M54" s="11" t="n">
        <v>84</v>
      </c>
      <c r="N54" s="11" t="n"/>
      <c r="O54" s="584">
        <f>IF(I54="",E54*Y54,0)</f>
        <v/>
      </c>
      <c r="P54" s="585">
        <f>IF(I54="",R54-H54,(K54-H54-SUM(L54:N54)+R54-S54-T54)-G54)+(ROUND(R54*V54,0)-ROUND(R54*(1+V54),0)*W54)</f>
        <v/>
      </c>
      <c r="Q54" s="585">
        <f>IF(I54="",(O54-G54-(O54*0.1425%*0.65)-(O54*0.3%)-S54-T54),0)</f>
        <v/>
      </c>
      <c r="R54" s="585" t="n"/>
      <c r="S54" s="585" t="n"/>
      <c r="T54" s="585" t="n"/>
      <c r="U54" s="65">
        <f>(V54*50%)/(1+50%*V54)</f>
        <v/>
      </c>
      <c r="V54" s="65" t="n"/>
      <c r="W54" s="66" t="n">
        <v>0.11</v>
      </c>
      <c r="X54" s="586">
        <f>(P54+Q54)/G54</f>
        <v/>
      </c>
      <c r="Y54" s="16">
        <f>VLOOKUP(C54,每日行情!A:D,4,FALSE)</f>
        <v/>
      </c>
      <c r="Z54" s="587">
        <f>VLOOKUP(C54,每日行情!A:E,5,FALSE)</f>
        <v/>
      </c>
      <c r="AA54" s="588">
        <f>IF(I54="",((TODAY()-A54)*G54)/365.24,((I54-A54)*G54)/365.24)</f>
        <v/>
      </c>
      <c r="AB54" s="98" t="inlineStr">
        <is>
          <t>除權息</t>
        </is>
      </c>
      <c r="AC54" s="214" t="inlineStr">
        <is>
          <t>除息前，獲利了結</t>
        </is>
      </c>
      <c r="AD54" s="200" t="n"/>
    </row>
    <row r="55">
      <c r="A55" s="99" t="n">
        <v>46126</v>
      </c>
      <c r="B55" s="11" t="n"/>
      <c r="C55" s="11" t="n">
        <v>900</v>
      </c>
      <c r="D55" s="163">
        <f>VLOOKUP(C55,每日行情!A:B,2,FALSE)</f>
        <v/>
      </c>
      <c r="E55" s="11" t="n">
        <v>1000</v>
      </c>
      <c r="F55" s="11" t="n">
        <v>14.72</v>
      </c>
      <c r="G55" s="583">
        <f>E55*F55</f>
        <v/>
      </c>
      <c r="H55" s="11" t="n">
        <v>20</v>
      </c>
      <c r="I55" s="99" t="n">
        <v>46128</v>
      </c>
      <c r="J55" s="16" t="n">
        <v>15.05</v>
      </c>
      <c r="K55" s="11">
        <f>E55*J55</f>
        <v/>
      </c>
      <c r="L55" s="11" t="n">
        <v>13</v>
      </c>
      <c r="M55" s="11" t="n">
        <v>15</v>
      </c>
      <c r="N55" s="11" t="n"/>
      <c r="O55" s="584">
        <f>IF(I55="",E55*Y55,0)</f>
        <v/>
      </c>
      <c r="P55" s="585">
        <f>IF(I55="",R55-H55,(K55-H55-SUM(L55:N55)+R55-S55-T55)-G55)+(ROUND(R55*V55,0)-ROUND(R55*(1+V55),0)*W55)</f>
        <v/>
      </c>
      <c r="Q55" s="585">
        <f>IF(I55="",(O55-G55-(O55*0.1425%*0.65)-(O55*0.3%)-S55-T55),0)</f>
        <v/>
      </c>
      <c r="R55" s="585" t="n"/>
      <c r="S55" s="585" t="n"/>
      <c r="T55" s="585" t="n"/>
      <c r="U55" s="65">
        <f>(V55*50%)/(1+50%*V55)</f>
        <v/>
      </c>
      <c r="V55" s="65" t="n"/>
      <c r="W55" s="66" t="n">
        <v>0.11</v>
      </c>
      <c r="X55" s="586">
        <f>(P55+Q55)/G55</f>
        <v/>
      </c>
      <c r="Y55" s="16">
        <f>VLOOKUP(C55,每日行情!A:D,4,FALSE)</f>
        <v/>
      </c>
      <c r="Z55" s="587">
        <f>VLOOKUP(C55,每日行情!A:E,5,FALSE)</f>
        <v/>
      </c>
      <c r="AA55" s="588">
        <f>IF(I55="",((TODAY()-A55)*G55)/365.24,((I55-A55)*G55)/365.24)</f>
        <v/>
      </c>
      <c r="AB55" s="98" t="inlineStr">
        <is>
          <t>除權息</t>
        </is>
      </c>
      <c r="AC55" s="214" t="inlineStr">
        <is>
          <t>除息前，獲利了結</t>
        </is>
      </c>
      <c r="AD55" s="200" t="n"/>
    </row>
    <row r="56">
      <c r="A56" s="99" t="n">
        <v>46126</v>
      </c>
      <c r="B56" s="11" t="n"/>
      <c r="C56" s="11" t="n">
        <v>900</v>
      </c>
      <c r="D56" s="163">
        <f>VLOOKUP(C56,每日行情!A:B,2,FALSE)</f>
        <v/>
      </c>
      <c r="E56" s="11" t="n">
        <v>1000</v>
      </c>
      <c r="F56" s="11" t="n">
        <v>14.73</v>
      </c>
      <c r="G56" s="583">
        <f>E56*F56</f>
        <v/>
      </c>
      <c r="H56" s="11" t="n">
        <v>20</v>
      </c>
      <c r="I56" s="99" t="n">
        <v>46128</v>
      </c>
      <c r="J56" s="16" t="n">
        <v>15.05</v>
      </c>
      <c r="K56" s="11">
        <f>E56*J56</f>
        <v/>
      </c>
      <c r="L56" s="11" t="n">
        <v>13</v>
      </c>
      <c r="M56" s="11" t="n">
        <v>15</v>
      </c>
      <c r="N56" s="11" t="n"/>
      <c r="O56" s="584">
        <f>IF(I56="",E56*Y56,0)</f>
        <v/>
      </c>
      <c r="P56" s="585">
        <f>IF(I56="",R56-H56,(K56-H56-SUM(L56:N56)+R56-S56-T56)-G56)+(ROUND(R56*V56,0)-ROUND(R56*(1+V56),0)*W56)</f>
        <v/>
      </c>
      <c r="Q56" s="585">
        <f>IF(I56="",(O56-G56-(O56*0.1425%*0.65)-(O56*0.3%)-S56-T56),0)</f>
        <v/>
      </c>
      <c r="R56" s="585" t="n"/>
      <c r="S56" s="585" t="n"/>
      <c r="T56" s="585" t="n"/>
      <c r="U56" s="65">
        <f>(V56*50%)/(1+50%*V56)</f>
        <v/>
      </c>
      <c r="V56" s="65" t="n"/>
      <c r="W56" s="66" t="n">
        <v>0.11</v>
      </c>
      <c r="X56" s="586">
        <f>(P56+Q56)/G56</f>
        <v/>
      </c>
      <c r="Y56" s="16">
        <f>VLOOKUP(C56,每日行情!A:D,4,FALSE)</f>
        <v/>
      </c>
      <c r="Z56" s="587">
        <f>VLOOKUP(C56,每日行情!A:E,5,FALSE)</f>
        <v/>
      </c>
      <c r="AA56" s="588">
        <f>IF(I56="",((TODAY()-A56)*G56)/365.24,((I56-A56)*G56)/365.24)</f>
        <v/>
      </c>
      <c r="AB56" s="98" t="inlineStr">
        <is>
          <t>除權息</t>
        </is>
      </c>
      <c r="AC56" s="214" t="inlineStr">
        <is>
          <t>除息前，獲利了結</t>
        </is>
      </c>
      <c r="AD56" s="200" t="n"/>
    </row>
    <row r="57">
      <c r="A57" s="99" t="n">
        <v>46126</v>
      </c>
      <c r="B57" s="11" t="n"/>
      <c r="C57" s="478" t="n">
        <v>934</v>
      </c>
      <c r="D57" s="163">
        <f>VLOOKUP(C57,每日行情!A:B,2,FALSE)</f>
        <v/>
      </c>
      <c r="E57" s="11" t="n">
        <v>1000</v>
      </c>
      <c r="F57" s="11" t="n">
        <v>22.36</v>
      </c>
      <c r="G57" s="583">
        <f>E57*F57</f>
        <v/>
      </c>
      <c r="H57" s="11" t="n">
        <v>20</v>
      </c>
      <c r="I57" s="99" t="n">
        <v>46128</v>
      </c>
      <c r="J57" s="16" t="n">
        <v>22.92</v>
      </c>
      <c r="K57" s="11">
        <f>E57*J57</f>
        <v/>
      </c>
      <c r="L57" s="11" t="n">
        <v>20</v>
      </c>
      <c r="M57" s="11" t="n">
        <v>22</v>
      </c>
      <c r="N57" s="11" t="n"/>
      <c r="O57" s="584">
        <f>IF(I57="",E57*Y57,0)</f>
        <v/>
      </c>
      <c r="P57" s="585">
        <f>IF(I57="",R57-H57,(K57-H57-SUM(L57:N57)+R57-S57-T57)-G57)+(ROUND(R57*V57,0)-ROUND(R57*(1+V57),0)*W57)</f>
        <v/>
      </c>
      <c r="Q57" s="585">
        <f>IF(I57="",(O57-G57-(O57*0.1425%*0.65)-(O57*0.3%)-S57-T57),0)</f>
        <v/>
      </c>
      <c r="R57" s="585" t="n"/>
      <c r="S57" s="585" t="n"/>
      <c r="T57" s="585" t="n"/>
      <c r="U57" s="65">
        <f>(V57*50%)/(1+50%*V57)</f>
        <v/>
      </c>
      <c r="V57" s="65" t="n"/>
      <c r="W57" s="66" t="n">
        <v>0.11</v>
      </c>
      <c r="X57" s="586">
        <f>(P57+Q57)/G57</f>
        <v/>
      </c>
      <c r="Y57" s="16">
        <f>VLOOKUP(C57,每日行情!A:D,4,FALSE)</f>
        <v/>
      </c>
      <c r="Z57" s="587">
        <f>VLOOKUP(C57,每日行情!A:E,5,FALSE)</f>
        <v/>
      </c>
      <c r="AA57" s="588">
        <f>IF(I57="",((TODAY()-A57)*G57)/365.24,((I57-A57)*G57)/365.24)</f>
        <v/>
      </c>
      <c r="AB57" s="98" t="inlineStr">
        <is>
          <t>除權息</t>
        </is>
      </c>
      <c r="AC57" s="214" t="inlineStr">
        <is>
          <t>除息前，獲利了結</t>
        </is>
      </c>
      <c r="AD57" s="200" t="n"/>
    </row>
    <row r="58">
      <c r="A58" s="99" t="n">
        <v>46126</v>
      </c>
      <c r="B58" s="11" t="n"/>
      <c r="C58" s="11" t="n">
        <v>936</v>
      </c>
      <c r="D58" s="163">
        <f>VLOOKUP(C58,每日行情!A:B,2,FALSE)</f>
        <v/>
      </c>
      <c r="E58" s="11" t="n">
        <v>1000</v>
      </c>
      <c r="F58" s="11" t="n">
        <v>18.04</v>
      </c>
      <c r="G58" s="583">
        <f>E58*F58</f>
        <v/>
      </c>
      <c r="H58" s="11" t="n">
        <v>20</v>
      </c>
      <c r="I58" s="99" t="n">
        <v>46128</v>
      </c>
      <c r="J58" s="16" t="n">
        <v>18.37</v>
      </c>
      <c r="K58" s="11">
        <f>E58*J58</f>
        <v/>
      </c>
      <c r="L58" s="11" t="n">
        <v>20</v>
      </c>
      <c r="M58" s="11" t="n">
        <v>18</v>
      </c>
      <c r="N58" s="11" t="n"/>
      <c r="O58" s="584">
        <f>IF(I58="",E58*Y58,0)</f>
        <v/>
      </c>
      <c r="P58" s="585">
        <f>IF(I58="",R58-H58,(K58-H58-SUM(L58:N58)+R58-S58-T58)-G58)+(ROUND(R58*V58,0)-ROUND(R58*(1+V58),0)*W58)</f>
        <v/>
      </c>
      <c r="Q58" s="585">
        <f>IF(I58="",(O58-G58-(O58*0.1425%*0.65)-(O58*0.3%)-S58-T58),0)</f>
        <v/>
      </c>
      <c r="R58" s="585" t="n"/>
      <c r="S58" s="585" t="n"/>
      <c r="T58" s="585" t="n"/>
      <c r="U58" s="65">
        <f>(V58*50%)/(1+50%*V58)</f>
        <v/>
      </c>
      <c r="V58" s="65" t="n"/>
      <c r="W58" s="66" t="n">
        <v>0.11</v>
      </c>
      <c r="X58" s="586">
        <f>(P58+Q58)/G58</f>
        <v/>
      </c>
      <c r="Y58" s="16">
        <f>VLOOKUP(C58,每日行情!A:D,4,FALSE)</f>
        <v/>
      </c>
      <c r="Z58" s="587">
        <f>VLOOKUP(C58,每日行情!A:E,5,FALSE)</f>
        <v/>
      </c>
      <c r="AA58" s="588">
        <f>IF(I58="",((TODAY()-A58)*G58)/365.24,((I58-A58)*G58)/365.24)</f>
        <v/>
      </c>
      <c r="AB58" s="98" t="inlineStr">
        <is>
          <t>除權息</t>
        </is>
      </c>
      <c r="AC58" s="214" t="inlineStr">
        <is>
          <t>除息前，獲利了結</t>
        </is>
      </c>
      <c r="AD58" s="200" t="n"/>
    </row>
    <row r="59">
      <c r="A59" s="99" t="n">
        <v>46126</v>
      </c>
      <c r="B59" s="11" t="n"/>
      <c r="C59" s="11" t="n">
        <v>944</v>
      </c>
      <c r="D59" s="163">
        <f>VLOOKUP(C59,每日行情!A:B,2,FALSE)</f>
        <v/>
      </c>
      <c r="E59" s="11" t="n">
        <v>1000</v>
      </c>
      <c r="F59" s="11" t="n">
        <v>16.4</v>
      </c>
      <c r="G59" s="583">
        <f>E59*F59</f>
        <v/>
      </c>
      <c r="H59" s="11" t="n">
        <v>20</v>
      </c>
      <c r="I59" s="99" t="n">
        <v>46128</v>
      </c>
      <c r="J59" s="16" t="n">
        <v>16.98</v>
      </c>
      <c r="K59" s="11">
        <f>E59*J59</f>
        <v/>
      </c>
      <c r="L59" s="11" t="n">
        <v>20</v>
      </c>
      <c r="M59" s="11" t="n">
        <v>16</v>
      </c>
      <c r="N59" s="11" t="n"/>
      <c r="O59" s="584">
        <f>IF(I59="",E59*Y59,0)</f>
        <v/>
      </c>
      <c r="P59" s="585">
        <f>IF(I59="",R59-H59,(K59-H59-SUM(L59:N59)+R59-S59-T59)-G59)+(ROUND(R59*V59,0)-ROUND(R59*(1+V59),0)*W59)</f>
        <v/>
      </c>
      <c r="Q59" s="585">
        <f>IF(I59="",(O59-G59-(O59*0.1425%*0.65)-(O59*0.3%)-S59-T59),0)</f>
        <v/>
      </c>
      <c r="R59" s="585" t="n"/>
      <c r="S59" s="585" t="n"/>
      <c r="T59" s="585" t="n"/>
      <c r="U59" s="65">
        <f>(V59*50%)/(1+50%*V59)</f>
        <v/>
      </c>
      <c r="V59" s="65" t="n"/>
      <c r="W59" s="66" t="n">
        <v>0.11</v>
      </c>
      <c r="X59" s="586">
        <f>(P59+Q59)/G59</f>
        <v/>
      </c>
      <c r="Y59" s="16">
        <f>VLOOKUP(C59,每日行情!A:D,4,FALSE)</f>
        <v/>
      </c>
      <c r="Z59" s="587">
        <f>VLOOKUP(C59,每日行情!A:E,5,FALSE)</f>
        <v/>
      </c>
      <c r="AA59" s="588">
        <f>IF(I59="",((TODAY()-A59)*G59)/365.24,((I59-A59)*G59)/365.24)</f>
        <v/>
      </c>
      <c r="AB59" s="98" t="inlineStr">
        <is>
          <t>除權息</t>
        </is>
      </c>
      <c r="AC59" s="214" t="inlineStr">
        <is>
          <t>除息前，獲利了結</t>
        </is>
      </c>
      <c r="AD59" s="200" t="n"/>
    </row>
    <row r="60">
      <c r="A60" s="99" t="n">
        <v>46090</v>
      </c>
      <c r="B60" s="11" t="n"/>
      <c r="C60" s="11" t="n">
        <v>2609</v>
      </c>
      <c r="D60" s="163">
        <f>VLOOKUP(C60,每日行情!A:B,2,FALSE)</f>
        <v/>
      </c>
      <c r="E60" s="11" t="n">
        <v>1000</v>
      </c>
      <c r="F60" s="11" t="n">
        <v>61.09</v>
      </c>
      <c r="G60" s="583">
        <f>E60*F60</f>
        <v/>
      </c>
      <c r="H60" s="11" t="n">
        <v>52</v>
      </c>
      <c r="I60" s="99" t="n">
        <v>46153</v>
      </c>
      <c r="J60" s="16" t="n">
        <v>50.3</v>
      </c>
      <c r="K60" s="11">
        <f>E60*J60</f>
        <v/>
      </c>
      <c r="L60" s="11" t="n">
        <v>43</v>
      </c>
      <c r="M60" s="11" t="n">
        <v>150</v>
      </c>
      <c r="N60" s="11" t="n"/>
      <c r="O60" s="584">
        <f>IF(I60="",E60*Y60,0)</f>
        <v/>
      </c>
      <c r="P60" s="585">
        <f>IF(I60="",R60-H60,(K60-H60-SUM(L60:N60)+R60-S60-T60)-G60)+(ROUND(R60*V60,0)-ROUND(R60*(1+V60),0)*W60)</f>
        <v/>
      </c>
      <c r="Q60" s="585">
        <f>IF(I60="",(O60-G60-(O60*0.1425%*0.65)-(O60*0.3%)-S60-T60),0)</f>
        <v/>
      </c>
      <c r="R60" s="585" t="n"/>
      <c r="S60" s="585" t="n"/>
      <c r="T60" s="585" t="n"/>
      <c r="U60" s="65">
        <f>(V60*50%)/(1+50%*V60)</f>
        <v/>
      </c>
      <c r="V60" s="65" t="n"/>
      <c r="W60" s="66" t="n">
        <v>0.11</v>
      </c>
      <c r="X60" s="586">
        <f>(P60+Q60)/G60</f>
        <v/>
      </c>
      <c r="Y60" s="16">
        <f>VLOOKUP(C60,每日行情!A:D,4,FALSE)</f>
        <v/>
      </c>
      <c r="Z60" s="587">
        <f>VLOOKUP(C60,每日行情!A:E,5,FALSE)</f>
        <v/>
      </c>
      <c r="AA60" s="588">
        <f>IF(I60="",((TODAY()-A60)*G60)/365.24,((I60-A60)*G60)/365.24)</f>
        <v/>
      </c>
      <c r="AB60" s="98" t="inlineStr">
        <is>
          <t>美伊戰爭</t>
        </is>
      </c>
      <c r="AC60" s="105" t="inlineStr">
        <is>
          <t>美伊戰爭</t>
        </is>
      </c>
      <c r="AD60" s="200" t="n"/>
    </row>
    <row r="61">
      <c r="A61" s="99" t="n">
        <v>46149</v>
      </c>
      <c r="B61" s="11" t="n"/>
      <c r="C61" s="11" t="n">
        <v>4938</v>
      </c>
      <c r="D61" s="163">
        <f>VLOOKUP(C61,每日行情!A:B,2,FALSE)</f>
        <v/>
      </c>
      <c r="E61" s="11" t="n">
        <v>1000</v>
      </c>
      <c r="F61" s="11" t="n">
        <v>83.90000000000001</v>
      </c>
      <c r="G61" s="583">
        <f>E61*F61</f>
        <v/>
      </c>
      <c r="H61" s="11" t="n">
        <v>71</v>
      </c>
      <c r="I61" s="99" t="n">
        <v>46156</v>
      </c>
      <c r="J61" s="16" t="n">
        <v>76.7</v>
      </c>
      <c r="K61" s="11">
        <f>E61*J61</f>
        <v/>
      </c>
      <c r="L61" s="11" t="n">
        <v>65</v>
      </c>
      <c r="M61" s="11">
        <f>ROUND(J61*E61*0.3%,0)</f>
        <v/>
      </c>
      <c r="N61" s="11" t="n"/>
      <c r="O61" s="584">
        <f>IF(I61="",E61*Y61,0)</f>
        <v/>
      </c>
      <c r="P61" s="585">
        <f>IF(I61="",R61-H61,(K61-H61-SUM(L61:N61)+R61-S61-T61)-G61)+(ROUND(R61*V61,0)-ROUND(R61*(1+V61),0)*W61)</f>
        <v/>
      </c>
      <c r="Q61" s="585">
        <f>IF(I61="",(O61-G61-(O61*0.1425%*0.65)-(O61*0.3%)-S61-T61),0)</f>
        <v/>
      </c>
      <c r="R61" s="585" t="n"/>
      <c r="S61" s="585" t="n"/>
      <c r="T61" s="585" t="n"/>
      <c r="U61" s="65">
        <f>(V61*50%)/(1+50%*V61)</f>
        <v/>
      </c>
      <c r="V61" s="65" t="n"/>
      <c r="W61" s="66" t="n">
        <v>0.11</v>
      </c>
      <c r="X61" s="586">
        <f>(P61+Q61)/G61</f>
        <v/>
      </c>
      <c r="Y61" s="16">
        <f>VLOOKUP(C61,每日行情!A:D,4,FALSE)</f>
        <v/>
      </c>
      <c r="Z61" s="587">
        <f>VLOOKUP(C61,每日行情!A:E,5,FALSE)</f>
        <v/>
      </c>
      <c r="AA61" s="588">
        <f>IF(I61="",((TODAY()-A61)*G61)/365.24,((I61-A61)*G61)/365.24)</f>
        <v/>
      </c>
      <c r="AB61" s="98" t="inlineStr">
        <is>
          <t>賭新聞</t>
        </is>
      </c>
      <c r="AC61" s="108" t="inlineStr">
        <is>
          <t>新聞沒發生，認賠出場</t>
        </is>
      </c>
      <c r="AD61" s="200" t="n"/>
    </row>
    <row r="62">
      <c r="A62" s="99" t="n">
        <v>46157</v>
      </c>
      <c r="B62" s="11" t="n"/>
      <c r="C62" s="11" t="n">
        <v>944</v>
      </c>
      <c r="D62" s="163">
        <f>VLOOKUP(C62,每日行情!A:B,2,FALSE)</f>
        <v/>
      </c>
      <c r="E62" s="11" t="n">
        <v>1000</v>
      </c>
      <c r="F62" s="11" t="n">
        <v>18.83</v>
      </c>
      <c r="G62" s="583">
        <f>E62*F62</f>
        <v/>
      </c>
      <c r="H62" s="11" t="n">
        <v>20</v>
      </c>
      <c r="I62" s="99" t="n">
        <v>46169</v>
      </c>
      <c r="J62" s="16" t="n">
        <v>19.57</v>
      </c>
      <c r="K62" s="11">
        <f>E62*J62</f>
        <v/>
      </c>
      <c r="L62" s="11" t="n">
        <v>20</v>
      </c>
      <c r="M62" s="11" t="n">
        <v>19</v>
      </c>
      <c r="N62" s="11" t="n"/>
      <c r="O62" s="584">
        <f>IF(I62="",E62*Y62,0)</f>
        <v/>
      </c>
      <c r="P62" s="585">
        <f>IF(I62="",R62-H62,(K62-H62-SUM(L62:N62)+R62-S62-T62)-G62)+(ROUND(R62*V62,0)-ROUND(R62*(1+V62),0)*W62)</f>
        <v/>
      </c>
      <c r="Q62" s="585">
        <f>IF(I62="",(O62-G62-(O62*0.1425%*0.65)-(O62*0.3%)-S62-T62),0)</f>
        <v/>
      </c>
      <c r="R62" s="585" t="n">
        <v>660</v>
      </c>
      <c r="S62" s="585" t="n"/>
      <c r="T62" s="585" t="n"/>
      <c r="U62" s="65">
        <f>(V62*50%)/(1+50%*V62)</f>
        <v/>
      </c>
      <c r="V62" s="65" t="n"/>
      <c r="W62" s="66" t="n">
        <v>0.11</v>
      </c>
      <c r="X62" s="586">
        <f>(P62+Q62)/G62</f>
        <v/>
      </c>
      <c r="Y62" s="16">
        <f>VLOOKUP(C62,每日行情!A:D,4,FALSE)</f>
        <v/>
      </c>
      <c r="Z62" s="587">
        <f>VLOOKUP(C62,每日行情!A:E,5,FALSE)</f>
        <v/>
      </c>
      <c r="AA62" s="588">
        <f>IF(I62="",((TODAY()-A62)*G62)/365.24,((I62-A62)*G62)/365.24)</f>
        <v/>
      </c>
      <c r="AB62" s="98" t="inlineStr">
        <is>
          <t>除權息</t>
        </is>
      </c>
      <c r="AC62" s="213" t="n"/>
      <c r="AD62" s="200" t="n"/>
    </row>
    <row r="63">
      <c r="A63" s="99" t="n">
        <v>46157</v>
      </c>
      <c r="B63" s="11" t="n"/>
      <c r="C63" s="11" t="n">
        <v>934</v>
      </c>
      <c r="D63" s="163">
        <f>VLOOKUP(C63,每日行情!A:B,2,FALSE)</f>
        <v/>
      </c>
      <c r="E63" s="11" t="n">
        <v>1000</v>
      </c>
      <c r="F63" s="11" t="n">
        <v>25.39</v>
      </c>
      <c r="G63" s="583">
        <f>E63*F63</f>
        <v/>
      </c>
      <c r="H63" s="11" t="n">
        <v>21</v>
      </c>
      <c r="I63" s="99" t="n">
        <v>46169</v>
      </c>
      <c r="J63" s="16" t="n">
        <v>26.92</v>
      </c>
      <c r="K63" s="11">
        <f>E63*J63</f>
        <v/>
      </c>
      <c r="L63" s="11" t="n">
        <v>23</v>
      </c>
      <c r="M63" s="11" t="n">
        <v>26</v>
      </c>
      <c r="N63" s="11" t="n"/>
      <c r="O63" s="584">
        <f>IF(I63="",E63*Y63,0)</f>
        <v/>
      </c>
      <c r="P63" s="585">
        <f>IF(I63="",R63-H63,(K63-H63-SUM(L63:N63)+R63-S63-T63)-G63)+(ROUND(R63*V63,0)-ROUND(R63*(1+V63),0)*W63)</f>
        <v/>
      </c>
      <c r="Q63" s="585">
        <f>IF(I63="",(O63-G63-(O63*0.1425%*0.65)-(O63*0.3%)-S63-T63),0)</f>
        <v/>
      </c>
      <c r="R63" s="585" t="n">
        <v>250</v>
      </c>
      <c r="S63" s="585" t="n"/>
      <c r="T63" s="585" t="n"/>
      <c r="U63" s="65">
        <f>(V63*50%)/(1+50%*V63)</f>
        <v/>
      </c>
      <c r="V63" s="65" t="n"/>
      <c r="W63" s="66" t="n">
        <v>0.11</v>
      </c>
      <c r="X63" s="586">
        <f>(P63+Q63)/G63</f>
        <v/>
      </c>
      <c r="Y63" s="16">
        <f>VLOOKUP(C63,每日行情!A:D,4,FALSE)</f>
        <v/>
      </c>
      <c r="Z63" s="587">
        <f>VLOOKUP(C63,每日行情!A:E,5,FALSE)</f>
        <v/>
      </c>
      <c r="AA63" s="588">
        <f>IF(I63="",((TODAY()-A63)*G63)/365.24,((I63-A63)*G63)/365.24)</f>
        <v/>
      </c>
      <c r="AB63" s="98" t="inlineStr">
        <is>
          <t>除權息</t>
        </is>
      </c>
      <c r="AC63" s="213" t="n"/>
      <c r="AD63" s="200" t="n"/>
    </row>
    <row r="64">
      <c r="A64" s="99" t="n">
        <v>46157</v>
      </c>
      <c r="B64" s="11" t="n"/>
      <c r="C64" s="522" t="n">
        <v>878</v>
      </c>
      <c r="D64" s="163">
        <f>VLOOKUP(C64,每日行情!A:B,2,FALSE)</f>
        <v/>
      </c>
      <c r="E64" s="11" t="n">
        <v>1000</v>
      </c>
      <c r="F64" s="11" t="n">
        <v>28.2</v>
      </c>
      <c r="G64" s="583">
        <f>E64*F64</f>
        <v/>
      </c>
      <c r="H64" s="11" t="n">
        <v>24</v>
      </c>
      <c r="I64" s="99" t="n">
        <v>46169</v>
      </c>
      <c r="J64" s="16" t="n">
        <v>29.7</v>
      </c>
      <c r="K64" s="11">
        <f>E64*J64</f>
        <v/>
      </c>
      <c r="L64" s="11" t="n">
        <v>25</v>
      </c>
      <c r="M64" s="11" t="n">
        <v>29</v>
      </c>
      <c r="N64" s="11" t="n"/>
      <c r="O64" s="584">
        <f>IF(I64="",E64*Y64,0)</f>
        <v/>
      </c>
      <c r="P64" s="585">
        <f>IF(I64="",R64-H64,(K64-H64-SUM(L64:N64)+R64-S64-T64)-G64)+(ROUND(R64*V64,0)-ROUND(R64*(1+V64),0)*W64)</f>
        <v/>
      </c>
      <c r="Q64" s="585">
        <f>IF(I64="",(O64-G64-(O64*0.1425%*0.65)-(O64*0.3%)-S64-T64),0)</f>
        <v/>
      </c>
      <c r="R64" s="585" t="n">
        <v>54</v>
      </c>
      <c r="S64" s="585" t="n"/>
      <c r="T64" s="585" t="n"/>
      <c r="U64" s="65">
        <f>(V64*50%)/(1+50%*V64)</f>
        <v/>
      </c>
      <c r="V64" s="65" t="n"/>
      <c r="W64" s="66" t="n">
        <v>0.11</v>
      </c>
      <c r="X64" s="586">
        <f>(P64+Q64)/G64</f>
        <v/>
      </c>
      <c r="Y64" s="16">
        <f>VLOOKUP(C64,每日行情!A:D,4,FALSE)</f>
        <v/>
      </c>
      <c r="Z64" s="587">
        <f>VLOOKUP(C64,每日行情!A:E,5,FALSE)</f>
        <v/>
      </c>
      <c r="AA64" s="588">
        <f>IF(I64="",((TODAY()-A64)*G64)/365.24,((I64-A64)*G64)/365.24)</f>
        <v/>
      </c>
      <c r="AB64" s="98" t="inlineStr">
        <is>
          <t>除權息</t>
        </is>
      </c>
      <c r="AC64" s="213" t="n"/>
      <c r="AD64" s="200" t="n"/>
    </row>
    <row r="65">
      <c r="A65" s="95" t="n"/>
      <c r="B65" s="11" t="n"/>
      <c r="C65" s="11" t="n"/>
      <c r="D65" s="163" t="n"/>
      <c r="E65" s="11" t="n"/>
      <c r="F65" s="11" t="n"/>
      <c r="G65" s="11" t="n"/>
      <c r="H65" s="11" t="n"/>
      <c r="I65" s="99" t="n"/>
      <c r="J65" s="16" t="n"/>
      <c r="K65" s="11" t="n"/>
      <c r="L65" s="17" t="n"/>
      <c r="M65" s="11" t="n"/>
      <c r="N65" s="11" t="n"/>
      <c r="O65" s="584" t="n"/>
      <c r="P65" s="585" t="n"/>
      <c r="Q65" s="585" t="n"/>
      <c r="R65" s="585" t="n"/>
      <c r="S65" s="585" t="n"/>
      <c r="T65" s="585" t="n"/>
      <c r="U65" s="65" t="n"/>
      <c r="V65" s="65" t="n"/>
      <c r="W65" s="66" t="n"/>
      <c r="X65" s="586" t="n"/>
      <c r="Y65" s="16" t="n"/>
      <c r="Z65" s="587" t="n"/>
      <c r="AA65" s="588" t="n"/>
      <c r="AB65" s="98" t="n"/>
      <c r="AC65" s="105" t="n"/>
    </row>
    <row r="66">
      <c r="A66" s="95" t="n"/>
      <c r="B66" s="11" t="n"/>
      <c r="C66" s="11" t="n"/>
      <c r="D66" s="163" t="n"/>
      <c r="E66" s="11" t="n"/>
      <c r="F66" s="11" t="n"/>
      <c r="G66" s="11" t="n"/>
      <c r="H66" s="11" t="n"/>
      <c r="I66" s="99" t="n"/>
      <c r="J66" s="16" t="n"/>
      <c r="K66" s="11" t="n"/>
      <c r="L66" s="17" t="n"/>
      <c r="M66" s="11" t="n"/>
      <c r="N66" s="11" t="n"/>
      <c r="O66" s="584" t="n"/>
      <c r="P66" s="585" t="n"/>
      <c r="Q66" s="585" t="n"/>
      <c r="R66" s="585" t="n"/>
      <c r="S66" s="585" t="n"/>
      <c r="T66" s="585" t="n"/>
      <c r="U66" s="65" t="n"/>
      <c r="V66" s="65" t="n"/>
      <c r="W66" s="66" t="n"/>
      <c r="X66" s="586" t="n"/>
      <c r="Y66" s="16" t="n"/>
      <c r="Z66" s="587" t="n"/>
      <c r="AA66" s="588" t="n"/>
      <c r="AB66" s="98" t="n"/>
      <c r="AC66" s="105" t="n"/>
    </row>
    <row r="67">
      <c r="A67" s="39" t="n"/>
      <c r="B67" s="40" t="n"/>
      <c r="C67" s="40" t="n"/>
      <c r="D67" s="165" t="n"/>
      <c r="E67" s="40" t="n"/>
      <c r="F67" s="40" t="n"/>
      <c r="G67" s="40" t="n"/>
      <c r="H67" s="40" t="n"/>
      <c r="I67" s="41" t="n"/>
      <c r="J67" s="42" t="n"/>
      <c r="K67" s="40" t="n"/>
      <c r="L67" s="589" t="n"/>
      <c r="M67" s="40" t="n"/>
      <c r="N67" s="40" t="n"/>
      <c r="O67" s="590" t="n"/>
      <c r="P67" s="591" t="n"/>
      <c r="Q67" s="591" t="n"/>
      <c r="R67" s="591" t="n"/>
      <c r="S67" s="591" t="n"/>
      <c r="T67" s="591" t="n"/>
      <c r="U67" s="69" t="n"/>
      <c r="V67" s="69" t="n"/>
      <c r="W67" s="71" t="n"/>
      <c r="X67" s="592" t="n"/>
      <c r="Y67" s="42" t="n"/>
      <c r="Z67" s="47" t="n"/>
      <c r="AA67" s="588" t="n"/>
    </row>
    <row r="68">
      <c r="A68" s="10" t="n"/>
      <c r="B68" s="11" t="n"/>
      <c r="C68" s="11" t="n"/>
      <c r="D68" s="163" t="n"/>
      <c r="E68" s="11" t="n"/>
      <c r="F68" s="11" t="n"/>
      <c r="G68" s="11" t="n"/>
      <c r="H68" s="11" t="n"/>
      <c r="I68" s="12" t="n"/>
      <c r="J68" s="11" t="n"/>
      <c r="K68" s="11" t="n"/>
      <c r="L68" s="11" t="n"/>
      <c r="M68" s="11" t="n"/>
      <c r="N68" s="11" t="n"/>
      <c r="O68" s="584" t="n"/>
      <c r="P68" s="585" t="n"/>
      <c r="Q68" s="585" t="n"/>
      <c r="R68" s="585" t="n"/>
      <c r="S68" s="585" t="n"/>
      <c r="T68" s="585" t="n"/>
      <c r="U68" s="585" t="n"/>
      <c r="V68" s="65" t="n"/>
      <c r="W68" s="66" t="n"/>
      <c r="X68" s="586" t="n"/>
      <c r="Y68" s="16" t="n"/>
      <c r="Z68" s="587" t="n"/>
      <c r="AA68" s="588" t="n"/>
    </row>
    <row r="69">
      <c r="A69" s="18">
        <f>MIN(A103:A103)</f>
        <v/>
      </c>
      <c r="B69" s="19" t="n"/>
      <c r="C69" s="20" t="n"/>
      <c r="D69" s="166" t="n"/>
      <c r="E69" s="19" t="n"/>
      <c r="F69" s="19" t="n"/>
      <c r="G69" s="19" t="n"/>
      <c r="H69" s="19" t="n"/>
      <c r="I69" s="21" t="n"/>
      <c r="J69" s="22" t="n"/>
      <c r="K69" s="19" t="n"/>
      <c r="L69" s="661" t="n"/>
      <c r="M69" s="19" t="n"/>
      <c r="N69" s="19" t="n"/>
      <c r="O69" s="662" t="n"/>
      <c r="P69" s="663" t="n"/>
      <c r="Q69" s="663" t="n"/>
      <c r="R69" s="663" t="n"/>
      <c r="S69" s="663" t="n"/>
      <c r="T69" s="663" t="n"/>
      <c r="U69" s="663" t="n"/>
      <c r="V69" s="70" t="n"/>
      <c r="W69" s="72" t="n"/>
      <c r="X69" s="664" t="n"/>
      <c r="Y69" s="22" t="n"/>
      <c r="Z69" s="27" t="n"/>
      <c r="AA69" s="588" t="n"/>
    </row>
    <row r="70" collapsed="1">
      <c r="A70" s="95" t="n">
        <v>45614</v>
      </c>
      <c r="B70" s="11" t="n"/>
      <c r="C70" s="11" t="n">
        <v>895</v>
      </c>
      <c r="D70" s="163">
        <f>VLOOKUP(C70,每日行情!A:B,2,FALSE)</f>
        <v/>
      </c>
      <c r="E70" s="11" t="n">
        <v>160</v>
      </c>
      <c r="F70" s="11" t="n">
        <v>31.12</v>
      </c>
      <c r="G70" s="583">
        <f>E70*F70</f>
        <v/>
      </c>
      <c r="H70" s="11" t="n">
        <v>1</v>
      </c>
      <c r="I70" s="99" t="n"/>
      <c r="J70" s="16" t="n"/>
      <c r="K70" s="11">
        <f>E70*J70</f>
        <v/>
      </c>
      <c r="L70" s="11">
        <f>ROUND(J70*E70*0.1425%,0)</f>
        <v/>
      </c>
      <c r="M70" s="11">
        <f>ROUND(J70*E70*0.3%,0)</f>
        <v/>
      </c>
      <c r="N70" s="11" t="n"/>
      <c r="O70" s="584">
        <f>IF(I70="",E70*Y70,0)</f>
        <v/>
      </c>
      <c r="P70" s="585">
        <f>IF(I70="",R70-H70,(K70-H70-SUM(L70:N70)+R70-S70-T70)-G70)+(ROUND(R70*V70,0)-ROUND(R70*(1+V70),0)*W70)</f>
        <v/>
      </c>
      <c r="Q70" s="585">
        <f>IF(I70="",(O70-G70-(O70*0.1425%*0.65)-(O70*0.3%)-S70-T70),0)</f>
        <v/>
      </c>
      <c r="R70" s="585" t="n"/>
      <c r="S70" s="585" t="n"/>
      <c r="T70" s="585" t="n"/>
      <c r="U70" s="65">
        <f>(V70*50%)/(1+50%*V70)</f>
        <v/>
      </c>
      <c r="V70" s="65" t="n"/>
      <c r="W70" s="66" t="n">
        <v>0.11</v>
      </c>
      <c r="X70" s="586">
        <f>(P70+Q70)/G70</f>
        <v/>
      </c>
      <c r="Y70" s="16">
        <f>VLOOKUP(C70,每日行情!A:D,4,FALSE)</f>
        <v/>
      </c>
      <c r="Z70" s="587">
        <f>VLOOKUP(C70,每日行情!A:E,5,FALSE)</f>
        <v/>
      </c>
      <c r="AA70" s="588">
        <f>IF(I70="",((TODAY()-A70)*G70)/365.24,((I70-A70)*G70)/365.24)</f>
        <v/>
      </c>
      <c r="AB70" s="98" t="inlineStr">
        <is>
          <t>存股</t>
        </is>
      </c>
      <c r="AC70" s="98" t="n"/>
      <c r="AD70" s="200" t="inlineStr">
        <is>
          <t>富邦-台股定期定額</t>
        </is>
      </c>
    </row>
    <row r="71" hidden="1" outlineLevel="1">
      <c r="A71" s="95" t="n">
        <v>45642</v>
      </c>
      <c r="B71" s="11" t="n"/>
      <c r="C71" s="11" t="n">
        <v>895</v>
      </c>
      <c r="D71" s="163">
        <f>VLOOKUP(C71,每日行情!A:B,2,FALSE)</f>
        <v/>
      </c>
      <c r="E71" s="11" t="n">
        <v>154</v>
      </c>
      <c r="F71" s="11" t="n">
        <v>32.37</v>
      </c>
      <c r="G71" s="583" t="n">
        <v>4984</v>
      </c>
      <c r="H71" s="11" t="n">
        <v>1</v>
      </c>
      <c r="I71" s="99" t="n"/>
      <c r="J71" s="16" t="n"/>
      <c r="K71" s="11">
        <f>E71*J71</f>
        <v/>
      </c>
      <c r="L71" s="11">
        <f>ROUND(J71*E71*0.1425%,0)</f>
        <v/>
      </c>
      <c r="M71" s="11">
        <f>ROUND(J71*E71*0.3%,0)</f>
        <v/>
      </c>
      <c r="N71" s="11" t="n"/>
      <c r="O71" s="584">
        <f>IF(I71="",E71*Y71,0)</f>
        <v/>
      </c>
      <c r="P71" s="585">
        <f>IF(I71="",R71-H71,(K71-H71-SUM(L71:N71)+R71-S71-T71)-G71)+(ROUND(R71*V71,0)-ROUND(R71*(1+V71),0)*W71)</f>
        <v/>
      </c>
      <c r="Q71" s="585">
        <f>IF(I71="",(O71-G71-(O71*0.1425%*0.65)-(O71*0.3%)-S71-T71),0)</f>
        <v/>
      </c>
      <c r="R71" s="585" t="n"/>
      <c r="S71" s="585" t="n"/>
      <c r="T71" s="585" t="n"/>
      <c r="U71" s="65">
        <f>(V71*50%)/(1+50%*V71)</f>
        <v/>
      </c>
      <c r="V71" s="65" t="n"/>
      <c r="W71" s="66" t="n">
        <v>0.11</v>
      </c>
      <c r="X71" s="586">
        <f>(P71+Q71)/G71</f>
        <v/>
      </c>
      <c r="Y71" s="16">
        <f>VLOOKUP(C71,每日行情!A:D,4,FALSE)</f>
        <v/>
      </c>
      <c r="Z71" s="587">
        <f>VLOOKUP(C71,每日行情!A:E,5,FALSE)</f>
        <v/>
      </c>
      <c r="AA71" s="588">
        <f>IF(I71="",((TODAY()-A71)*G71)/365.24,((I71-A71)*G71)/365.24)</f>
        <v/>
      </c>
      <c r="AB71" s="98" t="inlineStr">
        <is>
          <t>存股</t>
        </is>
      </c>
      <c r="AC71" s="98" t="n"/>
      <c r="AD71" s="200" t="inlineStr">
        <is>
          <t>富邦-台股定期定額</t>
        </is>
      </c>
    </row>
    <row r="72" hidden="1" outlineLevel="1">
      <c r="A72" s="95" t="n">
        <v>45673</v>
      </c>
      <c r="B72" s="11" t="n"/>
      <c r="C72" s="11" t="n">
        <v>895</v>
      </c>
      <c r="D72" s="163">
        <f>VLOOKUP(C72,每日行情!A:B,2,FALSE)</f>
        <v/>
      </c>
      <c r="E72" s="11" t="n">
        <v>155</v>
      </c>
      <c r="F72" s="11" t="n">
        <v>32.2</v>
      </c>
      <c r="G72" s="583" t="n">
        <v>4991</v>
      </c>
      <c r="H72" s="11" t="n">
        <v>1</v>
      </c>
      <c r="I72" s="99" t="n"/>
      <c r="J72" s="16" t="n"/>
      <c r="K72" s="11">
        <f>E72*J72</f>
        <v/>
      </c>
      <c r="L72" s="11">
        <f>ROUND(J72*E72*0.1425%,0)</f>
        <v/>
      </c>
      <c r="M72" s="11">
        <f>ROUND(J72*E72*0.3%,0)</f>
        <v/>
      </c>
      <c r="N72" s="11" t="n"/>
      <c r="O72" s="584">
        <f>IF(I72="",E72*Y72,0)</f>
        <v/>
      </c>
      <c r="P72" s="585">
        <f>IF(I72="",R72-H72,(K72-H72-SUM(L72:N72)+R72-S72-T72)-G72)+(ROUND(R72*V72,0)-ROUND(R72*(1+V72),0)*W72)</f>
        <v/>
      </c>
      <c r="Q72" s="585">
        <f>IF(I72="",(O72-G72-(O72*0.1425%*0.65)-(O72*0.3%)-S72-T72),0)</f>
        <v/>
      </c>
      <c r="R72" s="585" t="n"/>
      <c r="S72" s="585" t="n"/>
      <c r="T72" s="585" t="n"/>
      <c r="U72" s="65">
        <f>(V72*50%)/(1+50%*V72)</f>
        <v/>
      </c>
      <c r="V72" s="65" t="n"/>
      <c r="W72" s="66" t="n">
        <v>0.11</v>
      </c>
      <c r="X72" s="586">
        <f>(P72+Q72)/G72</f>
        <v/>
      </c>
      <c r="Y72" s="16">
        <f>VLOOKUP(C72,每日行情!A:D,4,FALSE)</f>
        <v/>
      </c>
      <c r="Z72" s="587">
        <f>VLOOKUP(C72,每日行情!A:E,5,FALSE)</f>
        <v/>
      </c>
      <c r="AA72" s="588">
        <f>IF(I72="",((TODAY()-A72)*G72)/365.24,((I72-A72)*G72)/365.24)</f>
        <v/>
      </c>
      <c r="AB72" s="98" t="inlineStr">
        <is>
          <t>存股</t>
        </is>
      </c>
      <c r="AC72" s="98" t="n"/>
      <c r="AD72" s="200" t="inlineStr">
        <is>
          <t>富邦-台股定期定額</t>
        </is>
      </c>
    </row>
    <row r="73" hidden="1" outlineLevel="1">
      <c r="A73" s="95" t="n">
        <v>45705</v>
      </c>
      <c r="B73" s="11" t="n"/>
      <c r="C73" s="11" t="n">
        <v>895</v>
      </c>
      <c r="D73" s="163">
        <f>VLOOKUP(C73,每日行情!A:B,2,FALSE)</f>
        <v/>
      </c>
      <c r="E73" s="11" t="n">
        <v>157</v>
      </c>
      <c r="F73" s="11" t="n">
        <v>31.68</v>
      </c>
      <c r="G73" s="583" t="n">
        <v>4973</v>
      </c>
      <c r="H73" s="11" t="n">
        <v>1</v>
      </c>
      <c r="I73" s="99" t="n"/>
      <c r="J73" s="16" t="n"/>
      <c r="K73" s="11">
        <f>E73*J73</f>
        <v/>
      </c>
      <c r="L73" s="11">
        <f>ROUND(J73*E73*0.1425%,0)</f>
        <v/>
      </c>
      <c r="M73" s="11">
        <f>ROUND(J73*E73*0.3%,0)</f>
        <v/>
      </c>
      <c r="N73" s="11" t="n"/>
      <c r="O73" s="584">
        <f>IF(I73="",E73*Y73,0)</f>
        <v/>
      </c>
      <c r="P73" s="585">
        <f>IF(I73="",R73-H73,(K73-H73-SUM(L73:N73)+R73-S73-T73)-G73)+(ROUND(R73*V73,0)-ROUND(R73*(1+V73),0)*W73)</f>
        <v/>
      </c>
      <c r="Q73" s="585">
        <f>IF(I73="",(O73-G73-(O73*0.1425%*0.65)-(O73*0.3%)-S73-T73),0)</f>
        <v/>
      </c>
      <c r="R73" s="585" t="n"/>
      <c r="S73" s="585" t="n"/>
      <c r="T73" s="585" t="n"/>
      <c r="U73" s="65">
        <f>(V73*50%)/(1+50%*V73)</f>
        <v/>
      </c>
      <c r="V73" s="65" t="n"/>
      <c r="W73" s="66" t="n">
        <v>0.11</v>
      </c>
      <c r="X73" s="586">
        <f>(P73+Q73)/G73</f>
        <v/>
      </c>
      <c r="Y73" s="16">
        <f>VLOOKUP(C73,每日行情!A:D,4,FALSE)</f>
        <v/>
      </c>
      <c r="Z73" s="587">
        <f>VLOOKUP(C73,每日行情!A:E,5,FALSE)</f>
        <v/>
      </c>
      <c r="AA73" s="588">
        <f>IF(I73="",((TODAY()-A73)*G73)/365.24,((I73-A73)*G73)/365.24)</f>
        <v/>
      </c>
      <c r="AB73" s="98" t="inlineStr">
        <is>
          <t>存股</t>
        </is>
      </c>
      <c r="AC73" s="98" t="n"/>
      <c r="AD73" s="200" t="inlineStr">
        <is>
          <t>富邦-台股定期定額</t>
        </is>
      </c>
    </row>
    <row r="74" hidden="1" outlineLevel="1">
      <c r="A74" s="95" t="n">
        <v>45733</v>
      </c>
      <c r="B74" s="11" t="n"/>
      <c r="C74" s="11" t="n">
        <v>895</v>
      </c>
      <c r="D74" s="163">
        <f>VLOOKUP(C74,每日行情!A:B,2,FALSE)</f>
        <v/>
      </c>
      <c r="E74" s="11" t="n">
        <v>176</v>
      </c>
      <c r="F74" s="11" t="n">
        <v>28.3</v>
      </c>
      <c r="G74" s="583" t="n">
        <v>4980</v>
      </c>
      <c r="H74" s="11" t="n">
        <v>1</v>
      </c>
      <c r="I74" s="99" t="n"/>
      <c r="J74" s="16" t="n"/>
      <c r="K74" s="11">
        <f>E74*J74</f>
        <v/>
      </c>
      <c r="L74" s="11">
        <f>ROUND(J74*E74*0.1425%,0)</f>
        <v/>
      </c>
      <c r="M74" s="11">
        <f>ROUND(J74*E74*0.3%,0)</f>
        <v/>
      </c>
      <c r="N74" s="11" t="n"/>
      <c r="O74" s="584">
        <f>IF(I74="",E74*Y74,0)</f>
        <v/>
      </c>
      <c r="P74" s="585">
        <f>IF(I74="",R74-H74,(K74-H74-SUM(L74:N74)+R74-S74-T74)-G74)+(ROUND(R74*V74,0)-ROUND(R74*(1+V74),0)*W74)</f>
        <v/>
      </c>
      <c r="Q74" s="585">
        <f>IF(I74="",(O74-G74-(O74*0.1425%*0.65)-(O74*0.3%)-S74-T74),0)</f>
        <v/>
      </c>
      <c r="R74" s="585" t="n"/>
      <c r="S74" s="585" t="n"/>
      <c r="T74" s="585" t="n"/>
      <c r="U74" s="65">
        <f>(V74*50%)/(1+50%*V74)</f>
        <v/>
      </c>
      <c r="V74" s="65" t="n"/>
      <c r="W74" s="66" t="n">
        <v>0.11</v>
      </c>
      <c r="X74" s="586">
        <f>(P74+Q74)/G74</f>
        <v/>
      </c>
      <c r="Y74" s="16">
        <f>VLOOKUP(C74,每日行情!A:D,4,FALSE)</f>
        <v/>
      </c>
      <c r="Z74" s="587">
        <f>VLOOKUP(C74,每日行情!A:E,5,FALSE)</f>
        <v/>
      </c>
      <c r="AA74" s="588">
        <f>IF(I74="",((TODAY()-A74)*G74)/365.24,((I74-A74)*G74)/365.24)</f>
        <v/>
      </c>
      <c r="AB74" s="98" t="inlineStr">
        <is>
          <t>存股</t>
        </is>
      </c>
      <c r="AC74" s="98" t="n"/>
      <c r="AD74" s="200" t="inlineStr">
        <is>
          <t>富邦-台股定期定額</t>
        </is>
      </c>
    </row>
    <row r="75" hidden="1" outlineLevel="1">
      <c r="A75" s="95" t="n">
        <v>45763</v>
      </c>
      <c r="B75" s="11" t="n"/>
      <c r="C75" s="11" t="n">
        <v>895</v>
      </c>
      <c r="D75" s="163">
        <f>VLOOKUP(C75,每日行情!A:B,2,FALSE)</f>
        <v/>
      </c>
      <c r="E75" s="11" t="n">
        <v>193</v>
      </c>
      <c r="F75" s="11" t="n">
        <v>25.84</v>
      </c>
      <c r="G75" s="583" t="n">
        <v>4987</v>
      </c>
      <c r="H75" s="11" t="n">
        <v>1</v>
      </c>
      <c r="I75" s="99" t="n"/>
      <c r="J75" s="16" t="n"/>
      <c r="K75" s="11">
        <f>E75*J75</f>
        <v/>
      </c>
      <c r="L75" s="11">
        <f>ROUND(J75*E75*0.1425%,0)</f>
        <v/>
      </c>
      <c r="M75" s="11">
        <f>ROUND(J75*E75*0.3%,0)</f>
        <v/>
      </c>
      <c r="N75" s="11" t="n"/>
      <c r="O75" s="584">
        <f>IF(I75="",E75*Y75,0)</f>
        <v/>
      </c>
      <c r="P75" s="585">
        <f>IF(I75="",R75-H75,(K75-H75-SUM(L75:N75)+R75-S75-T75)-G75)+(ROUND(R75*V75,0)-ROUND(R75*(1+V75),0)*W75)</f>
        <v/>
      </c>
      <c r="Q75" s="585">
        <f>IF(I75="",(O75-G75-(O75*0.1425%*0.65)-(O75*0.3%)-S75-T75),0)</f>
        <v/>
      </c>
      <c r="R75" s="585" t="n"/>
      <c r="S75" s="585" t="n"/>
      <c r="T75" s="585" t="n"/>
      <c r="U75" s="65">
        <f>(V75*50%)/(1+50%*V75)</f>
        <v/>
      </c>
      <c r="V75" s="65" t="n"/>
      <c r="W75" s="66" t="n">
        <v>0.11</v>
      </c>
      <c r="X75" s="586">
        <f>(P75+Q75)/G75</f>
        <v/>
      </c>
      <c r="Y75" s="16">
        <f>VLOOKUP(C75,每日行情!A:D,4,FALSE)</f>
        <v/>
      </c>
      <c r="Z75" s="587">
        <f>VLOOKUP(C75,每日行情!A:E,5,FALSE)</f>
        <v/>
      </c>
      <c r="AA75" s="588">
        <f>IF(I75="",((TODAY()-A75)*G75)/365.24,((I75-A75)*G75)/365.24)</f>
        <v/>
      </c>
      <c r="AB75" s="98" t="inlineStr">
        <is>
          <t>存股</t>
        </is>
      </c>
      <c r="AC75" s="98" t="n"/>
      <c r="AD75" s="200" t="inlineStr">
        <is>
          <t>富邦-台股定期定額</t>
        </is>
      </c>
    </row>
    <row r="76" hidden="1" outlineLevel="1">
      <c r="A76" s="95" t="n">
        <v>45793</v>
      </c>
      <c r="B76" s="11" t="n"/>
      <c r="C76" s="11" t="n">
        <v>895</v>
      </c>
      <c r="D76" s="163">
        <f>VLOOKUP(C76,每日行情!A:B,2,FALSE)</f>
        <v/>
      </c>
      <c r="E76" s="11" t="n">
        <v>171</v>
      </c>
      <c r="F76" s="11" t="n">
        <v>29.12</v>
      </c>
      <c r="G76" s="583" t="n">
        <v>4979</v>
      </c>
      <c r="H76" s="11" t="n">
        <v>1</v>
      </c>
      <c r="I76" s="99" t="n"/>
      <c r="J76" s="16" t="n"/>
      <c r="K76" s="11">
        <f>E76*J76</f>
        <v/>
      </c>
      <c r="L76" s="11">
        <f>ROUND(J76*E76*0.1425%,0)</f>
        <v/>
      </c>
      <c r="M76" s="11">
        <f>ROUND(J76*E76*0.3%,0)</f>
        <v/>
      </c>
      <c r="N76" s="11" t="n"/>
      <c r="O76" s="584">
        <f>IF(I76="",E76*Y76,0)</f>
        <v/>
      </c>
      <c r="P76" s="585">
        <f>IF(I76="",R76-H76,(K76-H76-SUM(L76:N76)+R76-S76-T76)-G76)+(ROUND(R76*V76,0)-ROUND(R76*(1+V76),0)*W76)</f>
        <v/>
      </c>
      <c r="Q76" s="585">
        <f>IF(I76="",(O76-G76-(O76*0.1425%*0.65)-(O76*0.3%)-S76-T76),0)</f>
        <v/>
      </c>
      <c r="R76" s="585" t="n"/>
      <c r="S76" s="585" t="n"/>
      <c r="T76" s="585" t="n"/>
      <c r="U76" s="65">
        <f>(V76*50%)/(1+50%*V76)</f>
        <v/>
      </c>
      <c r="V76" s="65" t="n"/>
      <c r="W76" s="66" t="n">
        <v>0.11</v>
      </c>
      <c r="X76" s="586">
        <f>(P76+Q76)/G76</f>
        <v/>
      </c>
      <c r="Y76" s="16">
        <f>VLOOKUP(C76,每日行情!A:D,4,FALSE)</f>
        <v/>
      </c>
      <c r="Z76" s="587">
        <f>VLOOKUP(C76,每日行情!A:E,5,FALSE)</f>
        <v/>
      </c>
      <c r="AA76" s="588">
        <f>IF(I76="",((TODAY()-A76)*G76)/365.24,((I76-A76)*G76)/365.24)</f>
        <v/>
      </c>
      <c r="AB76" s="98" t="inlineStr">
        <is>
          <t>存股</t>
        </is>
      </c>
      <c r="AC76" s="98" t="n"/>
      <c r="AD76" s="200" t="inlineStr">
        <is>
          <t>富邦-台股定期定額</t>
        </is>
      </c>
    </row>
    <row r="77" hidden="1" outlineLevel="1">
      <c r="A77" s="95" t="n">
        <v>45824</v>
      </c>
      <c r="B77" s="11" t="n"/>
      <c r="C77" s="11" t="n">
        <v>895</v>
      </c>
      <c r="D77" s="163">
        <f>VLOOKUP(C77,每日行情!A:B,2,FALSE)</f>
        <v/>
      </c>
      <c r="E77" s="11" t="n">
        <v>172</v>
      </c>
      <c r="F77" s="11" t="n">
        <v>29</v>
      </c>
      <c r="G77" s="583" t="n">
        <v>4988</v>
      </c>
      <c r="H77" s="11" t="n">
        <v>1</v>
      </c>
      <c r="I77" s="99" t="n"/>
      <c r="J77" s="16" t="n"/>
      <c r="K77" s="11">
        <f>E77*J77</f>
        <v/>
      </c>
      <c r="L77" s="11">
        <f>ROUND(J77*E77*0.1425%,0)</f>
        <v/>
      </c>
      <c r="M77" s="11">
        <f>ROUND(J77*E77*0.3%,0)</f>
        <v/>
      </c>
      <c r="N77" s="11" t="n"/>
      <c r="O77" s="584">
        <f>IF(I77="",E77*Y77,0)</f>
        <v/>
      </c>
      <c r="P77" s="585">
        <f>IF(I77="",R77-H77,(K77-H77-SUM(L77:N77)+R77-S77-T77)-G77)+(ROUND(R77*V77,0)-ROUND(R77*(1+V77),0)*W77)</f>
        <v/>
      </c>
      <c r="Q77" s="585">
        <f>IF(I77="",(O77-G77-(O77*0.1425%*0.65)-(O77*0.3%)-S77-T77),0)</f>
        <v/>
      </c>
      <c r="R77" s="585" t="n"/>
      <c r="S77" s="585" t="n"/>
      <c r="T77" s="585" t="n"/>
      <c r="U77" s="65">
        <f>(V77*50%)/(1+50%*V77)</f>
        <v/>
      </c>
      <c r="V77" s="65" t="n"/>
      <c r="W77" s="66" t="n">
        <v>0.11</v>
      </c>
      <c r="X77" s="586">
        <f>(P77+Q77)/G77</f>
        <v/>
      </c>
      <c r="Y77" s="16">
        <f>VLOOKUP(C77,每日行情!A:D,4,FALSE)</f>
        <v/>
      </c>
      <c r="Z77" s="587">
        <f>VLOOKUP(C77,每日行情!A:E,5,FALSE)</f>
        <v/>
      </c>
      <c r="AA77" s="588">
        <f>IF(I77="",((TODAY()-A77)*G77)/365.24,((I77-A77)*G77)/365.24)</f>
        <v/>
      </c>
      <c r="AB77" s="98" t="inlineStr">
        <is>
          <t>存股</t>
        </is>
      </c>
      <c r="AC77" s="98" t="n"/>
      <c r="AD77" s="200" t="inlineStr">
        <is>
          <t>富邦-台股定期定額</t>
        </is>
      </c>
    </row>
    <row r="78" hidden="1" outlineLevel="1">
      <c r="A78" s="95" t="n">
        <v>45854</v>
      </c>
      <c r="B78" s="11" t="n"/>
      <c r="C78" s="11" t="n">
        <v>895</v>
      </c>
      <c r="D78" s="163">
        <f>VLOOKUP(C78,每日行情!A:B,2,FALSE)</f>
        <v/>
      </c>
      <c r="E78" s="11" t="n">
        <v>160</v>
      </c>
      <c r="F78" s="11" t="n">
        <v>31.14</v>
      </c>
      <c r="G78" s="583" t="n">
        <v>4982</v>
      </c>
      <c r="H78" s="11" t="n">
        <v>1</v>
      </c>
      <c r="I78" s="99" t="n"/>
      <c r="J78" s="16" t="n"/>
      <c r="K78" s="11">
        <f>E78*J78</f>
        <v/>
      </c>
      <c r="L78" s="11">
        <f>ROUND(J78*E78*0.1425%,0)</f>
        <v/>
      </c>
      <c r="M78" s="11">
        <f>ROUND(J78*E78*0.3%,0)</f>
        <v/>
      </c>
      <c r="N78" s="11" t="n"/>
      <c r="O78" s="584">
        <f>IF(I78="",E78*Y78,0)</f>
        <v/>
      </c>
      <c r="P78" s="585">
        <f>IF(I78="",R78-H78,(K78-H78-SUM(L78:N78)+R78-S78-T78)-G78)+(ROUND(R78*V78,0)-ROUND(R78*(1+V78),0)*W78)</f>
        <v/>
      </c>
      <c r="Q78" s="585">
        <f>IF(I78="",(O78-G78-(O78*0.1425%*0.65)-(O78*0.3%)-S78-T78),0)</f>
        <v/>
      </c>
      <c r="R78" s="585" t="n"/>
      <c r="S78" s="585" t="n"/>
      <c r="T78" s="585" t="n"/>
      <c r="U78" s="65">
        <f>(V78*50%)/(1+50%*V78)</f>
        <v/>
      </c>
      <c r="V78" s="65" t="n"/>
      <c r="W78" s="66" t="n">
        <v>0.11</v>
      </c>
      <c r="X78" s="586">
        <f>(P78+Q78)/G78</f>
        <v/>
      </c>
      <c r="Y78" s="16">
        <f>VLOOKUP(C78,每日行情!A:D,4,FALSE)</f>
        <v/>
      </c>
      <c r="Z78" s="587">
        <f>VLOOKUP(C78,每日行情!A:E,5,FALSE)</f>
        <v/>
      </c>
      <c r="AA78" s="588">
        <f>IF(I78="",((TODAY()-A78)*G78)/365.24,((I78-A78)*G78)/365.24)</f>
        <v/>
      </c>
      <c r="AB78" s="98" t="inlineStr">
        <is>
          <t>存股</t>
        </is>
      </c>
      <c r="AC78" s="98" t="n"/>
      <c r="AD78" s="200" t="inlineStr">
        <is>
          <t>富邦-台股定期定額</t>
        </is>
      </c>
    </row>
    <row r="79" hidden="1" outlineLevel="1">
      <c r="A79" s="95" t="n">
        <v>45887</v>
      </c>
      <c r="B79" s="11" t="n"/>
      <c r="C79" s="11" t="n">
        <v>895</v>
      </c>
      <c r="D79" s="163">
        <f>VLOOKUP(C79,每日行情!A:B,2,FALSE)</f>
        <v/>
      </c>
      <c r="E79" s="11" t="n">
        <v>150</v>
      </c>
      <c r="F79" s="11" t="n">
        <v>33.15</v>
      </c>
      <c r="G79" s="583" t="n">
        <v>4972</v>
      </c>
      <c r="H79" s="11" t="n">
        <v>1</v>
      </c>
      <c r="I79" s="99" t="n"/>
      <c r="J79" s="16" t="n"/>
      <c r="K79" s="11">
        <f>E79*J79</f>
        <v/>
      </c>
      <c r="L79" s="11">
        <f>ROUND(J79*E79*0.1425%,0)</f>
        <v/>
      </c>
      <c r="M79" s="11">
        <f>ROUND(J79*E79*0.3%,0)</f>
        <v/>
      </c>
      <c r="N79" s="11" t="n"/>
      <c r="O79" s="584">
        <f>IF(I79="",E79*Y79,0)</f>
        <v/>
      </c>
      <c r="P79" s="585">
        <f>IF(I79="",R79-H79,(K79-H79-SUM(L79:N79)+R79-S79-T79)-G79)+(ROUND(R79*V79,0)-ROUND(R79*(1+V79),0)*W79)</f>
        <v/>
      </c>
      <c r="Q79" s="585">
        <f>IF(I79="",(O79-G79-(O79*0.1425%*0.65)-(O79*0.3%)-S79-T79),0)</f>
        <v/>
      </c>
      <c r="R79" s="585" t="n"/>
      <c r="S79" s="585" t="n"/>
      <c r="T79" s="585" t="n"/>
      <c r="U79" s="65">
        <f>(V79*50%)/(1+50%*V79)</f>
        <v/>
      </c>
      <c r="V79" s="65" t="n"/>
      <c r="W79" s="66" t="n">
        <v>0.11</v>
      </c>
      <c r="X79" s="586">
        <f>(P79+Q79)/G79</f>
        <v/>
      </c>
      <c r="Y79" s="16">
        <f>VLOOKUP(C79,每日行情!A:D,4,FALSE)</f>
        <v/>
      </c>
      <c r="Z79" s="587">
        <f>VLOOKUP(C79,每日行情!A:E,5,FALSE)</f>
        <v/>
      </c>
      <c r="AA79" s="588">
        <f>IF(I79="",((TODAY()-A79)*G79)/365.24,((I79-A79)*G79)/365.24)</f>
        <v/>
      </c>
      <c r="AB79" s="98" t="inlineStr">
        <is>
          <t>存股</t>
        </is>
      </c>
      <c r="AC79" s="98" t="n"/>
      <c r="AD79" s="200" t="inlineStr">
        <is>
          <t>富邦-台股定期定額</t>
        </is>
      </c>
    </row>
    <row r="80" hidden="1" outlineLevel="1">
      <c r="A80" s="95" t="n">
        <v>45916</v>
      </c>
      <c r="B80" s="11" t="n"/>
      <c r="C80" s="11" t="n">
        <v>895</v>
      </c>
      <c r="D80" s="163">
        <f>VLOOKUP(C80,每日行情!A:B,2,FALSE)</f>
        <v/>
      </c>
      <c r="E80" s="11" t="n">
        <v>144</v>
      </c>
      <c r="F80" s="11" t="n">
        <v>34.64</v>
      </c>
      <c r="G80" s="583" t="n">
        <v>4988</v>
      </c>
      <c r="H80" s="11" t="n">
        <v>1</v>
      </c>
      <c r="I80" s="99" t="n"/>
      <c r="J80" s="16" t="n"/>
      <c r="K80" s="11">
        <f>E80*J80</f>
        <v/>
      </c>
      <c r="L80" s="11">
        <f>ROUND(J80*E80*0.1425%,0)</f>
        <v/>
      </c>
      <c r="M80" s="11">
        <f>ROUND(J80*E80*0.3%,0)</f>
        <v/>
      </c>
      <c r="N80" s="11" t="n"/>
      <c r="O80" s="584">
        <f>IF(I80="",E80*Y80,0)</f>
        <v/>
      </c>
      <c r="P80" s="585">
        <f>IF(I80="",R80-H80,(K80-H80-SUM(L80:N80)+R80-S80-T80)-G80)+(ROUND(R80*V80,0)-ROUND(R80*(1+V80),0)*W80)</f>
        <v/>
      </c>
      <c r="Q80" s="585">
        <f>IF(I80="",(O80-G80-(O80*0.1425%*0.65)-(O80*0.3%)-S80-T80),0)</f>
        <v/>
      </c>
      <c r="R80" s="585" t="n"/>
      <c r="S80" s="585" t="n"/>
      <c r="T80" s="585" t="n"/>
      <c r="U80" s="65">
        <f>(V80*50%)/(1+50%*V80)</f>
        <v/>
      </c>
      <c r="V80" s="65" t="n"/>
      <c r="W80" s="66" t="n">
        <v>0.11</v>
      </c>
      <c r="X80" s="586">
        <f>(P80+Q80)/G80</f>
        <v/>
      </c>
      <c r="Y80" s="16">
        <f>VLOOKUP(C80,每日行情!A:D,4,FALSE)</f>
        <v/>
      </c>
      <c r="Z80" s="587">
        <f>VLOOKUP(C80,每日行情!A:E,5,FALSE)</f>
        <v/>
      </c>
      <c r="AA80" s="588">
        <f>IF(I80="",((TODAY()-A80)*G80)/365.24,((I80-A80)*G80)/365.24)</f>
        <v/>
      </c>
      <c r="AB80" s="98" t="inlineStr">
        <is>
          <t>存股</t>
        </is>
      </c>
      <c r="AC80" s="98" t="n"/>
      <c r="AD80" s="200" t="inlineStr">
        <is>
          <t>富邦-台股定期定額</t>
        </is>
      </c>
    </row>
    <row r="81" hidden="1" outlineLevel="1">
      <c r="A81" s="95" t="n">
        <v>45946</v>
      </c>
      <c r="B81" s="11" t="n"/>
      <c r="C81" s="11" t="n">
        <v>895</v>
      </c>
      <c r="D81" s="163">
        <f>VLOOKUP(C81,每日行情!A:B,2,FALSE)</f>
        <v/>
      </c>
      <c r="E81" s="11" t="n">
        <v>133</v>
      </c>
      <c r="F81" s="11" t="n">
        <v>37.43</v>
      </c>
      <c r="G81" s="583" t="n">
        <v>4978</v>
      </c>
      <c r="H81" s="11" t="n">
        <v>1</v>
      </c>
      <c r="I81" s="99" t="n"/>
      <c r="J81" s="16" t="n"/>
      <c r="K81" s="11">
        <f>E81*J81</f>
        <v/>
      </c>
      <c r="L81" s="11">
        <f>ROUND(J81*E81*0.1425%,0)</f>
        <v/>
      </c>
      <c r="M81" s="11">
        <f>ROUND(J81*E81*0.3%,0)</f>
        <v/>
      </c>
      <c r="N81" s="11" t="n"/>
      <c r="O81" s="584">
        <f>IF(I81="",E81*Y81,0)</f>
        <v/>
      </c>
      <c r="P81" s="585">
        <f>IF(I81="",R81-H81,(K81-H81-SUM(L81:N81)+R81-S81-T81)-G81)+(ROUND(R81*V81,0)-ROUND(R81*(1+V81),0)*W81)</f>
        <v/>
      </c>
      <c r="Q81" s="585">
        <f>IF(I81="",(O81-G81-(O81*0.1425%*0.65)-(O81*0.3%)-S81-T81),0)</f>
        <v/>
      </c>
      <c r="R81" s="585" t="n"/>
      <c r="S81" s="585" t="n"/>
      <c r="T81" s="585" t="n"/>
      <c r="U81" s="65">
        <f>(V81*50%)/(1+50%*V81)</f>
        <v/>
      </c>
      <c r="V81" s="65" t="n"/>
      <c r="W81" s="66" t="n">
        <v>0.11</v>
      </c>
      <c r="X81" s="586">
        <f>(P81+Q81)/G81</f>
        <v/>
      </c>
      <c r="Y81" s="16">
        <f>VLOOKUP(C81,每日行情!A:D,4,FALSE)</f>
        <v/>
      </c>
      <c r="Z81" s="587">
        <f>VLOOKUP(C81,每日行情!A:E,5,FALSE)</f>
        <v/>
      </c>
      <c r="AA81" s="588">
        <f>IF(I81="",((TODAY()-A81)*G81)/365.24,((I81-A81)*G81)/365.24)</f>
        <v/>
      </c>
      <c r="AB81" s="98" t="inlineStr">
        <is>
          <t>存股</t>
        </is>
      </c>
      <c r="AC81" s="98" t="n"/>
      <c r="AD81" s="200" t="inlineStr">
        <is>
          <t>富邦-台股定期定額</t>
        </is>
      </c>
    </row>
    <row r="82" hidden="1" outlineLevel="1">
      <c r="A82" s="475" t="n">
        <v>45978</v>
      </c>
      <c r="B82" s="11" t="n"/>
      <c r="C82" s="11" t="n">
        <v>895</v>
      </c>
      <c r="D82" s="163">
        <f>VLOOKUP(C82,每日行情!A:B,2,FALSE)</f>
        <v/>
      </c>
      <c r="E82" s="11" t="n">
        <v>131</v>
      </c>
      <c r="F82" s="11" t="n">
        <v>38.04</v>
      </c>
      <c r="G82" s="583" t="n">
        <v>4983</v>
      </c>
      <c r="H82" s="11" t="n">
        <v>1</v>
      </c>
      <c r="I82" s="99" t="n"/>
      <c r="J82" s="16" t="n"/>
      <c r="K82" s="11">
        <f>E82*J82</f>
        <v/>
      </c>
      <c r="L82" s="11">
        <f>ROUND(J82*E82*0.1425%,0)</f>
        <v/>
      </c>
      <c r="M82" s="11">
        <f>ROUND(J82*E82*0.3%,0)</f>
        <v/>
      </c>
      <c r="N82" s="11" t="n"/>
      <c r="O82" s="584">
        <f>IF(I82="",E82*Y82,0)</f>
        <v/>
      </c>
      <c r="P82" s="585">
        <f>IF(I82="",R82-H82,(K82-H82-SUM(L82:N82)+R82-S82-T82)-G82)+(ROUND(R82*V82,0)-ROUND(R82*(1+V82),0)*W82)</f>
        <v/>
      </c>
      <c r="Q82" s="585">
        <f>IF(I82="",(O82-G82-(O82*0.1425%*0.65)-(O82*0.3%)-S82-T82),0)</f>
        <v/>
      </c>
      <c r="R82" s="585" t="n"/>
      <c r="S82" s="585" t="n"/>
      <c r="T82" s="585" t="n"/>
      <c r="U82" s="65">
        <f>(V82*50%)/(1+50%*V82)</f>
        <v/>
      </c>
      <c r="V82" s="65" t="n"/>
      <c r="W82" s="66" t="n">
        <v>0.11</v>
      </c>
      <c r="X82" s="586">
        <f>(P82+Q82)/G82</f>
        <v/>
      </c>
      <c r="Y82" s="16">
        <f>VLOOKUP(C82,每日行情!A:D,4,FALSE)</f>
        <v/>
      </c>
      <c r="Z82" s="587">
        <f>VLOOKUP(C82,每日行情!A:E,5,FALSE)</f>
        <v/>
      </c>
      <c r="AA82" s="588">
        <f>IF(I82="",((TODAY()-A82)*G82)/365.24,((I82-A82)*G82)/365.24)</f>
        <v/>
      </c>
      <c r="AB82" s="98" t="inlineStr">
        <is>
          <t>存股</t>
        </is>
      </c>
      <c r="AC82" s="98" t="n"/>
      <c r="AD82" s="200" t="inlineStr">
        <is>
          <t>富邦-台股定期定額</t>
        </is>
      </c>
    </row>
    <row r="83" hidden="1" outlineLevel="1">
      <c r="A83" s="475" t="n">
        <v>46007</v>
      </c>
      <c r="B83" s="11" t="n"/>
      <c r="C83" s="11" t="n">
        <v>895</v>
      </c>
      <c r="D83" s="163">
        <f>VLOOKUP(C83,每日行情!A:B,2,FALSE)</f>
        <v/>
      </c>
      <c r="E83" s="11" t="n">
        <v>130</v>
      </c>
      <c r="F83" s="11" t="n">
        <v>38.32</v>
      </c>
      <c r="G83" s="583" t="n">
        <v>4981</v>
      </c>
      <c r="H83" s="11" t="n">
        <v>1</v>
      </c>
      <c r="I83" s="99" t="n"/>
      <c r="J83" s="16" t="n"/>
      <c r="K83" s="11">
        <f>E83*J83</f>
        <v/>
      </c>
      <c r="L83" s="11">
        <f>ROUND(J83*E83*0.1425%,0)</f>
        <v/>
      </c>
      <c r="M83" s="11">
        <f>ROUND(J83*E83*0.3%,0)</f>
        <v/>
      </c>
      <c r="N83" s="11" t="n"/>
      <c r="O83" s="584">
        <f>IF(I83="",E83*Y83,0)</f>
        <v/>
      </c>
      <c r="P83" s="585">
        <f>IF(I83="",R83-H83,(K83-H83-SUM(L83:N83)+R83-S83-T83)-G83)+(ROUND(R83*V83,0)-ROUND(R83*(1+V83),0)*W83)</f>
        <v/>
      </c>
      <c r="Q83" s="585">
        <f>IF(I83="",(O83-G83-(O83*0.1425%*0.65)-(O83*0.3%)-S83-T83),0)</f>
        <v/>
      </c>
      <c r="R83" s="585" t="n"/>
      <c r="S83" s="585" t="n"/>
      <c r="T83" s="585" t="n"/>
      <c r="U83" s="65">
        <f>(V83*50%)/(1+50%*V83)</f>
        <v/>
      </c>
      <c r="V83" s="65" t="n"/>
      <c r="W83" s="66" t="n">
        <v>0.11</v>
      </c>
      <c r="X83" s="586">
        <f>(P83+Q83)/G83</f>
        <v/>
      </c>
      <c r="Y83" s="16">
        <f>VLOOKUP(C83,每日行情!A:D,4,FALSE)</f>
        <v/>
      </c>
      <c r="Z83" s="587">
        <f>VLOOKUP(C83,每日行情!A:E,5,FALSE)</f>
        <v/>
      </c>
      <c r="AA83" s="588">
        <f>IF(I83="",((TODAY()-A83)*G83)/365.24,((I83-A83)*G83)/365.24)</f>
        <v/>
      </c>
      <c r="AB83" s="98" t="inlineStr">
        <is>
          <t>存股</t>
        </is>
      </c>
      <c r="AC83" s="98" t="n"/>
      <c r="AD83" s="200" t="inlineStr">
        <is>
          <t>富邦-台股定期定額</t>
        </is>
      </c>
    </row>
    <row r="84">
      <c r="A84" s="99" t="n">
        <v>46038</v>
      </c>
      <c r="B84" s="11" t="n"/>
      <c r="C84" s="11" t="n">
        <v>895</v>
      </c>
      <c r="D84" s="163">
        <f>VLOOKUP(C84,每日行情!A:B,2,FALSE)</f>
        <v/>
      </c>
      <c r="E84" s="11" t="n">
        <v>122</v>
      </c>
      <c r="F84" s="11" t="n">
        <v>40.86</v>
      </c>
      <c r="G84" s="583" t="n">
        <v>4984</v>
      </c>
      <c r="H84" s="11" t="n">
        <v>1</v>
      </c>
      <c r="I84" s="99" t="n"/>
      <c r="J84" s="16" t="n"/>
      <c r="K84" s="11">
        <f>E84*J84</f>
        <v/>
      </c>
      <c r="L84" s="11">
        <f>ROUND(J84*E84*0.1425%,0)</f>
        <v/>
      </c>
      <c r="M84" s="11">
        <f>ROUND(J84*E84*0.3%,0)</f>
        <v/>
      </c>
      <c r="N84" s="11" t="n"/>
      <c r="O84" s="584">
        <f>IF(I84="",E84*Y84,0)</f>
        <v/>
      </c>
      <c r="P84" s="585">
        <f>IF(I84="",R84-H84,(K84-H84-SUM(L84:N84)+R84-S84-T84)-G84)+(ROUND(R84*V84,0)-ROUND(R84*(1+V84),0)*W84)</f>
        <v/>
      </c>
      <c r="Q84" s="585">
        <f>IF(I84="",(O84-G84-(O84*0.1425%*0.65)-(O84*0.3%)-S84-T84),0)</f>
        <v/>
      </c>
      <c r="R84" s="585" t="n"/>
      <c r="S84" s="585" t="n"/>
      <c r="T84" s="585" t="n"/>
      <c r="U84" s="65">
        <f>(V84*50%)/(1+50%*V84)</f>
        <v/>
      </c>
      <c r="V84" s="65" t="n"/>
      <c r="W84" s="66" t="n">
        <v>0.11</v>
      </c>
      <c r="X84" s="586">
        <f>(P84+Q84)/G84</f>
        <v/>
      </c>
      <c r="Y84" s="16">
        <f>VLOOKUP(C84,每日行情!A:D,4,FALSE)</f>
        <v/>
      </c>
      <c r="Z84" s="587">
        <f>VLOOKUP(C84,每日行情!A:E,5,FALSE)</f>
        <v/>
      </c>
      <c r="AA84" s="588">
        <f>IF(I84="",((TODAY()-A84)*G84)/365.24,((I84-A84)*G84)/365.24)</f>
        <v/>
      </c>
      <c r="AB84" s="98" t="inlineStr">
        <is>
          <t>存股</t>
        </is>
      </c>
      <c r="AC84" s="98" t="n"/>
      <c r="AD84" s="200" t="inlineStr">
        <is>
          <t>富邦-台股定期定額</t>
        </is>
      </c>
    </row>
    <row r="85">
      <c r="A85" s="99" t="n">
        <v>46076</v>
      </c>
      <c r="B85" s="11" t="n"/>
      <c r="C85" s="11" t="n">
        <v>895</v>
      </c>
      <c r="D85" s="163">
        <f>VLOOKUP(C85,每日行情!A:B,2,FALSE)</f>
        <v/>
      </c>
      <c r="E85" s="11" t="n">
        <v>119</v>
      </c>
      <c r="F85" s="11" t="n">
        <v>41.74</v>
      </c>
      <c r="G85" s="583" t="n">
        <v>4967</v>
      </c>
      <c r="H85" s="11" t="n">
        <v>1</v>
      </c>
      <c r="I85" s="99" t="n"/>
      <c r="J85" s="16" t="n"/>
      <c r="K85" s="11">
        <f>E85*J85</f>
        <v/>
      </c>
      <c r="L85" s="11">
        <f>ROUND(J85*E85*0.1425%,0)</f>
        <v/>
      </c>
      <c r="M85" s="11">
        <f>ROUND(J85*E85*0.3%,0)</f>
        <v/>
      </c>
      <c r="N85" s="11" t="n"/>
      <c r="O85" s="584">
        <f>IF(I85="",E85*Y85,0)</f>
        <v/>
      </c>
      <c r="P85" s="585">
        <f>IF(I85="",R85-H85,(K85-H85-SUM(L85:N85)+R85-S85-T85)-G85)+(ROUND(R85*V85,0)-ROUND(R85*(1+V85),0)*W85)</f>
        <v/>
      </c>
      <c r="Q85" s="585">
        <f>IF(I85="",(O85-G85-(O85*0.1425%*0.65)-(O85*0.3%)-S85-T85),0)</f>
        <v/>
      </c>
      <c r="R85" s="585" t="n"/>
      <c r="S85" s="585" t="n"/>
      <c r="T85" s="585" t="n"/>
      <c r="U85" s="65">
        <f>(V85*50%)/(1+50%*V85)</f>
        <v/>
      </c>
      <c r="V85" s="65" t="n"/>
      <c r="W85" s="66" t="n">
        <v>0.11</v>
      </c>
      <c r="X85" s="586">
        <f>(P85+Q85)/G85</f>
        <v/>
      </c>
      <c r="Y85" s="16">
        <f>VLOOKUP(C85,每日行情!A:D,4,FALSE)</f>
        <v/>
      </c>
      <c r="Z85" s="587">
        <f>VLOOKUP(C85,每日行情!A:E,5,FALSE)</f>
        <v/>
      </c>
      <c r="AA85" s="588">
        <f>IF(I85="",((TODAY()-A85)*G85)/365.24,((I85-A85)*G85)/365.24)</f>
        <v/>
      </c>
      <c r="AB85" s="98" t="inlineStr">
        <is>
          <t>存股</t>
        </is>
      </c>
      <c r="AC85" s="98" t="n"/>
      <c r="AD85" s="200" t="inlineStr">
        <is>
          <t>富邦-台股定期定額</t>
        </is>
      </c>
    </row>
    <row r="86">
      <c r="A86" s="99" t="n">
        <v>46090</v>
      </c>
      <c r="B86" s="11" t="n"/>
      <c r="C86" s="478" t="inlineStr">
        <is>
          <t>00991A</t>
        </is>
      </c>
      <c r="D86" s="163">
        <f>VLOOKUP(C86,每日行情!A:B,2,FALSE)</f>
        <v/>
      </c>
      <c r="E86" s="11" t="n">
        <v>876</v>
      </c>
      <c r="F86" s="11" t="n">
        <v>11.12</v>
      </c>
      <c r="G86" s="583" t="n">
        <v>9741</v>
      </c>
      <c r="H86" s="11" t="n">
        <v>1</v>
      </c>
      <c r="I86" s="99" t="n"/>
      <c r="J86" s="16" t="n"/>
      <c r="K86" s="11">
        <f>E86*J86</f>
        <v/>
      </c>
      <c r="L86" s="11">
        <f>ROUND(J86*E86*0.1425%,0)</f>
        <v/>
      </c>
      <c r="M86" s="11">
        <f>ROUND(J86*E86*0.3%,0)</f>
        <v/>
      </c>
      <c r="N86" s="11" t="n"/>
      <c r="O86" s="584">
        <f>IF(I86="",E86*Y86,0)</f>
        <v/>
      </c>
      <c r="P86" s="585">
        <f>IF(I86="",R86-H86,(K86-H86-SUM(L86:N86)+R86-S86-T86)-G86)+(ROUND(R86*V86,0)-ROUND(R86*(1+V86),0)*W86)</f>
        <v/>
      </c>
      <c r="Q86" s="585">
        <f>IF(I86="",(O86-G86-(O86*0.1425%*0.65)-(O86*0.3%)-S86-T86),0)</f>
        <v/>
      </c>
      <c r="R86" s="585" t="n"/>
      <c r="S86" s="585" t="n"/>
      <c r="T86" s="585" t="n"/>
      <c r="U86" s="65">
        <f>(V86*50%)/(1+50%*V86)</f>
        <v/>
      </c>
      <c r="V86" s="65" t="n"/>
      <c r="W86" s="66" t="n">
        <v>0.11</v>
      </c>
      <c r="X86" s="586">
        <f>(P86+Q86)/G86</f>
        <v/>
      </c>
      <c r="Y86" s="16">
        <f>VLOOKUP(C86,每日行情!A:D,4,FALSE)</f>
        <v/>
      </c>
      <c r="Z86" s="587">
        <f>VLOOKUP(C86,每日行情!A:E,5,FALSE)</f>
        <v/>
      </c>
      <c r="AA86" s="588">
        <f>IF(I86="",((TODAY()-A86)*G86)/365.24,((I86-A86)*G86)/365.24)</f>
        <v/>
      </c>
      <c r="AB86" s="98" t="inlineStr">
        <is>
          <t>存股</t>
        </is>
      </c>
      <c r="AC86" s="98" t="n"/>
      <c r="AD86" s="200" t="inlineStr">
        <is>
          <t>富邦-台股定期定額</t>
        </is>
      </c>
    </row>
    <row r="87">
      <c r="A87" s="99" t="n">
        <v>46120</v>
      </c>
      <c r="B87" s="11" t="n"/>
      <c r="C87" s="478" t="inlineStr">
        <is>
          <t>00991A</t>
        </is>
      </c>
      <c r="D87" s="163">
        <f>VLOOKUP(C87,每日行情!A:B,2,FALSE)</f>
        <v/>
      </c>
      <c r="E87" s="11" t="n">
        <v>740</v>
      </c>
      <c r="F87" s="11" t="n">
        <v>13.5</v>
      </c>
      <c r="G87" s="583" t="n">
        <v>9858</v>
      </c>
      <c r="H87" s="11" t="n">
        <v>1</v>
      </c>
      <c r="I87" s="99" t="n"/>
      <c r="J87" s="16" t="n"/>
      <c r="K87" s="11">
        <f>E87*J87</f>
        <v/>
      </c>
      <c r="L87" s="11">
        <f>ROUND(J87*E87*0.1425%,0)</f>
        <v/>
      </c>
      <c r="M87" s="11">
        <f>ROUND(J87*E87*0.3%,0)</f>
        <v/>
      </c>
      <c r="N87" s="11" t="n"/>
      <c r="O87" s="584">
        <f>IF(I87="",E87*Y87,0)</f>
        <v/>
      </c>
      <c r="P87" s="585">
        <f>IF(I87="",R87-H87,(K87-H87-SUM(L87:N87)+R87-S87-T87)-G87)+(ROUND(R87*V87,0)-ROUND(R87*(1+V87),0)*W87)</f>
        <v/>
      </c>
      <c r="Q87" s="585">
        <f>IF(I87="",(O87-G87-(O87*0.1425%*0.65)-(O87*0.3%)-S87-T87),0)</f>
        <v/>
      </c>
      <c r="R87" s="585" t="n"/>
      <c r="S87" s="585" t="n"/>
      <c r="T87" s="585" t="n"/>
      <c r="U87" s="65">
        <f>(V87*50%)/(1+50%*V87)</f>
        <v/>
      </c>
      <c r="V87" s="65" t="n"/>
      <c r="W87" s="66" t="n">
        <v>0.11</v>
      </c>
      <c r="X87" s="586">
        <f>(P87+Q87)/G87</f>
        <v/>
      </c>
      <c r="Y87" s="16">
        <f>VLOOKUP(C87,每日行情!A:D,4,FALSE)</f>
        <v/>
      </c>
      <c r="Z87" s="587">
        <f>VLOOKUP(C87,每日行情!A:E,5,FALSE)</f>
        <v/>
      </c>
      <c r="AA87" s="588">
        <f>IF(I87="",((TODAY()-A87)*G87)/365.24,((I87-A87)*G87)/365.24)</f>
        <v/>
      </c>
      <c r="AB87" s="98" t="inlineStr">
        <is>
          <t>存股</t>
        </is>
      </c>
      <c r="AC87" s="98" t="n"/>
      <c r="AD87" s="200" t="inlineStr">
        <is>
          <t>富邦-台股定期定額</t>
        </is>
      </c>
    </row>
    <row r="88">
      <c r="A88" s="99" t="n">
        <v>46097</v>
      </c>
      <c r="B88" s="11" t="n"/>
      <c r="C88" s="11" t="n">
        <v>895</v>
      </c>
      <c r="D88" s="163">
        <f>VLOOKUP(C88,每日行情!A:B,2,FALSE)</f>
        <v/>
      </c>
      <c r="E88" s="11" t="n">
        <v>125</v>
      </c>
      <c r="F88" s="11" t="n">
        <v>40</v>
      </c>
      <c r="G88" s="583" t="n">
        <v>5000</v>
      </c>
      <c r="H88" s="11" t="n">
        <v>1</v>
      </c>
      <c r="I88" s="99" t="n"/>
      <c r="J88" s="16" t="n"/>
      <c r="K88" s="11">
        <f>E88*J88</f>
        <v/>
      </c>
      <c r="L88" s="11">
        <f>ROUND(J88*E88*0.1425%,0)</f>
        <v/>
      </c>
      <c r="M88" s="11">
        <f>ROUND(J88*E88*0.3%,0)</f>
        <v/>
      </c>
      <c r="N88" s="11" t="n"/>
      <c r="O88" s="584">
        <f>IF(I88="",E88*Y88,0)</f>
        <v/>
      </c>
      <c r="P88" s="585">
        <f>IF(I88="",R88-H88,(K88-H88-SUM(L88:N88)+R88-S88-T88)-G88)+(ROUND(R88*V88,0)-ROUND(R88*(1+V88),0)*W88)</f>
        <v/>
      </c>
      <c r="Q88" s="585">
        <f>IF(I88="",(O88-G88-(O88*0.1425%*0.65)-(O88*0.3%)-S88-T88),0)</f>
        <v/>
      </c>
      <c r="R88" s="585" t="n"/>
      <c r="S88" s="585" t="n"/>
      <c r="T88" s="585" t="n"/>
      <c r="U88" s="65">
        <f>(V88*50%)/(1+50%*V88)</f>
        <v/>
      </c>
      <c r="V88" s="65" t="n"/>
      <c r="W88" s="66" t="n">
        <v>0.11</v>
      </c>
      <c r="X88" s="586">
        <f>(P88+Q88)/G88</f>
        <v/>
      </c>
      <c r="Y88" s="16">
        <f>VLOOKUP(C88,每日行情!A:D,4,FALSE)</f>
        <v/>
      </c>
      <c r="Z88" s="587">
        <f>VLOOKUP(C88,每日行情!A:E,5,FALSE)</f>
        <v/>
      </c>
      <c r="AA88" s="588">
        <f>IF(I88="",((TODAY()-A88)*G88)/365.24,((I88-A88)*G88)/365.24)</f>
        <v/>
      </c>
      <c r="AB88" s="98" t="inlineStr">
        <is>
          <t>存股</t>
        </is>
      </c>
      <c r="AC88" s="98" t="n"/>
      <c r="AD88" s="200" t="inlineStr">
        <is>
          <t>富邦-台股定期定額</t>
        </is>
      </c>
    </row>
    <row r="89">
      <c r="A89" s="99" t="n">
        <v>46132</v>
      </c>
      <c r="B89" s="11" t="n"/>
      <c r="C89" s="11" t="n">
        <v>2330</v>
      </c>
      <c r="D89" s="163">
        <f>VLOOKUP(C89,每日行情!A:B,2,FALSE)</f>
        <v/>
      </c>
      <c r="E89" s="11" t="n">
        <v>100</v>
      </c>
      <c r="F89" s="11" t="n">
        <v>2050</v>
      </c>
      <c r="G89" s="583">
        <f>E89*F89</f>
        <v/>
      </c>
      <c r="H89" s="11" t="n">
        <v>175</v>
      </c>
      <c r="I89" s="99" t="n"/>
      <c r="J89" s="16" t="n"/>
      <c r="K89" s="11">
        <f>E89*J89</f>
        <v/>
      </c>
      <c r="L89" s="11">
        <f>ROUND(J89*E89*0.1425%,0)</f>
        <v/>
      </c>
      <c r="M89" s="11">
        <f>ROUND(J89*E89*0.3%,0)</f>
        <v/>
      </c>
      <c r="N89" s="11" t="n"/>
      <c r="O89" s="584">
        <f>IF(I89="",E89*Y89,0)</f>
        <v/>
      </c>
      <c r="P89" s="585">
        <f>IF(I89="",R89-H89,(K89-H89-SUM(L89:N89)+R89-S89-T89)-G89)+(ROUND(R89*V89,0)-ROUND(R89*(1+V89),0)*W89)</f>
        <v/>
      </c>
      <c r="Q89" s="585">
        <f>IF(I89="",(O89-G89-(O89*0.1425%*0.65)-(O89*0.3%)-S89-T89),0)</f>
        <v/>
      </c>
      <c r="R89" s="585" t="n"/>
      <c r="S89" s="585" t="n"/>
      <c r="T89" s="585" t="n"/>
      <c r="U89" s="65">
        <f>(V89*50%)/(1+50%*V89)</f>
        <v/>
      </c>
      <c r="V89" s="65" t="n"/>
      <c r="W89" s="66" t="n">
        <v>0.11</v>
      </c>
      <c r="X89" s="586">
        <f>(P89+Q89)/G89</f>
        <v/>
      </c>
      <c r="Y89" s="16">
        <f>VLOOKUP(C89,每日行情!A:D,4,FALSE)</f>
        <v/>
      </c>
      <c r="Z89" s="587">
        <f>VLOOKUP(C89,每日行情!A:E,5,FALSE)</f>
        <v/>
      </c>
      <c r="AA89" s="588">
        <f>IF(I89="",((TODAY()-A89)*G89)/365.24,((I89-A89)*G89)/365.24)</f>
        <v/>
      </c>
      <c r="AB89" s="98" t="inlineStr">
        <is>
          <t>存股</t>
        </is>
      </c>
      <c r="AC89" s="213" t="n"/>
      <c r="AD89" s="200" t="n"/>
    </row>
    <row r="90">
      <c r="A90" s="99" t="n">
        <v>46146</v>
      </c>
      <c r="B90" s="11" t="n"/>
      <c r="C90" s="523" t="inlineStr">
        <is>
          <t>00981A</t>
        </is>
      </c>
      <c r="D90" s="163">
        <f>VLOOKUP(C90,每日行情!A:B,2,FALSE)</f>
        <v/>
      </c>
      <c r="E90" s="11" t="n">
        <v>2000</v>
      </c>
      <c r="F90" s="11" t="n">
        <v>29.4</v>
      </c>
      <c r="G90" s="583">
        <f>E90*F90</f>
        <v/>
      </c>
      <c r="H90" s="11" t="n">
        <v>50</v>
      </c>
      <c r="I90" s="99" t="n"/>
      <c r="J90" s="16" t="n"/>
      <c r="K90" s="11">
        <f>E90*J90</f>
        <v/>
      </c>
      <c r="L90" s="11">
        <f>ROUND(J90*E90*0.1425%,0)</f>
        <v/>
      </c>
      <c r="M90" s="11">
        <f>ROUND(J90*E90*0.3%,0)</f>
        <v/>
      </c>
      <c r="N90" s="11" t="n"/>
      <c r="O90" s="584">
        <f>IF(I90="",E90*Y90,0)</f>
        <v/>
      </c>
      <c r="P90" s="585">
        <f>IF(I90="",R90-H90,(K90-H90-SUM(L90:N90)+R90-S90-T90)-G90)+(ROUND(R90*V90,0)-ROUND(R90*(1+V90),0)*W90)</f>
        <v/>
      </c>
      <c r="Q90" s="585">
        <f>IF(I90="",(O90-G90-(O90*0.1425%*0.65)-(O90*0.3%)-S90-T90),0)</f>
        <v/>
      </c>
      <c r="R90" s="585" t="n"/>
      <c r="S90" s="585" t="n"/>
      <c r="T90" s="585" t="n"/>
      <c r="U90" s="65">
        <f>(V90*50%)/(1+50%*V90)</f>
        <v/>
      </c>
      <c r="V90" s="65" t="n"/>
      <c r="W90" s="66" t="n">
        <v>0.11</v>
      </c>
      <c r="X90" s="586">
        <f>(P90+Q90)/G90</f>
        <v/>
      </c>
      <c r="Y90" s="16">
        <f>VLOOKUP(C90,每日行情!A:D,4,FALSE)</f>
        <v/>
      </c>
      <c r="Z90" s="587">
        <f>VLOOKUP(C90,每日行情!A:E,5,FALSE)</f>
        <v/>
      </c>
      <c r="AA90" s="588">
        <f>IF(I90="",((TODAY()-A90)*G90)/365.24,((I90-A90)*G90)/365.24)</f>
        <v/>
      </c>
      <c r="AB90" s="98" t="inlineStr">
        <is>
          <t>存股</t>
        </is>
      </c>
      <c r="AC90" s="98" t="n"/>
      <c r="AD90" s="200" t="inlineStr">
        <is>
          <t>富邦-台股定期定額</t>
        </is>
      </c>
    </row>
    <row r="91">
      <c r="A91" s="99" t="n">
        <v>46148</v>
      </c>
      <c r="B91" s="11" t="n"/>
      <c r="C91" s="11" t="n">
        <v>6525</v>
      </c>
      <c r="D91" s="163">
        <f>VLOOKUP(C91,每日行情!A:B,2,FALSE)</f>
        <v/>
      </c>
      <c r="E91" s="11" t="n">
        <v>1000</v>
      </c>
      <c r="F91" s="11" t="n">
        <v>103.5</v>
      </c>
      <c r="G91" s="583">
        <f>E91*F91</f>
        <v/>
      </c>
      <c r="H91" s="11" t="n">
        <v>88</v>
      </c>
      <c r="I91" s="99" t="n"/>
      <c r="J91" s="16" t="n"/>
      <c r="K91" s="11">
        <f>E91*J91</f>
        <v/>
      </c>
      <c r="L91" s="11">
        <f>ROUND(J91*E91*0.1425%,0)</f>
        <v/>
      </c>
      <c r="M91" s="11">
        <f>ROUND(J91*E91*0.3%,0)</f>
        <v/>
      </c>
      <c r="N91" s="11" t="n"/>
      <c r="O91" s="584">
        <f>IF(I91="",E91*Y91,0)</f>
        <v/>
      </c>
      <c r="P91" s="585">
        <f>IF(I91="",R91-H91,(K91-H91-SUM(L91:N91)+R91-S91-T91)-G91)+(ROUND(R91*V91,0)-ROUND(R91*(1+V91),0)*W91)</f>
        <v/>
      </c>
      <c r="Q91" s="585">
        <f>IF(I91="",(O91-G91-(O91*0.1425%*0.65)-(O91*0.3%)-S91-T91),0)</f>
        <v/>
      </c>
      <c r="R91" s="585" t="n"/>
      <c r="S91" s="585" t="n"/>
      <c r="T91" s="585" t="n"/>
      <c r="U91" s="65">
        <f>(V91*50%)/(1+50%*V91)</f>
        <v/>
      </c>
      <c r="V91" s="65" t="n"/>
      <c r="W91" s="66" t="n">
        <v>0.11</v>
      </c>
      <c r="X91" s="586">
        <f>(P91+Q91)/G91</f>
        <v/>
      </c>
      <c r="Y91" s="16">
        <f>VLOOKUP(C91,每日行情!A:D,4,FALSE)</f>
        <v/>
      </c>
      <c r="Z91" s="587">
        <f>VLOOKUP(C91,每日行情!A:E,5,FALSE)</f>
        <v/>
      </c>
      <c r="AA91" s="588">
        <f>IF(I91="",((TODAY()-A91)*G91)/365.24,((I91-A91)*G91)/365.24)</f>
        <v/>
      </c>
      <c r="AB91" s="98" t="inlineStr">
        <is>
          <t>阿水一式</t>
        </is>
      </c>
      <c r="AC91" s="213" t="n"/>
      <c r="AD91" s="200" t="n"/>
    </row>
    <row r="92">
      <c r="A92" s="99" t="n">
        <v>46150</v>
      </c>
      <c r="B92" s="11" t="n"/>
      <c r="C92" s="478" t="inlineStr">
        <is>
          <t>00991A</t>
        </is>
      </c>
      <c r="D92" s="163">
        <f>VLOOKUP(C92,每日行情!A:B,2,FALSE)</f>
        <v/>
      </c>
      <c r="E92" s="11" t="n">
        <v>563</v>
      </c>
      <c r="F92" s="11" t="n">
        <v>17.51</v>
      </c>
      <c r="G92" s="583" t="n">
        <v>9858</v>
      </c>
      <c r="H92" s="11" t="n">
        <v>1</v>
      </c>
      <c r="I92" s="99" t="n"/>
      <c r="J92" s="16" t="n"/>
      <c r="K92" s="11">
        <f>E92*J92</f>
        <v/>
      </c>
      <c r="L92" s="11">
        <f>ROUND(J92*E92*0.1425%,0)</f>
        <v/>
      </c>
      <c r="M92" s="11">
        <f>ROUND(J92*E92*0.3%,0)</f>
        <v/>
      </c>
      <c r="N92" s="11" t="n"/>
      <c r="O92" s="584">
        <f>IF(I92="",E92*Y92,0)</f>
        <v/>
      </c>
      <c r="P92" s="585">
        <f>IF(I92="",R92-H92,(K92-H92-SUM(L92:N92)+R92-S92-T92)-G92)+(ROUND(R92*V92,0)-ROUND(R92*(1+V92),0)*W92)</f>
        <v/>
      </c>
      <c r="Q92" s="585">
        <f>IF(I92="",(O92-G92-(O92*0.1425%*0.65)-(O92*0.3%)-S92-T92),0)</f>
        <v/>
      </c>
      <c r="R92" s="585" t="n"/>
      <c r="S92" s="585" t="n"/>
      <c r="T92" s="585" t="n"/>
      <c r="U92" s="65">
        <f>(V92*50%)/(1+50%*V92)</f>
        <v/>
      </c>
      <c r="V92" s="65" t="n"/>
      <c r="W92" s="66" t="n">
        <v>0.11</v>
      </c>
      <c r="X92" s="586">
        <f>(P92+Q92)/G92</f>
        <v/>
      </c>
      <c r="Y92" s="16">
        <f>VLOOKUP(C92,每日行情!A:D,4,FALSE)</f>
        <v/>
      </c>
      <c r="Z92" s="587">
        <f>VLOOKUP(C92,每日行情!A:E,5,FALSE)</f>
        <v/>
      </c>
      <c r="AA92" s="588">
        <f>IF(I92="",((TODAY()-A92)*G92)/365.24,((I92-A92)*G92)/365.24)</f>
        <v/>
      </c>
      <c r="AB92" s="98" t="inlineStr">
        <is>
          <t>存股</t>
        </is>
      </c>
      <c r="AC92" s="98" t="n"/>
      <c r="AD92" s="200" t="inlineStr">
        <is>
          <t>富邦-台股定期定額</t>
        </is>
      </c>
    </row>
    <row r="93">
      <c r="A93" s="99" t="n">
        <v>46150</v>
      </c>
      <c r="B93" s="11" t="n"/>
      <c r="C93" s="11" t="n">
        <v>3430</v>
      </c>
      <c r="D93" s="163">
        <f>VLOOKUP(C93,每日行情!A:B,2,FALSE)</f>
        <v/>
      </c>
      <c r="E93" s="11" t="n">
        <v>1000</v>
      </c>
      <c r="F93" s="11" t="n">
        <v>148</v>
      </c>
      <c r="G93" s="583">
        <f>E93*F93</f>
        <v/>
      </c>
      <c r="H93" s="11" t="n">
        <v>126</v>
      </c>
      <c r="I93" s="99" t="n"/>
      <c r="J93" s="16" t="n"/>
      <c r="K93" s="11">
        <f>E93*J93</f>
        <v/>
      </c>
      <c r="L93" s="11">
        <f>ROUND(J93*E93*0.1425%,0)</f>
        <v/>
      </c>
      <c r="M93" s="11">
        <f>ROUND(J93*E93*0.3%,0)</f>
        <v/>
      </c>
      <c r="N93" s="11" t="n"/>
      <c r="O93" s="584">
        <f>IF(I93="",E93*Y93,0)</f>
        <v/>
      </c>
      <c r="P93" s="585">
        <f>IF(I93="",R93-H93,(K93-H93-SUM(L93:N93)+R93-S93-T93)-G93)+(ROUND(R93*V93,0)-ROUND(R93*(1+V93),0)*W93)</f>
        <v/>
      </c>
      <c r="Q93" s="585">
        <f>IF(I93="",(O93-G93-(O93*0.1425%*0.65)-(O93*0.3%)-S93-T93),0)</f>
        <v/>
      </c>
      <c r="R93" s="585" t="n"/>
      <c r="S93" s="585" t="n"/>
      <c r="T93" s="585" t="n"/>
      <c r="U93" s="65">
        <f>(V93*50%)/(1+50%*V93)</f>
        <v/>
      </c>
      <c r="V93" s="65" t="n"/>
      <c r="W93" s="66" t="n">
        <v>0.11</v>
      </c>
      <c r="X93" s="586">
        <f>(P93+Q93)/G93</f>
        <v/>
      </c>
      <c r="Y93" s="16">
        <f>VLOOKUP(C93,每日行情!A:D,4,FALSE)</f>
        <v/>
      </c>
      <c r="Z93" s="587">
        <f>VLOOKUP(C93,每日行情!A:E,5,FALSE)</f>
        <v/>
      </c>
      <c r="AA93" s="588">
        <f>IF(I93="",((TODAY()-A93)*G93)/365.24,((I93-A93)*G93)/365.24)</f>
        <v/>
      </c>
      <c r="AB93" s="98" t="inlineStr">
        <is>
          <t>強勢股</t>
        </is>
      </c>
      <c r="AC93" s="213" t="n"/>
      <c r="AD93" s="200" t="n"/>
    </row>
    <row r="94">
      <c r="A94" s="99" t="n">
        <v>46150</v>
      </c>
      <c r="B94" s="11" t="n"/>
      <c r="C94" s="11" t="n">
        <v>6788</v>
      </c>
      <c r="D94" s="163">
        <f>VLOOKUP(C94,每日行情!A:B,2,FALSE)</f>
        <v/>
      </c>
      <c r="E94" s="11" t="n">
        <v>200</v>
      </c>
      <c r="F94" s="11" t="n">
        <v>449.5</v>
      </c>
      <c r="G94" s="583">
        <f>E94*F94</f>
        <v/>
      </c>
      <c r="H94" s="11" t="n">
        <v>76</v>
      </c>
      <c r="I94" s="99" t="n"/>
      <c r="J94" s="16" t="n"/>
      <c r="K94" s="11">
        <f>E94*J94</f>
        <v/>
      </c>
      <c r="L94" s="11">
        <f>ROUND(J94*E94*0.1425%,0)</f>
        <v/>
      </c>
      <c r="M94" s="11">
        <f>ROUND(J94*E94*0.3%,0)</f>
        <v/>
      </c>
      <c r="N94" s="11" t="n"/>
      <c r="O94" s="584">
        <f>IF(I94="",E94*Y94,0)</f>
        <v/>
      </c>
      <c r="P94" s="585">
        <f>IF(I94="",R94-H94,(K94-H94-SUM(L94:N94)+R94-S94-T94)-G94)+(ROUND(R94*V94,0)-ROUND(R94*(1+V94),0)*W94)</f>
        <v/>
      </c>
      <c r="Q94" s="585">
        <f>IF(I94="",(O94-G94-(O94*0.1425%*0.65)-(O94*0.3%)-S94-T94),0)</f>
        <v/>
      </c>
      <c r="R94" s="585" t="n"/>
      <c r="S94" s="585" t="n"/>
      <c r="T94" s="585" t="n"/>
      <c r="U94" s="65">
        <f>(V94*50%)/(1+50%*V94)</f>
        <v/>
      </c>
      <c r="V94" s="65" t="n"/>
      <c r="W94" s="66" t="n">
        <v>0.11</v>
      </c>
      <c r="X94" s="586">
        <f>(P94+Q94)/G94</f>
        <v/>
      </c>
      <c r="Y94" s="16">
        <f>VLOOKUP(C94,每日行情!A:D,4,FALSE)</f>
        <v/>
      </c>
      <c r="Z94" s="587">
        <f>VLOOKUP(C94,每日行情!A:E,5,FALSE)</f>
        <v/>
      </c>
      <c r="AA94" s="588">
        <f>IF(I94="",((TODAY()-A94)*G94)/365.24,((I94-A94)*G94)/365.24)</f>
        <v/>
      </c>
      <c r="AB94" s="98" t="inlineStr">
        <is>
          <t>強勢股</t>
        </is>
      </c>
      <c r="AC94" s="213" t="n"/>
      <c r="AD94" s="200" t="n"/>
    </row>
    <row r="95">
      <c r="A95" s="99" t="n">
        <v>46153</v>
      </c>
      <c r="B95" s="11" t="n"/>
      <c r="C95" s="11" t="n">
        <v>2330</v>
      </c>
      <c r="D95" s="163">
        <f>VLOOKUP(C95,每日行情!A:B,2,FALSE)</f>
        <v/>
      </c>
      <c r="E95" s="11" t="n">
        <v>10</v>
      </c>
      <c r="F95" s="11" t="n">
        <v>2265</v>
      </c>
      <c r="G95" s="583">
        <f>E95*F95</f>
        <v/>
      </c>
      <c r="H95" s="11" t="n">
        <v>19</v>
      </c>
      <c r="I95" s="99" t="n"/>
      <c r="J95" s="16" t="n"/>
      <c r="K95" s="11">
        <f>E95*J95</f>
        <v/>
      </c>
      <c r="L95" s="11">
        <f>ROUND(J95*E95*0.1425%,0)</f>
        <v/>
      </c>
      <c r="M95" s="11">
        <f>ROUND(J95*E95*0.3%,0)</f>
        <v/>
      </c>
      <c r="N95" s="11" t="n"/>
      <c r="O95" s="584">
        <f>IF(I95="",E95*Y95,0)</f>
        <v/>
      </c>
      <c r="P95" s="585">
        <f>IF(I95="",R95-H95,(K95-H95-SUM(L95:N95)+R95-S95-T95)-G95)+(ROUND(R95*V95,0)-ROUND(R95*(1+V95),0)*W95)</f>
        <v/>
      </c>
      <c r="Q95" s="585">
        <f>IF(I95="",(O95-G95-(O95*0.1425%*0.65)-(O95*0.3%)-S95-T95),0)</f>
        <v/>
      </c>
      <c r="R95" s="585" t="n"/>
      <c r="S95" s="585" t="n"/>
      <c r="T95" s="585" t="n"/>
      <c r="U95" s="65">
        <f>(V95*50%)/(1+50%*V95)</f>
        <v/>
      </c>
      <c r="V95" s="65" t="n"/>
      <c r="W95" s="66" t="n">
        <v>0.11</v>
      </c>
      <c r="X95" s="586">
        <f>(P95+Q95)/G95</f>
        <v/>
      </c>
      <c r="Y95" s="16">
        <f>VLOOKUP(C95,每日行情!A:D,4,FALSE)</f>
        <v/>
      </c>
      <c r="Z95" s="587">
        <f>VLOOKUP(C95,每日行情!A:E,5,FALSE)</f>
        <v/>
      </c>
      <c r="AA95" s="588">
        <f>IF(I95="",((TODAY()-A95)*G95)/365.24,((I95-A95)*G95)/365.24)</f>
        <v/>
      </c>
      <c r="AB95" s="98" t="inlineStr">
        <is>
          <t>存股</t>
        </is>
      </c>
      <c r="AC95" s="213" t="n"/>
      <c r="AD95" s="200" t="n"/>
    </row>
    <row r="96">
      <c r="A96" s="99" t="n">
        <v>46153</v>
      </c>
      <c r="B96" s="11" t="n"/>
      <c r="C96" s="11" t="n">
        <v>3430</v>
      </c>
      <c r="D96" s="163">
        <f>VLOOKUP(C96,每日行情!A:B,2,FALSE)</f>
        <v/>
      </c>
      <c r="E96" s="11" t="n">
        <v>1000</v>
      </c>
      <c r="F96" s="11" t="n">
        <v>164</v>
      </c>
      <c r="G96" s="583">
        <f>E96*F96</f>
        <v/>
      </c>
      <c r="H96" s="11" t="n">
        <v>140</v>
      </c>
      <c r="I96" s="99" t="n"/>
      <c r="J96" s="16" t="n"/>
      <c r="K96" s="11">
        <f>E96*J96</f>
        <v/>
      </c>
      <c r="L96" s="11">
        <f>ROUND(J96*E96*0.1425%,0)</f>
        <v/>
      </c>
      <c r="M96" s="11">
        <f>ROUND(J96*E96*0.3%,0)</f>
        <v/>
      </c>
      <c r="N96" s="11" t="n"/>
      <c r="O96" s="584">
        <f>IF(I96="",E96*Y96,0)</f>
        <v/>
      </c>
      <c r="P96" s="585">
        <f>IF(I96="",R96-H96,(K96-H96-SUM(L96:N96)+R96-S96-T96)-G96)+(ROUND(R96*V96,0)-ROUND(R96*(1+V96),0)*W96)</f>
        <v/>
      </c>
      <c r="Q96" s="585">
        <f>IF(I96="",(O96-G96-(O96*0.1425%*0.65)-(O96*0.3%)-S96-T96),0)</f>
        <v/>
      </c>
      <c r="R96" s="585" t="n"/>
      <c r="S96" s="585" t="n"/>
      <c r="T96" s="585" t="n"/>
      <c r="U96" s="65">
        <f>(V96*50%)/(1+50%*V96)</f>
        <v/>
      </c>
      <c r="V96" s="65" t="n"/>
      <c r="W96" s="66" t="n">
        <v>0.11</v>
      </c>
      <c r="X96" s="586">
        <f>(P96+Q96)/G96</f>
        <v/>
      </c>
      <c r="Y96" s="16">
        <f>VLOOKUP(C96,每日行情!A:D,4,FALSE)</f>
        <v/>
      </c>
      <c r="Z96" s="587">
        <f>VLOOKUP(C96,每日行情!A:E,5,FALSE)</f>
        <v/>
      </c>
      <c r="AA96" s="588">
        <f>IF(I96="",((TODAY()-A96)*G96)/365.24,((I96-A96)*G96)/365.24)</f>
        <v/>
      </c>
      <c r="AB96" s="98" t="inlineStr">
        <is>
          <t>強勢股</t>
        </is>
      </c>
      <c r="AC96" s="213" t="n"/>
      <c r="AD96" s="200" t="n"/>
    </row>
    <row r="97">
      <c r="A97" s="99" t="n">
        <v>46155</v>
      </c>
      <c r="B97" s="11" t="n"/>
      <c r="C97" s="522" t="inlineStr">
        <is>
          <t>00631L</t>
        </is>
      </c>
      <c r="D97" s="163">
        <f>VLOOKUP(C97,每日行情!A:B,2,FALSE)</f>
        <v/>
      </c>
      <c r="E97" s="11" t="n">
        <v>2000</v>
      </c>
      <c r="F97" s="11" t="n">
        <v>31.88</v>
      </c>
      <c r="G97" s="583">
        <f>E97*F97</f>
        <v/>
      </c>
      <c r="H97" s="11" t="n">
        <v>54</v>
      </c>
      <c r="I97" s="99" t="n"/>
      <c r="J97" s="16" t="n"/>
      <c r="K97" s="11">
        <f>E97*J97</f>
        <v/>
      </c>
      <c r="L97" s="11">
        <f>ROUND(J97*E97*0.1425%,0)</f>
        <v/>
      </c>
      <c r="M97" s="11">
        <f>ROUND(J97*E97*0.3%,0)</f>
        <v/>
      </c>
      <c r="N97" s="11" t="n"/>
      <c r="O97" s="584">
        <f>IF(I97="",E97*Y97,0)</f>
        <v/>
      </c>
      <c r="P97" s="585">
        <f>IF(I97="",R97-H97,(K97-H97-SUM(L97:N97)+R97-S97-T97)-G97)+(ROUND(R97*V97,0)-ROUND(R97*(1+V97),0)*W97)</f>
        <v/>
      </c>
      <c r="Q97" s="585">
        <f>IF(I97="",(O97-G97-(O97*0.1425%*0.65)-(O97*0.3%)-S97-T97),0)</f>
        <v/>
      </c>
      <c r="R97" s="585" t="n"/>
      <c r="S97" s="585" t="n"/>
      <c r="T97" s="585" t="n"/>
      <c r="U97" s="65">
        <f>(V97*50%)/(1+50%*V97)</f>
        <v/>
      </c>
      <c r="V97" s="65" t="n"/>
      <c r="W97" s="66" t="n">
        <v>0.11</v>
      </c>
      <c r="X97" s="586">
        <f>(P97+Q97)/G97</f>
        <v/>
      </c>
      <c r="Y97" s="16">
        <f>VLOOKUP(C97,每日行情!A:D,4,FALSE)</f>
        <v/>
      </c>
      <c r="Z97" s="587">
        <f>VLOOKUP(C97,每日行情!A:E,5,FALSE)</f>
        <v/>
      </c>
      <c r="AA97" s="588">
        <f>IF(I97="",((TODAY()-A97)*G97)/365.24,((I97-A97)*G97)/365.24)</f>
        <v/>
      </c>
      <c r="AB97" s="98" t="inlineStr">
        <is>
          <t>存股</t>
        </is>
      </c>
      <c r="AC97" s="213" t="n"/>
      <c r="AD97" s="200" t="n"/>
    </row>
    <row r="98">
      <c r="A98" s="99" t="n">
        <v>46157</v>
      </c>
      <c r="B98" s="11" t="n"/>
      <c r="C98" s="11" t="n">
        <v>6788</v>
      </c>
      <c r="D98" s="163">
        <f>VLOOKUP(C98,每日行情!A:B,2,FALSE)</f>
        <v/>
      </c>
      <c r="E98" s="11" t="n">
        <v>100</v>
      </c>
      <c r="F98" s="11" t="n">
        <v>411</v>
      </c>
      <c r="G98" s="583">
        <f>E98*F98</f>
        <v/>
      </c>
      <c r="H98" s="11" t="n">
        <v>35</v>
      </c>
      <c r="I98" s="99" t="n"/>
      <c r="J98" s="16" t="n"/>
      <c r="K98" s="11">
        <f>E98*J98</f>
        <v/>
      </c>
      <c r="L98" s="11">
        <f>ROUND(J98*E98*0.1425%,0)</f>
        <v/>
      </c>
      <c r="M98" s="11">
        <f>ROUND(J98*E98*0.3%,0)</f>
        <v/>
      </c>
      <c r="N98" s="11" t="n"/>
      <c r="O98" s="584">
        <f>IF(I98="",E98*Y98,0)</f>
        <v/>
      </c>
      <c r="P98" s="585">
        <f>IF(I98="",R98-H98,(K98-H98-SUM(L98:N98)+R98-S98-T98)-G98)+(ROUND(R98*V98,0)-ROUND(R98*(1+V98),0)*W98)</f>
        <v/>
      </c>
      <c r="Q98" s="585">
        <f>IF(I98="",(O98-G98-(O98*0.1425%*0.65)-(O98*0.3%)-S98-T98),0)</f>
        <v/>
      </c>
      <c r="R98" s="585" t="n"/>
      <c r="S98" s="585" t="n"/>
      <c r="T98" s="585" t="n"/>
      <c r="U98" s="65">
        <f>(V98*50%)/(1+50%*V98)</f>
        <v/>
      </c>
      <c r="V98" s="65" t="n"/>
      <c r="W98" s="66" t="n">
        <v>0.11</v>
      </c>
      <c r="X98" s="586">
        <f>(P98+Q98)/G98</f>
        <v/>
      </c>
      <c r="Y98" s="16">
        <f>VLOOKUP(C98,每日行情!A:D,4,FALSE)</f>
        <v/>
      </c>
      <c r="Z98" s="587">
        <f>VLOOKUP(C98,每日行情!A:E,5,FALSE)</f>
        <v/>
      </c>
      <c r="AA98" s="588">
        <f>IF(I98="",((TODAY()-A98)*G98)/365.24,((I98-A98)*G98)/365.24)</f>
        <v/>
      </c>
      <c r="AB98" s="98" t="inlineStr">
        <is>
          <t>強勢股</t>
        </is>
      </c>
      <c r="AC98" s="213" t="n"/>
      <c r="AD98" s="200" t="n"/>
    </row>
    <row r="99">
      <c r="A99" s="99" t="n">
        <v>46160</v>
      </c>
      <c r="B99" s="11" t="n"/>
      <c r="C99" s="522" t="n">
        <v>7818</v>
      </c>
      <c r="D99" s="163">
        <f>VLOOKUP(C99,每日行情!A:B,2,FALSE)</f>
        <v/>
      </c>
      <c r="E99" s="11" t="n">
        <v>1000</v>
      </c>
      <c r="F99" s="11" t="n">
        <v>70</v>
      </c>
      <c r="G99" s="583">
        <f>E99*F99</f>
        <v/>
      </c>
      <c r="H99" s="11" t="n">
        <v>20</v>
      </c>
      <c r="I99" s="99" t="n"/>
      <c r="J99" s="16" t="n"/>
      <c r="K99" s="11">
        <f>E99*J99</f>
        <v/>
      </c>
      <c r="L99" s="11">
        <f>ROUND(J99*E99*0.1425%,0)</f>
        <v/>
      </c>
      <c r="M99" s="11">
        <f>ROUND(J99*E99*0.3%,0)</f>
        <v/>
      </c>
      <c r="N99" s="11" t="n"/>
      <c r="O99" s="584">
        <f>IF(I99="",E99*Y99,0)</f>
        <v/>
      </c>
      <c r="P99" s="585">
        <f>IF(I99="",R99-H99,(K99-H99-SUM(L99:N99)+R99-S99-T99)-G99)+(ROUND(R99*V99,0)-ROUND(R99*(1+V99),0)*W99)</f>
        <v/>
      </c>
      <c r="Q99" s="585">
        <f>IF(I99="",(O99-G99-(O99*0.1425%*0.65)-(O99*0.3%)-S99-T99),0)</f>
        <v/>
      </c>
      <c r="R99" s="585" t="n"/>
      <c r="S99" s="585" t="n"/>
      <c r="T99" s="585" t="n"/>
      <c r="U99" s="65">
        <f>(V99*50%)/(1+50%*V99)</f>
        <v/>
      </c>
      <c r="V99" s="65" t="n"/>
      <c r="W99" s="66" t="n">
        <v>0.11</v>
      </c>
      <c r="X99" s="586">
        <f>(P99+Q99)/G99</f>
        <v/>
      </c>
      <c r="Y99" s="16">
        <f>VLOOKUP(C99,每日行情!A:D,4,FALSE)</f>
        <v/>
      </c>
      <c r="Z99" s="587">
        <f>VLOOKUP(C99,每日行情!A:E,5,FALSE)</f>
        <v/>
      </c>
      <c r="AA99" s="588">
        <f>IF(I99="",((TODAY()-A99)*G99)/365.24,((I99-A99)*G99)/365.24)</f>
        <v/>
      </c>
      <c r="AB99" s="98" t="inlineStr">
        <is>
          <t>抽籤</t>
        </is>
      </c>
      <c r="AC99" s="213" t="n"/>
      <c r="AD99" s="200" t="n"/>
    </row>
    <row r="100">
      <c r="A100" s="99" t="n">
        <v>46170</v>
      </c>
      <c r="B100" s="11" t="n"/>
      <c r="C100" s="522" t="inlineStr">
        <is>
          <t>00631L</t>
        </is>
      </c>
      <c r="D100" s="163">
        <f>VLOOKUP(C100,每日行情!A:B,2,FALSE)</f>
        <v/>
      </c>
      <c r="E100" s="11" t="n">
        <v>1000</v>
      </c>
      <c r="F100" s="11" t="n">
        <v>34.36</v>
      </c>
      <c r="G100" s="583">
        <f>E100*F100</f>
        <v/>
      </c>
      <c r="H100" s="11" t="n">
        <v>29</v>
      </c>
      <c r="I100" s="99" t="n"/>
      <c r="J100" s="16" t="n"/>
      <c r="K100" s="11">
        <f>E100*J100</f>
        <v/>
      </c>
      <c r="L100" s="11">
        <f>ROUND(J100*E100*0.1425%,0)</f>
        <v/>
      </c>
      <c r="M100" s="11">
        <f>ROUND(J100*E100*0.3%,0)</f>
        <v/>
      </c>
      <c r="N100" s="11" t="n"/>
      <c r="O100" s="584">
        <f>IF(I100="",E100*Y100,0)</f>
        <v/>
      </c>
      <c r="P100" s="585">
        <f>IF(I100="",R100-H100,(K100-H100-SUM(L100:N100)+R100-S100-T100)-G100)+(ROUND(R100*V100,0)-ROUND(R100*(1+V100),0)*W100)</f>
        <v/>
      </c>
      <c r="Q100" s="585">
        <f>IF(I100="",(O100-G100-(O100*0.1425%*0.65)-(O100*0.3%)-S100-T100),0)</f>
        <v/>
      </c>
      <c r="R100" s="585" t="n"/>
      <c r="S100" s="585" t="n"/>
      <c r="T100" s="585" t="n"/>
      <c r="U100" s="65">
        <f>(V100*50%)/(1+50%*V100)</f>
        <v/>
      </c>
      <c r="V100" s="65" t="n"/>
      <c r="W100" s="66" t="n">
        <v>0.11</v>
      </c>
      <c r="X100" s="586">
        <f>(P100+Q100)/G100</f>
        <v/>
      </c>
      <c r="Y100" s="16">
        <f>VLOOKUP(C100,每日行情!A:D,4,FALSE)</f>
        <v/>
      </c>
      <c r="Z100" s="587">
        <f>VLOOKUP(C100,每日行情!A:E,5,FALSE)</f>
        <v/>
      </c>
      <c r="AA100" s="588">
        <f>IF(I100="",((TODAY()-A100)*G100)/365.24,((I100-A100)*G100)/365.24)</f>
        <v/>
      </c>
      <c r="AB100" s="98" t="inlineStr">
        <is>
          <t>存股</t>
        </is>
      </c>
      <c r="AC100" s="213" t="n"/>
      <c r="AD100" s="200" t="n"/>
    </row>
    <row r="101">
      <c r="A101" s="99" t="n">
        <v>46170</v>
      </c>
      <c r="B101" s="11" t="n"/>
      <c r="C101" s="522" t="n">
        <v>1802</v>
      </c>
      <c r="D101" s="163">
        <f>VLOOKUP(C101,每日行情!A:B,2,FALSE)</f>
        <v/>
      </c>
      <c r="E101" s="11" t="n">
        <v>1000</v>
      </c>
      <c r="F101" s="11" t="n">
        <v>70.59999999999999</v>
      </c>
      <c r="G101" s="583">
        <f>E101*F101</f>
        <v/>
      </c>
      <c r="H101" s="11" t="n">
        <v>60</v>
      </c>
      <c r="I101" s="99" t="n"/>
      <c r="J101" s="16" t="n"/>
      <c r="K101" s="11">
        <f>E101*J101</f>
        <v/>
      </c>
      <c r="L101" s="11">
        <f>ROUND(J101*E101*0.1425%,0)</f>
        <v/>
      </c>
      <c r="M101" s="11">
        <f>ROUND(J101*E101*0.3%,0)</f>
        <v/>
      </c>
      <c r="N101" s="11" t="n"/>
      <c r="O101" s="584">
        <f>IF(I101="",E101*Y101,0)</f>
        <v/>
      </c>
      <c r="P101" s="585">
        <f>IF(I101="",R101-H101,(K101-H101-SUM(L101:N101)+R101-S101-T101)-G101)+(ROUND(R101*V101,0)-ROUND(R101*(1+V101),0)*W101)</f>
        <v/>
      </c>
      <c r="Q101" s="585">
        <f>IF(I101="",(O101-G101-(O101*0.1425%*0.65)-(O101*0.3%)-S101-T101),0)</f>
        <v/>
      </c>
      <c r="R101" s="585" t="n"/>
      <c r="S101" s="585" t="n"/>
      <c r="T101" s="585" t="n"/>
      <c r="U101" s="65">
        <f>(V101*50%)/(1+50%*V101)</f>
        <v/>
      </c>
      <c r="V101" s="65" t="n"/>
      <c r="W101" s="66" t="n">
        <v>0.11</v>
      </c>
      <c r="X101" s="586">
        <f>(P101+Q101)/G101</f>
        <v/>
      </c>
      <c r="Y101" s="16">
        <f>VLOOKUP(C101,每日行情!A:D,4,FALSE)</f>
        <v/>
      </c>
      <c r="Z101" s="587">
        <f>VLOOKUP(C101,每日行情!A:E,5,FALSE)</f>
        <v/>
      </c>
      <c r="AA101" s="588">
        <f>IF(I101="",((TODAY()-A101)*G101)/365.24,((I101-A101)*G101)/365.24)</f>
        <v/>
      </c>
      <c r="AB101" s="98" t="inlineStr">
        <is>
          <t>存股</t>
        </is>
      </c>
      <c r="AC101" s="213" t="n"/>
      <c r="AD101" s="200" t="n"/>
    </row>
    <row r="102">
      <c r="A102" s="99" t="n">
        <v>46174</v>
      </c>
      <c r="B102" s="11" t="n"/>
      <c r="C102" s="522" t="n">
        <v>4906</v>
      </c>
      <c r="D102" s="163">
        <f>VLOOKUP(C102,每日行情!A:B,2,FALSE)</f>
        <v/>
      </c>
      <c r="E102" s="11" t="n">
        <v>1000</v>
      </c>
      <c r="F102" s="11" t="n">
        <v>53.3</v>
      </c>
      <c r="G102" s="583">
        <f>E102*F102</f>
        <v/>
      </c>
      <c r="H102" s="11" t="n">
        <v>45</v>
      </c>
      <c r="I102" s="99" t="n"/>
      <c r="J102" s="16" t="n"/>
      <c r="K102" s="11">
        <f>E102*J102</f>
        <v/>
      </c>
      <c r="L102" s="11">
        <f>ROUND(J102*E102*0.1425%,0)</f>
        <v/>
      </c>
      <c r="M102" s="11">
        <f>ROUND(J102*E102*0.3%,0)</f>
        <v/>
      </c>
      <c r="N102" s="11" t="n"/>
      <c r="O102" s="584">
        <f>IF(I102="",E102*Y102,0)</f>
        <v/>
      </c>
      <c r="P102" s="585">
        <f>IF(I102="",R102-H102,(K102-H102-SUM(L102:N102)+R102-S102-T102)-G102)+(ROUND(R102*V102,0)-ROUND(R102*(1+V102),0)*W102)</f>
        <v/>
      </c>
      <c r="Q102" s="585">
        <f>IF(I102="",(O102-G102-(O102*0.1425%*0.65)-(O102*0.3%)-S102-T102),0)</f>
        <v/>
      </c>
      <c r="R102" s="585" t="n"/>
      <c r="S102" s="585" t="n"/>
      <c r="T102" s="585" t="n"/>
      <c r="U102" s="65">
        <f>(V102*50%)/(1+50%*V102)</f>
        <v/>
      </c>
      <c r="V102" s="65" t="n"/>
      <c r="W102" s="66" t="n">
        <v>0.11</v>
      </c>
      <c r="X102" s="586">
        <f>(P102+Q102)/G102</f>
        <v/>
      </c>
      <c r="Y102" s="16">
        <f>VLOOKUP(C102,每日行情!A:D,4,FALSE)</f>
        <v/>
      </c>
      <c r="Z102" s="587">
        <f>VLOOKUP(C102,每日行情!A:E,5,FALSE)</f>
        <v/>
      </c>
      <c r="AA102" s="588">
        <f>IF(I102="",((TODAY()-A102)*G102)/365.24,((I102-A102)*G102)/365.24)</f>
        <v/>
      </c>
      <c r="AB102" s="98" t="n"/>
      <c r="AC102" s="213" t="n"/>
      <c r="AD102" s="200" t="n"/>
    </row>
    <row r="103" ht="17.25" customHeight="1" thickBot="1">
      <c r="A103" s="48" t="n"/>
      <c r="B103" s="49" t="n"/>
      <c r="C103" s="49" t="n"/>
      <c r="D103" s="167" t="n"/>
      <c r="E103" s="49" t="n"/>
      <c r="F103" s="49" t="n"/>
      <c r="G103" s="49" t="n"/>
      <c r="H103" s="49" t="n"/>
      <c r="I103" s="50" t="n"/>
      <c r="J103" s="51" t="n"/>
      <c r="K103" s="49" t="n"/>
      <c r="L103" s="593" t="n"/>
      <c r="M103" s="49" t="n"/>
      <c r="N103" s="49" t="n"/>
      <c r="O103" s="594" t="n"/>
      <c r="P103" s="595" t="n"/>
      <c r="Q103" s="595" t="n"/>
      <c r="R103" s="595" t="n"/>
      <c r="S103" s="595" t="n"/>
      <c r="T103" s="596" t="n"/>
      <c r="U103" s="595" t="n"/>
      <c r="V103" s="595" t="n"/>
      <c r="W103" s="73" t="n"/>
      <c r="X103" s="597" t="n"/>
      <c r="Y103" s="51" t="n"/>
      <c r="Z103" s="56" t="n"/>
      <c r="AA103" s="588" t="n"/>
    </row>
    <row r="104" ht="17.25" customHeight="1" thickBot="1">
      <c r="A104" s="29" t="n"/>
      <c r="D104" s="28" t="n"/>
      <c r="I104" s="30" t="n"/>
      <c r="J104" s="31" t="n"/>
      <c r="L104" s="665" t="n"/>
      <c r="O104" s="666" t="n"/>
      <c r="P104" s="667" t="n"/>
      <c r="Q104" s="667" t="n"/>
      <c r="R104" s="667" t="n"/>
      <c r="S104" s="667" t="n"/>
      <c r="T104" s="667" t="n"/>
      <c r="U104" s="667" t="n"/>
      <c r="V104" s="667" t="n"/>
      <c r="W104" s="667" t="n"/>
      <c r="X104" s="668" t="n"/>
      <c r="Y104" s="31" t="n"/>
      <c r="Z104" s="31" t="n"/>
      <c r="AA104" s="588" t="n"/>
    </row>
    <row r="105" ht="17.25" customHeight="1" thickBot="1">
      <c r="A105" s="159" t="n"/>
      <c r="B105" s="600" t="n"/>
      <c r="C105" s="600" t="n"/>
      <c r="D105" s="180" t="inlineStr">
        <is>
          <t>持股小計</t>
        </is>
      </c>
      <c r="E105" s="669" t="n"/>
      <c r="F105" s="670" t="n"/>
      <c r="G105" s="59">
        <f>SUM(G69:G103)</f>
        <v/>
      </c>
      <c r="H105" s="59">
        <f>SUM(H69:H103)</f>
        <v/>
      </c>
      <c r="I105" s="569" t="n"/>
      <c r="J105" s="569" t="n"/>
      <c r="K105" s="59" t="n"/>
      <c r="L105" s="671" t="n"/>
      <c r="M105" s="671" t="n"/>
      <c r="N105" s="672" t="n"/>
      <c r="O105" s="59">
        <f>SUM(O69:O103)</f>
        <v/>
      </c>
      <c r="P105" s="673">
        <f>SUM(P69:P103)</f>
        <v/>
      </c>
      <c r="Q105" s="673">
        <f>SUM(Q69:Q103)</f>
        <v/>
      </c>
      <c r="R105" s="59">
        <f>SUM(R69:R103)</f>
        <v/>
      </c>
      <c r="S105" s="548" t="n"/>
      <c r="T105" s="548" t="n"/>
      <c r="U105" s="548" t="n"/>
      <c r="V105" s="548" t="n"/>
      <c r="W105" s="548" t="n"/>
      <c r="X105" s="674">
        <f>(P105+Q105)/G105</f>
        <v/>
      </c>
      <c r="Y105" s="532" t="inlineStr">
        <is>
          <t>年化報酬率</t>
        </is>
      </c>
      <c r="Z105" s="675">
        <f>IF(AA105=0,0,(P105+Q105)/(AA105))</f>
        <v/>
      </c>
      <c r="AA105" s="588">
        <f>SUM(AA69:AA103)</f>
        <v/>
      </c>
    </row>
    <row r="106" ht="17.25" customFormat="1" customHeight="1" s="36" thickBot="1">
      <c r="A106" s="602" t="n"/>
      <c r="D106" s="180" t="inlineStr">
        <is>
          <t>2025總計</t>
        </is>
      </c>
      <c r="E106" s="602" t="n"/>
      <c r="F106" s="676" t="n"/>
      <c r="G106" s="60">
        <f>SUM(G2:G103)</f>
        <v/>
      </c>
      <c r="H106" s="60">
        <f>SUM(H2:H103)</f>
        <v/>
      </c>
      <c r="I106" s="677" t="n"/>
      <c r="J106" s="677" t="n"/>
      <c r="K106" s="60">
        <f>SUM(K65:K103)</f>
        <v/>
      </c>
      <c r="L106" s="60">
        <f>SUM(L65:L103)</f>
        <v/>
      </c>
      <c r="M106" s="60">
        <f>SUM(M65:M103)</f>
        <v/>
      </c>
      <c r="N106" s="60">
        <f>SUM(N65:N103)</f>
        <v/>
      </c>
      <c r="O106" s="60">
        <f>SUM(O2:O103)</f>
        <v/>
      </c>
      <c r="P106" s="678">
        <f>SUM(P2:P103)</f>
        <v/>
      </c>
      <c r="Q106" s="673">
        <f>SUM(Q2:Q103)</f>
        <v/>
      </c>
      <c r="R106" s="60">
        <f>SUM(R2:R103)</f>
        <v/>
      </c>
      <c r="S106" s="68" t="n"/>
      <c r="T106" s="68" t="n"/>
      <c r="U106" s="68" t="n"/>
      <c r="V106" s="68" t="n"/>
      <c r="W106" s="68" t="n"/>
      <c r="X106" s="674">
        <f>(P106+Q106)/G106</f>
        <v/>
      </c>
      <c r="Y106" s="604" t="n"/>
      <c r="Z106" s="675">
        <f>IF(AA106=0,0,(P106+Q106)/(AA106))</f>
        <v/>
      </c>
      <c r="AA106" s="588">
        <f>SUM(AA65:AA103)</f>
        <v/>
      </c>
      <c r="AB106" s="79" t="n"/>
      <c r="AC106" s="80" t="n"/>
    </row>
    <row r="107" ht="17.25" customFormat="1" customHeight="1" s="36" thickBot="1">
      <c r="A107" s="610" t="n"/>
      <c r="B107" s="611" t="n"/>
      <c r="C107" s="611" t="n"/>
      <c r="D107" s="180" t="inlineStr">
        <is>
          <t>總計</t>
        </is>
      </c>
      <c r="E107" s="610" t="n"/>
      <c r="F107" s="679" t="n"/>
      <c r="G107" s="60">
        <f>SUM(G2:G103)</f>
        <v/>
      </c>
      <c r="H107" s="60">
        <f>SUM(H2:H103)</f>
        <v/>
      </c>
      <c r="I107" s="680" t="n"/>
      <c r="J107" s="680" t="n"/>
      <c r="K107" s="60">
        <f>SUM(K65:K103)</f>
        <v/>
      </c>
      <c r="L107" s="60">
        <f>SUM(L65:L103)</f>
        <v/>
      </c>
      <c r="M107" s="60">
        <f>SUM(M65:M103)</f>
        <v/>
      </c>
      <c r="N107" s="60">
        <f>SUM(N65:N103)</f>
        <v/>
      </c>
      <c r="O107" s="60">
        <f>SUM(O2:O103)</f>
        <v/>
      </c>
      <c r="P107" s="678">
        <f>SUM(P2:P103)</f>
        <v/>
      </c>
      <c r="Q107" s="673">
        <f>SUM(Q2:Q103)</f>
        <v/>
      </c>
      <c r="R107" s="60">
        <f>SUM(R2:R103)</f>
        <v/>
      </c>
      <c r="S107" s="68" t="n"/>
      <c r="T107" s="68" t="n"/>
      <c r="U107" s="68" t="n"/>
      <c r="V107" s="68" t="n"/>
      <c r="W107" s="68" t="n"/>
      <c r="X107" s="674">
        <f>(P107+Q107)/G107</f>
        <v/>
      </c>
      <c r="Y107" s="613" t="n"/>
      <c r="Z107" s="675">
        <f>IF(AA107=0,0,(P107+Q107)/(AA107))</f>
        <v/>
      </c>
      <c r="AA107" s="588">
        <f>AA106</f>
        <v/>
      </c>
      <c r="AB107" s="79" t="n"/>
      <c r="AC107" s="79" t="n"/>
    </row>
    <row r="108" ht="17.25" customHeight="1" thickBot="1">
      <c r="B108" s="37" t="n"/>
      <c r="C108" s="37" t="n"/>
      <c r="D108" s="28" t="n"/>
    </row>
    <row r="109" ht="17.25" customFormat="1" customHeight="1" s="8" thickBot="1">
      <c r="A109" s="526" t="inlineStr">
        <is>
          <t>分析</t>
        </is>
      </c>
      <c r="B109" s="600" t="n"/>
      <c r="C109" s="601" t="n"/>
      <c r="D109" s="187" t="inlineStr">
        <is>
          <t>技法</t>
        </is>
      </c>
      <c r="E109" s="526" t="n"/>
      <c r="F109" s="601" t="n"/>
      <c r="G109" s="187" t="inlineStr">
        <is>
          <t>成交金額</t>
        </is>
      </c>
      <c r="H109" s="187" t="inlineStr">
        <is>
          <t>手續費</t>
        </is>
      </c>
      <c r="I109" s="526" t="n"/>
      <c r="J109" s="210" t="n"/>
      <c r="K109" s="211" t="n"/>
      <c r="L109" s="211" t="n"/>
      <c r="M109" s="211" t="n"/>
      <c r="N109" s="212" t="n"/>
      <c r="O109" s="187" t="inlineStr">
        <is>
          <t>參考現值</t>
        </is>
      </c>
      <c r="P109" s="187" t="inlineStr">
        <is>
          <t>已實現損益</t>
        </is>
      </c>
      <c r="Q109" s="187" t="inlineStr">
        <is>
          <t>未實現損益</t>
        </is>
      </c>
      <c r="R109" s="187" t="inlineStr">
        <is>
          <t>除息</t>
        </is>
      </c>
      <c r="S109" s="526" t="inlineStr">
        <is>
          <t>手續費</t>
        </is>
      </c>
      <c r="T109" s="526" t="inlineStr">
        <is>
          <t>健保補充保費</t>
        </is>
      </c>
      <c r="U109" s="526" t="n"/>
      <c r="V109" s="526" t="inlineStr">
        <is>
          <t>扣抵稅率</t>
        </is>
      </c>
      <c r="W109" s="526" t="inlineStr">
        <is>
          <t>所得稅率</t>
        </is>
      </c>
      <c r="X109" s="187" t="inlineStr">
        <is>
          <t>投資報酬率</t>
        </is>
      </c>
      <c r="Y109" s="187" t="inlineStr">
        <is>
          <t>年化報酬率</t>
        </is>
      </c>
      <c r="Z109" s="187" t="inlineStr">
        <is>
          <t>勝率</t>
        </is>
      </c>
      <c r="AA109" s="81" t="n"/>
      <c r="AB109" s="78" t="n"/>
      <c r="AC109" s="161" t="n"/>
    </row>
    <row r="110" outlineLevel="1">
      <c r="A110" s="602" t="n"/>
      <c r="C110" s="603" t="n"/>
      <c r="D110" s="526" t="inlineStr">
        <is>
          <t>存股</t>
        </is>
      </c>
      <c r="E110" s="602" t="n"/>
      <c r="F110" s="603" t="n"/>
      <c r="G110" s="194">
        <f>SUMIF(AB$2:AB$104,D110,G$2:G$104)</f>
        <v/>
      </c>
      <c r="H110" s="194">
        <f>SUMIF(AB$2:AB$104,D110,H$2:H$104)</f>
        <v/>
      </c>
      <c r="I110" s="604" t="n"/>
      <c r="J110" s="207" t="n"/>
      <c r="K110" s="208" t="n"/>
      <c r="L110" s="208" t="n"/>
      <c r="M110" s="208" t="n"/>
      <c r="N110" s="209" t="n"/>
      <c r="O110" s="194">
        <f>SUMIF(AB$2:AB$104,D110,O$2:O$104)</f>
        <v/>
      </c>
      <c r="P110" s="605">
        <f>SUMIF(AB$2:AB$104,D110,P$2:P$104)</f>
        <v/>
      </c>
      <c r="Q110" s="605">
        <f>SUMIF(AB$2:AB$104,"*"&amp;D110&amp;"*",Q$2:Q$104)</f>
        <v/>
      </c>
      <c r="R110" s="194">
        <f>SUMIF(AB$2:AB$104,D110,R$2:R$104)</f>
        <v/>
      </c>
      <c r="S110" s="192" t="n"/>
      <c r="T110" s="192" t="n"/>
      <c r="U110" s="604" t="n"/>
      <c r="V110" s="192" t="n"/>
      <c r="W110" s="192" t="n"/>
      <c r="X110" s="606">
        <f>(SUMIF(AB$2:AB$104,D110,P$2:P$104)+SUMIF(AB$2:AB$104,"*"&amp;D110&amp;"*",Q$2:Q$104))/SUMIF(AB$2:AB$104,D110,G$2:G$104)</f>
        <v/>
      </c>
      <c r="Y110" s="606">
        <f>(P110+Q110)/(AA110)</f>
        <v/>
      </c>
      <c r="Z110" s="197">
        <f>COUNTIFS(X$2:X$104,"&gt;0",AB$2:AB$104,D110)/COUNTIF(AB$2:AB$104,D110)</f>
        <v/>
      </c>
      <c r="AA110" s="9">
        <f>SUMIF(AB$2:AB$104,D110,AA$2:AA$104)</f>
        <v/>
      </c>
    </row>
    <row r="111" outlineLevel="1">
      <c r="A111" s="602" t="n"/>
      <c r="C111" s="603" t="n"/>
      <c r="D111" s="185" t="inlineStr">
        <is>
          <t>強勢股</t>
        </is>
      </c>
      <c r="E111" s="602" t="n"/>
      <c r="F111" s="603" t="n"/>
      <c r="G111" s="194">
        <f>SUMIF(AB$2:AB$104,D111,G$2:G$104)</f>
        <v/>
      </c>
      <c r="H111" s="194">
        <f>SUMIF(AB$2:AB$104,D111,H$2:H$104)</f>
        <v/>
      </c>
      <c r="I111" s="604" t="n"/>
      <c r="J111" s="201" t="n"/>
      <c r="K111" s="202" t="n"/>
      <c r="L111" s="202" t="n"/>
      <c r="M111" s="202" t="n"/>
      <c r="N111" s="203" t="n"/>
      <c r="O111" s="194">
        <f>SUMIF(AB$2:AB$104,D111,O$2:O$104)</f>
        <v/>
      </c>
      <c r="P111" s="605">
        <f>SUMIF(AB$2:AB$104,D111,P$2:P$104)</f>
        <v/>
      </c>
      <c r="Q111" s="605">
        <f>SUMIF(AB$2:AB$104,"*"&amp;D111&amp;"*",Q$2:Q$104)</f>
        <v/>
      </c>
      <c r="R111" s="194">
        <f>SUMIF(AB$2:AB$104,D111,R$2:R$104)</f>
        <v/>
      </c>
      <c r="S111" s="192" t="n"/>
      <c r="T111" s="192" t="n"/>
      <c r="U111" s="604" t="n"/>
      <c r="V111" s="192" t="n"/>
      <c r="W111" s="192" t="n"/>
      <c r="X111" s="606">
        <f>(SUMIF(AB$2:AB$104,D111,P$2:P$104)+SUMIF(AB$2:AB$104,"*"&amp;D111&amp;"*",Q$2:Q$104))/SUMIF(AB$2:AB$104,D111,G$2:G$104)</f>
        <v/>
      </c>
      <c r="Y111" s="606">
        <f>(P111+Q111)/(AA111)</f>
        <v/>
      </c>
      <c r="Z111" s="197">
        <f>COUNTIFS(X$2:X$104,"&gt;0",AB$2:AB$104,D111)/COUNTIF(AB$2:AB$104,D111)</f>
        <v/>
      </c>
      <c r="AA111" s="9">
        <f>SUMIF(AB$2:AB$104,D111,AA$2:AA$104)</f>
        <v/>
      </c>
    </row>
    <row r="112" outlineLevel="1" ht="17.25" customHeight="1" thickBot="1">
      <c r="A112" s="602" t="n"/>
      <c r="C112" s="603" t="n"/>
      <c r="D112" s="185" t="inlineStr">
        <is>
          <t>阿水一式</t>
        </is>
      </c>
      <c r="E112" s="602" t="n"/>
      <c r="F112" s="603" t="n"/>
      <c r="G112" s="194">
        <f>SUMIF(AB$2:AB$104,D112,G$2:G$104)</f>
        <v/>
      </c>
      <c r="H112" s="194">
        <f>SUMIF(AB$2:AB$104,D112,H$2:H$104)</f>
        <v/>
      </c>
      <c r="I112" s="604" t="n"/>
      <c r="J112" s="201" t="n"/>
      <c r="K112" s="202" t="n"/>
      <c r="L112" s="202" t="n"/>
      <c r="M112" s="202" t="n"/>
      <c r="N112" s="203" t="n"/>
      <c r="O112" s="194">
        <f>SUMIF(AB$2:AB$104,D112,O$2:O$104)</f>
        <v/>
      </c>
      <c r="P112" s="605">
        <f>SUMIF(AB$2:AB$104,D112,P$2:P$104)</f>
        <v/>
      </c>
      <c r="Q112" s="605">
        <f>SUMIF(AB$2:AB$104,"*"&amp;D112&amp;"*",Q$2:Q$104)</f>
        <v/>
      </c>
      <c r="R112" s="194">
        <f>SUMIF(AB$2:AB$104,D112,R$2:R$104)</f>
        <v/>
      </c>
      <c r="S112" s="193" t="n"/>
      <c r="T112" s="193" t="n"/>
      <c r="U112" s="604" t="n"/>
      <c r="V112" s="193" t="n"/>
      <c r="W112" s="193" t="n"/>
      <c r="X112" s="606">
        <f>(SUMIF(AB$2:AB$104,D112,P$2:P$104)+SUMIF(AB$2:AB$104,"*"&amp;D112&amp;"*",Q$2:Q$104))/SUMIF(AB$2:AB$104,D112,G$2:G$104)</f>
        <v/>
      </c>
      <c r="Y112" s="606">
        <f>(P112+Q112)/(AA112)</f>
        <v/>
      </c>
      <c r="Z112" s="197">
        <f>COUNTIFS(X$2:X$104,"&gt;0",AB$2:AB$104,D112)/COUNTIF(AB$2:AB$104,D112)</f>
        <v/>
      </c>
      <c r="AA112" s="9">
        <f>SUMIF(AB$2:AB$104,D112,AA$2:AA$104)</f>
        <v/>
      </c>
    </row>
    <row r="113" outlineLevel="1">
      <c r="A113" s="602" t="n"/>
      <c r="C113" s="603" t="n"/>
      <c r="D113" s="185" t="inlineStr">
        <is>
          <t>除權息</t>
        </is>
      </c>
      <c r="E113" s="602" t="n"/>
      <c r="F113" s="603" t="n"/>
      <c r="G113" s="194">
        <f>SUMIF(AB$2:AB$104,D113,G$2:G$104)</f>
        <v/>
      </c>
      <c r="H113" s="194">
        <f>SUMIF(AB$2:AB$104,D113,H$2:H$104)</f>
        <v/>
      </c>
      <c r="I113" s="604" t="n"/>
      <c r="J113" s="201" t="n"/>
      <c r="K113" s="202" t="n"/>
      <c r="L113" s="202" t="n"/>
      <c r="M113" s="202" t="n"/>
      <c r="N113" s="203" t="n"/>
      <c r="O113" s="194">
        <f>SUMIF(AB$2:AB$104,D113,O$2:O$104)</f>
        <v/>
      </c>
      <c r="P113" s="605">
        <f>SUMIF(AB$2:AB$104,D113,P$2:P$104)</f>
        <v/>
      </c>
      <c r="Q113" s="605">
        <f>SUMIF(AB$2:AB$104,"*"&amp;D113&amp;"*",Q$2:Q$104)</f>
        <v/>
      </c>
      <c r="R113" s="194">
        <f>SUMIF(AB$2:AB$104,D113,R$2:R$104)</f>
        <v/>
      </c>
      <c r="S113" s="192" t="n"/>
      <c r="T113" s="192" t="n"/>
      <c r="U113" s="604" t="n"/>
      <c r="V113" s="192" t="n"/>
      <c r="W113" s="192" t="n"/>
      <c r="X113" s="606">
        <f>(SUMIF(AB$2:AB$104,D113,P$2:P$104)+SUMIF(AB$2:AB$104,"*"&amp;D113&amp;"*",Q$2:Q$104))/SUMIF(AB$2:AB$104,D113,G$2:G$104)</f>
        <v/>
      </c>
      <c r="Y113" s="606">
        <f>(P113+Q113)/(AA113)</f>
        <v/>
      </c>
      <c r="Z113" s="197">
        <f>COUNTIFS(X$2:X$104,"&gt;0",AB$2:AB$104,D113)/COUNTIF(AB$2:AB$104,D113)</f>
        <v/>
      </c>
      <c r="AA113" s="9">
        <f>SUMIF(AB$2:AB$104,D113,AA$2:AA$104)</f>
        <v/>
      </c>
    </row>
    <row r="114" outlineLevel="1" ht="17.25" customHeight="1" thickBot="1">
      <c r="A114" s="681" t="n"/>
      <c r="B114" s="682" t="n"/>
      <c r="C114" s="683" t="n"/>
      <c r="D114" s="186" t="inlineStr">
        <is>
          <t>抽籤</t>
        </is>
      </c>
      <c r="E114" s="681" t="n"/>
      <c r="F114" s="683" t="n"/>
      <c r="G114" s="188">
        <f>SUMIF(AB$2:AB$104,D114,G$2:G$104)</f>
        <v/>
      </c>
      <c r="H114" s="188">
        <f>SUMIF(AB$2:AB$104,D114,H$2:H$104)</f>
        <v/>
      </c>
      <c r="I114" s="608" t="n"/>
      <c r="J114" s="204" t="n"/>
      <c r="K114" s="205" t="n"/>
      <c r="L114" s="205" t="n"/>
      <c r="M114" s="205" t="n"/>
      <c r="N114" s="206" t="n"/>
      <c r="O114" s="188">
        <f>SUMIF(AB$2:AB$104,D114,O$2:O$104)</f>
        <v/>
      </c>
      <c r="P114" s="607">
        <f>SUMIF(AB$2:AB$104,D114,P$2:P$104)</f>
        <v/>
      </c>
      <c r="Q114" s="607">
        <f>SUMIF(AB$2:AB$104,"*"&amp;D114&amp;"*",Q$2:Q$104)</f>
        <v/>
      </c>
      <c r="R114" s="188">
        <f>SUMIF(AB$2:AB$104,D114,R$2:R$104)</f>
        <v/>
      </c>
      <c r="S114" s="193" t="n"/>
      <c r="T114" s="193" t="n"/>
      <c r="U114" s="608" t="n"/>
      <c r="V114" s="193" t="n"/>
      <c r="W114" s="193" t="n"/>
      <c r="X114" s="609">
        <f>(SUMIF(AB$2:AB$104,D114,P$2:P$104)+SUMIF(AB$2:AB$104,"*"&amp;D114&amp;"*",Q$2:Q$104))/SUMIF(AB$2:AB$104,D114,G$2:G$104)</f>
        <v/>
      </c>
      <c r="Y114" s="609">
        <f>(P114+Q114)/(AA114)</f>
        <v/>
      </c>
      <c r="Z114" s="191">
        <f>COUNTIFS(X$2:X$104,"&gt;0",AB$2:AB$104,D114)/COUNTIF(AB$2:AB$104,D114)</f>
        <v/>
      </c>
      <c r="AA114" s="9">
        <f>SUMIF(AB$2:AB$104,D114,AA$2:AA$104)</f>
        <v/>
      </c>
    </row>
    <row r="115">
      <c r="B115" s="37" t="n"/>
      <c r="C115" s="37" t="n"/>
      <c r="D115" s="28" t="n"/>
    </row>
    <row r="116" ht="17.25" customHeight="1" thickBot="1">
      <c r="B116" s="37" t="n"/>
      <c r="C116" s="37" t="n"/>
      <c r="D116" s="28" t="n"/>
    </row>
    <row r="117" customFormat="1" s="8">
      <c r="A117" s="1" t="inlineStr">
        <is>
          <t>買進日期</t>
        </is>
      </c>
      <c r="B117" s="2" t="inlineStr">
        <is>
          <t>種類</t>
        </is>
      </c>
      <c r="C117" s="3" t="inlineStr">
        <is>
          <t>股票代號</t>
        </is>
      </c>
      <c r="D117" s="4" t="inlineStr">
        <is>
          <t>股票名稱</t>
        </is>
      </c>
      <c r="E117" s="4" t="inlineStr">
        <is>
          <t>股數</t>
        </is>
      </c>
      <c r="F117" s="4" t="inlineStr">
        <is>
          <t>買進價</t>
        </is>
      </c>
      <c r="G117" s="4" t="inlineStr">
        <is>
          <t>成交金額</t>
        </is>
      </c>
      <c r="H117" s="581" t="inlineStr">
        <is>
          <t>手續費</t>
        </is>
      </c>
      <c r="I117" s="107" t="inlineStr">
        <is>
          <t>賣出日期</t>
        </is>
      </c>
      <c r="J117" s="4" t="inlineStr">
        <is>
          <t>賣出價</t>
        </is>
      </c>
      <c r="K117" s="4" t="inlineStr">
        <is>
          <t>成交金額</t>
        </is>
      </c>
      <c r="L117" s="581" t="inlineStr">
        <is>
          <t>手續費</t>
        </is>
      </c>
      <c r="M117" s="581" t="inlineStr">
        <is>
          <t>交易稅</t>
        </is>
      </c>
      <c r="N117" s="3" t="inlineStr">
        <is>
          <t>證所稅</t>
        </is>
      </c>
      <c r="O117" s="4" t="inlineStr">
        <is>
          <t>參考現值</t>
        </is>
      </c>
      <c r="P117" s="582" t="inlineStr">
        <is>
          <t>已實現損益</t>
        </is>
      </c>
      <c r="Q117" s="4" t="inlineStr">
        <is>
          <t>未實現損益</t>
        </is>
      </c>
      <c r="R117" s="4" t="inlineStr">
        <is>
          <t>除息</t>
        </is>
      </c>
      <c r="S117" s="64" t="inlineStr">
        <is>
          <t>手續費</t>
        </is>
      </c>
      <c r="T117" s="64" t="inlineStr">
        <is>
          <t>健保補充保費</t>
        </is>
      </c>
      <c r="U117" s="64" t="inlineStr">
        <is>
          <t>實質扣抵稅率</t>
        </is>
      </c>
      <c r="V117" s="64" t="inlineStr">
        <is>
          <t>扣抵稅率</t>
        </is>
      </c>
      <c r="W117" s="64" t="inlineStr">
        <is>
          <t>所得稅率</t>
        </is>
      </c>
      <c r="X117" s="4" t="inlineStr">
        <is>
          <t>投資報酬率</t>
        </is>
      </c>
      <c r="Y117" s="4" t="inlineStr">
        <is>
          <t>今日股價</t>
        </is>
      </c>
      <c r="Z117" s="7" t="inlineStr">
        <is>
          <t>漲跌</t>
        </is>
      </c>
      <c r="AA117" s="78" t="n"/>
    </row>
    <row r="118">
      <c r="A118" s="18">
        <f>MIN(A135:A135)</f>
        <v/>
      </c>
      <c r="B118" s="19" t="n"/>
      <c r="C118" s="20" t="n"/>
      <c r="D118" s="19" t="n"/>
      <c r="E118" s="19" t="n"/>
      <c r="F118" s="19" t="n"/>
      <c r="G118" s="19" t="n"/>
      <c r="H118" s="19" t="n"/>
      <c r="I118" s="21" t="n"/>
      <c r="J118" s="22" t="n"/>
      <c r="K118" s="19" t="n"/>
      <c r="L118" s="661" t="n"/>
      <c r="M118" s="19" t="n"/>
      <c r="N118" s="19" t="n"/>
      <c r="O118" s="662" t="n"/>
      <c r="P118" s="663" t="n"/>
      <c r="Q118" s="663" t="n"/>
      <c r="R118" s="663" t="n"/>
      <c r="S118" s="663" t="n"/>
      <c r="T118" s="663" t="n"/>
      <c r="U118" s="663" t="n"/>
      <c r="V118" s="70" t="n"/>
      <c r="W118" s="72" t="n"/>
      <c r="X118" s="664" t="n"/>
      <c r="Y118" s="22" t="n"/>
      <c r="Z118" s="27" t="n"/>
      <c r="AA118" s="28" t="n"/>
      <c r="AB118" s="9" t="n"/>
      <c r="AC118" s="9" t="n"/>
    </row>
    <row r="119" collapsed="1">
      <c r="A119" s="177" t="n">
        <v>45923</v>
      </c>
      <c r="B119" s="11" t="inlineStr">
        <is>
          <t>普通買進</t>
        </is>
      </c>
      <c r="C119" s="467" t="inlineStr">
        <is>
          <t>QQQ</t>
        </is>
      </c>
      <c r="D119" s="163">
        <f>VLOOKUP(C119,美股行情!A:B,2,FALSE)</f>
        <v/>
      </c>
      <c r="E119" s="11" t="n">
        <v>0.4981</v>
      </c>
      <c r="F119" s="598" t="n">
        <v>602.29</v>
      </c>
      <c r="G119" s="11" t="n">
        <v>300</v>
      </c>
      <c r="H119" s="11" t="n">
        <v>0.6</v>
      </c>
      <c r="I119" s="99" t="n">
        <v>45727</v>
      </c>
      <c r="J119" s="16" t="n">
        <v>594.17</v>
      </c>
      <c r="K119" s="11">
        <f>E119*J119</f>
        <v/>
      </c>
      <c r="L119" s="17" t="n">
        <v>0.73</v>
      </c>
      <c r="M119" s="11" t="n"/>
      <c r="N119" s="11" t="n">
        <v>0</v>
      </c>
      <c r="O119" s="584">
        <f>IF(I119="",E119*Y119,0)</f>
        <v/>
      </c>
      <c r="P119" s="585">
        <f>IF(I119="",R119-H119,(K119-H119-SUM(L119:N119)+R119-S119-T119)-G119)+(ROUND(R119*V119,0)-ROUND(R119*(1+V119),0)*W119)</f>
        <v/>
      </c>
      <c r="Q119" s="585">
        <f>IF(I119="",(O119-G119-(O119*0.1425%*0.65)-(O119*0.3%)-S119-T119),0)</f>
        <v/>
      </c>
      <c r="R119" s="599" t="n"/>
      <c r="S119" s="585" t="n">
        <v>0</v>
      </c>
      <c r="T119" s="585">
        <f>IF(ROUND(R119*(1+V119),0)&gt;20000,ROUND(ROUND(R119*(1+V119),0)*2%,0),0)</f>
        <v/>
      </c>
      <c r="U119" s="65">
        <f>(V119*50%)/(1+50%*V119)</f>
        <v/>
      </c>
      <c r="V119" s="65" t="n"/>
      <c r="W119" s="66" t="n">
        <v>0.11</v>
      </c>
      <c r="X119" s="586">
        <f>(P119+Q119)/G119</f>
        <v/>
      </c>
      <c r="Y119" s="16">
        <f>VLOOKUP(C119,美股行情!A:C,3,FALSE)</f>
        <v/>
      </c>
      <c r="Z119" s="587">
        <f>VLOOKUP(C119,美股行情!A:G,7,FALSE)</f>
        <v/>
      </c>
      <c r="AA119" s="98" t="n"/>
      <c r="AB119" s="9" t="n"/>
      <c r="AC119" s="9" t="n"/>
    </row>
    <row r="120" hidden="1" outlineLevel="1">
      <c r="A120" s="177" t="n">
        <v>45923</v>
      </c>
      <c r="B120" s="11" t="inlineStr">
        <is>
          <t>普通買進</t>
        </is>
      </c>
      <c r="C120" s="467" t="inlineStr">
        <is>
          <t>TSLA</t>
        </is>
      </c>
      <c r="D120" s="163">
        <f>VLOOKUP(C120,美股行情!A:B,2,FALSE)</f>
        <v/>
      </c>
      <c r="E120" s="11" t="n">
        <v>0.68204</v>
      </c>
      <c r="F120" s="598" t="n">
        <v>439.86</v>
      </c>
      <c r="G120" s="11" t="n">
        <v>300</v>
      </c>
      <c r="H120" s="11" t="n">
        <v>0.6</v>
      </c>
      <c r="I120" s="99" t="n">
        <v>46002</v>
      </c>
      <c r="J120" s="16" t="n">
        <v>448.8</v>
      </c>
      <c r="K120" s="11">
        <f>E120*J120</f>
        <v/>
      </c>
      <c r="L120" s="17" t="n">
        <v>0.8</v>
      </c>
      <c r="M120" s="11" t="n"/>
      <c r="N120" s="11" t="n">
        <v>0</v>
      </c>
      <c r="O120" s="584">
        <f>IF(I120="",E120*Y120,0)</f>
        <v/>
      </c>
      <c r="P120" s="585">
        <f>IF(I120="",R120-H120,(K120-H120-SUM(L120:N120)+R120-S120-T120)-G120)+(ROUND(R120*V120,0)-ROUND(R120*(1+V120),0)*W120)</f>
        <v/>
      </c>
      <c r="Q120" s="585">
        <f>IF(I120="",(O120-G120-(O120*0.1425%*0.65)-(O120*0.3%)-S120-T120),0)</f>
        <v/>
      </c>
      <c r="R120" s="599" t="n"/>
      <c r="S120" s="585" t="n">
        <v>0</v>
      </c>
      <c r="T120" s="585">
        <f>IF(ROUND(R120*(1+V120),0)&gt;20000,ROUND(ROUND(R120*(1+V120),0)*2%,0),0)</f>
        <v/>
      </c>
      <c r="U120" s="65">
        <f>(V120*50%)/(1+50%*V120)</f>
        <v/>
      </c>
      <c r="V120" s="65" t="n"/>
      <c r="W120" s="66" t="n">
        <v>0.11</v>
      </c>
      <c r="X120" s="586">
        <f>(P120+Q120)/G120</f>
        <v/>
      </c>
      <c r="Y120" s="16">
        <f>VLOOKUP(C120,美股行情!A:C,3,FALSE)</f>
        <v/>
      </c>
      <c r="Z120" s="587">
        <f>VLOOKUP(C120,美股行情!A:G,7,FALSE)</f>
        <v/>
      </c>
      <c r="AA120" s="98" t="n"/>
      <c r="AB120" s="9" t="n"/>
      <c r="AC120" s="9" t="n"/>
    </row>
    <row r="121" hidden="1" outlineLevel="1">
      <c r="A121" s="177" t="n">
        <v>45953</v>
      </c>
      <c r="B121" s="11" t="inlineStr">
        <is>
          <t>普通買進</t>
        </is>
      </c>
      <c r="C121" s="467" t="inlineStr">
        <is>
          <t>QQQ</t>
        </is>
      </c>
      <c r="D121" s="163">
        <f>VLOOKUP(C121,美股行情!A:B,2,FALSE)</f>
        <v/>
      </c>
      <c r="E121" s="11" t="n">
        <v>0.4959</v>
      </c>
      <c r="F121" s="598" t="n">
        <v>604.97</v>
      </c>
      <c r="G121" s="11" t="n">
        <v>300</v>
      </c>
      <c r="H121" s="11" t="n">
        <v>0.6</v>
      </c>
      <c r="I121" s="99" t="n">
        <v>45727</v>
      </c>
      <c r="J121" s="16" t="n">
        <v>594.17</v>
      </c>
      <c r="K121" s="11">
        <f>E121*J121</f>
        <v/>
      </c>
      <c r="L121" s="17" t="n">
        <v>0.73</v>
      </c>
      <c r="M121" s="11" t="n"/>
      <c r="N121" s="11" t="n">
        <v>0</v>
      </c>
      <c r="O121" s="584">
        <f>IF(I121="",E121*Y121,0)</f>
        <v/>
      </c>
      <c r="P121" s="585">
        <f>IF(I121="",R121-H121,(K121-H121-SUM(L121:N121)+R121-S121-T121)-G121)+(ROUND(R121*V121,0)-ROUND(R121*(1+V121),0)*W121)</f>
        <v/>
      </c>
      <c r="Q121" s="585">
        <f>IF(I121="",(O121-G121-(O121*0.1425%*0.65)-(O121*0.3%)-S121-T121),0)</f>
        <v/>
      </c>
      <c r="R121" s="599" t="n"/>
      <c r="S121" s="585" t="n">
        <v>0</v>
      </c>
      <c r="T121" s="585">
        <f>IF(ROUND(R121*(1+V121),0)&gt;20000,ROUND(ROUND(R121*(1+V121),0)*2%,0),0)</f>
        <v/>
      </c>
      <c r="U121" s="65">
        <f>(V121*50%)/(1+50%*V121)</f>
        <v/>
      </c>
      <c r="V121" s="65" t="n"/>
      <c r="W121" s="66" t="n">
        <v>0.11</v>
      </c>
      <c r="X121" s="586">
        <f>(P121+Q121)/G121</f>
        <v/>
      </c>
      <c r="Y121" s="16">
        <f>VLOOKUP(C121,美股行情!A:C,3,FALSE)</f>
        <v/>
      </c>
      <c r="Z121" s="587">
        <f>VLOOKUP(C121,美股行情!A:G,7,FALSE)</f>
        <v/>
      </c>
      <c r="AA121" s="98" t="n"/>
      <c r="AB121" s="9" t="n"/>
      <c r="AC121" s="9" t="n"/>
    </row>
    <row r="122" hidden="1" outlineLevel="1">
      <c r="A122" s="177" t="n">
        <v>45953</v>
      </c>
      <c r="B122" s="11" t="inlineStr">
        <is>
          <t>普通買進</t>
        </is>
      </c>
      <c r="C122" s="467" t="inlineStr">
        <is>
          <t>TSLA</t>
        </is>
      </c>
      <c r="D122" s="163">
        <f>VLOOKUP(C122,美股行情!A:B,2,FALSE)</f>
        <v/>
      </c>
      <c r="E122" s="11" t="n">
        <v>0.7142500000000001</v>
      </c>
      <c r="F122" s="598" t="n">
        <v>419.116477</v>
      </c>
      <c r="G122" s="11" t="n">
        <v>299.36</v>
      </c>
      <c r="H122" s="11" t="n">
        <v>0.6</v>
      </c>
      <c r="I122" s="99" t="n">
        <v>46002</v>
      </c>
      <c r="J122" s="16" t="n">
        <v>448.8</v>
      </c>
      <c r="K122" s="11">
        <f>E122*J122</f>
        <v/>
      </c>
      <c r="L122" s="17" t="n">
        <v>0.8</v>
      </c>
      <c r="M122" s="11" t="n"/>
      <c r="N122" s="11" t="n">
        <v>0</v>
      </c>
      <c r="O122" s="584">
        <f>IF(I122="",E122*Y122,0)</f>
        <v/>
      </c>
      <c r="P122" s="585">
        <f>IF(I122="",R122-H122,(K122-H122-SUM(L122:N122)+R122-S122-T122)-G122)+(ROUND(R122*V122,0)-ROUND(R122*(1+V122),0)*W122)</f>
        <v/>
      </c>
      <c r="Q122" s="585">
        <f>IF(I122="",(O122-G122-(O122*0.1425%*0.65)-(O122*0.3%)-S122-T122),0)</f>
        <v/>
      </c>
      <c r="R122" s="599" t="n"/>
      <c r="S122" s="585" t="n">
        <v>0</v>
      </c>
      <c r="T122" s="585">
        <f>IF(ROUND(R122*(1+V122),0)&gt;20000,ROUND(ROUND(R122*(1+V122),0)*2%,0),0)</f>
        <v/>
      </c>
      <c r="U122" s="65">
        <f>(V122*50%)/(1+50%*V122)</f>
        <v/>
      </c>
      <c r="V122" s="65" t="n"/>
      <c r="W122" s="66" t="n">
        <v>0.11</v>
      </c>
      <c r="X122" s="586">
        <f>(P122+Q122)/G122</f>
        <v/>
      </c>
      <c r="Y122" s="16">
        <f>VLOOKUP(C122,美股行情!A:C,3,FALSE)</f>
        <v/>
      </c>
      <c r="Z122" s="587">
        <f>VLOOKUP(C122,美股行情!A:G,7,FALSE)</f>
        <v/>
      </c>
      <c r="AA122" s="98" t="n"/>
      <c r="AB122" s="9" t="n"/>
      <c r="AC122" s="9" t="n"/>
    </row>
    <row r="123" hidden="1" outlineLevel="1">
      <c r="A123" s="177" t="n">
        <v>45985</v>
      </c>
      <c r="B123" s="11" t="inlineStr">
        <is>
          <t>普通買進</t>
        </is>
      </c>
      <c r="C123" s="467" t="inlineStr">
        <is>
          <t>QQQ</t>
        </is>
      </c>
      <c r="D123" s="163">
        <f>VLOOKUP(C123,美股行情!A:B,2,FALSE)</f>
        <v/>
      </c>
      <c r="E123" s="11" t="n">
        <v>0.50354</v>
      </c>
      <c r="F123" s="598" t="n">
        <v>595.78979</v>
      </c>
      <c r="G123" s="11" t="n">
        <v>300</v>
      </c>
      <c r="H123" s="11" t="n">
        <v>0.3</v>
      </c>
      <c r="I123" s="99" t="n">
        <v>45727</v>
      </c>
      <c r="J123" s="16" t="n">
        <v>594.17</v>
      </c>
      <c r="K123" s="11">
        <f>E123*J123</f>
        <v/>
      </c>
      <c r="L123" s="17" t="n">
        <v>0.73</v>
      </c>
      <c r="M123" s="11" t="n"/>
      <c r="N123" s="11" t="n">
        <v>0</v>
      </c>
      <c r="O123" s="584">
        <f>IF(I123="",E123*Y123,0)</f>
        <v/>
      </c>
      <c r="P123" s="585">
        <f>IF(I123="",R123-H123,(K123-H123-SUM(L123:N123)+R123-S123-T123)-G123)+(ROUND(R123*V123,0)-ROUND(R123*(1+V123),0)*W123)</f>
        <v/>
      </c>
      <c r="Q123" s="585">
        <f>IF(I123="",(O123-G123-(O123*0.1425%*0.65)-(O123*0.3%)-S123-T123),0)</f>
        <v/>
      </c>
      <c r="R123" s="599" t="n"/>
      <c r="S123" s="585" t="n">
        <v>0</v>
      </c>
      <c r="T123" s="585">
        <f>IF(ROUND(R123*(1+V123),0)&gt;20000,ROUND(ROUND(R123*(1+V123),0)*2%,0),0)</f>
        <v/>
      </c>
      <c r="U123" s="65">
        <f>(V123*50%)/(1+50%*V123)</f>
        <v/>
      </c>
      <c r="V123" s="65" t="n"/>
      <c r="W123" s="66" t="n">
        <v>0.11</v>
      </c>
      <c r="X123" s="586">
        <f>(P123+Q123)/G123</f>
        <v/>
      </c>
      <c r="Y123" s="16">
        <f>VLOOKUP(C123,美股行情!A:C,3,FALSE)</f>
        <v/>
      </c>
      <c r="Z123" s="587">
        <f>VLOOKUP(C123,美股行情!A:G,7,FALSE)</f>
        <v/>
      </c>
      <c r="AA123" s="98" t="n"/>
      <c r="AB123" s="9" t="n"/>
      <c r="AC123" s="9" t="n"/>
    </row>
    <row r="124" hidden="1" outlineLevel="1">
      <c r="A124" s="177" t="n">
        <v>45985</v>
      </c>
      <c r="B124" s="11" t="inlineStr">
        <is>
          <t>普通買進</t>
        </is>
      </c>
      <c r="C124" s="467" t="inlineStr">
        <is>
          <t>TSLA</t>
        </is>
      </c>
      <c r="D124" s="163">
        <f>VLOOKUP(C124,美股行情!A:B,2,FALSE)</f>
        <v/>
      </c>
      <c r="E124" s="11" t="n">
        <v>0.7448900000000001</v>
      </c>
      <c r="F124" s="598" t="n">
        <v>402.744553</v>
      </c>
      <c r="G124" s="11" t="n">
        <v>300</v>
      </c>
      <c r="H124" s="11" t="n">
        <v>0.3</v>
      </c>
      <c r="I124" s="99" t="n">
        <v>46002</v>
      </c>
      <c r="J124" s="16" t="n">
        <v>448.8</v>
      </c>
      <c r="K124" s="11">
        <f>E124*J124</f>
        <v/>
      </c>
      <c r="L124" s="17" t="n">
        <v>0.8</v>
      </c>
      <c r="M124" s="11" t="n"/>
      <c r="N124" s="11" t="n">
        <v>0</v>
      </c>
      <c r="O124" s="584">
        <f>IF(I124="",E124*Y124,0)</f>
        <v/>
      </c>
      <c r="P124" s="585">
        <f>IF(I124="",R124-H124,(K124-H124-SUM(L124:N124)+R124-S124-T124)-G124)+(ROUND(R124*V124,0)-ROUND(R124*(1+V124),0)*W124)</f>
        <v/>
      </c>
      <c r="Q124" s="585">
        <f>IF(I124="",(O124-G124-(O124*0.1425%*0.65)-(O124*0.3%)-S124-T124),0)</f>
        <v/>
      </c>
      <c r="R124" s="599" t="n"/>
      <c r="S124" s="585" t="n">
        <v>0</v>
      </c>
      <c r="T124" s="585">
        <f>IF(ROUND(R124*(1+V124),0)&gt;20000,ROUND(ROUND(R124*(1+V124),0)*2%,0),0)</f>
        <v/>
      </c>
      <c r="U124" s="65">
        <f>(V124*50%)/(1+50%*V124)</f>
        <v/>
      </c>
      <c r="V124" s="65" t="n"/>
      <c r="W124" s="66" t="n">
        <v>0.11</v>
      </c>
      <c r="X124" s="586">
        <f>(P124+Q124)/G124</f>
        <v/>
      </c>
      <c r="Y124" s="16">
        <f>VLOOKUP(C124,美股行情!A:C,3,FALSE)</f>
        <v/>
      </c>
      <c r="Z124" s="587">
        <f>VLOOKUP(C124,美股行情!A:G,7,FALSE)</f>
        <v/>
      </c>
      <c r="AA124" s="98" t="n"/>
      <c r="AB124" s="9" t="n"/>
      <c r="AC124" s="9" t="n"/>
    </row>
    <row r="125" hidden="1" outlineLevel="1">
      <c r="A125" s="177" t="n">
        <v>46015</v>
      </c>
      <c r="B125" s="11" t="inlineStr">
        <is>
          <t>普通買進</t>
        </is>
      </c>
      <c r="C125" s="467" t="inlineStr">
        <is>
          <t>QQQ</t>
        </is>
      </c>
      <c r="D125" s="163">
        <f>VLOOKUP(C125,美股行情!A:B,2,FALSE)</f>
        <v/>
      </c>
      <c r="E125" s="11" t="n">
        <v>0.4853</v>
      </c>
      <c r="F125" s="598" t="n">
        <v>618.1799999999999</v>
      </c>
      <c r="G125" s="11" t="n">
        <v>300</v>
      </c>
      <c r="H125" s="11" t="n">
        <v>0.3</v>
      </c>
      <c r="I125" s="99" t="n">
        <v>45727</v>
      </c>
      <c r="J125" s="16" t="n">
        <v>594.17</v>
      </c>
      <c r="K125" s="11">
        <f>E125*J125</f>
        <v/>
      </c>
      <c r="L125" s="17" t="n">
        <v>0.73</v>
      </c>
      <c r="M125" s="11" t="n"/>
      <c r="N125" s="11" t="n">
        <v>0</v>
      </c>
      <c r="O125" s="584">
        <f>IF(I125="",E125*Y125,0)</f>
        <v/>
      </c>
      <c r="P125" s="585">
        <f>IF(I125="",R125-H125,(K125-H125-SUM(L125:N125)+R125-S125-T125)-G125)+(ROUND(R125*V125,0)-ROUND(R125*(1+V125),0)*W125)</f>
        <v/>
      </c>
      <c r="Q125" s="585">
        <f>IF(I125="",(O125-G125-(O125*0.1425%*0.65)-(O125*0.3%)-S125-T125),0)</f>
        <v/>
      </c>
      <c r="R125" s="599" t="n">
        <v>0.83</v>
      </c>
      <c r="S125" s="585" t="n">
        <v>0</v>
      </c>
      <c r="T125" s="585">
        <f>IF(ROUND(R125*(1+V125),0)&gt;20000,ROUND(ROUND(R125*(1+V125),0)*2%,0),0)</f>
        <v/>
      </c>
      <c r="U125" s="65">
        <f>(V125*50%)/(1+50%*V125)</f>
        <v/>
      </c>
      <c r="V125" s="65" t="n"/>
      <c r="W125" s="66" t="n">
        <v>0.11</v>
      </c>
      <c r="X125" s="586">
        <f>(P125+Q125)/G125</f>
        <v/>
      </c>
      <c r="Y125" s="16">
        <f>VLOOKUP(C125,美股行情!A:C,3,FALSE)</f>
        <v/>
      </c>
      <c r="Z125" s="587">
        <f>VLOOKUP(C125,美股行情!A:G,7,FALSE)</f>
        <v/>
      </c>
      <c r="AA125" s="98" t="n"/>
      <c r="AB125" s="9" t="n"/>
      <c r="AC125" s="9" t="n"/>
    </row>
    <row r="126" hidden="1" outlineLevel="1">
      <c r="A126" s="177" t="n">
        <v>46015</v>
      </c>
      <c r="B126" s="11" t="inlineStr">
        <is>
          <t>普通買進</t>
        </is>
      </c>
      <c r="C126" s="467" t="inlineStr">
        <is>
          <t>TSLA</t>
        </is>
      </c>
      <c r="D126" s="163">
        <f>VLOOKUP(C126,美股行情!A:B,2,FALSE)</f>
        <v/>
      </c>
      <c r="E126" s="11" t="n">
        <v>0.61242</v>
      </c>
      <c r="F126" s="598" t="n">
        <v>489.86</v>
      </c>
      <c r="G126" s="11" t="n">
        <v>300</v>
      </c>
      <c r="H126" s="11" t="n">
        <v>0.3</v>
      </c>
      <c r="I126" s="99" t="n">
        <v>45727</v>
      </c>
      <c r="J126" s="16" t="n">
        <v>390</v>
      </c>
      <c r="K126" s="11">
        <f>E126*J126</f>
        <v/>
      </c>
      <c r="L126" s="17" t="n">
        <v>0.8</v>
      </c>
      <c r="M126" s="11" t="n"/>
      <c r="N126" s="11" t="n">
        <v>0</v>
      </c>
      <c r="O126" s="584">
        <f>IF(I126="",E126*Y126,0)</f>
        <v/>
      </c>
      <c r="P126" s="585">
        <f>IF(I126="",R126-H126,(K126-H126-SUM(L126:N126)+R126-S126-T126)-G126)+(ROUND(R126*V126,0)-ROUND(R126*(1+V126),0)*W126)</f>
        <v/>
      </c>
      <c r="Q126" s="585">
        <f>IF(I126="",(O126-G126-(O126*0.1425%*0.65)-(O126*0.3%)-S126-T126),0)</f>
        <v/>
      </c>
      <c r="R126" s="599" t="n"/>
      <c r="S126" s="585" t="n">
        <v>0</v>
      </c>
      <c r="T126" s="585">
        <f>IF(ROUND(R126*(1+V126),0)&gt;20000,ROUND(ROUND(R126*(1+V126),0)*2%,0),0)</f>
        <v/>
      </c>
      <c r="U126" s="65">
        <f>(V126*50%)/(1+50%*V126)</f>
        <v/>
      </c>
      <c r="V126" s="65" t="n"/>
      <c r="W126" s="66" t="n">
        <v>0.11</v>
      </c>
      <c r="X126" s="586">
        <f>(P126+Q126)/G126</f>
        <v/>
      </c>
      <c r="Y126" s="16">
        <f>VLOOKUP(C126,美股行情!A:C,3,FALSE)</f>
        <v/>
      </c>
      <c r="Z126" s="587">
        <f>VLOOKUP(C126,美股行情!A:G,7,FALSE)</f>
        <v/>
      </c>
      <c r="AA126" s="98" t="n"/>
      <c r="AB126" s="9" t="n"/>
      <c r="AC126" s="9" t="n"/>
    </row>
    <row r="127" hidden="1" outlineLevel="1">
      <c r="A127" s="177" t="n">
        <v>46048</v>
      </c>
      <c r="B127" s="11" t="inlineStr">
        <is>
          <t>普通買進</t>
        </is>
      </c>
      <c r="C127" s="467" t="inlineStr">
        <is>
          <t>QQQ</t>
        </is>
      </c>
      <c r="D127" s="163">
        <f>VLOOKUP(C127,美股行情!A:B,2,FALSE)</f>
        <v/>
      </c>
      <c r="E127" s="11" t="n">
        <v>0.48416</v>
      </c>
      <c r="F127" s="598" t="n">
        <v>619.64</v>
      </c>
      <c r="G127" s="11" t="n">
        <v>300</v>
      </c>
      <c r="H127" s="11" t="n">
        <v>0.3</v>
      </c>
      <c r="I127" s="99" t="n">
        <v>45727</v>
      </c>
      <c r="J127" s="16" t="n">
        <v>594.17</v>
      </c>
      <c r="K127" s="11">
        <f>E127*J127</f>
        <v/>
      </c>
      <c r="L127" s="17" t="n">
        <v>0.73</v>
      </c>
      <c r="M127" s="11" t="n"/>
      <c r="N127" s="11" t="n">
        <v>0</v>
      </c>
      <c r="O127" s="584">
        <f>IF(I127="",E127*Y127,0)</f>
        <v/>
      </c>
      <c r="P127" s="585">
        <f>IF(I127="",R127-H127,(K127-H127-SUM(L127:N127)+R127-S127-T127)-G127)+(ROUND(R127*V127,0)-ROUND(R127*(1+V127),0)*W127)</f>
        <v/>
      </c>
      <c r="Q127" s="585">
        <f>IF(I127="",(O127-G127-(O127*0.1425%*0.65)-(O127*0.3%)-S127-T127),0)</f>
        <v/>
      </c>
      <c r="R127" s="599" t="n"/>
      <c r="S127" s="585" t="n">
        <v>0</v>
      </c>
      <c r="T127" s="585">
        <f>IF(ROUND(R127*(1+V127),0)&gt;20000,ROUND(ROUND(R127*(1+V127),0)*2%,0),0)</f>
        <v/>
      </c>
      <c r="U127" s="65">
        <f>(V127*50%)/(1+50%*V127)</f>
        <v/>
      </c>
      <c r="V127" s="65" t="n"/>
      <c r="W127" s="66" t="n">
        <v>0.11</v>
      </c>
      <c r="X127" s="586">
        <f>(P127+Q127)/G127</f>
        <v/>
      </c>
      <c r="Y127" s="16">
        <f>VLOOKUP(C127,美股行情!A:C,3,FALSE)</f>
        <v/>
      </c>
      <c r="Z127" s="587">
        <f>VLOOKUP(C127,美股行情!A:G,7,FALSE)</f>
        <v/>
      </c>
      <c r="AA127" s="98" t="n"/>
      <c r="AB127" s="9" t="n"/>
      <c r="AC127" s="9" t="n"/>
    </row>
    <row r="128" hidden="1" outlineLevel="1">
      <c r="A128" s="177" t="n">
        <v>46048</v>
      </c>
      <c r="B128" s="11" t="inlineStr">
        <is>
          <t>普通買進</t>
        </is>
      </c>
      <c r="C128" s="467" t="inlineStr">
        <is>
          <t>TSLA</t>
        </is>
      </c>
      <c r="D128" s="163">
        <f>VLOOKUP(C128,美股行情!A:B,2,FALSE)</f>
        <v/>
      </c>
      <c r="E128" s="11" t="n">
        <v>0.67014</v>
      </c>
      <c r="F128" s="598" t="n">
        <v>447.67</v>
      </c>
      <c r="G128" s="11" t="n">
        <v>300</v>
      </c>
      <c r="H128" s="11" t="n">
        <v>0.3</v>
      </c>
      <c r="I128" s="99" t="n">
        <v>45727</v>
      </c>
      <c r="J128" s="16" t="n">
        <v>390</v>
      </c>
      <c r="K128" s="11">
        <f>E128*J128</f>
        <v/>
      </c>
      <c r="L128" s="17" t="n">
        <v>0.8</v>
      </c>
      <c r="M128" s="11" t="n"/>
      <c r="N128" s="11" t="n">
        <v>0</v>
      </c>
      <c r="O128" s="584">
        <f>IF(I128="",E128*Y128,0)</f>
        <v/>
      </c>
      <c r="P128" s="585">
        <f>IF(I128="",R128-H128,(K128-H128-SUM(L128:N128)+R128-S128-T128)-G128)+(ROUND(R128*V128,0)-ROUND(R128*(1+V128),0)*W128)</f>
        <v/>
      </c>
      <c r="Q128" s="585">
        <f>IF(I128="",(O128-G128-(O128*0.1425%*0.65)-(O128*0.3%)-S128-T128),0)</f>
        <v/>
      </c>
      <c r="R128" s="599" t="n"/>
      <c r="S128" s="585" t="n">
        <v>0</v>
      </c>
      <c r="T128" s="585">
        <f>IF(ROUND(R128*(1+V128),0)&gt;20000,ROUND(ROUND(R128*(1+V128),0)*2%,0),0)</f>
        <v/>
      </c>
      <c r="U128" s="65">
        <f>(V128*50%)/(1+50%*V128)</f>
        <v/>
      </c>
      <c r="V128" s="65" t="n"/>
      <c r="W128" s="66" t="n">
        <v>0.11</v>
      </c>
      <c r="X128" s="586">
        <f>(P128+Q128)/G128</f>
        <v/>
      </c>
      <c r="Y128" s="16">
        <f>VLOOKUP(C128,美股行情!A:C,3,FALSE)</f>
        <v/>
      </c>
      <c r="Z128" s="587">
        <f>VLOOKUP(C128,美股行情!A:G,7,FALSE)</f>
        <v/>
      </c>
      <c r="AA128" s="98" t="n"/>
      <c r="AB128" s="9" t="n"/>
      <c r="AC128" s="9" t="n"/>
    </row>
    <row r="129" hidden="1" outlineLevel="1">
      <c r="A129" s="177" t="n">
        <v>46077</v>
      </c>
      <c r="B129" s="11" t="inlineStr">
        <is>
          <t>普通買進</t>
        </is>
      </c>
      <c r="C129" s="467" t="inlineStr">
        <is>
          <t>QQQ</t>
        </is>
      </c>
      <c r="D129" s="163">
        <f>VLOOKUP(C129,美股行情!A:B,2,FALSE)</f>
        <v/>
      </c>
      <c r="E129" s="11" t="n">
        <v>0.49462</v>
      </c>
      <c r="F129" s="598" t="n">
        <v>606.53</v>
      </c>
      <c r="G129" s="11" t="n">
        <v>300</v>
      </c>
      <c r="H129" s="11" t="n">
        <v>0.3</v>
      </c>
      <c r="I129" s="99" t="n">
        <v>45727</v>
      </c>
      <c r="J129" s="16" t="n">
        <v>594.17</v>
      </c>
      <c r="K129" s="11">
        <f>E129*J129</f>
        <v/>
      </c>
      <c r="L129" s="17" t="n">
        <v>0.74</v>
      </c>
      <c r="M129" s="11" t="n"/>
      <c r="N129" s="11" t="n">
        <v>0</v>
      </c>
      <c r="O129" s="584">
        <f>IF(I129="",E129*Y129,0)</f>
        <v/>
      </c>
      <c r="P129" s="585">
        <f>IF(I129="",R129-H129,(K129-H129-SUM(L129:N129)+R129-S129-T129)-G129)+(ROUND(R129*V129,0)-ROUND(R129*(1+V129),0)*W129)</f>
        <v/>
      </c>
      <c r="Q129" s="585">
        <f>IF(I129="",(O129-G129-(O129*0.1425%*0.65)-(O129*0.3%)-S129-T129),0)</f>
        <v/>
      </c>
      <c r="R129" s="599" t="n"/>
      <c r="S129" s="585" t="n">
        <v>0</v>
      </c>
      <c r="T129" s="585">
        <f>IF(ROUND(R129*(1+V129),0)&gt;20000,ROUND(ROUND(R129*(1+V129),0)*2%,0),0)</f>
        <v/>
      </c>
      <c r="U129" s="65">
        <f>(V129*50%)/(1+50%*V129)</f>
        <v/>
      </c>
      <c r="V129" s="65" t="n"/>
      <c r="W129" s="66" t="n">
        <v>0.11</v>
      </c>
      <c r="X129" s="586">
        <f>(P129+Q129)/G129</f>
        <v/>
      </c>
      <c r="Y129" s="16">
        <f>VLOOKUP(C129,美股行情!A:C,3,FALSE)</f>
        <v/>
      </c>
      <c r="Z129" s="587">
        <f>VLOOKUP(C129,美股行情!A:G,7,FALSE)</f>
        <v/>
      </c>
      <c r="AA129" s="98" t="n"/>
      <c r="AB129" s="9" t="n"/>
      <c r="AC129" s="9" t="n"/>
    </row>
    <row r="130" hidden="1" outlineLevel="1">
      <c r="A130" s="177" t="n">
        <v>46077</v>
      </c>
      <c r="B130" s="11" t="inlineStr">
        <is>
          <t>普通買進</t>
        </is>
      </c>
      <c r="C130" s="467" t="inlineStr">
        <is>
          <t>TSLA</t>
        </is>
      </c>
      <c r="D130" s="163">
        <f>VLOOKUP(C130,美股行情!A:B,2,FALSE)</f>
        <v/>
      </c>
      <c r="E130" s="11" t="n">
        <v>0.73664</v>
      </c>
      <c r="F130" s="598" t="n">
        <v>407.259898</v>
      </c>
      <c r="G130" s="11" t="n">
        <v>300</v>
      </c>
      <c r="H130" s="11" t="n">
        <v>0.3</v>
      </c>
      <c r="I130" s="99" t="n">
        <v>45727</v>
      </c>
      <c r="J130" s="16" t="n">
        <v>390</v>
      </c>
      <c r="K130" s="11">
        <f>E130*J130</f>
        <v/>
      </c>
      <c r="L130" s="17" t="n">
        <v>0.8</v>
      </c>
      <c r="M130" s="11" t="n"/>
      <c r="N130" s="11" t="n">
        <v>0</v>
      </c>
      <c r="O130" s="584">
        <f>IF(I130="",E130*Y130,0)</f>
        <v/>
      </c>
      <c r="P130" s="585">
        <f>IF(I130="",R130-H130,(K130-H130-SUM(L130:N130)+R130-S130-T130)-G130)+(ROUND(R130*V130,0)-ROUND(R130*(1+V130),0)*W130)</f>
        <v/>
      </c>
      <c r="Q130" s="585">
        <f>IF(I130="",(O130-G130-(O130*0.1425%*0.65)-(O130*0.3%)-S130-T130),0)</f>
        <v/>
      </c>
      <c r="R130" s="599" t="n"/>
      <c r="S130" s="585" t="n">
        <v>0</v>
      </c>
      <c r="T130" s="585">
        <f>IF(ROUND(R130*(1+V130),0)&gt;20000,ROUND(ROUND(R130*(1+V130),0)*2%,0),0)</f>
        <v/>
      </c>
      <c r="U130" s="65">
        <f>(V130*50%)/(1+50%*V130)</f>
        <v/>
      </c>
      <c r="V130" s="65" t="n"/>
      <c r="W130" s="66" t="n">
        <v>0.11</v>
      </c>
      <c r="X130" s="586">
        <f>(P130+Q130)/G130</f>
        <v/>
      </c>
      <c r="Y130" s="16">
        <f>VLOOKUP(C130,美股行情!A:C,3,FALSE)</f>
        <v/>
      </c>
      <c r="Z130" s="587">
        <f>VLOOKUP(C130,美股行情!A:G,7,FALSE)</f>
        <v/>
      </c>
      <c r="AA130" s="98" t="n"/>
      <c r="AB130" s="9" t="n"/>
      <c r="AC130" s="9" t="n"/>
    </row>
    <row r="131">
      <c r="A131" s="177" t="n">
        <v>46120</v>
      </c>
      <c r="B131" s="11" t="inlineStr">
        <is>
          <t>普通買進</t>
        </is>
      </c>
      <c r="C131" s="467" t="inlineStr">
        <is>
          <t>QQQ</t>
        </is>
      </c>
      <c r="D131" s="163">
        <f>VLOOKUP(C131,美股行情!A:B,2,FALSE)</f>
        <v/>
      </c>
      <c r="E131" s="11" t="n">
        <v>0.49236</v>
      </c>
      <c r="F131" s="598" t="n">
        <v>609.3200000000001</v>
      </c>
      <c r="G131" s="11" t="n">
        <v>300</v>
      </c>
      <c r="H131" s="11" t="n">
        <v>0.3</v>
      </c>
      <c r="I131" s="99" t="n"/>
      <c r="J131" s="16" t="n"/>
      <c r="K131" s="11">
        <f>E131*J131</f>
        <v/>
      </c>
      <c r="L131" s="17" t="n"/>
      <c r="M131" s="11" t="n"/>
      <c r="N131" s="11" t="n">
        <v>0</v>
      </c>
      <c r="O131" s="584">
        <f>IF(I131="",E131*Y131,0)</f>
        <v/>
      </c>
      <c r="P131" s="585">
        <f>IF(I131="",R131-H131,(K131-H131-SUM(L131:N131)+R131-S131-T131)-G131)+(ROUND(R131*V131,0)-ROUND(R131*(1+V131),0)*W131)</f>
        <v/>
      </c>
      <c r="Q131" s="585">
        <f>IF(I131="",(O131-G131-(O131*0.1425%*0.65)-(O131*0.3%)-S131-T131),0)</f>
        <v/>
      </c>
      <c r="R131" s="599" t="n"/>
      <c r="S131" s="585" t="n">
        <v>0</v>
      </c>
      <c r="T131" s="585">
        <f>IF(ROUND(R131*(1+V131),0)&gt;20000,ROUND(ROUND(R131*(1+V131),0)*2%,0),0)</f>
        <v/>
      </c>
      <c r="U131" s="65">
        <f>(V131*50%)/(1+50%*V131)</f>
        <v/>
      </c>
      <c r="V131" s="65" t="n"/>
      <c r="W131" s="66" t="n">
        <v>0.11</v>
      </c>
      <c r="X131" s="586">
        <f>(P131+Q131)/G131</f>
        <v/>
      </c>
      <c r="Y131" s="16">
        <f>VLOOKUP(C131,美股行情!A:C,3,FALSE)</f>
        <v/>
      </c>
      <c r="Z131" s="587">
        <f>VLOOKUP(C131,美股行情!A:G,7,FALSE)</f>
        <v/>
      </c>
      <c r="AA131" s="98" t="n"/>
      <c r="AB131" s="9" t="n"/>
      <c r="AC131" s="9" t="n"/>
    </row>
    <row r="132">
      <c r="A132" s="177" t="n">
        <v>46120</v>
      </c>
      <c r="B132" s="11" t="inlineStr">
        <is>
          <t>普通買進</t>
        </is>
      </c>
      <c r="C132" s="521" t="inlineStr">
        <is>
          <t>VT</t>
        </is>
      </c>
      <c r="D132" s="163">
        <f>VLOOKUP(C132,美股行情!A:B,2,FALSE)</f>
        <v/>
      </c>
      <c r="E132" s="11" t="n">
        <v>2.06868</v>
      </c>
      <c r="F132" s="598" t="n">
        <v>145.020302</v>
      </c>
      <c r="G132" s="11" t="n">
        <v>300</v>
      </c>
      <c r="H132" s="11" t="n">
        <v>0.3</v>
      </c>
      <c r="I132" s="99" t="n"/>
      <c r="J132" s="16" t="n"/>
      <c r="K132" s="11">
        <f>E132*J132</f>
        <v/>
      </c>
      <c r="L132" s="17" t="n"/>
      <c r="M132" s="11" t="n"/>
      <c r="N132" s="11" t="n">
        <v>0</v>
      </c>
      <c r="O132" s="584">
        <f>IF(I132="",E132*Y132,0)</f>
        <v/>
      </c>
      <c r="P132" s="585">
        <f>IF(I132="",R132-H132,(K132-H132-SUM(L132:N132)+R132-S132-T132)-G132)+(ROUND(R132*V132,0)-ROUND(R132*(1+V132),0)*W132)</f>
        <v/>
      </c>
      <c r="Q132" s="585">
        <f>IF(I132="",(O132-G132-(O132*0.1425%*0.65)-(O132*0.3%)-S132-T132),0)</f>
        <v/>
      </c>
      <c r="R132" s="599" t="n"/>
      <c r="S132" s="585" t="n">
        <v>0</v>
      </c>
      <c r="T132" s="585">
        <f>IF(ROUND(R132*(1+V132),0)&gt;20000,ROUND(ROUND(R132*(1+V132),0)*2%,0),0)</f>
        <v/>
      </c>
      <c r="U132" s="65">
        <f>(V132*50%)/(1+50%*V132)</f>
        <v/>
      </c>
      <c r="V132" s="65" t="n"/>
      <c r="W132" s="66" t="n">
        <v>0.11</v>
      </c>
      <c r="X132" s="586">
        <f>(P132+Q132)/G132</f>
        <v/>
      </c>
      <c r="Y132" s="16">
        <f>VLOOKUP(C132,美股行情!A:C,3,FALSE)</f>
        <v/>
      </c>
      <c r="Z132" s="587">
        <f>VLOOKUP(C132,美股行情!A:G,7,FALSE)</f>
        <v/>
      </c>
      <c r="AA132" s="98" t="n"/>
      <c r="AB132" s="9" t="n"/>
      <c r="AC132" s="9" t="n"/>
    </row>
    <row r="133">
      <c r="A133" s="177" t="n">
        <v>46139</v>
      </c>
      <c r="B133" s="11" t="inlineStr">
        <is>
          <t>普通買進</t>
        </is>
      </c>
      <c r="C133" s="467" t="inlineStr">
        <is>
          <t>QQQ</t>
        </is>
      </c>
      <c r="D133" s="163">
        <f>VLOOKUP(C133,美股行情!A:B,2,FALSE)</f>
        <v/>
      </c>
      <c r="E133" s="11" t="n">
        <v>4.52237</v>
      </c>
      <c r="F133" s="598" t="n">
        <v>663.370173</v>
      </c>
      <c r="G133" s="11" t="n">
        <v>3000</v>
      </c>
      <c r="H133" s="11" t="n">
        <v>3</v>
      </c>
      <c r="I133" s="99" t="n"/>
      <c r="J133" s="16" t="n"/>
      <c r="K133" s="11">
        <f>E133*J133</f>
        <v/>
      </c>
      <c r="L133" s="17" t="n"/>
      <c r="M133" s="11" t="n"/>
      <c r="N133" s="11" t="n">
        <v>0</v>
      </c>
      <c r="O133" s="584">
        <f>IF(I133="",E133*Y133,0)</f>
        <v/>
      </c>
      <c r="P133" s="585">
        <f>IF(I133="",R133-H133,(K133-H133-SUM(L133:N133)+R133-S133-T133)-G133)+(ROUND(R133*V133,0)-ROUND(R133*(1+V133),0)*W133)</f>
        <v/>
      </c>
      <c r="Q133" s="585">
        <f>IF(I133="",(O133-G133-(O133*0.1425%*0.65)-(O133*0.3%)-S133-T133),0)</f>
        <v/>
      </c>
      <c r="R133" s="599" t="n"/>
      <c r="S133" s="585" t="n">
        <v>0</v>
      </c>
      <c r="T133" s="585">
        <f>IF(ROUND(R133*(1+V133),0)&gt;20000,ROUND(ROUND(R133*(1+V133),0)*2%,0),0)</f>
        <v/>
      </c>
      <c r="U133" s="65">
        <f>(V133*50%)/(1+50%*V133)</f>
        <v/>
      </c>
      <c r="V133" s="65" t="n"/>
      <c r="W133" s="66" t="n">
        <v>0.11</v>
      </c>
      <c r="X133" s="586">
        <f>(P133+Q133)/G133</f>
        <v/>
      </c>
      <c r="Y133" s="16">
        <f>VLOOKUP(C133,美股行情!A:C,3,FALSE)</f>
        <v/>
      </c>
      <c r="Z133" s="587">
        <f>VLOOKUP(C133,美股行情!A:G,7,FALSE)</f>
        <v/>
      </c>
      <c r="AA133" s="98" t="n"/>
      <c r="AB133" s="9" t="n"/>
      <c r="AC133" s="9" t="n"/>
    </row>
    <row r="134">
      <c r="A134" s="177" t="n">
        <v>46153</v>
      </c>
      <c r="B134" s="11" t="inlineStr">
        <is>
          <t>普通買進</t>
        </is>
      </c>
      <c r="C134" s="521" t="inlineStr">
        <is>
          <t>VT</t>
        </is>
      </c>
      <c r="D134" s="163">
        <f>VLOOKUP(C134,美股行情!A:B,2,FALSE)</f>
        <v/>
      </c>
      <c r="E134" s="11" t="n">
        <v>2.06868</v>
      </c>
      <c r="F134" s="598" t="n">
        <v>145.020302</v>
      </c>
      <c r="G134" s="11" t="n">
        <v>300</v>
      </c>
      <c r="H134" s="11" t="n">
        <v>0.3</v>
      </c>
      <c r="I134" s="99" t="n"/>
      <c r="J134" s="16" t="n"/>
      <c r="K134" s="11">
        <f>E134*J134</f>
        <v/>
      </c>
      <c r="L134" s="17" t="n"/>
      <c r="M134" s="11" t="n"/>
      <c r="N134" s="11" t="n">
        <v>0</v>
      </c>
      <c r="O134" s="584">
        <f>IF(I134="",E134*Y134,0)</f>
        <v/>
      </c>
      <c r="P134" s="585">
        <f>IF(I134="",R134-H134,(K134-H134-SUM(L134:N134)+R134-S134-T134)-G134)+(ROUND(R134*V134,0)-ROUND(R134*(1+V134),0)*W134)</f>
        <v/>
      </c>
      <c r="Q134" s="585">
        <f>IF(I134="",(O134-G134-(O134*0.1425%*0.65)-(O134*0.3%)-S134-T134),0)</f>
        <v/>
      </c>
      <c r="R134" s="599" t="n"/>
      <c r="S134" s="585" t="n">
        <v>0</v>
      </c>
      <c r="T134" s="585">
        <f>IF(ROUND(R134*(1+V134),0)&gt;20000,ROUND(ROUND(R134*(1+V134),0)*2%,0),0)</f>
        <v/>
      </c>
      <c r="U134" s="65">
        <f>(V134*50%)/(1+50%*V134)</f>
        <v/>
      </c>
      <c r="V134" s="65" t="n"/>
      <c r="W134" s="66" t="n">
        <v>0.11</v>
      </c>
      <c r="X134" s="586">
        <f>(P134+Q134)/G134</f>
        <v/>
      </c>
      <c r="Y134" s="16">
        <f>VLOOKUP(C134,美股行情!A:C,3,FALSE)</f>
        <v/>
      </c>
      <c r="Z134" s="587">
        <f>VLOOKUP(C134,美股行情!A:G,7,FALSE)</f>
        <v/>
      </c>
      <c r="AA134" s="98" t="n"/>
      <c r="AB134" s="9" t="n"/>
      <c r="AC134" s="9" t="n"/>
    </row>
    <row r="135" ht="17.25" customHeight="1" thickBot="1">
      <c r="A135" s="48" t="n"/>
      <c r="B135" s="49" t="n"/>
      <c r="C135" s="49" t="n"/>
      <c r="D135" s="49" t="n"/>
      <c r="E135" s="49" t="n"/>
      <c r="F135" s="49" t="n"/>
      <c r="G135" s="49" t="n"/>
      <c r="H135" s="49" t="n"/>
      <c r="I135" s="50" t="n"/>
      <c r="J135" s="51" t="n"/>
      <c r="K135" s="49" t="n"/>
      <c r="L135" s="593" t="n"/>
      <c r="M135" s="49" t="n"/>
      <c r="N135" s="49" t="n"/>
      <c r="O135" s="594" t="n"/>
      <c r="P135" s="595" t="n"/>
      <c r="Q135" s="595" t="n"/>
      <c r="R135" s="595" t="n"/>
      <c r="S135" s="595" t="n"/>
      <c r="T135" s="596" t="n"/>
      <c r="U135" s="595" t="n"/>
      <c r="V135" s="595" t="n"/>
      <c r="W135" s="73" t="n"/>
      <c r="X135" s="597" t="n"/>
      <c r="Y135" s="51" t="n"/>
      <c r="Z135" s="56" t="n"/>
      <c r="AA135" s="28" t="n"/>
      <c r="AB135" s="9" t="n"/>
      <c r="AC135" s="9" t="n"/>
    </row>
    <row r="136" ht="17.25" customFormat="1" customHeight="1" s="36" thickBot="1">
      <c r="A136" s="9" t="n"/>
      <c r="B136" s="9" t="n"/>
      <c r="C136" s="9" t="n"/>
      <c r="D136" s="159" t="inlineStr">
        <is>
          <t>外幣總計</t>
        </is>
      </c>
      <c r="E136" s="684" t="n"/>
      <c r="F136" s="672" t="n"/>
      <c r="G136" s="60">
        <f>SUM(G118:G135)</f>
        <v/>
      </c>
      <c r="H136" s="468">
        <f>SUM(H118:H135)</f>
        <v/>
      </c>
      <c r="I136" s="684" t="n"/>
      <c r="J136" s="672" t="n"/>
      <c r="K136" s="60">
        <f>SUM(K118:K135)</f>
        <v/>
      </c>
      <c r="L136" s="60">
        <f>SUM(L118:L135)</f>
        <v/>
      </c>
      <c r="M136" s="60">
        <f>SUM(M118:M135)</f>
        <v/>
      </c>
      <c r="N136" s="60">
        <f>SUM(N118:N135)</f>
        <v/>
      </c>
      <c r="O136" s="60">
        <f>SUM(O118:O135)</f>
        <v/>
      </c>
      <c r="P136" s="678">
        <f>SUM(P118:P135)</f>
        <v/>
      </c>
      <c r="Q136" s="673">
        <f>SUM(Q118:Q135)</f>
        <v/>
      </c>
      <c r="R136" s="60">
        <f>SUM(R118:R135)</f>
        <v/>
      </c>
      <c r="S136" s="68" t="n"/>
      <c r="T136" s="68" t="n"/>
      <c r="U136" s="68" t="n"/>
      <c r="V136" s="68" t="n"/>
      <c r="W136" s="68" t="n"/>
      <c r="X136" s="685">
        <f>(P136+Q136)/G136</f>
        <v/>
      </c>
      <c r="Y136" s="9" t="n"/>
      <c r="Z136" s="9" t="n"/>
      <c r="AA136" s="79" t="n"/>
    </row>
    <row r="137" ht="17.25" customFormat="1" customHeight="1" s="36" thickBot="1">
      <c r="A137" s="9" t="n"/>
      <c r="B137" s="9" t="n"/>
      <c r="C137" s="9" t="n"/>
      <c r="D137" s="159" t="inlineStr">
        <is>
          <t>換算台幣總計</t>
        </is>
      </c>
      <c r="E137" s="684" t="n"/>
      <c r="F137" s="672" t="n"/>
      <c r="G137" s="60">
        <f>G136*匯率!$B$2</f>
        <v/>
      </c>
      <c r="H137" s="60">
        <f>H136*匯率!$B$2</f>
        <v/>
      </c>
      <c r="I137" s="684" t="n"/>
      <c r="J137" s="672" t="n"/>
      <c r="K137" s="60">
        <f>SUM(K118:K136)</f>
        <v/>
      </c>
      <c r="L137" s="60">
        <f>SUM(L118:L136)</f>
        <v/>
      </c>
      <c r="M137" s="60">
        <f>SUM(M118:M136)</f>
        <v/>
      </c>
      <c r="N137" s="60">
        <f>SUM(N118:N136)</f>
        <v/>
      </c>
      <c r="O137" s="60">
        <f>O136*匯率!$B$2</f>
        <v/>
      </c>
      <c r="P137" s="60">
        <f>P136*匯率!$B$2</f>
        <v/>
      </c>
      <c r="Q137" s="673">
        <f>Q136*匯率!$B$2</f>
        <v/>
      </c>
      <c r="R137" s="60">
        <f>R136*匯率!$B$2</f>
        <v/>
      </c>
      <c r="S137" s="68" t="n"/>
      <c r="T137" s="68" t="n"/>
      <c r="U137" s="68" t="n"/>
      <c r="V137" s="68" t="n"/>
      <c r="W137" s="68" t="n"/>
      <c r="X137" s="685">
        <f>(P137+Q137)/G137</f>
        <v/>
      </c>
      <c r="Y137" s="9" t="n"/>
      <c r="Z137" s="9" t="n"/>
      <c r="AA137" s="79" t="n"/>
    </row>
    <row r="138">
      <c r="A138" s="37" t="n"/>
      <c r="B138" s="37" t="n"/>
      <c r="C138" s="37" t="n"/>
      <c r="D138" s="28" t="n"/>
    </row>
  </sheetData>
  <autoFilter ref="A1:AA140"/>
  <mergeCells count="14">
    <mergeCell ref="J105:J107"/>
    <mergeCell ref="A109:C114"/>
    <mergeCell ref="I105:I107"/>
    <mergeCell ref="E136:F136"/>
    <mergeCell ref="Y105:Y107"/>
    <mergeCell ref="K105:N105"/>
    <mergeCell ref="U109:U114"/>
    <mergeCell ref="E137:F137"/>
    <mergeCell ref="I136:J136"/>
    <mergeCell ref="I137:J137"/>
    <mergeCell ref="I109:I114"/>
    <mergeCell ref="E105:F107"/>
    <mergeCell ref="E109:F114"/>
    <mergeCell ref="A105:C107"/>
  </mergeCells>
  <conditionalFormatting sqref="Z1:AA64 Z67:AA69 Z103:AA108 Z115:AA116 Z138:AA1048576">
    <cfRule type="containsText" priority="1291" operator="containsText" dxfId="1" text="△">
      <formula>NOT(ISERROR(SEARCH("△",Z1)))</formula>
    </cfRule>
    <cfRule type="containsText" priority="1292" operator="containsText" dxfId="0" text="▽">
      <formula>NOT(ISERROR(SEARCH("▽",Z1)))</formula>
    </cfRule>
  </conditionalFormatting>
  <conditionalFormatting sqref="I67:I69 I103:I104">
    <cfRule type="expression" priority="1289" dxfId="7">
      <formula>$I67&gt;(TODAY()-7)</formula>
    </cfRule>
    <cfRule type="expression" priority="1290" dxfId="6">
      <formula>$I67&gt;(TODAY()-30)</formula>
    </cfRule>
  </conditionalFormatting>
  <conditionalFormatting sqref="Z2:Z64 Z67:Z103 Z118:Z135">
    <cfRule type="cellIs" priority="1287" operator="lessThan" dxfId="41">
      <formula>0</formula>
    </cfRule>
    <cfRule type="cellIs" priority="1288" operator="greaterThan" dxfId="40">
      <formula>0</formula>
    </cfRule>
  </conditionalFormatting>
  <conditionalFormatting sqref="Z2:AA64 Z70:AA102 Z119:Z134">
    <cfRule type="containsText" priority="1285" operator="containsText" dxfId="1" text="▲">
      <formula>NOT(ISERROR(SEARCH("▲",Z2)))</formula>
    </cfRule>
    <cfRule type="containsText" priority="1286" operator="containsText" dxfId="0" text="▼">
      <formula>NOT(ISERROR(SEARCH("▼",Z2)))</formula>
    </cfRule>
  </conditionalFormatting>
  <conditionalFormatting sqref="Z65:AA65">
    <cfRule type="containsText" priority="1283" operator="containsText" dxfId="1" text="△">
      <formula>NOT(ISERROR(SEARCH("△",Z65)))</formula>
    </cfRule>
    <cfRule type="containsText" priority="1284" operator="containsText" dxfId="0" text="▽">
      <formula>NOT(ISERROR(SEARCH("▽",Z65)))</formula>
    </cfRule>
    <cfRule type="containsText" priority="1281" operator="containsText" dxfId="1" text="▲">
      <formula>NOT(ISERROR(SEARCH("▲",Z65)))</formula>
    </cfRule>
    <cfRule type="containsText" priority="1282" operator="containsText" dxfId="0" text="▼">
      <formula>NOT(ISERROR(SEARCH("▼",Z65)))</formula>
    </cfRule>
  </conditionalFormatting>
  <conditionalFormatting sqref="Z65">
    <cfRule type="cellIs" priority="1279" operator="lessThan" dxfId="41">
      <formula>0</formula>
    </cfRule>
    <cfRule type="cellIs" priority="1280" operator="greaterThan" dxfId="40">
      <formula>0</formula>
    </cfRule>
  </conditionalFormatting>
  <conditionalFormatting sqref="Z66:AA66">
    <cfRule type="containsText" priority="1277" operator="containsText" dxfId="1" text="▲">
      <formula>NOT(ISERROR(SEARCH("▲",Z66)))</formula>
    </cfRule>
    <cfRule type="containsText" priority="1278" operator="containsText" dxfId="0" text="▼">
      <formula>NOT(ISERROR(SEARCH("▼",Z66)))</formula>
    </cfRule>
  </conditionalFormatting>
  <conditionalFormatting sqref="Z66">
    <cfRule type="cellIs" priority="1275" operator="lessThan" dxfId="41">
      <formula>0</formula>
    </cfRule>
    <cfRule type="cellIs" priority="1276" operator="greaterThan" dxfId="40">
      <formula>0</formula>
    </cfRule>
  </conditionalFormatting>
  <conditionalFormatting sqref="Z2:AA64">
    <cfRule type="containsText" priority="1271" operator="containsText" dxfId="1" text="▲">
      <formula>NOT(ISERROR(SEARCH("▲",Z2)))</formula>
    </cfRule>
    <cfRule type="containsText" priority="1272" operator="containsText" dxfId="0" text="▼">
      <formula>NOT(ISERROR(SEARCH("▼",Z2)))</formula>
    </cfRule>
  </conditionalFormatting>
  <conditionalFormatting sqref="Z117:Z118 Z135:Z136">
    <cfRule type="containsText" priority="1253" operator="containsText" dxfId="1" text="△">
      <formula>NOT(ISERROR(SEARCH("△",Z117)))</formula>
    </cfRule>
    <cfRule type="containsText" priority="1254" operator="containsText" dxfId="0" text="▽">
      <formula>NOT(ISERROR(SEARCH("▽",Z117)))</formula>
    </cfRule>
  </conditionalFormatting>
  <conditionalFormatting sqref="I135">
    <cfRule type="expression" priority="1251" dxfId="7">
      <formula>$I135&gt;(TODAY()-7)</formula>
    </cfRule>
    <cfRule type="expression" priority="1252" dxfId="6">
      <formula>$I135&gt;(TODAY()-30)</formula>
    </cfRule>
  </conditionalFormatting>
  <conditionalFormatting sqref="I118">
    <cfRule type="expression" priority="1249" dxfId="7">
      <formula>$I118&gt;(TODAY()-7)</formula>
    </cfRule>
    <cfRule type="expression" priority="1250" dxfId="6">
      <formula>$I118&gt;(TODAY()-30)</formula>
    </cfRule>
  </conditionalFormatting>
  <conditionalFormatting sqref="Z137">
    <cfRule type="containsText" priority="1247" operator="containsText" dxfId="1" text="△">
      <formula>NOT(ISERROR(SEARCH("△",Z137)))</formula>
    </cfRule>
    <cfRule type="containsText" priority="1248" operator="containsText" dxfId="0" text="▽">
      <formula>NOT(ISERROR(SEARCH("▽",Z137)))</formula>
    </cfRule>
  </conditionalFormatting>
  <conditionalFormatting sqref="AA109">
    <cfRule type="containsText" priority="1201" operator="containsText" dxfId="1" text="△">
      <formula>NOT(ISERROR(SEARCH("△",AA109)))</formula>
    </cfRule>
    <cfRule type="containsText" priority="1202" operator="containsText" dxfId="0" text="▽">
      <formula>NOT(ISERROR(SEARCH("▽",AA109)))</formula>
    </cfRule>
  </conditionalFormatting>
  <conditionalFormatting sqref="AA110:AA114">
    <cfRule type="containsText" priority="1199" operator="containsText" dxfId="1" text="△">
      <formula>NOT(ISERROR(SEARCH("△",AA110)))</formula>
    </cfRule>
    <cfRule type="containsText" priority="1200" operator="containsText" dxfId="0" text="▽">
      <formula>NOT(ISERROR(SEARCH("▽",AA110)))</formula>
    </cfRule>
  </conditionalFormatting>
  <conditionalFormatting sqref="Z15:AA64">
    <cfRule type="containsText" priority="1189" operator="containsText" dxfId="1" text="▲">
      <formula>NOT(ISERROR(SEARCH("▲",Z15)))</formula>
    </cfRule>
    <cfRule type="containsText" priority="1190" operator="containsText" dxfId="0" text="▼">
      <formula>NOT(ISERROR(SEARCH("▼",Z15)))</formula>
    </cfRule>
  </conditionalFormatting>
  <conditionalFormatting sqref="Z5:AA64">
    <cfRule type="containsText" priority="1187" operator="containsText" dxfId="1" text="▲">
      <formula>NOT(ISERROR(SEARCH("▲",Z5)))</formula>
    </cfRule>
    <cfRule type="containsText" priority="1188" operator="containsText" dxfId="0" text="▼">
      <formula>NOT(ISERROR(SEARCH("▼",Z5)))</formula>
    </cfRule>
  </conditionalFormatting>
  <conditionalFormatting sqref="Z4:AA64">
    <cfRule type="containsText" priority="1179" operator="containsText" dxfId="1" text="▲">
      <formula>NOT(ISERROR(SEARCH("▲",Z4)))</formula>
    </cfRule>
    <cfRule type="containsText" priority="1180" operator="containsText" dxfId="0" text="▼">
      <formula>NOT(ISERROR(SEARCH("▼",Z4)))</formula>
    </cfRule>
  </conditionalFormatting>
  <conditionalFormatting sqref="Z3:AA64">
    <cfRule type="containsText" priority="1177" operator="containsText" dxfId="1" text="▲">
      <formula>NOT(ISERROR(SEARCH("▲",Z3)))</formula>
    </cfRule>
    <cfRule type="containsText" priority="1178" operator="containsText" dxfId="0" text="▼">
      <formula>NOT(ISERROR(SEARCH("▼",Z3)))</formula>
    </cfRule>
  </conditionalFormatting>
  <conditionalFormatting sqref="Z7:AA64">
    <cfRule type="containsText" priority="1175" operator="containsText" dxfId="1" text="▲">
      <formula>NOT(ISERROR(SEARCH("▲",Z7)))</formula>
    </cfRule>
    <cfRule type="containsText" priority="1176" operator="containsText" dxfId="0" text="▼">
      <formula>NOT(ISERROR(SEARCH("▼",Z7)))</formula>
    </cfRule>
  </conditionalFormatting>
  <conditionalFormatting sqref="Z11:AA11">
    <cfRule type="containsText" priority="1173" operator="containsText" dxfId="1" text="▲">
      <formula>NOT(ISERROR(SEARCH("▲",Z11)))</formula>
    </cfRule>
    <cfRule type="containsText" priority="1174" operator="containsText" dxfId="0" text="▼">
      <formula>NOT(ISERROR(SEARCH("▼",Z11)))</formula>
    </cfRule>
  </conditionalFormatting>
  <conditionalFormatting sqref="Z6:AA64">
    <cfRule type="containsText" priority="1171" operator="containsText" dxfId="1" text="▲">
      <formula>NOT(ISERROR(SEARCH("▲",Z6)))</formula>
    </cfRule>
    <cfRule type="containsText" priority="1172" operator="containsText" dxfId="0" text="▼">
      <formula>NOT(ISERROR(SEARCH("▼",Z6)))</formula>
    </cfRule>
  </conditionalFormatting>
  <conditionalFormatting sqref="Z13:AA64">
    <cfRule type="containsText" priority="1169" operator="containsText" dxfId="1" text="▲">
      <formula>NOT(ISERROR(SEARCH("▲",Z13)))</formula>
    </cfRule>
    <cfRule type="containsText" priority="1170" operator="containsText" dxfId="0" text="▼">
      <formula>NOT(ISERROR(SEARCH("▼",Z13)))</formula>
    </cfRule>
  </conditionalFormatting>
  <conditionalFormatting sqref="Z33:AA64">
    <cfRule type="containsText" priority="1167" operator="containsText" dxfId="1" text="▲">
      <formula>NOT(ISERROR(SEARCH("▲",Z33)))</formula>
    </cfRule>
    <cfRule type="containsText" priority="1168" operator="containsText" dxfId="0" text="▼">
      <formula>NOT(ISERROR(SEARCH("▼",Z33)))</formula>
    </cfRule>
  </conditionalFormatting>
  <conditionalFormatting sqref="Z12:AA64">
    <cfRule type="containsText" priority="1165" operator="containsText" dxfId="1" text="▲">
      <formula>NOT(ISERROR(SEARCH("▲",Z12)))</formula>
    </cfRule>
    <cfRule type="containsText" priority="1166" operator="containsText" dxfId="0" text="▼">
      <formula>NOT(ISERROR(SEARCH("▼",Z12)))</formula>
    </cfRule>
  </conditionalFormatting>
  <conditionalFormatting sqref="Z16:AA64">
    <cfRule type="containsText" priority="1163" operator="containsText" dxfId="1" text="▲">
      <formula>NOT(ISERROR(SEARCH("▲",Z16)))</formula>
    </cfRule>
    <cfRule type="containsText" priority="1164" operator="containsText" dxfId="0" text="▼">
      <formula>NOT(ISERROR(SEARCH("▼",Z16)))</formula>
    </cfRule>
  </conditionalFormatting>
  <conditionalFormatting sqref="Z17:AA64">
    <cfRule type="containsText" priority="1161" operator="containsText" dxfId="1" text="▲">
      <formula>NOT(ISERROR(SEARCH("▲",Z17)))</formula>
    </cfRule>
    <cfRule type="containsText" priority="1162" operator="containsText" dxfId="0" text="▼">
      <formula>NOT(ISERROR(SEARCH("▼",Z17)))</formula>
    </cfRule>
  </conditionalFormatting>
  <conditionalFormatting sqref="Z20:AA64">
    <cfRule type="containsText" priority="1159" operator="containsText" dxfId="1" text="▲">
      <formula>NOT(ISERROR(SEARCH("▲",Z20)))</formula>
    </cfRule>
    <cfRule type="containsText" priority="1160" operator="containsText" dxfId="0" text="▼">
      <formula>NOT(ISERROR(SEARCH("▼",Z20)))</formula>
    </cfRule>
  </conditionalFormatting>
  <conditionalFormatting sqref="Z14:AA14">
    <cfRule type="containsText" priority="1157" operator="containsText" dxfId="1" text="▲">
      <formula>NOT(ISERROR(SEARCH("▲",Z14)))</formula>
    </cfRule>
    <cfRule type="containsText" priority="1158" operator="containsText" dxfId="0" text="▼">
      <formula>NOT(ISERROR(SEARCH("▼",Z14)))</formula>
    </cfRule>
  </conditionalFormatting>
  <conditionalFormatting sqref="Z19:AA64">
    <cfRule type="containsText" priority="1155" operator="containsText" dxfId="1" text="▲">
      <formula>NOT(ISERROR(SEARCH("▲",Z19)))</formula>
    </cfRule>
    <cfRule type="containsText" priority="1156" operator="containsText" dxfId="0" text="▼">
      <formula>NOT(ISERROR(SEARCH("▼",Z19)))</formula>
    </cfRule>
  </conditionalFormatting>
  <conditionalFormatting sqref="Z18:AA18">
    <cfRule type="containsText" priority="1153" operator="containsText" dxfId="1" text="▲">
      <formula>NOT(ISERROR(SEARCH("▲",Z18)))</formula>
    </cfRule>
    <cfRule type="containsText" priority="1154" operator="containsText" dxfId="0" text="▼">
      <formula>NOT(ISERROR(SEARCH("▼",Z18)))</formula>
    </cfRule>
  </conditionalFormatting>
  <conditionalFormatting sqref="Z40:AA64">
    <cfRule type="containsText" priority="1151" operator="containsText" dxfId="1" text="▲">
      <formula>NOT(ISERROR(SEARCH("▲",Z40)))</formula>
    </cfRule>
    <cfRule type="containsText" priority="1152" operator="containsText" dxfId="0" text="▼">
      <formula>NOT(ISERROR(SEARCH("▼",Z40)))</formula>
    </cfRule>
  </conditionalFormatting>
  <conditionalFormatting sqref="Z26:AA64">
    <cfRule type="containsText" priority="1149" operator="containsText" dxfId="1" text="▲">
      <formula>NOT(ISERROR(SEARCH("▲",Z26)))</formula>
    </cfRule>
    <cfRule type="containsText" priority="1150" operator="containsText" dxfId="0" text="▼">
      <formula>NOT(ISERROR(SEARCH("▼",Z26)))</formula>
    </cfRule>
    <cfRule type="containsText" priority="1147" operator="containsText" dxfId="1" text="▲">
      <formula>NOT(ISERROR(SEARCH("▲",Z26)))</formula>
    </cfRule>
    <cfRule type="containsText" priority="1148" operator="containsText" dxfId="0" text="▼">
      <formula>NOT(ISERROR(SEARCH("▼",Z26)))</formula>
    </cfRule>
  </conditionalFormatting>
  <conditionalFormatting sqref="Z21:AA64">
    <cfRule type="containsText" priority="1145" operator="containsText" dxfId="1" text="▲">
      <formula>NOT(ISERROR(SEARCH("▲",Z21)))</formula>
    </cfRule>
    <cfRule type="containsText" priority="1146" operator="containsText" dxfId="0" text="▼">
      <formula>NOT(ISERROR(SEARCH("▼",Z21)))</formula>
    </cfRule>
  </conditionalFormatting>
  <conditionalFormatting sqref="Z23:AA23">
    <cfRule type="containsText" priority="1143" operator="containsText" dxfId="1" text="▲">
      <formula>NOT(ISERROR(SEARCH("▲",Z23)))</formula>
    </cfRule>
    <cfRule type="containsText" priority="1144" operator="containsText" dxfId="0" text="▼">
      <formula>NOT(ISERROR(SEARCH("▼",Z23)))</formula>
    </cfRule>
    <cfRule type="containsText" priority="1141" operator="containsText" dxfId="1" text="▲">
      <formula>NOT(ISERROR(SEARCH("▲",Z23)))</formula>
    </cfRule>
    <cfRule type="containsText" priority="1142" operator="containsText" dxfId="0" text="▼">
      <formula>NOT(ISERROR(SEARCH("▼",Z23)))</formula>
    </cfRule>
  </conditionalFormatting>
  <conditionalFormatting sqref="Z22:AA64">
    <cfRule type="containsText" priority="1139" operator="containsText" dxfId="1" text="▲">
      <formula>NOT(ISERROR(SEARCH("▲",Z22)))</formula>
    </cfRule>
    <cfRule type="containsText" priority="1140" operator="containsText" dxfId="0" text="▼">
      <formula>NOT(ISERROR(SEARCH("▼",Z22)))</formula>
    </cfRule>
  </conditionalFormatting>
  <conditionalFormatting sqref="Z24:AA24">
    <cfRule type="containsText" priority="1137" operator="containsText" dxfId="1" text="▲">
      <formula>NOT(ISERROR(SEARCH("▲",Z24)))</formula>
    </cfRule>
    <cfRule type="containsText" priority="1138" operator="containsText" dxfId="0" text="▼">
      <formula>NOT(ISERROR(SEARCH("▼",Z24)))</formula>
    </cfRule>
    <cfRule type="containsText" priority="1135" operator="containsText" dxfId="1" text="▲">
      <formula>NOT(ISERROR(SEARCH("▲",Z24)))</formula>
    </cfRule>
    <cfRule type="containsText" priority="1136" operator="containsText" dxfId="0" text="▼">
      <formula>NOT(ISERROR(SEARCH("▼",Z24)))</formula>
    </cfRule>
  </conditionalFormatting>
  <conditionalFormatting sqref="Z74:AA74">
    <cfRule type="containsText" priority="1133" operator="containsText" dxfId="1" text="▲">
      <formula>NOT(ISERROR(SEARCH("▲",Z74)))</formula>
    </cfRule>
    <cfRule type="containsText" priority="1134" operator="containsText" dxfId="0" text="▼">
      <formula>NOT(ISERROR(SEARCH("▼",Z74)))</formula>
    </cfRule>
  </conditionalFormatting>
  <conditionalFormatting sqref="Z73:AA73">
    <cfRule type="containsText" priority="1131" operator="containsText" dxfId="1" text="▲">
      <formula>NOT(ISERROR(SEARCH("▲",Z73)))</formula>
    </cfRule>
    <cfRule type="containsText" priority="1132" operator="containsText" dxfId="0" text="▼">
      <formula>NOT(ISERROR(SEARCH("▼",Z73)))</formula>
    </cfRule>
  </conditionalFormatting>
  <conditionalFormatting sqref="Z45:AA45">
    <cfRule type="containsText" priority="1129" operator="containsText" dxfId="1" text="▲">
      <formula>NOT(ISERROR(SEARCH("▲",Z45)))</formula>
    </cfRule>
    <cfRule type="containsText" priority="1130" operator="containsText" dxfId="0" text="▼">
      <formula>NOT(ISERROR(SEARCH("▼",Z45)))</formula>
    </cfRule>
  </conditionalFormatting>
  <conditionalFormatting sqref="Z35:AA64">
    <cfRule type="containsText" priority="1127" operator="containsText" dxfId="1" text="▲">
      <formula>NOT(ISERROR(SEARCH("▲",Z35)))</formula>
    </cfRule>
    <cfRule type="containsText" priority="1128" operator="containsText" dxfId="0" text="▼">
      <formula>NOT(ISERROR(SEARCH("▼",Z35)))</formula>
    </cfRule>
  </conditionalFormatting>
  <conditionalFormatting sqref="Z77:AA77">
    <cfRule type="containsText" priority="1125" operator="containsText" dxfId="1" text="▲">
      <formula>NOT(ISERROR(SEARCH("▲",Z77)))</formula>
    </cfRule>
    <cfRule type="containsText" priority="1126" operator="containsText" dxfId="0" text="▼">
      <formula>NOT(ISERROR(SEARCH("▼",Z77)))</formula>
    </cfRule>
  </conditionalFormatting>
  <conditionalFormatting sqref="Z79:AA79">
    <cfRule type="containsText" priority="1123" operator="containsText" dxfId="1" text="▲">
      <formula>NOT(ISERROR(SEARCH("▲",Z79)))</formula>
    </cfRule>
    <cfRule type="containsText" priority="1124" operator="containsText" dxfId="0" text="▼">
      <formula>NOT(ISERROR(SEARCH("▼",Z79)))</formula>
    </cfRule>
  </conditionalFormatting>
  <conditionalFormatting sqref="Z78:AA78">
    <cfRule type="containsText" priority="1121" operator="containsText" dxfId="1" text="▲">
      <formula>NOT(ISERROR(SEARCH("▲",Z78)))</formula>
    </cfRule>
    <cfRule type="containsText" priority="1122" operator="containsText" dxfId="0" text="▼">
      <formula>NOT(ISERROR(SEARCH("▼",Z78)))</formula>
    </cfRule>
  </conditionalFormatting>
  <conditionalFormatting sqref="Z33:AA33">
    <cfRule type="containsText" priority="1119" operator="containsText" dxfId="1" text="▲">
      <formula>NOT(ISERROR(SEARCH("▲",Z33)))</formula>
    </cfRule>
    <cfRule type="containsText" priority="1120" operator="containsText" dxfId="0" text="▼">
      <formula>NOT(ISERROR(SEARCH("▼",Z33)))</formula>
    </cfRule>
  </conditionalFormatting>
  <conditionalFormatting sqref="Z27:AA28 Z31:AA64">
    <cfRule type="containsText" priority="1117" operator="containsText" dxfId="1" text="▲">
      <formula>NOT(ISERROR(SEARCH("▲",Z27)))</formula>
    </cfRule>
    <cfRule type="containsText" priority="1118" operator="containsText" dxfId="0" text="▼">
      <formula>NOT(ISERROR(SEARCH("▼",Z27)))</formula>
    </cfRule>
  </conditionalFormatting>
  <conditionalFormatting sqref="Z27:AA27">
    <cfRule type="containsText" priority="1115" operator="containsText" dxfId="1" text="▲">
      <formula>NOT(ISERROR(SEARCH("▲",Z27)))</formula>
    </cfRule>
    <cfRule type="containsText" priority="1116" operator="containsText" dxfId="0" text="▼">
      <formula>NOT(ISERROR(SEARCH("▼",Z27)))</formula>
    </cfRule>
  </conditionalFormatting>
  <conditionalFormatting sqref="Z83:AA83">
    <cfRule type="containsText" priority="1113" operator="containsText" dxfId="1" text="▲">
      <formula>NOT(ISERROR(SEARCH("▲",Z83)))</formula>
    </cfRule>
    <cfRule type="containsText" priority="1114" operator="containsText" dxfId="0" text="▼">
      <formula>NOT(ISERROR(SEARCH("▼",Z83)))</formula>
    </cfRule>
  </conditionalFormatting>
  <conditionalFormatting sqref="Z32:AA64">
    <cfRule type="containsText" priority="1111" operator="containsText" dxfId="1" text="▲">
      <formula>NOT(ISERROR(SEARCH("▲",Z32)))</formula>
    </cfRule>
    <cfRule type="containsText" priority="1112" operator="containsText" dxfId="0" text="▼">
      <formula>NOT(ISERROR(SEARCH("▼",Z32)))</formula>
    </cfRule>
  </conditionalFormatting>
  <conditionalFormatting sqref="Z29:AA64">
    <cfRule type="containsText" priority="1109" operator="containsText" dxfId="1" text="▲">
      <formula>NOT(ISERROR(SEARCH("▲",Z29)))</formula>
    </cfRule>
    <cfRule type="containsText" priority="1110" operator="containsText" dxfId="0" text="▼">
      <formula>NOT(ISERROR(SEARCH("▼",Z29)))</formula>
    </cfRule>
  </conditionalFormatting>
  <conditionalFormatting sqref="Z29:AA29">
    <cfRule type="containsText" priority="1107" operator="containsText" dxfId="1" text="▲">
      <formula>NOT(ISERROR(SEARCH("▲",Z29)))</formula>
    </cfRule>
    <cfRule type="containsText" priority="1108" operator="containsText" dxfId="0" text="▼">
      <formula>NOT(ISERROR(SEARCH("▼",Z29)))</formula>
    </cfRule>
  </conditionalFormatting>
  <conditionalFormatting sqref="Z37:AA64">
    <cfRule type="containsText" priority="1105" operator="containsText" dxfId="1" text="▲">
      <formula>NOT(ISERROR(SEARCH("▲",Z37)))</formula>
    </cfRule>
    <cfRule type="containsText" priority="1106" operator="containsText" dxfId="0" text="▼">
      <formula>NOT(ISERROR(SEARCH("▼",Z37)))</formula>
    </cfRule>
  </conditionalFormatting>
  <conditionalFormatting sqref="Z38:AA64">
    <cfRule type="containsText" priority="1103" operator="containsText" dxfId="1" text="▲">
      <formula>NOT(ISERROR(SEARCH("▲",Z38)))</formula>
    </cfRule>
    <cfRule type="containsText" priority="1104" operator="containsText" dxfId="0" text="▼">
      <formula>NOT(ISERROR(SEARCH("▼",Z38)))</formula>
    </cfRule>
  </conditionalFormatting>
  <conditionalFormatting sqref="Z80:AA80">
    <cfRule type="containsText" priority="1101" operator="containsText" dxfId="1" text="▲">
      <formula>NOT(ISERROR(SEARCH("▲",Z80)))</formula>
    </cfRule>
    <cfRule type="containsText" priority="1102" operator="containsText" dxfId="0" text="▼">
      <formula>NOT(ISERROR(SEARCH("▼",Z80)))</formula>
    </cfRule>
  </conditionalFormatting>
  <conditionalFormatting sqref="Z36:AA36">
    <cfRule type="containsText" priority="1099" operator="containsText" dxfId="1" text="▲">
      <formula>NOT(ISERROR(SEARCH("▲",Z36)))</formula>
    </cfRule>
    <cfRule type="containsText" priority="1100" operator="containsText" dxfId="0" text="▼">
      <formula>NOT(ISERROR(SEARCH("▼",Z36)))</formula>
    </cfRule>
  </conditionalFormatting>
  <conditionalFormatting sqref="Z41:AA64">
    <cfRule type="containsText" priority="1097" operator="containsText" dxfId="1" text="▲">
      <formula>NOT(ISERROR(SEARCH("▲",Z41)))</formula>
    </cfRule>
    <cfRule type="containsText" priority="1098" operator="containsText" dxfId="0" text="▼">
      <formula>NOT(ISERROR(SEARCH("▼",Z41)))</formula>
    </cfRule>
  </conditionalFormatting>
  <conditionalFormatting sqref="Z46:AA46">
    <cfRule type="containsText" priority="1095" operator="containsText" dxfId="1" text="▲">
      <formula>NOT(ISERROR(SEARCH("▲",Z46)))</formula>
    </cfRule>
    <cfRule type="containsText" priority="1096" operator="containsText" dxfId="0" text="▼">
      <formula>NOT(ISERROR(SEARCH("▼",Z46)))</formula>
    </cfRule>
  </conditionalFormatting>
  <conditionalFormatting sqref="Z44:AA64">
    <cfRule type="containsText" priority="1093" operator="containsText" dxfId="1" text="▲">
      <formula>NOT(ISERROR(SEARCH("▲",Z44)))</formula>
    </cfRule>
    <cfRule type="containsText" priority="1094" operator="containsText" dxfId="0" text="▼">
      <formula>NOT(ISERROR(SEARCH("▼",Z44)))</formula>
    </cfRule>
  </conditionalFormatting>
  <conditionalFormatting sqref="Z42:AA64">
    <cfRule type="containsText" priority="1089" operator="containsText" dxfId="1" text="▲">
      <formula>NOT(ISERROR(SEARCH("▲",Z42)))</formula>
    </cfRule>
    <cfRule type="containsText" priority="1090" operator="containsText" dxfId="0" text="▼">
      <formula>NOT(ISERROR(SEARCH("▼",Z42)))</formula>
    </cfRule>
  </conditionalFormatting>
  <conditionalFormatting sqref="Z47:AA47">
    <cfRule type="containsText" priority="1087" operator="containsText" dxfId="1" text="▲">
      <formula>NOT(ISERROR(SEARCH("▲",Z47)))</formula>
    </cfRule>
    <cfRule type="containsText" priority="1088" operator="containsText" dxfId="0" text="▼">
      <formula>NOT(ISERROR(SEARCH("▼",Z47)))</formula>
    </cfRule>
  </conditionalFormatting>
  <conditionalFormatting sqref="Z43:AA64">
    <cfRule type="containsText" priority="1085" operator="containsText" dxfId="1" text="▲">
      <formula>NOT(ISERROR(SEARCH("▲",Z43)))</formula>
    </cfRule>
    <cfRule type="containsText" priority="1086" operator="containsText" dxfId="0" text="▼">
      <formula>NOT(ISERROR(SEARCH("▼",Z43)))</formula>
    </cfRule>
  </conditionalFormatting>
  <conditionalFormatting sqref="Z48:AA48">
    <cfRule type="containsText" priority="1083" operator="containsText" dxfId="1" text="▲">
      <formula>NOT(ISERROR(SEARCH("▲",Z48)))</formula>
    </cfRule>
    <cfRule type="containsText" priority="1084" operator="containsText" dxfId="0" text="▼">
      <formula>NOT(ISERROR(SEARCH("▼",Z48)))</formula>
    </cfRule>
  </conditionalFormatting>
  <conditionalFormatting sqref="Z49:AA64">
    <cfRule type="containsText" priority="1081" operator="containsText" dxfId="1" text="▲">
      <formula>NOT(ISERROR(SEARCH("▲",Z49)))</formula>
    </cfRule>
    <cfRule type="containsText" priority="1082" operator="containsText" dxfId="0" text="▼">
      <formula>NOT(ISERROR(SEARCH("▼",Z49)))</formula>
    </cfRule>
  </conditionalFormatting>
  <conditionalFormatting sqref="Z39:AA64">
    <cfRule type="containsText" priority="1079" operator="containsText" dxfId="1" text="△">
      <formula>NOT(ISERROR(SEARCH("△",Z39)))</formula>
    </cfRule>
    <cfRule type="containsText" priority="1080" operator="containsText" dxfId="0" text="▽">
      <formula>NOT(ISERROR(SEARCH("▽",Z39)))</formula>
    </cfRule>
    <cfRule type="containsText" priority="1077" operator="containsText" dxfId="1" text="▲">
      <formula>NOT(ISERROR(SEARCH("▲",Z39)))</formula>
    </cfRule>
    <cfRule type="containsText" priority="1078" operator="containsText" dxfId="0" text="▼">
      <formula>NOT(ISERROR(SEARCH("▼",Z39)))</formula>
    </cfRule>
    <cfRule type="containsText" priority="1075" operator="containsText" dxfId="1" text="▲">
      <formula>NOT(ISERROR(SEARCH("▲",Z39)))</formula>
    </cfRule>
    <cfRule type="containsText" priority="1076" operator="containsText" dxfId="0" text="▼">
      <formula>NOT(ISERROR(SEARCH("▼",Z39)))</formula>
    </cfRule>
    <cfRule type="containsText" priority="1073" operator="containsText" dxfId="1" text="▲">
      <formula>NOT(ISERROR(SEARCH("▲",Z39)))</formula>
    </cfRule>
    <cfRule type="containsText" priority="1074" operator="containsText" dxfId="0" text="▼">
      <formula>NOT(ISERROR(SEARCH("▼",Z39)))</formula>
    </cfRule>
    <cfRule type="containsText" priority="1071" operator="containsText" dxfId="1" text="▲">
      <formula>NOT(ISERROR(SEARCH("▲",Z39)))</formula>
    </cfRule>
    <cfRule type="containsText" priority="1072" operator="containsText" dxfId="0" text="▼">
      <formula>NOT(ISERROR(SEARCH("▼",Z39)))</formula>
    </cfRule>
    <cfRule type="containsText" priority="1069" operator="containsText" dxfId="1" text="▲">
      <formula>NOT(ISERROR(SEARCH("▲",Z39)))</formula>
    </cfRule>
    <cfRule type="containsText" priority="1070" operator="containsText" dxfId="0" text="▼">
      <formula>NOT(ISERROR(SEARCH("▼",Z39)))</formula>
    </cfRule>
    <cfRule type="containsText" priority="1067" operator="containsText" dxfId="1" text="▲">
      <formula>NOT(ISERROR(SEARCH("▲",Z39)))</formula>
    </cfRule>
    <cfRule type="containsText" priority="1068" operator="containsText" dxfId="0" text="▼">
      <formula>NOT(ISERROR(SEARCH("▼",Z39)))</formula>
    </cfRule>
    <cfRule type="containsText" priority="1065" operator="containsText" dxfId="1" text="▲">
      <formula>NOT(ISERROR(SEARCH("▲",Z39)))</formula>
    </cfRule>
    <cfRule type="containsText" priority="1066" operator="containsText" dxfId="0" text="▼">
      <formula>NOT(ISERROR(SEARCH("▼",Z39)))</formula>
    </cfRule>
    <cfRule type="containsText" priority="1063" operator="containsText" dxfId="1" text="▲">
      <formula>NOT(ISERROR(SEARCH("▲",Z39)))</formula>
    </cfRule>
    <cfRule type="containsText" priority="1064" operator="containsText" dxfId="0" text="▼">
      <formula>NOT(ISERROR(SEARCH("▼",Z39)))</formula>
    </cfRule>
    <cfRule type="containsText" priority="1061" operator="containsText" dxfId="1" text="▲">
      <formula>NOT(ISERROR(SEARCH("▲",Z39)))</formula>
    </cfRule>
    <cfRule type="containsText" priority="1062" operator="containsText" dxfId="0" text="▼">
      <formula>NOT(ISERROR(SEARCH("▼",Z39)))</formula>
    </cfRule>
    <cfRule type="containsText" priority="1059" operator="containsText" dxfId="1" text="▲">
      <formula>NOT(ISERROR(SEARCH("▲",Z39)))</formula>
    </cfRule>
    <cfRule type="containsText" priority="1060" operator="containsText" dxfId="0" text="▼">
      <formula>NOT(ISERROR(SEARCH("▼",Z39)))</formula>
    </cfRule>
    <cfRule type="containsText" priority="1057" operator="containsText" dxfId="1" text="▲">
      <formula>NOT(ISERROR(SEARCH("▲",Z39)))</formula>
    </cfRule>
    <cfRule type="containsText" priority="1058" operator="containsText" dxfId="0" text="▼">
      <formula>NOT(ISERROR(SEARCH("▼",Z39)))</formula>
    </cfRule>
    <cfRule type="containsText" priority="1055" operator="containsText" dxfId="1" text="▲">
      <formula>NOT(ISERROR(SEARCH("▲",Z39)))</formula>
    </cfRule>
    <cfRule type="containsText" priority="1056" operator="containsText" dxfId="0" text="▼">
      <formula>NOT(ISERROR(SEARCH("▼",Z39)))</formula>
    </cfRule>
    <cfRule type="containsText" priority="1053" operator="containsText" dxfId="1" text="▲">
      <formula>NOT(ISERROR(SEARCH("▲",Z39)))</formula>
    </cfRule>
    <cfRule type="containsText" priority="1054" operator="containsText" dxfId="0" text="▼">
      <formula>NOT(ISERROR(SEARCH("▼",Z39)))</formula>
    </cfRule>
    <cfRule type="containsText" priority="1051" operator="containsText" dxfId="1" text="▲">
      <formula>NOT(ISERROR(SEARCH("▲",Z39)))</formula>
    </cfRule>
    <cfRule type="containsText" priority="1052" operator="containsText" dxfId="0" text="▼">
      <formula>NOT(ISERROR(SEARCH("▼",Z39)))</formula>
    </cfRule>
    <cfRule type="containsText" priority="1049" operator="containsText" dxfId="1" text="▲">
      <formula>NOT(ISERROR(SEARCH("▲",Z39)))</formula>
    </cfRule>
    <cfRule type="containsText" priority="1050" operator="containsText" dxfId="0" text="▼">
      <formula>NOT(ISERROR(SEARCH("▼",Z39)))</formula>
    </cfRule>
    <cfRule type="containsText" priority="1047" operator="containsText" dxfId="1" text="▲">
      <formula>NOT(ISERROR(SEARCH("▲",Z39)))</formula>
    </cfRule>
    <cfRule type="containsText" priority="1048" operator="containsText" dxfId="0" text="▼">
      <formula>NOT(ISERROR(SEARCH("▼",Z39)))</formula>
    </cfRule>
    <cfRule type="containsText" priority="1045" operator="containsText" dxfId="1" text="▲">
      <formula>NOT(ISERROR(SEARCH("▲",Z39)))</formula>
    </cfRule>
    <cfRule type="containsText" priority="1046" operator="containsText" dxfId="0" text="▼">
      <formula>NOT(ISERROR(SEARCH("▼",Z39)))</formula>
    </cfRule>
    <cfRule type="containsText" priority="1043" operator="containsText" dxfId="1" text="▲">
      <formula>NOT(ISERROR(SEARCH("▲",Z39)))</formula>
    </cfRule>
    <cfRule type="containsText" priority="1044" operator="containsText" dxfId="0" text="▼">
      <formula>NOT(ISERROR(SEARCH("▼",Z39)))</formula>
    </cfRule>
    <cfRule type="containsText" priority="1041" operator="containsText" dxfId="1" text="▲">
      <formula>NOT(ISERROR(SEARCH("▲",Z39)))</formula>
    </cfRule>
    <cfRule type="containsText" priority="1042" operator="containsText" dxfId="0" text="▼">
      <formula>NOT(ISERROR(SEARCH("▼",Z39)))</formula>
    </cfRule>
    <cfRule type="containsText" priority="1039" operator="containsText" dxfId="1" text="▲">
      <formula>NOT(ISERROR(SEARCH("▲",Z39)))</formula>
    </cfRule>
    <cfRule type="containsText" priority="1040" operator="containsText" dxfId="0" text="▼">
      <formula>NOT(ISERROR(SEARCH("▼",Z39)))</formula>
    </cfRule>
    <cfRule type="containsText" priority="1037" operator="containsText" dxfId="1" text="▲">
      <formula>NOT(ISERROR(SEARCH("▲",Z39)))</formula>
    </cfRule>
    <cfRule type="containsText" priority="1038" operator="containsText" dxfId="0" text="▼">
      <formula>NOT(ISERROR(SEARCH("▼",Z39)))</formula>
    </cfRule>
    <cfRule type="containsText" priority="1035" operator="containsText" dxfId="1" text="▲">
      <formula>NOT(ISERROR(SEARCH("▲",Z39)))</formula>
    </cfRule>
    <cfRule type="containsText" priority="1036" operator="containsText" dxfId="0" text="▼">
      <formula>NOT(ISERROR(SEARCH("▼",Z39)))</formula>
    </cfRule>
    <cfRule type="containsText" priority="1033" operator="containsText" dxfId="1" text="▲">
      <formula>NOT(ISERROR(SEARCH("▲",Z39)))</formula>
    </cfRule>
    <cfRule type="containsText" priority="1034" operator="containsText" dxfId="0" text="▼">
      <formula>NOT(ISERROR(SEARCH("▼",Z39)))</formula>
    </cfRule>
    <cfRule type="containsText" priority="1031" operator="containsText" dxfId="1" text="▲">
      <formula>NOT(ISERROR(SEARCH("▲",Z39)))</formula>
    </cfRule>
    <cfRule type="containsText" priority="1032" operator="containsText" dxfId="0" text="▼">
      <formula>NOT(ISERROR(SEARCH("▼",Z39)))</formula>
    </cfRule>
  </conditionalFormatting>
  <conditionalFormatting sqref="Z52:AA52">
    <cfRule type="containsText" priority="1029" operator="containsText" dxfId="1" text="△">
      <formula>NOT(ISERROR(SEARCH("△",Z52)))</formula>
    </cfRule>
    <cfRule type="containsText" priority="1030" operator="containsText" dxfId="0" text="▽">
      <formula>NOT(ISERROR(SEARCH("▽",Z52)))</formula>
    </cfRule>
    <cfRule type="containsText" priority="1027" operator="containsText" dxfId="1" text="▲">
      <formula>NOT(ISERROR(SEARCH("▲",Z52)))</formula>
    </cfRule>
    <cfRule type="containsText" priority="1028" operator="containsText" dxfId="0" text="▼">
      <formula>NOT(ISERROR(SEARCH("▼",Z52)))</formula>
    </cfRule>
    <cfRule type="containsText" priority="1025" operator="containsText" dxfId="1" text="▲">
      <formula>NOT(ISERROR(SEARCH("▲",Z52)))</formula>
    </cfRule>
    <cfRule type="containsText" priority="1026" operator="containsText" dxfId="0" text="▼">
      <formula>NOT(ISERROR(SEARCH("▼",Z52)))</formula>
    </cfRule>
    <cfRule type="containsText" priority="1023" operator="containsText" dxfId="1" text="▲">
      <formula>NOT(ISERROR(SEARCH("▲",Z52)))</formula>
    </cfRule>
    <cfRule type="containsText" priority="1024" operator="containsText" dxfId="0" text="▼">
      <formula>NOT(ISERROR(SEARCH("▼",Z52)))</formula>
    </cfRule>
    <cfRule type="containsText" priority="1021" operator="containsText" dxfId="1" text="▲">
      <formula>NOT(ISERROR(SEARCH("▲",Z52)))</formula>
    </cfRule>
    <cfRule type="containsText" priority="1022" operator="containsText" dxfId="0" text="▼">
      <formula>NOT(ISERROR(SEARCH("▼",Z52)))</formula>
    </cfRule>
    <cfRule type="containsText" priority="1019" operator="containsText" dxfId="1" text="▲">
      <formula>NOT(ISERROR(SEARCH("▲",Z52)))</formula>
    </cfRule>
    <cfRule type="containsText" priority="1020" operator="containsText" dxfId="0" text="▼">
      <formula>NOT(ISERROR(SEARCH("▼",Z52)))</formula>
    </cfRule>
    <cfRule type="containsText" priority="1017" operator="containsText" dxfId="1" text="▲">
      <formula>NOT(ISERROR(SEARCH("▲",Z52)))</formula>
    </cfRule>
    <cfRule type="containsText" priority="1018" operator="containsText" dxfId="0" text="▼">
      <formula>NOT(ISERROR(SEARCH("▼",Z52)))</formula>
    </cfRule>
    <cfRule type="containsText" priority="1015" operator="containsText" dxfId="1" text="▲">
      <formula>NOT(ISERROR(SEARCH("▲",Z52)))</formula>
    </cfRule>
    <cfRule type="containsText" priority="1016" operator="containsText" dxfId="0" text="▼">
      <formula>NOT(ISERROR(SEARCH("▼",Z52)))</formula>
    </cfRule>
    <cfRule type="containsText" priority="1013" operator="containsText" dxfId="1" text="▲">
      <formula>NOT(ISERROR(SEARCH("▲",Z52)))</formula>
    </cfRule>
    <cfRule type="containsText" priority="1014" operator="containsText" dxfId="0" text="▼">
      <formula>NOT(ISERROR(SEARCH("▼",Z52)))</formula>
    </cfRule>
    <cfRule type="containsText" priority="1011" operator="containsText" dxfId="1" text="▲">
      <formula>NOT(ISERROR(SEARCH("▲",Z52)))</formula>
    </cfRule>
    <cfRule type="containsText" priority="1012" operator="containsText" dxfId="0" text="▼">
      <formula>NOT(ISERROR(SEARCH("▼",Z52)))</formula>
    </cfRule>
    <cfRule type="containsText" priority="1009" operator="containsText" dxfId="1" text="▲">
      <formula>NOT(ISERROR(SEARCH("▲",Z52)))</formula>
    </cfRule>
    <cfRule type="containsText" priority="1010" operator="containsText" dxfId="0" text="▼">
      <formula>NOT(ISERROR(SEARCH("▼",Z52)))</formula>
    </cfRule>
    <cfRule type="containsText" priority="1007" operator="containsText" dxfId="1" text="▲">
      <formula>NOT(ISERROR(SEARCH("▲",Z52)))</formula>
    </cfRule>
    <cfRule type="containsText" priority="1008" operator="containsText" dxfId="0" text="▼">
      <formula>NOT(ISERROR(SEARCH("▼",Z52)))</formula>
    </cfRule>
    <cfRule type="containsText" priority="1005" operator="containsText" dxfId="1" text="▲">
      <formula>NOT(ISERROR(SEARCH("▲",Z52)))</formula>
    </cfRule>
    <cfRule type="containsText" priority="1006" operator="containsText" dxfId="0" text="▼">
      <formula>NOT(ISERROR(SEARCH("▼",Z52)))</formula>
    </cfRule>
    <cfRule type="containsText" priority="1003" operator="containsText" dxfId="1" text="▲">
      <formula>NOT(ISERROR(SEARCH("▲",Z52)))</formula>
    </cfRule>
    <cfRule type="containsText" priority="1004" operator="containsText" dxfId="0" text="▼">
      <formula>NOT(ISERROR(SEARCH("▼",Z52)))</formula>
    </cfRule>
    <cfRule type="containsText" priority="1001" operator="containsText" dxfId="1" text="▲">
      <formula>NOT(ISERROR(SEARCH("▲",Z52)))</formula>
    </cfRule>
    <cfRule type="containsText" priority="1002" operator="containsText" dxfId="0" text="▼">
      <formula>NOT(ISERROR(SEARCH("▼",Z52)))</formula>
    </cfRule>
    <cfRule type="containsText" priority="999" operator="containsText" dxfId="1" text="▲">
      <formula>NOT(ISERROR(SEARCH("▲",Z52)))</formula>
    </cfRule>
    <cfRule type="containsText" priority="1000" operator="containsText" dxfId="0" text="▼">
      <formula>NOT(ISERROR(SEARCH("▼",Z52)))</formula>
    </cfRule>
    <cfRule type="containsText" priority="997" operator="containsText" dxfId="1" text="▲">
      <formula>NOT(ISERROR(SEARCH("▲",Z52)))</formula>
    </cfRule>
    <cfRule type="containsText" priority="998" operator="containsText" dxfId="0" text="▼">
      <formula>NOT(ISERROR(SEARCH("▼",Z52)))</formula>
    </cfRule>
    <cfRule type="containsText" priority="995" operator="containsText" dxfId="1" text="▲">
      <formula>NOT(ISERROR(SEARCH("▲",Z52)))</formula>
    </cfRule>
    <cfRule type="containsText" priority="996" operator="containsText" dxfId="0" text="▼">
      <formula>NOT(ISERROR(SEARCH("▼",Z52)))</formula>
    </cfRule>
    <cfRule type="containsText" priority="993" operator="containsText" dxfId="1" text="▲">
      <formula>NOT(ISERROR(SEARCH("▲",Z52)))</formula>
    </cfRule>
    <cfRule type="containsText" priority="994" operator="containsText" dxfId="0" text="▼">
      <formula>NOT(ISERROR(SEARCH("▼",Z52)))</formula>
    </cfRule>
    <cfRule type="containsText" priority="991" operator="containsText" dxfId="1" text="▲">
      <formula>NOT(ISERROR(SEARCH("▲",Z52)))</formula>
    </cfRule>
    <cfRule type="containsText" priority="992" operator="containsText" dxfId="0" text="▼">
      <formula>NOT(ISERROR(SEARCH("▼",Z52)))</formula>
    </cfRule>
    <cfRule type="containsText" priority="989" operator="containsText" dxfId="1" text="▲">
      <formula>NOT(ISERROR(SEARCH("▲",Z52)))</formula>
    </cfRule>
    <cfRule type="containsText" priority="990" operator="containsText" dxfId="0" text="▼">
      <formula>NOT(ISERROR(SEARCH("▼",Z52)))</formula>
    </cfRule>
    <cfRule type="containsText" priority="987" operator="containsText" dxfId="1" text="▲">
      <formula>NOT(ISERROR(SEARCH("▲",Z52)))</formula>
    </cfRule>
    <cfRule type="containsText" priority="988" operator="containsText" dxfId="0" text="▼">
      <formula>NOT(ISERROR(SEARCH("▼",Z52)))</formula>
    </cfRule>
    <cfRule type="containsText" priority="985" operator="containsText" dxfId="1" text="▲">
      <formula>NOT(ISERROR(SEARCH("▲",Z52)))</formula>
    </cfRule>
    <cfRule type="containsText" priority="986" operator="containsText" dxfId="0" text="▼">
      <formula>NOT(ISERROR(SEARCH("▼",Z52)))</formula>
    </cfRule>
    <cfRule type="containsText" priority="983" operator="containsText" dxfId="1" text="▲">
      <formula>NOT(ISERROR(SEARCH("▲",Z52)))</formula>
    </cfRule>
    <cfRule type="containsText" priority="984" operator="containsText" dxfId="0" text="▼">
      <formula>NOT(ISERROR(SEARCH("▼",Z52)))</formula>
    </cfRule>
    <cfRule type="containsText" priority="981" operator="containsText" dxfId="1" text="▲">
      <formula>NOT(ISERROR(SEARCH("▲",Z52)))</formula>
    </cfRule>
    <cfRule type="containsText" priority="982" operator="containsText" dxfId="0" text="▼">
      <formula>NOT(ISERROR(SEARCH("▼",Z52)))</formula>
    </cfRule>
  </conditionalFormatting>
  <conditionalFormatting sqref="Z51:AA51">
    <cfRule type="containsText" priority="979" operator="containsText" dxfId="1" text="△">
      <formula>NOT(ISERROR(SEARCH("△",Z51)))</formula>
    </cfRule>
    <cfRule type="containsText" priority="980" operator="containsText" dxfId="0" text="▽">
      <formula>NOT(ISERROR(SEARCH("▽",Z51)))</formula>
    </cfRule>
    <cfRule type="containsText" priority="977" operator="containsText" dxfId="1" text="▲">
      <formula>NOT(ISERROR(SEARCH("▲",Z51)))</formula>
    </cfRule>
    <cfRule type="containsText" priority="978" operator="containsText" dxfId="0" text="▼">
      <formula>NOT(ISERROR(SEARCH("▼",Z51)))</formula>
    </cfRule>
    <cfRule type="containsText" priority="975" operator="containsText" dxfId="1" text="▲">
      <formula>NOT(ISERROR(SEARCH("▲",Z51)))</formula>
    </cfRule>
    <cfRule type="containsText" priority="976" operator="containsText" dxfId="0" text="▼">
      <formula>NOT(ISERROR(SEARCH("▼",Z51)))</formula>
    </cfRule>
    <cfRule type="containsText" priority="973" operator="containsText" dxfId="1" text="▲">
      <formula>NOT(ISERROR(SEARCH("▲",Z51)))</formula>
    </cfRule>
    <cfRule type="containsText" priority="974" operator="containsText" dxfId="0" text="▼">
      <formula>NOT(ISERROR(SEARCH("▼",Z51)))</formula>
    </cfRule>
    <cfRule type="containsText" priority="971" operator="containsText" dxfId="1" text="▲">
      <formula>NOT(ISERROR(SEARCH("▲",Z51)))</formula>
    </cfRule>
    <cfRule type="containsText" priority="972" operator="containsText" dxfId="0" text="▼">
      <formula>NOT(ISERROR(SEARCH("▼",Z51)))</formula>
    </cfRule>
    <cfRule type="containsText" priority="969" operator="containsText" dxfId="1" text="▲">
      <formula>NOT(ISERROR(SEARCH("▲",Z51)))</formula>
    </cfRule>
    <cfRule type="containsText" priority="970" operator="containsText" dxfId="0" text="▼">
      <formula>NOT(ISERROR(SEARCH("▼",Z51)))</formula>
    </cfRule>
    <cfRule type="containsText" priority="967" operator="containsText" dxfId="1" text="▲">
      <formula>NOT(ISERROR(SEARCH("▲",Z51)))</formula>
    </cfRule>
    <cfRule type="containsText" priority="968" operator="containsText" dxfId="0" text="▼">
      <formula>NOT(ISERROR(SEARCH("▼",Z51)))</formula>
    </cfRule>
    <cfRule type="containsText" priority="965" operator="containsText" dxfId="1" text="▲">
      <formula>NOT(ISERROR(SEARCH("▲",Z51)))</formula>
    </cfRule>
    <cfRule type="containsText" priority="966" operator="containsText" dxfId="0" text="▼">
      <formula>NOT(ISERROR(SEARCH("▼",Z51)))</formula>
    </cfRule>
    <cfRule type="containsText" priority="963" operator="containsText" dxfId="1" text="▲">
      <formula>NOT(ISERROR(SEARCH("▲",Z51)))</formula>
    </cfRule>
    <cfRule type="containsText" priority="964" operator="containsText" dxfId="0" text="▼">
      <formula>NOT(ISERROR(SEARCH("▼",Z51)))</formula>
    </cfRule>
    <cfRule type="containsText" priority="961" operator="containsText" dxfId="1" text="▲">
      <formula>NOT(ISERROR(SEARCH("▲",Z51)))</formula>
    </cfRule>
    <cfRule type="containsText" priority="962" operator="containsText" dxfId="0" text="▼">
      <formula>NOT(ISERROR(SEARCH("▼",Z51)))</formula>
    </cfRule>
    <cfRule type="containsText" priority="959" operator="containsText" dxfId="1" text="▲">
      <formula>NOT(ISERROR(SEARCH("▲",Z51)))</formula>
    </cfRule>
    <cfRule type="containsText" priority="960" operator="containsText" dxfId="0" text="▼">
      <formula>NOT(ISERROR(SEARCH("▼",Z51)))</formula>
    </cfRule>
    <cfRule type="containsText" priority="957" operator="containsText" dxfId="1" text="▲">
      <formula>NOT(ISERROR(SEARCH("▲",Z51)))</formula>
    </cfRule>
    <cfRule type="containsText" priority="958" operator="containsText" dxfId="0" text="▼">
      <formula>NOT(ISERROR(SEARCH("▼",Z51)))</formula>
    </cfRule>
    <cfRule type="containsText" priority="955" operator="containsText" dxfId="1" text="▲">
      <formula>NOT(ISERROR(SEARCH("▲",Z51)))</formula>
    </cfRule>
    <cfRule type="containsText" priority="956" operator="containsText" dxfId="0" text="▼">
      <formula>NOT(ISERROR(SEARCH("▼",Z51)))</formula>
    </cfRule>
    <cfRule type="containsText" priority="953" operator="containsText" dxfId="1" text="▲">
      <formula>NOT(ISERROR(SEARCH("▲",Z51)))</formula>
    </cfRule>
    <cfRule type="containsText" priority="954" operator="containsText" dxfId="0" text="▼">
      <formula>NOT(ISERROR(SEARCH("▼",Z51)))</formula>
    </cfRule>
    <cfRule type="containsText" priority="951" operator="containsText" dxfId="1" text="▲">
      <formula>NOT(ISERROR(SEARCH("▲",Z51)))</formula>
    </cfRule>
    <cfRule type="containsText" priority="952" operator="containsText" dxfId="0" text="▼">
      <formula>NOT(ISERROR(SEARCH("▼",Z51)))</formula>
    </cfRule>
    <cfRule type="containsText" priority="949" operator="containsText" dxfId="1" text="▲">
      <formula>NOT(ISERROR(SEARCH("▲",Z51)))</formula>
    </cfRule>
    <cfRule type="containsText" priority="950" operator="containsText" dxfId="0" text="▼">
      <formula>NOT(ISERROR(SEARCH("▼",Z51)))</formula>
    </cfRule>
    <cfRule type="containsText" priority="947" operator="containsText" dxfId="1" text="▲">
      <formula>NOT(ISERROR(SEARCH("▲",Z51)))</formula>
    </cfRule>
    <cfRule type="containsText" priority="948" operator="containsText" dxfId="0" text="▼">
      <formula>NOT(ISERROR(SEARCH("▼",Z51)))</formula>
    </cfRule>
    <cfRule type="containsText" priority="945" operator="containsText" dxfId="1" text="▲">
      <formula>NOT(ISERROR(SEARCH("▲",Z51)))</formula>
    </cfRule>
    <cfRule type="containsText" priority="946" operator="containsText" dxfId="0" text="▼">
      <formula>NOT(ISERROR(SEARCH("▼",Z51)))</formula>
    </cfRule>
    <cfRule type="containsText" priority="943" operator="containsText" dxfId="1" text="▲">
      <formula>NOT(ISERROR(SEARCH("▲",Z51)))</formula>
    </cfRule>
    <cfRule type="containsText" priority="944" operator="containsText" dxfId="0" text="▼">
      <formula>NOT(ISERROR(SEARCH("▼",Z51)))</formula>
    </cfRule>
    <cfRule type="containsText" priority="941" operator="containsText" dxfId="1" text="▲">
      <formula>NOT(ISERROR(SEARCH("▲",Z51)))</formula>
    </cfRule>
    <cfRule type="containsText" priority="942" operator="containsText" dxfId="0" text="▼">
      <formula>NOT(ISERROR(SEARCH("▼",Z51)))</formula>
    </cfRule>
    <cfRule type="containsText" priority="939" operator="containsText" dxfId="1" text="▲">
      <formula>NOT(ISERROR(SEARCH("▲",Z51)))</formula>
    </cfRule>
    <cfRule type="containsText" priority="940" operator="containsText" dxfId="0" text="▼">
      <formula>NOT(ISERROR(SEARCH("▼",Z51)))</formula>
    </cfRule>
    <cfRule type="containsText" priority="937" operator="containsText" dxfId="1" text="▲">
      <formula>NOT(ISERROR(SEARCH("▲",Z51)))</formula>
    </cfRule>
    <cfRule type="containsText" priority="938" operator="containsText" dxfId="0" text="▼">
      <formula>NOT(ISERROR(SEARCH("▼",Z51)))</formula>
    </cfRule>
    <cfRule type="containsText" priority="935" operator="containsText" dxfId="1" text="▲">
      <formula>NOT(ISERROR(SEARCH("▲",Z51)))</formula>
    </cfRule>
    <cfRule type="containsText" priority="936" operator="containsText" dxfId="0" text="▼">
      <formula>NOT(ISERROR(SEARCH("▼",Z51)))</formula>
    </cfRule>
    <cfRule type="containsText" priority="933" operator="containsText" dxfId="1" text="▲">
      <formula>NOT(ISERROR(SEARCH("▲",Z51)))</formula>
    </cfRule>
    <cfRule type="containsText" priority="934" operator="containsText" dxfId="0" text="▼">
      <formula>NOT(ISERROR(SEARCH("▼",Z51)))</formula>
    </cfRule>
    <cfRule type="containsText" priority="931" operator="containsText" dxfId="1" text="▲">
      <formula>NOT(ISERROR(SEARCH("▲",Z51)))</formula>
    </cfRule>
    <cfRule type="containsText" priority="932" operator="containsText" dxfId="0" text="▼">
      <formula>NOT(ISERROR(SEARCH("▼",Z51)))</formula>
    </cfRule>
  </conditionalFormatting>
  <conditionalFormatting sqref="Z50:AA64">
    <cfRule type="containsText" priority="929" operator="containsText" dxfId="1" text="▲">
      <formula>NOT(ISERROR(SEARCH("▲",Z50)))</formula>
    </cfRule>
    <cfRule type="containsText" priority="930" operator="containsText" dxfId="0" text="▼">
      <formula>NOT(ISERROR(SEARCH("▼",Z50)))</formula>
    </cfRule>
  </conditionalFormatting>
  <conditionalFormatting sqref="Z81:AA81">
    <cfRule type="containsText" priority="927" operator="containsText" dxfId="1" text="▲">
      <formula>NOT(ISERROR(SEARCH("▲",Z81)))</formula>
    </cfRule>
    <cfRule type="containsText" priority="928" operator="containsText" dxfId="0" text="▼">
      <formula>NOT(ISERROR(SEARCH("▼",Z81)))</formula>
    </cfRule>
  </conditionalFormatting>
  <conditionalFormatting sqref="Z82:AA82">
    <cfRule type="containsText" priority="925" operator="containsText" dxfId="1" text="▲">
      <formula>NOT(ISERROR(SEARCH("▲",Z82)))</formula>
    </cfRule>
    <cfRule type="containsText" priority="926" operator="containsText" dxfId="0" text="▼">
      <formula>NOT(ISERROR(SEARCH("▼",Z82)))</formula>
    </cfRule>
  </conditionalFormatting>
  <conditionalFormatting sqref="Z54:AA54">
    <cfRule type="containsText" priority="923" operator="containsText" dxfId="1" text="▲">
      <formula>NOT(ISERROR(SEARCH("▲",Z54)))</formula>
    </cfRule>
    <cfRule type="containsText" priority="924" operator="containsText" dxfId="0" text="▼">
      <formula>NOT(ISERROR(SEARCH("▼",Z54)))</formula>
    </cfRule>
  </conditionalFormatting>
  <conditionalFormatting sqref="Z56:AA56">
    <cfRule type="containsText" priority="921" operator="containsText" dxfId="1" text="▲">
      <formula>NOT(ISERROR(SEARCH("▲",Z56)))</formula>
    </cfRule>
    <cfRule type="containsText" priority="922" operator="containsText" dxfId="0" text="▼">
      <formula>NOT(ISERROR(SEARCH("▼",Z56)))</formula>
    </cfRule>
  </conditionalFormatting>
  <conditionalFormatting sqref="Z53:AA64">
    <cfRule type="containsText" priority="919" operator="containsText" dxfId="1" text="△">
      <formula>NOT(ISERROR(SEARCH("△",Z53)))</formula>
    </cfRule>
    <cfRule type="containsText" priority="920" operator="containsText" dxfId="0" text="▽">
      <formula>NOT(ISERROR(SEARCH("▽",Z53)))</formula>
    </cfRule>
    <cfRule type="containsText" priority="917" operator="containsText" dxfId="1" text="▲">
      <formula>NOT(ISERROR(SEARCH("▲",Z53)))</formula>
    </cfRule>
    <cfRule type="containsText" priority="918" operator="containsText" dxfId="0" text="▼">
      <formula>NOT(ISERROR(SEARCH("▼",Z53)))</formula>
    </cfRule>
    <cfRule type="containsText" priority="915" operator="containsText" dxfId="1" text="▲">
      <formula>NOT(ISERROR(SEARCH("▲",Z53)))</formula>
    </cfRule>
    <cfRule type="containsText" priority="916" operator="containsText" dxfId="0" text="▼">
      <formula>NOT(ISERROR(SEARCH("▼",Z53)))</formula>
    </cfRule>
    <cfRule type="containsText" priority="913" operator="containsText" dxfId="1" text="▲">
      <formula>NOT(ISERROR(SEARCH("▲",Z53)))</formula>
    </cfRule>
    <cfRule type="containsText" priority="914" operator="containsText" dxfId="0" text="▼">
      <formula>NOT(ISERROR(SEARCH("▼",Z53)))</formula>
    </cfRule>
    <cfRule type="containsText" priority="911" operator="containsText" dxfId="1" text="▲">
      <formula>NOT(ISERROR(SEARCH("▲",Z53)))</formula>
    </cfRule>
    <cfRule type="containsText" priority="912" operator="containsText" dxfId="0" text="▼">
      <formula>NOT(ISERROR(SEARCH("▼",Z53)))</formula>
    </cfRule>
    <cfRule type="containsText" priority="909" operator="containsText" dxfId="1" text="▲">
      <formula>NOT(ISERROR(SEARCH("▲",Z53)))</formula>
    </cfRule>
    <cfRule type="containsText" priority="910" operator="containsText" dxfId="0" text="▼">
      <formula>NOT(ISERROR(SEARCH("▼",Z53)))</formula>
    </cfRule>
    <cfRule type="containsText" priority="907" operator="containsText" dxfId="1" text="▲">
      <formula>NOT(ISERROR(SEARCH("▲",Z53)))</formula>
    </cfRule>
    <cfRule type="containsText" priority="908" operator="containsText" dxfId="0" text="▼">
      <formula>NOT(ISERROR(SEARCH("▼",Z53)))</formula>
    </cfRule>
    <cfRule type="containsText" priority="905" operator="containsText" dxfId="1" text="▲">
      <formula>NOT(ISERROR(SEARCH("▲",Z53)))</formula>
    </cfRule>
    <cfRule type="containsText" priority="906" operator="containsText" dxfId="0" text="▼">
      <formula>NOT(ISERROR(SEARCH("▼",Z53)))</formula>
    </cfRule>
    <cfRule type="containsText" priority="903" operator="containsText" dxfId="1" text="▲">
      <formula>NOT(ISERROR(SEARCH("▲",Z53)))</formula>
    </cfRule>
    <cfRule type="containsText" priority="904" operator="containsText" dxfId="0" text="▼">
      <formula>NOT(ISERROR(SEARCH("▼",Z53)))</formula>
    </cfRule>
    <cfRule type="containsText" priority="901" operator="containsText" dxfId="1" text="▲">
      <formula>NOT(ISERROR(SEARCH("▲",Z53)))</formula>
    </cfRule>
    <cfRule type="containsText" priority="902" operator="containsText" dxfId="0" text="▼">
      <formula>NOT(ISERROR(SEARCH("▼",Z53)))</formula>
    </cfRule>
    <cfRule type="containsText" priority="899" operator="containsText" dxfId="1" text="▲">
      <formula>NOT(ISERROR(SEARCH("▲",Z53)))</formula>
    </cfRule>
    <cfRule type="containsText" priority="900" operator="containsText" dxfId="0" text="▼">
      <formula>NOT(ISERROR(SEARCH("▼",Z53)))</formula>
    </cfRule>
    <cfRule type="containsText" priority="897" operator="containsText" dxfId="1" text="▲">
      <formula>NOT(ISERROR(SEARCH("▲",Z53)))</formula>
    </cfRule>
    <cfRule type="containsText" priority="898" operator="containsText" dxfId="0" text="▼">
      <formula>NOT(ISERROR(SEARCH("▼",Z53)))</formula>
    </cfRule>
    <cfRule type="containsText" priority="895" operator="containsText" dxfId="1" text="▲">
      <formula>NOT(ISERROR(SEARCH("▲",Z53)))</formula>
    </cfRule>
    <cfRule type="containsText" priority="896" operator="containsText" dxfId="0" text="▼">
      <formula>NOT(ISERROR(SEARCH("▼",Z53)))</formula>
    </cfRule>
    <cfRule type="containsText" priority="893" operator="containsText" dxfId="1" text="▲">
      <formula>NOT(ISERROR(SEARCH("▲",Z53)))</formula>
    </cfRule>
    <cfRule type="containsText" priority="894" operator="containsText" dxfId="0" text="▼">
      <formula>NOT(ISERROR(SEARCH("▼",Z53)))</formula>
    </cfRule>
    <cfRule type="containsText" priority="891" operator="containsText" dxfId="1" text="▲">
      <formula>NOT(ISERROR(SEARCH("▲",Z53)))</formula>
    </cfRule>
    <cfRule type="containsText" priority="892" operator="containsText" dxfId="0" text="▼">
      <formula>NOT(ISERROR(SEARCH("▼",Z53)))</formula>
    </cfRule>
    <cfRule type="containsText" priority="889" operator="containsText" dxfId="1" text="▲">
      <formula>NOT(ISERROR(SEARCH("▲",Z53)))</formula>
    </cfRule>
    <cfRule type="containsText" priority="890" operator="containsText" dxfId="0" text="▼">
      <formula>NOT(ISERROR(SEARCH("▼",Z53)))</formula>
    </cfRule>
    <cfRule type="containsText" priority="887" operator="containsText" dxfId="1" text="▲">
      <formula>NOT(ISERROR(SEARCH("▲",Z53)))</formula>
    </cfRule>
    <cfRule type="containsText" priority="888" operator="containsText" dxfId="0" text="▼">
      <formula>NOT(ISERROR(SEARCH("▼",Z53)))</formula>
    </cfRule>
    <cfRule type="containsText" priority="885" operator="containsText" dxfId="1" text="▲">
      <formula>NOT(ISERROR(SEARCH("▲",Z53)))</formula>
    </cfRule>
    <cfRule type="containsText" priority="886" operator="containsText" dxfId="0" text="▼">
      <formula>NOT(ISERROR(SEARCH("▼",Z53)))</formula>
    </cfRule>
    <cfRule type="containsText" priority="883" operator="containsText" dxfId="1" text="▲">
      <formula>NOT(ISERROR(SEARCH("▲",Z53)))</formula>
    </cfRule>
    <cfRule type="containsText" priority="884" operator="containsText" dxfId="0" text="▼">
      <formula>NOT(ISERROR(SEARCH("▼",Z53)))</formula>
    </cfRule>
    <cfRule type="containsText" priority="881" operator="containsText" dxfId="1" text="▲">
      <formula>NOT(ISERROR(SEARCH("▲",Z53)))</formula>
    </cfRule>
    <cfRule type="containsText" priority="882" operator="containsText" dxfId="0" text="▼">
      <formula>NOT(ISERROR(SEARCH("▼",Z53)))</formula>
    </cfRule>
    <cfRule type="containsText" priority="879" operator="containsText" dxfId="1" text="▲">
      <formula>NOT(ISERROR(SEARCH("▲",Z53)))</formula>
    </cfRule>
    <cfRule type="containsText" priority="880" operator="containsText" dxfId="0" text="▼">
      <formula>NOT(ISERROR(SEARCH("▼",Z53)))</formula>
    </cfRule>
    <cfRule type="containsText" priority="877" operator="containsText" dxfId="1" text="▲">
      <formula>NOT(ISERROR(SEARCH("▲",Z53)))</formula>
    </cfRule>
    <cfRule type="containsText" priority="878" operator="containsText" dxfId="0" text="▼">
      <formula>NOT(ISERROR(SEARCH("▼",Z53)))</formula>
    </cfRule>
    <cfRule type="containsText" priority="875" operator="containsText" dxfId="1" text="▲">
      <formula>NOT(ISERROR(SEARCH("▲",Z53)))</formula>
    </cfRule>
    <cfRule type="containsText" priority="876" operator="containsText" dxfId="0" text="▼">
      <formula>NOT(ISERROR(SEARCH("▼",Z53)))</formula>
    </cfRule>
    <cfRule type="containsText" priority="873" operator="containsText" dxfId="1" text="▲">
      <formula>NOT(ISERROR(SEARCH("▲",Z53)))</formula>
    </cfRule>
    <cfRule type="containsText" priority="874" operator="containsText" dxfId="0" text="▼">
      <formula>NOT(ISERROR(SEARCH("▼",Z53)))</formula>
    </cfRule>
    <cfRule type="containsText" priority="871" operator="containsText" dxfId="1" text="▲">
      <formula>NOT(ISERROR(SEARCH("▲",Z53)))</formula>
    </cfRule>
    <cfRule type="containsText" priority="872" operator="containsText" dxfId="0" text="▼">
      <formula>NOT(ISERROR(SEARCH("▼",Z53)))</formula>
    </cfRule>
  </conditionalFormatting>
  <conditionalFormatting sqref="Z57:AA57">
    <cfRule type="containsText" priority="869" operator="containsText" dxfId="1" text="▲">
      <formula>NOT(ISERROR(SEARCH("▲",Z57)))</formula>
    </cfRule>
    <cfRule type="containsText" priority="870" operator="containsText" dxfId="0" text="▼">
      <formula>NOT(ISERROR(SEARCH("▼",Z57)))</formula>
    </cfRule>
  </conditionalFormatting>
  <conditionalFormatting sqref="Z58:AA64">
    <cfRule type="containsText" priority="817" operator="containsText" dxfId="1" text="△">
      <formula>NOT(ISERROR(SEARCH("△",Z58)))</formula>
    </cfRule>
    <cfRule type="containsText" priority="818" operator="containsText" dxfId="0" text="▽">
      <formula>NOT(ISERROR(SEARCH("▽",Z58)))</formula>
    </cfRule>
    <cfRule type="containsText" priority="815" operator="containsText" dxfId="1" text="▲">
      <formula>NOT(ISERROR(SEARCH("▲",Z58)))</formula>
    </cfRule>
    <cfRule type="containsText" priority="816" operator="containsText" dxfId="0" text="▼">
      <formula>NOT(ISERROR(SEARCH("▼",Z58)))</formula>
    </cfRule>
    <cfRule type="containsText" priority="813" operator="containsText" dxfId="1" text="▲">
      <formula>NOT(ISERROR(SEARCH("▲",Z58)))</formula>
    </cfRule>
    <cfRule type="containsText" priority="814" operator="containsText" dxfId="0" text="▼">
      <formula>NOT(ISERROR(SEARCH("▼",Z58)))</formula>
    </cfRule>
    <cfRule type="containsText" priority="811" operator="containsText" dxfId="1" text="▲">
      <formula>NOT(ISERROR(SEARCH("▲",Z58)))</formula>
    </cfRule>
    <cfRule type="containsText" priority="812" operator="containsText" dxfId="0" text="▼">
      <formula>NOT(ISERROR(SEARCH("▼",Z58)))</formula>
    </cfRule>
    <cfRule type="containsText" priority="809" operator="containsText" dxfId="1" text="▲">
      <formula>NOT(ISERROR(SEARCH("▲",Z58)))</formula>
    </cfRule>
    <cfRule type="containsText" priority="810" operator="containsText" dxfId="0" text="▼">
      <formula>NOT(ISERROR(SEARCH("▼",Z58)))</formula>
    </cfRule>
    <cfRule type="containsText" priority="807" operator="containsText" dxfId="1" text="▲">
      <formula>NOT(ISERROR(SEARCH("▲",Z58)))</formula>
    </cfRule>
    <cfRule type="containsText" priority="808" operator="containsText" dxfId="0" text="▼">
      <formula>NOT(ISERROR(SEARCH("▼",Z58)))</formula>
    </cfRule>
    <cfRule type="containsText" priority="805" operator="containsText" dxfId="1" text="▲">
      <formula>NOT(ISERROR(SEARCH("▲",Z58)))</formula>
    </cfRule>
    <cfRule type="containsText" priority="806" operator="containsText" dxfId="0" text="▼">
      <formula>NOT(ISERROR(SEARCH("▼",Z58)))</formula>
    </cfRule>
    <cfRule type="containsText" priority="803" operator="containsText" dxfId="1" text="▲">
      <formula>NOT(ISERROR(SEARCH("▲",Z58)))</formula>
    </cfRule>
    <cfRule type="containsText" priority="804" operator="containsText" dxfId="0" text="▼">
      <formula>NOT(ISERROR(SEARCH("▼",Z58)))</formula>
    </cfRule>
    <cfRule type="containsText" priority="801" operator="containsText" dxfId="1" text="▲">
      <formula>NOT(ISERROR(SEARCH("▲",Z58)))</formula>
    </cfRule>
    <cfRule type="containsText" priority="802" operator="containsText" dxfId="0" text="▼">
      <formula>NOT(ISERROR(SEARCH("▼",Z58)))</formula>
    </cfRule>
    <cfRule type="containsText" priority="799" operator="containsText" dxfId="1" text="▲">
      <formula>NOT(ISERROR(SEARCH("▲",Z58)))</formula>
    </cfRule>
    <cfRule type="containsText" priority="800" operator="containsText" dxfId="0" text="▼">
      <formula>NOT(ISERROR(SEARCH("▼",Z58)))</formula>
    </cfRule>
    <cfRule type="containsText" priority="797" operator="containsText" dxfId="1" text="▲">
      <formula>NOT(ISERROR(SEARCH("▲",Z58)))</formula>
    </cfRule>
    <cfRule type="containsText" priority="798" operator="containsText" dxfId="0" text="▼">
      <formula>NOT(ISERROR(SEARCH("▼",Z58)))</formula>
    </cfRule>
    <cfRule type="containsText" priority="795" operator="containsText" dxfId="1" text="▲">
      <formula>NOT(ISERROR(SEARCH("▲",Z58)))</formula>
    </cfRule>
    <cfRule type="containsText" priority="796" operator="containsText" dxfId="0" text="▼">
      <formula>NOT(ISERROR(SEARCH("▼",Z58)))</formula>
    </cfRule>
    <cfRule type="containsText" priority="793" operator="containsText" dxfId="1" text="▲">
      <formula>NOT(ISERROR(SEARCH("▲",Z58)))</formula>
    </cfRule>
    <cfRule type="containsText" priority="794" operator="containsText" dxfId="0" text="▼">
      <formula>NOT(ISERROR(SEARCH("▼",Z58)))</formula>
    </cfRule>
    <cfRule type="containsText" priority="791" operator="containsText" dxfId="1" text="▲">
      <formula>NOT(ISERROR(SEARCH("▲",Z58)))</formula>
    </cfRule>
    <cfRule type="containsText" priority="792" operator="containsText" dxfId="0" text="▼">
      <formula>NOT(ISERROR(SEARCH("▼",Z58)))</formula>
    </cfRule>
    <cfRule type="containsText" priority="789" operator="containsText" dxfId="1" text="▲">
      <formula>NOT(ISERROR(SEARCH("▲",Z58)))</formula>
    </cfRule>
    <cfRule type="containsText" priority="790" operator="containsText" dxfId="0" text="▼">
      <formula>NOT(ISERROR(SEARCH("▼",Z58)))</formula>
    </cfRule>
    <cfRule type="containsText" priority="787" operator="containsText" dxfId="1" text="▲">
      <formula>NOT(ISERROR(SEARCH("▲",Z58)))</formula>
    </cfRule>
    <cfRule type="containsText" priority="788" operator="containsText" dxfId="0" text="▼">
      <formula>NOT(ISERROR(SEARCH("▼",Z58)))</formula>
    </cfRule>
    <cfRule type="containsText" priority="785" operator="containsText" dxfId="1" text="▲">
      <formula>NOT(ISERROR(SEARCH("▲",Z58)))</formula>
    </cfRule>
    <cfRule type="containsText" priority="786" operator="containsText" dxfId="0" text="▼">
      <formula>NOT(ISERROR(SEARCH("▼",Z58)))</formula>
    </cfRule>
    <cfRule type="containsText" priority="783" operator="containsText" dxfId="1" text="▲">
      <formula>NOT(ISERROR(SEARCH("▲",Z58)))</formula>
    </cfRule>
    <cfRule type="containsText" priority="784" operator="containsText" dxfId="0" text="▼">
      <formula>NOT(ISERROR(SEARCH("▼",Z58)))</formula>
    </cfRule>
    <cfRule type="containsText" priority="781" operator="containsText" dxfId="1" text="▲">
      <formula>NOT(ISERROR(SEARCH("▲",Z58)))</formula>
    </cfRule>
    <cfRule type="containsText" priority="782" operator="containsText" dxfId="0" text="▼">
      <formula>NOT(ISERROR(SEARCH("▼",Z58)))</formula>
    </cfRule>
    <cfRule type="containsText" priority="779" operator="containsText" dxfId="1" text="▲">
      <formula>NOT(ISERROR(SEARCH("▲",Z58)))</formula>
    </cfRule>
    <cfRule type="containsText" priority="780" operator="containsText" dxfId="0" text="▼">
      <formula>NOT(ISERROR(SEARCH("▼",Z58)))</formula>
    </cfRule>
    <cfRule type="containsText" priority="777" operator="containsText" dxfId="1" text="▲">
      <formula>NOT(ISERROR(SEARCH("▲",Z58)))</formula>
    </cfRule>
    <cfRule type="containsText" priority="778" operator="containsText" dxfId="0" text="▼">
      <formula>NOT(ISERROR(SEARCH("▼",Z58)))</formula>
    </cfRule>
    <cfRule type="containsText" priority="775" operator="containsText" dxfId="1" text="▲">
      <formula>NOT(ISERROR(SEARCH("▲",Z58)))</formula>
    </cfRule>
    <cfRule type="containsText" priority="776" operator="containsText" dxfId="0" text="▼">
      <formula>NOT(ISERROR(SEARCH("▼",Z58)))</formula>
    </cfRule>
    <cfRule type="containsText" priority="773" operator="containsText" dxfId="1" text="▲">
      <formula>NOT(ISERROR(SEARCH("▲",Z58)))</formula>
    </cfRule>
    <cfRule type="containsText" priority="774" operator="containsText" dxfId="0" text="▼">
      <formula>NOT(ISERROR(SEARCH("▼",Z58)))</formula>
    </cfRule>
    <cfRule type="containsText" priority="771" operator="containsText" dxfId="1" text="▲">
      <formula>NOT(ISERROR(SEARCH("▲",Z58)))</formula>
    </cfRule>
    <cfRule type="containsText" priority="772" operator="containsText" dxfId="0" text="▼">
      <formula>NOT(ISERROR(SEARCH("▼",Z58)))</formula>
    </cfRule>
    <cfRule type="containsText" priority="769" operator="containsText" dxfId="1" text="▲">
      <formula>NOT(ISERROR(SEARCH("▲",Z58)))</formula>
    </cfRule>
    <cfRule type="containsText" priority="770" operator="containsText" dxfId="0" text="▼">
      <formula>NOT(ISERROR(SEARCH("▼",Z58)))</formula>
    </cfRule>
  </conditionalFormatting>
  <conditionalFormatting sqref="Z59:AA64">
    <cfRule type="containsText" priority="767" operator="containsText" dxfId="1" text="▲">
      <formula>NOT(ISERROR(SEARCH("▲",Z59)))</formula>
    </cfRule>
    <cfRule type="containsText" priority="768" operator="containsText" dxfId="0" text="▼">
      <formula>NOT(ISERROR(SEARCH("▼",Z59)))</formula>
    </cfRule>
  </conditionalFormatting>
  <conditionalFormatting sqref="Z84:AA84">
    <cfRule type="containsText" priority="765" operator="containsText" dxfId="1" text="▲">
      <formula>NOT(ISERROR(SEARCH("▲",Z84)))</formula>
    </cfRule>
    <cfRule type="containsText" priority="766" operator="containsText" dxfId="0" text="▼">
      <formula>NOT(ISERROR(SEARCH("▼",Z84)))</formula>
    </cfRule>
  </conditionalFormatting>
  <conditionalFormatting sqref="Z85:AA85">
    <cfRule type="containsText" priority="763" operator="containsText" dxfId="1" text="▲">
      <formula>NOT(ISERROR(SEARCH("▲",Z85)))</formula>
    </cfRule>
    <cfRule type="containsText" priority="764" operator="containsText" dxfId="0" text="▼">
      <formula>NOT(ISERROR(SEARCH("▼",Z85)))</formula>
    </cfRule>
  </conditionalFormatting>
  <conditionalFormatting sqref="Z86:AA86">
    <cfRule type="containsText" priority="761" operator="containsText" dxfId="1" text="▲">
      <formula>NOT(ISERROR(SEARCH("▲",Z86)))</formula>
    </cfRule>
    <cfRule type="containsText" priority="762" operator="containsText" dxfId="0" text="▼">
      <formula>NOT(ISERROR(SEARCH("▼",Z86)))</formula>
    </cfRule>
  </conditionalFormatting>
  <conditionalFormatting sqref="Z60:AA64">
    <cfRule type="containsText" priority="759" operator="containsText" dxfId="1" text="△">
      <formula>NOT(ISERROR(SEARCH("△",Z60)))</formula>
    </cfRule>
    <cfRule type="containsText" priority="760" operator="containsText" dxfId="0" text="▽">
      <formula>NOT(ISERROR(SEARCH("▽",Z60)))</formula>
    </cfRule>
    <cfRule type="containsText" priority="757" operator="containsText" dxfId="1" text="▲">
      <formula>NOT(ISERROR(SEARCH("▲",Z60)))</formula>
    </cfRule>
    <cfRule type="containsText" priority="758" operator="containsText" dxfId="0" text="▼">
      <formula>NOT(ISERROR(SEARCH("▼",Z60)))</formula>
    </cfRule>
    <cfRule type="containsText" priority="755" operator="containsText" dxfId="1" text="▲">
      <formula>NOT(ISERROR(SEARCH("▲",Z60)))</formula>
    </cfRule>
    <cfRule type="containsText" priority="756" operator="containsText" dxfId="0" text="▼">
      <formula>NOT(ISERROR(SEARCH("▼",Z60)))</formula>
    </cfRule>
    <cfRule type="containsText" priority="753" operator="containsText" dxfId="1" text="▲">
      <formula>NOT(ISERROR(SEARCH("▲",Z60)))</formula>
    </cfRule>
    <cfRule type="containsText" priority="754" operator="containsText" dxfId="0" text="▼">
      <formula>NOT(ISERROR(SEARCH("▼",Z60)))</formula>
    </cfRule>
    <cfRule type="containsText" priority="751" operator="containsText" dxfId="1" text="▲">
      <formula>NOT(ISERROR(SEARCH("▲",Z60)))</formula>
    </cfRule>
    <cfRule type="containsText" priority="752" operator="containsText" dxfId="0" text="▼">
      <formula>NOT(ISERROR(SEARCH("▼",Z60)))</formula>
    </cfRule>
    <cfRule type="containsText" priority="749" operator="containsText" dxfId="1" text="▲">
      <formula>NOT(ISERROR(SEARCH("▲",Z60)))</formula>
    </cfRule>
    <cfRule type="containsText" priority="750" operator="containsText" dxfId="0" text="▼">
      <formula>NOT(ISERROR(SEARCH("▼",Z60)))</formula>
    </cfRule>
    <cfRule type="containsText" priority="747" operator="containsText" dxfId="1" text="▲">
      <formula>NOT(ISERROR(SEARCH("▲",Z60)))</formula>
    </cfRule>
    <cfRule type="containsText" priority="748" operator="containsText" dxfId="0" text="▼">
      <formula>NOT(ISERROR(SEARCH("▼",Z60)))</formula>
    </cfRule>
    <cfRule type="containsText" priority="745" operator="containsText" dxfId="1" text="▲">
      <formula>NOT(ISERROR(SEARCH("▲",Z60)))</formula>
    </cfRule>
    <cfRule type="containsText" priority="746" operator="containsText" dxfId="0" text="▼">
      <formula>NOT(ISERROR(SEARCH("▼",Z60)))</formula>
    </cfRule>
    <cfRule type="containsText" priority="743" operator="containsText" dxfId="1" text="▲">
      <formula>NOT(ISERROR(SEARCH("▲",Z60)))</formula>
    </cfRule>
    <cfRule type="containsText" priority="744" operator="containsText" dxfId="0" text="▼">
      <formula>NOT(ISERROR(SEARCH("▼",Z60)))</formula>
    </cfRule>
    <cfRule type="containsText" priority="741" operator="containsText" dxfId="1" text="▲">
      <formula>NOT(ISERROR(SEARCH("▲",Z60)))</formula>
    </cfRule>
    <cfRule type="containsText" priority="742" operator="containsText" dxfId="0" text="▼">
      <formula>NOT(ISERROR(SEARCH("▼",Z60)))</formula>
    </cfRule>
    <cfRule type="containsText" priority="739" operator="containsText" dxfId="1" text="▲">
      <formula>NOT(ISERROR(SEARCH("▲",Z60)))</formula>
    </cfRule>
    <cfRule type="containsText" priority="740" operator="containsText" dxfId="0" text="▼">
      <formula>NOT(ISERROR(SEARCH("▼",Z60)))</formula>
    </cfRule>
    <cfRule type="containsText" priority="737" operator="containsText" dxfId="1" text="▲">
      <formula>NOT(ISERROR(SEARCH("▲",Z60)))</formula>
    </cfRule>
    <cfRule type="containsText" priority="738" operator="containsText" dxfId="0" text="▼">
      <formula>NOT(ISERROR(SEARCH("▼",Z60)))</formula>
    </cfRule>
    <cfRule type="containsText" priority="735" operator="containsText" dxfId="1" text="▲">
      <formula>NOT(ISERROR(SEARCH("▲",Z60)))</formula>
    </cfRule>
    <cfRule type="containsText" priority="736" operator="containsText" dxfId="0" text="▼">
      <formula>NOT(ISERROR(SEARCH("▼",Z60)))</formula>
    </cfRule>
    <cfRule type="containsText" priority="733" operator="containsText" dxfId="1" text="▲">
      <formula>NOT(ISERROR(SEARCH("▲",Z60)))</formula>
    </cfRule>
    <cfRule type="containsText" priority="734" operator="containsText" dxfId="0" text="▼">
      <formula>NOT(ISERROR(SEARCH("▼",Z60)))</formula>
    </cfRule>
    <cfRule type="containsText" priority="731" operator="containsText" dxfId="1" text="▲">
      <formula>NOT(ISERROR(SEARCH("▲",Z60)))</formula>
    </cfRule>
    <cfRule type="containsText" priority="732" operator="containsText" dxfId="0" text="▼">
      <formula>NOT(ISERROR(SEARCH("▼",Z60)))</formula>
    </cfRule>
    <cfRule type="containsText" priority="729" operator="containsText" dxfId="1" text="▲">
      <formula>NOT(ISERROR(SEARCH("▲",Z60)))</formula>
    </cfRule>
    <cfRule type="containsText" priority="730" operator="containsText" dxfId="0" text="▼">
      <formula>NOT(ISERROR(SEARCH("▼",Z60)))</formula>
    </cfRule>
    <cfRule type="containsText" priority="727" operator="containsText" dxfId="1" text="▲">
      <formula>NOT(ISERROR(SEARCH("▲",Z60)))</formula>
    </cfRule>
    <cfRule type="containsText" priority="728" operator="containsText" dxfId="0" text="▼">
      <formula>NOT(ISERROR(SEARCH("▼",Z60)))</formula>
    </cfRule>
    <cfRule type="containsText" priority="725" operator="containsText" dxfId="1" text="▲">
      <formula>NOT(ISERROR(SEARCH("▲",Z60)))</formula>
    </cfRule>
    <cfRule type="containsText" priority="726" operator="containsText" dxfId="0" text="▼">
      <formula>NOT(ISERROR(SEARCH("▼",Z60)))</formula>
    </cfRule>
    <cfRule type="containsText" priority="723" operator="containsText" dxfId="1" text="▲">
      <formula>NOT(ISERROR(SEARCH("▲",Z60)))</formula>
    </cfRule>
    <cfRule type="containsText" priority="724" operator="containsText" dxfId="0" text="▼">
      <formula>NOT(ISERROR(SEARCH("▼",Z60)))</formula>
    </cfRule>
    <cfRule type="containsText" priority="721" operator="containsText" dxfId="1" text="▲">
      <formula>NOT(ISERROR(SEARCH("▲",Z60)))</formula>
    </cfRule>
    <cfRule type="containsText" priority="722" operator="containsText" dxfId="0" text="▼">
      <formula>NOT(ISERROR(SEARCH("▼",Z60)))</formula>
    </cfRule>
    <cfRule type="containsText" priority="719" operator="containsText" dxfId="1" text="▲">
      <formula>NOT(ISERROR(SEARCH("▲",Z60)))</formula>
    </cfRule>
    <cfRule type="containsText" priority="720" operator="containsText" dxfId="0" text="▼">
      <formula>NOT(ISERROR(SEARCH("▼",Z60)))</formula>
    </cfRule>
    <cfRule type="containsText" priority="717" operator="containsText" dxfId="1" text="▲">
      <formula>NOT(ISERROR(SEARCH("▲",Z60)))</formula>
    </cfRule>
    <cfRule type="containsText" priority="718" operator="containsText" dxfId="0" text="▼">
      <formula>NOT(ISERROR(SEARCH("▼",Z60)))</formula>
    </cfRule>
    <cfRule type="containsText" priority="715" operator="containsText" dxfId="1" text="▲">
      <formula>NOT(ISERROR(SEARCH("▲",Z60)))</formula>
    </cfRule>
    <cfRule type="containsText" priority="716" operator="containsText" dxfId="0" text="▼">
      <formula>NOT(ISERROR(SEARCH("▼",Z60)))</formula>
    </cfRule>
    <cfRule type="containsText" priority="713" operator="containsText" dxfId="1" text="▲">
      <formula>NOT(ISERROR(SEARCH("▲",Z60)))</formula>
    </cfRule>
    <cfRule type="containsText" priority="714" operator="containsText" dxfId="0" text="▼">
      <formula>NOT(ISERROR(SEARCH("▼",Z60)))</formula>
    </cfRule>
    <cfRule type="containsText" priority="711" operator="containsText" dxfId="1" text="▲">
      <formula>NOT(ISERROR(SEARCH("▲",Z60)))</formula>
    </cfRule>
    <cfRule type="containsText" priority="712" operator="containsText" dxfId="0" text="▼">
      <formula>NOT(ISERROR(SEARCH("▼",Z60)))</formula>
    </cfRule>
  </conditionalFormatting>
  <conditionalFormatting sqref="Z88:AA88">
    <cfRule type="containsText" priority="709" operator="containsText" dxfId="1" text="▲">
      <formula>NOT(ISERROR(SEARCH("▲",Z88)))</formula>
    </cfRule>
    <cfRule type="containsText" priority="710" operator="containsText" dxfId="0" text="▼">
      <formula>NOT(ISERROR(SEARCH("▼",Z88)))</formula>
    </cfRule>
  </conditionalFormatting>
  <conditionalFormatting sqref="Z55:AA55">
    <cfRule type="containsText" priority="707" operator="containsText" dxfId="1" text="▲">
      <formula>NOT(ISERROR(SEARCH("▲",Z55)))</formula>
    </cfRule>
    <cfRule type="containsText" priority="708" operator="containsText" dxfId="0" text="▼">
      <formula>NOT(ISERROR(SEARCH("▼",Z55)))</formula>
    </cfRule>
  </conditionalFormatting>
  <conditionalFormatting sqref="Z94:AA94">
    <cfRule type="containsText" priority="705" operator="containsText" dxfId="1" text="△">
      <formula>NOT(ISERROR(SEARCH("△",Z94)))</formula>
    </cfRule>
    <cfRule type="containsText" priority="706" operator="containsText" dxfId="0" text="▽">
      <formula>NOT(ISERROR(SEARCH("▽",Z94)))</formula>
    </cfRule>
    <cfRule type="containsText" priority="703" operator="containsText" dxfId="1" text="▲">
      <formula>NOT(ISERROR(SEARCH("▲",Z94)))</formula>
    </cfRule>
    <cfRule type="containsText" priority="704" operator="containsText" dxfId="0" text="▼">
      <formula>NOT(ISERROR(SEARCH("▼",Z94)))</formula>
    </cfRule>
    <cfRule type="containsText" priority="701" operator="containsText" dxfId="1" text="▲">
      <formula>NOT(ISERROR(SEARCH("▲",Z94)))</formula>
    </cfRule>
    <cfRule type="containsText" priority="702" operator="containsText" dxfId="0" text="▼">
      <formula>NOT(ISERROR(SEARCH("▼",Z94)))</formula>
    </cfRule>
    <cfRule type="containsText" priority="699" operator="containsText" dxfId="1" text="▲">
      <formula>NOT(ISERROR(SEARCH("▲",Z94)))</formula>
    </cfRule>
    <cfRule type="containsText" priority="700" operator="containsText" dxfId="0" text="▼">
      <formula>NOT(ISERROR(SEARCH("▼",Z94)))</formula>
    </cfRule>
    <cfRule type="containsText" priority="697" operator="containsText" dxfId="1" text="▲">
      <formula>NOT(ISERROR(SEARCH("▲",Z94)))</formula>
    </cfRule>
    <cfRule type="containsText" priority="698" operator="containsText" dxfId="0" text="▼">
      <formula>NOT(ISERROR(SEARCH("▼",Z94)))</formula>
    </cfRule>
    <cfRule type="containsText" priority="695" operator="containsText" dxfId="1" text="▲">
      <formula>NOT(ISERROR(SEARCH("▲",Z94)))</formula>
    </cfRule>
    <cfRule type="containsText" priority="696" operator="containsText" dxfId="0" text="▼">
      <formula>NOT(ISERROR(SEARCH("▼",Z94)))</formula>
    </cfRule>
    <cfRule type="containsText" priority="693" operator="containsText" dxfId="1" text="▲">
      <formula>NOT(ISERROR(SEARCH("▲",Z94)))</formula>
    </cfRule>
    <cfRule type="containsText" priority="694" operator="containsText" dxfId="0" text="▼">
      <formula>NOT(ISERROR(SEARCH("▼",Z94)))</formula>
    </cfRule>
    <cfRule type="containsText" priority="691" operator="containsText" dxfId="1" text="▲">
      <formula>NOT(ISERROR(SEARCH("▲",Z94)))</formula>
    </cfRule>
    <cfRule type="containsText" priority="692" operator="containsText" dxfId="0" text="▼">
      <formula>NOT(ISERROR(SEARCH("▼",Z94)))</formula>
    </cfRule>
    <cfRule type="containsText" priority="689" operator="containsText" dxfId="1" text="▲">
      <formula>NOT(ISERROR(SEARCH("▲",Z94)))</formula>
    </cfRule>
    <cfRule type="containsText" priority="690" operator="containsText" dxfId="0" text="▼">
      <formula>NOT(ISERROR(SEARCH("▼",Z94)))</formula>
    </cfRule>
    <cfRule type="containsText" priority="687" operator="containsText" dxfId="1" text="▲">
      <formula>NOT(ISERROR(SEARCH("▲",Z94)))</formula>
    </cfRule>
    <cfRule type="containsText" priority="688" operator="containsText" dxfId="0" text="▼">
      <formula>NOT(ISERROR(SEARCH("▼",Z94)))</formula>
    </cfRule>
    <cfRule type="containsText" priority="685" operator="containsText" dxfId="1" text="▲">
      <formula>NOT(ISERROR(SEARCH("▲",Z94)))</formula>
    </cfRule>
    <cfRule type="containsText" priority="686" operator="containsText" dxfId="0" text="▼">
      <formula>NOT(ISERROR(SEARCH("▼",Z94)))</formula>
    </cfRule>
    <cfRule type="containsText" priority="683" operator="containsText" dxfId="1" text="▲">
      <formula>NOT(ISERROR(SEARCH("▲",Z94)))</formula>
    </cfRule>
    <cfRule type="containsText" priority="684" operator="containsText" dxfId="0" text="▼">
      <formula>NOT(ISERROR(SEARCH("▼",Z94)))</formula>
    </cfRule>
    <cfRule type="containsText" priority="681" operator="containsText" dxfId="1" text="▲">
      <formula>NOT(ISERROR(SEARCH("▲",Z94)))</formula>
    </cfRule>
    <cfRule type="containsText" priority="682" operator="containsText" dxfId="0" text="▼">
      <formula>NOT(ISERROR(SEARCH("▼",Z94)))</formula>
    </cfRule>
    <cfRule type="containsText" priority="679" operator="containsText" dxfId="1" text="▲">
      <formula>NOT(ISERROR(SEARCH("▲",Z94)))</formula>
    </cfRule>
    <cfRule type="containsText" priority="680" operator="containsText" dxfId="0" text="▼">
      <formula>NOT(ISERROR(SEARCH("▼",Z94)))</formula>
    </cfRule>
    <cfRule type="containsText" priority="677" operator="containsText" dxfId="1" text="▲">
      <formula>NOT(ISERROR(SEARCH("▲",Z94)))</formula>
    </cfRule>
    <cfRule type="containsText" priority="678" operator="containsText" dxfId="0" text="▼">
      <formula>NOT(ISERROR(SEARCH("▼",Z94)))</formula>
    </cfRule>
    <cfRule type="containsText" priority="675" operator="containsText" dxfId="1" text="▲">
      <formula>NOT(ISERROR(SEARCH("▲",Z94)))</formula>
    </cfRule>
    <cfRule type="containsText" priority="676" operator="containsText" dxfId="0" text="▼">
      <formula>NOT(ISERROR(SEARCH("▼",Z94)))</formula>
    </cfRule>
    <cfRule type="containsText" priority="673" operator="containsText" dxfId="1" text="▲">
      <formula>NOT(ISERROR(SEARCH("▲",Z94)))</formula>
    </cfRule>
    <cfRule type="containsText" priority="674" operator="containsText" dxfId="0" text="▼">
      <formula>NOT(ISERROR(SEARCH("▼",Z94)))</formula>
    </cfRule>
    <cfRule type="containsText" priority="671" operator="containsText" dxfId="1" text="▲">
      <formula>NOT(ISERROR(SEARCH("▲",Z94)))</formula>
    </cfRule>
    <cfRule type="containsText" priority="672" operator="containsText" dxfId="0" text="▼">
      <formula>NOT(ISERROR(SEARCH("▼",Z94)))</formula>
    </cfRule>
    <cfRule type="containsText" priority="669" operator="containsText" dxfId="1" text="▲">
      <formula>NOT(ISERROR(SEARCH("▲",Z94)))</formula>
    </cfRule>
    <cfRule type="containsText" priority="670" operator="containsText" dxfId="0" text="▼">
      <formula>NOT(ISERROR(SEARCH("▼",Z94)))</formula>
    </cfRule>
    <cfRule type="containsText" priority="667" operator="containsText" dxfId="1" text="▲">
      <formula>NOT(ISERROR(SEARCH("▲",Z94)))</formula>
    </cfRule>
    <cfRule type="containsText" priority="668" operator="containsText" dxfId="0" text="▼">
      <formula>NOT(ISERROR(SEARCH("▼",Z94)))</formula>
    </cfRule>
    <cfRule type="containsText" priority="665" operator="containsText" dxfId="1" text="▲">
      <formula>NOT(ISERROR(SEARCH("▲",Z94)))</formula>
    </cfRule>
    <cfRule type="containsText" priority="666" operator="containsText" dxfId="0" text="▼">
      <formula>NOT(ISERROR(SEARCH("▼",Z94)))</formula>
    </cfRule>
    <cfRule type="containsText" priority="663" operator="containsText" dxfId="1" text="▲">
      <formula>NOT(ISERROR(SEARCH("▲",Z94)))</formula>
    </cfRule>
    <cfRule type="containsText" priority="664" operator="containsText" dxfId="0" text="▼">
      <formula>NOT(ISERROR(SEARCH("▼",Z94)))</formula>
    </cfRule>
    <cfRule type="containsText" priority="661" operator="containsText" dxfId="1" text="▲">
      <formula>NOT(ISERROR(SEARCH("▲",Z94)))</formula>
    </cfRule>
    <cfRule type="containsText" priority="662" operator="containsText" dxfId="0" text="▼">
      <formula>NOT(ISERROR(SEARCH("▼",Z94)))</formula>
    </cfRule>
    <cfRule type="containsText" priority="659" operator="containsText" dxfId="1" text="▲">
      <formula>NOT(ISERROR(SEARCH("▲",Z94)))</formula>
    </cfRule>
    <cfRule type="containsText" priority="660" operator="containsText" dxfId="0" text="▼">
      <formula>NOT(ISERROR(SEARCH("▼",Z94)))</formula>
    </cfRule>
    <cfRule type="containsText" priority="657" operator="containsText" dxfId="1" text="▲">
      <formula>NOT(ISERROR(SEARCH("▲",Z94)))</formula>
    </cfRule>
    <cfRule type="containsText" priority="658" operator="containsText" dxfId="0" text="▼">
      <formula>NOT(ISERROR(SEARCH("▼",Z94)))</formula>
    </cfRule>
  </conditionalFormatting>
  <conditionalFormatting sqref="Z89:AA89">
    <cfRule type="containsText" priority="655" operator="containsText" dxfId="1" text="△">
      <formula>NOT(ISERROR(SEARCH("△",Z89)))</formula>
    </cfRule>
    <cfRule type="containsText" priority="656" operator="containsText" dxfId="0" text="▽">
      <formula>NOT(ISERROR(SEARCH("▽",Z89)))</formula>
    </cfRule>
    <cfRule type="containsText" priority="653" operator="containsText" dxfId="1" text="▲">
      <formula>NOT(ISERROR(SEARCH("▲",Z89)))</formula>
    </cfRule>
    <cfRule type="containsText" priority="654" operator="containsText" dxfId="0" text="▼">
      <formula>NOT(ISERROR(SEARCH("▼",Z89)))</formula>
    </cfRule>
    <cfRule type="containsText" priority="651" operator="containsText" dxfId="1" text="▲">
      <formula>NOT(ISERROR(SEARCH("▲",Z89)))</formula>
    </cfRule>
    <cfRule type="containsText" priority="652" operator="containsText" dxfId="0" text="▼">
      <formula>NOT(ISERROR(SEARCH("▼",Z89)))</formula>
    </cfRule>
    <cfRule type="containsText" priority="649" operator="containsText" dxfId="1" text="▲">
      <formula>NOT(ISERROR(SEARCH("▲",Z89)))</formula>
    </cfRule>
    <cfRule type="containsText" priority="650" operator="containsText" dxfId="0" text="▼">
      <formula>NOT(ISERROR(SEARCH("▼",Z89)))</formula>
    </cfRule>
    <cfRule type="containsText" priority="647" operator="containsText" dxfId="1" text="▲">
      <formula>NOT(ISERROR(SEARCH("▲",Z89)))</formula>
    </cfRule>
    <cfRule type="containsText" priority="648" operator="containsText" dxfId="0" text="▼">
      <formula>NOT(ISERROR(SEARCH("▼",Z89)))</formula>
    </cfRule>
    <cfRule type="containsText" priority="645" operator="containsText" dxfId="1" text="▲">
      <formula>NOT(ISERROR(SEARCH("▲",Z89)))</formula>
    </cfRule>
    <cfRule type="containsText" priority="646" operator="containsText" dxfId="0" text="▼">
      <formula>NOT(ISERROR(SEARCH("▼",Z89)))</formula>
    </cfRule>
    <cfRule type="containsText" priority="643" operator="containsText" dxfId="1" text="▲">
      <formula>NOT(ISERROR(SEARCH("▲",Z89)))</formula>
    </cfRule>
    <cfRule type="containsText" priority="644" operator="containsText" dxfId="0" text="▼">
      <formula>NOT(ISERROR(SEARCH("▼",Z89)))</formula>
    </cfRule>
    <cfRule type="containsText" priority="641" operator="containsText" dxfId="1" text="▲">
      <formula>NOT(ISERROR(SEARCH("▲",Z89)))</formula>
    </cfRule>
    <cfRule type="containsText" priority="642" operator="containsText" dxfId="0" text="▼">
      <formula>NOT(ISERROR(SEARCH("▼",Z89)))</formula>
    </cfRule>
    <cfRule type="containsText" priority="639" operator="containsText" dxfId="1" text="▲">
      <formula>NOT(ISERROR(SEARCH("▲",Z89)))</formula>
    </cfRule>
    <cfRule type="containsText" priority="640" operator="containsText" dxfId="0" text="▼">
      <formula>NOT(ISERROR(SEARCH("▼",Z89)))</formula>
    </cfRule>
    <cfRule type="containsText" priority="637" operator="containsText" dxfId="1" text="▲">
      <formula>NOT(ISERROR(SEARCH("▲",Z89)))</formula>
    </cfRule>
    <cfRule type="containsText" priority="638" operator="containsText" dxfId="0" text="▼">
      <formula>NOT(ISERROR(SEARCH("▼",Z89)))</formula>
    </cfRule>
    <cfRule type="containsText" priority="635" operator="containsText" dxfId="1" text="▲">
      <formula>NOT(ISERROR(SEARCH("▲",Z89)))</formula>
    </cfRule>
    <cfRule type="containsText" priority="636" operator="containsText" dxfId="0" text="▼">
      <formula>NOT(ISERROR(SEARCH("▼",Z89)))</formula>
    </cfRule>
    <cfRule type="containsText" priority="633" operator="containsText" dxfId="1" text="▲">
      <formula>NOT(ISERROR(SEARCH("▲",Z89)))</formula>
    </cfRule>
    <cfRule type="containsText" priority="634" operator="containsText" dxfId="0" text="▼">
      <formula>NOT(ISERROR(SEARCH("▼",Z89)))</formula>
    </cfRule>
    <cfRule type="containsText" priority="631" operator="containsText" dxfId="1" text="▲">
      <formula>NOT(ISERROR(SEARCH("▲",Z89)))</formula>
    </cfRule>
    <cfRule type="containsText" priority="632" operator="containsText" dxfId="0" text="▼">
      <formula>NOT(ISERROR(SEARCH("▼",Z89)))</formula>
    </cfRule>
    <cfRule type="containsText" priority="629" operator="containsText" dxfId="1" text="▲">
      <formula>NOT(ISERROR(SEARCH("▲",Z89)))</formula>
    </cfRule>
    <cfRule type="containsText" priority="630" operator="containsText" dxfId="0" text="▼">
      <formula>NOT(ISERROR(SEARCH("▼",Z89)))</formula>
    </cfRule>
    <cfRule type="containsText" priority="627" operator="containsText" dxfId="1" text="▲">
      <formula>NOT(ISERROR(SEARCH("▲",Z89)))</formula>
    </cfRule>
    <cfRule type="containsText" priority="628" operator="containsText" dxfId="0" text="▼">
      <formula>NOT(ISERROR(SEARCH("▼",Z89)))</formula>
    </cfRule>
    <cfRule type="containsText" priority="625" operator="containsText" dxfId="1" text="▲">
      <formula>NOT(ISERROR(SEARCH("▲",Z89)))</formula>
    </cfRule>
    <cfRule type="containsText" priority="626" operator="containsText" dxfId="0" text="▼">
      <formula>NOT(ISERROR(SEARCH("▼",Z89)))</formula>
    </cfRule>
    <cfRule type="containsText" priority="623" operator="containsText" dxfId="1" text="▲">
      <formula>NOT(ISERROR(SEARCH("▲",Z89)))</formula>
    </cfRule>
    <cfRule type="containsText" priority="624" operator="containsText" dxfId="0" text="▼">
      <formula>NOT(ISERROR(SEARCH("▼",Z89)))</formula>
    </cfRule>
    <cfRule type="containsText" priority="621" operator="containsText" dxfId="1" text="▲">
      <formula>NOT(ISERROR(SEARCH("▲",Z89)))</formula>
    </cfRule>
    <cfRule type="containsText" priority="622" operator="containsText" dxfId="0" text="▼">
      <formula>NOT(ISERROR(SEARCH("▼",Z89)))</formula>
    </cfRule>
    <cfRule type="containsText" priority="619" operator="containsText" dxfId="1" text="▲">
      <formula>NOT(ISERROR(SEARCH("▲",Z89)))</formula>
    </cfRule>
    <cfRule type="containsText" priority="620" operator="containsText" dxfId="0" text="▼">
      <formula>NOT(ISERROR(SEARCH("▼",Z89)))</formula>
    </cfRule>
    <cfRule type="containsText" priority="617" operator="containsText" dxfId="1" text="▲">
      <formula>NOT(ISERROR(SEARCH("▲",Z89)))</formula>
    </cfRule>
    <cfRule type="containsText" priority="618" operator="containsText" dxfId="0" text="▼">
      <formula>NOT(ISERROR(SEARCH("▼",Z89)))</formula>
    </cfRule>
    <cfRule type="containsText" priority="615" operator="containsText" dxfId="1" text="▲">
      <formula>NOT(ISERROR(SEARCH("▲",Z89)))</formula>
    </cfRule>
    <cfRule type="containsText" priority="616" operator="containsText" dxfId="0" text="▼">
      <formula>NOT(ISERROR(SEARCH("▼",Z89)))</formula>
    </cfRule>
    <cfRule type="containsText" priority="613" operator="containsText" dxfId="1" text="▲">
      <formula>NOT(ISERROR(SEARCH("▲",Z89)))</formula>
    </cfRule>
    <cfRule type="containsText" priority="614" operator="containsText" dxfId="0" text="▼">
      <formula>NOT(ISERROR(SEARCH("▼",Z89)))</formula>
    </cfRule>
    <cfRule type="containsText" priority="611" operator="containsText" dxfId="1" text="▲">
      <formula>NOT(ISERROR(SEARCH("▲",Z89)))</formula>
    </cfRule>
    <cfRule type="containsText" priority="612" operator="containsText" dxfId="0" text="▼">
      <formula>NOT(ISERROR(SEARCH("▼",Z89)))</formula>
    </cfRule>
    <cfRule type="containsText" priority="609" operator="containsText" dxfId="1" text="▲">
      <formula>NOT(ISERROR(SEARCH("▲",Z89)))</formula>
    </cfRule>
    <cfRule type="containsText" priority="610" operator="containsText" dxfId="0" text="▼">
      <formula>NOT(ISERROR(SEARCH("▼",Z89)))</formula>
    </cfRule>
    <cfRule type="containsText" priority="607" operator="containsText" dxfId="1" text="▲">
      <formula>NOT(ISERROR(SEARCH("▲",Z89)))</formula>
    </cfRule>
    <cfRule type="containsText" priority="608" operator="containsText" dxfId="0" text="▼">
      <formula>NOT(ISERROR(SEARCH("▼",Z89)))</formula>
    </cfRule>
  </conditionalFormatting>
  <conditionalFormatting sqref="Z93:AA93">
    <cfRule type="containsText" priority="605" operator="containsText" dxfId="1" text="△">
      <formula>NOT(ISERROR(SEARCH("△",Z93)))</formula>
    </cfRule>
    <cfRule type="containsText" priority="606" operator="containsText" dxfId="0" text="▽">
      <formula>NOT(ISERROR(SEARCH("▽",Z93)))</formula>
    </cfRule>
    <cfRule type="containsText" priority="603" operator="containsText" dxfId="1" text="▲">
      <formula>NOT(ISERROR(SEARCH("▲",Z93)))</formula>
    </cfRule>
    <cfRule type="containsText" priority="604" operator="containsText" dxfId="0" text="▼">
      <formula>NOT(ISERROR(SEARCH("▼",Z93)))</formula>
    </cfRule>
    <cfRule type="containsText" priority="601" operator="containsText" dxfId="1" text="▲">
      <formula>NOT(ISERROR(SEARCH("▲",Z93)))</formula>
    </cfRule>
    <cfRule type="containsText" priority="602" operator="containsText" dxfId="0" text="▼">
      <formula>NOT(ISERROR(SEARCH("▼",Z93)))</formula>
    </cfRule>
    <cfRule type="containsText" priority="599" operator="containsText" dxfId="1" text="▲">
      <formula>NOT(ISERROR(SEARCH("▲",Z93)))</formula>
    </cfRule>
    <cfRule type="containsText" priority="600" operator="containsText" dxfId="0" text="▼">
      <formula>NOT(ISERROR(SEARCH("▼",Z93)))</formula>
    </cfRule>
    <cfRule type="containsText" priority="597" operator="containsText" dxfId="1" text="▲">
      <formula>NOT(ISERROR(SEARCH("▲",Z93)))</formula>
    </cfRule>
    <cfRule type="containsText" priority="598" operator="containsText" dxfId="0" text="▼">
      <formula>NOT(ISERROR(SEARCH("▼",Z93)))</formula>
    </cfRule>
    <cfRule type="containsText" priority="595" operator="containsText" dxfId="1" text="▲">
      <formula>NOT(ISERROR(SEARCH("▲",Z93)))</formula>
    </cfRule>
    <cfRule type="containsText" priority="596" operator="containsText" dxfId="0" text="▼">
      <formula>NOT(ISERROR(SEARCH("▼",Z93)))</formula>
    </cfRule>
    <cfRule type="containsText" priority="593" operator="containsText" dxfId="1" text="▲">
      <formula>NOT(ISERROR(SEARCH("▲",Z93)))</formula>
    </cfRule>
    <cfRule type="containsText" priority="594" operator="containsText" dxfId="0" text="▼">
      <formula>NOT(ISERROR(SEARCH("▼",Z93)))</formula>
    </cfRule>
    <cfRule type="containsText" priority="591" operator="containsText" dxfId="1" text="▲">
      <formula>NOT(ISERROR(SEARCH("▲",Z93)))</formula>
    </cfRule>
    <cfRule type="containsText" priority="592" operator="containsText" dxfId="0" text="▼">
      <formula>NOT(ISERROR(SEARCH("▼",Z93)))</formula>
    </cfRule>
    <cfRule type="containsText" priority="589" operator="containsText" dxfId="1" text="▲">
      <formula>NOT(ISERROR(SEARCH("▲",Z93)))</formula>
    </cfRule>
    <cfRule type="containsText" priority="590" operator="containsText" dxfId="0" text="▼">
      <formula>NOT(ISERROR(SEARCH("▼",Z93)))</formula>
    </cfRule>
    <cfRule type="containsText" priority="587" operator="containsText" dxfId="1" text="▲">
      <formula>NOT(ISERROR(SEARCH("▲",Z93)))</formula>
    </cfRule>
    <cfRule type="containsText" priority="588" operator="containsText" dxfId="0" text="▼">
      <formula>NOT(ISERROR(SEARCH("▼",Z93)))</formula>
    </cfRule>
    <cfRule type="containsText" priority="585" operator="containsText" dxfId="1" text="▲">
      <formula>NOT(ISERROR(SEARCH("▲",Z93)))</formula>
    </cfRule>
    <cfRule type="containsText" priority="586" operator="containsText" dxfId="0" text="▼">
      <formula>NOT(ISERROR(SEARCH("▼",Z93)))</formula>
    </cfRule>
    <cfRule type="containsText" priority="583" operator="containsText" dxfId="1" text="▲">
      <formula>NOT(ISERROR(SEARCH("▲",Z93)))</formula>
    </cfRule>
    <cfRule type="containsText" priority="584" operator="containsText" dxfId="0" text="▼">
      <formula>NOT(ISERROR(SEARCH("▼",Z93)))</formula>
    </cfRule>
    <cfRule type="containsText" priority="581" operator="containsText" dxfId="1" text="▲">
      <formula>NOT(ISERROR(SEARCH("▲",Z93)))</formula>
    </cfRule>
    <cfRule type="containsText" priority="582" operator="containsText" dxfId="0" text="▼">
      <formula>NOT(ISERROR(SEARCH("▼",Z93)))</formula>
    </cfRule>
    <cfRule type="containsText" priority="579" operator="containsText" dxfId="1" text="▲">
      <formula>NOT(ISERROR(SEARCH("▲",Z93)))</formula>
    </cfRule>
    <cfRule type="containsText" priority="580" operator="containsText" dxfId="0" text="▼">
      <formula>NOT(ISERROR(SEARCH("▼",Z93)))</formula>
    </cfRule>
    <cfRule type="containsText" priority="577" operator="containsText" dxfId="1" text="▲">
      <formula>NOT(ISERROR(SEARCH("▲",Z93)))</formula>
    </cfRule>
    <cfRule type="containsText" priority="578" operator="containsText" dxfId="0" text="▼">
      <formula>NOT(ISERROR(SEARCH("▼",Z93)))</formula>
    </cfRule>
    <cfRule type="containsText" priority="575" operator="containsText" dxfId="1" text="▲">
      <formula>NOT(ISERROR(SEARCH("▲",Z93)))</formula>
    </cfRule>
    <cfRule type="containsText" priority="576" operator="containsText" dxfId="0" text="▼">
      <formula>NOT(ISERROR(SEARCH("▼",Z93)))</formula>
    </cfRule>
    <cfRule type="containsText" priority="573" operator="containsText" dxfId="1" text="▲">
      <formula>NOT(ISERROR(SEARCH("▲",Z93)))</formula>
    </cfRule>
    <cfRule type="containsText" priority="574" operator="containsText" dxfId="0" text="▼">
      <formula>NOT(ISERROR(SEARCH("▼",Z93)))</formula>
    </cfRule>
    <cfRule type="containsText" priority="571" operator="containsText" dxfId="1" text="▲">
      <formula>NOT(ISERROR(SEARCH("▲",Z93)))</formula>
    </cfRule>
    <cfRule type="containsText" priority="572" operator="containsText" dxfId="0" text="▼">
      <formula>NOT(ISERROR(SEARCH("▼",Z93)))</formula>
    </cfRule>
    <cfRule type="containsText" priority="569" operator="containsText" dxfId="1" text="▲">
      <formula>NOT(ISERROR(SEARCH("▲",Z93)))</formula>
    </cfRule>
    <cfRule type="containsText" priority="570" operator="containsText" dxfId="0" text="▼">
      <formula>NOT(ISERROR(SEARCH("▼",Z93)))</formula>
    </cfRule>
    <cfRule type="containsText" priority="567" operator="containsText" dxfId="1" text="▲">
      <formula>NOT(ISERROR(SEARCH("▲",Z93)))</formula>
    </cfRule>
    <cfRule type="containsText" priority="568" operator="containsText" dxfId="0" text="▼">
      <formula>NOT(ISERROR(SEARCH("▼",Z93)))</formula>
    </cfRule>
    <cfRule type="containsText" priority="565" operator="containsText" dxfId="1" text="▲">
      <formula>NOT(ISERROR(SEARCH("▲",Z93)))</formula>
    </cfRule>
    <cfRule type="containsText" priority="566" operator="containsText" dxfId="0" text="▼">
      <formula>NOT(ISERROR(SEARCH("▼",Z93)))</formula>
    </cfRule>
    <cfRule type="containsText" priority="563" operator="containsText" dxfId="1" text="▲">
      <formula>NOT(ISERROR(SEARCH("▲",Z93)))</formula>
    </cfRule>
    <cfRule type="containsText" priority="564" operator="containsText" dxfId="0" text="▼">
      <formula>NOT(ISERROR(SEARCH("▼",Z93)))</formula>
    </cfRule>
    <cfRule type="containsText" priority="561" operator="containsText" dxfId="1" text="▲">
      <formula>NOT(ISERROR(SEARCH("▲",Z93)))</formula>
    </cfRule>
    <cfRule type="containsText" priority="562" operator="containsText" dxfId="0" text="▼">
      <formula>NOT(ISERROR(SEARCH("▼",Z93)))</formula>
    </cfRule>
    <cfRule type="containsText" priority="559" operator="containsText" dxfId="1" text="▲">
      <formula>NOT(ISERROR(SEARCH("▲",Z93)))</formula>
    </cfRule>
    <cfRule type="containsText" priority="560" operator="containsText" dxfId="0" text="▼">
      <formula>NOT(ISERROR(SEARCH("▼",Z93)))</formula>
    </cfRule>
    <cfRule type="containsText" priority="557" operator="containsText" dxfId="1" text="▲">
      <formula>NOT(ISERROR(SEARCH("▲",Z93)))</formula>
    </cfRule>
    <cfRule type="containsText" priority="558" operator="containsText" dxfId="0" text="▼">
      <formula>NOT(ISERROR(SEARCH("▼",Z93)))</formula>
    </cfRule>
  </conditionalFormatting>
  <conditionalFormatting sqref="Z61:AA64">
    <cfRule type="containsText" priority="555" operator="containsText" dxfId="1" text="△">
      <formula>NOT(ISERROR(SEARCH("△",Z61)))</formula>
    </cfRule>
    <cfRule type="containsText" priority="556" operator="containsText" dxfId="0" text="▽">
      <formula>NOT(ISERROR(SEARCH("▽",Z61)))</formula>
    </cfRule>
    <cfRule type="containsText" priority="553" operator="containsText" dxfId="1" text="▲">
      <formula>NOT(ISERROR(SEARCH("▲",Z61)))</formula>
    </cfRule>
    <cfRule type="containsText" priority="554" operator="containsText" dxfId="0" text="▼">
      <formula>NOT(ISERROR(SEARCH("▼",Z61)))</formula>
    </cfRule>
    <cfRule type="containsText" priority="551" operator="containsText" dxfId="1" text="▲">
      <formula>NOT(ISERROR(SEARCH("▲",Z61)))</formula>
    </cfRule>
    <cfRule type="containsText" priority="552" operator="containsText" dxfId="0" text="▼">
      <formula>NOT(ISERROR(SEARCH("▼",Z61)))</formula>
    </cfRule>
    <cfRule type="containsText" priority="549" operator="containsText" dxfId="1" text="▲">
      <formula>NOT(ISERROR(SEARCH("▲",Z61)))</formula>
    </cfRule>
    <cfRule type="containsText" priority="550" operator="containsText" dxfId="0" text="▼">
      <formula>NOT(ISERROR(SEARCH("▼",Z61)))</formula>
    </cfRule>
    <cfRule type="containsText" priority="547" operator="containsText" dxfId="1" text="▲">
      <formula>NOT(ISERROR(SEARCH("▲",Z61)))</formula>
    </cfRule>
    <cfRule type="containsText" priority="548" operator="containsText" dxfId="0" text="▼">
      <formula>NOT(ISERROR(SEARCH("▼",Z61)))</formula>
    </cfRule>
    <cfRule type="containsText" priority="545" operator="containsText" dxfId="1" text="▲">
      <formula>NOT(ISERROR(SEARCH("▲",Z61)))</formula>
    </cfRule>
    <cfRule type="containsText" priority="546" operator="containsText" dxfId="0" text="▼">
      <formula>NOT(ISERROR(SEARCH("▼",Z61)))</formula>
    </cfRule>
    <cfRule type="containsText" priority="543" operator="containsText" dxfId="1" text="▲">
      <formula>NOT(ISERROR(SEARCH("▲",Z61)))</formula>
    </cfRule>
    <cfRule type="containsText" priority="544" operator="containsText" dxfId="0" text="▼">
      <formula>NOT(ISERROR(SEARCH("▼",Z61)))</formula>
    </cfRule>
    <cfRule type="containsText" priority="541" operator="containsText" dxfId="1" text="▲">
      <formula>NOT(ISERROR(SEARCH("▲",Z61)))</formula>
    </cfRule>
    <cfRule type="containsText" priority="542" operator="containsText" dxfId="0" text="▼">
      <formula>NOT(ISERROR(SEARCH("▼",Z61)))</formula>
    </cfRule>
    <cfRule type="containsText" priority="539" operator="containsText" dxfId="1" text="▲">
      <formula>NOT(ISERROR(SEARCH("▲",Z61)))</formula>
    </cfRule>
    <cfRule type="containsText" priority="540" operator="containsText" dxfId="0" text="▼">
      <formula>NOT(ISERROR(SEARCH("▼",Z61)))</formula>
    </cfRule>
    <cfRule type="containsText" priority="537" operator="containsText" dxfId="1" text="▲">
      <formula>NOT(ISERROR(SEARCH("▲",Z61)))</formula>
    </cfRule>
    <cfRule type="containsText" priority="538" operator="containsText" dxfId="0" text="▼">
      <formula>NOT(ISERROR(SEARCH("▼",Z61)))</formula>
    </cfRule>
    <cfRule type="containsText" priority="535" operator="containsText" dxfId="1" text="▲">
      <formula>NOT(ISERROR(SEARCH("▲",Z61)))</formula>
    </cfRule>
    <cfRule type="containsText" priority="536" operator="containsText" dxfId="0" text="▼">
      <formula>NOT(ISERROR(SEARCH("▼",Z61)))</formula>
    </cfRule>
    <cfRule type="containsText" priority="533" operator="containsText" dxfId="1" text="▲">
      <formula>NOT(ISERROR(SEARCH("▲",Z61)))</formula>
    </cfRule>
    <cfRule type="containsText" priority="534" operator="containsText" dxfId="0" text="▼">
      <formula>NOT(ISERROR(SEARCH("▼",Z61)))</formula>
    </cfRule>
    <cfRule type="containsText" priority="531" operator="containsText" dxfId="1" text="▲">
      <formula>NOT(ISERROR(SEARCH("▲",Z61)))</formula>
    </cfRule>
    <cfRule type="containsText" priority="532" operator="containsText" dxfId="0" text="▼">
      <formula>NOT(ISERROR(SEARCH("▼",Z61)))</formula>
    </cfRule>
    <cfRule type="containsText" priority="529" operator="containsText" dxfId="1" text="▲">
      <formula>NOT(ISERROR(SEARCH("▲",Z61)))</formula>
    </cfRule>
    <cfRule type="containsText" priority="530" operator="containsText" dxfId="0" text="▼">
      <formula>NOT(ISERROR(SEARCH("▼",Z61)))</formula>
    </cfRule>
    <cfRule type="containsText" priority="527" operator="containsText" dxfId="1" text="▲">
      <formula>NOT(ISERROR(SEARCH("▲",Z61)))</formula>
    </cfRule>
    <cfRule type="containsText" priority="528" operator="containsText" dxfId="0" text="▼">
      <formula>NOT(ISERROR(SEARCH("▼",Z61)))</formula>
    </cfRule>
    <cfRule type="containsText" priority="525" operator="containsText" dxfId="1" text="▲">
      <formula>NOT(ISERROR(SEARCH("▲",Z61)))</formula>
    </cfRule>
    <cfRule type="containsText" priority="526" operator="containsText" dxfId="0" text="▼">
      <formula>NOT(ISERROR(SEARCH("▼",Z61)))</formula>
    </cfRule>
    <cfRule type="containsText" priority="523" operator="containsText" dxfId="1" text="▲">
      <formula>NOT(ISERROR(SEARCH("▲",Z61)))</formula>
    </cfRule>
    <cfRule type="containsText" priority="524" operator="containsText" dxfId="0" text="▼">
      <formula>NOT(ISERROR(SEARCH("▼",Z61)))</formula>
    </cfRule>
    <cfRule type="containsText" priority="521" operator="containsText" dxfId="1" text="▲">
      <formula>NOT(ISERROR(SEARCH("▲",Z61)))</formula>
    </cfRule>
    <cfRule type="containsText" priority="522" operator="containsText" dxfId="0" text="▼">
      <formula>NOT(ISERROR(SEARCH("▼",Z61)))</formula>
    </cfRule>
    <cfRule type="containsText" priority="519" operator="containsText" dxfId="1" text="▲">
      <formula>NOT(ISERROR(SEARCH("▲",Z61)))</formula>
    </cfRule>
    <cfRule type="containsText" priority="520" operator="containsText" dxfId="0" text="▼">
      <formula>NOT(ISERROR(SEARCH("▼",Z61)))</formula>
    </cfRule>
    <cfRule type="containsText" priority="517" operator="containsText" dxfId="1" text="▲">
      <formula>NOT(ISERROR(SEARCH("▲",Z61)))</formula>
    </cfRule>
    <cfRule type="containsText" priority="518" operator="containsText" dxfId="0" text="▼">
      <formula>NOT(ISERROR(SEARCH("▼",Z61)))</formula>
    </cfRule>
    <cfRule type="containsText" priority="515" operator="containsText" dxfId="1" text="▲">
      <formula>NOT(ISERROR(SEARCH("▲",Z61)))</formula>
    </cfRule>
    <cfRule type="containsText" priority="516" operator="containsText" dxfId="0" text="▼">
      <formula>NOT(ISERROR(SEARCH("▼",Z61)))</formula>
    </cfRule>
    <cfRule type="containsText" priority="513" operator="containsText" dxfId="1" text="▲">
      <formula>NOT(ISERROR(SEARCH("▲",Z61)))</formula>
    </cfRule>
    <cfRule type="containsText" priority="514" operator="containsText" dxfId="0" text="▼">
      <formula>NOT(ISERROR(SEARCH("▼",Z61)))</formula>
    </cfRule>
    <cfRule type="containsText" priority="511" operator="containsText" dxfId="1" text="▲">
      <formula>NOT(ISERROR(SEARCH("▲",Z61)))</formula>
    </cfRule>
    <cfRule type="containsText" priority="512" operator="containsText" dxfId="0" text="▼">
      <formula>NOT(ISERROR(SEARCH("▼",Z61)))</formula>
    </cfRule>
    <cfRule type="containsText" priority="509" operator="containsText" dxfId="1" text="▲">
      <formula>NOT(ISERROR(SEARCH("▲",Z61)))</formula>
    </cfRule>
    <cfRule type="containsText" priority="510" operator="containsText" dxfId="0" text="▼">
      <formula>NOT(ISERROR(SEARCH("▼",Z61)))</formula>
    </cfRule>
    <cfRule type="containsText" priority="507" operator="containsText" dxfId="1" text="▲">
      <formula>NOT(ISERROR(SEARCH("▲",Z61)))</formula>
    </cfRule>
    <cfRule type="containsText" priority="508" operator="containsText" dxfId="0" text="▼">
      <formula>NOT(ISERROR(SEARCH("▼",Z61)))</formula>
    </cfRule>
  </conditionalFormatting>
  <conditionalFormatting sqref="Z91:AA91">
    <cfRule type="containsText" priority="505" operator="containsText" dxfId="1" text="△">
      <formula>NOT(ISERROR(SEARCH("△",Z91)))</formula>
    </cfRule>
    <cfRule type="containsText" priority="506" operator="containsText" dxfId="0" text="▽">
      <formula>NOT(ISERROR(SEARCH("▽",Z91)))</formula>
    </cfRule>
    <cfRule type="containsText" priority="503" operator="containsText" dxfId="1" text="▲">
      <formula>NOT(ISERROR(SEARCH("▲",Z91)))</formula>
    </cfRule>
    <cfRule type="containsText" priority="504" operator="containsText" dxfId="0" text="▼">
      <formula>NOT(ISERROR(SEARCH("▼",Z91)))</formula>
    </cfRule>
    <cfRule type="containsText" priority="501" operator="containsText" dxfId="1" text="▲">
      <formula>NOT(ISERROR(SEARCH("▲",Z91)))</formula>
    </cfRule>
    <cfRule type="containsText" priority="502" operator="containsText" dxfId="0" text="▼">
      <formula>NOT(ISERROR(SEARCH("▼",Z91)))</formula>
    </cfRule>
    <cfRule type="containsText" priority="499" operator="containsText" dxfId="1" text="▲">
      <formula>NOT(ISERROR(SEARCH("▲",Z91)))</formula>
    </cfRule>
    <cfRule type="containsText" priority="500" operator="containsText" dxfId="0" text="▼">
      <formula>NOT(ISERROR(SEARCH("▼",Z91)))</formula>
    </cfRule>
    <cfRule type="containsText" priority="497" operator="containsText" dxfId="1" text="▲">
      <formula>NOT(ISERROR(SEARCH("▲",Z91)))</formula>
    </cfRule>
    <cfRule type="containsText" priority="498" operator="containsText" dxfId="0" text="▼">
      <formula>NOT(ISERROR(SEARCH("▼",Z91)))</formula>
    </cfRule>
    <cfRule type="containsText" priority="495" operator="containsText" dxfId="1" text="▲">
      <formula>NOT(ISERROR(SEARCH("▲",Z91)))</formula>
    </cfRule>
    <cfRule type="containsText" priority="496" operator="containsText" dxfId="0" text="▼">
      <formula>NOT(ISERROR(SEARCH("▼",Z91)))</formula>
    </cfRule>
    <cfRule type="containsText" priority="493" operator="containsText" dxfId="1" text="▲">
      <formula>NOT(ISERROR(SEARCH("▲",Z91)))</formula>
    </cfRule>
    <cfRule type="containsText" priority="494" operator="containsText" dxfId="0" text="▼">
      <formula>NOT(ISERROR(SEARCH("▼",Z91)))</formula>
    </cfRule>
    <cfRule type="containsText" priority="491" operator="containsText" dxfId="1" text="▲">
      <formula>NOT(ISERROR(SEARCH("▲",Z91)))</formula>
    </cfRule>
    <cfRule type="containsText" priority="492" operator="containsText" dxfId="0" text="▼">
      <formula>NOT(ISERROR(SEARCH("▼",Z91)))</formula>
    </cfRule>
    <cfRule type="containsText" priority="489" operator="containsText" dxfId="1" text="▲">
      <formula>NOT(ISERROR(SEARCH("▲",Z91)))</formula>
    </cfRule>
    <cfRule type="containsText" priority="490" operator="containsText" dxfId="0" text="▼">
      <formula>NOT(ISERROR(SEARCH("▼",Z91)))</formula>
    </cfRule>
    <cfRule type="containsText" priority="487" operator="containsText" dxfId="1" text="▲">
      <formula>NOT(ISERROR(SEARCH("▲",Z91)))</formula>
    </cfRule>
    <cfRule type="containsText" priority="488" operator="containsText" dxfId="0" text="▼">
      <formula>NOT(ISERROR(SEARCH("▼",Z91)))</formula>
    </cfRule>
    <cfRule type="containsText" priority="485" operator="containsText" dxfId="1" text="▲">
      <formula>NOT(ISERROR(SEARCH("▲",Z91)))</formula>
    </cfRule>
    <cfRule type="containsText" priority="486" operator="containsText" dxfId="0" text="▼">
      <formula>NOT(ISERROR(SEARCH("▼",Z91)))</formula>
    </cfRule>
    <cfRule type="containsText" priority="483" operator="containsText" dxfId="1" text="▲">
      <formula>NOT(ISERROR(SEARCH("▲",Z91)))</formula>
    </cfRule>
    <cfRule type="containsText" priority="484" operator="containsText" dxfId="0" text="▼">
      <formula>NOT(ISERROR(SEARCH("▼",Z91)))</formula>
    </cfRule>
    <cfRule type="containsText" priority="481" operator="containsText" dxfId="1" text="▲">
      <formula>NOT(ISERROR(SEARCH("▲",Z91)))</formula>
    </cfRule>
    <cfRule type="containsText" priority="482" operator="containsText" dxfId="0" text="▼">
      <formula>NOT(ISERROR(SEARCH("▼",Z91)))</formula>
    </cfRule>
    <cfRule type="containsText" priority="479" operator="containsText" dxfId="1" text="▲">
      <formula>NOT(ISERROR(SEARCH("▲",Z91)))</formula>
    </cfRule>
    <cfRule type="containsText" priority="480" operator="containsText" dxfId="0" text="▼">
      <formula>NOT(ISERROR(SEARCH("▼",Z91)))</formula>
    </cfRule>
    <cfRule type="containsText" priority="477" operator="containsText" dxfId="1" text="▲">
      <formula>NOT(ISERROR(SEARCH("▲",Z91)))</formula>
    </cfRule>
    <cfRule type="containsText" priority="478" operator="containsText" dxfId="0" text="▼">
      <formula>NOT(ISERROR(SEARCH("▼",Z91)))</formula>
    </cfRule>
    <cfRule type="containsText" priority="475" operator="containsText" dxfId="1" text="▲">
      <formula>NOT(ISERROR(SEARCH("▲",Z91)))</formula>
    </cfRule>
    <cfRule type="containsText" priority="476" operator="containsText" dxfId="0" text="▼">
      <formula>NOT(ISERROR(SEARCH("▼",Z91)))</formula>
    </cfRule>
    <cfRule type="containsText" priority="473" operator="containsText" dxfId="1" text="▲">
      <formula>NOT(ISERROR(SEARCH("▲",Z91)))</formula>
    </cfRule>
    <cfRule type="containsText" priority="474" operator="containsText" dxfId="0" text="▼">
      <formula>NOT(ISERROR(SEARCH("▼",Z91)))</formula>
    </cfRule>
    <cfRule type="containsText" priority="471" operator="containsText" dxfId="1" text="▲">
      <formula>NOT(ISERROR(SEARCH("▲",Z91)))</formula>
    </cfRule>
    <cfRule type="containsText" priority="472" operator="containsText" dxfId="0" text="▼">
      <formula>NOT(ISERROR(SEARCH("▼",Z91)))</formula>
    </cfRule>
    <cfRule type="containsText" priority="469" operator="containsText" dxfId="1" text="▲">
      <formula>NOT(ISERROR(SEARCH("▲",Z91)))</formula>
    </cfRule>
    <cfRule type="containsText" priority="470" operator="containsText" dxfId="0" text="▼">
      <formula>NOT(ISERROR(SEARCH("▼",Z91)))</formula>
    </cfRule>
    <cfRule type="containsText" priority="467" operator="containsText" dxfId="1" text="▲">
      <formula>NOT(ISERROR(SEARCH("▲",Z91)))</formula>
    </cfRule>
    <cfRule type="containsText" priority="468" operator="containsText" dxfId="0" text="▼">
      <formula>NOT(ISERROR(SEARCH("▼",Z91)))</formula>
    </cfRule>
    <cfRule type="containsText" priority="465" operator="containsText" dxfId="1" text="▲">
      <formula>NOT(ISERROR(SEARCH("▲",Z91)))</formula>
    </cfRule>
    <cfRule type="containsText" priority="466" operator="containsText" dxfId="0" text="▼">
      <formula>NOT(ISERROR(SEARCH("▼",Z91)))</formula>
    </cfRule>
    <cfRule type="containsText" priority="463" operator="containsText" dxfId="1" text="▲">
      <formula>NOT(ISERROR(SEARCH("▲",Z91)))</formula>
    </cfRule>
    <cfRule type="containsText" priority="464" operator="containsText" dxfId="0" text="▼">
      <formula>NOT(ISERROR(SEARCH("▼",Z91)))</formula>
    </cfRule>
    <cfRule type="containsText" priority="461" operator="containsText" dxfId="1" text="▲">
      <formula>NOT(ISERROR(SEARCH("▲",Z91)))</formula>
    </cfRule>
    <cfRule type="containsText" priority="462" operator="containsText" dxfId="0" text="▼">
      <formula>NOT(ISERROR(SEARCH("▼",Z91)))</formula>
    </cfRule>
    <cfRule type="containsText" priority="459" operator="containsText" dxfId="1" text="▲">
      <formula>NOT(ISERROR(SEARCH("▲",Z91)))</formula>
    </cfRule>
    <cfRule type="containsText" priority="460" operator="containsText" dxfId="0" text="▼">
      <formula>NOT(ISERROR(SEARCH("▼",Z91)))</formula>
    </cfRule>
    <cfRule type="containsText" priority="457" operator="containsText" dxfId="1" text="▲">
      <formula>NOT(ISERROR(SEARCH("▲",Z91)))</formula>
    </cfRule>
    <cfRule type="containsText" priority="458" operator="containsText" dxfId="0" text="▼">
      <formula>NOT(ISERROR(SEARCH("▼",Z91)))</formula>
    </cfRule>
  </conditionalFormatting>
  <conditionalFormatting sqref="Z92:AA92">
    <cfRule type="containsText" priority="455" operator="containsText" dxfId="1" text="▲">
      <formula>NOT(ISERROR(SEARCH("▲",Z92)))</formula>
    </cfRule>
    <cfRule type="containsText" priority="456" operator="containsText" dxfId="0" text="▼">
      <formula>NOT(ISERROR(SEARCH("▼",Z92)))</formula>
    </cfRule>
  </conditionalFormatting>
  <conditionalFormatting sqref="Z95:AA95">
    <cfRule type="containsText" priority="453" operator="containsText" dxfId="1" text="△">
      <formula>NOT(ISERROR(SEARCH("△",Z95)))</formula>
    </cfRule>
    <cfRule type="containsText" priority="454" operator="containsText" dxfId="0" text="▽">
      <formula>NOT(ISERROR(SEARCH("▽",Z95)))</formula>
    </cfRule>
    <cfRule type="containsText" priority="451" operator="containsText" dxfId="1" text="▲">
      <formula>NOT(ISERROR(SEARCH("▲",Z95)))</formula>
    </cfRule>
    <cfRule type="containsText" priority="452" operator="containsText" dxfId="0" text="▼">
      <formula>NOT(ISERROR(SEARCH("▼",Z95)))</formula>
    </cfRule>
    <cfRule type="containsText" priority="449" operator="containsText" dxfId="1" text="▲">
      <formula>NOT(ISERROR(SEARCH("▲",Z95)))</formula>
    </cfRule>
    <cfRule type="containsText" priority="450" operator="containsText" dxfId="0" text="▼">
      <formula>NOT(ISERROR(SEARCH("▼",Z95)))</formula>
    </cfRule>
    <cfRule type="containsText" priority="447" operator="containsText" dxfId="1" text="▲">
      <formula>NOT(ISERROR(SEARCH("▲",Z95)))</formula>
    </cfRule>
    <cfRule type="containsText" priority="448" operator="containsText" dxfId="0" text="▼">
      <formula>NOT(ISERROR(SEARCH("▼",Z95)))</formula>
    </cfRule>
    <cfRule type="containsText" priority="445" operator="containsText" dxfId="1" text="▲">
      <formula>NOT(ISERROR(SEARCH("▲",Z95)))</formula>
    </cfRule>
    <cfRule type="containsText" priority="446" operator="containsText" dxfId="0" text="▼">
      <formula>NOT(ISERROR(SEARCH("▼",Z95)))</formula>
    </cfRule>
    <cfRule type="containsText" priority="443" operator="containsText" dxfId="1" text="▲">
      <formula>NOT(ISERROR(SEARCH("▲",Z95)))</formula>
    </cfRule>
    <cfRule type="containsText" priority="444" operator="containsText" dxfId="0" text="▼">
      <formula>NOT(ISERROR(SEARCH("▼",Z95)))</formula>
    </cfRule>
    <cfRule type="containsText" priority="441" operator="containsText" dxfId="1" text="▲">
      <formula>NOT(ISERROR(SEARCH("▲",Z95)))</formula>
    </cfRule>
    <cfRule type="containsText" priority="442" operator="containsText" dxfId="0" text="▼">
      <formula>NOT(ISERROR(SEARCH("▼",Z95)))</formula>
    </cfRule>
    <cfRule type="containsText" priority="439" operator="containsText" dxfId="1" text="▲">
      <formula>NOT(ISERROR(SEARCH("▲",Z95)))</formula>
    </cfRule>
    <cfRule type="containsText" priority="440" operator="containsText" dxfId="0" text="▼">
      <formula>NOT(ISERROR(SEARCH("▼",Z95)))</formula>
    </cfRule>
    <cfRule type="containsText" priority="437" operator="containsText" dxfId="1" text="▲">
      <formula>NOT(ISERROR(SEARCH("▲",Z95)))</formula>
    </cfRule>
    <cfRule type="containsText" priority="438" operator="containsText" dxfId="0" text="▼">
      <formula>NOT(ISERROR(SEARCH("▼",Z95)))</formula>
    </cfRule>
    <cfRule type="containsText" priority="435" operator="containsText" dxfId="1" text="▲">
      <formula>NOT(ISERROR(SEARCH("▲",Z95)))</formula>
    </cfRule>
    <cfRule type="containsText" priority="436" operator="containsText" dxfId="0" text="▼">
      <formula>NOT(ISERROR(SEARCH("▼",Z95)))</formula>
    </cfRule>
    <cfRule type="containsText" priority="433" operator="containsText" dxfId="1" text="▲">
      <formula>NOT(ISERROR(SEARCH("▲",Z95)))</formula>
    </cfRule>
    <cfRule type="containsText" priority="434" operator="containsText" dxfId="0" text="▼">
      <formula>NOT(ISERROR(SEARCH("▼",Z95)))</formula>
    </cfRule>
    <cfRule type="containsText" priority="431" operator="containsText" dxfId="1" text="▲">
      <formula>NOT(ISERROR(SEARCH("▲",Z95)))</formula>
    </cfRule>
    <cfRule type="containsText" priority="432" operator="containsText" dxfId="0" text="▼">
      <formula>NOT(ISERROR(SEARCH("▼",Z95)))</formula>
    </cfRule>
    <cfRule type="containsText" priority="429" operator="containsText" dxfId="1" text="▲">
      <formula>NOT(ISERROR(SEARCH("▲",Z95)))</formula>
    </cfRule>
    <cfRule type="containsText" priority="430" operator="containsText" dxfId="0" text="▼">
      <formula>NOT(ISERROR(SEARCH("▼",Z95)))</formula>
    </cfRule>
    <cfRule type="containsText" priority="427" operator="containsText" dxfId="1" text="▲">
      <formula>NOT(ISERROR(SEARCH("▲",Z95)))</formula>
    </cfRule>
    <cfRule type="containsText" priority="428" operator="containsText" dxfId="0" text="▼">
      <formula>NOT(ISERROR(SEARCH("▼",Z95)))</formula>
    </cfRule>
    <cfRule type="containsText" priority="425" operator="containsText" dxfId="1" text="▲">
      <formula>NOT(ISERROR(SEARCH("▲",Z95)))</formula>
    </cfRule>
    <cfRule type="containsText" priority="426" operator="containsText" dxfId="0" text="▼">
      <formula>NOT(ISERROR(SEARCH("▼",Z95)))</formula>
    </cfRule>
    <cfRule type="containsText" priority="423" operator="containsText" dxfId="1" text="▲">
      <formula>NOT(ISERROR(SEARCH("▲",Z95)))</formula>
    </cfRule>
    <cfRule type="containsText" priority="424" operator="containsText" dxfId="0" text="▼">
      <formula>NOT(ISERROR(SEARCH("▼",Z95)))</formula>
    </cfRule>
    <cfRule type="containsText" priority="421" operator="containsText" dxfId="1" text="▲">
      <formula>NOT(ISERROR(SEARCH("▲",Z95)))</formula>
    </cfRule>
    <cfRule type="containsText" priority="422" operator="containsText" dxfId="0" text="▼">
      <formula>NOT(ISERROR(SEARCH("▼",Z95)))</formula>
    </cfRule>
    <cfRule type="containsText" priority="419" operator="containsText" dxfId="1" text="▲">
      <formula>NOT(ISERROR(SEARCH("▲",Z95)))</formula>
    </cfRule>
    <cfRule type="containsText" priority="420" operator="containsText" dxfId="0" text="▼">
      <formula>NOT(ISERROR(SEARCH("▼",Z95)))</formula>
    </cfRule>
    <cfRule type="containsText" priority="417" operator="containsText" dxfId="1" text="▲">
      <formula>NOT(ISERROR(SEARCH("▲",Z95)))</formula>
    </cfRule>
    <cfRule type="containsText" priority="418" operator="containsText" dxfId="0" text="▼">
      <formula>NOT(ISERROR(SEARCH("▼",Z95)))</formula>
    </cfRule>
    <cfRule type="containsText" priority="415" operator="containsText" dxfId="1" text="▲">
      <formula>NOT(ISERROR(SEARCH("▲",Z95)))</formula>
    </cfRule>
    <cfRule type="containsText" priority="416" operator="containsText" dxfId="0" text="▼">
      <formula>NOT(ISERROR(SEARCH("▼",Z95)))</formula>
    </cfRule>
    <cfRule type="containsText" priority="413" operator="containsText" dxfId="1" text="▲">
      <formula>NOT(ISERROR(SEARCH("▲",Z95)))</formula>
    </cfRule>
    <cfRule type="containsText" priority="414" operator="containsText" dxfId="0" text="▼">
      <formula>NOT(ISERROR(SEARCH("▼",Z95)))</formula>
    </cfRule>
    <cfRule type="containsText" priority="411" operator="containsText" dxfId="1" text="▲">
      <formula>NOT(ISERROR(SEARCH("▲",Z95)))</formula>
    </cfRule>
    <cfRule type="containsText" priority="412" operator="containsText" dxfId="0" text="▼">
      <formula>NOT(ISERROR(SEARCH("▼",Z95)))</formula>
    </cfRule>
    <cfRule type="containsText" priority="409" operator="containsText" dxfId="1" text="▲">
      <formula>NOT(ISERROR(SEARCH("▲",Z95)))</formula>
    </cfRule>
    <cfRule type="containsText" priority="410" operator="containsText" dxfId="0" text="▼">
      <formula>NOT(ISERROR(SEARCH("▼",Z95)))</formula>
    </cfRule>
    <cfRule type="containsText" priority="407" operator="containsText" dxfId="1" text="▲">
      <formula>NOT(ISERROR(SEARCH("▲",Z95)))</formula>
    </cfRule>
    <cfRule type="containsText" priority="408" operator="containsText" dxfId="0" text="▼">
      <formula>NOT(ISERROR(SEARCH("▼",Z95)))</formula>
    </cfRule>
    <cfRule type="containsText" priority="405" operator="containsText" dxfId="1" text="▲">
      <formula>NOT(ISERROR(SEARCH("▲",Z95)))</formula>
    </cfRule>
    <cfRule type="containsText" priority="406" operator="containsText" dxfId="0" text="▼">
      <formula>NOT(ISERROR(SEARCH("▼",Z95)))</formula>
    </cfRule>
  </conditionalFormatting>
  <conditionalFormatting sqref="Z97:AA97 Z102:AA102">
    <cfRule type="containsText" priority="403" operator="containsText" dxfId="1" text="△">
      <formula>NOT(ISERROR(SEARCH("△",Z97)))</formula>
    </cfRule>
    <cfRule type="containsText" priority="404" operator="containsText" dxfId="0" text="▽">
      <formula>NOT(ISERROR(SEARCH("▽",Z97)))</formula>
    </cfRule>
    <cfRule type="containsText" priority="401" operator="containsText" dxfId="1" text="▲">
      <formula>NOT(ISERROR(SEARCH("▲",Z97)))</formula>
    </cfRule>
    <cfRule type="containsText" priority="402" operator="containsText" dxfId="0" text="▼">
      <formula>NOT(ISERROR(SEARCH("▼",Z97)))</formula>
    </cfRule>
    <cfRule type="containsText" priority="399" operator="containsText" dxfId="1" text="▲">
      <formula>NOT(ISERROR(SEARCH("▲",Z97)))</formula>
    </cfRule>
    <cfRule type="containsText" priority="400" operator="containsText" dxfId="0" text="▼">
      <formula>NOT(ISERROR(SEARCH("▼",Z97)))</formula>
    </cfRule>
    <cfRule type="containsText" priority="397" operator="containsText" dxfId="1" text="▲">
      <formula>NOT(ISERROR(SEARCH("▲",Z97)))</formula>
    </cfRule>
    <cfRule type="containsText" priority="398" operator="containsText" dxfId="0" text="▼">
      <formula>NOT(ISERROR(SEARCH("▼",Z97)))</formula>
    </cfRule>
    <cfRule type="containsText" priority="395" operator="containsText" dxfId="1" text="▲">
      <formula>NOT(ISERROR(SEARCH("▲",Z97)))</formula>
    </cfRule>
    <cfRule type="containsText" priority="396" operator="containsText" dxfId="0" text="▼">
      <formula>NOT(ISERROR(SEARCH("▼",Z97)))</formula>
    </cfRule>
    <cfRule type="containsText" priority="393" operator="containsText" dxfId="1" text="▲">
      <formula>NOT(ISERROR(SEARCH("▲",Z97)))</formula>
    </cfRule>
    <cfRule type="containsText" priority="394" operator="containsText" dxfId="0" text="▼">
      <formula>NOT(ISERROR(SEARCH("▼",Z97)))</formula>
    </cfRule>
    <cfRule type="containsText" priority="391" operator="containsText" dxfId="1" text="▲">
      <formula>NOT(ISERROR(SEARCH("▲",Z97)))</formula>
    </cfRule>
    <cfRule type="containsText" priority="392" operator="containsText" dxfId="0" text="▼">
      <formula>NOT(ISERROR(SEARCH("▼",Z97)))</formula>
    </cfRule>
    <cfRule type="containsText" priority="389" operator="containsText" dxfId="1" text="▲">
      <formula>NOT(ISERROR(SEARCH("▲",Z97)))</formula>
    </cfRule>
    <cfRule type="containsText" priority="390" operator="containsText" dxfId="0" text="▼">
      <formula>NOT(ISERROR(SEARCH("▼",Z97)))</formula>
    </cfRule>
    <cfRule type="containsText" priority="387" operator="containsText" dxfId="1" text="▲">
      <formula>NOT(ISERROR(SEARCH("▲",Z97)))</formula>
    </cfRule>
    <cfRule type="containsText" priority="388" operator="containsText" dxfId="0" text="▼">
      <formula>NOT(ISERROR(SEARCH("▼",Z97)))</formula>
    </cfRule>
    <cfRule type="containsText" priority="385" operator="containsText" dxfId="1" text="▲">
      <formula>NOT(ISERROR(SEARCH("▲",Z97)))</formula>
    </cfRule>
    <cfRule type="containsText" priority="386" operator="containsText" dxfId="0" text="▼">
      <formula>NOT(ISERROR(SEARCH("▼",Z97)))</formula>
    </cfRule>
    <cfRule type="containsText" priority="383" operator="containsText" dxfId="1" text="▲">
      <formula>NOT(ISERROR(SEARCH("▲",Z97)))</formula>
    </cfRule>
    <cfRule type="containsText" priority="384" operator="containsText" dxfId="0" text="▼">
      <formula>NOT(ISERROR(SEARCH("▼",Z97)))</formula>
    </cfRule>
    <cfRule type="containsText" priority="381" operator="containsText" dxfId="1" text="▲">
      <formula>NOT(ISERROR(SEARCH("▲",Z97)))</formula>
    </cfRule>
    <cfRule type="containsText" priority="382" operator="containsText" dxfId="0" text="▼">
      <formula>NOT(ISERROR(SEARCH("▼",Z97)))</formula>
    </cfRule>
    <cfRule type="containsText" priority="379" operator="containsText" dxfId="1" text="▲">
      <formula>NOT(ISERROR(SEARCH("▲",Z97)))</formula>
    </cfRule>
    <cfRule type="containsText" priority="380" operator="containsText" dxfId="0" text="▼">
      <formula>NOT(ISERROR(SEARCH("▼",Z97)))</formula>
    </cfRule>
    <cfRule type="containsText" priority="377" operator="containsText" dxfId="1" text="▲">
      <formula>NOT(ISERROR(SEARCH("▲",Z97)))</formula>
    </cfRule>
    <cfRule type="containsText" priority="378" operator="containsText" dxfId="0" text="▼">
      <formula>NOT(ISERROR(SEARCH("▼",Z97)))</formula>
    </cfRule>
    <cfRule type="containsText" priority="375" operator="containsText" dxfId="1" text="▲">
      <formula>NOT(ISERROR(SEARCH("▲",Z97)))</formula>
    </cfRule>
    <cfRule type="containsText" priority="376" operator="containsText" dxfId="0" text="▼">
      <formula>NOT(ISERROR(SEARCH("▼",Z97)))</formula>
    </cfRule>
    <cfRule type="containsText" priority="373" operator="containsText" dxfId="1" text="▲">
      <formula>NOT(ISERROR(SEARCH("▲",Z97)))</formula>
    </cfRule>
    <cfRule type="containsText" priority="374" operator="containsText" dxfId="0" text="▼">
      <formula>NOT(ISERROR(SEARCH("▼",Z97)))</formula>
    </cfRule>
    <cfRule type="containsText" priority="371" operator="containsText" dxfId="1" text="▲">
      <formula>NOT(ISERROR(SEARCH("▲",Z97)))</formula>
    </cfRule>
    <cfRule type="containsText" priority="372" operator="containsText" dxfId="0" text="▼">
      <formula>NOT(ISERROR(SEARCH("▼",Z97)))</formula>
    </cfRule>
    <cfRule type="containsText" priority="369" operator="containsText" dxfId="1" text="▲">
      <formula>NOT(ISERROR(SEARCH("▲",Z97)))</formula>
    </cfRule>
    <cfRule type="containsText" priority="370" operator="containsText" dxfId="0" text="▼">
      <formula>NOT(ISERROR(SEARCH("▼",Z97)))</formula>
    </cfRule>
    <cfRule type="containsText" priority="367" operator="containsText" dxfId="1" text="▲">
      <formula>NOT(ISERROR(SEARCH("▲",Z97)))</formula>
    </cfRule>
    <cfRule type="containsText" priority="368" operator="containsText" dxfId="0" text="▼">
      <formula>NOT(ISERROR(SEARCH("▼",Z97)))</formula>
    </cfRule>
    <cfRule type="containsText" priority="365" operator="containsText" dxfId="1" text="▲">
      <formula>NOT(ISERROR(SEARCH("▲",Z97)))</formula>
    </cfRule>
    <cfRule type="containsText" priority="366" operator="containsText" dxfId="0" text="▼">
      <formula>NOT(ISERROR(SEARCH("▼",Z97)))</formula>
    </cfRule>
    <cfRule type="containsText" priority="363" operator="containsText" dxfId="1" text="▲">
      <formula>NOT(ISERROR(SEARCH("▲",Z97)))</formula>
    </cfRule>
    <cfRule type="containsText" priority="364" operator="containsText" dxfId="0" text="▼">
      <formula>NOT(ISERROR(SEARCH("▼",Z97)))</formula>
    </cfRule>
    <cfRule type="containsText" priority="361" operator="containsText" dxfId="1" text="▲">
      <formula>NOT(ISERROR(SEARCH("▲",Z97)))</formula>
    </cfRule>
    <cfRule type="containsText" priority="362" operator="containsText" dxfId="0" text="▼">
      <formula>NOT(ISERROR(SEARCH("▼",Z97)))</formula>
    </cfRule>
    <cfRule type="containsText" priority="359" operator="containsText" dxfId="1" text="▲">
      <formula>NOT(ISERROR(SEARCH("▲",Z97)))</formula>
    </cfRule>
    <cfRule type="containsText" priority="360" operator="containsText" dxfId="0" text="▼">
      <formula>NOT(ISERROR(SEARCH("▼",Z97)))</formula>
    </cfRule>
    <cfRule type="containsText" priority="357" operator="containsText" dxfId="1" text="▲">
      <formula>NOT(ISERROR(SEARCH("▲",Z97)))</formula>
    </cfRule>
    <cfRule type="containsText" priority="358" operator="containsText" dxfId="0" text="▼">
      <formula>NOT(ISERROR(SEARCH("▼",Z97)))</formula>
    </cfRule>
    <cfRule type="containsText" priority="355" operator="containsText" dxfId="1" text="▲">
      <formula>NOT(ISERROR(SEARCH("▲",Z97)))</formula>
    </cfRule>
    <cfRule type="containsText" priority="356" operator="containsText" dxfId="0" text="▼">
      <formula>NOT(ISERROR(SEARCH("▼",Z97)))</formula>
    </cfRule>
  </conditionalFormatting>
  <conditionalFormatting sqref="Z96:AA96">
    <cfRule type="containsText" priority="353" operator="containsText" dxfId="1" text="△">
      <formula>NOT(ISERROR(SEARCH("△",Z96)))</formula>
    </cfRule>
    <cfRule type="containsText" priority="354" operator="containsText" dxfId="0" text="▽">
      <formula>NOT(ISERROR(SEARCH("▽",Z96)))</formula>
    </cfRule>
    <cfRule type="containsText" priority="351" operator="containsText" dxfId="1" text="▲">
      <formula>NOT(ISERROR(SEARCH("▲",Z96)))</formula>
    </cfRule>
    <cfRule type="containsText" priority="352" operator="containsText" dxfId="0" text="▼">
      <formula>NOT(ISERROR(SEARCH("▼",Z96)))</formula>
    </cfRule>
    <cfRule type="containsText" priority="349" operator="containsText" dxfId="1" text="▲">
      <formula>NOT(ISERROR(SEARCH("▲",Z96)))</formula>
    </cfRule>
    <cfRule type="containsText" priority="350" operator="containsText" dxfId="0" text="▼">
      <formula>NOT(ISERROR(SEARCH("▼",Z96)))</formula>
    </cfRule>
    <cfRule type="containsText" priority="347" operator="containsText" dxfId="1" text="▲">
      <formula>NOT(ISERROR(SEARCH("▲",Z96)))</formula>
    </cfRule>
    <cfRule type="containsText" priority="348" operator="containsText" dxfId="0" text="▼">
      <formula>NOT(ISERROR(SEARCH("▼",Z96)))</formula>
    </cfRule>
    <cfRule type="containsText" priority="345" operator="containsText" dxfId="1" text="▲">
      <formula>NOT(ISERROR(SEARCH("▲",Z96)))</formula>
    </cfRule>
    <cfRule type="containsText" priority="346" operator="containsText" dxfId="0" text="▼">
      <formula>NOT(ISERROR(SEARCH("▼",Z96)))</formula>
    </cfRule>
    <cfRule type="containsText" priority="343" operator="containsText" dxfId="1" text="▲">
      <formula>NOT(ISERROR(SEARCH("▲",Z96)))</formula>
    </cfRule>
    <cfRule type="containsText" priority="344" operator="containsText" dxfId="0" text="▼">
      <formula>NOT(ISERROR(SEARCH("▼",Z96)))</formula>
    </cfRule>
    <cfRule type="containsText" priority="341" operator="containsText" dxfId="1" text="▲">
      <formula>NOT(ISERROR(SEARCH("▲",Z96)))</formula>
    </cfRule>
    <cfRule type="containsText" priority="342" operator="containsText" dxfId="0" text="▼">
      <formula>NOT(ISERROR(SEARCH("▼",Z96)))</formula>
    </cfRule>
    <cfRule type="containsText" priority="339" operator="containsText" dxfId="1" text="▲">
      <formula>NOT(ISERROR(SEARCH("▲",Z96)))</formula>
    </cfRule>
    <cfRule type="containsText" priority="340" operator="containsText" dxfId="0" text="▼">
      <formula>NOT(ISERROR(SEARCH("▼",Z96)))</formula>
    </cfRule>
    <cfRule type="containsText" priority="337" operator="containsText" dxfId="1" text="▲">
      <formula>NOT(ISERROR(SEARCH("▲",Z96)))</formula>
    </cfRule>
    <cfRule type="containsText" priority="338" operator="containsText" dxfId="0" text="▼">
      <formula>NOT(ISERROR(SEARCH("▼",Z96)))</formula>
    </cfRule>
    <cfRule type="containsText" priority="335" operator="containsText" dxfId="1" text="▲">
      <formula>NOT(ISERROR(SEARCH("▲",Z96)))</formula>
    </cfRule>
    <cfRule type="containsText" priority="336" operator="containsText" dxfId="0" text="▼">
      <formula>NOT(ISERROR(SEARCH("▼",Z96)))</formula>
    </cfRule>
    <cfRule type="containsText" priority="333" operator="containsText" dxfId="1" text="▲">
      <formula>NOT(ISERROR(SEARCH("▲",Z96)))</formula>
    </cfRule>
    <cfRule type="containsText" priority="334" operator="containsText" dxfId="0" text="▼">
      <formula>NOT(ISERROR(SEARCH("▼",Z96)))</formula>
    </cfRule>
    <cfRule type="containsText" priority="331" operator="containsText" dxfId="1" text="▲">
      <formula>NOT(ISERROR(SEARCH("▲",Z96)))</formula>
    </cfRule>
    <cfRule type="containsText" priority="332" operator="containsText" dxfId="0" text="▼">
      <formula>NOT(ISERROR(SEARCH("▼",Z96)))</formula>
    </cfRule>
    <cfRule type="containsText" priority="329" operator="containsText" dxfId="1" text="▲">
      <formula>NOT(ISERROR(SEARCH("▲",Z96)))</formula>
    </cfRule>
    <cfRule type="containsText" priority="330" operator="containsText" dxfId="0" text="▼">
      <formula>NOT(ISERROR(SEARCH("▼",Z96)))</formula>
    </cfRule>
    <cfRule type="containsText" priority="327" operator="containsText" dxfId="1" text="▲">
      <formula>NOT(ISERROR(SEARCH("▲",Z96)))</formula>
    </cfRule>
    <cfRule type="containsText" priority="328" operator="containsText" dxfId="0" text="▼">
      <formula>NOT(ISERROR(SEARCH("▼",Z96)))</formula>
    </cfRule>
    <cfRule type="containsText" priority="325" operator="containsText" dxfId="1" text="▲">
      <formula>NOT(ISERROR(SEARCH("▲",Z96)))</formula>
    </cfRule>
    <cfRule type="containsText" priority="326" operator="containsText" dxfId="0" text="▼">
      <formula>NOT(ISERROR(SEARCH("▼",Z96)))</formula>
    </cfRule>
    <cfRule type="containsText" priority="323" operator="containsText" dxfId="1" text="▲">
      <formula>NOT(ISERROR(SEARCH("▲",Z96)))</formula>
    </cfRule>
    <cfRule type="containsText" priority="324" operator="containsText" dxfId="0" text="▼">
      <formula>NOT(ISERROR(SEARCH("▼",Z96)))</formula>
    </cfRule>
    <cfRule type="containsText" priority="321" operator="containsText" dxfId="1" text="▲">
      <formula>NOT(ISERROR(SEARCH("▲",Z96)))</formula>
    </cfRule>
    <cfRule type="containsText" priority="322" operator="containsText" dxfId="0" text="▼">
      <formula>NOT(ISERROR(SEARCH("▼",Z96)))</formula>
    </cfRule>
    <cfRule type="containsText" priority="319" operator="containsText" dxfId="1" text="▲">
      <formula>NOT(ISERROR(SEARCH("▲",Z96)))</formula>
    </cfRule>
    <cfRule type="containsText" priority="320" operator="containsText" dxfId="0" text="▼">
      <formula>NOT(ISERROR(SEARCH("▼",Z96)))</formula>
    </cfRule>
    <cfRule type="containsText" priority="317" operator="containsText" dxfId="1" text="▲">
      <formula>NOT(ISERROR(SEARCH("▲",Z96)))</formula>
    </cfRule>
    <cfRule type="containsText" priority="318" operator="containsText" dxfId="0" text="▼">
      <formula>NOT(ISERROR(SEARCH("▼",Z96)))</formula>
    </cfRule>
    <cfRule type="containsText" priority="315" operator="containsText" dxfId="1" text="▲">
      <formula>NOT(ISERROR(SEARCH("▲",Z96)))</formula>
    </cfRule>
    <cfRule type="containsText" priority="316" operator="containsText" dxfId="0" text="▼">
      <formula>NOT(ISERROR(SEARCH("▼",Z96)))</formula>
    </cfRule>
    <cfRule type="containsText" priority="313" operator="containsText" dxfId="1" text="▲">
      <formula>NOT(ISERROR(SEARCH("▲",Z96)))</formula>
    </cfRule>
    <cfRule type="containsText" priority="314" operator="containsText" dxfId="0" text="▼">
      <formula>NOT(ISERROR(SEARCH("▼",Z96)))</formula>
    </cfRule>
    <cfRule type="containsText" priority="311" operator="containsText" dxfId="1" text="▲">
      <formula>NOT(ISERROR(SEARCH("▲",Z96)))</formula>
    </cfRule>
    <cfRule type="containsText" priority="312" operator="containsText" dxfId="0" text="▼">
      <formula>NOT(ISERROR(SEARCH("▼",Z96)))</formula>
    </cfRule>
    <cfRule type="containsText" priority="309" operator="containsText" dxfId="1" text="▲">
      <formula>NOT(ISERROR(SEARCH("▲",Z96)))</formula>
    </cfRule>
    <cfRule type="containsText" priority="310" operator="containsText" dxfId="0" text="▼">
      <formula>NOT(ISERROR(SEARCH("▼",Z96)))</formula>
    </cfRule>
    <cfRule type="containsText" priority="307" operator="containsText" dxfId="1" text="▲">
      <formula>NOT(ISERROR(SEARCH("▲",Z96)))</formula>
    </cfRule>
    <cfRule type="containsText" priority="308" operator="containsText" dxfId="0" text="▼">
      <formula>NOT(ISERROR(SEARCH("▼",Z96)))</formula>
    </cfRule>
    <cfRule type="containsText" priority="305" operator="containsText" dxfId="1" text="▲">
      <formula>NOT(ISERROR(SEARCH("▲",Z96)))</formula>
    </cfRule>
    <cfRule type="containsText" priority="306" operator="containsText" dxfId="0" text="▼">
      <formula>NOT(ISERROR(SEARCH("▼",Z96)))</formula>
    </cfRule>
  </conditionalFormatting>
  <conditionalFormatting sqref="Z98:AA98">
    <cfRule type="containsText" priority="303" operator="containsText" dxfId="1" text="△">
      <formula>NOT(ISERROR(SEARCH("△",Z98)))</formula>
    </cfRule>
    <cfRule type="containsText" priority="304" operator="containsText" dxfId="0" text="▽">
      <formula>NOT(ISERROR(SEARCH("▽",Z98)))</formula>
    </cfRule>
    <cfRule type="containsText" priority="301" operator="containsText" dxfId="1" text="▲">
      <formula>NOT(ISERROR(SEARCH("▲",Z98)))</formula>
    </cfRule>
    <cfRule type="containsText" priority="302" operator="containsText" dxfId="0" text="▼">
      <formula>NOT(ISERROR(SEARCH("▼",Z98)))</formula>
    </cfRule>
    <cfRule type="containsText" priority="299" operator="containsText" dxfId="1" text="▲">
      <formula>NOT(ISERROR(SEARCH("▲",Z98)))</formula>
    </cfRule>
    <cfRule type="containsText" priority="300" operator="containsText" dxfId="0" text="▼">
      <formula>NOT(ISERROR(SEARCH("▼",Z98)))</formula>
    </cfRule>
    <cfRule type="containsText" priority="297" operator="containsText" dxfId="1" text="▲">
      <formula>NOT(ISERROR(SEARCH("▲",Z98)))</formula>
    </cfRule>
    <cfRule type="containsText" priority="298" operator="containsText" dxfId="0" text="▼">
      <formula>NOT(ISERROR(SEARCH("▼",Z98)))</formula>
    </cfRule>
    <cfRule type="containsText" priority="295" operator="containsText" dxfId="1" text="▲">
      <formula>NOT(ISERROR(SEARCH("▲",Z98)))</formula>
    </cfRule>
    <cfRule type="containsText" priority="296" operator="containsText" dxfId="0" text="▼">
      <formula>NOT(ISERROR(SEARCH("▼",Z98)))</formula>
    </cfRule>
    <cfRule type="containsText" priority="293" operator="containsText" dxfId="1" text="▲">
      <formula>NOT(ISERROR(SEARCH("▲",Z98)))</formula>
    </cfRule>
    <cfRule type="containsText" priority="294" operator="containsText" dxfId="0" text="▼">
      <formula>NOT(ISERROR(SEARCH("▼",Z98)))</formula>
    </cfRule>
    <cfRule type="containsText" priority="291" operator="containsText" dxfId="1" text="▲">
      <formula>NOT(ISERROR(SEARCH("▲",Z98)))</formula>
    </cfRule>
    <cfRule type="containsText" priority="292" operator="containsText" dxfId="0" text="▼">
      <formula>NOT(ISERROR(SEARCH("▼",Z98)))</formula>
    </cfRule>
    <cfRule type="containsText" priority="289" operator="containsText" dxfId="1" text="▲">
      <formula>NOT(ISERROR(SEARCH("▲",Z98)))</formula>
    </cfRule>
    <cfRule type="containsText" priority="290" operator="containsText" dxfId="0" text="▼">
      <formula>NOT(ISERROR(SEARCH("▼",Z98)))</formula>
    </cfRule>
    <cfRule type="containsText" priority="287" operator="containsText" dxfId="1" text="▲">
      <formula>NOT(ISERROR(SEARCH("▲",Z98)))</formula>
    </cfRule>
    <cfRule type="containsText" priority="288" operator="containsText" dxfId="0" text="▼">
      <formula>NOT(ISERROR(SEARCH("▼",Z98)))</formula>
    </cfRule>
    <cfRule type="containsText" priority="285" operator="containsText" dxfId="1" text="▲">
      <formula>NOT(ISERROR(SEARCH("▲",Z98)))</formula>
    </cfRule>
    <cfRule type="containsText" priority="286" operator="containsText" dxfId="0" text="▼">
      <formula>NOT(ISERROR(SEARCH("▼",Z98)))</formula>
    </cfRule>
    <cfRule type="containsText" priority="283" operator="containsText" dxfId="1" text="▲">
      <formula>NOT(ISERROR(SEARCH("▲",Z98)))</formula>
    </cfRule>
    <cfRule type="containsText" priority="284" operator="containsText" dxfId="0" text="▼">
      <formula>NOT(ISERROR(SEARCH("▼",Z98)))</formula>
    </cfRule>
    <cfRule type="containsText" priority="281" operator="containsText" dxfId="1" text="▲">
      <formula>NOT(ISERROR(SEARCH("▲",Z98)))</formula>
    </cfRule>
    <cfRule type="containsText" priority="282" operator="containsText" dxfId="0" text="▼">
      <formula>NOT(ISERROR(SEARCH("▼",Z98)))</formula>
    </cfRule>
    <cfRule type="containsText" priority="279" operator="containsText" dxfId="1" text="▲">
      <formula>NOT(ISERROR(SEARCH("▲",Z98)))</formula>
    </cfRule>
    <cfRule type="containsText" priority="280" operator="containsText" dxfId="0" text="▼">
      <formula>NOT(ISERROR(SEARCH("▼",Z98)))</formula>
    </cfRule>
    <cfRule type="containsText" priority="277" operator="containsText" dxfId="1" text="▲">
      <formula>NOT(ISERROR(SEARCH("▲",Z98)))</formula>
    </cfRule>
    <cfRule type="containsText" priority="278" operator="containsText" dxfId="0" text="▼">
      <formula>NOT(ISERROR(SEARCH("▼",Z98)))</formula>
    </cfRule>
    <cfRule type="containsText" priority="275" operator="containsText" dxfId="1" text="▲">
      <formula>NOT(ISERROR(SEARCH("▲",Z98)))</formula>
    </cfRule>
    <cfRule type="containsText" priority="276" operator="containsText" dxfId="0" text="▼">
      <formula>NOT(ISERROR(SEARCH("▼",Z98)))</formula>
    </cfRule>
    <cfRule type="containsText" priority="273" operator="containsText" dxfId="1" text="▲">
      <formula>NOT(ISERROR(SEARCH("▲",Z98)))</formula>
    </cfRule>
    <cfRule type="containsText" priority="274" operator="containsText" dxfId="0" text="▼">
      <formula>NOT(ISERROR(SEARCH("▼",Z98)))</formula>
    </cfRule>
    <cfRule type="containsText" priority="271" operator="containsText" dxfId="1" text="▲">
      <formula>NOT(ISERROR(SEARCH("▲",Z98)))</formula>
    </cfRule>
    <cfRule type="containsText" priority="272" operator="containsText" dxfId="0" text="▼">
      <formula>NOT(ISERROR(SEARCH("▼",Z98)))</formula>
    </cfRule>
    <cfRule type="containsText" priority="269" operator="containsText" dxfId="1" text="▲">
      <formula>NOT(ISERROR(SEARCH("▲",Z98)))</formula>
    </cfRule>
    <cfRule type="containsText" priority="270" operator="containsText" dxfId="0" text="▼">
      <formula>NOT(ISERROR(SEARCH("▼",Z98)))</formula>
    </cfRule>
    <cfRule type="containsText" priority="267" operator="containsText" dxfId="1" text="▲">
      <formula>NOT(ISERROR(SEARCH("▲",Z98)))</formula>
    </cfRule>
    <cfRule type="containsText" priority="268" operator="containsText" dxfId="0" text="▼">
      <formula>NOT(ISERROR(SEARCH("▼",Z98)))</formula>
    </cfRule>
    <cfRule type="containsText" priority="265" operator="containsText" dxfId="1" text="▲">
      <formula>NOT(ISERROR(SEARCH("▲",Z98)))</formula>
    </cfRule>
    <cfRule type="containsText" priority="266" operator="containsText" dxfId="0" text="▼">
      <formula>NOT(ISERROR(SEARCH("▼",Z98)))</formula>
    </cfRule>
    <cfRule type="containsText" priority="263" operator="containsText" dxfId="1" text="▲">
      <formula>NOT(ISERROR(SEARCH("▲",Z98)))</formula>
    </cfRule>
    <cfRule type="containsText" priority="264" operator="containsText" dxfId="0" text="▼">
      <formula>NOT(ISERROR(SEARCH("▼",Z98)))</formula>
    </cfRule>
    <cfRule type="containsText" priority="261" operator="containsText" dxfId="1" text="▲">
      <formula>NOT(ISERROR(SEARCH("▲",Z98)))</formula>
    </cfRule>
    <cfRule type="containsText" priority="262" operator="containsText" dxfId="0" text="▼">
      <formula>NOT(ISERROR(SEARCH("▼",Z98)))</formula>
    </cfRule>
    <cfRule type="containsText" priority="259" operator="containsText" dxfId="1" text="▲">
      <formula>NOT(ISERROR(SEARCH("▲",Z98)))</formula>
    </cfRule>
    <cfRule type="containsText" priority="260" operator="containsText" dxfId="0" text="▼">
      <formula>NOT(ISERROR(SEARCH("▼",Z98)))</formula>
    </cfRule>
    <cfRule type="containsText" priority="257" operator="containsText" dxfId="1" text="▲">
      <formula>NOT(ISERROR(SEARCH("▲",Z98)))</formula>
    </cfRule>
    <cfRule type="containsText" priority="258" operator="containsText" dxfId="0" text="▼">
      <formula>NOT(ISERROR(SEARCH("▼",Z98)))</formula>
    </cfRule>
    <cfRule type="containsText" priority="255" operator="containsText" dxfId="1" text="▲">
      <formula>NOT(ISERROR(SEARCH("▲",Z98)))</formula>
    </cfRule>
    <cfRule type="containsText" priority="256" operator="containsText" dxfId="0" text="▼">
      <formula>NOT(ISERROR(SEARCH("▼",Z98)))</formula>
    </cfRule>
  </conditionalFormatting>
  <conditionalFormatting sqref="Z62:AA62">
    <cfRule type="containsText" priority="253" operator="containsText" dxfId="1" text="△">
      <formula>NOT(ISERROR(SEARCH("△",Z62)))</formula>
    </cfRule>
    <cfRule type="containsText" priority="254" operator="containsText" dxfId="0" text="▽">
      <formula>NOT(ISERROR(SEARCH("▽",Z62)))</formula>
    </cfRule>
    <cfRule type="containsText" priority="251" operator="containsText" dxfId="1" text="▲">
      <formula>NOT(ISERROR(SEARCH("▲",Z62)))</formula>
    </cfRule>
    <cfRule type="containsText" priority="252" operator="containsText" dxfId="0" text="▼">
      <formula>NOT(ISERROR(SEARCH("▼",Z62)))</formula>
    </cfRule>
    <cfRule type="containsText" priority="249" operator="containsText" dxfId="1" text="▲">
      <formula>NOT(ISERROR(SEARCH("▲",Z62)))</formula>
    </cfRule>
    <cfRule type="containsText" priority="250" operator="containsText" dxfId="0" text="▼">
      <formula>NOT(ISERROR(SEARCH("▼",Z62)))</formula>
    </cfRule>
    <cfRule type="containsText" priority="247" operator="containsText" dxfId="1" text="▲">
      <formula>NOT(ISERROR(SEARCH("▲",Z62)))</formula>
    </cfRule>
    <cfRule type="containsText" priority="248" operator="containsText" dxfId="0" text="▼">
      <formula>NOT(ISERROR(SEARCH("▼",Z62)))</formula>
    </cfRule>
    <cfRule type="containsText" priority="245" operator="containsText" dxfId="1" text="▲">
      <formula>NOT(ISERROR(SEARCH("▲",Z62)))</formula>
    </cfRule>
    <cfRule type="containsText" priority="246" operator="containsText" dxfId="0" text="▼">
      <formula>NOT(ISERROR(SEARCH("▼",Z62)))</formula>
    </cfRule>
    <cfRule type="containsText" priority="243" operator="containsText" dxfId="1" text="▲">
      <formula>NOT(ISERROR(SEARCH("▲",Z62)))</formula>
    </cfRule>
    <cfRule type="containsText" priority="244" operator="containsText" dxfId="0" text="▼">
      <formula>NOT(ISERROR(SEARCH("▼",Z62)))</formula>
    </cfRule>
    <cfRule type="containsText" priority="241" operator="containsText" dxfId="1" text="▲">
      <formula>NOT(ISERROR(SEARCH("▲",Z62)))</formula>
    </cfRule>
    <cfRule type="containsText" priority="242" operator="containsText" dxfId="0" text="▼">
      <formula>NOT(ISERROR(SEARCH("▼",Z62)))</formula>
    </cfRule>
    <cfRule type="containsText" priority="239" operator="containsText" dxfId="1" text="▲">
      <formula>NOT(ISERROR(SEARCH("▲",Z62)))</formula>
    </cfRule>
    <cfRule type="containsText" priority="240" operator="containsText" dxfId="0" text="▼">
      <formula>NOT(ISERROR(SEARCH("▼",Z62)))</formula>
    </cfRule>
    <cfRule type="containsText" priority="237" operator="containsText" dxfId="1" text="▲">
      <formula>NOT(ISERROR(SEARCH("▲",Z62)))</formula>
    </cfRule>
    <cfRule type="containsText" priority="238" operator="containsText" dxfId="0" text="▼">
      <formula>NOT(ISERROR(SEARCH("▼",Z62)))</formula>
    </cfRule>
    <cfRule type="containsText" priority="235" operator="containsText" dxfId="1" text="▲">
      <formula>NOT(ISERROR(SEARCH("▲",Z62)))</formula>
    </cfRule>
    <cfRule type="containsText" priority="236" operator="containsText" dxfId="0" text="▼">
      <formula>NOT(ISERROR(SEARCH("▼",Z62)))</formula>
    </cfRule>
    <cfRule type="containsText" priority="233" operator="containsText" dxfId="1" text="▲">
      <formula>NOT(ISERROR(SEARCH("▲",Z62)))</formula>
    </cfRule>
    <cfRule type="containsText" priority="234" operator="containsText" dxfId="0" text="▼">
      <formula>NOT(ISERROR(SEARCH("▼",Z62)))</formula>
    </cfRule>
    <cfRule type="containsText" priority="231" operator="containsText" dxfId="1" text="▲">
      <formula>NOT(ISERROR(SEARCH("▲",Z62)))</formula>
    </cfRule>
    <cfRule type="containsText" priority="232" operator="containsText" dxfId="0" text="▼">
      <formula>NOT(ISERROR(SEARCH("▼",Z62)))</formula>
    </cfRule>
    <cfRule type="containsText" priority="229" operator="containsText" dxfId="1" text="▲">
      <formula>NOT(ISERROR(SEARCH("▲",Z62)))</formula>
    </cfRule>
    <cfRule type="containsText" priority="230" operator="containsText" dxfId="0" text="▼">
      <formula>NOT(ISERROR(SEARCH("▼",Z62)))</formula>
    </cfRule>
    <cfRule type="containsText" priority="227" operator="containsText" dxfId="1" text="▲">
      <formula>NOT(ISERROR(SEARCH("▲",Z62)))</formula>
    </cfRule>
    <cfRule type="containsText" priority="228" operator="containsText" dxfId="0" text="▼">
      <formula>NOT(ISERROR(SEARCH("▼",Z62)))</formula>
    </cfRule>
    <cfRule type="containsText" priority="225" operator="containsText" dxfId="1" text="▲">
      <formula>NOT(ISERROR(SEARCH("▲",Z62)))</formula>
    </cfRule>
    <cfRule type="containsText" priority="226" operator="containsText" dxfId="0" text="▼">
      <formula>NOT(ISERROR(SEARCH("▼",Z62)))</formula>
    </cfRule>
    <cfRule type="containsText" priority="223" operator="containsText" dxfId="1" text="▲">
      <formula>NOT(ISERROR(SEARCH("▲",Z62)))</formula>
    </cfRule>
    <cfRule type="containsText" priority="224" operator="containsText" dxfId="0" text="▼">
      <formula>NOT(ISERROR(SEARCH("▼",Z62)))</formula>
    </cfRule>
    <cfRule type="containsText" priority="221" operator="containsText" dxfId="1" text="▲">
      <formula>NOT(ISERROR(SEARCH("▲",Z62)))</formula>
    </cfRule>
    <cfRule type="containsText" priority="222" operator="containsText" dxfId="0" text="▼">
      <formula>NOT(ISERROR(SEARCH("▼",Z62)))</formula>
    </cfRule>
    <cfRule type="containsText" priority="219" operator="containsText" dxfId="1" text="▲">
      <formula>NOT(ISERROR(SEARCH("▲",Z62)))</formula>
    </cfRule>
    <cfRule type="containsText" priority="220" operator="containsText" dxfId="0" text="▼">
      <formula>NOT(ISERROR(SEARCH("▼",Z62)))</formula>
    </cfRule>
    <cfRule type="containsText" priority="217" operator="containsText" dxfId="1" text="▲">
      <formula>NOT(ISERROR(SEARCH("▲",Z62)))</formula>
    </cfRule>
    <cfRule type="containsText" priority="218" operator="containsText" dxfId="0" text="▼">
      <formula>NOT(ISERROR(SEARCH("▼",Z62)))</formula>
    </cfRule>
    <cfRule type="containsText" priority="215" operator="containsText" dxfId="1" text="▲">
      <formula>NOT(ISERROR(SEARCH("▲",Z62)))</formula>
    </cfRule>
    <cfRule type="containsText" priority="216" operator="containsText" dxfId="0" text="▼">
      <formula>NOT(ISERROR(SEARCH("▼",Z62)))</formula>
    </cfRule>
    <cfRule type="containsText" priority="213" operator="containsText" dxfId="1" text="▲">
      <formula>NOT(ISERROR(SEARCH("▲",Z62)))</formula>
    </cfRule>
    <cfRule type="containsText" priority="214" operator="containsText" dxfId="0" text="▼">
      <formula>NOT(ISERROR(SEARCH("▼",Z62)))</formula>
    </cfRule>
    <cfRule type="containsText" priority="211" operator="containsText" dxfId="1" text="▲">
      <formula>NOT(ISERROR(SEARCH("▲",Z62)))</formula>
    </cfRule>
    <cfRule type="containsText" priority="212" operator="containsText" dxfId="0" text="▼">
      <formula>NOT(ISERROR(SEARCH("▼",Z62)))</formula>
    </cfRule>
    <cfRule type="containsText" priority="209" operator="containsText" dxfId="1" text="▲">
      <formula>NOT(ISERROR(SEARCH("▲",Z62)))</formula>
    </cfRule>
    <cfRule type="containsText" priority="210" operator="containsText" dxfId="0" text="▼">
      <formula>NOT(ISERROR(SEARCH("▼",Z62)))</formula>
    </cfRule>
    <cfRule type="containsText" priority="207" operator="containsText" dxfId="1" text="▲">
      <formula>NOT(ISERROR(SEARCH("▲",Z62)))</formula>
    </cfRule>
    <cfRule type="containsText" priority="208" operator="containsText" dxfId="0" text="▼">
      <formula>NOT(ISERROR(SEARCH("▼",Z62)))</formula>
    </cfRule>
    <cfRule type="containsText" priority="205" operator="containsText" dxfId="1" text="▲">
      <formula>NOT(ISERROR(SEARCH("▲",Z62)))</formula>
    </cfRule>
    <cfRule type="containsText" priority="206" operator="containsText" dxfId="0" text="▼">
      <formula>NOT(ISERROR(SEARCH("▼",Z62)))</formula>
    </cfRule>
  </conditionalFormatting>
  <conditionalFormatting sqref="Z63:AA63">
    <cfRule type="containsText" priority="203" operator="containsText" dxfId="1" text="△">
      <formula>NOT(ISERROR(SEARCH("△",Z63)))</formula>
    </cfRule>
    <cfRule type="containsText" priority="204" operator="containsText" dxfId="0" text="▽">
      <formula>NOT(ISERROR(SEARCH("▽",Z63)))</formula>
    </cfRule>
    <cfRule type="containsText" priority="201" operator="containsText" dxfId="1" text="▲">
      <formula>NOT(ISERROR(SEARCH("▲",Z63)))</formula>
    </cfRule>
    <cfRule type="containsText" priority="202" operator="containsText" dxfId="0" text="▼">
      <formula>NOT(ISERROR(SEARCH("▼",Z63)))</formula>
    </cfRule>
    <cfRule type="containsText" priority="199" operator="containsText" dxfId="1" text="▲">
      <formula>NOT(ISERROR(SEARCH("▲",Z63)))</formula>
    </cfRule>
    <cfRule type="containsText" priority="200" operator="containsText" dxfId="0" text="▼">
      <formula>NOT(ISERROR(SEARCH("▼",Z63)))</formula>
    </cfRule>
    <cfRule type="containsText" priority="197" operator="containsText" dxfId="1" text="▲">
      <formula>NOT(ISERROR(SEARCH("▲",Z63)))</formula>
    </cfRule>
    <cfRule type="containsText" priority="198" operator="containsText" dxfId="0" text="▼">
      <formula>NOT(ISERROR(SEARCH("▼",Z63)))</formula>
    </cfRule>
    <cfRule type="containsText" priority="195" operator="containsText" dxfId="1" text="▲">
      <formula>NOT(ISERROR(SEARCH("▲",Z63)))</formula>
    </cfRule>
    <cfRule type="containsText" priority="196" operator="containsText" dxfId="0" text="▼">
      <formula>NOT(ISERROR(SEARCH("▼",Z63)))</formula>
    </cfRule>
    <cfRule type="containsText" priority="193" operator="containsText" dxfId="1" text="▲">
      <formula>NOT(ISERROR(SEARCH("▲",Z63)))</formula>
    </cfRule>
    <cfRule type="containsText" priority="194" operator="containsText" dxfId="0" text="▼">
      <formula>NOT(ISERROR(SEARCH("▼",Z63)))</formula>
    </cfRule>
    <cfRule type="containsText" priority="191" operator="containsText" dxfId="1" text="▲">
      <formula>NOT(ISERROR(SEARCH("▲",Z63)))</formula>
    </cfRule>
    <cfRule type="containsText" priority="192" operator="containsText" dxfId="0" text="▼">
      <formula>NOT(ISERROR(SEARCH("▼",Z63)))</formula>
    </cfRule>
    <cfRule type="containsText" priority="189" operator="containsText" dxfId="1" text="▲">
      <formula>NOT(ISERROR(SEARCH("▲",Z63)))</formula>
    </cfRule>
    <cfRule type="containsText" priority="190" operator="containsText" dxfId="0" text="▼">
      <formula>NOT(ISERROR(SEARCH("▼",Z63)))</formula>
    </cfRule>
    <cfRule type="containsText" priority="187" operator="containsText" dxfId="1" text="▲">
      <formula>NOT(ISERROR(SEARCH("▲",Z63)))</formula>
    </cfRule>
    <cfRule type="containsText" priority="188" operator="containsText" dxfId="0" text="▼">
      <formula>NOT(ISERROR(SEARCH("▼",Z63)))</formula>
    </cfRule>
    <cfRule type="containsText" priority="185" operator="containsText" dxfId="1" text="▲">
      <formula>NOT(ISERROR(SEARCH("▲",Z63)))</formula>
    </cfRule>
    <cfRule type="containsText" priority="186" operator="containsText" dxfId="0" text="▼">
      <formula>NOT(ISERROR(SEARCH("▼",Z63)))</formula>
    </cfRule>
    <cfRule type="containsText" priority="183" operator="containsText" dxfId="1" text="▲">
      <formula>NOT(ISERROR(SEARCH("▲",Z63)))</formula>
    </cfRule>
    <cfRule type="containsText" priority="184" operator="containsText" dxfId="0" text="▼">
      <formula>NOT(ISERROR(SEARCH("▼",Z63)))</formula>
    </cfRule>
    <cfRule type="containsText" priority="181" operator="containsText" dxfId="1" text="▲">
      <formula>NOT(ISERROR(SEARCH("▲",Z63)))</formula>
    </cfRule>
    <cfRule type="containsText" priority="182" operator="containsText" dxfId="0" text="▼">
      <formula>NOT(ISERROR(SEARCH("▼",Z63)))</formula>
    </cfRule>
    <cfRule type="containsText" priority="179" operator="containsText" dxfId="1" text="▲">
      <formula>NOT(ISERROR(SEARCH("▲",Z63)))</formula>
    </cfRule>
    <cfRule type="containsText" priority="180" operator="containsText" dxfId="0" text="▼">
      <formula>NOT(ISERROR(SEARCH("▼",Z63)))</formula>
    </cfRule>
    <cfRule type="containsText" priority="177" operator="containsText" dxfId="1" text="▲">
      <formula>NOT(ISERROR(SEARCH("▲",Z63)))</formula>
    </cfRule>
    <cfRule type="containsText" priority="178" operator="containsText" dxfId="0" text="▼">
      <formula>NOT(ISERROR(SEARCH("▼",Z63)))</formula>
    </cfRule>
    <cfRule type="containsText" priority="175" operator="containsText" dxfId="1" text="▲">
      <formula>NOT(ISERROR(SEARCH("▲",Z63)))</formula>
    </cfRule>
    <cfRule type="containsText" priority="176" operator="containsText" dxfId="0" text="▼">
      <formula>NOT(ISERROR(SEARCH("▼",Z63)))</formula>
    </cfRule>
    <cfRule type="containsText" priority="173" operator="containsText" dxfId="1" text="▲">
      <formula>NOT(ISERROR(SEARCH("▲",Z63)))</formula>
    </cfRule>
    <cfRule type="containsText" priority="174" operator="containsText" dxfId="0" text="▼">
      <formula>NOT(ISERROR(SEARCH("▼",Z63)))</formula>
    </cfRule>
    <cfRule type="containsText" priority="171" operator="containsText" dxfId="1" text="▲">
      <formula>NOT(ISERROR(SEARCH("▲",Z63)))</formula>
    </cfRule>
    <cfRule type="containsText" priority="172" operator="containsText" dxfId="0" text="▼">
      <formula>NOT(ISERROR(SEARCH("▼",Z63)))</formula>
    </cfRule>
    <cfRule type="containsText" priority="169" operator="containsText" dxfId="1" text="▲">
      <formula>NOT(ISERROR(SEARCH("▲",Z63)))</formula>
    </cfRule>
    <cfRule type="containsText" priority="170" operator="containsText" dxfId="0" text="▼">
      <formula>NOT(ISERROR(SEARCH("▼",Z63)))</formula>
    </cfRule>
    <cfRule type="containsText" priority="167" operator="containsText" dxfId="1" text="▲">
      <formula>NOT(ISERROR(SEARCH("▲",Z63)))</formula>
    </cfRule>
    <cfRule type="containsText" priority="168" operator="containsText" dxfId="0" text="▼">
      <formula>NOT(ISERROR(SEARCH("▼",Z63)))</formula>
    </cfRule>
    <cfRule type="containsText" priority="165" operator="containsText" dxfId="1" text="▲">
      <formula>NOT(ISERROR(SEARCH("▲",Z63)))</formula>
    </cfRule>
    <cfRule type="containsText" priority="166" operator="containsText" dxfId="0" text="▼">
      <formula>NOT(ISERROR(SEARCH("▼",Z63)))</formula>
    </cfRule>
    <cfRule type="containsText" priority="163" operator="containsText" dxfId="1" text="▲">
      <formula>NOT(ISERROR(SEARCH("▲",Z63)))</formula>
    </cfRule>
    <cfRule type="containsText" priority="164" operator="containsText" dxfId="0" text="▼">
      <formula>NOT(ISERROR(SEARCH("▼",Z63)))</formula>
    </cfRule>
    <cfRule type="containsText" priority="161" operator="containsText" dxfId="1" text="▲">
      <formula>NOT(ISERROR(SEARCH("▲",Z63)))</formula>
    </cfRule>
    <cfRule type="containsText" priority="162" operator="containsText" dxfId="0" text="▼">
      <formula>NOT(ISERROR(SEARCH("▼",Z63)))</formula>
    </cfRule>
    <cfRule type="containsText" priority="159" operator="containsText" dxfId="1" text="▲">
      <formula>NOT(ISERROR(SEARCH("▲",Z63)))</formula>
    </cfRule>
    <cfRule type="containsText" priority="160" operator="containsText" dxfId="0" text="▼">
      <formula>NOT(ISERROR(SEARCH("▼",Z63)))</formula>
    </cfRule>
    <cfRule type="containsText" priority="157" operator="containsText" dxfId="1" text="▲">
      <formula>NOT(ISERROR(SEARCH("▲",Z63)))</formula>
    </cfRule>
    <cfRule type="containsText" priority="158" operator="containsText" dxfId="0" text="▼">
      <formula>NOT(ISERROR(SEARCH("▼",Z63)))</formula>
    </cfRule>
    <cfRule type="containsText" priority="155" operator="containsText" dxfId="1" text="▲">
      <formula>NOT(ISERROR(SEARCH("▲",Z63)))</formula>
    </cfRule>
    <cfRule type="containsText" priority="156" operator="containsText" dxfId="0" text="▼">
      <formula>NOT(ISERROR(SEARCH("▼",Z63)))</formula>
    </cfRule>
  </conditionalFormatting>
  <conditionalFormatting sqref="Z87:AA87">
    <cfRule type="containsText" priority="153" operator="containsText" dxfId="1" text="▲">
      <formula>NOT(ISERROR(SEARCH("▲",Z87)))</formula>
    </cfRule>
    <cfRule type="containsText" priority="154" operator="containsText" dxfId="0" text="▼">
      <formula>NOT(ISERROR(SEARCH("▼",Z87)))</formula>
    </cfRule>
  </conditionalFormatting>
  <conditionalFormatting sqref="Z90:AA90">
    <cfRule type="containsText" priority="151" operator="containsText" dxfId="1" text="▲">
      <formula>NOT(ISERROR(SEARCH("▲",Z90)))</formula>
    </cfRule>
    <cfRule type="containsText" priority="152" operator="containsText" dxfId="0" text="▼">
      <formula>NOT(ISERROR(SEARCH("▼",Z90)))</formula>
    </cfRule>
  </conditionalFormatting>
  <conditionalFormatting sqref="Z64:AA64">
    <cfRule type="containsText" priority="149" operator="containsText" dxfId="1" text="△">
      <formula>NOT(ISERROR(SEARCH("△",Z64)))</formula>
    </cfRule>
    <cfRule type="containsText" priority="150" operator="containsText" dxfId="0" text="▽">
      <formula>NOT(ISERROR(SEARCH("▽",Z64)))</formula>
    </cfRule>
    <cfRule type="containsText" priority="147" operator="containsText" dxfId="1" text="▲">
      <formula>NOT(ISERROR(SEARCH("▲",Z64)))</formula>
    </cfRule>
    <cfRule type="containsText" priority="148" operator="containsText" dxfId="0" text="▼">
      <formula>NOT(ISERROR(SEARCH("▼",Z64)))</formula>
    </cfRule>
    <cfRule type="containsText" priority="145" operator="containsText" dxfId="1" text="▲">
      <formula>NOT(ISERROR(SEARCH("▲",Z64)))</formula>
    </cfRule>
    <cfRule type="containsText" priority="146" operator="containsText" dxfId="0" text="▼">
      <formula>NOT(ISERROR(SEARCH("▼",Z64)))</formula>
    </cfRule>
    <cfRule type="containsText" priority="143" operator="containsText" dxfId="1" text="▲">
      <formula>NOT(ISERROR(SEARCH("▲",Z64)))</formula>
    </cfRule>
    <cfRule type="containsText" priority="144" operator="containsText" dxfId="0" text="▼">
      <formula>NOT(ISERROR(SEARCH("▼",Z64)))</formula>
    </cfRule>
    <cfRule type="containsText" priority="141" operator="containsText" dxfId="1" text="▲">
      <formula>NOT(ISERROR(SEARCH("▲",Z64)))</formula>
    </cfRule>
    <cfRule type="containsText" priority="142" operator="containsText" dxfId="0" text="▼">
      <formula>NOT(ISERROR(SEARCH("▼",Z64)))</formula>
    </cfRule>
    <cfRule type="containsText" priority="139" operator="containsText" dxfId="1" text="▲">
      <formula>NOT(ISERROR(SEARCH("▲",Z64)))</formula>
    </cfRule>
    <cfRule type="containsText" priority="140" operator="containsText" dxfId="0" text="▼">
      <formula>NOT(ISERROR(SEARCH("▼",Z64)))</formula>
    </cfRule>
    <cfRule type="containsText" priority="137" operator="containsText" dxfId="1" text="▲">
      <formula>NOT(ISERROR(SEARCH("▲",Z64)))</formula>
    </cfRule>
    <cfRule type="containsText" priority="138" operator="containsText" dxfId="0" text="▼">
      <formula>NOT(ISERROR(SEARCH("▼",Z64)))</formula>
    </cfRule>
    <cfRule type="containsText" priority="135" operator="containsText" dxfId="1" text="▲">
      <formula>NOT(ISERROR(SEARCH("▲",Z64)))</formula>
    </cfRule>
    <cfRule type="containsText" priority="136" operator="containsText" dxfId="0" text="▼">
      <formula>NOT(ISERROR(SEARCH("▼",Z64)))</formula>
    </cfRule>
    <cfRule type="containsText" priority="133" operator="containsText" dxfId="1" text="▲">
      <formula>NOT(ISERROR(SEARCH("▲",Z64)))</formula>
    </cfRule>
    <cfRule type="containsText" priority="134" operator="containsText" dxfId="0" text="▼">
      <formula>NOT(ISERROR(SEARCH("▼",Z64)))</formula>
    </cfRule>
    <cfRule type="containsText" priority="131" operator="containsText" dxfId="1" text="▲">
      <formula>NOT(ISERROR(SEARCH("▲",Z64)))</formula>
    </cfRule>
    <cfRule type="containsText" priority="132" operator="containsText" dxfId="0" text="▼">
      <formula>NOT(ISERROR(SEARCH("▼",Z64)))</formula>
    </cfRule>
    <cfRule type="containsText" priority="129" operator="containsText" dxfId="1" text="▲">
      <formula>NOT(ISERROR(SEARCH("▲",Z64)))</formula>
    </cfRule>
    <cfRule type="containsText" priority="130" operator="containsText" dxfId="0" text="▼">
      <formula>NOT(ISERROR(SEARCH("▼",Z64)))</formula>
    </cfRule>
    <cfRule type="containsText" priority="127" operator="containsText" dxfId="1" text="▲">
      <formula>NOT(ISERROR(SEARCH("▲",Z64)))</formula>
    </cfRule>
    <cfRule type="containsText" priority="128" operator="containsText" dxfId="0" text="▼">
      <formula>NOT(ISERROR(SEARCH("▼",Z64)))</formula>
    </cfRule>
    <cfRule type="containsText" priority="125" operator="containsText" dxfId="1" text="▲">
      <formula>NOT(ISERROR(SEARCH("▲",Z64)))</formula>
    </cfRule>
    <cfRule type="containsText" priority="126" operator="containsText" dxfId="0" text="▼">
      <formula>NOT(ISERROR(SEARCH("▼",Z64)))</formula>
    </cfRule>
    <cfRule type="containsText" priority="123" operator="containsText" dxfId="1" text="▲">
      <formula>NOT(ISERROR(SEARCH("▲",Z64)))</formula>
    </cfRule>
    <cfRule type="containsText" priority="124" operator="containsText" dxfId="0" text="▼">
      <formula>NOT(ISERROR(SEARCH("▼",Z64)))</formula>
    </cfRule>
    <cfRule type="containsText" priority="121" operator="containsText" dxfId="1" text="▲">
      <formula>NOT(ISERROR(SEARCH("▲",Z64)))</formula>
    </cfRule>
    <cfRule type="containsText" priority="122" operator="containsText" dxfId="0" text="▼">
      <formula>NOT(ISERROR(SEARCH("▼",Z64)))</formula>
    </cfRule>
    <cfRule type="containsText" priority="119" operator="containsText" dxfId="1" text="▲">
      <formula>NOT(ISERROR(SEARCH("▲",Z64)))</formula>
    </cfRule>
    <cfRule type="containsText" priority="120" operator="containsText" dxfId="0" text="▼">
      <formula>NOT(ISERROR(SEARCH("▼",Z64)))</formula>
    </cfRule>
    <cfRule type="containsText" priority="117" operator="containsText" dxfId="1" text="▲">
      <formula>NOT(ISERROR(SEARCH("▲",Z64)))</formula>
    </cfRule>
    <cfRule type="containsText" priority="118" operator="containsText" dxfId="0" text="▼">
      <formula>NOT(ISERROR(SEARCH("▼",Z64)))</formula>
    </cfRule>
    <cfRule type="containsText" priority="115" operator="containsText" dxfId="1" text="▲">
      <formula>NOT(ISERROR(SEARCH("▲",Z64)))</formula>
    </cfRule>
    <cfRule type="containsText" priority="116" operator="containsText" dxfId="0" text="▼">
      <formula>NOT(ISERROR(SEARCH("▼",Z64)))</formula>
    </cfRule>
    <cfRule type="containsText" priority="113" operator="containsText" dxfId="1" text="▲">
      <formula>NOT(ISERROR(SEARCH("▲",Z64)))</formula>
    </cfRule>
    <cfRule type="containsText" priority="114" operator="containsText" dxfId="0" text="▼">
      <formula>NOT(ISERROR(SEARCH("▼",Z64)))</formula>
    </cfRule>
    <cfRule type="containsText" priority="111" operator="containsText" dxfId="1" text="▲">
      <formula>NOT(ISERROR(SEARCH("▲",Z64)))</formula>
    </cfRule>
    <cfRule type="containsText" priority="112" operator="containsText" dxfId="0" text="▼">
      <formula>NOT(ISERROR(SEARCH("▼",Z64)))</formula>
    </cfRule>
    <cfRule type="containsText" priority="109" operator="containsText" dxfId="1" text="▲">
      <formula>NOT(ISERROR(SEARCH("▲",Z64)))</formula>
    </cfRule>
    <cfRule type="containsText" priority="110" operator="containsText" dxfId="0" text="▼">
      <formula>NOT(ISERROR(SEARCH("▼",Z64)))</formula>
    </cfRule>
    <cfRule type="containsText" priority="107" operator="containsText" dxfId="1" text="▲">
      <formula>NOT(ISERROR(SEARCH("▲",Z64)))</formula>
    </cfRule>
    <cfRule type="containsText" priority="108" operator="containsText" dxfId="0" text="▼">
      <formula>NOT(ISERROR(SEARCH("▼",Z64)))</formula>
    </cfRule>
    <cfRule type="containsText" priority="105" operator="containsText" dxfId="1" text="▲">
      <formula>NOT(ISERROR(SEARCH("▲",Z64)))</formula>
    </cfRule>
    <cfRule type="containsText" priority="106" operator="containsText" dxfId="0" text="▼">
      <formula>NOT(ISERROR(SEARCH("▼",Z64)))</formula>
    </cfRule>
    <cfRule type="containsText" priority="103" operator="containsText" dxfId="1" text="▲">
      <formula>NOT(ISERROR(SEARCH("▲",Z64)))</formula>
    </cfRule>
    <cfRule type="containsText" priority="104" operator="containsText" dxfId="0" text="▼">
      <formula>NOT(ISERROR(SEARCH("▼",Z64)))</formula>
    </cfRule>
    <cfRule type="containsText" priority="101" operator="containsText" dxfId="1" text="▲">
      <formula>NOT(ISERROR(SEARCH("▲",Z64)))</formula>
    </cfRule>
    <cfRule type="containsText" priority="102" operator="containsText" dxfId="0" text="▼">
      <formula>NOT(ISERROR(SEARCH("▼",Z64)))</formula>
    </cfRule>
  </conditionalFormatting>
  <conditionalFormatting sqref="Z99:AA99">
    <cfRule type="containsText" priority="99" operator="containsText" dxfId="1" text="△">
      <formula>NOT(ISERROR(SEARCH("△",Z99)))</formula>
    </cfRule>
    <cfRule type="containsText" priority="100" operator="containsText" dxfId="0" text="▽">
      <formula>NOT(ISERROR(SEARCH("▽",Z99)))</formula>
    </cfRule>
    <cfRule type="containsText" priority="97" operator="containsText" dxfId="1" text="▲">
      <formula>NOT(ISERROR(SEARCH("▲",Z99)))</formula>
    </cfRule>
    <cfRule type="containsText" priority="98" operator="containsText" dxfId="0" text="▼">
      <formula>NOT(ISERROR(SEARCH("▼",Z99)))</formula>
    </cfRule>
    <cfRule type="containsText" priority="95" operator="containsText" dxfId="1" text="▲">
      <formula>NOT(ISERROR(SEARCH("▲",Z99)))</formula>
    </cfRule>
    <cfRule type="containsText" priority="96" operator="containsText" dxfId="0" text="▼">
      <formula>NOT(ISERROR(SEARCH("▼",Z99)))</formula>
    </cfRule>
    <cfRule type="containsText" priority="93" operator="containsText" dxfId="1" text="▲">
      <formula>NOT(ISERROR(SEARCH("▲",Z99)))</formula>
    </cfRule>
    <cfRule type="containsText" priority="94" operator="containsText" dxfId="0" text="▼">
      <formula>NOT(ISERROR(SEARCH("▼",Z99)))</formula>
    </cfRule>
    <cfRule type="containsText" priority="91" operator="containsText" dxfId="1" text="▲">
      <formula>NOT(ISERROR(SEARCH("▲",Z99)))</formula>
    </cfRule>
    <cfRule type="containsText" priority="92" operator="containsText" dxfId="0" text="▼">
      <formula>NOT(ISERROR(SEARCH("▼",Z99)))</formula>
    </cfRule>
    <cfRule type="containsText" priority="89" operator="containsText" dxfId="1" text="▲">
      <formula>NOT(ISERROR(SEARCH("▲",Z99)))</formula>
    </cfRule>
    <cfRule type="containsText" priority="90" operator="containsText" dxfId="0" text="▼">
      <formula>NOT(ISERROR(SEARCH("▼",Z99)))</formula>
    </cfRule>
    <cfRule type="containsText" priority="87" operator="containsText" dxfId="1" text="▲">
      <formula>NOT(ISERROR(SEARCH("▲",Z99)))</formula>
    </cfRule>
    <cfRule type="containsText" priority="88" operator="containsText" dxfId="0" text="▼">
      <formula>NOT(ISERROR(SEARCH("▼",Z99)))</formula>
    </cfRule>
    <cfRule type="containsText" priority="85" operator="containsText" dxfId="1" text="▲">
      <formula>NOT(ISERROR(SEARCH("▲",Z99)))</formula>
    </cfRule>
    <cfRule type="containsText" priority="86" operator="containsText" dxfId="0" text="▼">
      <formula>NOT(ISERROR(SEARCH("▼",Z99)))</formula>
    </cfRule>
    <cfRule type="containsText" priority="83" operator="containsText" dxfId="1" text="▲">
      <formula>NOT(ISERROR(SEARCH("▲",Z99)))</formula>
    </cfRule>
    <cfRule type="containsText" priority="84" operator="containsText" dxfId="0" text="▼">
      <formula>NOT(ISERROR(SEARCH("▼",Z99)))</formula>
    </cfRule>
    <cfRule type="containsText" priority="81" operator="containsText" dxfId="1" text="▲">
      <formula>NOT(ISERROR(SEARCH("▲",Z99)))</formula>
    </cfRule>
    <cfRule type="containsText" priority="82" operator="containsText" dxfId="0" text="▼">
      <formula>NOT(ISERROR(SEARCH("▼",Z99)))</formula>
    </cfRule>
    <cfRule type="containsText" priority="79" operator="containsText" dxfId="1" text="▲">
      <formula>NOT(ISERROR(SEARCH("▲",Z99)))</formula>
    </cfRule>
    <cfRule type="containsText" priority="80" operator="containsText" dxfId="0" text="▼">
      <formula>NOT(ISERROR(SEARCH("▼",Z99)))</formula>
    </cfRule>
    <cfRule type="containsText" priority="77" operator="containsText" dxfId="1" text="▲">
      <formula>NOT(ISERROR(SEARCH("▲",Z99)))</formula>
    </cfRule>
    <cfRule type="containsText" priority="78" operator="containsText" dxfId="0" text="▼">
      <formula>NOT(ISERROR(SEARCH("▼",Z99)))</formula>
    </cfRule>
    <cfRule type="containsText" priority="75" operator="containsText" dxfId="1" text="▲">
      <formula>NOT(ISERROR(SEARCH("▲",Z99)))</formula>
    </cfRule>
    <cfRule type="containsText" priority="76" operator="containsText" dxfId="0" text="▼">
      <formula>NOT(ISERROR(SEARCH("▼",Z99)))</formula>
    </cfRule>
    <cfRule type="containsText" priority="73" operator="containsText" dxfId="1" text="▲">
      <formula>NOT(ISERROR(SEARCH("▲",Z99)))</formula>
    </cfRule>
    <cfRule type="containsText" priority="74" operator="containsText" dxfId="0" text="▼">
      <formula>NOT(ISERROR(SEARCH("▼",Z99)))</formula>
    </cfRule>
    <cfRule type="containsText" priority="71" operator="containsText" dxfId="1" text="▲">
      <formula>NOT(ISERROR(SEARCH("▲",Z99)))</formula>
    </cfRule>
    <cfRule type="containsText" priority="72" operator="containsText" dxfId="0" text="▼">
      <formula>NOT(ISERROR(SEARCH("▼",Z99)))</formula>
    </cfRule>
    <cfRule type="containsText" priority="69" operator="containsText" dxfId="1" text="▲">
      <formula>NOT(ISERROR(SEARCH("▲",Z99)))</formula>
    </cfRule>
    <cfRule type="containsText" priority="70" operator="containsText" dxfId="0" text="▼">
      <formula>NOT(ISERROR(SEARCH("▼",Z99)))</formula>
    </cfRule>
    <cfRule type="containsText" priority="67" operator="containsText" dxfId="1" text="▲">
      <formula>NOT(ISERROR(SEARCH("▲",Z99)))</formula>
    </cfRule>
    <cfRule type="containsText" priority="68" operator="containsText" dxfId="0" text="▼">
      <formula>NOT(ISERROR(SEARCH("▼",Z99)))</formula>
    </cfRule>
    <cfRule type="containsText" priority="65" operator="containsText" dxfId="1" text="▲">
      <formula>NOT(ISERROR(SEARCH("▲",Z99)))</formula>
    </cfRule>
    <cfRule type="containsText" priority="66" operator="containsText" dxfId="0" text="▼">
      <formula>NOT(ISERROR(SEARCH("▼",Z99)))</formula>
    </cfRule>
    <cfRule type="containsText" priority="63" operator="containsText" dxfId="1" text="▲">
      <formula>NOT(ISERROR(SEARCH("▲",Z99)))</formula>
    </cfRule>
    <cfRule type="containsText" priority="64" operator="containsText" dxfId="0" text="▼">
      <formula>NOT(ISERROR(SEARCH("▼",Z99)))</formula>
    </cfRule>
    <cfRule type="containsText" priority="61" operator="containsText" dxfId="1" text="▲">
      <formula>NOT(ISERROR(SEARCH("▲",Z99)))</formula>
    </cfRule>
    <cfRule type="containsText" priority="62" operator="containsText" dxfId="0" text="▼">
      <formula>NOT(ISERROR(SEARCH("▼",Z99)))</formula>
    </cfRule>
    <cfRule type="containsText" priority="59" operator="containsText" dxfId="1" text="▲">
      <formula>NOT(ISERROR(SEARCH("▲",Z99)))</formula>
    </cfRule>
    <cfRule type="containsText" priority="60" operator="containsText" dxfId="0" text="▼">
      <formula>NOT(ISERROR(SEARCH("▼",Z99)))</formula>
    </cfRule>
    <cfRule type="containsText" priority="57" operator="containsText" dxfId="1" text="▲">
      <formula>NOT(ISERROR(SEARCH("▲",Z99)))</formula>
    </cfRule>
    <cfRule type="containsText" priority="58" operator="containsText" dxfId="0" text="▼">
      <formula>NOT(ISERROR(SEARCH("▼",Z99)))</formula>
    </cfRule>
    <cfRule type="containsText" priority="55" operator="containsText" dxfId="1" text="▲">
      <formula>NOT(ISERROR(SEARCH("▲",Z99)))</formula>
    </cfRule>
    <cfRule type="containsText" priority="56" operator="containsText" dxfId="0" text="▼">
      <formula>NOT(ISERROR(SEARCH("▼",Z99)))</formula>
    </cfRule>
    <cfRule type="containsText" priority="53" operator="containsText" dxfId="1" text="▲">
      <formula>NOT(ISERROR(SEARCH("▲",Z99)))</formula>
    </cfRule>
    <cfRule type="containsText" priority="54" operator="containsText" dxfId="0" text="▼">
      <formula>NOT(ISERROR(SEARCH("▼",Z99)))</formula>
    </cfRule>
    <cfRule type="containsText" priority="51" operator="containsText" dxfId="1" text="▲">
      <formula>NOT(ISERROR(SEARCH("▲",Z99)))</formula>
    </cfRule>
    <cfRule type="containsText" priority="52" operator="containsText" dxfId="0" text="▼">
      <formula>NOT(ISERROR(SEARCH("▼",Z99)))</formula>
    </cfRule>
  </conditionalFormatting>
  <conditionalFormatting sqref="Z100:AA101">
    <cfRule type="containsText" priority="49" operator="containsText" dxfId="1" text="△">
      <formula>NOT(ISERROR(SEARCH("△",Z100)))</formula>
    </cfRule>
    <cfRule type="containsText" priority="50" operator="containsText" dxfId="0" text="▽">
      <formula>NOT(ISERROR(SEARCH("▽",Z100)))</formula>
    </cfRule>
    <cfRule type="containsText" priority="47" operator="containsText" dxfId="1" text="▲">
      <formula>NOT(ISERROR(SEARCH("▲",Z100)))</formula>
    </cfRule>
    <cfRule type="containsText" priority="48" operator="containsText" dxfId="0" text="▼">
      <formula>NOT(ISERROR(SEARCH("▼",Z100)))</formula>
    </cfRule>
    <cfRule type="containsText" priority="45" operator="containsText" dxfId="1" text="▲">
      <formula>NOT(ISERROR(SEARCH("▲",Z100)))</formula>
    </cfRule>
    <cfRule type="containsText" priority="46" operator="containsText" dxfId="0" text="▼">
      <formula>NOT(ISERROR(SEARCH("▼",Z100)))</formula>
    </cfRule>
    <cfRule type="containsText" priority="43" operator="containsText" dxfId="1" text="▲">
      <formula>NOT(ISERROR(SEARCH("▲",Z100)))</formula>
    </cfRule>
    <cfRule type="containsText" priority="44" operator="containsText" dxfId="0" text="▼">
      <formula>NOT(ISERROR(SEARCH("▼",Z100)))</formula>
    </cfRule>
    <cfRule type="containsText" priority="41" operator="containsText" dxfId="1" text="▲">
      <formula>NOT(ISERROR(SEARCH("▲",Z100)))</formula>
    </cfRule>
    <cfRule type="containsText" priority="42" operator="containsText" dxfId="0" text="▼">
      <formula>NOT(ISERROR(SEARCH("▼",Z100)))</formula>
    </cfRule>
    <cfRule type="containsText" priority="39" operator="containsText" dxfId="1" text="▲">
      <formula>NOT(ISERROR(SEARCH("▲",Z100)))</formula>
    </cfRule>
    <cfRule type="containsText" priority="40" operator="containsText" dxfId="0" text="▼">
      <formula>NOT(ISERROR(SEARCH("▼",Z100)))</formula>
    </cfRule>
    <cfRule type="containsText" priority="37" operator="containsText" dxfId="1" text="▲">
      <formula>NOT(ISERROR(SEARCH("▲",Z100)))</formula>
    </cfRule>
    <cfRule type="containsText" priority="38" operator="containsText" dxfId="0" text="▼">
      <formula>NOT(ISERROR(SEARCH("▼",Z100)))</formula>
    </cfRule>
    <cfRule type="containsText" priority="35" operator="containsText" dxfId="1" text="▲">
      <formula>NOT(ISERROR(SEARCH("▲",Z100)))</formula>
    </cfRule>
    <cfRule type="containsText" priority="36" operator="containsText" dxfId="0" text="▼">
      <formula>NOT(ISERROR(SEARCH("▼",Z100)))</formula>
    </cfRule>
    <cfRule type="containsText" priority="33" operator="containsText" dxfId="1" text="▲">
      <formula>NOT(ISERROR(SEARCH("▲",Z100)))</formula>
    </cfRule>
    <cfRule type="containsText" priority="34" operator="containsText" dxfId="0" text="▼">
      <formula>NOT(ISERROR(SEARCH("▼",Z100)))</formula>
    </cfRule>
    <cfRule type="containsText" priority="31" operator="containsText" dxfId="1" text="▲">
      <formula>NOT(ISERROR(SEARCH("▲",Z100)))</formula>
    </cfRule>
    <cfRule type="containsText" priority="32" operator="containsText" dxfId="0" text="▼">
      <formula>NOT(ISERROR(SEARCH("▼",Z100)))</formula>
    </cfRule>
    <cfRule type="containsText" priority="29" operator="containsText" dxfId="1" text="▲">
      <formula>NOT(ISERROR(SEARCH("▲",Z100)))</formula>
    </cfRule>
    <cfRule type="containsText" priority="30" operator="containsText" dxfId="0" text="▼">
      <formula>NOT(ISERROR(SEARCH("▼",Z100)))</formula>
    </cfRule>
    <cfRule type="containsText" priority="27" operator="containsText" dxfId="1" text="▲">
      <formula>NOT(ISERROR(SEARCH("▲",Z100)))</formula>
    </cfRule>
    <cfRule type="containsText" priority="28" operator="containsText" dxfId="0" text="▼">
      <formula>NOT(ISERROR(SEARCH("▼",Z100)))</formula>
    </cfRule>
    <cfRule type="containsText" priority="25" operator="containsText" dxfId="1" text="▲">
      <formula>NOT(ISERROR(SEARCH("▲",Z100)))</formula>
    </cfRule>
    <cfRule type="containsText" priority="26" operator="containsText" dxfId="0" text="▼">
      <formula>NOT(ISERROR(SEARCH("▼",Z100)))</formula>
    </cfRule>
    <cfRule type="containsText" priority="23" operator="containsText" dxfId="1" text="▲">
      <formula>NOT(ISERROR(SEARCH("▲",Z100)))</formula>
    </cfRule>
    <cfRule type="containsText" priority="24" operator="containsText" dxfId="0" text="▼">
      <formula>NOT(ISERROR(SEARCH("▼",Z100)))</formula>
    </cfRule>
    <cfRule type="containsText" priority="21" operator="containsText" dxfId="1" text="▲">
      <formula>NOT(ISERROR(SEARCH("▲",Z100)))</formula>
    </cfRule>
    <cfRule type="containsText" priority="22" operator="containsText" dxfId="0" text="▼">
      <formula>NOT(ISERROR(SEARCH("▼",Z100)))</formula>
    </cfRule>
    <cfRule type="containsText" priority="19" operator="containsText" dxfId="1" text="▲">
      <formula>NOT(ISERROR(SEARCH("▲",Z100)))</formula>
    </cfRule>
    <cfRule type="containsText" priority="20" operator="containsText" dxfId="0" text="▼">
      <formula>NOT(ISERROR(SEARCH("▼",Z100)))</formula>
    </cfRule>
    <cfRule type="containsText" priority="17" operator="containsText" dxfId="1" text="▲">
      <formula>NOT(ISERROR(SEARCH("▲",Z100)))</formula>
    </cfRule>
    <cfRule type="containsText" priority="18" operator="containsText" dxfId="0" text="▼">
      <formula>NOT(ISERROR(SEARCH("▼",Z100)))</formula>
    </cfRule>
    <cfRule type="containsText" priority="15" operator="containsText" dxfId="1" text="▲">
      <formula>NOT(ISERROR(SEARCH("▲",Z100)))</formula>
    </cfRule>
    <cfRule type="containsText" priority="16" operator="containsText" dxfId="0" text="▼">
      <formula>NOT(ISERROR(SEARCH("▼",Z100)))</formula>
    </cfRule>
    <cfRule type="containsText" priority="13" operator="containsText" dxfId="1" text="▲">
      <formula>NOT(ISERROR(SEARCH("▲",Z100)))</formula>
    </cfRule>
    <cfRule type="containsText" priority="14" operator="containsText" dxfId="0" text="▼">
      <formula>NOT(ISERROR(SEARCH("▼",Z100)))</formula>
    </cfRule>
    <cfRule type="containsText" priority="11" operator="containsText" dxfId="1" text="▲">
      <formula>NOT(ISERROR(SEARCH("▲",Z100)))</formula>
    </cfRule>
    <cfRule type="containsText" priority="12" operator="containsText" dxfId="0" text="▼">
      <formula>NOT(ISERROR(SEARCH("▼",Z100)))</formula>
    </cfRule>
    <cfRule type="containsText" priority="9" operator="containsText" dxfId="1" text="▲">
      <formula>NOT(ISERROR(SEARCH("▲",Z100)))</formula>
    </cfRule>
    <cfRule type="containsText" priority="10" operator="containsText" dxfId="0" text="▼">
      <formula>NOT(ISERROR(SEARCH("▼",Z100)))</formula>
    </cfRule>
    <cfRule type="containsText" priority="7" operator="containsText" dxfId="1" text="▲">
      <formula>NOT(ISERROR(SEARCH("▲",Z100)))</formula>
    </cfRule>
    <cfRule type="containsText" priority="8" operator="containsText" dxfId="0" text="▼">
      <formula>NOT(ISERROR(SEARCH("▼",Z100)))</formula>
    </cfRule>
    <cfRule type="containsText" priority="5" operator="containsText" dxfId="1" text="▲">
      <formula>NOT(ISERROR(SEARCH("▲",Z100)))</formula>
    </cfRule>
    <cfRule type="containsText" priority="6" operator="containsText" dxfId="0" text="▼">
      <formula>NOT(ISERROR(SEARCH("▼",Z100)))</formula>
    </cfRule>
    <cfRule type="containsText" priority="3" operator="containsText" dxfId="1" text="▲">
      <formula>NOT(ISERROR(SEARCH("▲",Z100)))</formula>
    </cfRule>
    <cfRule type="containsText" priority="4" operator="containsText" dxfId="0" text="▼">
      <formula>NOT(ISERROR(SEARCH("▼",Z100)))</formula>
    </cfRule>
    <cfRule type="containsText" priority="1" operator="containsText" dxfId="1" text="▲">
      <formula>NOT(ISERROR(SEARCH("▲",Z100)))</formula>
    </cfRule>
    <cfRule type="containsText" priority="2" operator="containsText" dxfId="0" text="▼">
      <formula>NOT(ISERROR(SEARCH("▼",Z100)))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8">
    <outlinePr summaryRight="0"/>
    <pageSetUpPr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baseColWidth="8" defaultColWidth="9" defaultRowHeight="16.5" outlineLevelRow="2"/>
  <cols>
    <col width="12.625" bestFit="1" customWidth="1" style="226" min="1" max="1"/>
    <col width="10.5" customWidth="1" style="226" min="2" max="2"/>
    <col width="20.125" bestFit="1" customWidth="1" style="226" min="3" max="3"/>
    <col width="7.875" bestFit="1" customWidth="1" style="226" min="4" max="4"/>
    <col width="10.25" bestFit="1" customWidth="1" style="245" min="5" max="5"/>
    <col width="8.375" bestFit="1" customWidth="1" style="226" min="6" max="7"/>
    <col width="13.125" bestFit="1" customWidth="1" style="226" min="8" max="8"/>
    <col width="12.75" bestFit="1" customWidth="1" style="226" min="9" max="9"/>
    <col collapsed="1" width="10.75" bestFit="1" customWidth="1" style="226" min="10" max="10"/>
    <col width="13.125" bestFit="1" customWidth="1" style="226" min="11" max="11"/>
    <col width="10.75" bestFit="1" customWidth="1" style="226" min="12" max="12"/>
    <col outlineLevel="1" width="10.25" customWidth="1" style="226" min="13" max="13"/>
    <col width="8.125" bestFit="1" customWidth="1" style="686" min="14" max="14"/>
    <col width="5.875" bestFit="1" customWidth="1" style="249" min="15" max="15"/>
    <col width="10" bestFit="1" customWidth="1" style="226" min="16" max="16"/>
    <col width="9" customWidth="1" style="226" min="17" max="16384"/>
  </cols>
  <sheetData>
    <row r="1" collapsed="1" ht="17.25" customFormat="1" customHeight="1" s="227" thickBot="1">
      <c r="A1" s="127" t="inlineStr">
        <is>
          <t>成交日期</t>
        </is>
      </c>
      <c r="B1" s="128" t="inlineStr">
        <is>
          <t>商品代號</t>
        </is>
      </c>
      <c r="C1" s="246" t="inlineStr">
        <is>
          <t>商品名稱</t>
        </is>
      </c>
      <c r="D1" s="247" t="inlineStr">
        <is>
          <t>新／平</t>
        </is>
      </c>
      <c r="E1" s="128" t="inlineStr">
        <is>
          <t>買賣別</t>
        </is>
      </c>
      <c r="F1" s="128" t="inlineStr">
        <is>
          <t>當沖</t>
        </is>
      </c>
      <c r="G1" s="128" t="inlineStr">
        <is>
          <t>成交量</t>
        </is>
      </c>
      <c r="H1" s="128" t="inlineStr">
        <is>
          <t>成交價</t>
        </is>
      </c>
      <c r="I1" s="687" t="inlineStr">
        <is>
          <t>權利金</t>
        </is>
      </c>
      <c r="J1" s="130" t="inlineStr">
        <is>
          <t>手續費</t>
        </is>
      </c>
      <c r="K1" s="130" t="inlineStr">
        <is>
          <t>交易稅</t>
        </is>
      </c>
      <c r="L1" s="688" t="inlineStr">
        <is>
          <t>投資損益</t>
        </is>
      </c>
      <c r="M1" s="689" t="inlineStr">
        <is>
          <t xml:space="preserve"> </t>
        </is>
      </c>
      <c r="N1" s="690" t="inlineStr">
        <is>
          <t>損益</t>
        </is>
      </c>
      <c r="O1" s="249" t="n"/>
    </row>
    <row r="2" hidden="1" outlineLevel="1" customFormat="1" s="244">
      <c r="A2" s="691" t="n">
        <v>44562</v>
      </c>
      <c r="B2" s="251" t="n"/>
      <c r="C2" s="252" t="inlineStr">
        <is>
          <t>入金</t>
        </is>
      </c>
      <c r="D2" s="252" t="n"/>
      <c r="E2" s="252" t="n"/>
      <c r="F2" s="252" t="n"/>
      <c r="G2" s="692" t="n"/>
      <c r="H2" s="692" t="n"/>
      <c r="I2" s="692" t="n"/>
      <c r="J2" s="693" t="n"/>
      <c r="K2" s="693" t="n"/>
      <c r="L2" s="693" t="n">
        <v>91259</v>
      </c>
      <c r="M2" s="694">
        <f>L2</f>
        <v/>
      </c>
      <c r="N2" s="695" t="n"/>
      <c r="O2" s="255" t="n"/>
    </row>
    <row r="3" hidden="1" outlineLevel="1">
      <c r="A3" s="696" t="n">
        <v>44657</v>
      </c>
      <c r="B3" s="234" t="inlineStr">
        <is>
          <t>TXO</t>
        </is>
      </c>
      <c r="C3" s="229" t="inlineStr">
        <is>
          <t>週W1 C 02 17700 C</t>
        </is>
      </c>
      <c r="D3" s="229" t="inlineStr">
        <is>
          <t>新倉</t>
        </is>
      </c>
      <c r="E3" s="257" t="inlineStr">
        <is>
          <t>賣</t>
        </is>
      </c>
      <c r="F3" s="229" t="inlineStr">
        <is>
          <t>-</t>
        </is>
      </c>
      <c r="G3" s="697" t="n">
        <v>1</v>
      </c>
      <c r="H3" s="698" t="n">
        <v>98</v>
      </c>
      <c r="I3" s="697">
        <f>IF(OR(AND(D3="新倉",E3="買"),AND(D3="平倉",E3="賣")),-G3*H3*50,G3*H3*50)</f>
        <v/>
      </c>
      <c r="J3" s="585" t="n">
        <v>18</v>
      </c>
      <c r="K3" s="585" t="n">
        <v>6</v>
      </c>
      <c r="L3" s="585">
        <f>IF(B3="TXO",I3-SUM(J3:K3),IF(B3="FITX",IF(D3="新倉",-SUM(J3:K3),IF(E3="賣",(H3-H2)*G3*200-SUM(J3:K3),(H2-H3)*G3*200-SUM(J3:K3))),IF(D3="新倉",-SUM(J3:K3),IF(E3="賣",(H3-H2)*G3*50-SUM(J3:K3),(H2-H3)*G3*50-SUM(J3:K3)))))</f>
        <v/>
      </c>
      <c r="M3" s="699">
        <f>L3</f>
        <v/>
      </c>
      <c r="O3" s="261" t="inlineStr">
        <is>
          <t>放棄</t>
        </is>
      </c>
      <c r="P3" s="249" t="inlineStr">
        <is>
          <t>元大期貨</t>
        </is>
      </c>
    </row>
    <row r="4" hidden="1" outlineLevel="1">
      <c r="A4" s="696" t="n">
        <v>44657</v>
      </c>
      <c r="B4" s="234" t="inlineStr">
        <is>
          <t>TXO</t>
        </is>
      </c>
      <c r="C4" s="229" t="inlineStr">
        <is>
          <t>週W1 C 02 17600 C</t>
        </is>
      </c>
      <c r="D4" s="229" t="inlineStr">
        <is>
          <t>新倉</t>
        </is>
      </c>
      <c r="E4" s="257" t="inlineStr">
        <is>
          <t>買</t>
        </is>
      </c>
      <c r="F4" s="229" t="inlineStr">
        <is>
          <t>-</t>
        </is>
      </c>
      <c r="G4" s="697" t="n">
        <v>1</v>
      </c>
      <c r="H4" s="698" t="n">
        <v>137</v>
      </c>
      <c r="I4" s="697">
        <f>IF(OR(AND(D4="新倉",E4="買"),AND(D4="平倉",E4="賣")),-G4*H4*50,G4*H4*50)</f>
        <v/>
      </c>
      <c r="J4" s="585" t="n">
        <v>18</v>
      </c>
      <c r="K4" s="585" t="n">
        <v>6</v>
      </c>
      <c r="L4" s="585">
        <f>IF(B4="TXO",I4-SUM(J4:K4),IF(B4="FITX",IF(D4="新倉",-SUM(J4:K4),IF(E4="賣",(H4-H3)*G4*200-SUM(J4:K4),(H3-H4)*G4*200-SUM(J4:K4))),IF(D4="新倉",-SUM(J4:K4),IF(E4="賣",(H4-H3)*G4*50-SUM(J4:K4),(H3-H4)*G4*50-SUM(J4:K4)))))</f>
        <v/>
      </c>
      <c r="M4" s="699">
        <f>L4</f>
        <v/>
      </c>
      <c r="O4" s="261" t="inlineStr">
        <is>
          <t>放棄</t>
        </is>
      </c>
      <c r="P4" s="249" t="inlineStr">
        <is>
          <t>元大期貨</t>
        </is>
      </c>
    </row>
    <row r="5" hidden="1" outlineLevel="1">
      <c r="A5" s="696" t="n">
        <v>44658</v>
      </c>
      <c r="B5" s="234" t="inlineStr">
        <is>
          <t>FIMTX</t>
        </is>
      </c>
      <c r="C5" s="229" t="inlineStr">
        <is>
          <t>小指05</t>
        </is>
      </c>
      <c r="D5" s="229" t="inlineStr">
        <is>
          <t>新倉</t>
        </is>
      </c>
      <c r="E5" s="257" t="inlineStr">
        <is>
          <t>買</t>
        </is>
      </c>
      <c r="F5" s="229" t="inlineStr">
        <is>
          <t>-</t>
        </is>
      </c>
      <c r="G5" s="697" t="n">
        <v>2</v>
      </c>
      <c r="H5" s="697" t="n">
        <v>17361</v>
      </c>
      <c r="I5" s="697" t="n">
        <v>0</v>
      </c>
      <c r="J5" s="585" t="n">
        <v>46</v>
      </c>
      <c r="K5" s="585" t="n">
        <v>34</v>
      </c>
      <c r="L5" s="585">
        <f>IF(B5="TXO",I5-SUM(J5:K5),IF(B5="FITX",IF(D5="新倉",-SUM(J5:K5),IF(E5="賣",(H5-H4)*G5*200-SUM(J5:K5),(H4-H5)*G5*200-SUM(J5:K5))),IF(D5="新倉",-SUM(J5:K5),IF(E5="賣",(H5-H4)*G5*50-SUM(J5:K5),(H4-H5)*G5*50-SUM(J5:K5)))))</f>
        <v/>
      </c>
      <c r="M5" s="699">
        <f>L5</f>
        <v/>
      </c>
      <c r="N5" s="686">
        <f>IF(B5="TXO","",IF(D5="新倉","",IF(E5="賣",(H5-#REF!)*G5,(#REF!-H5)*G5)))</f>
        <v/>
      </c>
      <c r="O5" s="249" t="inlineStr">
        <is>
          <t>新倉</t>
        </is>
      </c>
      <c r="P5" s="249" t="inlineStr">
        <is>
          <t>元大期貨</t>
        </is>
      </c>
    </row>
    <row r="6" hidden="1" outlineLevel="1">
      <c r="A6" s="696" t="n">
        <v>44658</v>
      </c>
      <c r="B6" s="234" t="inlineStr">
        <is>
          <t>FIMTX</t>
        </is>
      </c>
      <c r="C6" s="229" t="inlineStr">
        <is>
          <t>小指05</t>
        </is>
      </c>
      <c r="D6" s="229" t="inlineStr">
        <is>
          <t>平倉</t>
        </is>
      </c>
      <c r="E6" s="257" t="inlineStr">
        <is>
          <t>賣</t>
        </is>
      </c>
      <c r="F6" s="229" t="inlineStr">
        <is>
          <t>-</t>
        </is>
      </c>
      <c r="G6" s="697" t="n">
        <v>2</v>
      </c>
      <c r="H6" s="697" t="n">
        <v>17346</v>
      </c>
      <c r="I6" s="697" t="n">
        <v>0</v>
      </c>
      <c r="J6" s="585" t="n">
        <v>46</v>
      </c>
      <c r="K6" s="585" t="n">
        <v>34</v>
      </c>
      <c r="L6" s="585">
        <f>IF(B6="TXO",I6-SUM(J6:K6),IF(B6="FITX",IF(D6="新倉",-SUM(J6:K6),IF(E6="賣",(H6-H5)*G6*200-SUM(J6:K6),(H5-H6)*G6*200-SUM(J6:K6))),IF(D6="新倉",-SUM(J6:K6),IF(E6="賣",(H6-H5)*G6*50-SUM(J6:K6),(H5-H6)*G6*50-SUM(J6:K6)))))</f>
        <v/>
      </c>
      <c r="M6" s="699">
        <f>L6</f>
        <v/>
      </c>
      <c r="N6" s="686">
        <f>IF(B6="TXO","",IF(D6="新倉","",IF(E6="賣",(H6-H5)*G6,(H5-H6)*G6)))</f>
        <v/>
      </c>
      <c r="O6" s="249" t="inlineStr">
        <is>
          <t>平倉</t>
        </is>
      </c>
      <c r="P6" s="249" t="inlineStr">
        <is>
          <t>元大期貨</t>
        </is>
      </c>
    </row>
    <row r="7" hidden="1" outlineLevel="1">
      <c r="A7" s="696" t="n">
        <v>44727</v>
      </c>
      <c r="B7" s="234" t="inlineStr">
        <is>
          <t>TXO</t>
        </is>
      </c>
      <c r="C7" s="229" t="inlineStr">
        <is>
          <t>週W2 P 02 15900 P</t>
        </is>
      </c>
      <c r="D7" s="229" t="inlineStr">
        <is>
          <t>新倉</t>
        </is>
      </c>
      <c r="E7" s="257" t="inlineStr">
        <is>
          <t>買</t>
        </is>
      </c>
      <c r="F7" s="229" t="inlineStr">
        <is>
          <t>-</t>
        </is>
      </c>
      <c r="G7" s="697" t="n">
        <v>1</v>
      </c>
      <c r="H7" s="698" t="n">
        <v>26</v>
      </c>
      <c r="I7" s="697">
        <f>IF(OR(AND(D7="新倉",E7="買"),AND(D7="平倉",E7="賣")),-G7*H7*50,G7*H7*50)</f>
        <v/>
      </c>
      <c r="J7" s="585" t="n">
        <v>18</v>
      </c>
      <c r="K7" s="585" t="n">
        <v>1</v>
      </c>
      <c r="L7" s="585">
        <f>IF(B7="TXO",I7-SUM(J7:K7),IF(B7="FITX",IF(D7="新倉",-SUM(J7:K7),IF(E7="賣",(H7-H6)*G7*200-SUM(J7:K7),(H6-H7)*G7*200-SUM(J7:K7))),IF(D7="新倉",-SUM(J7:K7),IF(E7="賣",(H7-H6)*G7*50-SUM(J7:K7),(H6-H7)*G7*50-SUM(J7:K7)))))</f>
        <v/>
      </c>
      <c r="M7" s="699">
        <f>L7</f>
        <v/>
      </c>
      <c r="O7" s="261" t="inlineStr">
        <is>
          <t>放棄</t>
        </is>
      </c>
      <c r="P7" s="249" t="inlineStr">
        <is>
          <t>元大期貨</t>
        </is>
      </c>
    </row>
    <row r="8" hidden="1" outlineLevel="1">
      <c r="A8" s="696" t="n">
        <v>44740</v>
      </c>
      <c r="B8" s="234" t="inlineStr">
        <is>
          <t>TXO</t>
        </is>
      </c>
      <c r="C8" s="229" t="inlineStr">
        <is>
          <t>週W5 C 02 16650 C</t>
        </is>
      </c>
      <c r="D8" s="229" t="inlineStr">
        <is>
          <t>新倉</t>
        </is>
      </c>
      <c r="E8" s="257" t="inlineStr">
        <is>
          <t>賣</t>
        </is>
      </c>
      <c r="F8" s="229" t="inlineStr">
        <is>
          <t>-</t>
        </is>
      </c>
      <c r="G8" s="697" t="n">
        <v>1</v>
      </c>
      <c r="H8" s="698" t="n">
        <v>23</v>
      </c>
      <c r="I8" s="697">
        <f>IF(OR(AND(D8="新倉",E8="買"),AND(D8="平倉",E8="賣")),-G8*H8*50,G8*H8*50)</f>
        <v/>
      </c>
      <c r="J8" s="585" t="n">
        <v>18</v>
      </c>
      <c r="K8" s="585" t="n">
        <v>2</v>
      </c>
      <c r="L8" s="585">
        <f>IF(B8="TXO",I8-SUM(J8:K8),IF(B8="FITX",IF(D8="新倉",-SUM(J8:K8),IF(E8="賣",(H8-H7)*G8*200-SUM(J8:K8),(H7-H8)*G8*200-SUM(J8:K8))),IF(D8="新倉",-SUM(J8:K8),IF(E8="賣",(H8-H7)*G8*50-SUM(J8:K8),(H7-H8)*G8*50-SUM(J8:K8)))))</f>
        <v/>
      </c>
      <c r="M8" s="699">
        <f>L8</f>
        <v/>
      </c>
      <c r="O8" s="261" t="inlineStr">
        <is>
          <t>放棄</t>
        </is>
      </c>
      <c r="P8" s="249" t="inlineStr">
        <is>
          <t>元大期貨</t>
        </is>
      </c>
    </row>
    <row r="9" hidden="1" outlineLevel="1">
      <c r="A9" s="696" t="n">
        <v>44740</v>
      </c>
      <c r="B9" s="234" t="inlineStr">
        <is>
          <t>TXO</t>
        </is>
      </c>
      <c r="C9" s="229" t="inlineStr">
        <is>
          <t>週W5 C 02 16550 C</t>
        </is>
      </c>
      <c r="D9" s="229" t="inlineStr">
        <is>
          <t>新倉</t>
        </is>
      </c>
      <c r="E9" s="257" t="inlineStr">
        <is>
          <t>買</t>
        </is>
      </c>
      <c r="F9" s="229" t="inlineStr">
        <is>
          <t>-</t>
        </is>
      </c>
      <c r="G9" s="697" t="n">
        <v>1</v>
      </c>
      <c r="H9" s="698" t="n">
        <v>53</v>
      </c>
      <c r="I9" s="697">
        <f>IF(OR(AND(D9="新倉",E9="買"),AND(D9="平倉",E9="賣")),-G9*H9*50,G9*H9*50)</f>
        <v/>
      </c>
      <c r="J9" s="585" t="n">
        <v>18</v>
      </c>
      <c r="K9" s="585" t="n">
        <v>2</v>
      </c>
      <c r="L9" s="585">
        <f>IF(B9="TXO",I9-SUM(J9:K9),IF(B9="FITX",IF(D9="新倉",-SUM(J9:K9),IF(E9="賣",(H9-H8)*G9*200-SUM(J9:K9),(H8-H9)*G9*200-SUM(J9:K9))),IF(D9="新倉",-SUM(J9:K9),IF(E9="賣",(H9-H8)*G9*50-SUM(J9:K9),(H8-H9)*G9*50-SUM(J9:K9)))))</f>
        <v/>
      </c>
      <c r="M9" s="699">
        <f>L9</f>
        <v/>
      </c>
      <c r="O9" s="261" t="inlineStr">
        <is>
          <t>放棄</t>
        </is>
      </c>
      <c r="P9" s="249" t="inlineStr">
        <is>
          <t>元大期貨</t>
        </is>
      </c>
    </row>
    <row r="10" hidden="1" outlineLevel="1">
      <c r="A10" s="696" t="n">
        <v>44755</v>
      </c>
      <c r="B10" s="234" t="inlineStr">
        <is>
          <t>TXO</t>
        </is>
      </c>
      <c r="C10" s="229" t="inlineStr">
        <is>
          <t>週W2 P 02 13800 P</t>
        </is>
      </c>
      <c r="D10" s="229" t="inlineStr">
        <is>
          <t>新倉</t>
        </is>
      </c>
      <c r="E10" s="257" t="inlineStr">
        <is>
          <t>買</t>
        </is>
      </c>
      <c r="F10" s="229" t="inlineStr">
        <is>
          <t>-</t>
        </is>
      </c>
      <c r="G10" s="697" t="n">
        <v>2</v>
      </c>
      <c r="H10" s="698" t="n">
        <v>3</v>
      </c>
      <c r="I10" s="697">
        <f>IF(OR(AND(D10="新倉",E10="買"),AND(D10="平倉",E10="賣")),-G10*H10*50,G10*H10*50)</f>
        <v/>
      </c>
      <c r="J10" s="585" t="n">
        <v>36</v>
      </c>
      <c r="K10" s="585" t="n"/>
      <c r="L10" s="585">
        <f>IF(B10="TXO",I10-SUM(J10:K10),IF(B10="FITX",IF(D10="新倉",-SUM(J10:K10),IF(E10="賣",(H10-H9)*G10*200-SUM(J10:K10),(H9-H10)*G10*200-SUM(J10:K10))),IF(D10="新倉",-SUM(J10:K10),IF(E10="賣",(H10-H9)*G10*50-SUM(J10:K10),(H9-H10)*G10*50-SUM(J10:K10)))))</f>
        <v/>
      </c>
      <c r="M10" s="699">
        <f>L10</f>
        <v/>
      </c>
      <c r="O10" s="261" t="inlineStr">
        <is>
          <t>放棄</t>
        </is>
      </c>
      <c r="P10" s="249" t="inlineStr">
        <is>
          <t>元大期貨</t>
        </is>
      </c>
    </row>
    <row r="11" hidden="1" outlineLevel="1">
      <c r="A11" s="696" t="n">
        <v>44755</v>
      </c>
      <c r="B11" s="234" t="inlineStr">
        <is>
          <t>TXO</t>
        </is>
      </c>
      <c r="C11" s="229" t="inlineStr">
        <is>
          <t>週W2 P 02 13850 P</t>
        </is>
      </c>
      <c r="D11" s="229" t="inlineStr">
        <is>
          <t>新倉</t>
        </is>
      </c>
      <c r="E11" s="257" t="inlineStr">
        <is>
          <t>買</t>
        </is>
      </c>
      <c r="F11" s="229" t="inlineStr">
        <is>
          <t>-</t>
        </is>
      </c>
      <c r="G11" s="697" t="n">
        <v>2</v>
      </c>
      <c r="H11" s="698" t="n">
        <v>4</v>
      </c>
      <c r="I11" s="697">
        <f>IF(OR(AND(D11="新倉",E11="買"),AND(D11="平倉",E11="賣")),-G11*H11*50,G11*H11*50)</f>
        <v/>
      </c>
      <c r="J11" s="585" t="n">
        <v>36</v>
      </c>
      <c r="K11" s="585" t="n"/>
      <c r="L11" s="585">
        <f>IF(B11="TXO",I11-SUM(J11:K11),IF(B11="FITX",IF(D11="新倉",-SUM(J11:K11),IF(E11="賣",(H11-H10)*G11*200-SUM(J11:K11),(H10-H11)*G11*200-SUM(J11:K11))),IF(D11="新倉",-SUM(J11:K11),IF(E11="賣",(H11-H10)*G11*50-SUM(J11:K11),(H10-H11)*G11*50-SUM(J11:K11)))))</f>
        <v/>
      </c>
      <c r="M11" s="699">
        <f>L11</f>
        <v/>
      </c>
      <c r="O11" s="261" t="inlineStr">
        <is>
          <t>放棄</t>
        </is>
      </c>
      <c r="P11" s="249" t="inlineStr">
        <is>
          <t>元大期貨</t>
        </is>
      </c>
    </row>
    <row r="12" hidden="1" outlineLevel="1">
      <c r="A12" s="696" t="n">
        <v>44763</v>
      </c>
      <c r="B12" s="234" t="inlineStr">
        <is>
          <t>TXO</t>
        </is>
      </c>
      <c r="C12" s="229" t="inlineStr">
        <is>
          <t>週W4 P 02 14550 P</t>
        </is>
      </c>
      <c r="D12" s="229" t="inlineStr">
        <is>
          <t>新倉</t>
        </is>
      </c>
      <c r="E12" s="257" t="inlineStr">
        <is>
          <t>買</t>
        </is>
      </c>
      <c r="F12" s="229" t="inlineStr">
        <is>
          <t>-</t>
        </is>
      </c>
      <c r="G12" s="697" t="n">
        <v>1</v>
      </c>
      <c r="H12" s="698" t="n">
        <v>60</v>
      </c>
      <c r="I12" s="697">
        <f>IF(OR(AND(D12="新倉",E12="買"),AND(D12="平倉",E12="賣")),-G12*H12*50,G12*H12*50)</f>
        <v/>
      </c>
      <c r="J12" s="585" t="n">
        <v>18</v>
      </c>
      <c r="K12" s="585" t="n">
        <v>3</v>
      </c>
      <c r="L12" s="585">
        <f>IF(B12="TXO",I12-SUM(J12:K12),IF(B12="FITX",IF(D12="新倉",-SUM(J12:K12),IF(E12="賣",(H12-H11)*G12*200-SUM(J12:K12),(H11-H12)*G12*200-SUM(J12:K12))),IF(D12="新倉",-SUM(J12:K12),IF(E12="賣",(H12-H11)*G12*50-SUM(J12:K12),(H11-H12)*G12*50-SUM(J12:K12)))))</f>
        <v/>
      </c>
      <c r="M12" s="699">
        <f>L12</f>
        <v/>
      </c>
      <c r="O12" s="261" t="inlineStr">
        <is>
          <t>放棄</t>
        </is>
      </c>
      <c r="P12" s="249" t="inlineStr">
        <is>
          <t>元大期貨</t>
        </is>
      </c>
    </row>
    <row r="13" hidden="1" outlineLevel="1">
      <c r="A13" s="696" t="n">
        <v>44851</v>
      </c>
      <c r="B13" s="234" t="inlineStr">
        <is>
          <t>TXO</t>
        </is>
      </c>
      <c r="C13" s="229" t="inlineStr">
        <is>
          <t>週W5 C 02 13350 C</t>
        </is>
      </c>
      <c r="D13" s="229" t="inlineStr">
        <is>
          <t>新倉</t>
        </is>
      </c>
      <c r="E13" s="257" t="inlineStr">
        <is>
          <t>買</t>
        </is>
      </c>
      <c r="F13" s="229" t="inlineStr">
        <is>
          <t>-</t>
        </is>
      </c>
      <c r="G13" s="697" t="n">
        <v>1</v>
      </c>
      <c r="H13" s="698" t="n">
        <v>20</v>
      </c>
      <c r="I13" s="697">
        <f>IF(OR(AND(D13="新倉",E13="買"),AND(D13="平倉",E13="賣")),-G13*H13*50,G13*H13*50)</f>
        <v/>
      </c>
      <c r="J13" s="585" t="n">
        <v>18</v>
      </c>
      <c r="K13" s="585" t="n">
        <v>1</v>
      </c>
      <c r="L13" s="585">
        <f>IF(B13="TXO",I13-SUM(J13:K13),IF(B13="FITX",IF(D13="新倉",-SUM(J13:K13),IF(E13="賣",(H13-H12)*G13*200-SUM(J13:K13),(H12-H13)*G13*200-SUM(J13:K13))),IF(D13="新倉",-SUM(J13:K13),IF(E13="賣",(H13-H12)*G13*50-SUM(J13:K13),(H12-H13)*G13*50-SUM(J13:K13)))))</f>
        <v/>
      </c>
      <c r="M13" s="699">
        <f>L13</f>
        <v/>
      </c>
      <c r="O13" s="261" t="inlineStr">
        <is>
          <t>放棄</t>
        </is>
      </c>
      <c r="P13" s="249" t="inlineStr">
        <is>
          <t>元大期貨</t>
        </is>
      </c>
    </row>
    <row r="14" hidden="1" outlineLevel="1">
      <c r="A14" s="696" t="n">
        <v>44901</v>
      </c>
      <c r="B14" s="234" t="inlineStr">
        <is>
          <t>TXO</t>
        </is>
      </c>
      <c r="C14" s="229" t="inlineStr">
        <is>
          <t>週W1 C 02 15200 C</t>
        </is>
      </c>
      <c r="D14" s="229" t="inlineStr">
        <is>
          <t>新倉</t>
        </is>
      </c>
      <c r="E14" s="257" t="inlineStr">
        <is>
          <t>買</t>
        </is>
      </c>
      <c r="F14" s="229" t="inlineStr">
        <is>
          <t>-</t>
        </is>
      </c>
      <c r="G14" s="697" t="n">
        <v>2</v>
      </c>
      <c r="H14" s="698" t="n">
        <v>7.2</v>
      </c>
      <c r="I14" s="697">
        <f>IF(OR(AND(D14="新倉",E14="買"),AND(D14="平倉",E14="賣")),-G14*H14*50,G14*H14*50)</f>
        <v/>
      </c>
      <c r="J14" s="585" t="n">
        <v>27</v>
      </c>
      <c r="K14" s="585" t="n"/>
      <c r="L14" s="585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/>
      </c>
      <c r="M14" s="699">
        <f>L14</f>
        <v/>
      </c>
      <c r="O14" s="261" t="inlineStr">
        <is>
          <t>放棄</t>
        </is>
      </c>
      <c r="P14" s="249" t="inlineStr">
        <is>
          <t>元大期貨</t>
        </is>
      </c>
    </row>
    <row r="15" hidden="1" outlineLevel="1" ht="17.25" customHeight="1" thickBot="1">
      <c r="A15" s="696" t="n">
        <v>44901</v>
      </c>
      <c r="B15" s="234" t="inlineStr">
        <is>
          <t>TXO</t>
        </is>
      </c>
      <c r="C15" s="229" t="inlineStr">
        <is>
          <t>週W1 C 02 15200 C</t>
        </is>
      </c>
      <c r="D15" s="229" t="inlineStr">
        <is>
          <t>新倉</t>
        </is>
      </c>
      <c r="E15" s="257" t="inlineStr">
        <is>
          <t>買</t>
        </is>
      </c>
      <c r="F15" s="229" t="inlineStr">
        <is>
          <t>-</t>
        </is>
      </c>
      <c r="G15" s="697" t="n">
        <v>1</v>
      </c>
      <c r="H15" s="698" t="n">
        <v>7</v>
      </c>
      <c r="I15" s="697">
        <f>IF(OR(AND(D15="新倉",E15="買"),AND(D15="平倉",E15="賣")),-G15*H15*50,G15*H15*50)</f>
        <v/>
      </c>
      <c r="J15" s="585" t="n">
        <v>27</v>
      </c>
      <c r="K15" s="585" t="n"/>
      <c r="L15" s="585">
        <f>IF(B15="TXO",I15-SUM(J15:K15),IF(B15="FITX",IF(D15="新倉",-SUM(J15:K15),IF(E15="賣",(H15-H14)*G15*200-SUM(J15:K15),(H14-H15)*G15*200-SUM(J15:K15))),IF(D15="新倉",-SUM(J15:K15),IF(E15="賣",(H15-H14)*G15*50-SUM(J15:K15),(H14-H15)*G15*50-SUM(J15:K15)))))</f>
        <v/>
      </c>
      <c r="M15" s="699">
        <f>L15</f>
        <v/>
      </c>
      <c r="O15" s="261" t="inlineStr">
        <is>
          <t>放棄</t>
        </is>
      </c>
      <c r="P15" s="249" t="inlineStr">
        <is>
          <t>元大期貨</t>
        </is>
      </c>
    </row>
    <row r="16" collapsed="1" ht="17.25" customFormat="1" customHeight="1" s="244" thickBot="1">
      <c r="A16" s="262" t="inlineStr">
        <is>
          <t>2022總計</t>
        </is>
      </c>
      <c r="B16" s="149" t="inlineStr">
        <is>
          <t>帳戶餘額</t>
        </is>
      </c>
      <c r="C16" s="700">
        <f>M2+M16</f>
        <v/>
      </c>
      <c r="D16" s="701" t="n"/>
      <c r="E16" s="263" t="n"/>
      <c r="F16" s="263" t="n"/>
      <c r="G16" s="702" t="n"/>
      <c r="H16" s="702" t="n"/>
      <c r="I16" s="702" t="n"/>
      <c r="J16" s="703" t="n"/>
      <c r="K16" s="702" t="n"/>
      <c r="L16" s="704">
        <f>SUM(L3:L15)</f>
        <v/>
      </c>
      <c r="M16" s="705">
        <f>SUM(M3:M15)</f>
        <v/>
      </c>
      <c r="N16" s="706" t="n"/>
      <c r="O16" s="255" t="n"/>
    </row>
    <row r="17" hidden="1" outlineLevel="1">
      <c r="A17" s="707" t="n">
        <v>44927</v>
      </c>
      <c r="B17" s="266" t="n"/>
      <c r="C17" s="267" t="inlineStr">
        <is>
          <t>出金</t>
        </is>
      </c>
      <c r="D17" s="267" t="n"/>
      <c r="E17" s="267" t="n"/>
      <c r="F17" s="267" t="n"/>
      <c r="G17" s="708" t="n"/>
      <c r="H17" s="708" t="n"/>
      <c r="I17" s="708" t="n"/>
      <c r="J17" s="709" t="n"/>
      <c r="K17" s="709" t="n"/>
      <c r="L17" s="709" t="n">
        <v>40000</v>
      </c>
      <c r="M17" s="710">
        <f>L17</f>
        <v/>
      </c>
    </row>
    <row r="18" hidden="1" outlineLevel="1" collapsed="1">
      <c r="A18" s="711" t="n">
        <v>44927</v>
      </c>
      <c r="B18" s="270" t="n"/>
      <c r="C18" s="271" t="inlineStr">
        <is>
          <t>2022 帳戶餘額</t>
        </is>
      </c>
      <c r="D18" s="271" t="n"/>
      <c r="E18" s="271" t="n"/>
      <c r="F18" s="271" t="n"/>
      <c r="G18" s="712" t="n"/>
      <c r="H18" s="712" t="n"/>
      <c r="I18" s="712" t="n"/>
      <c r="J18" s="713" t="n"/>
      <c r="K18" s="713" t="n"/>
      <c r="L18" s="713" t="n">
        <v>38806</v>
      </c>
      <c r="M18" s="714">
        <f>L18</f>
        <v/>
      </c>
    </row>
    <row r="19" hidden="1" outlineLevel="1">
      <c r="A19" s="696" t="n">
        <v>44957</v>
      </c>
      <c r="B19" s="234" t="inlineStr">
        <is>
          <t>TXO</t>
        </is>
      </c>
      <c r="C19" s="229" t="inlineStr">
        <is>
          <t>週W1 C 02 15800 C</t>
        </is>
      </c>
      <c r="D19" s="229" t="inlineStr">
        <is>
          <t>新倉</t>
        </is>
      </c>
      <c r="E19" s="257" t="inlineStr">
        <is>
          <t>買</t>
        </is>
      </c>
      <c r="F19" s="229" t="inlineStr">
        <is>
          <t>-</t>
        </is>
      </c>
      <c r="G19" s="697" t="n">
        <v>10</v>
      </c>
      <c r="H19" s="698" t="n">
        <v>2.6</v>
      </c>
      <c r="I19" s="697">
        <f>IF(D19="新倉",-G19*H19*50,G19*H19*50)</f>
        <v/>
      </c>
      <c r="J19" s="585" t="n">
        <v>180</v>
      </c>
      <c r="K19" s="585" t="n">
        <v>0</v>
      </c>
      <c r="L19" s="585">
        <f>IF(B19="TXO",I19-SUM(J19:K19),IF(B19="FITX",IF(D19="新倉",-SUM(J19:K19),IF(E19="賣",(H19-H18)*G19*200-SUM(J19:K19),(H18-H19)*G19*200-SUM(J19:K19))),IF(D19="新倉",-SUM(J19:K19),IF(E19="賣",(H19-H18)*G19*50-SUM(J19:K19),(H18-H19)*G19*50-SUM(J19:K19)))))</f>
        <v/>
      </c>
      <c r="M19" s="699">
        <f>L19</f>
        <v/>
      </c>
      <c r="O19" s="261" t="inlineStr">
        <is>
          <t>放棄</t>
        </is>
      </c>
      <c r="P19" s="249" t="inlineStr">
        <is>
          <t>元大期貨</t>
        </is>
      </c>
    </row>
    <row r="20" hidden="1" outlineLevel="1">
      <c r="A20" s="696" t="n">
        <v>44958</v>
      </c>
      <c r="B20" s="234" t="inlineStr">
        <is>
          <t>TXO</t>
        </is>
      </c>
      <c r="C20" s="229" t="inlineStr">
        <is>
          <t>週W1 C 02 15400 C</t>
        </is>
      </c>
      <c r="D20" s="229" t="inlineStr">
        <is>
          <t>新倉</t>
        </is>
      </c>
      <c r="E20" s="257" t="inlineStr">
        <is>
          <t>買</t>
        </is>
      </c>
      <c r="F20" s="229" t="inlineStr">
        <is>
          <t>-</t>
        </is>
      </c>
      <c r="G20" s="697" t="n">
        <v>2</v>
      </c>
      <c r="H20" s="698" t="n">
        <v>10</v>
      </c>
      <c r="I20" s="697">
        <f>IF(D20="新倉",-G20*H20*50,G20*H20*50)</f>
        <v/>
      </c>
      <c r="J20" s="585" t="n">
        <v>36</v>
      </c>
      <c r="K20" s="585" t="n">
        <v>2</v>
      </c>
      <c r="L20" s="585">
        <f>IF(B20="TXO",I20-SUM(J20:K20),IF(B20="FITX",IF(D20="新倉",-SUM(J20:K20),IF(E20="賣",(H20-H19)*G20*200-SUM(J20:K20),(H19-H20)*G20*200-SUM(J20:K20))),IF(D20="新倉",-SUM(J20:K20),IF(E20="賣",(H20-H19)*G20*50-SUM(J20:K20),(H19-H20)*G20*50-SUM(J20:K20)))))</f>
        <v/>
      </c>
      <c r="M20" s="699">
        <f>L20</f>
        <v/>
      </c>
      <c r="O20" s="261" t="inlineStr">
        <is>
          <t>放棄</t>
        </is>
      </c>
      <c r="P20" s="249" t="inlineStr">
        <is>
          <t>元大期貨</t>
        </is>
      </c>
    </row>
    <row r="21" hidden="1" outlineLevel="1" ht="17.25" customHeight="1" thickBot="1">
      <c r="A21" s="696" t="n">
        <v>44998</v>
      </c>
      <c r="B21" s="234" t="inlineStr">
        <is>
          <t>TXO</t>
        </is>
      </c>
      <c r="C21" s="229" t="inlineStr">
        <is>
          <t>週W2 P 02 15250 P</t>
        </is>
      </c>
      <c r="D21" s="229" t="inlineStr">
        <is>
          <t>新倉</t>
        </is>
      </c>
      <c r="E21" s="257" t="inlineStr">
        <is>
          <t>買</t>
        </is>
      </c>
      <c r="F21" s="229" t="inlineStr">
        <is>
          <t>-</t>
        </is>
      </c>
      <c r="G21" s="697" t="n">
        <v>1</v>
      </c>
      <c r="H21" s="698" t="n">
        <v>49</v>
      </c>
      <c r="I21" s="697">
        <f>IF(D21="新倉",-G21*H21*50,G21*H21*50)</f>
        <v/>
      </c>
      <c r="J21" s="585" t="n">
        <v>18</v>
      </c>
      <c r="K21" s="585" t="n">
        <v>2</v>
      </c>
      <c r="L21" s="585">
        <f>IF(B21="TXO",I21-SUM(J21:K21),IF(B21="FITX",IF(D21="新倉",-SUM(J21:K21),IF(E21="賣",(H21-H20)*G21*200-SUM(J21:K21),(H20-H21)*G21*200-SUM(J21:K21))),IF(D21="新倉",-SUM(J21:K21),IF(E21="賣",(H21-H20)*G21*50-SUM(J21:K21),(H20-H21)*G21*50-SUM(J21:K21)))))</f>
        <v/>
      </c>
      <c r="M21" s="699">
        <f>L21</f>
        <v/>
      </c>
      <c r="O21" s="261" t="inlineStr">
        <is>
          <t>放棄</t>
        </is>
      </c>
      <c r="P21" s="249" t="inlineStr">
        <is>
          <t>元大期貨</t>
        </is>
      </c>
    </row>
    <row r="22" collapsed="1" ht="17.25" customFormat="1" customHeight="1" s="244" thickBot="1">
      <c r="A22" s="262" t="inlineStr">
        <is>
          <t>2023總計</t>
        </is>
      </c>
      <c r="B22" s="149" t="inlineStr">
        <is>
          <t>帳戶餘額</t>
        </is>
      </c>
      <c r="C22" s="700">
        <f>M18+M22</f>
        <v/>
      </c>
      <c r="D22" s="701" t="n"/>
      <c r="E22" s="263" t="n"/>
      <c r="F22" s="263" t="n"/>
      <c r="G22" s="702" t="n"/>
      <c r="H22" s="702" t="n"/>
      <c r="I22" s="702" t="n"/>
      <c r="J22" s="703" t="n"/>
      <c r="K22" s="702" t="n"/>
      <c r="L22" s="704">
        <f>SUM(L19:L21)</f>
        <v/>
      </c>
      <c r="M22" s="705">
        <f>SUM(M19:M21)</f>
        <v/>
      </c>
      <c r="N22" s="706" t="n"/>
      <c r="O22" s="255" t="n"/>
    </row>
    <row r="23" hidden="1" outlineLevel="2" collapsed="1" customFormat="1" s="244">
      <c r="A23" s="711" t="n">
        <v>45292</v>
      </c>
      <c r="B23" s="270" t="n"/>
      <c r="C23" s="271" t="inlineStr">
        <is>
          <t>2023 帳戶餘額</t>
        </is>
      </c>
      <c r="D23" s="271" t="n"/>
      <c r="E23" s="271" t="n"/>
      <c r="F23" s="271" t="n"/>
      <c r="G23" s="712" t="n"/>
      <c r="H23" s="712" t="n"/>
      <c r="I23" s="712" t="n"/>
      <c r="J23" s="713" t="n"/>
      <c r="K23" s="713" t="n"/>
      <c r="L23" s="713">
        <f>C22</f>
        <v/>
      </c>
      <c r="M23" s="714">
        <f>L23</f>
        <v/>
      </c>
      <c r="N23" s="695" t="n"/>
      <c r="O23" s="255" t="n"/>
    </row>
    <row r="24" hidden="1" outlineLevel="2">
      <c r="A24" s="696" t="n">
        <v>45313</v>
      </c>
      <c r="B24" s="234" t="inlineStr">
        <is>
          <t>TXO</t>
        </is>
      </c>
      <c r="C24" s="229" t="inlineStr">
        <is>
          <t>週W4 C 01 17900 C</t>
        </is>
      </c>
      <c r="D24" s="229" t="inlineStr">
        <is>
          <t>新倉</t>
        </is>
      </c>
      <c r="E24" s="257" t="inlineStr">
        <is>
          <t>買</t>
        </is>
      </c>
      <c r="F24" s="229" t="inlineStr">
        <is>
          <t>-</t>
        </is>
      </c>
      <c r="G24" s="697" t="n">
        <v>1</v>
      </c>
      <c r="H24" s="698" t="n">
        <v>43.5</v>
      </c>
      <c r="I24" s="697">
        <f>IF(D24="新倉",-G24*H24*50,G24*H24*50)</f>
        <v/>
      </c>
      <c r="J24" s="585" t="n">
        <v>18</v>
      </c>
      <c r="K24" s="585" t="n">
        <v>2</v>
      </c>
      <c r="L24" s="585">
        <f>IF(B24="TXO",I24-SUM(J24:K24),IF(B24="FITX",IF(D24="新倉",-SUM(J24:K24),IF(E24="賣",(H24-H23)*G24*200-SUM(J24:K24),(H23-H24)*G24*200-SUM(J24:K24))),IF(D24="新倉",-SUM(J24:K24),IF(E24="賣",(H24-H23)*G24*50-SUM(J24:K24),(H23-H24)*G24*50-SUM(J24:K24)))))</f>
        <v/>
      </c>
      <c r="M24" s="699">
        <f>L24</f>
        <v/>
      </c>
      <c r="N24" s="686">
        <f>M24</f>
        <v/>
      </c>
      <c r="O24" s="261" t="inlineStr">
        <is>
          <t>放棄</t>
        </is>
      </c>
      <c r="P24" s="249" t="inlineStr">
        <is>
          <t>元大期貨</t>
        </is>
      </c>
    </row>
    <row r="25" hidden="1" outlineLevel="2" ht="17.25" customHeight="1" thickBot="1">
      <c r="A25" s="696" t="n">
        <v>45313</v>
      </c>
      <c r="B25" s="234" t="inlineStr">
        <is>
          <t>TXO</t>
        </is>
      </c>
      <c r="C25" s="229" t="inlineStr">
        <is>
          <t>週W4 P 01 17700 P</t>
        </is>
      </c>
      <c r="D25" s="229" t="inlineStr">
        <is>
          <t>新倉</t>
        </is>
      </c>
      <c r="E25" s="257" t="inlineStr">
        <is>
          <t>買</t>
        </is>
      </c>
      <c r="F25" s="229" t="inlineStr">
        <is>
          <t>-</t>
        </is>
      </c>
      <c r="G25" s="697" t="n">
        <v>1</v>
      </c>
      <c r="H25" s="698" t="n">
        <v>40</v>
      </c>
      <c r="I25" s="697">
        <f>IF(D25="新倉",-G25*H25*50,G25*H25*50)</f>
        <v/>
      </c>
      <c r="J25" s="585" t="n">
        <v>18</v>
      </c>
      <c r="K25" s="585" t="n">
        <v>2</v>
      </c>
      <c r="L25" s="585">
        <f>IF(B25="TXO",I25-SUM(J25:K25),IF(B25="FITX",IF(D25="新倉",-SUM(J25:K25),IF(E25="賣",(H25-H24)*G25*200-SUM(J25:K25),(H24-H25)*G25*200-SUM(J25:K25))),IF(D25="新倉",-SUM(J25:K25),IF(E25="賣",(H25-H24)*G25*50-SUM(J25:K25),(H24-H25)*G25*50-SUM(J25:K25)))))</f>
        <v/>
      </c>
      <c r="M25" s="699">
        <f>L25</f>
        <v/>
      </c>
      <c r="N25" s="686">
        <f>M25</f>
        <v/>
      </c>
      <c r="O25" s="261" t="inlineStr">
        <is>
          <t>放棄</t>
        </is>
      </c>
      <c r="P25" s="249" t="inlineStr">
        <is>
          <t>元大期貨</t>
        </is>
      </c>
    </row>
    <row r="26" outlineLevel="1" collapsed="1" ht="17.25" customHeight="1" thickBot="1">
      <c r="A26" s="273" t="inlineStr">
        <is>
          <t>1月總計</t>
        </is>
      </c>
      <c r="B26" s="274" t="n"/>
      <c r="C26" s="274" t="n"/>
      <c r="D26" s="274" t="n"/>
      <c r="E26" s="274" t="n"/>
      <c r="F26" s="274" t="n"/>
      <c r="G26" s="715" t="n"/>
      <c r="H26" s="715" t="n"/>
      <c r="I26" s="715" t="n"/>
      <c r="J26" s="716" t="n"/>
      <c r="K26" s="715" t="n"/>
      <c r="L26" s="717">
        <f>SUM(L24:L25)</f>
        <v/>
      </c>
      <c r="M26" s="717">
        <f>SUM(M24:M25)</f>
        <v/>
      </c>
      <c r="N26" s="666" t="n"/>
    </row>
    <row r="27" hidden="1" outlineLevel="2">
      <c r="A27" s="696" t="n">
        <v>45344</v>
      </c>
      <c r="B27" s="234" t="inlineStr">
        <is>
          <t>TXO</t>
        </is>
      </c>
      <c r="C27" s="229" t="inlineStr">
        <is>
          <t>週W4 C 02 18950 C</t>
        </is>
      </c>
      <c r="D27" s="229" t="inlineStr">
        <is>
          <t>新倉</t>
        </is>
      </c>
      <c r="E27" s="257" t="inlineStr">
        <is>
          <t>買</t>
        </is>
      </c>
      <c r="F27" s="229" t="inlineStr">
        <is>
          <t>-</t>
        </is>
      </c>
      <c r="G27" s="697" t="n">
        <v>1</v>
      </c>
      <c r="H27" s="698" t="n">
        <v>43</v>
      </c>
      <c r="I27" s="697">
        <f>IF(D27="新倉",-G27*H27*50,G27*H27*50)</f>
        <v/>
      </c>
      <c r="J27" s="585" t="n">
        <v>18</v>
      </c>
      <c r="K27" s="585" t="n">
        <v>2</v>
      </c>
      <c r="L27" s="585">
        <f>IF(B27="TXO",I27-SUM(J27:K27),IF(B27="FITX",IF(D27="新倉",-SUM(J27:K27),IF(E27="賣",(H27-H26)*G27*200-SUM(J27:K27),(H26-H27)*G27*200-SUM(J27:K27))),IF(D27="新倉",-SUM(J27:K27),IF(E27="賣",(H27-H26)*G27*50-SUM(J27:K27),(H26-H27)*G27*50-SUM(J27:K27)))))</f>
        <v/>
      </c>
      <c r="M27" s="699">
        <f>L27</f>
        <v/>
      </c>
      <c r="O27" s="249" t="inlineStr">
        <is>
          <t>新倉</t>
        </is>
      </c>
      <c r="P27" s="249" t="inlineStr">
        <is>
          <t>元大期貨</t>
        </is>
      </c>
    </row>
    <row r="28" hidden="1" outlineLevel="2">
      <c r="A28" s="696" t="n">
        <v>45344</v>
      </c>
      <c r="B28" s="234" t="inlineStr">
        <is>
          <t>TXO</t>
        </is>
      </c>
      <c r="C28" s="229" t="inlineStr">
        <is>
          <t>週W4 C 02 18950 C</t>
        </is>
      </c>
      <c r="D28" s="229" t="inlineStr">
        <is>
          <t>平倉</t>
        </is>
      </c>
      <c r="E28" s="257" t="inlineStr">
        <is>
          <t>賣</t>
        </is>
      </c>
      <c r="F28" s="229" t="inlineStr">
        <is>
          <t>-</t>
        </is>
      </c>
      <c r="G28" s="697" t="n">
        <v>1</v>
      </c>
      <c r="H28" s="698" t="n">
        <v>47.5</v>
      </c>
      <c r="I28" s="697">
        <f>IF(D28="新倉",-G28*H28*50,G28*H28*50)</f>
        <v/>
      </c>
      <c r="J28" s="585" t="n">
        <v>18</v>
      </c>
      <c r="K28" s="585" t="n">
        <v>2</v>
      </c>
      <c r="L28" s="585">
        <f>IF(B28="TXO",I28-SUM(J28:K28),IF(B28="FITX",IF(D28="新倉",-SUM(J28:K28),IF(E28="賣",(H28-H27)*G28*200-SUM(J28:K28),(H27-H28)*G28*200-SUM(J28:K28))),IF(D28="新倉",-SUM(J28:K28),IF(E28="賣",(H28-H27)*G28*50-SUM(J28:K28),(H27-H28)*G28*50-SUM(J28:K28)))))</f>
        <v/>
      </c>
      <c r="M28" s="699">
        <f>L28</f>
        <v/>
      </c>
      <c r="N28" s="686">
        <f>SUM(M27:M28)</f>
        <v/>
      </c>
      <c r="O28" s="249" t="inlineStr">
        <is>
          <t>平倉</t>
        </is>
      </c>
      <c r="P28" s="249" t="inlineStr">
        <is>
          <t>元大期貨</t>
        </is>
      </c>
    </row>
    <row r="29" hidden="1" outlineLevel="2">
      <c r="A29" s="696" t="n">
        <v>45349</v>
      </c>
      <c r="B29" s="234" t="inlineStr">
        <is>
          <t>TXO</t>
        </is>
      </c>
      <c r="C29" s="229" t="inlineStr">
        <is>
          <t>週W4 C 02 18950 C</t>
        </is>
      </c>
      <c r="D29" s="229" t="inlineStr">
        <is>
          <t>新倉</t>
        </is>
      </c>
      <c r="E29" s="257" t="inlineStr">
        <is>
          <t>買</t>
        </is>
      </c>
      <c r="F29" s="229" t="inlineStr">
        <is>
          <t>-</t>
        </is>
      </c>
      <c r="G29" s="697" t="n">
        <v>1</v>
      </c>
      <c r="H29" s="698" t="n">
        <v>20</v>
      </c>
      <c r="I29" s="697">
        <f>IF(D29="新倉",-G29*H29*50,G29*H29*50)</f>
        <v/>
      </c>
      <c r="J29" s="585" t="n">
        <v>18</v>
      </c>
      <c r="K29" s="585" t="n">
        <v>1</v>
      </c>
      <c r="L29" s="585">
        <f>IF(B29="TXO",I29-SUM(J29:K29),IF(B29="FITX",IF(D29="新倉",-SUM(J29:K29),IF(E29="賣",(H29-H28)*G29*200-SUM(J29:K29),(H28-H29)*G29*200-SUM(J29:K29))),IF(D29="新倉",-SUM(J29:K29),IF(E29="賣",(H29-H28)*G29*50-SUM(J29:K29),(H28-H29)*G29*50-SUM(J29:K29)))))</f>
        <v/>
      </c>
      <c r="M29" s="699">
        <f>L29</f>
        <v/>
      </c>
      <c r="O29" s="249" t="inlineStr">
        <is>
          <t>新倉</t>
        </is>
      </c>
      <c r="P29" s="249" t="inlineStr">
        <is>
          <t>元大期貨</t>
        </is>
      </c>
    </row>
    <row r="30" hidden="1" outlineLevel="2" ht="17.25" customHeight="1" thickBot="1">
      <c r="A30" s="696" t="n">
        <v>45351</v>
      </c>
      <c r="B30" s="234" t="inlineStr">
        <is>
          <t>TXO</t>
        </is>
      </c>
      <c r="C30" s="229" t="inlineStr">
        <is>
          <t>週W4 C 02 18950 C</t>
        </is>
      </c>
      <c r="D30" s="229" t="inlineStr">
        <is>
          <t>平倉</t>
        </is>
      </c>
      <c r="E30" s="257" t="inlineStr">
        <is>
          <t>賣</t>
        </is>
      </c>
      <c r="F30" s="229" t="inlineStr">
        <is>
          <t>-</t>
        </is>
      </c>
      <c r="G30" s="697" t="n">
        <v>1</v>
      </c>
      <c r="H30" s="698" t="n">
        <v>43</v>
      </c>
      <c r="I30" s="697">
        <f>IF(D30="新倉",-G30*H30*50,G30*H30*50)</f>
        <v/>
      </c>
      <c r="J30" s="585" t="n">
        <v>18</v>
      </c>
      <c r="K30" s="585" t="n">
        <v>19</v>
      </c>
      <c r="L30" s="585">
        <f>IF(B30="TXO",I30-SUM(J30:K30),IF(B30="FITX",IF(D30="新倉",-SUM(J30:K30),IF(E30="賣",(H30-H29)*G30*200-SUM(J30:K30),(H29-H30)*G30*200-SUM(J30:K30))),IF(D30="新倉",-SUM(J30:K30),IF(E30="賣",(H30-H29)*G30*50-SUM(J30:K30),(H29-H30)*G30*50-SUM(J30:K30)))))</f>
        <v/>
      </c>
      <c r="M30" s="699">
        <f>L30</f>
        <v/>
      </c>
      <c r="N30" s="686">
        <f>SUM(M29:M30)</f>
        <v/>
      </c>
      <c r="O30" s="276" t="inlineStr">
        <is>
          <t>履約</t>
        </is>
      </c>
      <c r="P30" s="249" t="inlineStr">
        <is>
          <t>元大期貨</t>
        </is>
      </c>
    </row>
    <row r="31" outlineLevel="1" collapsed="1" ht="17.25" customHeight="1" thickBot="1">
      <c r="A31" s="273" t="inlineStr">
        <is>
          <t>2月總計</t>
        </is>
      </c>
      <c r="B31" s="274" t="n"/>
      <c r="C31" s="274" t="n"/>
      <c r="D31" s="274" t="n"/>
      <c r="E31" s="274" t="n"/>
      <c r="F31" s="274" t="n"/>
      <c r="G31" s="715" t="n"/>
      <c r="H31" s="715" t="n"/>
      <c r="I31" s="715" t="n"/>
      <c r="J31" s="716" t="n"/>
      <c r="K31" s="715" t="n"/>
      <c r="L31" s="717">
        <f>SUM(L27:L30)</f>
        <v/>
      </c>
      <c r="M31" s="717">
        <f>SUM(M27:M30)</f>
        <v/>
      </c>
      <c r="N31" s="666" t="n"/>
    </row>
    <row r="32" hidden="1" outlineLevel="2">
      <c r="A32" s="696" t="n">
        <v>45371</v>
      </c>
      <c r="B32" s="234" t="inlineStr">
        <is>
          <t>TXO</t>
        </is>
      </c>
      <c r="C32" s="229" t="inlineStr">
        <is>
          <t>台選 03P19850</t>
        </is>
      </c>
      <c r="D32" s="229" t="inlineStr">
        <is>
          <t>新倉</t>
        </is>
      </c>
      <c r="E32" s="257" t="inlineStr">
        <is>
          <t>買</t>
        </is>
      </c>
      <c r="F32" s="229" t="inlineStr">
        <is>
          <t>-</t>
        </is>
      </c>
      <c r="G32" s="697" t="n">
        <v>1</v>
      </c>
      <c r="H32" s="698" t="n">
        <v>12</v>
      </c>
      <c r="I32" s="697">
        <f>IF(D32="新倉",-G32*H32*50,G32*H32*50)</f>
        <v/>
      </c>
      <c r="J32" s="585" t="n">
        <v>18</v>
      </c>
      <c r="K32" s="585" t="n">
        <v>1</v>
      </c>
      <c r="L32" s="585">
        <f>IF(B32="TXO",I32-SUM(J32:K32),IF(B32="FITX",IF(D32="新倉",-SUM(J32:K32),IF(E32="賣",(H32-H31)*G32*200-SUM(J32:K32),(H31-H32)*G32*200-SUM(J32:K32))),IF(D32="新倉",-SUM(J32:K32),IF(E32="賣",(H32-H31)*G32*50-SUM(J32:K32),(H31-H32)*G32*50-SUM(J32:K32)))))</f>
        <v/>
      </c>
      <c r="M32" s="699">
        <f>L32</f>
        <v/>
      </c>
      <c r="O32" s="249" t="inlineStr">
        <is>
          <t>新倉</t>
        </is>
      </c>
      <c r="P32" s="249" t="inlineStr">
        <is>
          <t>元大期貨</t>
        </is>
      </c>
    </row>
    <row r="33" hidden="1" outlineLevel="2" ht="17.25" customHeight="1" thickBot="1">
      <c r="A33" s="696" t="n">
        <v>45371</v>
      </c>
      <c r="B33" s="234" t="inlineStr">
        <is>
          <t>TXO</t>
        </is>
      </c>
      <c r="C33" s="229" t="inlineStr">
        <is>
          <t>台選 03P19850</t>
        </is>
      </c>
      <c r="D33" s="229" t="inlineStr">
        <is>
          <t>平倉</t>
        </is>
      </c>
      <c r="E33" s="257" t="inlineStr">
        <is>
          <t>賣</t>
        </is>
      </c>
      <c r="F33" s="229" t="inlineStr">
        <is>
          <t>-</t>
        </is>
      </c>
      <c r="G33" s="697" t="n">
        <v>1</v>
      </c>
      <c r="H33" s="698" t="n">
        <v>24.5</v>
      </c>
      <c r="I33" s="697">
        <f>IF(D33="新倉",-G33*H33*50,G33*H33*50)</f>
        <v/>
      </c>
      <c r="J33" s="585" t="n">
        <v>18</v>
      </c>
      <c r="K33" s="585" t="n">
        <v>1</v>
      </c>
      <c r="L33" s="585">
        <f>IF(B33="TXO",I33-SUM(J33:K33),IF(B33="FITX",IF(D33="新倉",-SUM(J33:K33),IF(E33="賣",(H33-H32)*G33*200-SUM(J33:K33),(H32-H33)*G33*200-SUM(J33:K33))),IF(D33="新倉",-SUM(J33:K33),IF(E33="賣",(H33-H32)*G33*50-SUM(J33:K33),(H32-H33)*G33*50-SUM(J33:K33)))))</f>
        <v/>
      </c>
      <c r="M33" s="699">
        <f>L33</f>
        <v/>
      </c>
      <c r="N33" s="686">
        <f>SUM(M32:M33)</f>
        <v/>
      </c>
      <c r="O33" s="249" t="inlineStr">
        <is>
          <t>平倉</t>
        </is>
      </c>
      <c r="P33" s="249" t="inlineStr">
        <is>
          <t>元大期貨</t>
        </is>
      </c>
    </row>
    <row r="34" outlineLevel="1" collapsed="1" ht="17.25" customHeight="1" thickBot="1">
      <c r="A34" s="273" t="inlineStr">
        <is>
          <t>3月總計</t>
        </is>
      </c>
      <c r="B34" s="274" t="n"/>
      <c r="C34" s="274" t="n"/>
      <c r="D34" s="274" t="n"/>
      <c r="E34" s="274" t="n"/>
      <c r="F34" s="274" t="n"/>
      <c r="G34" s="715" t="n"/>
      <c r="H34" s="715" t="n"/>
      <c r="I34" s="715" t="n"/>
      <c r="J34" s="716" t="n"/>
      <c r="K34" s="715" t="n"/>
      <c r="L34" s="717">
        <f>SUM(L32:L33)</f>
        <v/>
      </c>
      <c r="M34" s="717">
        <f>SUM(M32:M33)</f>
        <v/>
      </c>
      <c r="N34" s="666" t="n"/>
    </row>
    <row r="35" hidden="1" outlineLevel="2">
      <c r="A35" s="696" t="n">
        <v>45418</v>
      </c>
      <c r="B35" s="234" t="inlineStr">
        <is>
          <t>TXO</t>
        </is>
      </c>
      <c r="C35" s="229" t="inlineStr">
        <is>
          <t>週W2 C 05 20850 C</t>
        </is>
      </c>
      <c r="D35" s="229" t="inlineStr">
        <is>
          <t>新倉</t>
        </is>
      </c>
      <c r="E35" s="257" t="inlineStr">
        <is>
          <t>買</t>
        </is>
      </c>
      <c r="F35" s="229" t="inlineStr">
        <is>
          <t>-</t>
        </is>
      </c>
      <c r="G35" s="697" t="n">
        <v>3</v>
      </c>
      <c r="H35" s="698" t="n">
        <v>27</v>
      </c>
      <c r="I35" s="697">
        <f>IF(D35="新倉",-G35*H35*50,G35*H35*50)</f>
        <v/>
      </c>
      <c r="J35" s="585" t="n">
        <v>54</v>
      </c>
      <c r="K35" s="585" t="n">
        <v>3</v>
      </c>
      <c r="L35" s="585">
        <f>IF(B35="TXO",I35-SUM(J35:K35),IF(B35="FITX",IF(D35="新倉",-SUM(J35:K35),IF(E35="賣",(H35-H34)*G35*200-SUM(J35:K35),(H34-H35)*G35*200-SUM(J35:K35))),IF(D35="新倉",-SUM(J35:K35),IF(E35="賣",(H35-H34)*G35*50-SUM(J35:K35),(H34-H35)*G35*50-SUM(J35:K35)))))</f>
        <v/>
      </c>
      <c r="M35" s="699">
        <f>L35</f>
        <v/>
      </c>
      <c r="N35" s="686">
        <f>M35</f>
        <v/>
      </c>
      <c r="O35" s="261" t="inlineStr">
        <is>
          <t>放棄</t>
        </is>
      </c>
      <c r="P35" s="249" t="inlineStr">
        <is>
          <t>元大期貨</t>
        </is>
      </c>
    </row>
    <row r="36" hidden="1" outlineLevel="2">
      <c r="A36" s="696" t="n">
        <v>45418</v>
      </c>
      <c r="B36" s="234" t="inlineStr">
        <is>
          <t>TXO</t>
        </is>
      </c>
      <c r="C36" s="229" t="inlineStr">
        <is>
          <t>週W2 C 05 20900 C</t>
        </is>
      </c>
      <c r="D36" s="229" t="inlineStr">
        <is>
          <t>新倉</t>
        </is>
      </c>
      <c r="E36" s="257" t="inlineStr">
        <is>
          <t>買</t>
        </is>
      </c>
      <c r="F36" s="229" t="inlineStr">
        <is>
          <t>-</t>
        </is>
      </c>
      <c r="G36" s="697" t="n">
        <v>1</v>
      </c>
      <c r="H36" s="698" t="n">
        <v>24</v>
      </c>
      <c r="I36" s="697">
        <f>IF(D36="新倉",-G36*H36*50,G36*H36*50)</f>
        <v/>
      </c>
      <c r="J36" s="585" t="n">
        <v>18</v>
      </c>
      <c r="K36" s="585" t="n">
        <v>1</v>
      </c>
      <c r="L36" s="585">
        <f>IF(B36="TXO",I36-SUM(J36:K36),IF(B36="FITX",IF(D36="新倉",-SUM(J36:K36),IF(E36="賣",(H36-H35)*G36*200-SUM(J36:K36),(H35-H36)*G36*200-SUM(J36:K36))),IF(D36="新倉",-SUM(J36:K36),IF(E36="賣",(H36-H35)*G36*50-SUM(J36:K36),(H35-H36)*G36*50-SUM(J36:K36)))))</f>
        <v/>
      </c>
      <c r="M36" s="699">
        <f>L36</f>
        <v/>
      </c>
      <c r="N36" s="686">
        <f>M36</f>
        <v/>
      </c>
      <c r="O36" s="261" t="inlineStr">
        <is>
          <t>放棄</t>
        </is>
      </c>
      <c r="P36" s="249" t="inlineStr">
        <is>
          <t>元大期貨</t>
        </is>
      </c>
    </row>
    <row r="37" hidden="1" outlineLevel="2" ht="17.25" customHeight="1" thickBot="1">
      <c r="A37" s="696" t="n">
        <v>45419</v>
      </c>
      <c r="B37" s="234" t="inlineStr">
        <is>
          <t>TXO</t>
        </is>
      </c>
      <c r="C37" s="229" t="inlineStr">
        <is>
          <t>週W2 P 05 20300 P</t>
        </is>
      </c>
      <c r="D37" s="229" t="inlineStr">
        <is>
          <t>新倉</t>
        </is>
      </c>
      <c r="E37" s="257" t="inlineStr">
        <is>
          <t>買</t>
        </is>
      </c>
      <c r="F37" s="229" t="inlineStr">
        <is>
          <t>-</t>
        </is>
      </c>
      <c r="G37" s="697" t="n">
        <v>1</v>
      </c>
      <c r="H37" s="698" t="n">
        <v>22</v>
      </c>
      <c r="I37" s="697">
        <f>IF(D37="新倉",-G37*H37*50,G37*H37*50)</f>
        <v/>
      </c>
      <c r="J37" s="585" t="n">
        <v>18</v>
      </c>
      <c r="K37" s="585" t="n">
        <v>1</v>
      </c>
      <c r="L37" s="585">
        <f>IF(B37="TXO",I37-SUM(J37:K37),IF(B37="FITX",IF(D37="新倉",-SUM(J37:K37),IF(E37="賣",(H37-H36)*G37*200-SUM(J37:K37),(H36-H37)*G37*200-SUM(J37:K37))),IF(D37="新倉",-SUM(J37:K37),IF(E37="賣",(H37-H36)*G37*50-SUM(J37:K37),(H36-H37)*G37*50-SUM(J37:K37)))))</f>
        <v/>
      </c>
      <c r="M37" s="699">
        <f>L37</f>
        <v/>
      </c>
      <c r="N37" s="686">
        <f>M37</f>
        <v/>
      </c>
      <c r="O37" s="261" t="inlineStr">
        <is>
          <t>放棄</t>
        </is>
      </c>
      <c r="P37" s="249" t="inlineStr">
        <is>
          <t>元大期貨</t>
        </is>
      </c>
    </row>
    <row r="38" outlineLevel="1" collapsed="1" ht="17.25" customHeight="1" thickBot="1">
      <c r="A38" s="273" t="inlineStr">
        <is>
          <t>5月總計</t>
        </is>
      </c>
      <c r="B38" s="274" t="n"/>
      <c r="C38" s="274" t="n"/>
      <c r="D38" s="274" t="n"/>
      <c r="E38" s="274" t="n"/>
      <c r="F38" s="274" t="n"/>
      <c r="G38" s="715" t="n"/>
      <c r="H38" s="715" t="n"/>
      <c r="I38" s="715" t="n"/>
      <c r="J38" s="716" t="n"/>
      <c r="K38" s="715" t="n"/>
      <c r="L38" s="717">
        <f>SUM(L35:L37)</f>
        <v/>
      </c>
      <c r="M38" s="717">
        <f>SUM(M35:M37)</f>
        <v/>
      </c>
      <c r="N38" s="666" t="n"/>
    </row>
    <row r="39" hidden="1" outlineLevel="2">
      <c r="A39" s="696" t="n">
        <v>45462</v>
      </c>
      <c r="B39" s="234" t="inlineStr">
        <is>
          <t>TXO</t>
        </is>
      </c>
      <c r="C39" s="229" t="inlineStr">
        <is>
          <t>台指 P 06 22700 P</t>
        </is>
      </c>
      <c r="D39" s="229" t="inlineStr">
        <is>
          <t>新倉</t>
        </is>
      </c>
      <c r="E39" s="257" t="inlineStr">
        <is>
          <t>買</t>
        </is>
      </c>
      <c r="F39" s="229" t="inlineStr">
        <is>
          <t>-</t>
        </is>
      </c>
      <c r="G39" s="697" t="n">
        <v>2</v>
      </c>
      <c r="H39" s="698" t="n">
        <v>10</v>
      </c>
      <c r="I39" s="697">
        <f>IF(D39="新倉",-G39*H39*50,G39*H39*50)</f>
        <v/>
      </c>
      <c r="J39" s="585" t="n">
        <v>36</v>
      </c>
      <c r="K39" s="585" t="n">
        <v>2</v>
      </c>
      <c r="L39" s="585">
        <f>IF(B39="TXO",I39-SUM(J39:K39),IF(B39="FITX",IF(D39="新倉",-SUM(J39:K39),IF(E39="賣",(H39-H38)*G39*200-SUM(J39:K39),(H38-H39)*G39*200-SUM(J39:K39))),IF(D39="新倉",-SUM(J39:K39),IF(E39="賣",(H39-H38)*G39*50-SUM(J39:K39),(H38-H39)*G39*50-SUM(J39:K39)))))</f>
        <v/>
      </c>
      <c r="M39" s="699">
        <f>L39</f>
        <v/>
      </c>
      <c r="N39" s="686">
        <f>M39</f>
        <v/>
      </c>
      <c r="O39" s="261" t="inlineStr">
        <is>
          <t>放棄</t>
        </is>
      </c>
      <c r="P39" s="249" t="inlineStr">
        <is>
          <t>元大期貨</t>
        </is>
      </c>
    </row>
    <row r="40" hidden="1" outlineLevel="2">
      <c r="A40" s="696" t="n">
        <v>45468</v>
      </c>
      <c r="B40" s="234" t="inlineStr">
        <is>
          <t>TXO</t>
        </is>
      </c>
      <c r="C40" s="229" t="inlineStr">
        <is>
          <t>TXOW4 06 23050 C</t>
        </is>
      </c>
      <c r="D40" s="229" t="inlineStr">
        <is>
          <t>新倉</t>
        </is>
      </c>
      <c r="E40" s="257" t="inlineStr">
        <is>
          <t>買</t>
        </is>
      </c>
      <c r="F40" s="229" t="inlineStr">
        <is>
          <t>-</t>
        </is>
      </c>
      <c r="G40" s="697" t="n">
        <v>1</v>
      </c>
      <c r="H40" s="698" t="n">
        <v>20</v>
      </c>
      <c r="I40" s="697">
        <f>IF(D40="新倉",-G40*H40*50,G40*H40*50)</f>
        <v/>
      </c>
      <c r="J40" s="585" t="n">
        <v>18</v>
      </c>
      <c r="K40" s="585" t="n">
        <v>1</v>
      </c>
      <c r="L40" s="585">
        <f>IF(B40="TXO",I40-SUM(J40:K40),IF(B40="FITX",IF(D40="新倉",-SUM(J40:K40),IF(E40="賣",(H40-H39)*G40*200-SUM(J40:K40),(H39-H40)*G40*200-SUM(J40:K40))),IF(D40="新倉",-SUM(J40:K40),IF(E40="賣",(H40-H39)*G40*50-SUM(J40:K40),(H39-H40)*G40*50-SUM(J40:K40)))))</f>
        <v/>
      </c>
      <c r="M40" s="699">
        <f>L40</f>
        <v/>
      </c>
      <c r="O40" s="249" t="inlineStr">
        <is>
          <t>新倉</t>
        </is>
      </c>
      <c r="P40" s="249" t="inlineStr">
        <is>
          <t>元大期貨</t>
        </is>
      </c>
    </row>
    <row r="41" hidden="1" outlineLevel="2" ht="17.25" customHeight="1" thickBot="1">
      <c r="A41" s="696" t="n">
        <v>45469</v>
      </c>
      <c r="B41" s="234" t="inlineStr">
        <is>
          <t>TXO</t>
        </is>
      </c>
      <c r="C41" s="229" t="inlineStr">
        <is>
          <t>TXOW4 06 23050 C</t>
        </is>
      </c>
      <c r="D41" s="229" t="inlineStr">
        <is>
          <t>平倉</t>
        </is>
      </c>
      <c r="E41" s="257" t="inlineStr">
        <is>
          <t>賣</t>
        </is>
      </c>
      <c r="F41" s="229" t="inlineStr">
        <is>
          <t>-</t>
        </is>
      </c>
      <c r="G41" s="697" t="n">
        <v>1</v>
      </c>
      <c r="H41" s="698" t="n">
        <v>80</v>
      </c>
      <c r="I41" s="697">
        <f>IF(D41="新倉",-G41*H41*50,G41*H41*50)</f>
        <v/>
      </c>
      <c r="J41" s="585" t="n">
        <v>18</v>
      </c>
      <c r="K41" s="585" t="n">
        <v>4</v>
      </c>
      <c r="L41" s="585">
        <f>IF(B41="TXO",I41-SUM(J41:K41),IF(B41="FITX",IF(D41="新倉",-SUM(J41:K41),IF(E41="賣",(H41-H40)*G41*200-SUM(J41:K41),(H40-H41)*G41*200-SUM(J41:K41))),IF(D41="新倉",-SUM(J41:K41),IF(E41="賣",(H41-H40)*G41*50-SUM(J41:K41),(H40-H41)*G41*50-SUM(J41:K41)))))</f>
        <v/>
      </c>
      <c r="M41" s="699">
        <f>L41</f>
        <v/>
      </c>
      <c r="N41" s="686">
        <f>SUM(M40:M41)</f>
        <v/>
      </c>
      <c r="O41" s="249" t="inlineStr">
        <is>
          <t>平倉</t>
        </is>
      </c>
      <c r="P41" s="249" t="inlineStr">
        <is>
          <t>元大期貨</t>
        </is>
      </c>
    </row>
    <row r="42" outlineLevel="1" collapsed="1" ht="17.25" customHeight="1" thickBot="1">
      <c r="A42" s="273" t="inlineStr">
        <is>
          <t>6月總計</t>
        </is>
      </c>
      <c r="B42" s="274" t="n"/>
      <c r="C42" s="274" t="n"/>
      <c r="D42" s="274" t="n"/>
      <c r="E42" s="274" t="n"/>
      <c r="F42" s="274" t="n"/>
      <c r="G42" s="715" t="n"/>
      <c r="H42" s="715" t="n"/>
      <c r="I42" s="715" t="n"/>
      <c r="J42" s="716" t="n"/>
      <c r="K42" s="715" t="n"/>
      <c r="L42" s="717">
        <f>SUM(L39:L41)</f>
        <v/>
      </c>
      <c r="M42" s="717">
        <f>SUM(M39:M41)</f>
        <v/>
      </c>
      <c r="N42" s="666" t="n"/>
    </row>
    <row r="43" hidden="1" outlineLevel="2">
      <c r="A43" s="696" t="n">
        <v>45476</v>
      </c>
      <c r="B43" s="234" t="inlineStr">
        <is>
          <t>TXO</t>
        </is>
      </c>
      <c r="C43" s="229" t="inlineStr">
        <is>
          <t>週W1 P 07 22650 P</t>
        </is>
      </c>
      <c r="D43" s="229" t="inlineStr">
        <is>
          <t>新倉</t>
        </is>
      </c>
      <c r="E43" s="257" t="inlineStr">
        <is>
          <t>買</t>
        </is>
      </c>
      <c r="F43" s="229" t="inlineStr">
        <is>
          <t>-</t>
        </is>
      </c>
      <c r="G43" s="697" t="n">
        <v>1</v>
      </c>
      <c r="H43" s="698" t="n">
        <v>20</v>
      </c>
      <c r="I43" s="697">
        <f>IF(D43="新倉",-G43*H43*50,G43*H43*50)</f>
        <v/>
      </c>
      <c r="J43" s="585" t="n">
        <v>18</v>
      </c>
      <c r="K43" s="585" t="n">
        <v>1</v>
      </c>
      <c r="L43" s="585">
        <f>IF(B43="TXO",I43-SUM(J43:K43),IF(B43="FITX",IF(D43="新倉",-SUM(J43:K43),IF(E43="賣",(H43-H42)*G43*200-SUM(J43:K43),(H42-H43)*G43*200-SUM(J43:K43))),IF(D43="新倉",-SUM(J43:K43),IF(E43="賣",(H43-H42)*G43*50-SUM(J43:K43),(H42-H43)*G43*50-SUM(J43:K43)))))</f>
        <v/>
      </c>
      <c r="M43" s="699">
        <f>L43</f>
        <v/>
      </c>
      <c r="N43" s="686">
        <f>M43</f>
        <v/>
      </c>
      <c r="O43" s="261" t="inlineStr">
        <is>
          <t>放棄</t>
        </is>
      </c>
      <c r="P43" s="249" t="inlineStr">
        <is>
          <t>元大期貨</t>
        </is>
      </c>
    </row>
    <row r="44" hidden="1" outlineLevel="2">
      <c r="A44" s="696" t="n">
        <v>45482</v>
      </c>
      <c r="B44" s="234" t="inlineStr">
        <is>
          <t>TXO</t>
        </is>
      </c>
      <c r="C44" s="229" t="inlineStr">
        <is>
          <t>TXOW2 07 24200 C</t>
        </is>
      </c>
      <c r="D44" s="229" t="inlineStr">
        <is>
          <t>新倉</t>
        </is>
      </c>
      <c r="E44" s="257" t="inlineStr">
        <is>
          <t>買</t>
        </is>
      </c>
      <c r="F44" s="229" t="inlineStr">
        <is>
          <t>-</t>
        </is>
      </c>
      <c r="G44" s="697" t="n">
        <v>1</v>
      </c>
      <c r="H44" s="698" t="n">
        <v>30</v>
      </c>
      <c r="I44" s="697" t="n">
        <v>-1500</v>
      </c>
      <c r="J44" s="585" t="n">
        <v>18</v>
      </c>
      <c r="K44" s="585" t="n">
        <v>2</v>
      </c>
      <c r="L44" s="585">
        <f>IF(B44="TXO",I44-SUM(J44:K44),IF(B44="FITX",IF(D44="新倉",-SUM(J44:K44),IF(E44="賣",(H44-H43)*G44*200-SUM(J44:K44),(H43-H44)*G44*200-SUM(J44:K44))),IF(D44="新倉",-SUM(J44:K44),IF(E44="賣",(H44-H43)*G44*50-SUM(J44:K44),(H43-H44)*G44*50-SUM(J44:K44)))))</f>
        <v/>
      </c>
      <c r="M44" s="699">
        <f>L44</f>
        <v/>
      </c>
      <c r="N44" s="686">
        <f>M44</f>
        <v/>
      </c>
      <c r="O44" s="261" t="inlineStr">
        <is>
          <t>放棄</t>
        </is>
      </c>
      <c r="P44" s="249" t="inlineStr">
        <is>
          <t>元大期貨</t>
        </is>
      </c>
    </row>
    <row r="45" hidden="1" outlineLevel="2">
      <c r="A45" s="696" t="n">
        <v>45482</v>
      </c>
      <c r="B45" s="234" t="inlineStr">
        <is>
          <t>TXO</t>
        </is>
      </c>
      <c r="C45" s="229" t="inlineStr">
        <is>
          <t>TXOW2 07 23600 P</t>
        </is>
      </c>
      <c r="D45" s="229" t="inlineStr">
        <is>
          <t>新倉</t>
        </is>
      </c>
      <c r="E45" s="257" t="inlineStr">
        <is>
          <t>買</t>
        </is>
      </c>
      <c r="F45" s="229" t="inlineStr">
        <is>
          <t>-</t>
        </is>
      </c>
      <c r="G45" s="697" t="n">
        <v>1</v>
      </c>
      <c r="H45" s="698" t="n">
        <v>29</v>
      </c>
      <c r="I45" s="697" t="n">
        <v>-1450</v>
      </c>
      <c r="J45" s="585" t="n">
        <v>18</v>
      </c>
      <c r="K45" s="585" t="n">
        <v>1</v>
      </c>
      <c r="L45" s="585">
        <f>IF(B45="TXO",I45-SUM(J45:K45),IF(B45="FITX",IF(D45="新倉",-SUM(J45:K45),IF(E45="賣",(H45-H44)*G45*200-SUM(J45:K45),(H44-H45)*G45*200-SUM(J45:K45))),IF(D45="新倉",-SUM(J45:K45),IF(E45="賣",(H45-H44)*G45*50-SUM(J45:K45),(H44-H45)*G45*50-SUM(J45:K45)))))</f>
        <v/>
      </c>
      <c r="M45" s="699">
        <f>L45</f>
        <v/>
      </c>
      <c r="N45" s="686">
        <f>M45</f>
        <v/>
      </c>
      <c r="O45" s="261" t="inlineStr">
        <is>
          <t>放棄</t>
        </is>
      </c>
      <c r="P45" s="249" t="inlineStr">
        <is>
          <t>元大期貨</t>
        </is>
      </c>
    </row>
    <row r="46" hidden="1" outlineLevel="2">
      <c r="A46" s="696" t="n">
        <v>45489</v>
      </c>
      <c r="B46" s="234" t="inlineStr">
        <is>
          <t>TXO</t>
        </is>
      </c>
      <c r="C46" s="229" t="inlineStr">
        <is>
          <t>台指選 07 24100 C</t>
        </is>
      </c>
      <c r="D46" s="229" t="inlineStr">
        <is>
          <t>新倉</t>
        </is>
      </c>
      <c r="E46" s="257" t="inlineStr">
        <is>
          <t>買</t>
        </is>
      </c>
      <c r="F46" s="229" t="inlineStr">
        <is>
          <t>-</t>
        </is>
      </c>
      <c r="G46" s="697" t="n">
        <v>1</v>
      </c>
      <c r="H46" s="698" t="n">
        <v>48.5</v>
      </c>
      <c r="I46" s="697" t="n">
        <v>-2425</v>
      </c>
      <c r="J46" s="585" t="n">
        <v>18</v>
      </c>
      <c r="K46" s="585" t="n">
        <v>2</v>
      </c>
      <c r="L46" s="585">
        <f>IF(B46="TXO",I46-SUM(J46:K46),IF(B46="FITX",IF(D46="新倉",-SUM(J46:K46),IF(E46="賣",(H46-H45)*G46*200-SUM(J46:K46),(H45-H46)*G46*200-SUM(J46:K46))),IF(D46="新倉",-SUM(J46:K46),IF(E46="賣",(H46-H45)*G46*50-SUM(J46:K46),(H45-H46)*G46*50-SUM(J46:K46)))))</f>
        <v/>
      </c>
      <c r="M46" s="699">
        <f>L46</f>
        <v/>
      </c>
      <c r="O46" s="249" t="inlineStr">
        <is>
          <t>新倉</t>
        </is>
      </c>
      <c r="P46" s="249" t="inlineStr">
        <is>
          <t>元大期貨</t>
        </is>
      </c>
    </row>
    <row r="47" hidden="1" outlineLevel="2">
      <c r="A47" s="696" t="n">
        <v>45489</v>
      </c>
      <c r="B47" s="234" t="inlineStr">
        <is>
          <t>TXO</t>
        </is>
      </c>
      <c r="C47" s="229" t="inlineStr">
        <is>
          <t>台指選 07 24100 C</t>
        </is>
      </c>
      <c r="D47" s="229" t="inlineStr">
        <is>
          <t>平倉</t>
        </is>
      </c>
      <c r="E47" s="257" t="inlineStr">
        <is>
          <t>賣</t>
        </is>
      </c>
      <c r="F47" s="229" t="inlineStr">
        <is>
          <t>-</t>
        </is>
      </c>
      <c r="G47" s="697" t="n">
        <v>1</v>
      </c>
      <c r="H47" s="698" t="n">
        <v>47.5</v>
      </c>
      <c r="I47" s="697" t="n">
        <v>2375</v>
      </c>
      <c r="J47" s="585" t="n">
        <v>18</v>
      </c>
      <c r="K47" s="585" t="n">
        <v>2</v>
      </c>
      <c r="L47" s="585">
        <f>IF(B47="TXO",I47-SUM(J47:K47),IF(B47="FITX",IF(D47="新倉",-SUM(J47:K47),IF(E47="賣",(H47-H46)*G47*200-SUM(J47:K47),(H46-H47)*G47*200-SUM(J47:K47))),IF(D47="新倉",-SUM(J47:K47),IF(E47="賣",(H47-H46)*G47*50-SUM(J47:K47),(H46-H47)*G47*50-SUM(J47:K47)))))</f>
        <v/>
      </c>
      <c r="M47" s="699">
        <f>L47</f>
        <v/>
      </c>
      <c r="N47" s="686">
        <f>SUM(M46:M47)</f>
        <v/>
      </c>
      <c r="O47" s="249" t="inlineStr">
        <is>
          <t>平倉</t>
        </is>
      </c>
      <c r="P47" s="249" t="inlineStr">
        <is>
          <t>元大期貨</t>
        </is>
      </c>
    </row>
    <row r="48" hidden="1" outlineLevel="2">
      <c r="A48" s="696" t="n">
        <v>45489</v>
      </c>
      <c r="B48" s="234" t="inlineStr">
        <is>
          <t>TXO</t>
        </is>
      </c>
      <c r="C48" s="229" t="inlineStr">
        <is>
          <t>台指選 07 24200 C</t>
        </is>
      </c>
      <c r="D48" s="229" t="inlineStr">
        <is>
          <t>新倉</t>
        </is>
      </c>
      <c r="E48" s="257" t="inlineStr">
        <is>
          <t>賣</t>
        </is>
      </c>
      <c r="F48" s="229" t="inlineStr">
        <is>
          <t>-</t>
        </is>
      </c>
      <c r="G48" s="697" t="n">
        <v>1</v>
      </c>
      <c r="H48" s="698" t="n">
        <v>24</v>
      </c>
      <c r="I48" s="697" t="n">
        <v>1200</v>
      </c>
      <c r="J48" s="585" t="n">
        <v>18</v>
      </c>
      <c r="K48" s="585" t="n">
        <v>1</v>
      </c>
      <c r="L48" s="585">
        <f>IF(B48="TXO",I48-SUM(J48:K48),IF(B48="FITX",IF(D48="新倉",-SUM(J48:K48),IF(E48="賣",(H48-H47)*G48*200-SUM(J48:K48),(H47-H48)*G48*200-SUM(J48:K48))),IF(D48="新倉",-SUM(J48:K48),IF(E48="賣",(H48-H47)*G48*50-SUM(J48:K48),(H47-H48)*G48*50-SUM(J48:K48)))))</f>
        <v/>
      </c>
      <c r="M48" s="699">
        <f>L48</f>
        <v/>
      </c>
      <c r="O48" s="249" t="inlineStr">
        <is>
          <t>新倉</t>
        </is>
      </c>
      <c r="P48" s="249" t="inlineStr">
        <is>
          <t>元大期貨</t>
        </is>
      </c>
    </row>
    <row r="49" hidden="1" outlineLevel="2">
      <c r="A49" s="696" t="n">
        <v>45489</v>
      </c>
      <c r="B49" s="234" t="inlineStr">
        <is>
          <t>TXO</t>
        </is>
      </c>
      <c r="C49" s="229" t="inlineStr">
        <is>
          <t>台指選 07 24200 C</t>
        </is>
      </c>
      <c r="D49" s="229" t="inlineStr">
        <is>
          <t>平倉</t>
        </is>
      </c>
      <c r="E49" s="257" t="inlineStr">
        <is>
          <t>買</t>
        </is>
      </c>
      <c r="F49" s="229" t="inlineStr">
        <is>
          <t>-</t>
        </is>
      </c>
      <c r="G49" s="697" t="n">
        <v>1</v>
      </c>
      <c r="H49" s="698" t="n">
        <v>24.5</v>
      </c>
      <c r="I49" s="697" t="n">
        <v>-1225</v>
      </c>
      <c r="J49" s="585" t="n">
        <v>18</v>
      </c>
      <c r="K49" s="585" t="n">
        <v>1</v>
      </c>
      <c r="L49" s="585">
        <f>IF(B49="TXO",I49-SUM(J49:K49),IF(B49="FITX",IF(D49="新倉",-SUM(J49:K49),IF(E49="賣",(H49-H48)*G49*200-SUM(J49:K49),(H48-H49)*G49*200-SUM(J49:K49))),IF(D49="新倉",-SUM(J49:K49),IF(E49="賣",(H49-H48)*G49*50-SUM(J49:K49),(H48-H49)*G49*50-SUM(J49:K49)))))</f>
        <v/>
      </c>
      <c r="M49" s="699">
        <f>L49</f>
        <v/>
      </c>
      <c r="N49" s="686">
        <f>SUM(M48:M49)</f>
        <v/>
      </c>
      <c r="O49" s="249" t="inlineStr">
        <is>
          <t>平倉</t>
        </is>
      </c>
      <c r="P49" s="249" t="inlineStr">
        <is>
          <t>元大期貨</t>
        </is>
      </c>
    </row>
    <row r="50" hidden="1" outlineLevel="2">
      <c r="A50" s="696" t="n">
        <v>45489</v>
      </c>
      <c r="B50" s="234" t="inlineStr">
        <is>
          <t>TXO</t>
        </is>
      </c>
      <c r="C50" s="229" t="inlineStr">
        <is>
          <t>台指選 07 24100 C</t>
        </is>
      </c>
      <c r="D50" s="229" t="inlineStr">
        <is>
          <t>新倉</t>
        </is>
      </c>
      <c r="E50" s="257" t="inlineStr">
        <is>
          <t>買</t>
        </is>
      </c>
      <c r="F50" s="229" t="inlineStr">
        <is>
          <t>-</t>
        </is>
      </c>
      <c r="G50" s="697" t="n">
        <v>1</v>
      </c>
      <c r="H50" s="698" t="n">
        <v>50</v>
      </c>
      <c r="I50" s="697" t="n">
        <v>-2500</v>
      </c>
      <c r="J50" s="585" t="n">
        <v>18</v>
      </c>
      <c r="K50" s="585" t="n">
        <v>3</v>
      </c>
      <c r="L50" s="585">
        <f>IF(B50="TXO",I50-SUM(J50:K50),IF(B50="FITX",IF(D50="新倉",-SUM(J50:K50),IF(E50="賣",(H50-H49)*G50*200-SUM(J50:K50),(H49-H50)*G50*200-SUM(J50:K50))),IF(D50="新倉",-SUM(J50:K50),IF(E50="賣",(H50-H49)*G50*50-SUM(J50:K50),(H49-H50)*G50*50-SUM(J50:K50)))))</f>
        <v/>
      </c>
      <c r="M50" s="699">
        <f>L50</f>
        <v/>
      </c>
      <c r="O50" s="249" t="inlineStr">
        <is>
          <t>新倉</t>
        </is>
      </c>
      <c r="P50" s="249" t="inlineStr">
        <is>
          <t>元大期貨</t>
        </is>
      </c>
    </row>
    <row r="51" hidden="1" outlineLevel="2">
      <c r="A51" s="696" t="n">
        <v>45489</v>
      </c>
      <c r="B51" s="234" t="inlineStr">
        <is>
          <t>TXO</t>
        </is>
      </c>
      <c r="C51" s="229" t="inlineStr">
        <is>
          <t>台指選 07 24200 C</t>
        </is>
      </c>
      <c r="D51" s="229" t="inlineStr">
        <is>
          <t>新倉</t>
        </is>
      </c>
      <c r="E51" s="257" t="inlineStr">
        <is>
          <t>賣</t>
        </is>
      </c>
      <c r="F51" s="229" t="inlineStr">
        <is>
          <t>-</t>
        </is>
      </c>
      <c r="G51" s="697" t="n">
        <v>1</v>
      </c>
      <c r="H51" s="698" t="n">
        <v>24.5</v>
      </c>
      <c r="I51" s="697" t="n">
        <v>1225</v>
      </c>
      <c r="J51" s="585" t="n">
        <v>18</v>
      </c>
      <c r="K51" s="585" t="n">
        <v>1</v>
      </c>
      <c r="L51" s="585">
        <f>IF(B51="TXO",I51-SUM(J51:K51),IF(B51="FITX",IF(D51="新倉",-SUM(J51:K51),IF(E51="賣",(H51-H50)*G51*200-SUM(J51:K51),(H50-H51)*G51*200-SUM(J51:K51))),IF(D51="新倉",-SUM(J51:K51),IF(E51="賣",(H51-H50)*G51*50-SUM(J51:K51),(H50-H51)*G51*50-SUM(J51:K51)))))</f>
        <v/>
      </c>
      <c r="M51" s="699">
        <f>L51</f>
        <v/>
      </c>
      <c r="O51" s="249" t="inlineStr">
        <is>
          <t>新倉</t>
        </is>
      </c>
      <c r="P51" s="249" t="inlineStr">
        <is>
          <t>元大期貨</t>
        </is>
      </c>
    </row>
    <row r="52" hidden="1" outlineLevel="2">
      <c r="A52" s="696" t="n">
        <v>45490</v>
      </c>
      <c r="B52" s="234" t="inlineStr">
        <is>
          <t>TXO</t>
        </is>
      </c>
      <c r="C52" s="229" t="inlineStr">
        <is>
          <t>台指選 07 24100 C</t>
        </is>
      </c>
      <c r="D52" s="229" t="inlineStr">
        <is>
          <t>平倉</t>
        </is>
      </c>
      <c r="E52" s="257" t="inlineStr">
        <is>
          <t>賣</t>
        </is>
      </c>
      <c r="F52" s="229" t="inlineStr">
        <is>
          <t>-</t>
        </is>
      </c>
      <c r="G52" s="697" t="n">
        <v>1</v>
      </c>
      <c r="H52" s="698" t="n">
        <v>12.5</v>
      </c>
      <c r="I52" s="697" t="n">
        <v>625</v>
      </c>
      <c r="J52" s="585" t="n">
        <v>18</v>
      </c>
      <c r="K52" s="585" t="n">
        <v>1</v>
      </c>
      <c r="L52" s="585">
        <f>IF(B52="TXO",I52-SUM(J52:K52),IF(B52="FITX",IF(D52="新倉",-SUM(J52:K52),IF(E52="賣",(H52-H51)*G52*200-SUM(J52:K52),(H51-H52)*G52*200-SUM(J52:K52))),IF(D52="新倉",-SUM(J52:K52),IF(E52="賣",(H52-H51)*G52*50-SUM(J52:K52),(H51-H52)*G52*50-SUM(J52:K52)))))</f>
        <v/>
      </c>
      <c r="M52" s="699">
        <f>L52</f>
        <v/>
      </c>
      <c r="O52" s="249" t="inlineStr">
        <is>
          <t>平倉</t>
        </is>
      </c>
      <c r="P52" s="249" t="inlineStr">
        <is>
          <t>元大期貨</t>
        </is>
      </c>
    </row>
    <row r="53" hidden="1" outlineLevel="2">
      <c r="A53" s="696" t="n">
        <v>45490</v>
      </c>
      <c r="B53" s="234" t="inlineStr">
        <is>
          <t>TXO</t>
        </is>
      </c>
      <c r="C53" s="229" t="inlineStr">
        <is>
          <t>台指選 07 24200 C</t>
        </is>
      </c>
      <c r="D53" s="229" t="inlineStr">
        <is>
          <t>平倉</t>
        </is>
      </c>
      <c r="E53" s="257" t="inlineStr">
        <is>
          <t>買</t>
        </is>
      </c>
      <c r="F53" s="229" t="inlineStr">
        <is>
          <t>-</t>
        </is>
      </c>
      <c r="G53" s="697" t="n">
        <v>1</v>
      </c>
      <c r="H53" s="698" t="n">
        <v>3.2</v>
      </c>
      <c r="I53" s="697" t="n">
        <v>-160</v>
      </c>
      <c r="J53" s="585" t="n">
        <v>18</v>
      </c>
      <c r="K53" s="585" t="n">
        <v>0</v>
      </c>
      <c r="L53" s="585">
        <f>IF(B53="TXO",I53-SUM(J53:K53),IF(B53="FITX",IF(D53="新倉",-SUM(J53:K53),IF(E53="賣",(H53-H52)*G53*200-SUM(J53:K53),(H52-H53)*G53*200-SUM(J53:K53))),IF(D53="新倉",-SUM(J53:K53),IF(E53="賣",(H53-H52)*G53*50-SUM(J53:K53),(H52-H53)*G53*50-SUM(J53:K53)))))</f>
        <v/>
      </c>
      <c r="M53" s="699">
        <f>L53</f>
        <v/>
      </c>
      <c r="N53" s="686">
        <f>SUM(M50:M53)</f>
        <v/>
      </c>
      <c r="O53" s="249" t="inlineStr">
        <is>
          <t>平倉</t>
        </is>
      </c>
      <c r="P53" s="249" t="inlineStr">
        <is>
          <t>元大期貨</t>
        </is>
      </c>
    </row>
    <row r="54" hidden="1" outlineLevel="2">
      <c r="A54" s="696" t="n">
        <v>45490</v>
      </c>
      <c r="B54" s="234" t="inlineStr">
        <is>
          <t>TXO</t>
        </is>
      </c>
      <c r="C54" s="229" t="inlineStr">
        <is>
          <t>台指選 07 23750 P</t>
        </is>
      </c>
      <c r="D54" s="229" t="inlineStr">
        <is>
          <t>新倉</t>
        </is>
      </c>
      <c r="E54" s="257" t="inlineStr">
        <is>
          <t>買</t>
        </is>
      </c>
      <c r="F54" s="229" t="inlineStr">
        <is>
          <t>-</t>
        </is>
      </c>
      <c r="G54" s="697" t="n">
        <v>1</v>
      </c>
      <c r="H54" s="698" t="n">
        <v>17.5</v>
      </c>
      <c r="I54" s="697" t="n">
        <v>-875</v>
      </c>
      <c r="J54" s="585" t="n">
        <v>18</v>
      </c>
      <c r="K54" s="585" t="n">
        <v>1</v>
      </c>
      <c r="L54" s="585">
        <f>IF(B54="TXO",I54-SUM(J54:K54),IF(B54="FITX",IF(D54="新倉",-SUM(J54:K54),IF(E54="賣",(H54-H53)*G54*200-SUM(J54:K54),(H53-H54)*G54*200-SUM(J54:K54))),IF(D54="新倉",-SUM(J54:K54),IF(E54="賣",(H54-H53)*G54*50-SUM(J54:K54),(H53-H54)*G54*50-SUM(J54:K54)))))</f>
        <v/>
      </c>
      <c r="M54" s="699">
        <f>L54</f>
        <v/>
      </c>
      <c r="O54" s="249" t="inlineStr">
        <is>
          <t>新倉</t>
        </is>
      </c>
      <c r="P54" s="249" t="inlineStr">
        <is>
          <t>元大期貨</t>
        </is>
      </c>
    </row>
    <row r="55" hidden="1" outlineLevel="2">
      <c r="A55" s="696" t="n">
        <v>45490</v>
      </c>
      <c r="B55" s="234" t="inlineStr">
        <is>
          <t>TXO</t>
        </is>
      </c>
      <c r="C55" s="229" t="inlineStr">
        <is>
          <t>台指選 07 23750 P</t>
        </is>
      </c>
      <c r="D55" s="229" t="inlineStr">
        <is>
          <t>平倉</t>
        </is>
      </c>
      <c r="E55" s="257" t="inlineStr">
        <is>
          <t>賣</t>
        </is>
      </c>
      <c r="F55" s="229" t="inlineStr">
        <is>
          <t>-</t>
        </is>
      </c>
      <c r="G55" s="697" t="n">
        <v>1</v>
      </c>
      <c r="H55" s="698" t="n">
        <v>94</v>
      </c>
      <c r="I55" s="697" t="n">
        <v>4700</v>
      </c>
      <c r="J55" s="585" t="n">
        <v>18</v>
      </c>
      <c r="K55" s="585" t="n">
        <v>5</v>
      </c>
      <c r="L55" s="585">
        <f>IF(B55="TXO",I55-SUM(J55:K55),IF(B55="FITX",IF(D55="新倉",-SUM(J55:K55),IF(E55="賣",(H55-H54)*G55*200-SUM(J55:K55),(H54-H55)*G55*200-SUM(J55:K55))),IF(D55="新倉",-SUM(J55:K55),IF(E55="賣",(H55-H54)*G55*50-SUM(J55:K55),(H54-H55)*G55*50-SUM(J55:K55)))))</f>
        <v/>
      </c>
      <c r="M55" s="699">
        <f>L55</f>
        <v/>
      </c>
      <c r="N55" s="686">
        <f>SUM(M54:M55)</f>
        <v/>
      </c>
      <c r="O55" s="249" t="inlineStr">
        <is>
          <t>平倉</t>
        </is>
      </c>
      <c r="P55" s="249" t="inlineStr">
        <is>
          <t>元大期貨</t>
        </is>
      </c>
    </row>
    <row r="56" hidden="1" outlineLevel="2">
      <c r="A56" s="696" t="n">
        <v>45490</v>
      </c>
      <c r="B56" s="234" t="inlineStr">
        <is>
          <t>TXO</t>
        </is>
      </c>
      <c r="C56" s="229" t="inlineStr">
        <is>
          <t>台指選 07 23850 C</t>
        </is>
      </c>
      <c r="D56" s="229" t="inlineStr">
        <is>
          <t>新倉</t>
        </is>
      </c>
      <c r="E56" s="257" t="inlineStr">
        <is>
          <t>買</t>
        </is>
      </c>
      <c r="F56" s="229" t="inlineStr">
        <is>
          <t>-</t>
        </is>
      </c>
      <c r="G56" s="697" t="n">
        <v>1</v>
      </c>
      <c r="H56" s="698" t="n">
        <v>60</v>
      </c>
      <c r="I56" s="697" t="n">
        <v>-3000</v>
      </c>
      <c r="J56" s="585" t="n">
        <v>18</v>
      </c>
      <c r="K56" s="585" t="n">
        <v>3</v>
      </c>
      <c r="L56" s="585">
        <f>IF(B56="TXO",I56-SUM(J56:K56),IF(B56="FITX",IF(D56="新倉",-SUM(J56:K56),IF(E56="賣",(H56-H55)*G56*200-SUM(J56:K56),(H55-H56)*G56*200-SUM(J56:K56))),IF(D56="新倉",-SUM(J56:K56),IF(E56="賣",(H56-H55)*G56*50-SUM(J56:K56),(H55-H56)*G56*50-SUM(J56:K56)))))</f>
        <v/>
      </c>
      <c r="M56" s="699">
        <f>L56</f>
        <v/>
      </c>
      <c r="O56" s="249" t="inlineStr">
        <is>
          <t>新倉</t>
        </is>
      </c>
      <c r="P56" s="249" t="inlineStr">
        <is>
          <t>元大期貨</t>
        </is>
      </c>
    </row>
    <row r="57" hidden="1" outlineLevel="2">
      <c r="A57" s="696" t="n">
        <v>45490</v>
      </c>
      <c r="B57" s="234" t="inlineStr">
        <is>
          <t>TXO</t>
        </is>
      </c>
      <c r="C57" s="229" t="inlineStr">
        <is>
          <t>台指選 07 23850 C</t>
        </is>
      </c>
      <c r="D57" s="229" t="inlineStr">
        <is>
          <t>平倉</t>
        </is>
      </c>
      <c r="E57" s="257" t="inlineStr">
        <is>
          <t>賣</t>
        </is>
      </c>
      <c r="F57" s="229" t="inlineStr">
        <is>
          <t>-</t>
        </is>
      </c>
      <c r="G57" s="697" t="n">
        <v>1</v>
      </c>
      <c r="H57" s="698" t="n">
        <v>140</v>
      </c>
      <c r="I57" s="697" t="n">
        <v>7000</v>
      </c>
      <c r="J57" s="585" t="n">
        <v>18</v>
      </c>
      <c r="K57" s="585" t="n">
        <v>7</v>
      </c>
      <c r="L57" s="585">
        <f>IF(B57="TXO",I57-SUM(J57:K57),IF(B57="FITX",IF(D57="新倉",-SUM(J57:K57),IF(E57="賣",(H57-H56)*G57*200-SUM(J57:K57),(H56-H57)*G57*200-SUM(J57:K57))),IF(D57="新倉",-SUM(J57:K57),IF(E57="賣",(H57-H56)*G57*50-SUM(J57:K57),(H56-H57)*G57*50-SUM(J57:K57)))))</f>
        <v/>
      </c>
      <c r="M57" s="699">
        <f>L57</f>
        <v/>
      </c>
      <c r="N57" s="686">
        <f>SUM(M49:M57)</f>
        <v/>
      </c>
      <c r="O57" s="249" t="inlineStr">
        <is>
          <t>平倉</t>
        </is>
      </c>
      <c r="P57" s="249" t="inlineStr">
        <is>
          <t>元大期貨</t>
        </is>
      </c>
    </row>
    <row r="58" hidden="1" outlineLevel="2">
      <c r="A58" s="696" t="n">
        <v>45495</v>
      </c>
      <c r="B58" s="234" t="inlineStr">
        <is>
          <t>TXO</t>
        </is>
      </c>
      <c r="C58" s="229" t="inlineStr">
        <is>
          <t>台指選W4 07 21600 P</t>
        </is>
      </c>
      <c r="D58" s="229" t="inlineStr">
        <is>
          <t>新倉</t>
        </is>
      </c>
      <c r="E58" s="257" t="inlineStr">
        <is>
          <t>買</t>
        </is>
      </c>
      <c r="F58" s="229" t="inlineStr">
        <is>
          <t>-</t>
        </is>
      </c>
      <c r="G58" s="697" t="n">
        <v>1</v>
      </c>
      <c r="H58" s="698" t="n">
        <v>14.5</v>
      </c>
      <c r="I58" s="697" t="n">
        <v>-725</v>
      </c>
      <c r="J58" s="585" t="n">
        <v>18</v>
      </c>
      <c r="K58" s="585" t="n">
        <v>1</v>
      </c>
      <c r="L58" s="585">
        <f>IF(B58="TXO",I58-SUM(J58:K58),IF(B58="FITX",IF(D58="新倉",-SUM(J58:K58),IF(E58="賣",(H58-H57)*G58*200-SUM(J58:K58),(H57-H58)*G58*200-SUM(J58:K58))),IF(D58="新倉",-SUM(J58:K58),IF(E58="賣",(H58-H57)*G58*50-SUM(J58:K58),(H57-H58)*G58*50-SUM(J58:K58)))))</f>
        <v/>
      </c>
      <c r="M58" s="699">
        <f>L58</f>
        <v/>
      </c>
      <c r="N58" s="686">
        <f>M58</f>
        <v/>
      </c>
      <c r="O58" s="261" t="inlineStr">
        <is>
          <t>放棄</t>
        </is>
      </c>
      <c r="P58" s="249" t="inlineStr">
        <is>
          <t>元大期貨</t>
        </is>
      </c>
    </row>
    <row r="59" hidden="1" outlineLevel="2">
      <c r="A59" s="696" t="n">
        <v>45496</v>
      </c>
      <c r="B59" s="234" t="inlineStr">
        <is>
          <t>TXO</t>
        </is>
      </c>
      <c r="C59" s="229" t="inlineStr">
        <is>
          <t>台指選W4 07 22200 P</t>
        </is>
      </c>
      <c r="D59" s="229" t="inlineStr">
        <is>
          <t>新倉</t>
        </is>
      </c>
      <c r="E59" s="257" t="inlineStr">
        <is>
          <t>買</t>
        </is>
      </c>
      <c r="F59" s="229" t="inlineStr">
        <is>
          <t>-</t>
        </is>
      </c>
      <c r="G59" s="697" t="n">
        <v>1</v>
      </c>
      <c r="H59" s="698" t="n">
        <v>25</v>
      </c>
      <c r="I59" s="697" t="n">
        <v>-1250</v>
      </c>
      <c r="J59" s="585" t="n">
        <v>18</v>
      </c>
      <c r="K59" s="585" t="n">
        <v>1</v>
      </c>
      <c r="L59" s="585">
        <f>IF(B59="TXO",I59-SUM(J59:K59),IF(B59="FITX",IF(D59="新倉",-SUM(J59:K59),IF(E59="賣",(H59-H58)*G59*200-SUM(J59:K59),(H58-H59)*G59*200-SUM(J59:K59))),IF(D59="新倉",-SUM(J59:K59),IF(E59="賣",(H59-H58)*G59*50-SUM(J59:K59),(H58-H59)*G59*50-SUM(J59:K59)))))</f>
        <v/>
      </c>
      <c r="M59" s="699">
        <f>L59</f>
        <v/>
      </c>
      <c r="O59" s="249" t="inlineStr">
        <is>
          <t>平倉</t>
        </is>
      </c>
      <c r="P59" s="249" t="inlineStr">
        <is>
          <t>元大期貨</t>
        </is>
      </c>
    </row>
    <row r="60" hidden="1" outlineLevel="2">
      <c r="A60" s="696" t="n">
        <v>45496</v>
      </c>
      <c r="B60" s="234" t="inlineStr">
        <is>
          <t>TXO</t>
        </is>
      </c>
      <c r="C60" s="229" t="inlineStr">
        <is>
          <t>台指選W4 07 22300 P</t>
        </is>
      </c>
      <c r="D60" s="229" t="inlineStr">
        <is>
          <t>新倉</t>
        </is>
      </c>
      <c r="E60" s="257" t="inlineStr">
        <is>
          <t>買</t>
        </is>
      </c>
      <c r="F60" s="229" t="inlineStr">
        <is>
          <t>-</t>
        </is>
      </c>
      <c r="G60" s="697" t="n">
        <v>1</v>
      </c>
      <c r="H60" s="698" t="n">
        <v>19</v>
      </c>
      <c r="I60" s="697" t="n">
        <v>-950</v>
      </c>
      <c r="J60" s="585" t="n">
        <v>18</v>
      </c>
      <c r="K60" s="585" t="n">
        <v>1</v>
      </c>
      <c r="L60" s="585">
        <f>IF(B60="TXO",I60-SUM(J60:K60),IF(B60="FITX",IF(D60="新倉",-SUM(J60:K60),IF(E60="賣",(H60-H59)*G60*200-SUM(J60:K60),(H59-H60)*G60*200-SUM(J60:K60))),IF(D60="新倉",-SUM(J60:K60),IF(E60="賣",(H60-H59)*G60*50-SUM(J60:K60),(H59-H60)*G60*50-SUM(J60:K60)))))</f>
        <v/>
      </c>
      <c r="M60" s="699">
        <f>L60</f>
        <v/>
      </c>
      <c r="O60" s="249" t="inlineStr">
        <is>
          <t>新倉</t>
        </is>
      </c>
      <c r="P60" s="249" t="inlineStr">
        <is>
          <t>元大期貨</t>
        </is>
      </c>
    </row>
    <row r="61" hidden="1" outlineLevel="2">
      <c r="A61" s="696" t="n">
        <v>45499</v>
      </c>
      <c r="B61" s="234" t="inlineStr">
        <is>
          <t>TXO</t>
        </is>
      </c>
      <c r="C61" s="229" t="inlineStr">
        <is>
          <t>台指選W4 07 22300 P</t>
        </is>
      </c>
      <c r="D61" s="229" t="inlineStr">
        <is>
          <t>平倉</t>
        </is>
      </c>
      <c r="E61" s="257" t="inlineStr">
        <is>
          <t>賣</t>
        </is>
      </c>
      <c r="F61" s="229" t="inlineStr">
        <is>
          <t>-</t>
        </is>
      </c>
      <c r="G61" s="697" t="n">
        <v>1</v>
      </c>
      <c r="H61" s="698" t="n">
        <v>249</v>
      </c>
      <c r="I61" s="697" t="n">
        <v>12450</v>
      </c>
      <c r="J61" s="585" t="n">
        <v>18</v>
      </c>
      <c r="K61" s="585" t="n">
        <v>12</v>
      </c>
      <c r="L61" s="585">
        <f>IF(B61="TXO",I61-SUM(J61:K61),IF(B61="FITX",IF(D61="新倉",-SUM(J61:K61),IF(E61="賣",(H61-H60)*G61*200-SUM(J61:K61),(H60-H61)*G61*200-SUM(J61:K61))),IF(D61="新倉",-SUM(J61:K61),IF(E61="賣",(H61-H60)*G61*50-SUM(J61:K61),(H60-H61)*G61*50-SUM(J61:K61)))))</f>
        <v/>
      </c>
      <c r="M61" s="699">
        <f>L61</f>
        <v/>
      </c>
      <c r="N61" s="686">
        <f>SUM(M60:M61)</f>
        <v/>
      </c>
      <c r="O61" s="249" t="inlineStr">
        <is>
          <t>平倉</t>
        </is>
      </c>
      <c r="P61" s="249" t="inlineStr">
        <is>
          <t>元大期貨</t>
        </is>
      </c>
    </row>
    <row r="62" hidden="1" outlineLevel="2">
      <c r="A62" s="696" t="n">
        <v>45499</v>
      </c>
      <c r="B62" s="234" t="inlineStr">
        <is>
          <t>TXO</t>
        </is>
      </c>
      <c r="C62" s="229" t="inlineStr">
        <is>
          <t>台指選W4 07 22300 C</t>
        </is>
      </c>
      <c r="D62" s="229" t="inlineStr">
        <is>
          <t>新倉</t>
        </is>
      </c>
      <c r="E62" s="257" t="inlineStr">
        <is>
          <t>買</t>
        </is>
      </c>
      <c r="F62" s="229" t="inlineStr">
        <is>
          <t>-</t>
        </is>
      </c>
      <c r="G62" s="697" t="n">
        <v>1</v>
      </c>
      <c r="H62" s="698" t="n">
        <v>25</v>
      </c>
      <c r="I62" s="697" t="n">
        <v>-1250</v>
      </c>
      <c r="J62" s="585" t="n">
        <v>18</v>
      </c>
      <c r="K62" s="585" t="n">
        <v>1</v>
      </c>
      <c r="L62" s="585">
        <f>IF(B62="TXO",I62-SUM(J62:K62),IF(B62="FITX",IF(D62="新倉",-SUM(J62:K62),IF(E62="賣",(H62-H61)*G62*200-SUM(J62:K62),(H61-H62)*G62*200-SUM(J62:K62))),IF(D62="新倉",-SUM(J62:K62),IF(E62="賣",(H62-H61)*G62*50-SUM(J62:K62),(H61-H62)*G62*50-SUM(J62:K62)))))</f>
        <v/>
      </c>
      <c r="M62" s="699">
        <f>L62</f>
        <v/>
      </c>
      <c r="N62" s="686">
        <f>M62</f>
        <v/>
      </c>
      <c r="O62" s="261" t="inlineStr">
        <is>
          <t>放棄</t>
        </is>
      </c>
      <c r="P62" s="249" t="inlineStr">
        <is>
          <t>元大期貨</t>
        </is>
      </c>
    </row>
    <row r="63" hidden="1" outlineLevel="2">
      <c r="A63" s="696" t="n">
        <v>45499</v>
      </c>
      <c r="B63" s="234" t="inlineStr">
        <is>
          <t>TXO</t>
        </is>
      </c>
      <c r="C63" s="229" t="inlineStr">
        <is>
          <t>台指選W4 07 22200 P</t>
        </is>
      </c>
      <c r="D63" s="229" t="inlineStr">
        <is>
          <t>平倉</t>
        </is>
      </c>
      <c r="E63" s="257" t="inlineStr">
        <is>
          <t>賣</t>
        </is>
      </c>
      <c r="F63" s="229" t="inlineStr">
        <is>
          <t>-</t>
        </is>
      </c>
      <c r="G63" s="697" t="n">
        <v>1</v>
      </c>
      <c r="H63" s="698" t="n">
        <v>87</v>
      </c>
      <c r="I63" s="697" t="n">
        <v>4350</v>
      </c>
      <c r="J63" s="585" t="n">
        <v>18</v>
      </c>
      <c r="K63" s="585" t="n">
        <v>4</v>
      </c>
      <c r="L63" s="585">
        <f>IF(B63="TXO",I63-SUM(J63:K63),IF(B63="FITX",IF(D63="新倉",-SUM(J63:K63),IF(E63="賣",(H63-H62)*G63*200-SUM(J63:K63),(H62-H63)*G63*200-SUM(J63:K63))),IF(D63="新倉",-SUM(J63:K63),IF(E63="賣",(H63-H62)*G63*50-SUM(J63:K63),(H62-H63)*G63*50-SUM(J63:K63)))))</f>
        <v/>
      </c>
      <c r="M63" s="699">
        <f>L63</f>
        <v/>
      </c>
      <c r="N63" s="686">
        <f>SUM(M59,M63)</f>
        <v/>
      </c>
      <c r="O63" s="249" t="inlineStr">
        <is>
          <t>平倉</t>
        </is>
      </c>
      <c r="P63" s="249" t="inlineStr">
        <is>
          <t>元大期貨</t>
        </is>
      </c>
    </row>
    <row r="64" hidden="1" outlineLevel="2">
      <c r="A64" s="696" t="n">
        <v>45502</v>
      </c>
      <c r="B64" s="234" t="inlineStr">
        <is>
          <t>TXO</t>
        </is>
      </c>
      <c r="C64" s="229" t="inlineStr">
        <is>
          <t>TXOW5 07 22400 C</t>
        </is>
      </c>
      <c r="D64" s="229" t="inlineStr">
        <is>
          <t>新倉</t>
        </is>
      </c>
      <c r="E64" s="257" t="inlineStr">
        <is>
          <t>買</t>
        </is>
      </c>
      <c r="F64" s="229" t="inlineStr">
        <is>
          <t>-</t>
        </is>
      </c>
      <c r="G64" s="697" t="n">
        <v>1</v>
      </c>
      <c r="H64" s="698" t="n">
        <v>119</v>
      </c>
      <c r="I64" s="697" t="n">
        <v>-5950</v>
      </c>
      <c r="J64" s="585" t="n">
        <v>18</v>
      </c>
      <c r="K64" s="585" t="n">
        <v>6</v>
      </c>
      <c r="L64" s="585">
        <f>IF(B64="TXO",I64-SUM(J64:K64),IF(B64="FITX",IF(D64="新倉",-SUM(J64:K64),IF(E64="賣",(H64-H63)*G64*200-SUM(J64:K64),(H63-H64)*G64*200-SUM(J64:K64))),IF(D64="新倉",-SUM(J64:K64),IF(E64="賣",(H64-H63)*G64*50-SUM(J64:K64),(H63-H64)*G64*50-SUM(J64:K64)))))</f>
        <v/>
      </c>
      <c r="M64" s="699">
        <f>L64</f>
        <v/>
      </c>
      <c r="N64" s="686">
        <f>M64</f>
        <v/>
      </c>
      <c r="O64" s="261" t="inlineStr">
        <is>
          <t>放棄</t>
        </is>
      </c>
      <c r="P64" s="249" t="inlineStr">
        <is>
          <t>元大期貨</t>
        </is>
      </c>
    </row>
    <row r="65" hidden="1" outlineLevel="2">
      <c r="A65" s="696" t="n">
        <v>45502</v>
      </c>
      <c r="B65" s="234" t="inlineStr">
        <is>
          <t>TXO</t>
        </is>
      </c>
      <c r="C65" s="229" t="inlineStr">
        <is>
          <t>TXOW5 07 22450 C</t>
        </is>
      </c>
      <c r="D65" s="229" t="inlineStr">
        <is>
          <t>新倉</t>
        </is>
      </c>
      <c r="E65" s="257" t="inlineStr">
        <is>
          <t>賣</t>
        </is>
      </c>
      <c r="F65" s="229" t="inlineStr">
        <is>
          <t>-</t>
        </is>
      </c>
      <c r="G65" s="697" t="n">
        <v>1</v>
      </c>
      <c r="H65" s="698" t="n">
        <v>96</v>
      </c>
      <c r="I65" s="697" t="n">
        <v>4800</v>
      </c>
      <c r="J65" s="585" t="n">
        <v>18</v>
      </c>
      <c r="K65" s="585" t="n">
        <v>5</v>
      </c>
      <c r="L65" s="585">
        <f>IF(B65="TXO",I65-SUM(J65:K65),IF(B65="FITX",IF(D65="新倉",-SUM(J65:K65),IF(E65="賣",(H65-H64)*G65*200-SUM(J65:K65),(H64-H65)*G65*200-SUM(J65:K65))),IF(D65="新倉",-SUM(J65:K65),IF(E65="賣",(H65-H64)*G65*50-SUM(J65:K65),(H64-H65)*G65*50-SUM(J65:K65)))))</f>
        <v/>
      </c>
      <c r="M65" s="699">
        <f>L65</f>
        <v/>
      </c>
      <c r="N65" s="686">
        <f>M65</f>
        <v/>
      </c>
      <c r="O65" s="261" t="inlineStr">
        <is>
          <t>放棄</t>
        </is>
      </c>
      <c r="P65" s="249" t="inlineStr">
        <is>
          <t>元大期貨</t>
        </is>
      </c>
    </row>
    <row r="66" hidden="1" outlineLevel="2">
      <c r="A66" s="696" t="n">
        <v>45502</v>
      </c>
      <c r="B66" s="234" t="inlineStr">
        <is>
          <t>TXO</t>
        </is>
      </c>
      <c r="C66" s="229" t="inlineStr">
        <is>
          <t>TXOW5 07 22500 C</t>
        </is>
      </c>
      <c r="D66" s="229" t="inlineStr">
        <is>
          <t>新倉</t>
        </is>
      </c>
      <c r="E66" s="257" t="inlineStr">
        <is>
          <t>買</t>
        </is>
      </c>
      <c r="F66" s="229" t="inlineStr">
        <is>
          <t>-</t>
        </is>
      </c>
      <c r="G66" s="697" t="n">
        <v>1</v>
      </c>
      <c r="H66" s="698" t="n">
        <v>135</v>
      </c>
      <c r="I66" s="697" t="n">
        <v>-6750</v>
      </c>
      <c r="J66" s="585" t="n">
        <v>18</v>
      </c>
      <c r="K66" s="585" t="n">
        <v>7</v>
      </c>
      <c r="L66" s="585">
        <f>IF(B66="TXO",I66-SUM(J66:K66),IF(B66="FITX",IF(D66="新倉",-SUM(J66:K66),IF(E66="賣",(H66-H65)*G66*200-SUM(J66:K66),(H65-H66)*G66*200-SUM(J66:K66))),IF(D66="新倉",-SUM(J66:K66),IF(E66="賣",(H66-H65)*G66*50-SUM(J66:K66),(H65-H66)*G66*50-SUM(J66:K66)))))</f>
        <v/>
      </c>
      <c r="M66" s="699">
        <f>L66</f>
        <v/>
      </c>
      <c r="N66" s="686">
        <f>M66</f>
        <v/>
      </c>
      <c r="O66" s="261" t="inlineStr">
        <is>
          <t>放棄</t>
        </is>
      </c>
      <c r="P66" s="249" t="inlineStr">
        <is>
          <t>元大期貨</t>
        </is>
      </c>
    </row>
    <row r="67" hidden="1" outlineLevel="2">
      <c r="A67" s="696" t="n">
        <v>45502</v>
      </c>
      <c r="B67" s="234" t="inlineStr">
        <is>
          <t>TXO</t>
        </is>
      </c>
      <c r="C67" s="229" t="inlineStr">
        <is>
          <t>TXOW5 07 22550 C</t>
        </is>
      </c>
      <c r="D67" s="229" t="inlineStr">
        <is>
          <t>新倉</t>
        </is>
      </c>
      <c r="E67" s="257" t="inlineStr">
        <is>
          <t>賣</t>
        </is>
      </c>
      <c r="F67" s="229" t="inlineStr">
        <is>
          <t>-</t>
        </is>
      </c>
      <c r="G67" s="697" t="n">
        <v>1</v>
      </c>
      <c r="H67" s="698" t="n">
        <v>113</v>
      </c>
      <c r="I67" s="697" t="n">
        <v>5650</v>
      </c>
      <c r="J67" s="585" t="n">
        <v>18</v>
      </c>
      <c r="K67" s="585" t="n">
        <v>6</v>
      </c>
      <c r="L67" s="585">
        <f>IF(B67="TXO",I67-SUM(J67:K67),IF(B67="FITX",IF(D67="新倉",-SUM(J67:K67),IF(E67="賣",(H67-H66)*G67*200-SUM(J67:K67),(H66-H67)*G67*200-SUM(J67:K67))),IF(D67="新倉",-SUM(J67:K67),IF(E67="賣",(H67-H66)*G67*50-SUM(J67:K67),(H66-H67)*G67*50-SUM(J67:K67)))))</f>
        <v/>
      </c>
      <c r="M67" s="699">
        <f>L67</f>
        <v/>
      </c>
      <c r="N67" s="686">
        <f>M67</f>
        <v/>
      </c>
      <c r="O67" s="276" t="inlineStr">
        <is>
          <t>履約</t>
        </is>
      </c>
      <c r="P67" s="249" t="inlineStr">
        <is>
          <t>元大期貨</t>
        </is>
      </c>
    </row>
    <row r="68" hidden="1" outlineLevel="2">
      <c r="A68" s="696" t="n">
        <v>45504</v>
      </c>
      <c r="B68" s="234" t="inlineStr">
        <is>
          <t>TXO</t>
        </is>
      </c>
      <c r="C68" s="229" t="inlineStr">
        <is>
          <t>TXOW5 07 22250 C</t>
        </is>
      </c>
      <c r="D68" s="229" t="inlineStr">
        <is>
          <t>新倉</t>
        </is>
      </c>
      <c r="E68" s="257" t="inlineStr">
        <is>
          <t>買</t>
        </is>
      </c>
      <c r="F68" s="229" t="inlineStr">
        <is>
          <t>-</t>
        </is>
      </c>
      <c r="G68" s="697" t="n">
        <v>1</v>
      </c>
      <c r="H68" s="698" t="n">
        <v>20</v>
      </c>
      <c r="I68" s="697" t="n">
        <v>-1000</v>
      </c>
      <c r="J68" s="585" t="n">
        <v>18</v>
      </c>
      <c r="K68" s="585" t="n">
        <v>1</v>
      </c>
      <c r="L68" s="585">
        <f>IF(B68="TXO",I68-SUM(J68:K68),IF(B68="FITX",IF(D68="新倉",-SUM(J68:K68),IF(E68="賣",(H68-H67)*G68*200-SUM(J68:K68),(H67-H68)*G68*200-SUM(J68:K68))),IF(D68="新倉",-SUM(J68:K68),IF(E68="賣",(H68-H67)*G68*50-SUM(J68:K68),(H67-H68)*G68*50-SUM(J68:K68)))))</f>
        <v/>
      </c>
      <c r="M68" s="699">
        <f>L68</f>
        <v/>
      </c>
      <c r="O68" s="249" t="inlineStr">
        <is>
          <t>新倉</t>
        </is>
      </c>
      <c r="P68" s="249" t="inlineStr">
        <is>
          <t>元大期貨</t>
        </is>
      </c>
    </row>
    <row r="69" hidden="1" outlineLevel="2">
      <c r="A69" s="696" t="n">
        <v>45504</v>
      </c>
      <c r="B69" s="234" t="inlineStr">
        <is>
          <t>TXO</t>
        </is>
      </c>
      <c r="C69" s="229" t="inlineStr">
        <is>
          <t>TXOW5 07 22350 C</t>
        </is>
      </c>
      <c r="D69" s="229" t="inlineStr">
        <is>
          <t>新倉</t>
        </is>
      </c>
      <c r="E69" s="257" t="inlineStr">
        <is>
          <t>買</t>
        </is>
      </c>
      <c r="F69" s="229" t="inlineStr">
        <is>
          <t>-</t>
        </is>
      </c>
      <c r="G69" s="697" t="n">
        <v>1</v>
      </c>
      <c r="H69" s="698" t="n">
        <v>14</v>
      </c>
      <c r="I69" s="697" t="n">
        <v>-700</v>
      </c>
      <c r="J69" s="585" t="n">
        <v>18</v>
      </c>
      <c r="K69" s="585" t="n">
        <v>1</v>
      </c>
      <c r="L69" s="585">
        <f>IF(B69="TXO",I69-SUM(J69:K69),IF(B69="FITX",IF(D69="新倉",-SUM(J69:K69),IF(E69="賣",(H69-H68)*G69*200-SUM(J69:K69),(H68-H69)*G69*200-SUM(J69:K69))),IF(D69="新倉",-SUM(J69:K69),IF(E69="賣",(H69-H68)*G69*50-SUM(J69:K69),(H68-H69)*G69*50-SUM(J69:K69)))))</f>
        <v/>
      </c>
      <c r="M69" s="699">
        <f>L69</f>
        <v/>
      </c>
      <c r="O69" s="249" t="inlineStr">
        <is>
          <t>新倉</t>
        </is>
      </c>
      <c r="P69" s="249" t="inlineStr">
        <is>
          <t>元大期貨</t>
        </is>
      </c>
    </row>
    <row r="70" hidden="1" outlineLevel="2" ht="17.25" customHeight="1" thickBot="1">
      <c r="A70" s="696" t="n">
        <v>45504</v>
      </c>
      <c r="B70" s="234" t="inlineStr">
        <is>
          <t>TXO</t>
        </is>
      </c>
      <c r="C70" s="229" t="inlineStr">
        <is>
          <t>TXOW5 07 22250 C</t>
        </is>
      </c>
      <c r="D70" s="229" t="inlineStr">
        <is>
          <t>平倉</t>
        </is>
      </c>
      <c r="E70" s="257" t="inlineStr">
        <is>
          <t>賣</t>
        </is>
      </c>
      <c r="F70" s="229" t="inlineStr">
        <is>
          <t>-</t>
        </is>
      </c>
      <c r="G70" s="697" t="n">
        <v>1</v>
      </c>
      <c r="H70" s="698" t="n">
        <v>103</v>
      </c>
      <c r="I70" s="697" t="n">
        <v>5150</v>
      </c>
      <c r="J70" s="585" t="n">
        <v>18</v>
      </c>
      <c r="K70" s="585" t="n">
        <v>5</v>
      </c>
      <c r="L70" s="585">
        <f>IF(B70="TXO",I70-SUM(J70:K70),IF(B70="FITX",IF(D70="新倉",-SUM(J70:K70),IF(E70="賣",(H70-H69)*G70*200-SUM(J70:K70),(H69-H70)*G70*200-SUM(J70:K70))),IF(D70="新倉",-SUM(J70:K70),IF(E70="賣",(H70-H69)*G70*50-SUM(J70:K70),(H69-H70)*G70*50-SUM(J70:K70)))))</f>
        <v/>
      </c>
      <c r="M70" s="699">
        <f>L70</f>
        <v/>
      </c>
      <c r="N70" s="686">
        <f>SUM(M66,M70)</f>
        <v/>
      </c>
      <c r="O70" s="249" t="inlineStr">
        <is>
          <t>平倉</t>
        </is>
      </c>
      <c r="P70" s="249" t="inlineStr">
        <is>
          <t>元大期貨</t>
        </is>
      </c>
    </row>
    <row r="71" outlineLevel="1" collapsed="1" ht="17.25" customHeight="1" thickBot="1">
      <c r="A71" s="273" t="inlineStr">
        <is>
          <t>7月總計</t>
        </is>
      </c>
      <c r="B71" s="274" t="n"/>
      <c r="C71" s="274" t="n"/>
      <c r="D71" s="274" t="n"/>
      <c r="E71" s="274" t="n"/>
      <c r="F71" s="274" t="n"/>
      <c r="G71" s="715" t="n"/>
      <c r="H71" s="715" t="n"/>
      <c r="I71" s="715" t="n"/>
      <c r="J71" s="716" t="n"/>
      <c r="K71" s="715" t="n"/>
      <c r="L71" s="717">
        <f>SUM(L43:L70)</f>
        <v/>
      </c>
      <c r="M71" s="717">
        <f>SUM(M43:M70)</f>
        <v/>
      </c>
      <c r="N71" s="666" t="n"/>
    </row>
    <row r="72" hidden="1" outlineLevel="2">
      <c r="A72" s="696" t="n">
        <v>45509</v>
      </c>
      <c r="B72" s="234" t="inlineStr">
        <is>
          <t>TXO</t>
        </is>
      </c>
      <c r="C72" s="229" t="inlineStr">
        <is>
          <t>週W1 C 08 22350 C</t>
        </is>
      </c>
      <c r="D72" s="229" t="inlineStr">
        <is>
          <t>新倉</t>
        </is>
      </c>
      <c r="E72" s="257" t="inlineStr">
        <is>
          <t>買</t>
        </is>
      </c>
      <c r="F72" s="229" t="inlineStr">
        <is>
          <t>-</t>
        </is>
      </c>
      <c r="G72" s="697" t="n">
        <v>1</v>
      </c>
      <c r="H72" s="698" t="n">
        <v>9.6</v>
      </c>
      <c r="I72" s="697" t="n">
        <v>-480</v>
      </c>
      <c r="J72" s="585" t="n">
        <v>18</v>
      </c>
      <c r="K72" s="585" t="n">
        <v>0</v>
      </c>
      <c r="L72" s="585">
        <f>IF(B72="TXO",I72-SUM(J72:K72),IF(B72="FITX",IF(D72="新倉",-SUM(J72:K72),IF(E72="賣",(H72-H71)*G72*200-SUM(J72:K72),(H71-H72)*G72*200-SUM(J72:K72))),IF(D72="新倉",-SUM(J72:K72),IF(E72="賣",(H72-H71)*G72*50-SUM(J72:K72),(H71-H72)*G72*50-SUM(J72:K72)))))</f>
        <v/>
      </c>
      <c r="M72" s="699">
        <f>L72</f>
        <v/>
      </c>
      <c r="N72" s="686">
        <f>M72</f>
        <v/>
      </c>
      <c r="O72" s="261" t="inlineStr">
        <is>
          <t>放棄</t>
        </is>
      </c>
      <c r="P72" s="249" t="inlineStr">
        <is>
          <t>元大期貨</t>
        </is>
      </c>
    </row>
    <row r="73" hidden="1" outlineLevel="2">
      <c r="A73" s="696" t="n">
        <v>45509</v>
      </c>
      <c r="B73" s="234" t="inlineStr">
        <is>
          <t>TXO</t>
        </is>
      </c>
      <c r="C73" s="229" t="inlineStr">
        <is>
          <t>週W1 C 08 22400 C</t>
        </is>
      </c>
      <c r="D73" s="229" t="inlineStr">
        <is>
          <t>新倉</t>
        </is>
      </c>
      <c r="E73" s="257" t="inlineStr">
        <is>
          <t>賣</t>
        </is>
      </c>
      <c r="F73" s="229" t="inlineStr">
        <is>
          <t>-</t>
        </is>
      </c>
      <c r="G73" s="697" t="n">
        <v>1</v>
      </c>
      <c r="H73" s="698" t="n">
        <v>6.8</v>
      </c>
      <c r="I73" s="697" t="n">
        <v>340</v>
      </c>
      <c r="J73" s="585" t="n">
        <v>18</v>
      </c>
      <c r="K73" s="585" t="n">
        <v>0</v>
      </c>
      <c r="L73" s="585">
        <f>IF(B73="TXO",I73-SUM(J73:K73),IF(B73="FITX",IF(D73="新倉",-SUM(J73:K73),IF(E73="賣",(H73-H72)*G73*200-SUM(J73:K73),(H72-H73)*G73*200-SUM(J73:K73))),IF(D73="新倉",-SUM(J73:K73),IF(E73="賣",(H73-H72)*G73*50-SUM(J73:K73),(H72-H73)*G73*50-SUM(J73:K73)))))</f>
        <v/>
      </c>
      <c r="M73" s="699">
        <f>L73</f>
        <v/>
      </c>
      <c r="N73" s="686">
        <f>M73</f>
        <v/>
      </c>
      <c r="O73" s="276" t="inlineStr">
        <is>
          <t>履約</t>
        </is>
      </c>
      <c r="P73" s="249" t="inlineStr">
        <is>
          <t>元大期貨</t>
        </is>
      </c>
    </row>
    <row r="74" hidden="1" outlineLevel="2">
      <c r="A74" s="696" t="n">
        <v>45510</v>
      </c>
      <c r="B74" s="234" t="inlineStr">
        <is>
          <t>TXO</t>
        </is>
      </c>
      <c r="C74" s="229" t="inlineStr">
        <is>
          <t>週W1 C 08 21300 C</t>
        </is>
      </c>
      <c r="D74" s="229" t="inlineStr">
        <is>
          <t>新倉</t>
        </is>
      </c>
      <c r="E74" s="257" t="inlineStr">
        <is>
          <t>買</t>
        </is>
      </c>
      <c r="F74" s="229" t="inlineStr">
        <is>
          <t>-</t>
        </is>
      </c>
      <c r="G74" s="697" t="n">
        <v>1</v>
      </c>
      <c r="H74" s="698" t="n">
        <v>36</v>
      </c>
      <c r="I74" s="697" t="n">
        <v>-1800</v>
      </c>
      <c r="J74" s="585" t="n">
        <v>18</v>
      </c>
      <c r="K74" s="585" t="n">
        <v>2</v>
      </c>
      <c r="L74" s="585">
        <f>IF(B74="TXO",I74-SUM(J74:K74),IF(B74="FITX",IF(D74="新倉",-SUM(J74:K74),IF(E74="賣",(H74-H73)*G74*200-SUM(J74:K74),(H73-H74)*G74*200-SUM(J74:K74))),IF(D74="新倉",-SUM(J74:K74),IF(E74="賣",(H74-H73)*G74*50-SUM(J74:K74),(H73-H74)*G74*50-SUM(J74:K74)))))</f>
        <v/>
      </c>
      <c r="M74" s="699">
        <f>L74</f>
        <v/>
      </c>
      <c r="N74" s="686">
        <f>M74</f>
        <v/>
      </c>
      <c r="O74" s="261" t="inlineStr">
        <is>
          <t>放棄</t>
        </is>
      </c>
      <c r="P74" s="249" t="inlineStr">
        <is>
          <t>元大期貨</t>
        </is>
      </c>
    </row>
    <row r="75" hidden="1" outlineLevel="2">
      <c r="A75" s="696" t="n">
        <v>45510</v>
      </c>
      <c r="B75" s="234" t="inlineStr">
        <is>
          <t>TXO</t>
        </is>
      </c>
      <c r="C75" s="229" t="inlineStr">
        <is>
          <t>週W1 P 08 18600 P</t>
        </is>
      </c>
      <c r="D75" s="229" t="inlineStr">
        <is>
          <t>新倉</t>
        </is>
      </c>
      <c r="E75" s="257" t="inlineStr">
        <is>
          <t>買</t>
        </is>
      </c>
      <c r="F75" s="229" t="inlineStr">
        <is>
          <t>-</t>
        </is>
      </c>
      <c r="G75" s="697" t="n">
        <v>1</v>
      </c>
      <c r="H75" s="698" t="n">
        <v>14</v>
      </c>
      <c r="I75" s="697" t="n">
        <v>-700</v>
      </c>
      <c r="J75" s="585" t="n">
        <v>18</v>
      </c>
      <c r="K75" s="585" t="n">
        <v>1</v>
      </c>
      <c r="L75" s="585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/>
      </c>
      <c r="M75" s="699">
        <f>L75</f>
        <v/>
      </c>
      <c r="N75" s="686">
        <f>M75</f>
        <v/>
      </c>
      <c r="O75" s="261" t="inlineStr">
        <is>
          <t>放棄</t>
        </is>
      </c>
      <c r="P75" s="249" t="inlineStr">
        <is>
          <t>元大期貨</t>
        </is>
      </c>
    </row>
    <row r="76" hidden="1" outlineLevel="2">
      <c r="A76" s="696" t="n">
        <v>45510</v>
      </c>
      <c r="B76" s="234" t="inlineStr">
        <is>
          <t>TXO</t>
        </is>
      </c>
      <c r="C76" s="229" t="inlineStr">
        <is>
          <t>週W1 P 08 18600 P</t>
        </is>
      </c>
      <c r="D76" s="229" t="inlineStr">
        <is>
          <t>新倉</t>
        </is>
      </c>
      <c r="E76" s="257" t="inlineStr">
        <is>
          <t>買</t>
        </is>
      </c>
      <c r="F76" s="229" t="inlineStr">
        <is>
          <t>-</t>
        </is>
      </c>
      <c r="G76" s="697" t="n">
        <v>1</v>
      </c>
      <c r="H76" s="698" t="n">
        <v>25</v>
      </c>
      <c r="I76" s="697" t="n">
        <v>-1250</v>
      </c>
      <c r="J76" s="585" t="n">
        <v>18</v>
      </c>
      <c r="K76" s="585" t="n">
        <v>1</v>
      </c>
      <c r="L76" s="585">
        <f>IF(B76="TXO",I76-SUM(J76:K76),IF(B76="FITX",IF(D76="新倉",-SUM(J76:K76),IF(E76="賣",(H76-H75)*G76*200-SUM(J76:K76),(H75-H76)*G76*200-SUM(J76:K76))),IF(D76="新倉",-SUM(J76:K76),IF(E76="賣",(H76-H75)*G76*50-SUM(J76:K76),(H75-H76)*G76*50-SUM(J76:K76)))))</f>
        <v/>
      </c>
      <c r="M76" s="699">
        <f>L76</f>
        <v/>
      </c>
      <c r="N76" s="686">
        <f>M76</f>
        <v/>
      </c>
      <c r="O76" s="261" t="inlineStr">
        <is>
          <t>放棄</t>
        </is>
      </c>
      <c r="P76" s="249" t="inlineStr">
        <is>
          <t>元大期貨</t>
        </is>
      </c>
    </row>
    <row r="77" hidden="1" outlineLevel="2">
      <c r="A77" s="696" t="n">
        <v>45510</v>
      </c>
      <c r="B77" s="234" t="inlineStr">
        <is>
          <t>TXO</t>
        </is>
      </c>
      <c r="C77" s="229" t="inlineStr">
        <is>
          <t>週W1 P 08 19550 P</t>
        </is>
      </c>
      <c r="D77" s="229" t="inlineStr">
        <is>
          <t>新倉</t>
        </is>
      </c>
      <c r="E77" s="257" t="inlineStr">
        <is>
          <t>買</t>
        </is>
      </c>
      <c r="F77" s="229" t="inlineStr">
        <is>
          <t>-</t>
        </is>
      </c>
      <c r="G77" s="697" t="n">
        <v>1</v>
      </c>
      <c r="H77" s="698" t="n">
        <v>199</v>
      </c>
      <c r="I77" s="697" t="n">
        <v>-9950</v>
      </c>
      <c r="J77" s="585" t="n">
        <v>18</v>
      </c>
      <c r="K77" s="585" t="n">
        <v>10</v>
      </c>
      <c r="L77" s="585">
        <f>IF(B77="TXO",I77-SUM(J77:K77),IF(B77="FITX",IF(D77="新倉",-SUM(J77:K77),IF(E77="賣",(H77-H76)*G77*200-SUM(J77:K77),(H76-H77)*G77*200-SUM(J77:K77))),IF(D77="新倉",-SUM(J77:K77),IF(E77="賣",(H77-H76)*G77*50-SUM(J77:K77),(H76-H77)*G77*50-SUM(J77:K77)))))</f>
        <v/>
      </c>
      <c r="M77" s="699">
        <f>L77</f>
        <v/>
      </c>
      <c r="N77" s="686">
        <f>M77</f>
        <v/>
      </c>
      <c r="O77" s="261" t="inlineStr">
        <is>
          <t>放棄</t>
        </is>
      </c>
      <c r="P77" s="249" t="inlineStr">
        <is>
          <t>元大期貨</t>
        </is>
      </c>
    </row>
    <row r="78" hidden="1" outlineLevel="2">
      <c r="A78" s="696" t="n">
        <v>45510</v>
      </c>
      <c r="B78" s="234" t="inlineStr">
        <is>
          <t>TXO</t>
        </is>
      </c>
      <c r="C78" s="229" t="inlineStr">
        <is>
          <t>週W1 P 08 18500 P</t>
        </is>
      </c>
      <c r="D78" s="229" t="inlineStr">
        <is>
          <t>新倉</t>
        </is>
      </c>
      <c r="E78" s="257" t="inlineStr">
        <is>
          <t>買</t>
        </is>
      </c>
      <c r="F78" s="229" t="inlineStr">
        <is>
          <t>-</t>
        </is>
      </c>
      <c r="G78" s="697" t="n">
        <v>1</v>
      </c>
      <c r="H78" s="698" t="n">
        <v>33.5</v>
      </c>
      <c r="I78" s="697" t="n">
        <v>-1675</v>
      </c>
      <c r="J78" s="585" t="n">
        <v>18</v>
      </c>
      <c r="K78" s="585" t="n">
        <v>2</v>
      </c>
      <c r="L78" s="585">
        <f>IF(B78="TXO",I78-SUM(J78:K78),IF(B78="FITX",IF(D78="新倉",-SUM(J78:K78),IF(E78="賣",(H78-H77)*G78*200-SUM(J78:K78),(H77-H78)*G78*200-SUM(J78:K78))),IF(D78="新倉",-SUM(J78:K78),IF(E78="賣",(H78-H77)*G78*50-SUM(J78:K78),(H77-H78)*G78*50-SUM(J78:K78)))))</f>
        <v/>
      </c>
      <c r="M78" s="699">
        <f>L78</f>
        <v/>
      </c>
      <c r="N78" s="686">
        <f>M78</f>
        <v/>
      </c>
      <c r="O78" s="261" t="inlineStr">
        <is>
          <t>放棄</t>
        </is>
      </c>
      <c r="P78" s="249" t="inlineStr">
        <is>
          <t>元大期貨</t>
        </is>
      </c>
    </row>
    <row r="79" hidden="1" outlineLevel="2">
      <c r="A79" s="696" t="n">
        <v>45510</v>
      </c>
      <c r="B79" s="234" t="inlineStr">
        <is>
          <t>TXO</t>
        </is>
      </c>
      <c r="C79" s="229" t="inlineStr">
        <is>
          <t>週W1 P 08 19600 P</t>
        </is>
      </c>
      <c r="D79" s="229" t="inlineStr">
        <is>
          <t>新倉</t>
        </is>
      </c>
      <c r="E79" s="257" t="inlineStr">
        <is>
          <t>買</t>
        </is>
      </c>
      <c r="F79" s="229" t="inlineStr">
        <is>
          <t>-</t>
        </is>
      </c>
      <c r="G79" s="697" t="n">
        <v>1</v>
      </c>
      <c r="H79" s="698" t="n">
        <v>200</v>
      </c>
      <c r="I79" s="697" t="n">
        <v>-10000</v>
      </c>
      <c r="J79" s="585" t="n">
        <v>18</v>
      </c>
      <c r="K79" s="585" t="n">
        <v>10</v>
      </c>
      <c r="L79" s="585">
        <f>IF(B79="TXO",I79-SUM(J79:K79),IF(B79="FITX",IF(D79="新倉",-SUM(J79:K79),IF(E79="賣",(H79-H78)*G79*200-SUM(J79:K79),(H78-H79)*G79*200-SUM(J79:K79))),IF(D79="新倉",-SUM(J79:K79),IF(E79="賣",(H79-H78)*G79*50-SUM(J79:K79),(H78-H79)*G79*50-SUM(J79:K79)))))</f>
        <v/>
      </c>
      <c r="M79" s="699">
        <f>L79</f>
        <v/>
      </c>
      <c r="N79" s="686">
        <f>M79</f>
        <v/>
      </c>
      <c r="O79" s="261" t="inlineStr">
        <is>
          <t>放棄</t>
        </is>
      </c>
      <c r="P79" s="249" t="inlineStr">
        <is>
          <t>元大期貨</t>
        </is>
      </c>
    </row>
    <row r="80" hidden="1" outlineLevel="2">
      <c r="A80" s="696" t="n">
        <v>45516</v>
      </c>
      <c r="B80" s="234" t="inlineStr">
        <is>
          <t>TXO</t>
        </is>
      </c>
      <c r="C80" s="229" t="inlineStr">
        <is>
          <t>TXOW2 08 21800 C</t>
        </is>
      </c>
      <c r="D80" s="229" t="inlineStr">
        <is>
          <t>新倉</t>
        </is>
      </c>
      <c r="E80" s="257" t="inlineStr">
        <is>
          <t>買</t>
        </is>
      </c>
      <c r="F80" s="229" t="inlineStr">
        <is>
          <t>-</t>
        </is>
      </c>
      <c r="G80" s="697" t="n">
        <v>1</v>
      </c>
      <c r="H80" s="698" t="n">
        <v>179</v>
      </c>
      <c r="I80" s="697" t="n">
        <v>-8950</v>
      </c>
      <c r="J80" s="585" t="n">
        <v>18</v>
      </c>
      <c r="K80" s="585" t="n">
        <v>9</v>
      </c>
      <c r="L80" s="585">
        <f>IF(B80="TXO",I80-SUM(J80:K80),IF(B80="FITX",IF(D80="新倉",-SUM(J80:K80),IF(E80="賣",(H80-H79)*G80*200-SUM(J80:K80),(H79-H80)*G80*200-SUM(J80:K80))),IF(D80="新倉",-SUM(J80:K80),IF(E80="賣",(H80-H79)*G80*50-SUM(J80:K80),(H79-H80)*G80*50-SUM(J80:K80)))))</f>
        <v/>
      </c>
      <c r="M80" s="699">
        <f>L80</f>
        <v/>
      </c>
      <c r="O80" s="249" t="inlineStr">
        <is>
          <t>新倉</t>
        </is>
      </c>
      <c r="P80" s="249" t="inlineStr">
        <is>
          <t>元大期貨</t>
        </is>
      </c>
    </row>
    <row r="81" hidden="1" outlineLevel="2">
      <c r="A81" s="696" t="n">
        <v>45516</v>
      </c>
      <c r="B81" s="234" t="inlineStr">
        <is>
          <t>TXO</t>
        </is>
      </c>
      <c r="C81" s="229" t="inlineStr">
        <is>
          <t>TXOW2 08 22000 C</t>
        </is>
      </c>
      <c r="D81" s="229" t="inlineStr">
        <is>
          <t>新倉</t>
        </is>
      </c>
      <c r="E81" s="257" t="inlineStr">
        <is>
          <t>買</t>
        </is>
      </c>
      <c r="F81" s="229" t="inlineStr">
        <is>
          <t>-</t>
        </is>
      </c>
      <c r="G81" s="697" t="n">
        <v>1</v>
      </c>
      <c r="H81" s="698" t="n">
        <v>114</v>
      </c>
      <c r="I81" s="697" t="n">
        <v>-5700</v>
      </c>
      <c r="J81" s="585" t="n">
        <v>18</v>
      </c>
      <c r="K81" s="585" t="n">
        <v>6</v>
      </c>
      <c r="L81" s="585">
        <f>IF(B81="TXO",I81-SUM(J81:K81),IF(B81="FITX",IF(D81="新倉",-SUM(J81:K81),IF(E81="賣",(H81-H80)*G81*200-SUM(J81:K81),(H80-H81)*G81*200-SUM(J81:K81))),IF(D81="新倉",-SUM(J81:K81),IF(E81="賣",(H81-H80)*G81*50-SUM(J81:K81),(H80-H81)*G81*50-SUM(J81:K81)))))</f>
        <v/>
      </c>
      <c r="M81" s="699">
        <f>L81</f>
        <v/>
      </c>
      <c r="O81" s="249" t="inlineStr">
        <is>
          <t>新倉</t>
        </is>
      </c>
      <c r="P81" s="249" t="inlineStr">
        <is>
          <t>元大期貨</t>
        </is>
      </c>
    </row>
    <row r="82" hidden="1" outlineLevel="2">
      <c r="A82" s="696" t="n">
        <v>45518</v>
      </c>
      <c r="B82" s="234" t="inlineStr">
        <is>
          <t>TXO</t>
        </is>
      </c>
      <c r="C82" s="229" t="inlineStr">
        <is>
          <t>TXOW2 08 21800 C</t>
        </is>
      </c>
      <c r="D82" s="229" t="inlineStr">
        <is>
          <t>平倉</t>
        </is>
      </c>
      <c r="E82" s="257" t="inlineStr">
        <is>
          <t>賣</t>
        </is>
      </c>
      <c r="F82" s="229" t="inlineStr">
        <is>
          <t>-</t>
        </is>
      </c>
      <c r="G82" s="697" t="n">
        <v>1</v>
      </c>
      <c r="H82" s="698" t="n">
        <v>241</v>
      </c>
      <c r="I82" s="697" t="n">
        <v>12050</v>
      </c>
      <c r="J82" s="585" t="n">
        <v>18</v>
      </c>
      <c r="K82" s="585" t="n">
        <v>12</v>
      </c>
      <c r="L82" s="585">
        <f>IF(B82="TXO",I82-SUM(J82:K82),IF(B82="FITX",IF(D82="新倉",-SUM(J82:K82),IF(E82="賣",(H82-H81)*G82*200-SUM(J82:K82),(H81-H82)*G82*200-SUM(J82:K82))),IF(D82="新倉",-SUM(J82:K82),IF(E82="賣",(H82-H81)*G82*50-SUM(J82:K82),(H81-H82)*G82*50-SUM(J82:K82)))))</f>
        <v/>
      </c>
      <c r="M82" s="699">
        <f>L82</f>
        <v/>
      </c>
      <c r="N82" s="686">
        <f>SUM(M80,M82)</f>
        <v/>
      </c>
      <c r="O82" s="249" t="inlineStr">
        <is>
          <t>平倉</t>
        </is>
      </c>
      <c r="P82" s="249" t="inlineStr">
        <is>
          <t>元大期貨</t>
        </is>
      </c>
    </row>
    <row r="83" hidden="1" outlineLevel="2">
      <c r="A83" s="696" t="n">
        <v>45518</v>
      </c>
      <c r="B83" s="234" t="inlineStr">
        <is>
          <t>TXO</t>
        </is>
      </c>
      <c r="C83" s="229" t="inlineStr">
        <is>
          <t>TXOW2 08 22000 C</t>
        </is>
      </c>
      <c r="D83" s="229" t="inlineStr">
        <is>
          <t>平倉</t>
        </is>
      </c>
      <c r="E83" s="257" t="inlineStr">
        <is>
          <t>賣</t>
        </is>
      </c>
      <c r="F83" s="229" t="inlineStr">
        <is>
          <t>-</t>
        </is>
      </c>
      <c r="G83" s="697" t="n">
        <v>1</v>
      </c>
      <c r="H83" s="698" t="n">
        <v>114</v>
      </c>
      <c r="I83" s="697">
        <f>19*50</f>
        <v/>
      </c>
      <c r="J83" s="585" t="n">
        <v>18</v>
      </c>
      <c r="K83" s="585" t="n">
        <v>22</v>
      </c>
      <c r="L83" s="585">
        <f>IF(B83="TXO",I83-SUM(J83:K83),IF(B83="FITX",IF(D83="新倉",-SUM(J83:K83),IF(E83="賣",(H83-H82)*G83*200-SUM(J83:K83),(H82-H83)*G83*200-SUM(J83:K83))),IF(D83="新倉",-SUM(J83:K83),IF(E83="賣",(H83-H82)*G83*50-SUM(J83:K83),(H82-H83)*G83*50-SUM(J83:K83)))))</f>
        <v/>
      </c>
      <c r="M83" s="699">
        <f>L83</f>
        <v/>
      </c>
      <c r="N83" s="686">
        <f>SUM(M81,M83)</f>
        <v/>
      </c>
      <c r="O83" s="276" t="inlineStr">
        <is>
          <t>履約</t>
        </is>
      </c>
      <c r="P83" s="249" t="inlineStr">
        <is>
          <t>元大期貨</t>
        </is>
      </c>
    </row>
    <row r="84" hidden="1" outlineLevel="2" ht="17.25" customHeight="1" thickBot="1">
      <c r="A84" s="696" t="n">
        <v>45524</v>
      </c>
      <c r="B84" s="234" t="inlineStr">
        <is>
          <t>TXO</t>
        </is>
      </c>
      <c r="C84" s="229" t="inlineStr">
        <is>
          <t>台指 C 08 22600 C</t>
        </is>
      </c>
      <c r="D84" s="229" t="inlineStr">
        <is>
          <t>新倉</t>
        </is>
      </c>
      <c r="E84" s="257" t="inlineStr">
        <is>
          <t>買</t>
        </is>
      </c>
      <c r="F84" s="229" t="inlineStr">
        <is>
          <t>-</t>
        </is>
      </c>
      <c r="G84" s="697" t="n">
        <v>1</v>
      </c>
      <c r="H84" s="698" t="n">
        <v>30</v>
      </c>
      <c r="I84" s="697" t="n">
        <v>-1500</v>
      </c>
      <c r="J84" s="585" t="n">
        <v>18</v>
      </c>
      <c r="K84" s="585" t="n">
        <v>2</v>
      </c>
      <c r="L84" s="585">
        <f>IF(B84="TXO",I84-SUM(J84:K84),IF(B84="FITX",IF(D84="新倉",-SUM(J84:K84),IF(E84="賣",(H84-H83)*G84*200-SUM(J84:K84),(H83-H84)*G84*200-SUM(J84:K84))),IF(D84="新倉",-SUM(J84:K84),IF(E84="賣",(H84-H83)*G84*50-SUM(J84:K84),(H83-H84)*G84*50-SUM(J84:K84)))))</f>
        <v/>
      </c>
      <c r="M84" s="699">
        <f>L84</f>
        <v/>
      </c>
      <c r="N84" s="686">
        <f>M84</f>
        <v/>
      </c>
      <c r="O84" s="261" t="inlineStr">
        <is>
          <t>放棄</t>
        </is>
      </c>
      <c r="P84" s="249" t="inlineStr">
        <is>
          <t>元大期貨</t>
        </is>
      </c>
    </row>
    <row r="85" outlineLevel="1" collapsed="1" ht="17.25" customHeight="1" thickBot="1">
      <c r="A85" s="273" t="inlineStr">
        <is>
          <t>8月總計</t>
        </is>
      </c>
      <c r="B85" s="274" t="n"/>
      <c r="C85" s="274" t="n"/>
      <c r="D85" s="274" t="n"/>
      <c r="E85" s="274" t="n"/>
      <c r="F85" s="274" t="n"/>
      <c r="G85" s="715" t="n"/>
      <c r="H85" s="715" t="n"/>
      <c r="I85" s="715" t="n"/>
      <c r="J85" s="716" t="n"/>
      <c r="K85" s="715" t="n"/>
      <c r="L85" s="717">
        <f>SUM(L72:L84)</f>
        <v/>
      </c>
      <c r="M85" s="717">
        <f>SUM(M72:M84)</f>
        <v/>
      </c>
      <c r="N85" s="666" t="n"/>
    </row>
    <row r="86" hidden="1" outlineLevel="2">
      <c r="A86" s="696" t="n">
        <v>45544</v>
      </c>
      <c r="B86" s="234" t="inlineStr">
        <is>
          <t>TXO</t>
        </is>
      </c>
      <c r="C86" s="229" t="inlineStr">
        <is>
          <t>週W2 P 09 20700 P</t>
        </is>
      </c>
      <c r="D86" s="229" t="inlineStr">
        <is>
          <t>新倉</t>
        </is>
      </c>
      <c r="E86" s="257" t="inlineStr">
        <is>
          <t>買</t>
        </is>
      </c>
      <c r="F86" s="229" t="inlineStr">
        <is>
          <t>-</t>
        </is>
      </c>
      <c r="G86" s="697" t="n">
        <v>1</v>
      </c>
      <c r="H86" s="698" t="n">
        <v>163</v>
      </c>
      <c r="I86" s="697" t="n">
        <v>-8150</v>
      </c>
      <c r="J86" s="585" t="n">
        <v>18</v>
      </c>
      <c r="K86" s="585" t="n">
        <v>8</v>
      </c>
      <c r="L86" s="585">
        <f>IF(B86="TXO",I86-SUM(J86:K86),IF(B86="FITX",IF(D86="新倉",-SUM(J86:K86),IF(E86="賣",(H86-H85)*G86*200-SUM(J86:K86),(H85-H86)*G86*200-SUM(J86:K86))),IF(D86="新倉",-SUM(J86:K86),IF(E86="賣",(H86-H85)*G86*50-SUM(J86:K86),(H85-H86)*G86*50-SUM(J86:K86)))))</f>
        <v/>
      </c>
      <c r="M86" s="699">
        <f>L86</f>
        <v/>
      </c>
      <c r="N86" s="686">
        <f>M86</f>
        <v/>
      </c>
      <c r="O86" s="261" t="inlineStr">
        <is>
          <t>放棄</t>
        </is>
      </c>
      <c r="P86" s="249" t="inlineStr">
        <is>
          <t>元大期貨</t>
        </is>
      </c>
    </row>
    <row r="87" hidden="1" outlineLevel="2">
      <c r="A87" s="696" t="n">
        <v>45545</v>
      </c>
      <c r="B87" s="234" t="inlineStr">
        <is>
          <t>TXO</t>
        </is>
      </c>
      <c r="C87" s="229" t="inlineStr">
        <is>
          <t>週W2 P 09 20850 P</t>
        </is>
      </c>
      <c r="D87" s="229" t="inlineStr">
        <is>
          <t>新倉</t>
        </is>
      </c>
      <c r="E87" s="257" t="inlineStr">
        <is>
          <t>買</t>
        </is>
      </c>
      <c r="F87" s="229" t="inlineStr">
        <is>
          <t>-</t>
        </is>
      </c>
      <c r="G87" s="697" t="n">
        <v>1</v>
      </c>
      <c r="H87" s="698" t="n">
        <v>76</v>
      </c>
      <c r="I87" s="697" t="n">
        <v>-3800</v>
      </c>
      <c r="J87" s="585" t="n">
        <v>18</v>
      </c>
      <c r="K87" s="585" t="n">
        <v>4</v>
      </c>
      <c r="L87" s="585">
        <f>IF(B87="TXO",I87-SUM(J87:K87),IF(B87="FITX",IF(D87="新倉",-SUM(J87:K87),IF(E87="賣",(H87-H86)*G87*200-SUM(J87:K87),(H86-H87)*G87*200-SUM(J87:K87))),IF(D87="新倉",-SUM(J87:K87),IF(E87="賣",(H87-H86)*G87*50-SUM(J87:K87),(H86-H87)*G87*50-SUM(J87:K87)))))</f>
        <v/>
      </c>
      <c r="M87" s="699">
        <f>L87</f>
        <v/>
      </c>
      <c r="N87" s="686">
        <f>M87</f>
        <v/>
      </c>
      <c r="O87" s="261" t="inlineStr">
        <is>
          <t>放棄</t>
        </is>
      </c>
      <c r="P87" s="249" t="inlineStr">
        <is>
          <t>元大期貨</t>
        </is>
      </c>
    </row>
    <row r="88" outlineLevel="1" collapsed="1" ht="17.25" customHeight="1" thickBot="1">
      <c r="A88" s="691" t="n">
        <v>45545</v>
      </c>
      <c r="B88" s="251" t="n"/>
      <c r="C88" s="252" t="inlineStr">
        <is>
          <t>入金</t>
        </is>
      </c>
      <c r="D88" s="252" t="n"/>
      <c r="E88" s="252" t="n"/>
      <c r="F88" s="252" t="n"/>
      <c r="G88" s="692" t="n"/>
      <c r="H88" s="692" t="n"/>
      <c r="I88" s="692" t="n"/>
      <c r="J88" s="693" t="n"/>
      <c r="K88" s="693" t="n"/>
      <c r="L88" s="693" t="n">
        <v>30000</v>
      </c>
      <c r="M88" s="694">
        <f>L88</f>
        <v/>
      </c>
    </row>
    <row r="89" hidden="1" outlineLevel="2">
      <c r="A89" s="696" t="n">
        <v>45548</v>
      </c>
      <c r="B89" s="234" t="inlineStr">
        <is>
          <t>TXO</t>
        </is>
      </c>
      <c r="C89" s="229" t="inlineStr">
        <is>
          <t>台指選 09 21500 P</t>
        </is>
      </c>
      <c r="D89" s="229" t="inlineStr">
        <is>
          <t>新倉</t>
        </is>
      </c>
      <c r="E89" s="257" t="inlineStr">
        <is>
          <t>買</t>
        </is>
      </c>
      <c r="F89" s="229" t="inlineStr">
        <is>
          <t>-</t>
        </is>
      </c>
      <c r="G89" s="697" t="n">
        <v>1</v>
      </c>
      <c r="H89" s="698" t="n">
        <v>109</v>
      </c>
      <c r="I89" s="697" t="n">
        <v>-5450</v>
      </c>
      <c r="J89" s="585" t="n">
        <v>18</v>
      </c>
      <c r="K89" s="585" t="n">
        <v>5</v>
      </c>
      <c r="L89" s="585">
        <f>IF(B89="TXO",I89-SUM(J89:K89),IF(B89="FITX",IF(D89="新倉",-SUM(J89:K89),IF(E89="賣",(H89-H88)*G89*200-SUM(J89:K89),(H88-H89)*G89*200-SUM(J89:K89))),IF(D89="新倉",-SUM(J89:K89),IF(E89="賣",(H89-H88)*G89*50-SUM(J89:K89),(H88-H89)*G89*50-SUM(J89:K89)))))</f>
        <v/>
      </c>
      <c r="M89" s="699">
        <f>L89</f>
        <v/>
      </c>
      <c r="N89" s="686">
        <f>M89</f>
        <v/>
      </c>
      <c r="O89" s="261" t="inlineStr">
        <is>
          <t>放棄</t>
        </is>
      </c>
      <c r="P89" s="249" t="inlineStr">
        <is>
          <t>元大期貨</t>
        </is>
      </c>
    </row>
    <row r="90" hidden="1" outlineLevel="2">
      <c r="A90" s="696" t="n">
        <v>45551</v>
      </c>
      <c r="B90" s="234" t="inlineStr">
        <is>
          <t>TXO</t>
        </is>
      </c>
      <c r="C90" s="229" t="inlineStr">
        <is>
          <t>台指選 09 22000 C</t>
        </is>
      </c>
      <c r="D90" s="229" t="inlineStr">
        <is>
          <t>新倉</t>
        </is>
      </c>
      <c r="E90" s="257" t="inlineStr">
        <is>
          <t>買</t>
        </is>
      </c>
      <c r="F90" s="229" t="inlineStr">
        <is>
          <t>-</t>
        </is>
      </c>
      <c r="G90" s="697" t="n">
        <v>1</v>
      </c>
      <c r="H90" s="698" t="n">
        <v>58</v>
      </c>
      <c r="I90" s="697" t="n">
        <v>-2900</v>
      </c>
      <c r="J90" s="585" t="n">
        <v>18</v>
      </c>
      <c r="K90" s="585" t="n">
        <v>3</v>
      </c>
      <c r="L90" s="585">
        <f>IF(B90="TXO",I90-SUM(J90:K90),IF(B90="FITX",IF(D90="新倉",-SUM(J90:K90),IF(E90="賣",(H90-H89)*G90*200-SUM(J90:K90),(H89-H90)*G90*200-SUM(J90:K90))),IF(D90="新倉",-SUM(J90:K90),IF(E90="賣",(H90-H89)*G90*50-SUM(J90:K90),(H89-H90)*G90*50-SUM(J90:K90)))))</f>
        <v/>
      </c>
      <c r="M90" s="699">
        <f>L90</f>
        <v/>
      </c>
      <c r="N90" s="686">
        <f>M90</f>
        <v/>
      </c>
      <c r="O90" s="261" t="inlineStr">
        <is>
          <t>放棄</t>
        </is>
      </c>
      <c r="P90" s="249" t="inlineStr">
        <is>
          <t>元大期貨</t>
        </is>
      </c>
    </row>
    <row r="91" hidden="1" outlineLevel="2">
      <c r="A91" s="696" t="n">
        <v>45555</v>
      </c>
      <c r="B91" s="234" t="inlineStr">
        <is>
          <t>TXO</t>
        </is>
      </c>
      <c r="C91" s="229" t="inlineStr">
        <is>
          <t>週W4 P 09 22000 P</t>
        </is>
      </c>
      <c r="D91" s="229" t="inlineStr">
        <is>
          <t>新倉</t>
        </is>
      </c>
      <c r="E91" s="257" t="inlineStr">
        <is>
          <t>買</t>
        </is>
      </c>
      <c r="F91" s="229" t="inlineStr">
        <is>
          <t>-</t>
        </is>
      </c>
      <c r="G91" s="697" t="n">
        <v>1</v>
      </c>
      <c r="H91" s="698" t="n">
        <v>100</v>
      </c>
      <c r="I91" s="697" t="n">
        <v>-5000</v>
      </c>
      <c r="J91" s="585" t="n">
        <v>18</v>
      </c>
      <c r="K91" s="585" t="n">
        <v>5</v>
      </c>
      <c r="L91" s="585">
        <f>IF(B91="TXO",I91-SUM(J91:K91),IF(B91="FITX",IF(D91="新倉",-SUM(J91:K91),IF(E91="賣",(H91-H90)*G91*200-SUM(J91:K91),(H90-H91)*G91*200-SUM(J91:K91))),IF(D91="新倉",-SUM(J91:K91),IF(E91="賣",(H91-H90)*G91*50-SUM(J91:K91),(H90-H91)*G91*50-SUM(J91:K91)))))</f>
        <v/>
      </c>
      <c r="M91" s="699">
        <f>L91</f>
        <v/>
      </c>
      <c r="N91" s="686">
        <f>M91</f>
        <v/>
      </c>
      <c r="O91" s="261" t="inlineStr">
        <is>
          <t>放棄</t>
        </is>
      </c>
      <c r="P91" s="249" t="inlineStr">
        <is>
          <t>元大期貨</t>
        </is>
      </c>
    </row>
    <row r="92" hidden="1" outlineLevel="2">
      <c r="A92" s="696" t="n">
        <v>45560</v>
      </c>
      <c r="B92" s="234" t="inlineStr">
        <is>
          <t>TXO</t>
        </is>
      </c>
      <c r="C92" s="229" t="inlineStr">
        <is>
          <t>週W4 P 09 22600 P</t>
        </is>
      </c>
      <c r="D92" s="229" t="inlineStr">
        <is>
          <t>新倉</t>
        </is>
      </c>
      <c r="E92" s="257" t="inlineStr">
        <is>
          <t>買</t>
        </is>
      </c>
      <c r="F92" s="229" t="inlineStr">
        <is>
          <t>-</t>
        </is>
      </c>
      <c r="G92" s="697" t="n">
        <v>1</v>
      </c>
      <c r="H92" s="698" t="n">
        <v>19</v>
      </c>
      <c r="I92" s="697" t="n">
        <v>-950</v>
      </c>
      <c r="J92" s="585" t="n">
        <v>18</v>
      </c>
      <c r="K92" s="585" t="n">
        <v>1</v>
      </c>
      <c r="L92" s="585">
        <f>IF(B92="TXO",I92-SUM(J92:K92),IF(B92="FITX",IF(D92="新倉",-SUM(J92:K92),IF(E92="賣",(H92-H91)*G92*200-SUM(J92:K92),(H91-H92)*G92*200-SUM(J92:K92))),IF(D92="新倉",-SUM(J92:K92),IF(E92="賣",(H92-H91)*G92*50-SUM(J92:K92),(H91-H92)*G92*50-SUM(J92:K92)))))</f>
        <v/>
      </c>
      <c r="M92" s="699">
        <f>L92</f>
        <v/>
      </c>
      <c r="N92" s="686">
        <f>M92</f>
        <v/>
      </c>
      <c r="O92" s="261" t="inlineStr">
        <is>
          <t>放棄</t>
        </is>
      </c>
      <c r="P92" s="249" t="inlineStr">
        <is>
          <t>元大期貨</t>
        </is>
      </c>
    </row>
    <row r="93" hidden="1" outlineLevel="2">
      <c r="A93" s="696" t="n">
        <v>45562</v>
      </c>
      <c r="B93" s="234" t="inlineStr">
        <is>
          <t>TXO</t>
        </is>
      </c>
      <c r="C93" s="229" t="inlineStr">
        <is>
          <t>TXOW1 10 23400 C</t>
        </is>
      </c>
      <c r="D93" s="229" t="inlineStr">
        <is>
          <t>新倉</t>
        </is>
      </c>
      <c r="E93" s="257" t="inlineStr">
        <is>
          <t>買</t>
        </is>
      </c>
      <c r="F93" s="229" t="inlineStr">
        <is>
          <t>-</t>
        </is>
      </c>
      <c r="G93" s="697" t="n">
        <v>1</v>
      </c>
      <c r="H93" s="698" t="n">
        <v>80</v>
      </c>
      <c r="I93" s="697" t="n">
        <v>-4000</v>
      </c>
      <c r="J93" s="585" t="n">
        <v>18</v>
      </c>
      <c r="K93" s="585" t="n">
        <v>4</v>
      </c>
      <c r="L93" s="585">
        <f>IF(B93="TXO",I93-SUM(J93:K93),IF(B93="FITX",IF(D93="新倉",-SUM(J93:K93),IF(E93="賣",(H93-H92)*G93*200-SUM(J93:K93),(H92-H93)*G93*200-SUM(J93:K93))),IF(D93="新倉",-SUM(J93:K93),IF(E93="賣",(H93-H92)*G93*50-SUM(J93:K93),(H92-H93)*G93*50-SUM(J93:K93)))))</f>
        <v/>
      </c>
      <c r="M93" s="699">
        <f>L93</f>
        <v/>
      </c>
      <c r="O93" s="249" t="inlineStr">
        <is>
          <t>新倉</t>
        </is>
      </c>
      <c r="P93" s="249" t="inlineStr">
        <is>
          <t>元大期貨</t>
        </is>
      </c>
    </row>
    <row r="94" hidden="1" outlineLevel="2">
      <c r="A94" s="696" t="n">
        <v>45565</v>
      </c>
      <c r="B94" s="234" t="inlineStr">
        <is>
          <t>TXO</t>
        </is>
      </c>
      <c r="C94" s="229" t="inlineStr">
        <is>
          <t>TXOW1 10 22850 C</t>
        </is>
      </c>
      <c r="D94" s="229" t="inlineStr">
        <is>
          <t>新倉</t>
        </is>
      </c>
      <c r="E94" s="257" t="inlineStr">
        <is>
          <t>買</t>
        </is>
      </c>
      <c r="F94" s="229" t="inlineStr">
        <is>
          <t>-</t>
        </is>
      </c>
      <c r="G94" s="697" t="n">
        <v>1</v>
      </c>
      <c r="H94" s="698" t="n">
        <v>32</v>
      </c>
      <c r="I94" s="697" t="n">
        <v>-1600</v>
      </c>
      <c r="J94" s="585" t="n">
        <v>18</v>
      </c>
      <c r="K94" s="585" t="n">
        <v>2</v>
      </c>
      <c r="L94" s="585">
        <f>IF(B94="TXO",I94-SUM(J94:K94),IF(B94="FITX",IF(D94="新倉",-SUM(J94:K94),IF(E94="賣",(H94-H93)*G94*200-SUM(J94:K94),(H93-H94)*G94*200-SUM(J94:K94))),IF(D94="新倉",-SUM(J94:K94),IF(E94="賣",(H94-H93)*G94*50-SUM(J94:K94),(H93-H94)*G94*50-SUM(J94:K94)))))</f>
        <v/>
      </c>
      <c r="M94" s="699">
        <f>L94</f>
        <v/>
      </c>
      <c r="O94" s="249" t="inlineStr">
        <is>
          <t>新倉</t>
        </is>
      </c>
      <c r="P94" s="249" t="inlineStr">
        <is>
          <t>元大期貨</t>
        </is>
      </c>
    </row>
    <row r="95" hidden="1" outlineLevel="2" ht="17.25" customHeight="1" thickBot="1">
      <c r="A95" s="696" t="n">
        <v>45565</v>
      </c>
      <c r="B95" s="234" t="inlineStr">
        <is>
          <t>TXO</t>
        </is>
      </c>
      <c r="C95" s="229" t="inlineStr">
        <is>
          <t>TXOW1 10 22200 P</t>
        </is>
      </c>
      <c r="D95" s="229" t="inlineStr">
        <is>
          <t>新倉</t>
        </is>
      </c>
      <c r="E95" s="257" t="inlineStr">
        <is>
          <t>賣</t>
        </is>
      </c>
      <c r="F95" s="229" t="inlineStr">
        <is>
          <t>-</t>
        </is>
      </c>
      <c r="G95" s="697" t="n">
        <v>1</v>
      </c>
      <c r="H95" s="698" t="n">
        <v>95</v>
      </c>
      <c r="I95" s="697" t="n">
        <v>4750</v>
      </c>
      <c r="J95" s="585" t="n">
        <v>18</v>
      </c>
      <c r="K95" s="585" t="n">
        <v>5</v>
      </c>
      <c r="L95" s="585">
        <f>IF(B95="TXO",I95-SUM(J95:K95),IF(B95="FITX",IF(D95="新倉",-SUM(J95:K95),IF(E95="賣",(H95-H94)*G95*200-SUM(J95:K95),(H94-H95)*G95*200-SUM(J95:K95))),IF(D95="新倉",-SUM(J95:K95),IF(E95="賣",(H95-H94)*G95*50-SUM(J95:K95),(H94-H95)*G95*50-SUM(J95:K95)))))</f>
        <v/>
      </c>
      <c r="M95" s="699">
        <f>L95</f>
        <v/>
      </c>
      <c r="N95" s="686">
        <f>SUM(M93,M95)</f>
        <v/>
      </c>
      <c r="O95" s="249" t="inlineStr">
        <is>
          <t>新倉</t>
        </is>
      </c>
      <c r="P95" s="249" t="inlineStr">
        <is>
          <t>元大期貨</t>
        </is>
      </c>
    </row>
    <row r="96" outlineLevel="1" collapsed="1" ht="17.25" customHeight="1" thickBot="1">
      <c r="A96" s="273" t="inlineStr">
        <is>
          <t>9月總計</t>
        </is>
      </c>
      <c r="B96" s="274" t="n"/>
      <c r="C96" s="274" t="n"/>
      <c r="D96" s="274" t="n"/>
      <c r="E96" s="274" t="n"/>
      <c r="F96" s="274" t="n"/>
      <c r="G96" s="715" t="n"/>
      <c r="H96" s="715" t="n"/>
      <c r="I96" s="715" t="n"/>
      <c r="J96" s="716" t="n"/>
      <c r="K96" s="715" t="n"/>
      <c r="L96" s="717">
        <f>SUM(L86:L87,L89:L95)</f>
        <v/>
      </c>
      <c r="M96" s="717">
        <f>SUM(M86:M87,M89:M95)</f>
        <v/>
      </c>
      <c r="N96" s="666" t="n"/>
    </row>
    <row r="97" hidden="1" outlineLevel="2">
      <c r="A97" s="696" t="n">
        <v>45567</v>
      </c>
      <c r="B97" s="234" t="inlineStr">
        <is>
          <t>TXO</t>
        </is>
      </c>
      <c r="C97" s="229" t="inlineStr">
        <is>
          <t>TXOW1 10 22200 P</t>
        </is>
      </c>
      <c r="D97" s="229" t="inlineStr">
        <is>
          <t>平倉</t>
        </is>
      </c>
      <c r="E97" s="257" t="inlineStr">
        <is>
          <t>買</t>
        </is>
      </c>
      <c r="F97" s="229" t="inlineStr">
        <is>
          <t>-</t>
        </is>
      </c>
      <c r="G97" s="697" t="n">
        <v>1</v>
      </c>
      <c r="H97" s="698" t="n">
        <v>290</v>
      </c>
      <c r="I97" s="697" t="n">
        <v>-14500</v>
      </c>
      <c r="J97" s="585" t="n">
        <v>18</v>
      </c>
      <c r="K97" s="585" t="n">
        <v>15</v>
      </c>
      <c r="L97" s="585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/>
      </c>
      <c r="M97" s="699">
        <f>L97</f>
        <v/>
      </c>
      <c r="N97" s="686">
        <f>SUM(M94,M97)</f>
        <v/>
      </c>
      <c r="O97" s="249" t="inlineStr">
        <is>
          <t>平倉</t>
        </is>
      </c>
      <c r="P97" s="249" t="inlineStr">
        <is>
          <t>元大期貨</t>
        </is>
      </c>
    </row>
    <row r="98" hidden="1" outlineLevel="2">
      <c r="A98" s="696" t="n">
        <v>45565</v>
      </c>
      <c r="B98" s="234" t="inlineStr">
        <is>
          <t>TXO</t>
        </is>
      </c>
      <c r="C98" s="229" t="inlineStr">
        <is>
          <t>TXOW1 10 22300 P</t>
        </is>
      </c>
      <c r="D98" s="229" t="inlineStr">
        <is>
          <t>新倉</t>
        </is>
      </c>
      <c r="E98" s="257" t="inlineStr">
        <is>
          <t>買</t>
        </is>
      </c>
      <c r="F98" s="229" t="inlineStr">
        <is>
          <t>-</t>
        </is>
      </c>
      <c r="G98" s="697" t="n">
        <v>1</v>
      </c>
      <c r="H98" s="698" t="n">
        <v>123</v>
      </c>
      <c r="I98" s="697" t="n">
        <v>-6150</v>
      </c>
      <c r="J98" s="585" t="n">
        <v>18</v>
      </c>
      <c r="K98" s="585" t="n">
        <v>6</v>
      </c>
      <c r="L98" s="585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/>
      </c>
      <c r="M98" s="699">
        <f>L98</f>
        <v/>
      </c>
      <c r="N98" s="686">
        <f>SUM(M95,M98)</f>
        <v/>
      </c>
      <c r="O98" s="249" t="inlineStr">
        <is>
          <t>新倉</t>
        </is>
      </c>
      <c r="P98" s="249" t="inlineStr">
        <is>
          <t>元大期貨</t>
        </is>
      </c>
    </row>
    <row r="99" hidden="1" outlineLevel="2">
      <c r="A99" s="696" t="n">
        <v>45567</v>
      </c>
      <c r="B99" s="234" t="inlineStr">
        <is>
          <t>TXO</t>
        </is>
      </c>
      <c r="C99" s="229" t="inlineStr">
        <is>
          <t>TXOW1 10 22300 P</t>
        </is>
      </c>
      <c r="D99" s="229" t="inlineStr">
        <is>
          <t>平倉</t>
        </is>
      </c>
      <c r="E99" s="257" t="inlineStr">
        <is>
          <t>賣</t>
        </is>
      </c>
      <c r="F99" s="229" t="inlineStr">
        <is>
          <t>-</t>
        </is>
      </c>
      <c r="G99" s="697" t="n">
        <v>1</v>
      </c>
      <c r="H99" s="698" t="n">
        <v>332</v>
      </c>
      <c r="I99" s="697" t="n">
        <v>16600</v>
      </c>
      <c r="J99" s="585" t="n">
        <v>18</v>
      </c>
      <c r="K99" s="585" t="n">
        <v>17</v>
      </c>
      <c r="L99" s="585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/>
      </c>
      <c r="M99" s="699">
        <f>L99</f>
        <v/>
      </c>
      <c r="N99" s="686">
        <f>SUM(M97,M99)</f>
        <v/>
      </c>
      <c r="O99" s="249" t="inlineStr">
        <is>
          <t>平倉</t>
        </is>
      </c>
      <c r="P99" s="249" t="inlineStr">
        <is>
          <t>元大期貨</t>
        </is>
      </c>
    </row>
    <row r="100" hidden="1" outlineLevel="2">
      <c r="A100" s="696" t="n">
        <v>45566</v>
      </c>
      <c r="B100" s="234" t="inlineStr">
        <is>
          <t>TXO</t>
        </is>
      </c>
      <c r="C100" s="229" t="inlineStr">
        <is>
          <t>TXOW1 10 22000 P</t>
        </is>
      </c>
      <c r="D100" s="229" t="inlineStr">
        <is>
          <t>新倉</t>
        </is>
      </c>
      <c r="E100" s="257" t="inlineStr">
        <is>
          <t>買</t>
        </is>
      </c>
      <c r="F100" s="229" t="inlineStr">
        <is>
          <t>-</t>
        </is>
      </c>
      <c r="G100" s="697" t="n">
        <v>1</v>
      </c>
      <c r="H100" s="698" t="n">
        <v>35</v>
      </c>
      <c r="I100" s="697" t="n">
        <v>-1750</v>
      </c>
      <c r="J100" s="585" t="n">
        <v>18</v>
      </c>
      <c r="K100" s="585" t="n">
        <v>2</v>
      </c>
      <c r="L100" s="585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/>
      </c>
      <c r="M100" s="699">
        <f>L100</f>
        <v/>
      </c>
      <c r="N100" s="686">
        <f>M100</f>
        <v/>
      </c>
      <c r="O100" s="249" t="inlineStr">
        <is>
          <t>新倉</t>
        </is>
      </c>
      <c r="P100" s="249" t="inlineStr">
        <is>
          <t>元大期貨</t>
        </is>
      </c>
    </row>
    <row r="101" hidden="1" outlineLevel="2">
      <c r="A101" s="696" t="n">
        <v>45567</v>
      </c>
      <c r="B101" s="234" t="inlineStr">
        <is>
          <t>TXO</t>
        </is>
      </c>
      <c r="C101" s="229" t="inlineStr">
        <is>
          <t>TXOW1 10 22000 P</t>
        </is>
      </c>
      <c r="D101" s="229" t="inlineStr">
        <is>
          <t>平倉</t>
        </is>
      </c>
      <c r="E101" s="257" t="inlineStr">
        <is>
          <t>賣</t>
        </is>
      </c>
      <c r="F101" s="229" t="inlineStr">
        <is>
          <t>-</t>
        </is>
      </c>
      <c r="G101" s="697" t="n">
        <v>1</v>
      </c>
      <c r="H101" s="698" t="n">
        <v>184</v>
      </c>
      <c r="I101" s="697" t="n">
        <v>9200</v>
      </c>
      <c r="J101" s="585" t="n">
        <v>18</v>
      </c>
      <c r="K101" s="585" t="n">
        <v>9</v>
      </c>
      <c r="L101" s="585">
        <f>IF(B101="TXO",I101-SUM(J101:K101),IF(B101="FITX",IF(D101="新倉",-SUM(J101:K101),IF(E101="賣",(H101-H100)*G101*200-SUM(J101:K101),(H100-H101)*G101*200-SUM(J101:K101))),IF(D101="新倉",-SUM(J101:K101),IF(E101="賣",(H101-H100)*G101*50-SUM(J101:K101),(H100-H101)*G101*50-SUM(J101:K101)))))</f>
        <v/>
      </c>
      <c r="M101" s="699">
        <f>L101</f>
        <v/>
      </c>
      <c r="N101" s="686">
        <f>M101</f>
        <v/>
      </c>
      <c r="O101" s="249" t="inlineStr">
        <is>
          <t>平倉</t>
        </is>
      </c>
      <c r="P101" s="249" t="inlineStr">
        <is>
          <t>元大期貨</t>
        </is>
      </c>
    </row>
    <row r="102" hidden="1" outlineLevel="2">
      <c r="A102" s="696" t="n">
        <v>45567</v>
      </c>
      <c r="B102" s="234" t="inlineStr">
        <is>
          <t>TXO</t>
        </is>
      </c>
      <c r="C102" s="229" t="inlineStr">
        <is>
          <t>TXOW1 10 21700 P</t>
        </is>
      </c>
      <c r="D102" s="229" t="inlineStr">
        <is>
          <t>新倉</t>
        </is>
      </c>
      <c r="E102" s="257" t="inlineStr">
        <is>
          <t>買</t>
        </is>
      </c>
      <c r="F102" s="229" t="inlineStr">
        <is>
          <t>-</t>
        </is>
      </c>
      <c r="G102" s="697" t="n">
        <v>1</v>
      </c>
      <c r="H102" s="698" t="n">
        <v>110</v>
      </c>
      <c r="I102" s="697" t="n">
        <v>-5500</v>
      </c>
      <c r="J102" s="585" t="n">
        <v>18</v>
      </c>
      <c r="K102" s="585" t="n">
        <v>6</v>
      </c>
      <c r="L102" s="585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/>
      </c>
      <c r="M102" s="699">
        <f>L102</f>
        <v/>
      </c>
      <c r="N102" s="686">
        <f>M102</f>
        <v/>
      </c>
      <c r="O102" s="261" t="inlineStr">
        <is>
          <t>放棄</t>
        </is>
      </c>
      <c r="P102" s="249" t="inlineStr">
        <is>
          <t>元大期貨</t>
        </is>
      </c>
    </row>
    <row r="103" hidden="1" outlineLevel="2">
      <c r="A103" s="696" t="n">
        <v>45572</v>
      </c>
      <c r="B103" s="234" t="inlineStr">
        <is>
          <t>TXO</t>
        </is>
      </c>
      <c r="C103" s="229" t="inlineStr">
        <is>
          <t>週W2 P 10 22200 P</t>
        </is>
      </c>
      <c r="D103" s="229" t="inlineStr">
        <is>
          <t>新倉</t>
        </is>
      </c>
      <c r="E103" s="257" t="inlineStr">
        <is>
          <t>買</t>
        </is>
      </c>
      <c r="F103" s="229" t="inlineStr">
        <is>
          <t>-</t>
        </is>
      </c>
      <c r="G103" s="697" t="n">
        <v>1</v>
      </c>
      <c r="H103" s="698" t="n">
        <v>60</v>
      </c>
      <c r="I103" s="697" t="n">
        <v>-3000</v>
      </c>
      <c r="J103" s="585" t="n">
        <v>18</v>
      </c>
      <c r="K103" s="585" t="n">
        <v>3</v>
      </c>
      <c r="L103" s="585">
        <f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/>
      </c>
      <c r="M103" s="699">
        <f>L103</f>
        <v/>
      </c>
      <c r="N103" s="686">
        <f>M103</f>
        <v/>
      </c>
      <c r="O103" s="261" t="inlineStr">
        <is>
          <t>放棄</t>
        </is>
      </c>
      <c r="P103" s="249" t="inlineStr">
        <is>
          <t>元大期貨</t>
        </is>
      </c>
    </row>
    <row r="104" hidden="1" outlineLevel="2">
      <c r="A104" s="696" t="n">
        <v>45573</v>
      </c>
      <c r="B104" s="234" t="inlineStr">
        <is>
          <t>TXO</t>
        </is>
      </c>
      <c r="C104" s="229" t="inlineStr">
        <is>
          <t>週W2 C 10 23000 C</t>
        </is>
      </c>
      <c r="D104" s="229" t="inlineStr">
        <is>
          <t>新倉</t>
        </is>
      </c>
      <c r="E104" s="257" t="inlineStr">
        <is>
          <t>買</t>
        </is>
      </c>
      <c r="F104" s="229" t="inlineStr">
        <is>
          <t>-</t>
        </is>
      </c>
      <c r="G104" s="697" t="n">
        <v>1</v>
      </c>
      <c r="H104" s="698" t="n">
        <v>33</v>
      </c>
      <c r="I104" s="697" t="n">
        <v>-1650</v>
      </c>
      <c r="J104" s="585" t="n">
        <v>18</v>
      </c>
      <c r="K104" s="585" t="n">
        <v>2</v>
      </c>
      <c r="L104" s="585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/>
      </c>
      <c r="M104" s="699">
        <f>L104</f>
        <v/>
      </c>
      <c r="N104" s="686">
        <f>M104</f>
        <v/>
      </c>
      <c r="O104" s="261" t="inlineStr">
        <is>
          <t>放棄</t>
        </is>
      </c>
      <c r="P104" s="249" t="inlineStr">
        <is>
          <t>元大期貨</t>
        </is>
      </c>
    </row>
    <row r="105" hidden="1" outlineLevel="2">
      <c r="A105" s="696" t="n">
        <v>45573</v>
      </c>
      <c r="B105" s="234" t="inlineStr">
        <is>
          <t>TXO</t>
        </is>
      </c>
      <c r="C105" s="229" t="inlineStr">
        <is>
          <t>週W2 C 10 23000 C</t>
        </is>
      </c>
      <c r="D105" s="229" t="inlineStr">
        <is>
          <t>新倉</t>
        </is>
      </c>
      <c r="E105" s="257" t="inlineStr">
        <is>
          <t>買</t>
        </is>
      </c>
      <c r="F105" s="229" t="inlineStr">
        <is>
          <t>-</t>
        </is>
      </c>
      <c r="G105" s="697" t="n">
        <v>1</v>
      </c>
      <c r="H105" s="698" t="n">
        <v>35</v>
      </c>
      <c r="I105" s="697" t="n">
        <v>-1750</v>
      </c>
      <c r="J105" s="585" t="n">
        <v>18</v>
      </c>
      <c r="K105" s="585" t="n">
        <v>2</v>
      </c>
      <c r="L105" s="585">
        <f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/>
      </c>
      <c r="M105" s="699">
        <f>L105</f>
        <v/>
      </c>
      <c r="N105" s="686">
        <f>M105</f>
        <v/>
      </c>
      <c r="O105" s="261" t="inlineStr">
        <is>
          <t>放棄</t>
        </is>
      </c>
      <c r="P105" s="249" t="inlineStr">
        <is>
          <t>元大期貨</t>
        </is>
      </c>
    </row>
    <row r="106" hidden="1" outlineLevel="2">
      <c r="A106" s="696" t="n">
        <v>45576</v>
      </c>
      <c r="B106" s="234" t="inlineStr">
        <is>
          <t>TXO</t>
        </is>
      </c>
      <c r="C106" s="229" t="inlineStr">
        <is>
          <t>台指選 10 22950 C</t>
        </is>
      </c>
      <c r="D106" s="229" t="inlineStr">
        <is>
          <t>新倉</t>
        </is>
      </c>
      <c r="E106" s="257" t="inlineStr">
        <is>
          <t>買</t>
        </is>
      </c>
      <c r="F106" s="229" t="inlineStr">
        <is>
          <t>-</t>
        </is>
      </c>
      <c r="G106" s="697" t="n">
        <v>1</v>
      </c>
      <c r="H106" s="698" t="n">
        <v>227</v>
      </c>
      <c r="I106" s="697" t="n">
        <v>-11350</v>
      </c>
      <c r="J106" s="585" t="n">
        <v>18</v>
      </c>
      <c r="K106" s="585" t="n">
        <v>11</v>
      </c>
      <c r="L106" s="585">
        <f>IF(B106="TXO",I106-SUM(J106:K106),IF(B106="FITX",IF(D106="新倉",-SUM(J106:K106),IF(E106="賣",(H106-H105)*G106*200-SUM(J106:K106),(H105-H106)*G106*200-SUM(J106:K106))),IF(D106="新倉",-SUM(J106:K106),IF(E106="賣",(H106-H105)*G106*50-SUM(J106:K106),(H105-H106)*G106*50-SUM(J106:K106)))))</f>
        <v/>
      </c>
      <c r="M106" s="699">
        <f>L106</f>
        <v/>
      </c>
      <c r="N106" s="686">
        <f>M106</f>
        <v/>
      </c>
      <c r="O106" s="249" t="inlineStr">
        <is>
          <t>新倉</t>
        </is>
      </c>
      <c r="P106" s="249" t="inlineStr">
        <is>
          <t>元大期貨</t>
        </is>
      </c>
    </row>
    <row r="107" hidden="1" outlineLevel="2">
      <c r="A107" s="696" t="n">
        <v>45580</v>
      </c>
      <c r="B107" s="234" t="inlineStr">
        <is>
          <t>TXO</t>
        </is>
      </c>
      <c r="C107" s="229" t="inlineStr">
        <is>
          <t>台指選 10 22950 C</t>
        </is>
      </c>
      <c r="D107" s="229" t="inlineStr">
        <is>
          <t>平倉</t>
        </is>
      </c>
      <c r="E107" s="257" t="inlineStr">
        <is>
          <t>賣</t>
        </is>
      </c>
      <c r="F107" s="229" t="inlineStr">
        <is>
          <t>-</t>
        </is>
      </c>
      <c r="G107" s="697" t="n">
        <v>1</v>
      </c>
      <c r="H107" s="698" t="n">
        <v>258</v>
      </c>
      <c r="I107" s="697" t="n">
        <v>12900</v>
      </c>
      <c r="J107" s="585" t="n">
        <v>18</v>
      </c>
      <c r="K107" s="585" t="n">
        <v>13</v>
      </c>
      <c r="L107" s="585">
        <f>IF(B107="TXO",I107-SUM(J107:K107),IF(B107="FITX",IF(D107="新倉",-SUM(J107:K107),IF(E107="賣",(H107-H106)*G107*200-SUM(J107:K107),(H106-H107)*G107*200-SUM(J107:K107))),IF(D107="新倉",-SUM(J107:K107),IF(E107="賣",(H107-H106)*G107*50-SUM(J107:K107),(H106-H107)*G107*50-SUM(J107:K107)))))</f>
        <v/>
      </c>
      <c r="M107" s="699">
        <f>L107</f>
        <v/>
      </c>
      <c r="N107" s="686">
        <f>M107</f>
        <v/>
      </c>
      <c r="O107" s="249" t="inlineStr">
        <is>
          <t>平倉</t>
        </is>
      </c>
      <c r="P107" s="249" t="inlineStr">
        <is>
          <t>元大期貨</t>
        </is>
      </c>
    </row>
    <row r="108" hidden="1" outlineLevel="2">
      <c r="A108" s="696" t="n">
        <v>45576</v>
      </c>
      <c r="B108" s="234" t="inlineStr">
        <is>
          <t>TXO</t>
        </is>
      </c>
      <c r="C108" s="229" t="inlineStr">
        <is>
          <t>台指選 10 23050 C</t>
        </is>
      </c>
      <c r="D108" s="229" t="inlineStr">
        <is>
          <t>新倉</t>
        </is>
      </c>
      <c r="E108" s="257" t="inlineStr">
        <is>
          <t>賣</t>
        </is>
      </c>
      <c r="F108" s="229" t="inlineStr">
        <is>
          <t>-</t>
        </is>
      </c>
      <c r="G108" s="697" t="n">
        <v>1</v>
      </c>
      <c r="H108" s="698" t="n">
        <v>172</v>
      </c>
      <c r="I108" s="697" t="n">
        <v>8600</v>
      </c>
      <c r="J108" s="585" t="n">
        <v>18</v>
      </c>
      <c r="K108" s="585" t="n">
        <v>9</v>
      </c>
      <c r="L108" s="585">
        <f>IF(B108="TXO",I108-SUM(J108:K108),IF(B108="FITX",IF(D108="新倉",-SUM(J108:K108),IF(E108="賣",(H108-H107)*G108*200-SUM(J108:K108),(H107-H108)*G108*200-SUM(J108:K108))),IF(D108="新倉",-SUM(J108:K108),IF(E108="賣",(H108-H107)*G108*50-SUM(J108:K108),(H107-H108)*G108*50-SUM(J108:K108)))))</f>
        <v/>
      </c>
      <c r="M108" s="699">
        <f>L108</f>
        <v/>
      </c>
      <c r="N108" s="686">
        <f>M108</f>
        <v/>
      </c>
      <c r="O108" s="249" t="inlineStr">
        <is>
          <t>新倉</t>
        </is>
      </c>
      <c r="P108" s="249" t="inlineStr">
        <is>
          <t>元大期貨</t>
        </is>
      </c>
    </row>
    <row r="109" hidden="1" outlineLevel="2">
      <c r="A109" s="696" t="n">
        <v>45580</v>
      </c>
      <c r="B109" s="234" t="inlineStr">
        <is>
          <t>TXO</t>
        </is>
      </c>
      <c r="C109" s="229" t="inlineStr">
        <is>
          <t>台指選 10 23050 C</t>
        </is>
      </c>
      <c r="D109" s="229" t="inlineStr">
        <is>
          <t>平倉</t>
        </is>
      </c>
      <c r="E109" s="257" t="inlineStr">
        <is>
          <t>買</t>
        </is>
      </c>
      <c r="F109" s="229" t="inlineStr">
        <is>
          <t>-</t>
        </is>
      </c>
      <c r="G109" s="697" t="n">
        <v>1</v>
      </c>
      <c r="H109" s="698" t="n">
        <v>183</v>
      </c>
      <c r="I109" s="697" t="n">
        <v>-9150</v>
      </c>
      <c r="J109" s="585" t="n">
        <v>18</v>
      </c>
      <c r="K109" s="585" t="n">
        <v>9</v>
      </c>
      <c r="L109" s="585">
        <f>IF(B109="TXO",I109-SUM(J109:K109),IF(B109="FITX",IF(D109="新倉",-SUM(J109:K109),IF(E109="賣",(H109-H108)*G109*200-SUM(J109:K109),(H108-H109)*G109*200-SUM(J109:K109))),IF(D109="新倉",-SUM(J109:K109),IF(E109="賣",(H109-H108)*G109*50-SUM(J109:K109),(H108-H109)*G109*50-SUM(J109:K109)))))</f>
        <v/>
      </c>
      <c r="M109" s="699">
        <f>L109</f>
        <v/>
      </c>
      <c r="N109" s="686">
        <f>M109</f>
        <v/>
      </c>
      <c r="O109" s="249" t="inlineStr">
        <is>
          <t>平倉</t>
        </is>
      </c>
      <c r="P109" s="249" t="inlineStr">
        <is>
          <t>元大期貨</t>
        </is>
      </c>
    </row>
    <row r="110" hidden="1" outlineLevel="2">
      <c r="A110" s="696" t="n">
        <v>45581</v>
      </c>
      <c r="B110" s="234" t="inlineStr">
        <is>
          <t>TXO</t>
        </is>
      </c>
      <c r="C110" s="229" t="inlineStr">
        <is>
          <t>台指 C 10 23100 C</t>
        </is>
      </c>
      <c r="D110" s="229" t="inlineStr">
        <is>
          <t>新倉</t>
        </is>
      </c>
      <c r="E110" s="257" t="inlineStr">
        <is>
          <t>買</t>
        </is>
      </c>
      <c r="F110" s="229" t="inlineStr">
        <is>
          <t>-</t>
        </is>
      </c>
      <c r="G110" s="697" t="n">
        <v>1</v>
      </c>
      <c r="H110" s="698" t="n">
        <v>11</v>
      </c>
      <c r="I110" s="697" t="n">
        <v>-550</v>
      </c>
      <c r="J110" s="585" t="n">
        <v>18</v>
      </c>
      <c r="K110" s="585" t="n">
        <v>1</v>
      </c>
      <c r="L110" s="585">
        <f>IF(B110="TXO",I110-SUM(J110:K110),IF(B110="FITX",IF(D110="新倉",-SUM(J110:K110),IF(E110="賣",(H110-H109)*G110*200-SUM(J110:K110),(H109-H110)*G110*200-SUM(J110:K110))),IF(D110="新倉",-SUM(J110:K110),IF(E110="賣",(H110-H109)*G110*50-SUM(J110:K110),(H109-H110)*G110*50-SUM(J110:K110)))))</f>
        <v/>
      </c>
      <c r="M110" s="699">
        <f>L110</f>
        <v/>
      </c>
      <c r="N110" s="686">
        <f>M110</f>
        <v/>
      </c>
      <c r="O110" s="249" t="inlineStr">
        <is>
          <t>新倉</t>
        </is>
      </c>
      <c r="P110" s="249" t="inlineStr">
        <is>
          <t>元大期貨</t>
        </is>
      </c>
    </row>
    <row r="111" hidden="1" outlineLevel="2">
      <c r="A111" s="696" t="n">
        <v>45581</v>
      </c>
      <c r="B111" s="234" t="inlineStr">
        <is>
          <t>TXO</t>
        </is>
      </c>
      <c r="C111" s="229" t="inlineStr">
        <is>
          <t>台指 C 10 23100 C</t>
        </is>
      </c>
      <c r="D111" s="229" t="inlineStr">
        <is>
          <t>平倉</t>
        </is>
      </c>
      <c r="E111" s="257" t="inlineStr">
        <is>
          <t>賣</t>
        </is>
      </c>
      <c r="F111" s="229" t="inlineStr">
        <is>
          <t>-</t>
        </is>
      </c>
      <c r="G111" s="697" t="n">
        <v>1</v>
      </c>
      <c r="H111" s="698" t="n">
        <v>33</v>
      </c>
      <c r="I111" s="697" t="n">
        <v>1650</v>
      </c>
      <c r="J111" s="585" t="n">
        <v>18</v>
      </c>
      <c r="K111" s="585" t="n">
        <v>2</v>
      </c>
      <c r="L111" s="585">
        <f>IF(B111="TXO",I111-SUM(J111:K111),IF(B111="FITX",IF(D111="新倉",-SUM(J111:K111),IF(E111="賣",(H111-H110)*G111*200-SUM(J111:K111),(H110-H111)*G111*200-SUM(J111:K111))),IF(D111="新倉",-SUM(J111:K111),IF(E111="賣",(H111-H110)*G111*50-SUM(J111:K111),(H110-H111)*G111*50-SUM(J111:K111)))))</f>
        <v/>
      </c>
      <c r="M111" s="699">
        <f>L111</f>
        <v/>
      </c>
      <c r="N111" s="686">
        <f>M111</f>
        <v/>
      </c>
      <c r="O111" s="249" t="inlineStr">
        <is>
          <t>平倉</t>
        </is>
      </c>
      <c r="P111" s="249" t="inlineStr">
        <is>
          <t>元大期貨</t>
        </is>
      </c>
    </row>
    <row r="112" hidden="1" outlineLevel="2">
      <c r="A112" s="696" t="n">
        <v>45581</v>
      </c>
      <c r="B112" s="234" t="inlineStr">
        <is>
          <t>TXO</t>
        </is>
      </c>
      <c r="C112" s="229" t="inlineStr">
        <is>
          <t>台指 C 10 23250 C</t>
        </is>
      </c>
      <c r="D112" s="229" t="inlineStr">
        <is>
          <t>新倉</t>
        </is>
      </c>
      <c r="E112" s="257" t="inlineStr">
        <is>
          <t>買</t>
        </is>
      </c>
      <c r="F112" s="229" t="inlineStr">
        <is>
          <t>-</t>
        </is>
      </c>
      <c r="G112" s="697" t="n">
        <v>1</v>
      </c>
      <c r="H112" s="698" t="n">
        <v>10</v>
      </c>
      <c r="I112" s="697" t="n">
        <v>-500</v>
      </c>
      <c r="J112" s="585" t="n">
        <v>18</v>
      </c>
      <c r="K112" s="585" t="n">
        <v>1</v>
      </c>
      <c r="L112" s="585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/>
      </c>
      <c r="M112" s="699">
        <f>L112</f>
        <v/>
      </c>
      <c r="N112" s="686">
        <f>M112</f>
        <v/>
      </c>
      <c r="O112" s="261" t="inlineStr">
        <is>
          <t>放棄</t>
        </is>
      </c>
      <c r="P112" s="249" t="inlineStr">
        <is>
          <t>元大期貨</t>
        </is>
      </c>
    </row>
    <row r="113" hidden="1" outlineLevel="2">
      <c r="A113" s="696" t="n">
        <v>45581</v>
      </c>
      <c r="B113" s="234" t="inlineStr">
        <is>
          <t>TXO</t>
        </is>
      </c>
      <c r="C113" s="229" t="inlineStr">
        <is>
          <t>台指 P 10 23050 P</t>
        </is>
      </c>
      <c r="D113" s="229" t="inlineStr">
        <is>
          <t>新倉</t>
        </is>
      </c>
      <c r="E113" s="257" t="inlineStr">
        <is>
          <t>買</t>
        </is>
      </c>
      <c r="F113" s="229" t="inlineStr">
        <is>
          <t>-</t>
        </is>
      </c>
      <c r="G113" s="697" t="n">
        <v>1</v>
      </c>
      <c r="H113" s="698" t="n">
        <v>5</v>
      </c>
      <c r="I113" s="697" t="n">
        <v>-250</v>
      </c>
      <c r="J113" s="585" t="n">
        <v>18</v>
      </c>
      <c r="K113" s="585" t="n">
        <v>0</v>
      </c>
      <c r="L113" s="585">
        <f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/>
      </c>
      <c r="M113" s="699">
        <f>L113</f>
        <v/>
      </c>
      <c r="N113" s="686">
        <f>M113</f>
        <v/>
      </c>
      <c r="O113" s="261" t="inlineStr">
        <is>
          <t>放棄</t>
        </is>
      </c>
      <c r="P113" s="249" t="inlineStr">
        <is>
          <t>元大期貨</t>
        </is>
      </c>
    </row>
    <row r="114" hidden="1" outlineLevel="2">
      <c r="A114" s="696" t="n">
        <v>45581</v>
      </c>
      <c r="B114" s="234" t="inlineStr">
        <is>
          <t>TXO</t>
        </is>
      </c>
      <c r="C114" s="229" t="inlineStr">
        <is>
          <t>台指 P 10 23050 P</t>
        </is>
      </c>
      <c r="D114" s="229" t="inlineStr">
        <is>
          <t>平倉</t>
        </is>
      </c>
      <c r="E114" s="257" t="inlineStr">
        <is>
          <t>賣</t>
        </is>
      </c>
      <c r="F114" s="229" t="inlineStr">
        <is>
          <t>-</t>
        </is>
      </c>
      <c r="G114" s="697" t="n">
        <v>1</v>
      </c>
      <c r="H114" s="698" t="n">
        <v>64</v>
      </c>
      <c r="I114" s="697">
        <f>H114*50</f>
        <v/>
      </c>
      <c r="J114" s="585" t="n">
        <v>18</v>
      </c>
      <c r="K114" s="585" t="n">
        <v>23</v>
      </c>
      <c r="L114" s="585">
        <f>IF(B114="TXO",I114-SUM(J114:K114),IF(B114="FITX",IF(D114="新倉",-SUM(J114:K114),IF(E114="賣",(H114-H113)*G114*200-SUM(J114:K114),(H113-H114)*G114*200-SUM(J114:K114))),IF(D114="新倉",-SUM(J114:K114),IF(E114="賣",(H114-H113)*G114*50-SUM(J114:K114),(H113-H114)*G114*50-SUM(J114:K114)))))</f>
        <v/>
      </c>
      <c r="M114" s="699">
        <f>L114</f>
        <v/>
      </c>
      <c r="N114" s="686">
        <f>M114</f>
        <v/>
      </c>
      <c r="O114" s="276" t="inlineStr">
        <is>
          <t>履約</t>
        </is>
      </c>
      <c r="P114" s="249" t="inlineStr">
        <is>
          <t>元大期貨</t>
        </is>
      </c>
    </row>
    <row r="115" hidden="1" outlineLevel="2">
      <c r="A115" s="696" t="n">
        <v>45588</v>
      </c>
      <c r="B115" s="234" t="inlineStr">
        <is>
          <t>TXO</t>
        </is>
      </c>
      <c r="C115" s="229" t="inlineStr">
        <is>
          <t>週W4 C 10 23650 C</t>
        </is>
      </c>
      <c r="D115" s="229" t="inlineStr">
        <is>
          <t>新倉</t>
        </is>
      </c>
      <c r="E115" s="257" t="inlineStr">
        <is>
          <t>買</t>
        </is>
      </c>
      <c r="F115" s="229" t="inlineStr">
        <is>
          <t>-</t>
        </is>
      </c>
      <c r="G115" s="697" t="n">
        <v>1</v>
      </c>
      <c r="H115" s="698" t="n">
        <v>20</v>
      </c>
      <c r="I115" s="697" t="n">
        <v>-1000</v>
      </c>
      <c r="J115" s="585" t="n">
        <v>18</v>
      </c>
      <c r="K115" s="585" t="n">
        <v>1</v>
      </c>
      <c r="L115" s="585">
        <f>IF(B115="TXO",I115-SUM(J115:K115),IF(B115="FITX",IF(D115="新倉",-SUM(J115:K115),IF(E115="賣",(H115-H114)*G115*200-SUM(J115:K115),(H114-H115)*G115*200-SUM(J115:K115))),IF(D115="新倉",-SUM(J115:K115),IF(E115="賣",(H115-H114)*G115*50-SUM(J115:K115),(H114-H115)*G115*50-SUM(J115:K115)))))</f>
        <v/>
      </c>
      <c r="M115" s="699">
        <f>L115</f>
        <v/>
      </c>
      <c r="N115" s="686">
        <f>M115</f>
        <v/>
      </c>
      <c r="O115" s="261" t="inlineStr">
        <is>
          <t>放棄</t>
        </is>
      </c>
      <c r="P115" s="249" t="inlineStr">
        <is>
          <t>元大期貨</t>
        </is>
      </c>
    </row>
    <row r="116" hidden="1" outlineLevel="2">
      <c r="A116" s="696" t="n">
        <v>45588</v>
      </c>
      <c r="B116" s="234" t="inlineStr">
        <is>
          <t>TXO</t>
        </is>
      </c>
      <c r="C116" s="229" t="inlineStr">
        <is>
          <t>週W4 C 10 23750 C</t>
        </is>
      </c>
      <c r="D116" s="229" t="inlineStr">
        <is>
          <t>新倉</t>
        </is>
      </c>
      <c r="E116" s="257" t="inlineStr">
        <is>
          <t>買</t>
        </is>
      </c>
      <c r="F116" s="229" t="inlineStr">
        <is>
          <t>-</t>
        </is>
      </c>
      <c r="G116" s="697" t="n">
        <v>1</v>
      </c>
      <c r="H116" s="698" t="n">
        <v>9</v>
      </c>
      <c r="I116" s="697" t="n">
        <v>-450</v>
      </c>
      <c r="J116" s="585" t="n">
        <v>18</v>
      </c>
      <c r="K116" s="585" t="n">
        <v>0</v>
      </c>
      <c r="L116" s="585">
        <f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/>
      </c>
      <c r="M116" s="699">
        <f>L116</f>
        <v/>
      </c>
      <c r="N116" s="686">
        <f>M116</f>
        <v/>
      </c>
      <c r="O116" s="261" t="inlineStr">
        <is>
          <t>放棄</t>
        </is>
      </c>
      <c r="P116" s="249" t="inlineStr">
        <is>
          <t>元大期貨</t>
        </is>
      </c>
    </row>
    <row r="117" hidden="1" outlineLevel="2">
      <c r="A117" s="696" t="n">
        <v>45594</v>
      </c>
      <c r="B117" s="234" t="inlineStr">
        <is>
          <t>TXO</t>
        </is>
      </c>
      <c r="C117" s="229" t="inlineStr">
        <is>
          <t>週W5 C 10 23100 C</t>
        </is>
      </c>
      <c r="D117" s="229" t="inlineStr">
        <is>
          <t>新倉</t>
        </is>
      </c>
      <c r="E117" s="257" t="inlineStr">
        <is>
          <t>買</t>
        </is>
      </c>
      <c r="F117" s="229" t="inlineStr">
        <is>
          <t>-</t>
        </is>
      </c>
      <c r="G117" s="697" t="n">
        <v>1</v>
      </c>
      <c r="H117" s="698" t="n">
        <v>27.5</v>
      </c>
      <c r="I117" s="697" t="n">
        <v>-1375</v>
      </c>
      <c r="J117" s="585" t="n">
        <v>18</v>
      </c>
      <c r="K117" s="585" t="n">
        <v>1</v>
      </c>
      <c r="L117" s="585">
        <f>IF(B117="TXO",I117-SUM(J117:K117),IF(B117="FITX",IF(D117="新倉",-SUM(J117:K117),IF(E117="賣",(H117-H116)*G117*200-SUM(J117:K117),(H116-H117)*G117*200-SUM(J117:K117))),IF(D117="新倉",-SUM(J117:K117),IF(E117="賣",(H117-H116)*G117*50-SUM(J117:K117),(H116-H117)*G117*50-SUM(J117:K117)))))</f>
        <v/>
      </c>
      <c r="M117" s="699">
        <f>L117</f>
        <v/>
      </c>
      <c r="N117" s="686">
        <f>M117</f>
        <v/>
      </c>
      <c r="O117" s="261" t="inlineStr">
        <is>
          <t>放棄</t>
        </is>
      </c>
      <c r="P117" s="249" t="inlineStr">
        <is>
          <t>元大期貨</t>
        </is>
      </c>
    </row>
    <row r="118" hidden="1" outlineLevel="2" ht="17.25" customHeight="1" thickBot="1">
      <c r="A118" s="696" t="n">
        <v>45595</v>
      </c>
      <c r="B118" s="234" t="inlineStr">
        <is>
          <t>TXO</t>
        </is>
      </c>
      <c r="C118" s="229" t="inlineStr">
        <is>
          <t>週W5 P 10 22600 P</t>
        </is>
      </c>
      <c r="D118" s="229" t="inlineStr">
        <is>
          <t>新倉</t>
        </is>
      </c>
      <c r="E118" s="257" t="inlineStr">
        <is>
          <t>買</t>
        </is>
      </c>
      <c r="F118" s="229" t="inlineStr">
        <is>
          <t>-</t>
        </is>
      </c>
      <c r="G118" s="697" t="n">
        <v>2</v>
      </c>
      <c r="H118" s="698" t="n">
        <v>5</v>
      </c>
      <c r="I118" s="697" t="n">
        <v>-500</v>
      </c>
      <c r="J118" s="585" t="n">
        <v>36</v>
      </c>
      <c r="K118" s="585" t="n">
        <v>0</v>
      </c>
      <c r="L118" s="585">
        <f>IF(B118="TXO",I118-SUM(J118:K118),IF(B118="FITX",IF(D118="新倉",-SUM(J118:K118),IF(E118="賣",(H118-H117)*G118*200-SUM(J118:K118),(H117-H118)*G118*200-SUM(J118:K118))),IF(D118="新倉",-SUM(J118:K118),IF(E118="賣",(H118-H117)*G118*50-SUM(J118:K118),(H117-H118)*G118*50-SUM(J118:K118)))))</f>
        <v/>
      </c>
      <c r="M118" s="699">
        <f>L118</f>
        <v/>
      </c>
      <c r="N118" s="686">
        <f>M118</f>
        <v/>
      </c>
      <c r="O118" s="261" t="inlineStr">
        <is>
          <t>放棄</t>
        </is>
      </c>
      <c r="P118" s="249" t="inlineStr">
        <is>
          <t>元大期貨</t>
        </is>
      </c>
    </row>
    <row r="119" outlineLevel="1" collapsed="1" ht="17.25" customHeight="1" thickBot="1">
      <c r="A119" s="273" t="inlineStr">
        <is>
          <t>10月總計</t>
        </is>
      </c>
      <c r="B119" s="274" t="n"/>
      <c r="C119" s="274" t="n"/>
      <c r="D119" s="274" t="n"/>
      <c r="E119" s="274" t="n"/>
      <c r="F119" s="274" t="n"/>
      <c r="G119" s="715" t="n"/>
      <c r="H119" s="715" t="n"/>
      <c r="I119" s="715" t="n"/>
      <c r="J119" s="716" t="n"/>
      <c r="K119" s="715" t="n"/>
      <c r="L119" s="717">
        <f>SUM(L97:L118)</f>
        <v/>
      </c>
      <c r="M119" s="717">
        <f>SUM(M97:M118)</f>
        <v/>
      </c>
      <c r="N119" s="666" t="n"/>
    </row>
    <row r="120" hidden="1" outlineLevel="2">
      <c r="A120" s="696" t="n">
        <v>45600</v>
      </c>
      <c r="B120" s="234" t="inlineStr">
        <is>
          <t>TXO</t>
        </is>
      </c>
      <c r="C120" s="229" t="inlineStr">
        <is>
          <t>週W1 P 11 22550 P</t>
        </is>
      </c>
      <c r="D120" s="229" t="inlineStr">
        <is>
          <t>新倉</t>
        </is>
      </c>
      <c r="E120" s="257" t="inlineStr">
        <is>
          <t>買</t>
        </is>
      </c>
      <c r="F120" s="229" t="inlineStr">
        <is>
          <t>-</t>
        </is>
      </c>
      <c r="G120" s="697" t="n">
        <v>1</v>
      </c>
      <c r="H120" s="698" t="n">
        <v>137</v>
      </c>
      <c r="I120" s="697" t="n">
        <v>-6850</v>
      </c>
      <c r="J120" s="585" t="n">
        <v>18</v>
      </c>
      <c r="K120" s="585" t="n">
        <v>7</v>
      </c>
      <c r="L120" s="585">
        <f>IF(B120="TXO",I120-SUM(J120:K120),IF(B120="FITX",IF(D120="新倉",-SUM(J120:K120),IF(E120="賣",(H120-H119)*G120*200-SUM(J120:K120),(H119-H120)*G120*200-SUM(J120:K120))),IF(D120="新倉",-SUM(J120:K120),IF(E120="賣",(H120-H119)*G120*50-SUM(J120:K120),(H119-H120)*G120*50-SUM(J120:K120)))))</f>
        <v/>
      </c>
      <c r="M120" s="699">
        <f>L120</f>
        <v/>
      </c>
      <c r="N120" s="686">
        <f>M120</f>
        <v/>
      </c>
      <c r="O120" s="261" t="inlineStr">
        <is>
          <t>放棄</t>
        </is>
      </c>
      <c r="P120" s="249" t="inlineStr">
        <is>
          <t>元大期貨</t>
        </is>
      </c>
    </row>
    <row r="121" hidden="1" outlineLevel="2">
      <c r="A121" s="696" t="n">
        <v>45600</v>
      </c>
      <c r="B121" s="234" t="inlineStr">
        <is>
          <t>TXO</t>
        </is>
      </c>
      <c r="C121" s="229" t="inlineStr">
        <is>
          <t>週W1 P 11 22400 P</t>
        </is>
      </c>
      <c r="D121" s="229" t="inlineStr">
        <is>
          <t>新倉</t>
        </is>
      </c>
      <c r="E121" s="257" t="inlineStr">
        <is>
          <t>賣</t>
        </is>
      </c>
      <c r="F121" s="229" t="inlineStr">
        <is>
          <t>-</t>
        </is>
      </c>
      <c r="G121" s="697" t="n">
        <v>1</v>
      </c>
      <c r="H121" s="698" t="n">
        <v>99</v>
      </c>
      <c r="I121" s="697" t="n">
        <v>4950</v>
      </c>
      <c r="J121" s="585" t="n">
        <v>18</v>
      </c>
      <c r="K121" s="585" t="n">
        <v>5</v>
      </c>
      <c r="L121" s="585">
        <f>IF(B121="TXO",I121-SUM(J121:K121),IF(B121="FITX",IF(D121="新倉",-SUM(J121:K121),IF(E121="賣",(H121-H120)*G121*200-SUM(J121:K121),(H120-H121)*G121*200-SUM(J121:K121))),IF(D121="新倉",-SUM(J121:K121),IF(E121="賣",(H121-H120)*G121*50-SUM(J121:K121),(H120-H121)*G121*50-SUM(J121:K121)))))</f>
        <v/>
      </c>
      <c r="M121" s="699">
        <f>L121</f>
        <v/>
      </c>
      <c r="N121" s="686">
        <f>M121</f>
        <v/>
      </c>
      <c r="O121" s="261" t="inlineStr">
        <is>
          <t>放棄</t>
        </is>
      </c>
      <c r="P121" s="249" t="inlineStr">
        <is>
          <t>元大期貨</t>
        </is>
      </c>
    </row>
    <row r="122" hidden="1" outlineLevel="2">
      <c r="A122" s="696" t="n">
        <v>45601</v>
      </c>
      <c r="B122" s="234" t="inlineStr">
        <is>
          <t>TXO</t>
        </is>
      </c>
      <c r="C122" s="229" t="inlineStr">
        <is>
          <t>週W1 P 11 22450 P</t>
        </is>
      </c>
      <c r="D122" s="229" t="inlineStr">
        <is>
          <t>新倉</t>
        </is>
      </c>
      <c r="E122" s="257" t="inlineStr">
        <is>
          <t>買</t>
        </is>
      </c>
      <c r="F122" s="229" t="inlineStr">
        <is>
          <t>-</t>
        </is>
      </c>
      <c r="G122" s="697" t="n">
        <v>1</v>
      </c>
      <c r="H122" s="698" t="n">
        <v>25</v>
      </c>
      <c r="I122" s="697" t="n">
        <v>-1250</v>
      </c>
      <c r="J122" s="585" t="n">
        <v>18</v>
      </c>
      <c r="K122" s="585" t="n">
        <v>1</v>
      </c>
      <c r="L122" s="585">
        <f>IF(B122="TXO",I122-SUM(J122:K122),IF(B122="FITX",IF(D122="新倉",-SUM(J122:K122),IF(E122="賣",(H122-H121)*G122*200-SUM(J122:K122),(H121-H122)*G122*200-SUM(J122:K122))),IF(D122="新倉",-SUM(J122:K122),IF(E122="賣",(H122-H121)*G122*50-SUM(J122:K122),(H121-H122)*G122*50-SUM(J122:K122)))))</f>
        <v/>
      </c>
      <c r="M122" s="699">
        <f>L122</f>
        <v/>
      </c>
      <c r="N122" s="686">
        <f>M122</f>
        <v/>
      </c>
      <c r="O122" s="261" t="inlineStr">
        <is>
          <t>放棄</t>
        </is>
      </c>
      <c r="P122" s="249" t="inlineStr">
        <is>
          <t>元大期貨</t>
        </is>
      </c>
    </row>
    <row r="123" hidden="1" outlineLevel="2">
      <c r="A123" s="696" t="n">
        <v>45602</v>
      </c>
      <c r="B123" s="234" t="inlineStr">
        <is>
          <t>TXO</t>
        </is>
      </c>
      <c r="C123" s="229" t="inlineStr">
        <is>
          <t>週W1 C 11 23450 C</t>
        </is>
      </c>
      <c r="D123" s="229" t="inlineStr">
        <is>
          <t>新倉</t>
        </is>
      </c>
      <c r="E123" s="257" t="inlineStr">
        <is>
          <t>買</t>
        </is>
      </c>
      <c r="F123" s="229" t="inlineStr">
        <is>
          <t>-</t>
        </is>
      </c>
      <c r="G123" s="697" t="n">
        <v>1</v>
      </c>
      <c r="H123" s="698" t="n">
        <v>9.9</v>
      </c>
      <c r="I123" s="697" t="n">
        <v>-495</v>
      </c>
      <c r="J123" s="585" t="n">
        <v>18</v>
      </c>
      <c r="K123" s="585" t="n">
        <v>0</v>
      </c>
      <c r="L123" s="585">
        <f>IF(B123="TXO",I123-SUM(J123:K123),IF(B123="FITX",IF(D123="新倉",-SUM(J123:K123),IF(E123="賣",(H123-H122)*G123*200-SUM(J123:K123),(H122-H123)*G123*200-SUM(J123:K123))),IF(D123="新倉",-SUM(J123:K123),IF(E123="賣",(H123-H122)*G123*50-SUM(J123:K123),(H122-H123)*G123*50-SUM(J123:K123)))))</f>
        <v/>
      </c>
      <c r="M123" s="699">
        <f>L123</f>
        <v/>
      </c>
      <c r="N123" s="686">
        <f>M123</f>
        <v/>
      </c>
      <c r="O123" s="261" t="inlineStr">
        <is>
          <t>放棄</t>
        </is>
      </c>
      <c r="P123" s="249" t="inlineStr">
        <is>
          <t>元大期貨</t>
        </is>
      </c>
    </row>
    <row r="124" hidden="1" outlineLevel="2">
      <c r="A124" s="696" t="n">
        <v>45602</v>
      </c>
      <c r="B124" s="234" t="inlineStr">
        <is>
          <t>TXO</t>
        </is>
      </c>
      <c r="C124" s="229" t="inlineStr">
        <is>
          <t>週W1 C 11 23450 C</t>
        </is>
      </c>
      <c r="D124" s="229" t="inlineStr">
        <is>
          <t>平倉</t>
        </is>
      </c>
      <c r="E124" s="257" t="inlineStr">
        <is>
          <t>賣</t>
        </is>
      </c>
      <c r="F124" s="229" t="inlineStr">
        <is>
          <t>-</t>
        </is>
      </c>
      <c r="G124" s="697" t="n">
        <v>1</v>
      </c>
      <c r="H124" s="698" t="n">
        <v>44.5</v>
      </c>
      <c r="I124" s="697" t="n">
        <v>2225</v>
      </c>
      <c r="J124" s="585" t="n">
        <v>18</v>
      </c>
      <c r="K124" s="585" t="n">
        <v>2</v>
      </c>
      <c r="L124" s="585">
        <f>IF(B124="TXO",I124-SUM(J124:K124),IF(B124="FITX",IF(D124="新倉",-SUM(J124:K124),IF(E124="賣",(H124-H123)*G124*200-SUM(J124:K124),(H123-H124)*G124*200-SUM(J124:K124))),IF(D124="新倉",-SUM(J124:K124),IF(E124="賣",(H124-H123)*G124*50-SUM(J124:K124),(H123-H124)*G124*50-SUM(J124:K124)))))</f>
        <v/>
      </c>
      <c r="M124" s="699">
        <f>L124</f>
        <v/>
      </c>
      <c r="N124" s="686">
        <f>M124</f>
        <v/>
      </c>
      <c r="O124" s="249" t="inlineStr">
        <is>
          <t>平倉</t>
        </is>
      </c>
      <c r="P124" s="249" t="inlineStr">
        <is>
          <t>元大期貨</t>
        </is>
      </c>
    </row>
    <row r="125" hidden="1" outlineLevel="2">
      <c r="A125" s="696" t="n">
        <v>45602</v>
      </c>
      <c r="B125" s="234" t="inlineStr">
        <is>
          <t>TXO</t>
        </is>
      </c>
      <c r="C125" s="229" t="inlineStr">
        <is>
          <t>週W1 C 11 23600 C</t>
        </is>
      </c>
      <c r="D125" s="229" t="inlineStr">
        <is>
          <t>新倉</t>
        </is>
      </c>
      <c r="E125" s="257" t="inlineStr">
        <is>
          <t>買</t>
        </is>
      </c>
      <c r="F125" s="229" t="inlineStr">
        <is>
          <t>-</t>
        </is>
      </c>
      <c r="G125" s="697" t="n">
        <v>1</v>
      </c>
      <c r="H125" s="698" t="n">
        <v>14</v>
      </c>
      <c r="I125" s="697" t="n">
        <v>-700</v>
      </c>
      <c r="J125" s="585" t="n">
        <v>18</v>
      </c>
      <c r="K125" s="585" t="n">
        <v>1</v>
      </c>
      <c r="L125" s="585">
        <f>IF(B125="TXO",I125-SUM(J125:K125),IF(B125="FITX",IF(D125="新倉",-SUM(J125:K125),IF(E125="賣",(H125-H124)*G125*200-SUM(J125:K125),(H124-H125)*G125*200-SUM(J125:K125))),IF(D125="新倉",-SUM(J125:K125),IF(E125="賣",(H125-H124)*G125*50-SUM(J125:K125),(H124-H125)*G125*50-SUM(J125:K125)))))</f>
        <v/>
      </c>
      <c r="M125" s="699">
        <f>L125</f>
        <v/>
      </c>
      <c r="N125" s="686">
        <f>M125</f>
        <v/>
      </c>
      <c r="O125" s="261" t="inlineStr">
        <is>
          <t>放棄</t>
        </is>
      </c>
      <c r="P125" s="249" t="inlineStr">
        <is>
          <t>元大期貨</t>
        </is>
      </c>
    </row>
    <row r="126" hidden="1" outlineLevel="2">
      <c r="A126" s="696" t="n">
        <v>45608</v>
      </c>
      <c r="B126" s="234" t="inlineStr">
        <is>
          <t>TXO</t>
        </is>
      </c>
      <c r="C126" s="229" t="inlineStr">
        <is>
          <t>週W2 C 11 23550 C</t>
        </is>
      </c>
      <c r="D126" s="229" t="inlineStr">
        <is>
          <t>新倉</t>
        </is>
      </c>
      <c r="E126" s="257" t="inlineStr">
        <is>
          <t>買</t>
        </is>
      </c>
      <c r="F126" s="229" t="inlineStr">
        <is>
          <t>-</t>
        </is>
      </c>
      <c r="G126" s="697" t="n">
        <v>1</v>
      </c>
      <c r="H126" s="698" t="n">
        <v>25</v>
      </c>
      <c r="I126" s="697" t="n">
        <v>-1250</v>
      </c>
      <c r="J126" s="585" t="n">
        <v>18</v>
      </c>
      <c r="K126" s="585" t="n">
        <v>1</v>
      </c>
      <c r="L126" s="585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/>
      </c>
      <c r="M126" s="699">
        <f>L126</f>
        <v/>
      </c>
      <c r="N126" s="686">
        <f>M126</f>
        <v/>
      </c>
      <c r="O126" s="261" t="inlineStr">
        <is>
          <t>放棄</t>
        </is>
      </c>
      <c r="P126" s="249" t="inlineStr">
        <is>
          <t>元大期貨</t>
        </is>
      </c>
    </row>
    <row r="127" hidden="1" outlineLevel="2">
      <c r="A127" s="696" t="n">
        <v>45609</v>
      </c>
      <c r="B127" s="234" t="inlineStr">
        <is>
          <t>TXO</t>
        </is>
      </c>
      <c r="C127" s="229" t="inlineStr">
        <is>
          <t>週W2 P 11 22600 P</t>
        </is>
      </c>
      <c r="D127" s="229" t="inlineStr">
        <is>
          <t>新倉</t>
        </is>
      </c>
      <c r="E127" s="257" t="inlineStr">
        <is>
          <t>買</t>
        </is>
      </c>
      <c r="F127" s="229" t="inlineStr">
        <is>
          <t>-</t>
        </is>
      </c>
      <c r="G127" s="697" t="n">
        <v>1</v>
      </c>
      <c r="H127" s="698" t="n">
        <v>35</v>
      </c>
      <c r="I127" s="697" t="n">
        <v>-1750</v>
      </c>
      <c r="J127" s="585" t="n">
        <v>18</v>
      </c>
      <c r="K127" s="585" t="n">
        <v>2</v>
      </c>
      <c r="L127" s="585">
        <f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/>
      </c>
      <c r="M127" s="699">
        <f>L127</f>
        <v/>
      </c>
      <c r="N127" s="686">
        <f>M127</f>
        <v/>
      </c>
      <c r="O127" s="261" t="inlineStr">
        <is>
          <t>放棄</t>
        </is>
      </c>
      <c r="P127" s="249" t="inlineStr">
        <is>
          <t>元大期貨</t>
        </is>
      </c>
    </row>
    <row r="128" outlineLevel="1" collapsed="1" ht="17.25" customHeight="1" thickBot="1">
      <c r="A128" s="691" t="n">
        <v>45614</v>
      </c>
      <c r="B128" s="251" t="n"/>
      <c r="C128" s="252" t="inlineStr">
        <is>
          <t>入金</t>
        </is>
      </c>
      <c r="D128" s="252" t="n"/>
      <c r="E128" s="252" t="n"/>
      <c r="F128" s="252" t="n"/>
      <c r="G128" s="692" t="n"/>
      <c r="H128" s="692" t="n"/>
      <c r="I128" s="692" t="n"/>
      <c r="J128" s="693" t="n"/>
      <c r="K128" s="693" t="n"/>
      <c r="L128" s="693" t="n">
        <v>10000</v>
      </c>
      <c r="M128" s="694">
        <f>L128</f>
        <v/>
      </c>
    </row>
    <row r="129" hidden="1" outlineLevel="2">
      <c r="A129" s="696" t="n">
        <v>45615</v>
      </c>
      <c r="B129" s="234" t="inlineStr">
        <is>
          <t>TXO</t>
        </is>
      </c>
      <c r="C129" s="229" t="inlineStr">
        <is>
          <t>台指 P 11 22400 P</t>
        </is>
      </c>
      <c r="D129" s="229" t="inlineStr">
        <is>
          <t>新倉</t>
        </is>
      </c>
      <c r="E129" s="257" t="inlineStr">
        <is>
          <t>買</t>
        </is>
      </c>
      <c r="F129" s="229" t="inlineStr">
        <is>
          <t>-</t>
        </is>
      </c>
      <c r="G129" s="697" t="n">
        <v>2</v>
      </c>
      <c r="H129" s="698" t="n">
        <v>33</v>
      </c>
      <c r="I129" s="697" t="n">
        <v>-3300</v>
      </c>
      <c r="J129" s="585" t="n">
        <v>36</v>
      </c>
      <c r="K129" s="585" t="n">
        <v>4</v>
      </c>
      <c r="L129" s="585">
        <f>IF(B129="TXO",I129-SUM(J129:K129),IF(B129="FITX",IF(D129="新倉",-SUM(J129:K129),IF(E129="賣",(H129-H128)*G129*200-SUM(J129:K129),(H128-H129)*G129*200-SUM(J129:K129))),IF(D129="新倉",-SUM(J129:K129),IF(E129="賣",(H129-H128)*G129*50-SUM(J129:K129),(H128-H129)*G129*50-SUM(J129:K129)))))</f>
        <v/>
      </c>
      <c r="M129" s="699">
        <f>L129</f>
        <v/>
      </c>
      <c r="N129" s="686">
        <f>M129</f>
        <v/>
      </c>
      <c r="O129" s="261" t="inlineStr">
        <is>
          <t>放棄</t>
        </is>
      </c>
      <c r="P129" s="249" t="inlineStr">
        <is>
          <t>元大期貨</t>
        </is>
      </c>
    </row>
    <row r="130" hidden="1" outlineLevel="2">
      <c r="A130" s="696" t="n">
        <v>45615</v>
      </c>
      <c r="B130" s="234" t="inlineStr">
        <is>
          <t>TXO</t>
        </is>
      </c>
      <c r="C130" s="229" t="inlineStr">
        <is>
          <t>台指 P 11 22200 P</t>
        </is>
      </c>
      <c r="D130" s="229" t="inlineStr">
        <is>
          <t>新倉</t>
        </is>
      </c>
      <c r="E130" s="257" t="inlineStr">
        <is>
          <t>買</t>
        </is>
      </c>
      <c r="F130" s="229" t="inlineStr">
        <is>
          <t>-</t>
        </is>
      </c>
      <c r="G130" s="697" t="n">
        <v>1</v>
      </c>
      <c r="H130" s="698" t="n">
        <v>15</v>
      </c>
      <c r="I130" s="697" t="n">
        <v>-750</v>
      </c>
      <c r="J130" s="585" t="n">
        <v>18</v>
      </c>
      <c r="K130" s="585" t="n">
        <v>1</v>
      </c>
      <c r="L130" s="585">
        <f>IF(B130="TXO",I130-SUM(J130:K130),IF(B130="FITX",IF(D130="新倉",-SUM(J130:K130),IF(E130="賣",(H130-H129)*G130*200-SUM(J130:K130),(H129-H130)*G130*200-SUM(J130:K130))),IF(D130="新倉",-SUM(J130:K130),IF(E130="賣",(H130-H129)*G130*50-SUM(J130:K130),(H129-H130)*G130*50-SUM(J130:K130)))))</f>
        <v/>
      </c>
      <c r="M130" s="699">
        <f>L130</f>
        <v/>
      </c>
      <c r="N130" s="686">
        <f>M130</f>
        <v/>
      </c>
      <c r="O130" s="261" t="inlineStr">
        <is>
          <t>放棄</t>
        </is>
      </c>
      <c r="P130" s="249" t="inlineStr">
        <is>
          <t>元大期貨</t>
        </is>
      </c>
    </row>
    <row r="131" hidden="1" outlineLevel="2">
      <c r="A131" s="696" t="n">
        <v>45616</v>
      </c>
      <c r="B131" s="234" t="inlineStr">
        <is>
          <t>TXO</t>
        </is>
      </c>
      <c r="C131" s="229" t="inlineStr">
        <is>
          <t>台指 P 11 22850 P</t>
        </is>
      </c>
      <c r="D131" s="229" t="inlineStr">
        <is>
          <t>新倉</t>
        </is>
      </c>
      <c r="E131" s="257" t="inlineStr">
        <is>
          <t>買</t>
        </is>
      </c>
      <c r="F131" s="229" t="inlineStr">
        <is>
          <t>-</t>
        </is>
      </c>
      <c r="G131" s="697" t="n">
        <v>1</v>
      </c>
      <c r="H131" s="698" t="n">
        <v>30</v>
      </c>
      <c r="I131" s="697" t="n">
        <v>-1500</v>
      </c>
      <c r="J131" s="585" t="n">
        <v>18</v>
      </c>
      <c r="K131" s="585" t="n">
        <v>2</v>
      </c>
      <c r="L131" s="585">
        <f>IF(B131="TXO",I131-SUM(J131:K131),IF(B131="FITX",IF(D131="新倉",-SUM(J131:K131),IF(E131="賣",(H131-H130)*G131*200-SUM(J131:K131),(H130-H131)*G131*200-SUM(J131:K131))),IF(D131="新倉",-SUM(J131:K131),IF(E131="賣",(H131-H130)*G131*50-SUM(J131:K131),(H130-H131)*G131*50-SUM(J131:K131)))))</f>
        <v/>
      </c>
      <c r="M131" s="699">
        <f>L131</f>
        <v/>
      </c>
      <c r="N131" s="686">
        <f>M131</f>
        <v/>
      </c>
      <c r="O131" s="261" t="inlineStr">
        <is>
          <t>放棄</t>
        </is>
      </c>
      <c r="P131" s="249" t="inlineStr">
        <is>
          <t>元大期貨</t>
        </is>
      </c>
    </row>
    <row r="132" hidden="1" outlineLevel="2">
      <c r="A132" s="696" t="n">
        <v>45616</v>
      </c>
      <c r="B132" s="234" t="inlineStr">
        <is>
          <t>TXO</t>
        </is>
      </c>
      <c r="C132" s="229" t="inlineStr">
        <is>
          <t>台指 P 11 22850 P</t>
        </is>
      </c>
      <c r="D132" s="229" t="inlineStr">
        <is>
          <t>平倉</t>
        </is>
      </c>
      <c r="E132" s="257" t="inlineStr">
        <is>
          <t>賣</t>
        </is>
      </c>
      <c r="F132" s="229" t="inlineStr">
        <is>
          <t>-</t>
        </is>
      </c>
      <c r="G132" s="697" t="n">
        <v>1</v>
      </c>
      <c r="H132" s="698" t="n">
        <v>125</v>
      </c>
      <c r="I132" s="697" t="n">
        <v>6250</v>
      </c>
      <c r="J132" s="585" t="n">
        <v>18</v>
      </c>
      <c r="K132" s="585" t="n">
        <v>6</v>
      </c>
      <c r="L132" s="585">
        <f>IF(B132="TXO",I132-SUM(J132:K132),IF(B132="FITX",IF(D132="新倉",-SUM(J132:K132),IF(E132="賣",(H132-H131)*G132*200-SUM(J132:K132),(H131-H132)*G132*200-SUM(J132:K132))),IF(D132="新倉",-SUM(J132:K132),IF(E132="賣",(H132-H131)*G132*50-SUM(J132:K132),(H131-H132)*G132*50-SUM(J132:K132)))))</f>
        <v/>
      </c>
      <c r="M132" s="699">
        <f>L132</f>
        <v/>
      </c>
      <c r="N132" s="686">
        <f>M132</f>
        <v/>
      </c>
      <c r="O132" s="249" t="inlineStr">
        <is>
          <t>平倉</t>
        </is>
      </c>
      <c r="P132" s="249" t="inlineStr">
        <is>
          <t>元大期貨</t>
        </is>
      </c>
    </row>
    <row r="133" hidden="1" outlineLevel="2">
      <c r="A133" s="696" t="n">
        <v>45616</v>
      </c>
      <c r="B133" s="234" t="inlineStr">
        <is>
          <t>TXO</t>
        </is>
      </c>
      <c r="C133" s="229" t="inlineStr">
        <is>
          <t>台指 C 11 22700 C</t>
        </is>
      </c>
      <c r="D133" s="229" t="inlineStr">
        <is>
          <t>新倉</t>
        </is>
      </c>
      <c r="E133" s="257" t="inlineStr">
        <is>
          <t>買</t>
        </is>
      </c>
      <c r="F133" s="229" t="inlineStr">
        <is>
          <t>-</t>
        </is>
      </c>
      <c r="G133" s="697" t="n">
        <v>3</v>
      </c>
      <c r="H133" s="698" t="n">
        <v>3</v>
      </c>
      <c r="I133" s="697" t="n">
        <v>-450</v>
      </c>
      <c r="J133" s="585" t="n">
        <v>54</v>
      </c>
      <c r="K133" s="585" t="n">
        <v>0</v>
      </c>
      <c r="L133" s="585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/>
      </c>
      <c r="M133" s="699">
        <f>L133</f>
        <v/>
      </c>
      <c r="N133" s="686">
        <f>M133</f>
        <v/>
      </c>
      <c r="O133" s="261" t="inlineStr">
        <is>
          <t>放棄</t>
        </is>
      </c>
      <c r="P133" s="249" t="inlineStr">
        <is>
          <t>元大期貨</t>
        </is>
      </c>
    </row>
    <row r="134" hidden="1" outlineLevel="2">
      <c r="A134" s="696" t="n">
        <v>45618</v>
      </c>
      <c r="B134" s="234" t="inlineStr">
        <is>
          <t>TXO</t>
        </is>
      </c>
      <c r="C134" s="229" t="inlineStr">
        <is>
          <t>週W4 P 11 22200 P</t>
        </is>
      </c>
      <c r="D134" s="229" t="inlineStr">
        <is>
          <t>新倉</t>
        </is>
      </c>
      <c r="E134" s="257" t="inlineStr">
        <is>
          <t>買</t>
        </is>
      </c>
      <c r="F134" s="229" t="inlineStr">
        <is>
          <t>-</t>
        </is>
      </c>
      <c r="G134" s="697" t="n">
        <v>1</v>
      </c>
      <c r="H134" s="698" t="n">
        <v>30.5</v>
      </c>
      <c r="I134" s="697" t="n">
        <v>-1525</v>
      </c>
      <c r="J134" s="585" t="n">
        <v>18</v>
      </c>
      <c r="K134" s="585" t="n">
        <v>2</v>
      </c>
      <c r="L134" s="585">
        <f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/>
      </c>
      <c r="M134" s="699">
        <f>L134</f>
        <v/>
      </c>
      <c r="N134" s="686">
        <f>M134</f>
        <v/>
      </c>
      <c r="O134" s="261" t="inlineStr">
        <is>
          <t>放棄</t>
        </is>
      </c>
      <c r="P134" s="249" t="inlineStr">
        <is>
          <t>元大期貨</t>
        </is>
      </c>
    </row>
    <row r="135" hidden="1" outlineLevel="2">
      <c r="A135" s="696" t="n">
        <v>45622</v>
      </c>
      <c r="B135" s="234" t="inlineStr">
        <is>
          <t>TXO</t>
        </is>
      </c>
      <c r="C135" s="229" t="inlineStr">
        <is>
          <t>週W4 P 11 22300 P</t>
        </is>
      </c>
      <c r="D135" s="229" t="inlineStr">
        <is>
          <t>新倉</t>
        </is>
      </c>
      <c r="E135" s="257" t="inlineStr">
        <is>
          <t>買</t>
        </is>
      </c>
      <c r="F135" s="229" t="inlineStr">
        <is>
          <t>-</t>
        </is>
      </c>
      <c r="G135" s="697" t="n">
        <v>1</v>
      </c>
      <c r="H135" s="698" t="n">
        <v>26</v>
      </c>
      <c r="I135" s="697" t="n">
        <v>-1300</v>
      </c>
      <c r="J135" s="585" t="n">
        <v>18</v>
      </c>
      <c r="K135" s="585" t="n">
        <v>1</v>
      </c>
      <c r="L135" s="585">
        <f>IF(B135="TXO",I135-SUM(J135:K135),IF(B135="FITX",IF(D135="新倉",-SUM(J135:K135),IF(E135="賣",(H135-H134)*G135*200-SUM(J135:K135),(H134-H135)*G135*200-SUM(J135:K135))),IF(D135="新倉",-SUM(J135:K135),IF(E135="賣",(H135-H134)*G135*50-SUM(J135:K135),(H134-H135)*G135*50-SUM(J135:K135)))))</f>
        <v/>
      </c>
      <c r="M135" s="699">
        <f>L135</f>
        <v/>
      </c>
      <c r="N135" s="686">
        <f>M135</f>
        <v/>
      </c>
      <c r="O135" s="261" t="inlineStr">
        <is>
          <t>放棄</t>
        </is>
      </c>
      <c r="P135" s="249" t="inlineStr">
        <is>
          <t>元大期貨</t>
        </is>
      </c>
    </row>
    <row r="136" hidden="1" outlineLevel="2">
      <c r="A136" s="696" t="n">
        <v>45623</v>
      </c>
      <c r="B136" s="234" t="inlineStr">
        <is>
          <t>TXO</t>
        </is>
      </c>
      <c r="C136" s="229" t="inlineStr">
        <is>
          <t>週W4 C 11 22550 C</t>
        </is>
      </c>
      <c r="D136" s="229" t="inlineStr">
        <is>
          <t>新倉</t>
        </is>
      </c>
      <c r="E136" s="257" t="inlineStr">
        <is>
          <t>買</t>
        </is>
      </c>
      <c r="F136" s="229" t="inlineStr">
        <is>
          <t>-</t>
        </is>
      </c>
      <c r="G136" s="697" t="n">
        <v>1</v>
      </c>
      <c r="H136" s="698" t="n">
        <v>3.7</v>
      </c>
      <c r="I136" s="697" t="n">
        <v>-185</v>
      </c>
      <c r="J136" s="585" t="n">
        <v>18</v>
      </c>
      <c r="K136" s="585" t="n">
        <v>0</v>
      </c>
      <c r="L136" s="585">
        <f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/>
      </c>
      <c r="M136" s="699">
        <f>L136</f>
        <v/>
      </c>
      <c r="N136" s="686">
        <f>M136</f>
        <v/>
      </c>
      <c r="O136" s="261" t="inlineStr">
        <is>
          <t>放棄</t>
        </is>
      </c>
      <c r="P136" s="249" t="inlineStr">
        <is>
          <t>元大期貨</t>
        </is>
      </c>
    </row>
    <row r="137" hidden="1" outlineLevel="2">
      <c r="A137" s="696" t="n">
        <v>45623</v>
      </c>
      <c r="B137" s="234" t="inlineStr">
        <is>
          <t>TXO</t>
        </is>
      </c>
      <c r="C137" s="229" t="inlineStr">
        <is>
          <t>週W4 C 11 22550 C</t>
        </is>
      </c>
      <c r="D137" s="229" t="inlineStr">
        <is>
          <t>新倉</t>
        </is>
      </c>
      <c r="E137" s="257" t="inlineStr">
        <is>
          <t>買</t>
        </is>
      </c>
      <c r="F137" s="229" t="inlineStr">
        <is>
          <t>-</t>
        </is>
      </c>
      <c r="G137" s="697" t="n">
        <v>1</v>
      </c>
      <c r="H137" s="698" t="n">
        <v>3.6</v>
      </c>
      <c r="I137" s="697" t="n">
        <v>-180</v>
      </c>
      <c r="J137" s="585" t="n">
        <v>18</v>
      </c>
      <c r="K137" s="585" t="n">
        <v>0</v>
      </c>
      <c r="L137" s="585">
        <f>IF(B137="TXO",I137-SUM(J137:K137),IF(B137="FITX",IF(D137="新倉",-SUM(J137:K137),IF(E137="賣",(H137-H136)*G137*200-SUM(J137:K137),(H136-H137)*G137*200-SUM(J137:K137))),IF(D137="新倉",-SUM(J137:K137),IF(E137="賣",(H137-H136)*G137*50-SUM(J137:K137),(H136-H137)*G137*50-SUM(J137:K137)))))</f>
        <v/>
      </c>
      <c r="M137" s="699">
        <f>L137</f>
        <v/>
      </c>
      <c r="N137" s="686">
        <f>M137</f>
        <v/>
      </c>
      <c r="O137" s="261" t="inlineStr">
        <is>
          <t>放棄</t>
        </is>
      </c>
      <c r="P137" s="249" t="inlineStr">
        <is>
          <t>元大期貨</t>
        </is>
      </c>
    </row>
    <row r="138" hidden="1" outlineLevel="2">
      <c r="A138" s="696" t="n">
        <v>45624</v>
      </c>
      <c r="B138" s="234" t="inlineStr">
        <is>
          <t>TXO</t>
        </is>
      </c>
      <c r="C138" s="229" t="inlineStr">
        <is>
          <t>週W1 P 12 21900 P</t>
        </is>
      </c>
      <c r="D138" s="229" t="inlineStr">
        <is>
          <t>新倉</t>
        </is>
      </c>
      <c r="E138" s="257" t="inlineStr">
        <is>
          <t>賣</t>
        </is>
      </c>
      <c r="F138" s="229" t="inlineStr">
        <is>
          <t>-</t>
        </is>
      </c>
      <c r="G138" s="697" t="n">
        <v>1</v>
      </c>
      <c r="H138" s="698" t="n">
        <v>152</v>
      </c>
      <c r="I138" s="697" t="n">
        <v>7600</v>
      </c>
      <c r="J138" s="585" t="n">
        <v>18</v>
      </c>
      <c r="K138" s="585" t="n">
        <v>8</v>
      </c>
      <c r="L138" s="585">
        <f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/>
      </c>
      <c r="M138" s="699">
        <f>L138</f>
        <v/>
      </c>
      <c r="N138" s="686">
        <f>M138</f>
        <v/>
      </c>
      <c r="O138" s="261" t="inlineStr">
        <is>
          <t>放棄</t>
        </is>
      </c>
      <c r="P138" s="249" t="inlineStr">
        <is>
          <t>元大期貨</t>
        </is>
      </c>
    </row>
    <row r="139" hidden="1" outlineLevel="2" ht="17.25" customHeight="1" thickBot="1">
      <c r="A139" s="696" t="n">
        <v>45624</v>
      </c>
      <c r="B139" s="234" t="inlineStr">
        <is>
          <t>TXO</t>
        </is>
      </c>
      <c r="C139" s="229" t="inlineStr">
        <is>
          <t>週W1 P 12 22000 P</t>
        </is>
      </c>
      <c r="D139" s="229" t="inlineStr">
        <is>
          <t>新倉</t>
        </is>
      </c>
      <c r="E139" s="257" t="inlineStr">
        <is>
          <t>買</t>
        </is>
      </c>
      <c r="F139" s="229" t="inlineStr">
        <is>
          <t>-</t>
        </is>
      </c>
      <c r="G139" s="697" t="n">
        <v>1</v>
      </c>
      <c r="H139" s="698" t="n">
        <v>187</v>
      </c>
      <c r="I139" s="697" t="n">
        <v>-9350</v>
      </c>
      <c r="J139" s="585" t="n">
        <v>18</v>
      </c>
      <c r="K139" s="585" t="n">
        <v>9</v>
      </c>
      <c r="L139" s="585">
        <f>IF(B139="TXO",I139-SUM(J139:K139),IF(B139="FITX",IF(D139="新倉",-SUM(J139:K139),IF(E139="賣",(H139-H138)*G139*200-SUM(J139:K139),(H138-H139)*G139*200-SUM(J139:K139))),IF(D139="新倉",-SUM(J139:K139),IF(E139="賣",(H139-H138)*G139*50-SUM(J139:K139),(H138-H139)*G139*50-SUM(J139:K139)))))</f>
        <v/>
      </c>
      <c r="M139" s="699">
        <f>L139</f>
        <v/>
      </c>
      <c r="N139" s="686">
        <f>M139</f>
        <v/>
      </c>
      <c r="O139" s="261" t="inlineStr">
        <is>
          <t>放棄</t>
        </is>
      </c>
      <c r="P139" s="249" t="inlineStr">
        <is>
          <t>元大期貨</t>
        </is>
      </c>
    </row>
    <row r="140" outlineLevel="1" collapsed="1" ht="17.25" customHeight="1" thickBot="1">
      <c r="A140" s="273" t="inlineStr">
        <is>
          <t>11月總計</t>
        </is>
      </c>
      <c r="B140" s="274" t="n"/>
      <c r="C140" s="274" t="n"/>
      <c r="D140" s="274" t="n"/>
      <c r="E140" s="274" t="n"/>
      <c r="F140" s="274" t="n"/>
      <c r="G140" s="715" t="n"/>
      <c r="H140" s="715" t="n"/>
      <c r="I140" s="715" t="n"/>
      <c r="J140" s="716" t="n"/>
      <c r="K140" s="715" t="n"/>
      <c r="L140" s="717">
        <f>SUM(L120:L127,L129:L139)</f>
        <v/>
      </c>
      <c r="M140" s="717">
        <f>SUM(M120:M127,M129:M139)</f>
        <v/>
      </c>
      <c r="N140" s="666" t="n"/>
    </row>
    <row r="141" hidden="1" outlineLevel="2">
      <c r="A141" s="696" t="n">
        <v>45628</v>
      </c>
      <c r="B141" s="234" t="inlineStr">
        <is>
          <t>TXO</t>
        </is>
      </c>
      <c r="C141" s="229" t="inlineStr">
        <is>
          <t>週W1 P 12 22100 P</t>
        </is>
      </c>
      <c r="D141" s="229" t="inlineStr">
        <is>
          <t>新倉</t>
        </is>
      </c>
      <c r="E141" s="257" t="inlineStr">
        <is>
          <t>買</t>
        </is>
      </c>
      <c r="F141" s="229" t="inlineStr">
        <is>
          <t>-</t>
        </is>
      </c>
      <c r="G141" s="697" t="n">
        <v>1</v>
      </c>
      <c r="H141" s="698" t="n">
        <v>27.5</v>
      </c>
      <c r="I141" s="697" t="n">
        <v>-1375</v>
      </c>
      <c r="J141" s="585" t="n">
        <v>18</v>
      </c>
      <c r="K141" s="585" t="n">
        <v>1</v>
      </c>
      <c r="L141" s="585">
        <f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/>
      </c>
      <c r="M141" s="699">
        <f>L141</f>
        <v/>
      </c>
      <c r="N141" s="686">
        <f>M141</f>
        <v/>
      </c>
      <c r="O141" s="261" t="inlineStr">
        <is>
          <t>放棄</t>
        </is>
      </c>
      <c r="P141" s="249" t="inlineStr">
        <is>
          <t>元大期貨</t>
        </is>
      </c>
    </row>
    <row r="142" hidden="1" outlineLevel="2">
      <c r="A142" s="696" t="n">
        <v>45629</v>
      </c>
      <c r="B142" s="234" t="inlineStr">
        <is>
          <t>TXO</t>
        </is>
      </c>
      <c r="C142" s="229" t="inlineStr">
        <is>
          <t>週W1 P 12 22700 P</t>
        </is>
      </c>
      <c r="D142" s="229" t="inlineStr">
        <is>
          <t>新倉</t>
        </is>
      </c>
      <c r="E142" s="257" t="inlineStr">
        <is>
          <t>買</t>
        </is>
      </c>
      <c r="F142" s="229" t="inlineStr">
        <is>
          <t>-</t>
        </is>
      </c>
      <c r="G142" s="697" t="n">
        <v>2</v>
      </c>
      <c r="H142" s="698" t="n">
        <v>13.5</v>
      </c>
      <c r="I142" s="697" t="n">
        <v>-1350</v>
      </c>
      <c r="J142" s="585" t="n">
        <v>36</v>
      </c>
      <c r="K142" s="585" t="n">
        <v>2</v>
      </c>
      <c r="L142" s="585">
        <f>IF(B142="TXO",I142-SUM(J142:K142),IF(B142="FITX",IF(D142="新倉",-SUM(J142:K142),IF(E142="賣",(H142-H141)*G142*200-SUM(J142:K142),(H141-H142)*G142*200-SUM(J142:K142))),IF(D142="新倉",-SUM(J142:K142),IF(E142="賣",(H142-H141)*G142*50-SUM(J142:K142),(H141-H142)*G142*50-SUM(J142:K142)))))</f>
        <v/>
      </c>
      <c r="M142" s="699">
        <f>L142</f>
        <v/>
      </c>
      <c r="N142" s="686">
        <f>M142</f>
        <v/>
      </c>
      <c r="O142" s="261" t="inlineStr">
        <is>
          <t>放棄</t>
        </is>
      </c>
      <c r="P142" s="249" t="inlineStr">
        <is>
          <t>元大期貨</t>
        </is>
      </c>
    </row>
    <row r="143" hidden="1" outlineLevel="2">
      <c r="A143" s="696" t="n">
        <v>45629</v>
      </c>
      <c r="B143" s="234" t="inlineStr">
        <is>
          <t>TXO</t>
        </is>
      </c>
      <c r="C143" s="229" t="inlineStr">
        <is>
          <t>週W1 P 12 22700 P</t>
        </is>
      </c>
      <c r="D143" s="229" t="inlineStr">
        <is>
          <t>新倉</t>
        </is>
      </c>
      <c r="E143" s="257" t="inlineStr">
        <is>
          <t>買</t>
        </is>
      </c>
      <c r="F143" s="229" t="inlineStr">
        <is>
          <t>-</t>
        </is>
      </c>
      <c r="G143" s="697" t="n">
        <v>1</v>
      </c>
      <c r="H143" s="698" t="n">
        <v>25</v>
      </c>
      <c r="I143" s="697" t="n">
        <v>-1250</v>
      </c>
      <c r="J143" s="585" t="n">
        <v>18</v>
      </c>
      <c r="K143" s="585" t="n">
        <v>1</v>
      </c>
      <c r="L143" s="585">
        <f>IF(B143="TXO",I143-SUM(J143:K143),IF(B143="FITX",IF(D143="新倉",-SUM(J143:K143),IF(E143="賣",(H143-H142)*G143*200-SUM(J143:K143),(H142-H143)*G143*200-SUM(J143:K143))),IF(D143="新倉",-SUM(J143:K143),IF(E143="賣",(H143-H142)*G143*50-SUM(J143:K143),(H142-H143)*G143*50-SUM(J143:K143)))))</f>
        <v/>
      </c>
      <c r="M143" s="699">
        <f>L143</f>
        <v/>
      </c>
      <c r="N143" s="686">
        <f>M143</f>
        <v/>
      </c>
      <c r="O143" s="261" t="inlineStr">
        <is>
          <t>放棄</t>
        </is>
      </c>
      <c r="P143" s="249" t="inlineStr">
        <is>
          <t>元大期貨</t>
        </is>
      </c>
    </row>
    <row r="144" hidden="1" outlineLevel="2">
      <c r="A144" s="696" t="n">
        <v>45630</v>
      </c>
      <c r="B144" s="234" t="inlineStr">
        <is>
          <t>TXO</t>
        </is>
      </c>
      <c r="C144" s="229" t="inlineStr">
        <is>
          <t>週W1 P 12 23000 P</t>
        </is>
      </c>
      <c r="D144" s="229" t="inlineStr">
        <is>
          <t>新倉</t>
        </is>
      </c>
      <c r="E144" s="257" t="inlineStr">
        <is>
          <t>買</t>
        </is>
      </c>
      <c r="F144" s="229" t="inlineStr">
        <is>
          <t>-</t>
        </is>
      </c>
      <c r="G144" s="697" t="n">
        <v>1</v>
      </c>
      <c r="H144" s="698" t="n">
        <v>23</v>
      </c>
      <c r="I144" s="697" t="n">
        <v>-1150</v>
      </c>
      <c r="J144" s="585" t="n">
        <v>18</v>
      </c>
      <c r="K144" s="585" t="n">
        <v>1</v>
      </c>
      <c r="L144" s="585">
        <f>IF(B144="TXO",I144-SUM(J144:K144),IF(B144="FITX",IF(D144="新倉",-SUM(J144:K144),IF(E144="賣",(H144-H143)*G144*200-SUM(J144:K144),(H143-H144)*G144*200-SUM(J144:K144))),IF(D144="新倉",-SUM(J144:K144),IF(E144="賣",(H144-H143)*G144*50-SUM(J144:K144),(H143-H144)*G144*50-SUM(J144:K144)))))</f>
        <v/>
      </c>
      <c r="M144" s="699">
        <f>L144</f>
        <v/>
      </c>
      <c r="N144" s="686">
        <f>M144</f>
        <v/>
      </c>
      <c r="O144" s="261" t="inlineStr">
        <is>
          <t>放棄</t>
        </is>
      </c>
      <c r="P144" s="249" t="inlineStr">
        <is>
          <t>元大期貨</t>
        </is>
      </c>
    </row>
    <row r="145" hidden="1" outlineLevel="2">
      <c r="A145" s="696" t="n">
        <v>45636</v>
      </c>
      <c r="B145" s="234" t="inlineStr">
        <is>
          <t>TXO</t>
        </is>
      </c>
      <c r="C145" s="229" t="inlineStr">
        <is>
          <t>週W2 P 12 22800 P</t>
        </is>
      </c>
      <c r="D145" s="229" t="inlineStr">
        <is>
          <t>新倉</t>
        </is>
      </c>
      <c r="E145" s="257" t="inlineStr">
        <is>
          <t>買</t>
        </is>
      </c>
      <c r="F145" s="229" t="inlineStr">
        <is>
          <t>-</t>
        </is>
      </c>
      <c r="G145" s="697" t="n">
        <v>1</v>
      </c>
      <c r="H145" s="698" t="n">
        <v>23</v>
      </c>
      <c r="I145" s="697" t="n">
        <v>-1150</v>
      </c>
      <c r="J145" s="585" t="n">
        <v>18</v>
      </c>
      <c r="K145" s="585" t="n">
        <v>1</v>
      </c>
      <c r="L145" s="585">
        <f>IF(B145="TXO",I145-SUM(J145:K145),IF(B145="FITX",IF(D145="新倉",-SUM(J145:K145),IF(E145="賣",(H145-H144)*G145*200-SUM(J145:K145),(H144-H145)*G145*200-SUM(J145:K145))),IF(D145="新倉",-SUM(J145:K145),IF(E145="賣",(H145-H144)*G145*50-SUM(J145:K145),(H144-H145)*G145*50-SUM(J145:K145)))))</f>
        <v/>
      </c>
      <c r="M145" s="699">
        <f>L145</f>
        <v/>
      </c>
      <c r="N145" s="686">
        <f>M145</f>
        <v/>
      </c>
      <c r="O145" s="261" t="inlineStr">
        <is>
          <t>放棄</t>
        </is>
      </c>
      <c r="P145" s="249" t="inlineStr">
        <is>
          <t>元大期貨</t>
        </is>
      </c>
    </row>
    <row r="146" hidden="1" outlineLevel="2">
      <c r="A146" s="696" t="n">
        <v>45642</v>
      </c>
      <c r="B146" s="234" t="inlineStr">
        <is>
          <t>TXO</t>
        </is>
      </c>
      <c r="C146" s="229" t="inlineStr">
        <is>
          <t>台指 P 12 22600 P</t>
        </is>
      </c>
      <c r="D146" s="229" t="inlineStr">
        <is>
          <t>新倉</t>
        </is>
      </c>
      <c r="E146" s="257" t="inlineStr">
        <is>
          <t>買</t>
        </is>
      </c>
      <c r="F146" s="229" t="inlineStr">
        <is>
          <t>-</t>
        </is>
      </c>
      <c r="G146" s="697" t="n">
        <v>1</v>
      </c>
      <c r="H146" s="698" t="n">
        <v>30.5</v>
      </c>
      <c r="I146" s="697" t="n">
        <v>-1525</v>
      </c>
      <c r="J146" s="585" t="n">
        <v>18</v>
      </c>
      <c r="K146" s="585" t="n">
        <v>2</v>
      </c>
      <c r="L146" s="585">
        <f>IF(B146="TXO",I146-SUM(J146:K146),IF(B146="FITX",IF(D146="新倉",-SUM(J146:K146),IF(E146="賣",(H146-H145)*G146*200-SUM(J146:K146),(H145-H146)*G146*200-SUM(J146:K146))),IF(D146="新倉",-SUM(J146:K146),IF(E146="賣",(H146-H145)*G146*50-SUM(J146:K146),(H145-H146)*G146*50-SUM(J146:K146)))))</f>
        <v/>
      </c>
      <c r="M146" s="699">
        <f>L146</f>
        <v/>
      </c>
      <c r="N146" s="686">
        <f>M146</f>
        <v/>
      </c>
      <c r="O146" s="261" t="inlineStr">
        <is>
          <t>放棄</t>
        </is>
      </c>
      <c r="P146" s="249" t="inlineStr">
        <is>
          <t>元大期貨</t>
        </is>
      </c>
    </row>
    <row r="147" hidden="1" outlineLevel="2">
      <c r="A147" s="696" t="n">
        <v>45643</v>
      </c>
      <c r="B147" s="234" t="inlineStr">
        <is>
          <t>TXO</t>
        </is>
      </c>
      <c r="C147" s="229" t="inlineStr">
        <is>
          <t>台指 P 12 23000 P</t>
        </is>
      </c>
      <c r="D147" s="229" t="inlineStr">
        <is>
          <t>新倉</t>
        </is>
      </c>
      <c r="E147" s="257" t="inlineStr">
        <is>
          <t>買</t>
        </is>
      </c>
      <c r="F147" s="229" t="inlineStr">
        <is>
          <t>-</t>
        </is>
      </c>
      <c r="G147" s="697" t="n">
        <v>1</v>
      </c>
      <c r="H147" s="698" t="n">
        <v>42.5</v>
      </c>
      <c r="I147" s="697" t="n">
        <v>-2125</v>
      </c>
      <c r="J147" s="585" t="n">
        <v>18</v>
      </c>
      <c r="K147" s="585" t="n">
        <v>2</v>
      </c>
      <c r="L147" s="585">
        <f>IF(B147="TXO",I147-SUM(J147:K147),IF(B147="FITX",IF(D147="新倉",-SUM(J147:K147),IF(E147="賣",(H147-H146)*G147*200-SUM(J147:K147),(H146-H147)*G147*200-SUM(J147:K147))),IF(D147="新倉",-SUM(J147:K147),IF(E147="賣",(H147-H146)*G147*50-SUM(J147:K147),(H146-H147)*G147*50-SUM(J147:K147)))))</f>
        <v/>
      </c>
      <c r="M147" s="699">
        <f>L147</f>
        <v/>
      </c>
      <c r="N147" s="686">
        <f>M147</f>
        <v/>
      </c>
      <c r="O147" s="261" t="inlineStr">
        <is>
          <t>放棄</t>
        </is>
      </c>
      <c r="P147" s="249" t="inlineStr">
        <is>
          <t>元大期貨</t>
        </is>
      </c>
    </row>
    <row r="148" hidden="1" outlineLevel="2">
      <c r="A148" s="696" t="n">
        <v>45644</v>
      </c>
      <c r="B148" s="234" t="inlineStr">
        <is>
          <t>TXO</t>
        </is>
      </c>
      <c r="C148" s="229" t="inlineStr">
        <is>
          <t>台指 P 12 23000 P</t>
        </is>
      </c>
      <c r="D148" s="229" t="inlineStr">
        <is>
          <t>平倉</t>
        </is>
      </c>
      <c r="E148" s="257" t="inlineStr">
        <is>
          <t>賣</t>
        </is>
      </c>
      <c r="F148" s="229" t="inlineStr">
        <is>
          <t>-</t>
        </is>
      </c>
      <c r="G148" s="697" t="n">
        <v>1</v>
      </c>
      <c r="H148" s="698" t="n">
        <v>93</v>
      </c>
      <c r="I148" s="697" t="n">
        <v>4650</v>
      </c>
      <c r="J148" s="585" t="n">
        <v>18</v>
      </c>
      <c r="K148" s="585" t="n">
        <v>5</v>
      </c>
      <c r="L148" s="585">
        <f>IF(B148="TXO",I148-SUM(J148:K148),IF(B148="FITX",IF(D148="新倉",-SUM(J148:K148),IF(E148="賣",(H148-H147)*G148*200-SUM(J148:K148),(H147-H148)*G148*200-SUM(J148:K148))),IF(D148="新倉",-SUM(J148:K148),IF(E148="賣",(H148-H147)*G148*50-SUM(J148:K148),(H147-H148)*G148*50-SUM(J148:K148)))))</f>
        <v/>
      </c>
      <c r="M148" s="699">
        <f>L148</f>
        <v/>
      </c>
      <c r="N148" s="686">
        <f>M148</f>
        <v/>
      </c>
      <c r="O148" s="249" t="inlineStr">
        <is>
          <t>平倉</t>
        </is>
      </c>
      <c r="P148" s="249" t="inlineStr">
        <is>
          <t>元大期貨</t>
        </is>
      </c>
    </row>
    <row r="149" outlineLevel="1" collapsed="1" ht="17.25" customHeight="1" thickBot="1">
      <c r="A149" s="691" t="n">
        <v>45643</v>
      </c>
      <c r="B149" s="251" t="n"/>
      <c r="C149" s="252" t="inlineStr">
        <is>
          <t>入金</t>
        </is>
      </c>
      <c r="D149" s="252" t="n"/>
      <c r="E149" s="252" t="n"/>
      <c r="F149" s="252" t="n"/>
      <c r="G149" s="692" t="n"/>
      <c r="H149" s="692" t="n"/>
      <c r="I149" s="692" t="n"/>
      <c r="J149" s="693" t="n"/>
      <c r="K149" s="693" t="n"/>
      <c r="L149" s="693" t="n">
        <v>20000</v>
      </c>
      <c r="M149" s="694">
        <f>L149</f>
        <v/>
      </c>
    </row>
    <row r="150" outlineLevel="1" ht="17.25" customHeight="1" thickBot="1">
      <c r="A150" s="273" t="inlineStr">
        <is>
          <t>12月總計</t>
        </is>
      </c>
      <c r="B150" s="274" t="n"/>
      <c r="C150" s="274" t="n"/>
      <c r="D150" s="274" t="n"/>
      <c r="E150" s="274" t="n"/>
      <c r="F150" s="274" t="n"/>
      <c r="G150" s="715" t="n"/>
      <c r="H150" s="715" t="n"/>
      <c r="I150" s="715" t="n"/>
      <c r="J150" s="716" t="n"/>
      <c r="K150" s="715" t="n"/>
      <c r="L150" s="717">
        <f>SUM(L141:L148)</f>
        <v/>
      </c>
      <c r="M150" s="717">
        <f>SUM(M141:M148)</f>
        <v/>
      </c>
      <c r="N150" s="666" t="n"/>
    </row>
    <row r="151" ht="17.25" customFormat="1" customHeight="1" s="244" thickBot="1">
      <c r="A151" s="262" t="inlineStr">
        <is>
          <t>2024總計</t>
        </is>
      </c>
      <c r="B151" s="149" t="inlineStr">
        <is>
          <t>帳戶餘額</t>
        </is>
      </c>
      <c r="C151" s="700">
        <f>SUM(M151,M149,M128,M88,M23)</f>
        <v/>
      </c>
      <c r="D151" s="701" t="n"/>
      <c r="E151" s="263" t="n"/>
      <c r="F151" s="263" t="n"/>
      <c r="G151" s="702" t="n"/>
      <c r="H151" s="702" t="n"/>
      <c r="I151" s="702" t="n"/>
      <c r="J151" s="703" t="n"/>
      <c r="K151" s="702" t="n"/>
      <c r="L151" s="704">
        <f>SUM(L26,L31,L34,L38,L42,L71,L85,L96,L119,L140,L150)</f>
        <v/>
      </c>
      <c r="M151" s="704">
        <f>SUM(M26,M31,M34,M38,M42,M71,M85,M96,M119,M140,M150)</f>
        <v/>
      </c>
      <c r="N151" s="706" t="n"/>
      <c r="O151" s="255" t="n"/>
    </row>
    <row r="152" hidden="1" outlineLevel="1" collapsed="1" customFormat="1" s="244">
      <c r="A152" s="711" t="n">
        <v>45292</v>
      </c>
      <c r="B152" s="270" t="n"/>
      <c r="C152" s="271" t="inlineStr">
        <is>
          <t>2023 帳戶餘額</t>
        </is>
      </c>
      <c r="D152" s="271" t="n"/>
      <c r="E152" s="271" t="n"/>
      <c r="F152" s="271" t="n"/>
      <c r="G152" s="712" t="n"/>
      <c r="H152" s="712" t="n"/>
      <c r="I152" s="712" t="n"/>
      <c r="J152" s="713" t="n"/>
      <c r="K152" s="713" t="n"/>
      <c r="L152" s="713">
        <f>C151</f>
        <v/>
      </c>
      <c r="M152" s="714">
        <f>L152</f>
        <v/>
      </c>
      <c r="N152" s="695" t="n"/>
      <c r="O152" s="255" t="n"/>
    </row>
    <row r="153" hidden="1" outlineLevel="1">
      <c r="A153" s="696" t="n">
        <v>45663</v>
      </c>
      <c r="B153" s="234" t="inlineStr">
        <is>
          <t>TXO</t>
        </is>
      </c>
      <c r="C153" s="229" t="inlineStr">
        <is>
          <t>週W2 P 01 23100 P</t>
        </is>
      </c>
      <c r="D153" s="229" t="inlineStr">
        <is>
          <t>新倉</t>
        </is>
      </c>
      <c r="E153" s="257" t="inlineStr">
        <is>
          <t>買</t>
        </is>
      </c>
      <c r="F153" s="229" t="inlineStr">
        <is>
          <t>-</t>
        </is>
      </c>
      <c r="G153" s="697" t="n">
        <v>1</v>
      </c>
      <c r="H153" s="698" t="n">
        <v>23</v>
      </c>
      <c r="I153" s="697" t="n">
        <v>-1150</v>
      </c>
      <c r="J153" s="585" t="n">
        <v>18</v>
      </c>
      <c r="K153" s="585" t="n">
        <v>1</v>
      </c>
      <c r="L153" s="585">
        <f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/>
      </c>
      <c r="M153" s="699">
        <f>L153</f>
        <v/>
      </c>
      <c r="O153" s="261" t="inlineStr">
        <is>
          <t>放棄</t>
        </is>
      </c>
      <c r="P153" s="249" t="inlineStr">
        <is>
          <t>元大期貨</t>
        </is>
      </c>
    </row>
    <row r="154" hidden="1" outlineLevel="1">
      <c r="A154" s="696" t="n">
        <v>45664</v>
      </c>
      <c r="B154" s="234" t="inlineStr">
        <is>
          <t>TXO</t>
        </is>
      </c>
      <c r="C154" s="229" t="inlineStr">
        <is>
          <t>週W2 P 01 23450 P</t>
        </is>
      </c>
      <c r="D154" s="229" t="inlineStr">
        <is>
          <t>新倉</t>
        </is>
      </c>
      <c r="E154" s="257" t="inlineStr">
        <is>
          <t>買</t>
        </is>
      </c>
      <c r="F154" s="229" t="inlineStr">
        <is>
          <t>-</t>
        </is>
      </c>
      <c r="G154" s="697" t="n">
        <v>1</v>
      </c>
      <c r="H154" s="698" t="n">
        <v>18.5</v>
      </c>
      <c r="I154" s="697" t="n">
        <v>-925</v>
      </c>
      <c r="J154" s="585" t="n">
        <v>18</v>
      </c>
      <c r="K154" s="585" t="n">
        <v>1</v>
      </c>
      <c r="L154" s="585">
        <f>IF(B154="TXO",I154-SUM(J154:K154),IF(B154="FITX",IF(D154="新倉",-SUM(J154:K154),IF(E154="賣",(H154-H153)*G154*200-SUM(J154:K154),(H153-H154)*G154*200-SUM(J154:K154))),IF(D154="新倉",-SUM(J154:K154),IF(E154="賣",(H154-H153)*G154*50-SUM(J154:K154),(H153-H154)*G154*50-SUM(J154:K154)))))</f>
        <v/>
      </c>
      <c r="M154" s="699">
        <f>L154</f>
        <v/>
      </c>
      <c r="N154" s="686">
        <f>SUM(M149,M154)</f>
        <v/>
      </c>
      <c r="O154" s="261" t="inlineStr">
        <is>
          <t>放棄</t>
        </is>
      </c>
      <c r="P154" s="249" t="inlineStr">
        <is>
          <t>元大期貨</t>
        </is>
      </c>
    </row>
    <row r="155" hidden="1" outlineLevel="1">
      <c r="A155" s="696" t="n">
        <v>45664</v>
      </c>
      <c r="B155" s="234" t="inlineStr">
        <is>
          <t>TXO</t>
        </is>
      </c>
      <c r="C155" s="229" t="inlineStr">
        <is>
          <t>週W2 P 01 23500 P</t>
        </is>
      </c>
      <c r="D155" s="229" t="inlineStr">
        <is>
          <t>新倉</t>
        </is>
      </c>
      <c r="E155" s="257" t="inlineStr">
        <is>
          <t>買</t>
        </is>
      </c>
      <c r="F155" s="229" t="inlineStr">
        <is>
          <t>-</t>
        </is>
      </c>
      <c r="G155" s="697" t="n">
        <v>1</v>
      </c>
      <c r="H155" s="698" t="n">
        <v>24</v>
      </c>
      <c r="I155" s="697" t="n">
        <v>-1200</v>
      </c>
      <c r="J155" s="585" t="n">
        <v>18</v>
      </c>
      <c r="K155" s="585" t="n">
        <v>1</v>
      </c>
      <c r="L155" s="585">
        <f>IF(B155="TXO",I155-SUM(J155:K155),IF(B155="FITX",IF(D155="新倉",-SUM(J155:K155),IF(E155="賣",(H155-H154)*G155*200-SUM(J155:K155),(H154-H155)*G155*200-SUM(J155:K155))),IF(D155="新倉",-SUM(J155:K155),IF(E155="賣",(H155-H154)*G155*50-SUM(J155:K155),(H154-H155)*G155*50-SUM(J155:K155)))))</f>
        <v/>
      </c>
      <c r="M155" s="699">
        <f>L155</f>
        <v/>
      </c>
      <c r="N155" s="686">
        <f>SUM(M153,M155)</f>
        <v/>
      </c>
      <c r="O155" s="261" t="inlineStr">
        <is>
          <t>放棄</t>
        </is>
      </c>
      <c r="P155" s="249" t="inlineStr">
        <is>
          <t>元大期貨</t>
        </is>
      </c>
    </row>
    <row r="156" hidden="1" outlineLevel="1">
      <c r="A156" s="696" t="n">
        <v>45664</v>
      </c>
      <c r="B156" s="234" t="inlineStr">
        <is>
          <t>TXO</t>
        </is>
      </c>
      <c r="C156" s="229" t="inlineStr">
        <is>
          <t>週W2 P 01 23500 P</t>
        </is>
      </c>
      <c r="D156" s="229" t="inlineStr">
        <is>
          <t>平倉</t>
        </is>
      </c>
      <c r="E156" s="257" t="inlineStr">
        <is>
          <t>賣</t>
        </is>
      </c>
      <c r="F156" s="229" t="inlineStr">
        <is>
          <t>-</t>
        </is>
      </c>
      <c r="G156" s="697" t="n">
        <v>1</v>
      </c>
      <c r="H156" s="698" t="n">
        <v>42</v>
      </c>
      <c r="I156" s="697">
        <f>H156*50</f>
        <v/>
      </c>
      <c r="J156" s="585" t="n">
        <v>18</v>
      </c>
      <c r="K156" s="585" t="n">
        <v>23</v>
      </c>
      <c r="L156" s="585">
        <f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/>
      </c>
      <c r="M156" s="699">
        <f>L156</f>
        <v/>
      </c>
      <c r="N156" s="686">
        <f>M156</f>
        <v/>
      </c>
      <c r="O156" s="276" t="inlineStr">
        <is>
          <t>履約</t>
        </is>
      </c>
      <c r="P156" s="249" t="inlineStr">
        <is>
          <t>元大期貨</t>
        </is>
      </c>
    </row>
    <row r="157" hidden="1" outlineLevel="1">
      <c r="A157" s="696" t="n">
        <v>45671</v>
      </c>
      <c r="B157" s="234" t="inlineStr">
        <is>
          <t>TXO</t>
        </is>
      </c>
      <c r="C157" s="229" t="inlineStr">
        <is>
          <t>台指 P 01 22250 P</t>
        </is>
      </c>
      <c r="D157" s="229" t="inlineStr">
        <is>
          <t>新倉</t>
        </is>
      </c>
      <c r="E157" s="257" t="inlineStr">
        <is>
          <t>買</t>
        </is>
      </c>
      <c r="F157" s="229" t="inlineStr">
        <is>
          <t>-</t>
        </is>
      </c>
      <c r="G157" s="697" t="n">
        <v>1</v>
      </c>
      <c r="H157" s="698" t="n">
        <v>44</v>
      </c>
      <c r="I157" s="697" t="n">
        <v>-2200</v>
      </c>
      <c r="J157" s="585" t="n">
        <v>18</v>
      </c>
      <c r="K157" s="585" t="n">
        <v>2</v>
      </c>
      <c r="L157" s="585">
        <f>IF(B157="TXO",I157-SUM(J157:K157),IF(B157="FITX",IF(D157="新倉",-SUM(J157:K157),IF(E157="賣",(H157-H156)*G157*200-SUM(J157:K157),(H156-H157)*G157*200-SUM(J157:K157))),IF(D157="新倉",-SUM(J157:K157),IF(E157="賣",(H157-H156)*G157*50-SUM(J157:K157),(H156-H157)*G157*50-SUM(J157:K157)))))</f>
        <v/>
      </c>
      <c r="M157" s="699">
        <f>L157</f>
        <v/>
      </c>
      <c r="N157" s="686">
        <f>SUM(M154,M157)</f>
        <v/>
      </c>
      <c r="O157" s="261" t="inlineStr">
        <is>
          <t>放棄</t>
        </is>
      </c>
      <c r="P157" s="249" t="inlineStr">
        <is>
          <t>元大期貨</t>
        </is>
      </c>
    </row>
    <row r="158" hidden="1" outlineLevel="1">
      <c r="A158" s="696" t="n">
        <v>45672</v>
      </c>
      <c r="B158" s="234" t="inlineStr">
        <is>
          <t>TXO</t>
        </is>
      </c>
      <c r="C158" s="229" t="inlineStr">
        <is>
          <t>台指 C 01 22800 C</t>
        </is>
      </c>
      <c r="D158" s="229" t="inlineStr">
        <is>
          <t>新倉</t>
        </is>
      </c>
      <c r="E158" s="257" t="inlineStr">
        <is>
          <t>買</t>
        </is>
      </c>
      <c r="F158" s="229" t="inlineStr">
        <is>
          <t>-</t>
        </is>
      </c>
      <c r="G158" s="697" t="n">
        <v>1</v>
      </c>
      <c r="H158" s="698" t="n">
        <v>14</v>
      </c>
      <c r="I158" s="697" t="n">
        <v>-700</v>
      </c>
      <c r="J158" s="585" t="n">
        <v>18</v>
      </c>
      <c r="K158" s="585" t="n">
        <v>1</v>
      </c>
      <c r="L158" s="585">
        <f>IF(B158="TXO",I158-SUM(J158:K158),IF(B158="FITX",IF(D158="新倉",-SUM(J158:K158),IF(E158="賣",(H158-H157)*G158*200-SUM(J158:K158),(H157-H158)*G158*200-SUM(J158:K158))),IF(D158="新倉",-SUM(J158:K158),IF(E158="賣",(H158-H157)*G158*50-SUM(J158:K158),(H157-H158)*G158*50-SUM(J158:K158)))))</f>
        <v/>
      </c>
      <c r="M158" s="699">
        <f>L158</f>
        <v/>
      </c>
      <c r="N158" s="686">
        <f>SUM(M155,M158)</f>
        <v/>
      </c>
      <c r="O158" s="261" t="inlineStr">
        <is>
          <t>放棄</t>
        </is>
      </c>
      <c r="P158" s="249" t="inlineStr">
        <is>
          <t>元大期貨</t>
        </is>
      </c>
    </row>
    <row r="159" hidden="1" outlineLevel="1">
      <c r="A159" s="696" t="n">
        <v>45677</v>
      </c>
      <c r="B159" s="234" t="inlineStr">
        <is>
          <t>TXO</t>
        </is>
      </c>
      <c r="C159" s="229" t="inlineStr">
        <is>
          <t>週W4 P 01 22900 P</t>
        </is>
      </c>
      <c r="D159" s="229" t="inlineStr">
        <is>
          <t>新倉</t>
        </is>
      </c>
      <c r="E159" s="257" t="inlineStr">
        <is>
          <t>買</t>
        </is>
      </c>
      <c r="F159" s="229" t="inlineStr">
        <is>
          <t>-</t>
        </is>
      </c>
      <c r="G159" s="697" t="n">
        <v>1</v>
      </c>
      <c r="H159" s="698" t="n">
        <v>33</v>
      </c>
      <c r="I159" s="697" t="n">
        <v>-1650</v>
      </c>
      <c r="J159" s="585" t="n">
        <v>18</v>
      </c>
      <c r="K159" s="585" t="n">
        <v>2</v>
      </c>
      <c r="L159" s="585">
        <f>IF(B159="TXO",I159-SUM(J159:K159),IF(B159="FITX",IF(D159="新倉",-SUM(J159:K159),IF(E159="賣",(H159-H158)*G159*200-SUM(J159:K159),(H158-H159)*G159*200-SUM(J159:K159))),IF(D159="新倉",-SUM(J159:K159),IF(E159="賣",(H159-H158)*G159*50-SUM(J159:K159),(H158-H159)*G159*50-SUM(J159:K159)))))</f>
        <v/>
      </c>
      <c r="M159" s="699">
        <f>L159</f>
        <v/>
      </c>
      <c r="N159" s="686">
        <f>M159</f>
        <v/>
      </c>
      <c r="O159" s="261" t="inlineStr">
        <is>
          <t>放棄</t>
        </is>
      </c>
      <c r="P159" s="249" t="inlineStr">
        <is>
          <t>元大期貨</t>
        </is>
      </c>
    </row>
    <row r="160" hidden="1" outlineLevel="1">
      <c r="A160" s="696" t="n">
        <v>45679</v>
      </c>
      <c r="B160" s="234" t="inlineStr">
        <is>
          <t>TXO</t>
        </is>
      </c>
      <c r="C160" s="229" t="inlineStr">
        <is>
          <t>週W4 P 01 23350 P</t>
        </is>
      </c>
      <c r="D160" s="229" t="inlineStr">
        <is>
          <t>新倉</t>
        </is>
      </c>
      <c r="E160" s="257" t="inlineStr">
        <is>
          <t>買</t>
        </is>
      </c>
      <c r="F160" s="229" t="inlineStr">
        <is>
          <t>-</t>
        </is>
      </c>
      <c r="G160" s="697" t="n">
        <v>1</v>
      </c>
      <c r="H160" s="698" t="n">
        <v>6.9</v>
      </c>
      <c r="I160" s="697" t="n">
        <v>-345</v>
      </c>
      <c r="J160" s="585" t="n">
        <v>18</v>
      </c>
      <c r="K160" s="585" t="n">
        <v>0</v>
      </c>
      <c r="L160" s="585">
        <f>IF(B160="TXO",I160-SUM(J160:K160),IF(B160="FITX",IF(D160="新倉",-SUM(J160:K160),IF(E160="賣",(H160-H159)*G160*200-SUM(J160:K160),(H159-H160)*G160*200-SUM(J160:K160))),IF(D160="新倉",-SUM(J160:K160),IF(E160="賣",(H160-H159)*G160*50-SUM(J160:K160),(H159-H160)*G160*50-SUM(J160:K160)))))</f>
        <v/>
      </c>
      <c r="M160" s="699">
        <f>L160</f>
        <v/>
      </c>
      <c r="N160" s="686">
        <f>M160</f>
        <v/>
      </c>
      <c r="O160" s="261" t="inlineStr">
        <is>
          <t>放棄</t>
        </is>
      </c>
      <c r="P160" s="249" t="inlineStr">
        <is>
          <t>元大期貨</t>
        </is>
      </c>
    </row>
    <row r="161" hidden="1" outlineLevel="1" ht="17.25" customHeight="1" thickBot="1">
      <c r="A161" s="696" t="n">
        <v>45679</v>
      </c>
      <c r="B161" s="234" t="inlineStr">
        <is>
          <t>TXO</t>
        </is>
      </c>
      <c r="C161" s="229" t="inlineStr">
        <is>
          <t>週W4 P 01 23400 P</t>
        </is>
      </c>
      <c r="D161" s="229" t="inlineStr">
        <is>
          <t>新倉</t>
        </is>
      </c>
      <c r="E161" s="257" t="inlineStr">
        <is>
          <t>買</t>
        </is>
      </c>
      <c r="F161" s="229" t="inlineStr">
        <is>
          <t>-</t>
        </is>
      </c>
      <c r="G161" s="697" t="n">
        <v>1</v>
      </c>
      <c r="H161" s="698" t="n">
        <v>12</v>
      </c>
      <c r="I161" s="697" t="n">
        <v>-600</v>
      </c>
      <c r="J161" s="585" t="n">
        <v>18</v>
      </c>
      <c r="K161" s="585" t="n">
        <v>1</v>
      </c>
      <c r="L161" s="585">
        <f>IF(B161="TXO",I161-SUM(J161:K161),IF(B161="FITX",IF(D161="新倉",-SUM(J161:K161),IF(E161="賣",(H161-H160)*G161*200-SUM(J161:K161),(H160-H161)*G161*200-SUM(J161:K161))),IF(D161="新倉",-SUM(J161:K161),IF(E161="賣",(H161-H160)*G161*50-SUM(J161:K161),(H160-H161)*G161*50-SUM(J161:K161)))))</f>
        <v/>
      </c>
      <c r="M161" s="699">
        <f>L161</f>
        <v/>
      </c>
      <c r="N161" s="686">
        <f>M161</f>
        <v/>
      </c>
      <c r="O161" s="261" t="inlineStr">
        <is>
          <t>放棄</t>
        </is>
      </c>
      <c r="P161" s="249" t="inlineStr">
        <is>
          <t>元大期貨</t>
        </is>
      </c>
    </row>
    <row r="162" collapsed="1" ht="17.25" customHeight="1" thickBot="1">
      <c r="A162" s="273" t="inlineStr">
        <is>
          <t>1月總計</t>
        </is>
      </c>
      <c r="B162" s="274" t="n"/>
      <c r="C162" s="274" t="n"/>
      <c r="D162" s="274" t="n"/>
      <c r="E162" s="274" t="n"/>
      <c r="F162" s="274" t="n"/>
      <c r="G162" s="715" t="n"/>
      <c r="H162" s="715" t="n"/>
      <c r="I162" s="715" t="n"/>
      <c r="J162" s="716" t="n"/>
      <c r="K162" s="715" t="n"/>
      <c r="L162" s="717">
        <f>SUM(L153:L161)</f>
        <v/>
      </c>
      <c r="M162" s="717">
        <f>SUM(M153:M161)</f>
        <v/>
      </c>
      <c r="N162" s="666" t="n"/>
    </row>
    <row r="163" hidden="1" outlineLevel="1">
      <c r="A163" s="696" t="n">
        <v>45693</v>
      </c>
      <c r="B163" s="234" t="inlineStr">
        <is>
          <t>TXO</t>
        </is>
      </c>
      <c r="C163" s="229" t="inlineStr">
        <is>
          <t>週W1 P 02 22600 P</t>
        </is>
      </c>
      <c r="D163" s="229" t="inlineStr">
        <is>
          <t>新倉</t>
        </is>
      </c>
      <c r="E163" s="257" t="inlineStr">
        <is>
          <t>買</t>
        </is>
      </c>
      <c r="F163" s="229" t="inlineStr">
        <is>
          <t>-</t>
        </is>
      </c>
      <c r="G163" s="697" t="n">
        <v>1</v>
      </c>
      <c r="H163" s="698" t="n">
        <v>23.5</v>
      </c>
      <c r="I163" s="697" t="n">
        <v>-1175</v>
      </c>
      <c r="J163" s="585" t="n">
        <v>18</v>
      </c>
      <c r="K163" s="585" t="n">
        <v>1</v>
      </c>
      <c r="L163" s="585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/>
      </c>
      <c r="M163" s="699">
        <f>L163</f>
        <v/>
      </c>
      <c r="N163" s="686">
        <f>M163</f>
        <v/>
      </c>
      <c r="O163" s="261" t="inlineStr">
        <is>
          <t>放棄</t>
        </is>
      </c>
      <c r="P163" s="249" t="inlineStr">
        <is>
          <t>元大期貨</t>
        </is>
      </c>
    </row>
    <row r="164" hidden="1" outlineLevel="1">
      <c r="A164" s="696" t="n">
        <v>45693</v>
      </c>
      <c r="B164" s="234" t="inlineStr">
        <is>
          <t>TXO</t>
        </is>
      </c>
      <c r="C164" s="229" t="inlineStr">
        <is>
          <t>週W1 P 02 22950 P</t>
        </is>
      </c>
      <c r="D164" s="229" t="inlineStr">
        <is>
          <t>新倉</t>
        </is>
      </c>
      <c r="E164" s="257" t="inlineStr">
        <is>
          <t>買</t>
        </is>
      </c>
      <c r="F164" s="229" t="inlineStr">
        <is>
          <t>-</t>
        </is>
      </c>
      <c r="G164" s="697" t="n">
        <v>1</v>
      </c>
      <c r="H164" s="698" t="n">
        <v>11</v>
      </c>
      <c r="I164" s="697" t="n">
        <v>-550</v>
      </c>
      <c r="J164" s="585" t="n">
        <v>18</v>
      </c>
      <c r="K164" s="585" t="n">
        <v>1</v>
      </c>
      <c r="L164" s="585">
        <f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/>
      </c>
      <c r="M164" s="699">
        <f>L164</f>
        <v/>
      </c>
      <c r="N164" s="686">
        <f>M164</f>
        <v/>
      </c>
      <c r="O164" s="261" t="inlineStr">
        <is>
          <t>放棄</t>
        </is>
      </c>
      <c r="P164" s="249" t="inlineStr">
        <is>
          <t>元大期貨</t>
        </is>
      </c>
    </row>
    <row r="165" hidden="1" outlineLevel="1">
      <c r="A165" s="696" t="n">
        <v>45698</v>
      </c>
      <c r="B165" s="234" t="inlineStr">
        <is>
          <t>TXO</t>
        </is>
      </c>
      <c r="C165" s="229" t="inlineStr">
        <is>
          <t>週W2 C 02 23600 C</t>
        </is>
      </c>
      <c r="D165" s="229" t="inlineStr">
        <is>
          <t>新倉</t>
        </is>
      </c>
      <c r="E165" s="257" t="inlineStr">
        <is>
          <t>買</t>
        </is>
      </c>
      <c r="F165" s="229" t="inlineStr">
        <is>
          <t>-</t>
        </is>
      </c>
      <c r="G165" s="697" t="n">
        <v>1</v>
      </c>
      <c r="H165" s="698" t="n">
        <v>27</v>
      </c>
      <c r="I165" s="697" t="n">
        <v>-1350</v>
      </c>
      <c r="J165" s="585" t="n">
        <v>18</v>
      </c>
      <c r="K165" s="585" t="n">
        <v>1</v>
      </c>
      <c r="L165" s="585">
        <f>IF(B165="TXO",I165-SUM(J165:K165),IF(B165="FITX",IF(D165="新倉",-SUM(J165:K165),IF(E165="賣",(H165-H164)*G165*200-SUM(J165:K165),(H164-H165)*G165*200-SUM(J165:K165))),IF(D165="新倉",-SUM(J165:K165),IF(E165="賣",(H165-H164)*G165*50-SUM(J165:K165),(H164-H165)*G165*50-SUM(J165:K165)))))</f>
        <v/>
      </c>
      <c r="M165" s="699">
        <f>L165</f>
        <v/>
      </c>
      <c r="N165" s="686">
        <f>M165</f>
        <v/>
      </c>
      <c r="O165" s="261" t="inlineStr">
        <is>
          <t>放棄</t>
        </is>
      </c>
      <c r="P165" s="249" t="inlineStr">
        <is>
          <t>元大期貨</t>
        </is>
      </c>
    </row>
    <row r="166" hidden="1" outlineLevel="1">
      <c r="A166" s="696" t="n">
        <v>45706</v>
      </c>
      <c r="B166" s="234" t="inlineStr">
        <is>
          <t>TXO</t>
        </is>
      </c>
      <c r="C166" s="229" t="inlineStr">
        <is>
          <t>台指 C 02 23800 C</t>
        </is>
      </c>
      <c r="D166" s="229" t="inlineStr">
        <is>
          <t>新倉</t>
        </is>
      </c>
      <c r="E166" s="257" t="inlineStr">
        <is>
          <t>買</t>
        </is>
      </c>
      <c r="F166" s="229" t="inlineStr">
        <is>
          <t>-</t>
        </is>
      </c>
      <c r="G166" s="697" t="n">
        <v>1</v>
      </c>
      <c r="H166" s="698" t="n">
        <v>16</v>
      </c>
      <c r="I166" s="697" t="n">
        <v>-800</v>
      </c>
      <c r="J166" s="585" t="n">
        <v>18</v>
      </c>
      <c r="K166" s="585" t="n">
        <v>1</v>
      </c>
      <c r="L166" s="585">
        <f>IF(B166="TXO",I166-SUM(J166:K166),IF(B166="FITX",IF(D166="新倉",-SUM(J166:K166),IF(E166="賣",(H166-H165)*G166*200-SUM(J166:K166),(H165-H166)*G166*200-SUM(J166:K166))),IF(D166="新倉",-SUM(J166:K166),IF(E166="賣",(H166-H165)*G166*50-SUM(J166:K166),(H165-H166)*G166*50-SUM(J166:K166)))))</f>
        <v/>
      </c>
      <c r="M166" s="699">
        <f>L166</f>
        <v/>
      </c>
      <c r="N166" s="686">
        <f>M166</f>
        <v/>
      </c>
      <c r="O166" s="261" t="inlineStr">
        <is>
          <t>放棄</t>
        </is>
      </c>
      <c r="P166" s="249" t="inlineStr">
        <is>
          <t>元大期貨</t>
        </is>
      </c>
    </row>
    <row r="167" hidden="1" outlineLevel="1">
      <c r="A167" s="696" t="n">
        <v>45706</v>
      </c>
      <c r="B167" s="234" t="inlineStr">
        <is>
          <t>TXO</t>
        </is>
      </c>
      <c r="C167" s="229" t="inlineStr">
        <is>
          <t>台指 P 02 23400 P</t>
        </is>
      </c>
      <c r="D167" s="229" t="inlineStr">
        <is>
          <t>新倉</t>
        </is>
      </c>
      <c r="E167" s="257" t="inlineStr">
        <is>
          <t>買</t>
        </is>
      </c>
      <c r="F167" s="229" t="inlineStr">
        <is>
          <t>-</t>
        </is>
      </c>
      <c r="G167" s="697" t="n">
        <v>1</v>
      </c>
      <c r="H167" s="698" t="n">
        <v>20.5</v>
      </c>
      <c r="I167" s="697" t="n">
        <v>-1025</v>
      </c>
      <c r="J167" s="585" t="n">
        <v>18</v>
      </c>
      <c r="K167" s="585" t="n">
        <v>1</v>
      </c>
      <c r="L167" s="585">
        <f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/>
      </c>
      <c r="M167" s="699">
        <f>L167</f>
        <v/>
      </c>
      <c r="N167" s="686">
        <f>M167</f>
        <v/>
      </c>
      <c r="O167" s="261" t="inlineStr">
        <is>
          <t>放棄</t>
        </is>
      </c>
      <c r="P167" s="249" t="inlineStr">
        <is>
          <t>元大期貨</t>
        </is>
      </c>
    </row>
    <row r="168" hidden="1" outlineLevel="1">
      <c r="A168" s="696" t="n">
        <v>45707</v>
      </c>
      <c r="B168" s="234" t="inlineStr">
        <is>
          <t>TXO</t>
        </is>
      </c>
      <c r="C168" s="229" t="inlineStr">
        <is>
          <t>台指 C 02 23700 C</t>
        </is>
      </c>
      <c r="D168" s="229" t="inlineStr">
        <is>
          <t>新倉</t>
        </is>
      </c>
      <c r="E168" s="257" t="inlineStr">
        <is>
          <t>買</t>
        </is>
      </c>
      <c r="F168" s="229" t="inlineStr">
        <is>
          <t>-</t>
        </is>
      </c>
      <c r="G168" s="697" t="n">
        <v>1</v>
      </c>
      <c r="H168" s="698" t="n">
        <v>15.5</v>
      </c>
      <c r="I168" s="697" t="n">
        <v>-775</v>
      </c>
      <c r="J168" s="585" t="n">
        <v>18</v>
      </c>
      <c r="K168" s="585" t="n">
        <v>1</v>
      </c>
      <c r="L168" s="585">
        <f>IF(B168="TXO",I168-SUM(J168:K168),IF(B168="FITX",IF(D168="新倉",-SUM(J168:K168),IF(E168="賣",(H168-H167)*G168*200-SUM(J168:K168),(H167-H168)*G168*200-SUM(J168:K168))),IF(D168="新倉",-SUM(J168:K168),IF(E168="賣",(H168-H167)*G168*50-SUM(J168:K168),(H167-H168)*G168*50-SUM(J168:K168)))))</f>
        <v/>
      </c>
      <c r="M168" s="699">
        <f>L168</f>
        <v/>
      </c>
      <c r="N168" s="686">
        <f>M168</f>
        <v/>
      </c>
      <c r="O168" s="261" t="inlineStr">
        <is>
          <t>放棄</t>
        </is>
      </c>
      <c r="P168" s="249" t="inlineStr">
        <is>
          <t>元大期貨</t>
        </is>
      </c>
    </row>
    <row r="169" hidden="1" outlineLevel="1">
      <c r="A169" s="696" t="n">
        <v>45712</v>
      </c>
      <c r="B169" s="234" t="inlineStr">
        <is>
          <t>TXO</t>
        </is>
      </c>
      <c r="C169" s="229" t="inlineStr">
        <is>
          <t>週W4 C 02 23800 C</t>
        </is>
      </c>
      <c r="D169" s="229" t="inlineStr">
        <is>
          <t>新倉</t>
        </is>
      </c>
      <c r="E169" s="257" t="inlineStr">
        <is>
          <t>買</t>
        </is>
      </c>
      <c r="F169" s="229" t="inlineStr">
        <is>
          <t>-</t>
        </is>
      </c>
      <c r="G169" s="697" t="n">
        <v>1</v>
      </c>
      <c r="H169" s="698" t="n">
        <v>31</v>
      </c>
      <c r="I169" s="697" t="n">
        <v>-1550</v>
      </c>
      <c r="J169" s="585" t="n">
        <v>18</v>
      </c>
      <c r="K169" s="585" t="n">
        <v>2</v>
      </c>
      <c r="L169" s="585">
        <f>IF(B169="TXO",I169-SUM(J169:K169),IF(B169="FITX",IF(D169="新倉",-SUM(J169:K169),IF(E169="賣",(H169-H168)*G169*200-SUM(J169:K169),(H168-H169)*G169*200-SUM(J169:K169))),IF(D169="新倉",-SUM(J169:K169),IF(E169="賣",(H169-H168)*G169*50-SUM(J169:K169),(H168-H169)*G169*50-SUM(J169:K169)))))</f>
        <v/>
      </c>
      <c r="M169" s="699">
        <f>L169</f>
        <v/>
      </c>
      <c r="N169" s="686">
        <f>M169</f>
        <v/>
      </c>
      <c r="O169" s="261" t="inlineStr">
        <is>
          <t>放棄</t>
        </is>
      </c>
      <c r="P169" s="249" t="inlineStr">
        <is>
          <t>元大期貨</t>
        </is>
      </c>
    </row>
    <row r="170" hidden="1" outlineLevel="1" ht="17.25" customHeight="1" thickBot="1">
      <c r="A170" s="696" t="n">
        <v>45713</v>
      </c>
      <c r="B170" s="234" t="inlineStr">
        <is>
          <t>TXO</t>
        </is>
      </c>
      <c r="C170" s="229" t="inlineStr">
        <is>
          <t>週W4 C 02 23500 C</t>
        </is>
      </c>
      <c r="D170" s="229" t="inlineStr">
        <is>
          <t>新倉</t>
        </is>
      </c>
      <c r="E170" s="257" t="inlineStr">
        <is>
          <t>買</t>
        </is>
      </c>
      <c r="F170" s="229" t="inlineStr">
        <is>
          <t>-</t>
        </is>
      </c>
      <c r="G170" s="697" t="n">
        <v>1</v>
      </c>
      <c r="H170" s="698" t="n">
        <v>17</v>
      </c>
      <c r="I170" s="697" t="n">
        <v>-850</v>
      </c>
      <c r="J170" s="585" t="n">
        <v>18</v>
      </c>
      <c r="K170" s="585" t="n">
        <v>1</v>
      </c>
      <c r="L170" s="585">
        <f>IF(B170="TXO",I170-SUM(J170:K170),IF(B170="FITX",IF(D170="新倉",-SUM(J170:K170),IF(E170="賣",(H170-H169)*G170*200-SUM(J170:K170),(H169-H170)*G170*200-SUM(J170:K170))),IF(D170="新倉",-SUM(J170:K170),IF(E170="賣",(H170-H169)*G170*50-SUM(J170:K170),(H169-H170)*G170*50-SUM(J170:K170)))))</f>
        <v/>
      </c>
      <c r="M170" s="699">
        <f>L170</f>
        <v/>
      </c>
      <c r="N170" s="686">
        <f>M170</f>
        <v/>
      </c>
      <c r="O170" s="261" t="inlineStr">
        <is>
          <t>放棄</t>
        </is>
      </c>
      <c r="P170" s="249" t="inlineStr">
        <is>
          <t>元大期貨</t>
        </is>
      </c>
    </row>
    <row r="171" collapsed="1" ht="17.25" customHeight="1" thickBot="1">
      <c r="A171" s="273" t="inlineStr">
        <is>
          <t>2月總計</t>
        </is>
      </c>
      <c r="B171" s="274" t="n"/>
      <c r="C171" s="274" t="n"/>
      <c r="D171" s="274" t="n"/>
      <c r="E171" s="274" t="n"/>
      <c r="F171" s="274" t="n"/>
      <c r="G171" s="715" t="n"/>
      <c r="H171" s="715" t="n"/>
      <c r="I171" s="715" t="n"/>
      <c r="J171" s="716" t="n"/>
      <c r="K171" s="715" t="n"/>
      <c r="L171" s="717">
        <f>SUM(L163:L170)</f>
        <v/>
      </c>
      <c r="M171" s="717">
        <f>SUM(M163:M170)</f>
        <v/>
      </c>
      <c r="N171" s="666" t="n"/>
    </row>
    <row r="172" hidden="1" outlineLevel="1">
      <c r="A172" s="696" t="n">
        <v>45720</v>
      </c>
      <c r="B172" s="234" t="inlineStr">
        <is>
          <t>TXO</t>
        </is>
      </c>
      <c r="C172" s="229" t="inlineStr">
        <is>
          <t>週W1 P 03 22300 P</t>
        </is>
      </c>
      <c r="D172" s="229" t="inlineStr">
        <is>
          <t>新倉</t>
        </is>
      </c>
      <c r="E172" s="257" t="inlineStr">
        <is>
          <t>買</t>
        </is>
      </c>
      <c r="F172" s="229" t="inlineStr">
        <is>
          <t>-</t>
        </is>
      </c>
      <c r="G172" s="697" t="n">
        <v>2</v>
      </c>
      <c r="H172" s="698" t="n">
        <v>30</v>
      </c>
      <c r="I172" s="697" t="n">
        <v>-3000</v>
      </c>
      <c r="J172" s="585" t="n">
        <v>36</v>
      </c>
      <c r="K172" s="585" t="n">
        <v>4</v>
      </c>
      <c r="L172" s="585">
        <f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/>
      </c>
      <c r="M172" s="699">
        <f>L172</f>
        <v/>
      </c>
      <c r="O172" s="249" t="inlineStr">
        <is>
          <t>新倉</t>
        </is>
      </c>
      <c r="P172" s="249" t="inlineStr">
        <is>
          <t>元大期貨</t>
        </is>
      </c>
    </row>
    <row r="173" hidden="1" outlineLevel="1">
      <c r="A173" s="696" t="n">
        <v>45721</v>
      </c>
      <c r="B173" s="234" t="inlineStr">
        <is>
          <t>TXO</t>
        </is>
      </c>
      <c r="C173" s="229" t="inlineStr">
        <is>
          <t>週W1 P 03 22300 P</t>
        </is>
      </c>
      <c r="D173" s="229" t="inlineStr">
        <is>
          <t>平倉</t>
        </is>
      </c>
      <c r="E173" s="257" t="inlineStr">
        <is>
          <t>賣</t>
        </is>
      </c>
      <c r="F173" s="229" t="inlineStr">
        <is>
          <t>-</t>
        </is>
      </c>
      <c r="G173" s="697" t="n">
        <v>1</v>
      </c>
      <c r="H173" s="698" t="n">
        <v>75</v>
      </c>
      <c r="I173" s="697" t="n">
        <v>3750</v>
      </c>
      <c r="J173" s="585" t="n">
        <v>18</v>
      </c>
      <c r="K173" s="585" t="n">
        <v>4</v>
      </c>
      <c r="L173" s="585">
        <f>IF(B173="TXO",I173-SUM(J173:K173),IF(B173="FITX",IF(D173="新倉",-SUM(J173:K173),IF(E173="賣",(H173-H172)*G173*200-SUM(J173:K173),(H172-H173)*G173*200-SUM(J173:K173))),IF(D173="新倉",-SUM(J173:K173),IF(E173="賣",(H173-H172)*G173*50-SUM(J173:K173),(H172-H173)*G173*50-SUM(J173:K173)))))</f>
        <v/>
      </c>
      <c r="M173" s="699">
        <f>L173</f>
        <v/>
      </c>
      <c r="N173" s="686">
        <f>SUM(M172:M173)</f>
        <v/>
      </c>
      <c r="O173" s="249" t="inlineStr">
        <is>
          <t>平倉</t>
        </is>
      </c>
      <c r="P173" s="249" t="inlineStr">
        <is>
          <t>元大期貨</t>
        </is>
      </c>
    </row>
    <row r="174" hidden="1" outlineLevel="1">
      <c r="A174" s="696" t="n">
        <v>45721</v>
      </c>
      <c r="B174" s="234" t="inlineStr">
        <is>
          <t>TXO</t>
        </is>
      </c>
      <c r="C174" s="229" t="inlineStr">
        <is>
          <t>週W1 P 03 22600 P</t>
        </is>
      </c>
      <c r="D174" s="229" t="inlineStr">
        <is>
          <t>新倉</t>
        </is>
      </c>
      <c r="E174" s="257" t="inlineStr">
        <is>
          <t>買</t>
        </is>
      </c>
      <c r="F174" s="229" t="inlineStr">
        <is>
          <t>-</t>
        </is>
      </c>
      <c r="G174" s="697" t="n">
        <v>1</v>
      </c>
      <c r="H174" s="698" t="n">
        <v>11</v>
      </c>
      <c r="I174" s="697" t="n">
        <v>-550</v>
      </c>
      <c r="J174" s="585" t="n">
        <v>18</v>
      </c>
      <c r="K174" s="585" t="n">
        <v>1</v>
      </c>
      <c r="L174" s="585">
        <f>IF(B174="TXO",I174-SUM(J174:K174),IF(B174="FITX",IF(D174="新倉",-SUM(J174:K174),IF(E174="賣",(H174-H173)*G174*200-SUM(J174:K174),(H173-H174)*G174*200-SUM(J174:K174))),IF(D174="新倉",-SUM(J174:K174),IF(E174="賣",(H174-H173)*G174*50-SUM(J174:K174),(H173-H174)*G174*50-SUM(J174:K174)))))</f>
        <v/>
      </c>
      <c r="M174" s="699">
        <f>L174</f>
        <v/>
      </c>
      <c r="N174" s="686">
        <f>M174</f>
        <v/>
      </c>
      <c r="O174" s="261" t="inlineStr">
        <is>
          <t>放棄</t>
        </is>
      </c>
      <c r="P174" s="249" t="inlineStr">
        <is>
          <t>元大期貨</t>
        </is>
      </c>
    </row>
    <row r="175" hidden="1" outlineLevel="1">
      <c r="A175" s="696" t="n">
        <v>45726</v>
      </c>
      <c r="B175" s="234" t="inlineStr">
        <is>
          <t>TXO</t>
        </is>
      </c>
      <c r="C175" s="229" t="inlineStr">
        <is>
          <t>週W2 C 03 22900 C</t>
        </is>
      </c>
      <c r="D175" s="229" t="inlineStr">
        <is>
          <t>新倉</t>
        </is>
      </c>
      <c r="E175" s="257" t="inlineStr">
        <is>
          <t>買</t>
        </is>
      </c>
      <c r="F175" s="229" t="inlineStr">
        <is>
          <t>-</t>
        </is>
      </c>
      <c r="G175" s="697" t="n">
        <v>1</v>
      </c>
      <c r="H175" s="698" t="n">
        <v>52</v>
      </c>
      <c r="I175" s="697" t="n">
        <v>-2600</v>
      </c>
      <c r="J175" s="585" t="n">
        <v>18</v>
      </c>
      <c r="K175" s="585" t="n">
        <v>3</v>
      </c>
      <c r="L175" s="585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/>
      </c>
      <c r="M175" s="699">
        <f>L175</f>
        <v/>
      </c>
      <c r="N175" s="686">
        <f>M175</f>
        <v/>
      </c>
      <c r="O175" s="276" t="inlineStr">
        <is>
          <t>履約</t>
        </is>
      </c>
      <c r="P175" s="249" t="inlineStr">
        <is>
          <t>元大期貨</t>
        </is>
      </c>
    </row>
    <row r="176" hidden="1" outlineLevel="1">
      <c r="A176" s="696" t="n">
        <v>45727</v>
      </c>
      <c r="B176" s="234" t="inlineStr">
        <is>
          <t>TXO</t>
        </is>
      </c>
      <c r="C176" s="229" t="inlineStr">
        <is>
          <t>週W2 P 03 21700 P</t>
        </is>
      </c>
      <c r="D176" s="229" t="inlineStr">
        <is>
          <t>新倉</t>
        </is>
      </c>
      <c r="E176" s="257" t="inlineStr">
        <is>
          <t>買</t>
        </is>
      </c>
      <c r="F176" s="229" t="inlineStr">
        <is>
          <t>-</t>
        </is>
      </c>
      <c r="G176" s="697" t="n">
        <v>1</v>
      </c>
      <c r="H176" s="698" t="n">
        <v>39</v>
      </c>
      <c r="I176" s="697" t="n">
        <v>-1950</v>
      </c>
      <c r="J176" s="585" t="n">
        <v>18</v>
      </c>
      <c r="K176" s="585" t="n">
        <v>2</v>
      </c>
      <c r="L176" s="585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/>
      </c>
      <c r="M176" s="699">
        <f>L176</f>
        <v/>
      </c>
      <c r="N176" s="686">
        <f>M176</f>
        <v/>
      </c>
      <c r="O176" s="261" t="inlineStr">
        <is>
          <t>放棄</t>
        </is>
      </c>
      <c r="P176" s="249" t="inlineStr">
        <is>
          <t>元大期貨</t>
        </is>
      </c>
    </row>
    <row r="177" hidden="1" outlineLevel="1">
      <c r="A177" s="696" t="n">
        <v>45727</v>
      </c>
      <c r="B177" s="234" t="inlineStr">
        <is>
          <t>TXO</t>
        </is>
      </c>
      <c r="C177" s="229" t="inlineStr">
        <is>
          <t>週W2 C 03 22300 C</t>
        </is>
      </c>
      <c r="D177" s="229" t="inlineStr">
        <is>
          <t>新倉</t>
        </is>
      </c>
      <c r="E177" s="257" t="inlineStr">
        <is>
          <t>買</t>
        </is>
      </c>
      <c r="F177" s="229" t="inlineStr">
        <is>
          <t>-</t>
        </is>
      </c>
      <c r="G177" s="697" t="n">
        <v>1</v>
      </c>
      <c r="H177" s="698" t="n">
        <v>27.5</v>
      </c>
      <c r="I177" s="697" t="n">
        <v>-1375</v>
      </c>
      <c r="J177" s="585" t="n">
        <v>18</v>
      </c>
      <c r="K177" s="585" t="n">
        <v>1</v>
      </c>
      <c r="L177" s="585">
        <f>IF(B177="TXO",I177-SUM(J177:K177),IF(B177="FITX",IF(D177="新倉",-SUM(J177:K177),IF(E177="賣",(H177-H176)*G177*200-SUM(J177:K177),(H176-H177)*G177*200-SUM(J177:K177))),IF(D177="新倉",-SUM(J177:K177),IF(E177="賣",(H177-H176)*G177*50-SUM(J177:K177),(H176-H177)*G177*50-SUM(J177:K177)))))</f>
        <v/>
      </c>
      <c r="M177" s="699">
        <f>L177</f>
        <v/>
      </c>
      <c r="O177" s="249" t="inlineStr">
        <is>
          <t>新倉</t>
        </is>
      </c>
      <c r="P177" s="249" t="inlineStr">
        <is>
          <t>元大期貨</t>
        </is>
      </c>
    </row>
    <row r="178" collapsed="1">
      <c r="A178" s="691" t="n">
        <v>45728</v>
      </c>
      <c r="B178" s="251" t="n"/>
      <c r="C178" s="252" t="inlineStr">
        <is>
          <t>入金</t>
        </is>
      </c>
      <c r="D178" s="252" t="n"/>
      <c r="E178" s="252" t="n"/>
      <c r="F178" s="252" t="n"/>
      <c r="G178" s="692" t="n"/>
      <c r="H178" s="692" t="n"/>
      <c r="I178" s="692" t="n"/>
      <c r="J178" s="693" t="n"/>
      <c r="K178" s="693" t="n"/>
      <c r="L178" s="693" t="n">
        <v>20000</v>
      </c>
      <c r="M178" s="694">
        <f>L178</f>
        <v/>
      </c>
    </row>
    <row r="179" hidden="1" outlineLevel="1">
      <c r="A179" s="696" t="n">
        <v>45728</v>
      </c>
      <c r="B179" s="234" t="inlineStr">
        <is>
          <t>TXO</t>
        </is>
      </c>
      <c r="C179" s="229" t="inlineStr">
        <is>
          <t>週W2 C 03 22300 C</t>
        </is>
      </c>
      <c r="D179" s="229" t="inlineStr">
        <is>
          <t>平倉</t>
        </is>
      </c>
      <c r="E179" s="257" t="inlineStr">
        <is>
          <t>賣</t>
        </is>
      </c>
      <c r="F179" s="229" t="inlineStr">
        <is>
          <t>-</t>
        </is>
      </c>
      <c r="G179" s="697" t="n">
        <v>1</v>
      </c>
      <c r="H179" s="698" t="n">
        <v>75</v>
      </c>
      <c r="I179" s="697" t="n">
        <v>3750</v>
      </c>
      <c r="J179" s="585" t="n">
        <v>18</v>
      </c>
      <c r="K179" s="585" t="n">
        <v>4</v>
      </c>
      <c r="L179" s="585">
        <f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/>
      </c>
      <c r="M179" s="699">
        <f>L179</f>
        <v/>
      </c>
      <c r="N179" s="686">
        <f>SUM(M179,M177)</f>
        <v/>
      </c>
      <c r="O179" s="249" t="inlineStr">
        <is>
          <t>平倉</t>
        </is>
      </c>
      <c r="P179" s="249" t="inlineStr">
        <is>
          <t>元大期貨</t>
        </is>
      </c>
    </row>
    <row r="180" hidden="1" outlineLevel="1">
      <c r="A180" s="696" t="n">
        <v>45727</v>
      </c>
      <c r="B180" s="234" t="inlineStr">
        <is>
          <t>TXO</t>
        </is>
      </c>
      <c r="C180" s="229" t="inlineStr">
        <is>
          <t>週W2 P 03 21000 P</t>
        </is>
      </c>
      <c r="D180" s="229" t="inlineStr">
        <is>
          <t>新倉</t>
        </is>
      </c>
      <c r="E180" s="257" t="inlineStr">
        <is>
          <t>買</t>
        </is>
      </c>
      <c r="F180" s="229" t="inlineStr">
        <is>
          <t>-</t>
        </is>
      </c>
      <c r="G180" s="697" t="n">
        <v>1</v>
      </c>
      <c r="H180" s="698" t="n">
        <v>35</v>
      </c>
      <c r="I180" s="697" t="n">
        <v>-1750</v>
      </c>
      <c r="J180" s="585" t="n">
        <v>18</v>
      </c>
      <c r="K180" s="585" t="n">
        <v>2</v>
      </c>
      <c r="L180" s="585">
        <f>IF(B180="TXO",I180-SUM(J180:K180),IF(B180="FITX",IF(D180="新倉",-SUM(J180:K180),IF(E180="賣",(H180-H179)*G180*200-SUM(J180:K180),(H179-H180)*G180*200-SUM(J180:K180))),IF(D180="新倉",-SUM(J180:K180),IF(E180="賣",(H180-H179)*G180*50-SUM(J180:K180),(H179-H180)*G180*50-SUM(J180:K180)))))</f>
        <v/>
      </c>
      <c r="M180" s="699">
        <f>L180</f>
        <v/>
      </c>
      <c r="N180" s="686">
        <f>M180</f>
        <v/>
      </c>
      <c r="O180" s="261" t="inlineStr">
        <is>
          <t>放棄</t>
        </is>
      </c>
      <c r="P180" s="249" t="inlineStr">
        <is>
          <t>元大期貨</t>
        </is>
      </c>
    </row>
    <row r="181" hidden="1" outlineLevel="1">
      <c r="A181" s="696" t="n">
        <v>45728</v>
      </c>
      <c r="B181" s="234" t="inlineStr">
        <is>
          <t>TXO</t>
        </is>
      </c>
      <c r="C181" s="229" t="inlineStr">
        <is>
          <t>週W2 P 03 22000 P</t>
        </is>
      </c>
      <c r="D181" s="229" t="inlineStr">
        <is>
          <t>新倉</t>
        </is>
      </c>
      <c r="E181" s="257" t="inlineStr">
        <is>
          <t>買</t>
        </is>
      </c>
      <c r="F181" s="229" t="inlineStr">
        <is>
          <t>-</t>
        </is>
      </c>
      <c r="G181" s="697" t="n">
        <v>2</v>
      </c>
      <c r="H181" s="698" t="n">
        <v>7.1</v>
      </c>
      <c r="I181" s="697" t="n">
        <v>-710</v>
      </c>
      <c r="J181" s="585" t="n">
        <v>36</v>
      </c>
      <c r="K181" s="585" t="n">
        <v>0</v>
      </c>
      <c r="L181" s="585">
        <f>IF(B181="TXO",I181-SUM(J181:K181),IF(B181="FITX",IF(D181="新倉",-SUM(J181:K181),IF(E181="賣",(H181-H180)*G181*200-SUM(J181:K181),(H180-H181)*G181*200-SUM(J181:K181))),IF(D181="新倉",-SUM(J181:K181),IF(E181="賣",(H181-H180)*G181*50-SUM(J181:K181),(H180-H181)*G181*50-SUM(J181:K181)))))</f>
        <v/>
      </c>
      <c r="M181" s="699">
        <f>L181</f>
        <v/>
      </c>
      <c r="N181" s="686">
        <f>M181</f>
        <v/>
      </c>
      <c r="O181" s="261" t="inlineStr">
        <is>
          <t>放棄</t>
        </is>
      </c>
      <c r="P181" s="249" t="inlineStr">
        <is>
          <t>元大期貨</t>
        </is>
      </c>
    </row>
    <row r="182" hidden="1" outlineLevel="1">
      <c r="A182" s="696" t="n">
        <v>45729</v>
      </c>
      <c r="B182" s="234" t="inlineStr">
        <is>
          <t>TXO</t>
        </is>
      </c>
      <c r="C182" s="229" t="inlineStr">
        <is>
          <t>台指選 03 21900 P</t>
        </is>
      </c>
      <c r="D182" s="229" t="inlineStr">
        <is>
          <t>新倉</t>
        </is>
      </c>
      <c r="E182" s="257" t="inlineStr">
        <is>
          <t>買</t>
        </is>
      </c>
      <c r="F182" s="229" t="inlineStr">
        <is>
          <t>-</t>
        </is>
      </c>
      <c r="G182" s="697" t="n">
        <v>1</v>
      </c>
      <c r="H182" s="698" t="n">
        <v>220</v>
      </c>
      <c r="I182" s="697" t="n">
        <v>-11000</v>
      </c>
      <c r="J182" s="585" t="n">
        <v>18</v>
      </c>
      <c r="K182" s="585" t="n">
        <v>11</v>
      </c>
      <c r="L182" s="585">
        <f>IF(B182="TXO",I182-SUM(J182:K182),IF(B182="FITX",IF(D182="新倉",-SUM(J182:K182),IF(E182="賣",(H182-H181)*G182*200-SUM(J182:K182),(H181-H182)*G182*200-SUM(J182:K182))),IF(D182="新倉",-SUM(J182:K182),IF(E182="賣",(H182-H181)*G182*50-SUM(J182:K182),(H181-H182)*G182*50-SUM(J182:K182)))))</f>
        <v/>
      </c>
      <c r="M182" s="699">
        <f>L182</f>
        <v/>
      </c>
      <c r="O182" s="249" t="inlineStr">
        <is>
          <t>新倉</t>
        </is>
      </c>
      <c r="P182" s="249" t="inlineStr">
        <is>
          <t>元大期貨</t>
        </is>
      </c>
    </row>
    <row r="183" hidden="1" outlineLevel="1">
      <c r="A183" s="696" t="n">
        <v>45729</v>
      </c>
      <c r="B183" s="234" t="inlineStr">
        <is>
          <t>TXO</t>
        </is>
      </c>
      <c r="C183" s="229" t="inlineStr">
        <is>
          <t>台指選 03 21900 P</t>
        </is>
      </c>
      <c r="D183" s="229" t="inlineStr">
        <is>
          <t>平倉</t>
        </is>
      </c>
      <c r="E183" s="257" t="inlineStr">
        <is>
          <t>賣</t>
        </is>
      </c>
      <c r="F183" s="229" t="inlineStr">
        <is>
          <t>-</t>
        </is>
      </c>
      <c r="G183" s="697" t="n">
        <v>1</v>
      </c>
      <c r="H183" s="698" t="n">
        <v>235</v>
      </c>
      <c r="I183" s="697" t="n">
        <v>11750</v>
      </c>
      <c r="J183" s="585" t="n">
        <v>18</v>
      </c>
      <c r="K183" s="585" t="n">
        <v>12</v>
      </c>
      <c r="L183" s="585">
        <f>IF(B183="TXO",I183-SUM(J183:K183),IF(B183="FITX",IF(D183="新倉",-SUM(J183:K183),IF(E183="賣",(H183-H182)*G183*200-SUM(J183:K183),(H182-H183)*G183*200-SUM(J183:K183))),IF(D183="新倉",-SUM(J183:K183),IF(E183="賣",(H183-H182)*G183*50-SUM(J183:K183),(H182-H183)*G183*50-SUM(J183:K183)))))</f>
        <v/>
      </c>
      <c r="M183" s="699">
        <f>L183</f>
        <v/>
      </c>
      <c r="N183" s="686">
        <f>SUM(M182:M183)</f>
        <v/>
      </c>
      <c r="O183" s="249" t="inlineStr">
        <is>
          <t>平倉</t>
        </is>
      </c>
      <c r="P183" s="249" t="inlineStr">
        <is>
          <t>元大期貨</t>
        </is>
      </c>
    </row>
    <row r="184" hidden="1" outlineLevel="1">
      <c r="A184" s="696" t="n">
        <v>45730</v>
      </c>
      <c r="B184" s="234" t="inlineStr">
        <is>
          <t>TXO</t>
        </is>
      </c>
      <c r="C184" s="229" t="inlineStr">
        <is>
          <t>台指選 03 21700 P</t>
        </is>
      </c>
      <c r="D184" s="229" t="inlineStr">
        <is>
          <t>新倉</t>
        </is>
      </c>
      <c r="E184" s="257" t="inlineStr">
        <is>
          <t>買</t>
        </is>
      </c>
      <c r="F184" s="229" t="inlineStr">
        <is>
          <t>-</t>
        </is>
      </c>
      <c r="G184" s="697" t="n">
        <v>1</v>
      </c>
      <c r="H184" s="698" t="n">
        <v>160</v>
      </c>
      <c r="I184" s="697" t="n">
        <v>-8000</v>
      </c>
      <c r="J184" s="585" t="n">
        <v>18</v>
      </c>
      <c r="K184" s="585" t="n">
        <v>8</v>
      </c>
      <c r="L184" s="585">
        <f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/>
      </c>
      <c r="M184" s="699">
        <f>L184</f>
        <v/>
      </c>
      <c r="N184" s="686">
        <f>M184</f>
        <v/>
      </c>
      <c r="O184" s="249" t="inlineStr">
        <is>
          <t>新倉</t>
        </is>
      </c>
      <c r="P184" s="249" t="inlineStr">
        <is>
          <t>元大期貨</t>
        </is>
      </c>
    </row>
    <row r="185" hidden="1" outlineLevel="1">
      <c r="A185" s="696" t="n">
        <v>45733</v>
      </c>
      <c r="B185" s="234" t="inlineStr">
        <is>
          <t>TXO</t>
        </is>
      </c>
      <c r="C185" s="229" t="inlineStr">
        <is>
          <t>台指選 03 22200 C</t>
        </is>
      </c>
      <c r="D185" s="229" t="inlineStr">
        <is>
          <t>新倉</t>
        </is>
      </c>
      <c r="E185" s="257" t="inlineStr">
        <is>
          <t>買</t>
        </is>
      </c>
      <c r="F185" s="229" t="inlineStr">
        <is>
          <t>-</t>
        </is>
      </c>
      <c r="G185" s="697" t="n">
        <v>1</v>
      </c>
      <c r="H185" s="698" t="n">
        <v>146</v>
      </c>
      <c r="I185" s="697" t="n">
        <v>-7300</v>
      </c>
      <c r="J185" s="585" t="n">
        <v>18</v>
      </c>
      <c r="K185" s="585" t="n">
        <v>7</v>
      </c>
      <c r="L185" s="585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/>
      </c>
      <c r="M185" s="699">
        <f>L185</f>
        <v/>
      </c>
      <c r="O185" s="249" t="inlineStr">
        <is>
          <t>新倉</t>
        </is>
      </c>
      <c r="P185" s="249" t="inlineStr">
        <is>
          <t>元大期貨</t>
        </is>
      </c>
    </row>
    <row r="186" hidden="1" outlineLevel="1">
      <c r="A186" s="696" t="n">
        <v>45733</v>
      </c>
      <c r="B186" s="234" t="inlineStr">
        <is>
          <t>TXO</t>
        </is>
      </c>
      <c r="C186" s="229" t="inlineStr">
        <is>
          <t>台指選 03 22200 C</t>
        </is>
      </c>
      <c r="D186" s="229" t="inlineStr">
        <is>
          <t>平倉</t>
        </is>
      </c>
      <c r="E186" s="257" t="inlineStr">
        <is>
          <t>賣</t>
        </is>
      </c>
      <c r="F186" s="229" t="inlineStr">
        <is>
          <t>-</t>
        </is>
      </c>
      <c r="G186" s="697" t="n">
        <v>1</v>
      </c>
      <c r="H186" s="698" t="n">
        <v>165</v>
      </c>
      <c r="I186" s="697" t="n">
        <v>8250</v>
      </c>
      <c r="J186" s="585" t="n">
        <v>18</v>
      </c>
      <c r="K186" s="585" t="n">
        <v>8</v>
      </c>
      <c r="L186" s="585">
        <f>IF(B186="TXO",I186-SUM(J186:K186),IF(B186="FITX",IF(D186="新倉",-SUM(J186:K186),IF(E186="賣",(H186-H185)*G186*200-SUM(J186:K186),(H185-H186)*G186*200-SUM(J186:K186))),IF(D186="新倉",-SUM(J186:K186),IF(E186="賣",(H186-H185)*G186*50-SUM(J186:K186),(H185-H186)*G186*50-SUM(J186:K186)))))</f>
        <v/>
      </c>
      <c r="M186" s="699">
        <f>L186</f>
        <v/>
      </c>
      <c r="N186" s="686">
        <f>SUM(M185:M186)</f>
        <v/>
      </c>
      <c r="O186" s="249" t="inlineStr">
        <is>
          <t>平倉</t>
        </is>
      </c>
      <c r="P186" s="249" t="inlineStr">
        <is>
          <t>元大期貨</t>
        </is>
      </c>
    </row>
    <row r="187" hidden="1" outlineLevel="1">
      <c r="A187" s="696" t="n">
        <v>45733</v>
      </c>
      <c r="B187" s="234" t="inlineStr">
        <is>
          <t>TXO</t>
        </is>
      </c>
      <c r="C187" s="229" t="inlineStr">
        <is>
          <t>台指選 03 22500 C</t>
        </is>
      </c>
      <c r="D187" s="229" t="inlineStr">
        <is>
          <t>新倉</t>
        </is>
      </c>
      <c r="E187" s="257" t="inlineStr">
        <is>
          <t>買</t>
        </is>
      </c>
      <c r="F187" s="229" t="inlineStr">
        <is>
          <t>-</t>
        </is>
      </c>
      <c r="G187" s="697" t="n">
        <v>2</v>
      </c>
      <c r="H187" s="698" t="n">
        <v>45.5</v>
      </c>
      <c r="I187" s="697" t="n">
        <v>-4550</v>
      </c>
      <c r="J187" s="585" t="n">
        <v>36</v>
      </c>
      <c r="K187" s="585" t="n">
        <v>4</v>
      </c>
      <c r="L187" s="585">
        <f>IF(B187="TXO",I187-SUM(J187:K187),IF(B187="FITX",IF(D187="新倉",-SUM(J187:K187),IF(E187="賣",(H187-H186)*G187*200-SUM(J187:K187),(H186-H187)*G187*200-SUM(J187:K187))),IF(D187="新倉",-SUM(J187:K187),IF(E187="賣",(H187-H186)*G187*50-SUM(J187:K187),(H186-H187)*G187*50-SUM(J187:K187)))))</f>
        <v/>
      </c>
      <c r="M187" s="699">
        <f>L187</f>
        <v/>
      </c>
      <c r="O187" s="249" t="inlineStr">
        <is>
          <t>新倉</t>
        </is>
      </c>
      <c r="P187" s="249" t="inlineStr">
        <is>
          <t>元大期貨</t>
        </is>
      </c>
    </row>
    <row r="188" hidden="1" outlineLevel="1">
      <c r="A188" s="696" t="n">
        <v>45733</v>
      </c>
      <c r="B188" s="234" t="inlineStr">
        <is>
          <t>TXO</t>
        </is>
      </c>
      <c r="C188" s="229" t="inlineStr">
        <is>
          <t>台指選 03 22500 C</t>
        </is>
      </c>
      <c r="D188" s="229" t="inlineStr">
        <is>
          <t>平倉</t>
        </is>
      </c>
      <c r="E188" s="257" t="inlineStr">
        <is>
          <t>賣</t>
        </is>
      </c>
      <c r="F188" s="229" t="inlineStr">
        <is>
          <t>-</t>
        </is>
      </c>
      <c r="G188" s="697" t="n">
        <v>1</v>
      </c>
      <c r="H188" s="698" t="n">
        <v>59</v>
      </c>
      <c r="I188" s="697" t="n">
        <v>2950</v>
      </c>
      <c r="J188" s="585" t="n">
        <v>18</v>
      </c>
      <c r="K188" s="585" t="n">
        <v>3</v>
      </c>
      <c r="L188" s="585">
        <f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/>
      </c>
      <c r="M188" s="699">
        <f>L188</f>
        <v/>
      </c>
      <c r="N188" s="686">
        <f>SUM(M187:M188)</f>
        <v/>
      </c>
      <c r="O188" s="249" t="inlineStr">
        <is>
          <t>平倉</t>
        </is>
      </c>
      <c r="P188" s="249" t="inlineStr">
        <is>
          <t>元大期貨</t>
        </is>
      </c>
    </row>
    <row r="189" hidden="1" outlineLevel="1">
      <c r="A189" s="696" t="n">
        <v>45734</v>
      </c>
      <c r="B189" s="234" t="inlineStr">
        <is>
          <t>TXO</t>
        </is>
      </c>
      <c r="C189" s="229" t="inlineStr">
        <is>
          <t>台指選 03 22350 C</t>
        </is>
      </c>
      <c r="D189" s="229" t="inlineStr">
        <is>
          <t>新倉</t>
        </is>
      </c>
      <c r="E189" s="257" t="inlineStr">
        <is>
          <t>買</t>
        </is>
      </c>
      <c r="F189" s="229" t="inlineStr">
        <is>
          <t>-</t>
        </is>
      </c>
      <c r="G189" s="697" t="n">
        <v>1</v>
      </c>
      <c r="H189" s="698" t="n">
        <v>105</v>
      </c>
      <c r="I189" s="697" t="n">
        <v>-5250</v>
      </c>
      <c r="J189" s="585" t="n">
        <v>18</v>
      </c>
      <c r="K189" s="585" t="n">
        <v>5</v>
      </c>
      <c r="L189" s="585">
        <f>IF(B189="TXO",I189-SUM(J189:K189),IF(B189="FITX",IF(D189="新倉",-SUM(J189:K189),IF(E189="賣",(H189-H188)*G189*200-SUM(J189:K189),(H188-H189)*G189*200-SUM(J189:K189))),IF(D189="新倉",-SUM(J189:K189),IF(E189="賣",(H189-H188)*G189*50-SUM(J189:K189),(H188-H189)*G189*50-SUM(J189:K189)))))</f>
        <v/>
      </c>
      <c r="M189" s="699">
        <f>L189</f>
        <v/>
      </c>
      <c r="O189" s="249" t="inlineStr">
        <is>
          <t>新倉</t>
        </is>
      </c>
      <c r="P189" s="249" t="inlineStr">
        <is>
          <t>元大期貨</t>
        </is>
      </c>
    </row>
    <row r="190" hidden="1" outlineLevel="1">
      <c r="A190" s="696" t="n">
        <v>45734</v>
      </c>
      <c r="B190" s="234" t="inlineStr">
        <is>
          <t>TXO</t>
        </is>
      </c>
      <c r="C190" s="229" t="inlineStr">
        <is>
          <t>台指選 03 22350 C</t>
        </is>
      </c>
      <c r="D190" s="229" t="inlineStr">
        <is>
          <t>平倉</t>
        </is>
      </c>
      <c r="E190" s="257" t="inlineStr">
        <is>
          <t>賣</t>
        </is>
      </c>
      <c r="F190" s="229" t="inlineStr">
        <is>
          <t>-</t>
        </is>
      </c>
      <c r="G190" s="697" t="n">
        <v>1</v>
      </c>
      <c r="H190" s="698" t="n">
        <v>115</v>
      </c>
      <c r="I190" s="697" t="n">
        <v>5750</v>
      </c>
      <c r="J190" s="585" t="n">
        <v>18</v>
      </c>
      <c r="K190" s="585" t="n">
        <v>6</v>
      </c>
      <c r="L190" s="585">
        <f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/>
      </c>
      <c r="M190" s="699">
        <f>L190</f>
        <v/>
      </c>
      <c r="N190" s="686">
        <f>SUM(M189:M190)</f>
        <v/>
      </c>
      <c r="O190" s="249" t="inlineStr">
        <is>
          <t>平倉</t>
        </is>
      </c>
      <c r="P190" s="249" t="inlineStr">
        <is>
          <t>元大期貨</t>
        </is>
      </c>
    </row>
    <row r="191" hidden="1" outlineLevel="1">
      <c r="A191" s="696" t="n">
        <v>45734</v>
      </c>
      <c r="B191" s="234" t="inlineStr">
        <is>
          <t>TXO</t>
        </is>
      </c>
      <c r="C191" s="229" t="inlineStr">
        <is>
          <t>台指選 03 21900 P</t>
        </is>
      </c>
      <c r="D191" s="229" t="inlineStr">
        <is>
          <t>新倉</t>
        </is>
      </c>
      <c r="E191" s="257" t="inlineStr">
        <is>
          <t>買</t>
        </is>
      </c>
      <c r="F191" s="229" t="inlineStr">
        <is>
          <t>-</t>
        </is>
      </c>
      <c r="G191" s="697" t="n">
        <v>1</v>
      </c>
      <c r="H191" s="698" t="n">
        <v>37</v>
      </c>
      <c r="I191" s="697" t="n">
        <v>-1850</v>
      </c>
      <c r="J191" s="585" t="n">
        <v>18</v>
      </c>
      <c r="K191" s="585" t="n">
        <v>2</v>
      </c>
      <c r="L191" s="585">
        <f>IF(B191="TXO",I191-SUM(J191:K191),IF(B191="FITX",IF(D191="新倉",-SUM(J191:K191),IF(E191="賣",(H191-H190)*G191*200-SUM(J191:K191),(H190-H191)*G191*200-SUM(J191:K191))),IF(D191="新倉",-SUM(J191:K191),IF(E191="賣",(H191-H190)*G191*50-SUM(J191:K191),(H190-H191)*G191*50-SUM(J191:K191)))))</f>
        <v/>
      </c>
      <c r="M191" s="699">
        <f>L191</f>
        <v/>
      </c>
      <c r="N191" s="686">
        <f>M191</f>
        <v/>
      </c>
      <c r="O191" s="261" t="inlineStr">
        <is>
          <t>放棄</t>
        </is>
      </c>
      <c r="P191" s="249" t="inlineStr">
        <is>
          <t>元大期貨</t>
        </is>
      </c>
    </row>
    <row r="192" hidden="1" outlineLevel="1">
      <c r="A192" s="696" t="n">
        <v>45735</v>
      </c>
      <c r="B192" s="234" t="inlineStr">
        <is>
          <t>TXO</t>
        </is>
      </c>
      <c r="C192" s="229" t="inlineStr">
        <is>
          <t>台指選 03 22250 C</t>
        </is>
      </c>
      <c r="D192" s="229" t="inlineStr">
        <is>
          <t>新倉</t>
        </is>
      </c>
      <c r="E192" s="257" t="inlineStr">
        <is>
          <t>買</t>
        </is>
      </c>
      <c r="F192" s="229" t="inlineStr">
        <is>
          <t>-</t>
        </is>
      </c>
      <c r="G192" s="697" t="n">
        <v>2</v>
      </c>
      <c r="H192" s="698" t="n">
        <v>39.5</v>
      </c>
      <c r="I192" s="697" t="n">
        <v>-3950</v>
      </c>
      <c r="J192" s="585" t="n">
        <v>36</v>
      </c>
      <c r="K192" s="585" t="n">
        <v>4</v>
      </c>
      <c r="L192" s="585">
        <f>IF(B192="TXO",I192-SUM(J192:K192),IF(B192="FITX",IF(D192="新倉",-SUM(J192:K192),IF(E192="賣",(H192-H191)*G192*200-SUM(J192:K192),(H191-H192)*G192*200-SUM(J192:K192))),IF(D192="新倉",-SUM(J192:K192),IF(E192="賣",(H192-H191)*G192*50-SUM(J192:K192),(H191-H192)*G192*50-SUM(J192:K192)))))</f>
        <v/>
      </c>
      <c r="M192" s="699">
        <f>L192</f>
        <v/>
      </c>
      <c r="N192" s="686">
        <f>M192</f>
        <v/>
      </c>
      <c r="O192" s="261" t="inlineStr">
        <is>
          <t>放棄</t>
        </is>
      </c>
      <c r="P192" s="249" t="inlineStr">
        <is>
          <t>元大期貨</t>
        </is>
      </c>
    </row>
    <row r="193" hidden="1" outlineLevel="1">
      <c r="A193" s="696" t="n">
        <v>45737</v>
      </c>
      <c r="B193" s="234" t="inlineStr">
        <is>
          <t>TXO</t>
        </is>
      </c>
      <c r="C193" s="229" t="inlineStr">
        <is>
          <t>TXOW4 03 22150 P</t>
        </is>
      </c>
      <c r="D193" s="229" t="inlineStr">
        <is>
          <t>新倉</t>
        </is>
      </c>
      <c r="E193" s="257" t="inlineStr">
        <is>
          <t>買</t>
        </is>
      </c>
      <c r="F193" s="229" t="inlineStr">
        <is>
          <t>-</t>
        </is>
      </c>
      <c r="G193" s="697" t="n">
        <v>1</v>
      </c>
      <c r="H193" s="698" t="n">
        <v>141</v>
      </c>
      <c r="I193" s="697" t="n">
        <v>-7050</v>
      </c>
      <c r="J193" s="585" t="n">
        <v>18</v>
      </c>
      <c r="K193" s="585" t="n">
        <v>7</v>
      </c>
      <c r="L193" s="585">
        <f>IF(B193="TXO",I193-SUM(J193:K193),IF(B193="FITX",IF(D193="新倉",-SUM(J193:K193),IF(E193="賣",(H193-H192)*G193*200-SUM(J193:K193),(H192-H193)*G193*200-SUM(J193:K193))),IF(D193="新倉",-SUM(J193:K193),IF(E193="賣",(H193-H192)*G193*50-SUM(J193:K193),(H192-H193)*G193*50-SUM(J193:K193)))))</f>
        <v/>
      </c>
      <c r="M193" s="699">
        <f>L193</f>
        <v/>
      </c>
      <c r="O193" s="249" t="inlineStr">
        <is>
          <t>新倉</t>
        </is>
      </c>
      <c r="P193" s="249" t="inlineStr">
        <is>
          <t>元大期貨</t>
        </is>
      </c>
    </row>
    <row r="194" hidden="1" outlineLevel="1">
      <c r="A194" s="696" t="n">
        <v>45737</v>
      </c>
      <c r="B194" s="234" t="inlineStr">
        <is>
          <t>TXO</t>
        </is>
      </c>
      <c r="C194" s="229" t="inlineStr">
        <is>
          <t>TXOW4 03 22150 P</t>
        </is>
      </c>
      <c r="D194" s="229" t="inlineStr">
        <is>
          <t>平倉</t>
        </is>
      </c>
      <c r="E194" s="257" t="inlineStr">
        <is>
          <t>賣</t>
        </is>
      </c>
      <c r="F194" s="229" t="inlineStr">
        <is>
          <t>-</t>
        </is>
      </c>
      <c r="G194" s="697" t="n">
        <v>1</v>
      </c>
      <c r="H194" s="698" t="n">
        <v>212</v>
      </c>
      <c r="I194" s="697" t="n">
        <v>10600</v>
      </c>
      <c r="J194" s="585" t="n">
        <v>18</v>
      </c>
      <c r="K194" s="585" t="n">
        <v>11</v>
      </c>
      <c r="L194" s="585">
        <f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/>
      </c>
      <c r="M194" s="699">
        <f>L194</f>
        <v/>
      </c>
      <c r="N194" s="686">
        <f>SUM(M193:M194)</f>
        <v/>
      </c>
      <c r="O194" s="249" t="inlineStr">
        <is>
          <t>平倉</t>
        </is>
      </c>
      <c r="P194" s="249" t="inlineStr">
        <is>
          <t>元大期貨</t>
        </is>
      </c>
    </row>
    <row r="195" hidden="1" outlineLevel="1">
      <c r="A195" s="696" t="n">
        <v>45740</v>
      </c>
      <c r="B195" s="234" t="inlineStr">
        <is>
          <t>TXO</t>
        </is>
      </c>
      <c r="C195" s="229" t="inlineStr">
        <is>
          <t>TXOW4 03 22050 P</t>
        </is>
      </c>
      <c r="D195" s="229" t="inlineStr">
        <is>
          <t>新倉</t>
        </is>
      </c>
      <c r="E195" s="257" t="inlineStr">
        <is>
          <t>買</t>
        </is>
      </c>
      <c r="F195" s="229" t="inlineStr">
        <is>
          <t>-</t>
        </is>
      </c>
      <c r="G195" s="697" t="n">
        <v>1</v>
      </c>
      <c r="H195" s="698" t="n">
        <v>59</v>
      </c>
      <c r="I195" s="697" t="n">
        <v>-2950</v>
      </c>
      <c r="J195" s="585" t="n">
        <v>18</v>
      </c>
      <c r="K195" s="585" t="n">
        <v>3</v>
      </c>
      <c r="L195" s="585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/>
      </c>
      <c r="M195" s="699">
        <f>L195</f>
        <v/>
      </c>
      <c r="O195" s="249" t="inlineStr">
        <is>
          <t>新倉</t>
        </is>
      </c>
      <c r="P195" s="249" t="inlineStr">
        <is>
          <t>元大期貨</t>
        </is>
      </c>
    </row>
    <row r="196" hidden="1" outlineLevel="1">
      <c r="A196" s="696" t="n">
        <v>45740</v>
      </c>
      <c r="B196" s="234" t="inlineStr">
        <is>
          <t>TXO</t>
        </is>
      </c>
      <c r="C196" s="229" t="inlineStr">
        <is>
          <t>TXOW4 03 22050 P</t>
        </is>
      </c>
      <c r="D196" s="229" t="inlineStr">
        <is>
          <t>平倉</t>
        </is>
      </c>
      <c r="E196" s="257" t="inlineStr">
        <is>
          <t>賣</t>
        </is>
      </c>
      <c r="F196" s="229" t="inlineStr">
        <is>
          <t>-</t>
        </is>
      </c>
      <c r="G196" s="697" t="n">
        <v>1</v>
      </c>
      <c r="H196" s="698" t="n">
        <v>95</v>
      </c>
      <c r="I196" s="697" t="n">
        <v>4750</v>
      </c>
      <c r="J196" s="585" t="n">
        <v>18</v>
      </c>
      <c r="K196" s="585" t="n">
        <v>5</v>
      </c>
      <c r="L196" s="585">
        <f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/>
      </c>
      <c r="M196" s="699">
        <f>L196</f>
        <v/>
      </c>
      <c r="N196" s="686">
        <f>SUM(M195:M196)</f>
        <v/>
      </c>
      <c r="O196" s="249" t="inlineStr">
        <is>
          <t>平倉</t>
        </is>
      </c>
      <c r="P196" s="249" t="inlineStr">
        <is>
          <t>元大期貨</t>
        </is>
      </c>
    </row>
    <row r="197" hidden="1" outlineLevel="1">
      <c r="A197" s="696" t="n">
        <v>45740</v>
      </c>
      <c r="B197" s="234" t="inlineStr">
        <is>
          <t>TXO</t>
        </is>
      </c>
      <c r="C197" s="229" t="inlineStr">
        <is>
          <t>TXOW4 03 22050 P</t>
        </is>
      </c>
      <c r="D197" s="229" t="inlineStr">
        <is>
          <t>新倉</t>
        </is>
      </c>
      <c r="E197" s="257" t="inlineStr">
        <is>
          <t>買</t>
        </is>
      </c>
      <c r="F197" s="229" t="inlineStr">
        <is>
          <t>-</t>
        </is>
      </c>
      <c r="G197" s="697" t="n">
        <v>1</v>
      </c>
      <c r="H197" s="698" t="n">
        <v>92</v>
      </c>
      <c r="I197" s="697" t="n">
        <v>-4600</v>
      </c>
      <c r="J197" s="585" t="n">
        <v>18</v>
      </c>
      <c r="K197" s="585" t="n">
        <v>5</v>
      </c>
      <c r="L197" s="585">
        <f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/>
      </c>
      <c r="M197" s="699">
        <f>L197</f>
        <v/>
      </c>
      <c r="N197" s="686">
        <f>M197</f>
        <v/>
      </c>
      <c r="O197" s="261" t="inlineStr">
        <is>
          <t>放棄</t>
        </is>
      </c>
      <c r="P197" s="249" t="inlineStr">
        <is>
          <t>元大期貨</t>
        </is>
      </c>
    </row>
    <row r="198" hidden="1" outlineLevel="1">
      <c r="A198" s="696" t="n">
        <v>45742</v>
      </c>
      <c r="B198" s="234" t="inlineStr">
        <is>
          <t>TXO</t>
        </is>
      </c>
      <c r="C198" s="229" t="inlineStr">
        <is>
          <t>TXOW4 03 22300 P</t>
        </is>
      </c>
      <c r="D198" s="229" t="inlineStr">
        <is>
          <t>新倉</t>
        </is>
      </c>
      <c r="E198" s="257" t="inlineStr">
        <is>
          <t>買</t>
        </is>
      </c>
      <c r="F198" s="229" t="inlineStr">
        <is>
          <t>-</t>
        </is>
      </c>
      <c r="G198" s="697" t="n">
        <v>1</v>
      </c>
      <c r="H198" s="698" t="n">
        <v>42</v>
      </c>
      <c r="I198" s="697" t="n">
        <v>-2100</v>
      </c>
      <c r="J198" s="585" t="n">
        <v>18</v>
      </c>
      <c r="K198" s="585" t="n">
        <v>2</v>
      </c>
      <c r="L198" s="585">
        <f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/>
      </c>
      <c r="M198" s="699">
        <f>L198</f>
        <v/>
      </c>
      <c r="O198" s="249" t="inlineStr">
        <is>
          <t>新倉</t>
        </is>
      </c>
      <c r="P198" s="249" t="inlineStr">
        <is>
          <t>元大期貨</t>
        </is>
      </c>
    </row>
    <row r="199" hidden="1" outlineLevel="1">
      <c r="A199" s="696" t="n">
        <v>45742</v>
      </c>
      <c r="B199" s="234" t="inlineStr">
        <is>
          <t>TXO</t>
        </is>
      </c>
      <c r="C199" s="229" t="inlineStr">
        <is>
          <t>TXOW4 03 22300 P</t>
        </is>
      </c>
      <c r="D199" s="229" t="inlineStr">
        <is>
          <t>平倉</t>
        </is>
      </c>
      <c r="E199" s="257" t="inlineStr">
        <is>
          <t>賣</t>
        </is>
      </c>
      <c r="F199" s="229" t="inlineStr">
        <is>
          <t>-</t>
        </is>
      </c>
      <c r="G199" s="697" t="n">
        <v>1</v>
      </c>
      <c r="H199" s="698" t="n">
        <v>56</v>
      </c>
      <c r="I199" s="697" t="n">
        <v>2800</v>
      </c>
      <c r="J199" s="585" t="n">
        <v>18</v>
      </c>
      <c r="K199" s="585" t="n">
        <v>3</v>
      </c>
      <c r="L199" s="585">
        <f>IF(B199="TXO",I199-SUM(J199:K199),IF(B199="FITX",IF(D199="新倉",-SUM(J199:K199),IF(E199="賣",(H199-H198)*G199*200-SUM(J199:K199),(H198-H199)*G199*200-SUM(J199:K199))),IF(D199="新倉",-SUM(J199:K199),IF(E199="賣",(H199-H198)*G199*50-SUM(J199:K199),(H198-H199)*G199*50-SUM(J199:K199)))))</f>
        <v/>
      </c>
      <c r="M199" s="699">
        <f>L199</f>
        <v/>
      </c>
      <c r="N199" s="686">
        <f>SUM(M198:M199)</f>
        <v/>
      </c>
      <c r="O199" s="249" t="inlineStr">
        <is>
          <t>平倉</t>
        </is>
      </c>
      <c r="P199" s="249" t="inlineStr">
        <is>
          <t>元大期貨</t>
        </is>
      </c>
    </row>
    <row r="200" hidden="1" outlineLevel="1">
      <c r="A200" s="696" t="n">
        <v>45742</v>
      </c>
      <c r="B200" s="234" t="inlineStr">
        <is>
          <t>TXO</t>
        </is>
      </c>
      <c r="C200" s="229" t="inlineStr">
        <is>
          <t>TXOW4 03 22300 P</t>
        </is>
      </c>
      <c r="D200" s="229" t="inlineStr">
        <is>
          <t>新倉</t>
        </is>
      </c>
      <c r="E200" s="257" t="inlineStr">
        <is>
          <t>買</t>
        </is>
      </c>
      <c r="F200" s="229" t="inlineStr">
        <is>
          <t>-</t>
        </is>
      </c>
      <c r="G200" s="697" t="n">
        <v>2</v>
      </c>
      <c r="H200" s="698" t="n">
        <v>38</v>
      </c>
      <c r="I200" s="697" t="n">
        <v>-3800</v>
      </c>
      <c r="J200" s="585" t="n">
        <v>36</v>
      </c>
      <c r="K200" s="585" t="n">
        <v>4</v>
      </c>
      <c r="L200" s="585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/>
      </c>
      <c r="M200" s="699">
        <f>L200</f>
        <v/>
      </c>
      <c r="N200" s="686">
        <f>M200</f>
        <v/>
      </c>
      <c r="O200" s="261" t="inlineStr">
        <is>
          <t>放棄</t>
        </is>
      </c>
      <c r="P200" s="249" t="inlineStr">
        <is>
          <t>元大期貨</t>
        </is>
      </c>
    </row>
    <row r="201" hidden="1" outlineLevel="1">
      <c r="A201" s="696" t="n">
        <v>45742</v>
      </c>
      <c r="B201" s="234" t="inlineStr">
        <is>
          <t>TXO</t>
        </is>
      </c>
      <c r="C201" s="229" t="inlineStr">
        <is>
          <t>TXOW4 03 22300 C</t>
        </is>
      </c>
      <c r="D201" s="229" t="inlineStr">
        <is>
          <t>新倉</t>
        </is>
      </c>
      <c r="E201" s="257" t="inlineStr">
        <is>
          <t>買</t>
        </is>
      </c>
      <c r="F201" s="229" t="inlineStr">
        <is>
          <t>-</t>
        </is>
      </c>
      <c r="G201" s="697" t="n">
        <v>2</v>
      </c>
      <c r="H201" s="698" t="n">
        <v>5.3</v>
      </c>
      <c r="I201" s="697" t="n">
        <v>-530</v>
      </c>
      <c r="J201" s="585" t="n">
        <v>36</v>
      </c>
      <c r="K201" s="585" t="n">
        <v>0</v>
      </c>
      <c r="L201" s="585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/>
      </c>
      <c r="M201" s="699">
        <f>L201</f>
        <v/>
      </c>
      <c r="O201" s="249" t="inlineStr">
        <is>
          <t>新倉</t>
        </is>
      </c>
      <c r="P201" s="249" t="inlineStr">
        <is>
          <t>元大期貨</t>
        </is>
      </c>
    </row>
    <row r="202" hidden="1" outlineLevel="1">
      <c r="A202" s="696" t="n">
        <v>45742</v>
      </c>
      <c r="B202" s="234" t="inlineStr">
        <is>
          <t>TXO</t>
        </is>
      </c>
      <c r="C202" s="229" t="inlineStr">
        <is>
          <t>TXOW4 03 22300 C</t>
        </is>
      </c>
      <c r="D202" s="229" t="inlineStr">
        <is>
          <t>平倉</t>
        </is>
      </c>
      <c r="E202" s="257" t="inlineStr">
        <is>
          <t>賣</t>
        </is>
      </c>
      <c r="F202" s="229" t="inlineStr">
        <is>
          <t>-</t>
        </is>
      </c>
      <c r="G202" s="697" t="n">
        <v>2</v>
      </c>
      <c r="H202" s="698" t="n">
        <v>7.9</v>
      </c>
      <c r="I202" s="697" t="n">
        <v>790</v>
      </c>
      <c r="J202" s="585" t="n">
        <v>36</v>
      </c>
      <c r="K202" s="585" t="n">
        <v>0</v>
      </c>
      <c r="L202" s="585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/>
      </c>
      <c r="M202" s="699">
        <f>L202</f>
        <v/>
      </c>
      <c r="N202" s="686">
        <f>SUM(M201:M202)</f>
        <v/>
      </c>
      <c r="O202" s="249" t="inlineStr">
        <is>
          <t>平倉</t>
        </is>
      </c>
      <c r="P202" s="249" t="inlineStr">
        <is>
          <t>元大期貨</t>
        </is>
      </c>
    </row>
    <row r="203" collapsed="1" ht="17.25" customHeight="1" thickBot="1">
      <c r="A203" s="691" t="n">
        <v>45743</v>
      </c>
      <c r="B203" s="251" t="n"/>
      <c r="C203" s="252" t="inlineStr">
        <is>
          <t>入金</t>
        </is>
      </c>
      <c r="D203" s="252" t="n"/>
      <c r="E203" s="252" t="n"/>
      <c r="F203" s="252" t="n"/>
      <c r="G203" s="692" t="n"/>
      <c r="H203" s="692" t="n"/>
      <c r="I203" s="692" t="n"/>
      <c r="J203" s="693" t="n"/>
      <c r="K203" s="693" t="n"/>
      <c r="L203" s="693" t="n">
        <v>30000</v>
      </c>
      <c r="M203" s="694">
        <f>L203</f>
        <v/>
      </c>
    </row>
    <row r="204" hidden="1" outlineLevel="1">
      <c r="A204" s="696" t="n">
        <v>45743</v>
      </c>
      <c r="B204" s="234" t="inlineStr">
        <is>
          <t>TXO</t>
        </is>
      </c>
      <c r="C204" s="229" t="inlineStr">
        <is>
          <t>TXOW1 04 21900 P</t>
        </is>
      </c>
      <c r="D204" s="229" t="inlineStr">
        <is>
          <t>新倉</t>
        </is>
      </c>
      <c r="E204" s="257" t="inlineStr">
        <is>
          <t>買</t>
        </is>
      </c>
      <c r="F204" s="229" t="inlineStr">
        <is>
          <t>-</t>
        </is>
      </c>
      <c r="G204" s="697" t="n">
        <v>1</v>
      </c>
      <c r="H204" s="698" t="n">
        <v>204</v>
      </c>
      <c r="I204" s="697" t="n">
        <v>-10200</v>
      </c>
      <c r="J204" s="585" t="n">
        <v>18</v>
      </c>
      <c r="K204" s="585" t="n">
        <v>10</v>
      </c>
      <c r="L204" s="585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/>
      </c>
      <c r="M204" s="699">
        <f>L204</f>
        <v/>
      </c>
      <c r="O204" s="249" t="inlineStr">
        <is>
          <t>新倉</t>
        </is>
      </c>
      <c r="P204" s="249" t="inlineStr">
        <is>
          <t>元大期貨</t>
        </is>
      </c>
    </row>
    <row r="205" hidden="1" outlineLevel="1">
      <c r="A205" s="696" t="n">
        <v>45744</v>
      </c>
      <c r="B205" s="234" t="inlineStr">
        <is>
          <t>TXO</t>
        </is>
      </c>
      <c r="C205" s="229" t="inlineStr">
        <is>
          <t>TXOW1 04 21900 P</t>
        </is>
      </c>
      <c r="D205" s="229" t="inlineStr">
        <is>
          <t>平倉</t>
        </is>
      </c>
      <c r="E205" s="257" t="inlineStr">
        <is>
          <t>賣</t>
        </is>
      </c>
      <c r="F205" s="229" t="inlineStr">
        <is>
          <t>-</t>
        </is>
      </c>
      <c r="G205" s="697" t="n">
        <v>1</v>
      </c>
      <c r="H205" s="698" t="n">
        <v>227</v>
      </c>
      <c r="I205" s="697" t="n">
        <v>11350</v>
      </c>
      <c r="J205" s="585" t="n">
        <v>18</v>
      </c>
      <c r="K205" s="585" t="n">
        <v>11</v>
      </c>
      <c r="L205" s="585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/>
      </c>
      <c r="M205" s="699">
        <f>L205</f>
        <v/>
      </c>
      <c r="N205" s="686">
        <f>SUM(M204:M205)</f>
        <v/>
      </c>
      <c r="O205" s="249" t="inlineStr">
        <is>
          <t>平倉</t>
        </is>
      </c>
      <c r="P205" s="249" t="inlineStr">
        <is>
          <t>元大期貨</t>
        </is>
      </c>
    </row>
    <row r="206" hidden="1" outlineLevel="1">
      <c r="A206" s="696" t="n">
        <v>45744</v>
      </c>
      <c r="B206" s="234" t="inlineStr">
        <is>
          <t>TXO</t>
        </is>
      </c>
      <c r="C206" s="229" t="inlineStr">
        <is>
          <t>TXOW1 04 21900 P</t>
        </is>
      </c>
      <c r="D206" s="229" t="inlineStr">
        <is>
          <t>新倉</t>
        </is>
      </c>
      <c r="E206" s="257" t="inlineStr">
        <is>
          <t>買</t>
        </is>
      </c>
      <c r="F206" s="229" t="inlineStr">
        <is>
          <t>-</t>
        </is>
      </c>
      <c r="G206" s="697" t="n">
        <v>1</v>
      </c>
      <c r="H206" s="698" t="n">
        <v>176</v>
      </c>
      <c r="I206" s="697" t="n">
        <v>-8800</v>
      </c>
      <c r="J206" s="585" t="n">
        <v>18</v>
      </c>
      <c r="K206" s="585" t="n">
        <v>9</v>
      </c>
      <c r="L206" s="585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/>
      </c>
      <c r="M206" s="699">
        <f>L206</f>
        <v/>
      </c>
      <c r="O206" s="249" t="inlineStr">
        <is>
          <t>新倉</t>
        </is>
      </c>
      <c r="P206" s="249" t="inlineStr">
        <is>
          <t>元大期貨</t>
        </is>
      </c>
    </row>
    <row r="207" hidden="1" outlineLevel="1">
      <c r="A207" s="696" t="n">
        <v>45744</v>
      </c>
      <c r="B207" s="234" t="inlineStr">
        <is>
          <t>TXO</t>
        </is>
      </c>
      <c r="C207" s="229" t="inlineStr">
        <is>
          <t>TXOW1 04 21900 P</t>
        </is>
      </c>
      <c r="D207" s="229" t="inlineStr">
        <is>
          <t>平倉</t>
        </is>
      </c>
      <c r="E207" s="257" t="inlineStr">
        <is>
          <t>賣</t>
        </is>
      </c>
      <c r="F207" s="229" t="inlineStr">
        <is>
          <t>-</t>
        </is>
      </c>
      <c r="G207" s="697" t="n">
        <v>1</v>
      </c>
      <c r="H207" s="698" t="n">
        <v>251</v>
      </c>
      <c r="I207" s="697" t="n">
        <v>12550</v>
      </c>
      <c r="J207" s="585" t="n">
        <v>18</v>
      </c>
      <c r="K207" s="585" t="n">
        <v>13</v>
      </c>
      <c r="L207" s="585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/>
      </c>
      <c r="M207" s="699">
        <f>L207</f>
        <v/>
      </c>
      <c r="N207" s="686">
        <f>SUM(M206:M207)</f>
        <v/>
      </c>
      <c r="O207" s="249" t="inlineStr">
        <is>
          <t>平倉</t>
        </is>
      </c>
      <c r="P207" s="249" t="inlineStr">
        <is>
          <t>元大期貨</t>
        </is>
      </c>
    </row>
    <row r="208" hidden="1" outlineLevel="1">
      <c r="A208" s="696" t="n">
        <v>45747</v>
      </c>
      <c r="B208" s="234" t="inlineStr">
        <is>
          <t>TXO</t>
        </is>
      </c>
      <c r="C208" s="229" t="inlineStr">
        <is>
          <t>TXOW1 04 20000 P</t>
        </is>
      </c>
      <c r="D208" s="229" t="inlineStr">
        <is>
          <t>新倉</t>
        </is>
      </c>
      <c r="E208" s="257" t="inlineStr">
        <is>
          <t>買</t>
        </is>
      </c>
      <c r="F208" s="229" t="inlineStr">
        <is>
          <t>-</t>
        </is>
      </c>
      <c r="G208" s="697" t="n">
        <v>1</v>
      </c>
      <c r="H208" s="698" t="n">
        <v>14</v>
      </c>
      <c r="I208" s="697" t="n">
        <v>-700</v>
      </c>
      <c r="J208" s="585" t="n">
        <v>18</v>
      </c>
      <c r="K208" s="585" t="n">
        <v>1</v>
      </c>
      <c r="L208" s="585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/>
      </c>
      <c r="M208" s="699">
        <f>L208</f>
        <v/>
      </c>
      <c r="O208" s="249" t="inlineStr">
        <is>
          <t>新倉</t>
        </is>
      </c>
      <c r="P208" s="249" t="inlineStr">
        <is>
          <t>元大期貨</t>
        </is>
      </c>
    </row>
    <row r="209" hidden="1" outlineLevel="1">
      <c r="A209" s="696" t="n">
        <v>45747</v>
      </c>
      <c r="B209" s="234" t="inlineStr">
        <is>
          <t>TXO</t>
        </is>
      </c>
      <c r="C209" s="229" t="inlineStr">
        <is>
          <t>TXOW1 04 20000 P</t>
        </is>
      </c>
      <c r="D209" s="229" t="inlineStr">
        <is>
          <t>平倉</t>
        </is>
      </c>
      <c r="E209" s="257" t="inlineStr">
        <is>
          <t>賣</t>
        </is>
      </c>
      <c r="F209" s="229" t="inlineStr">
        <is>
          <t>-</t>
        </is>
      </c>
      <c r="G209" s="697" t="n">
        <v>1</v>
      </c>
      <c r="H209" s="698" t="n">
        <v>28</v>
      </c>
      <c r="I209" s="697" t="n">
        <v>1400</v>
      </c>
      <c r="J209" s="585" t="n">
        <v>18</v>
      </c>
      <c r="K209" s="585" t="n">
        <v>1</v>
      </c>
      <c r="L209" s="585">
        <f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/>
      </c>
      <c r="M209" s="699">
        <f>L209</f>
        <v/>
      </c>
      <c r="N209" s="686">
        <f>SUM(M208:M209)</f>
        <v/>
      </c>
      <c r="O209" s="249" t="inlineStr">
        <is>
          <t>平倉</t>
        </is>
      </c>
      <c r="P209" s="249" t="inlineStr">
        <is>
          <t>元大期貨</t>
        </is>
      </c>
    </row>
    <row r="210" hidden="1" outlineLevel="1">
      <c r="A210" s="696" t="n">
        <v>45747</v>
      </c>
      <c r="B210" s="234" t="inlineStr">
        <is>
          <t>TXO</t>
        </is>
      </c>
      <c r="C210" s="229" t="inlineStr">
        <is>
          <t>TXOW1 04 21550 P</t>
        </is>
      </c>
      <c r="D210" s="229" t="inlineStr">
        <is>
          <t>新倉</t>
        </is>
      </c>
      <c r="E210" s="257" t="inlineStr">
        <is>
          <t>買</t>
        </is>
      </c>
      <c r="F210" s="229" t="inlineStr">
        <is>
          <t>-</t>
        </is>
      </c>
      <c r="G210" s="697" t="n">
        <v>1</v>
      </c>
      <c r="H210" s="698" t="n">
        <v>369</v>
      </c>
      <c r="I210" s="697" t="n">
        <v>-18450</v>
      </c>
      <c r="J210" s="585" t="n">
        <v>18</v>
      </c>
      <c r="K210" s="585" t="n">
        <v>18</v>
      </c>
      <c r="L210" s="585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/>
      </c>
      <c r="M210" s="699">
        <f>L210</f>
        <v/>
      </c>
      <c r="O210" s="249" t="inlineStr">
        <is>
          <t>新倉</t>
        </is>
      </c>
      <c r="P210" s="249" t="inlineStr">
        <is>
          <t>元大期貨</t>
        </is>
      </c>
    </row>
    <row r="211" hidden="1" outlineLevel="1">
      <c r="A211" s="696" t="n">
        <v>45747</v>
      </c>
      <c r="B211" s="234" t="inlineStr">
        <is>
          <t>TXO</t>
        </is>
      </c>
      <c r="C211" s="229" t="inlineStr">
        <is>
          <t>TXOW1 04 21550 P</t>
        </is>
      </c>
      <c r="D211" s="229" t="inlineStr">
        <is>
          <t>平倉</t>
        </is>
      </c>
      <c r="E211" s="257" t="inlineStr">
        <is>
          <t>賣</t>
        </is>
      </c>
      <c r="F211" s="229" t="inlineStr">
        <is>
          <t>-</t>
        </is>
      </c>
      <c r="G211" s="697" t="n">
        <v>1</v>
      </c>
      <c r="H211" s="698" t="n">
        <v>396</v>
      </c>
      <c r="I211" s="697" t="n">
        <v>19800</v>
      </c>
      <c r="J211" s="585" t="n">
        <v>18</v>
      </c>
      <c r="K211" s="585" t="n">
        <v>20</v>
      </c>
      <c r="L211" s="585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/>
      </c>
      <c r="M211" s="699">
        <f>L211</f>
        <v/>
      </c>
      <c r="N211" s="686">
        <f>SUM(M210:M211)</f>
        <v/>
      </c>
      <c r="O211" s="249" t="inlineStr">
        <is>
          <t>平倉</t>
        </is>
      </c>
      <c r="P211" s="249" t="inlineStr">
        <is>
          <t>元大期貨</t>
        </is>
      </c>
    </row>
    <row r="212" hidden="1" outlineLevel="1">
      <c r="A212" s="696" t="n">
        <v>45747</v>
      </c>
      <c r="B212" s="234" t="inlineStr">
        <is>
          <t>TXO</t>
        </is>
      </c>
      <c r="C212" s="229" t="inlineStr">
        <is>
          <t>TXOW1 04 20000 P</t>
        </is>
      </c>
      <c r="D212" s="229" t="inlineStr">
        <is>
          <t>新倉</t>
        </is>
      </c>
      <c r="E212" s="257" t="inlineStr">
        <is>
          <t>買</t>
        </is>
      </c>
      <c r="F212" s="229" t="inlineStr">
        <is>
          <t>-</t>
        </is>
      </c>
      <c r="G212" s="697" t="n">
        <v>2</v>
      </c>
      <c r="H212" s="698" t="n">
        <v>17</v>
      </c>
      <c r="I212" s="697" t="n">
        <v>-1700</v>
      </c>
      <c r="J212" s="585" t="n">
        <v>36</v>
      </c>
      <c r="K212" s="585" t="n">
        <v>2</v>
      </c>
      <c r="L212" s="585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/>
      </c>
      <c r="M212" s="699">
        <f>L212</f>
        <v/>
      </c>
      <c r="O212" s="249" t="inlineStr">
        <is>
          <t>新倉</t>
        </is>
      </c>
      <c r="P212" s="249" t="inlineStr">
        <is>
          <t>元大期貨</t>
        </is>
      </c>
    </row>
    <row r="213" hidden="1" outlineLevel="1">
      <c r="A213" s="696" t="n">
        <v>45747</v>
      </c>
      <c r="B213" s="234" t="inlineStr">
        <is>
          <t>TXO</t>
        </is>
      </c>
      <c r="C213" s="229" t="inlineStr">
        <is>
          <t>TXOW1 04 20000 P</t>
        </is>
      </c>
      <c r="D213" s="229" t="inlineStr">
        <is>
          <t>平倉</t>
        </is>
      </c>
      <c r="E213" s="257" t="inlineStr">
        <is>
          <t>賣</t>
        </is>
      </c>
      <c r="F213" s="229" t="inlineStr">
        <is>
          <t>-</t>
        </is>
      </c>
      <c r="G213" s="697" t="n">
        <v>2</v>
      </c>
      <c r="H213" s="698" t="n">
        <v>22</v>
      </c>
      <c r="I213" s="697" t="n">
        <v>2200</v>
      </c>
      <c r="J213" s="585" t="n">
        <v>36</v>
      </c>
      <c r="K213" s="585" t="n">
        <v>2</v>
      </c>
      <c r="L213" s="585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/>
      </c>
      <c r="M213" s="699">
        <f>L213</f>
        <v/>
      </c>
      <c r="N213" s="686">
        <f>SUM(M212:M213)</f>
        <v/>
      </c>
      <c r="O213" s="249" t="inlineStr">
        <is>
          <t>平倉</t>
        </is>
      </c>
      <c r="P213" s="249" t="inlineStr">
        <is>
          <t>元大期貨</t>
        </is>
      </c>
    </row>
    <row r="214" hidden="1" outlineLevel="1" ht="17.25" customHeight="1" thickBot="1">
      <c r="A214" s="696" t="n">
        <v>45747</v>
      </c>
      <c r="B214" s="234" t="inlineStr">
        <is>
          <t>TXO</t>
        </is>
      </c>
      <c r="C214" s="229" t="inlineStr">
        <is>
          <t>TXOW1 04 20600 P</t>
        </is>
      </c>
      <c r="D214" s="229" t="inlineStr">
        <is>
          <t>新倉</t>
        </is>
      </c>
      <c r="E214" s="257" t="inlineStr">
        <is>
          <t>買</t>
        </is>
      </c>
      <c r="F214" s="229" t="inlineStr">
        <is>
          <t>-</t>
        </is>
      </c>
      <c r="G214" s="697" t="n">
        <v>1</v>
      </c>
      <c r="H214" s="698" t="n">
        <v>142</v>
      </c>
      <c r="I214" s="697" t="n">
        <v>-7100</v>
      </c>
      <c r="J214" s="585" t="n">
        <v>18</v>
      </c>
      <c r="K214" s="585" t="n">
        <v>7</v>
      </c>
      <c r="L214" s="585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/>
      </c>
      <c r="M214" s="699">
        <f>L214</f>
        <v/>
      </c>
      <c r="O214" s="249" t="inlineStr">
        <is>
          <t>新倉</t>
        </is>
      </c>
      <c r="P214" s="249" t="inlineStr">
        <is>
          <t>元大期貨</t>
        </is>
      </c>
    </row>
    <row r="215" collapsed="1" ht="17.25" customHeight="1" thickBot="1">
      <c r="A215" s="273" t="inlineStr">
        <is>
          <t>3月總計</t>
        </is>
      </c>
      <c r="B215" s="274" t="n"/>
      <c r="C215" s="274" t="n"/>
      <c r="D215" s="274" t="n"/>
      <c r="E215" s="274" t="n"/>
      <c r="F215" s="274" t="n"/>
      <c r="G215" s="715" t="n"/>
      <c r="H215" s="715" t="n"/>
      <c r="I215" s="715" t="n"/>
      <c r="J215" s="716" t="n"/>
      <c r="K215" s="715" t="n"/>
      <c r="L215" s="717">
        <f>SUM(L172:L177,L179:L202,L204:L214)</f>
        <v/>
      </c>
      <c r="M215" s="717">
        <f>SUM(M172:M177,M179:M202,M204:M214)</f>
        <v/>
      </c>
      <c r="N215" s="666" t="n"/>
    </row>
    <row r="216" ht="17.25" customHeight="1" thickBot="1">
      <c r="A216" s="718" t="n">
        <v>45748</v>
      </c>
      <c r="B216" s="292" t="n"/>
      <c r="C216" s="470" t="inlineStr">
        <is>
          <t>AI 輔助 GPT 機器人</t>
        </is>
      </c>
      <c r="D216" s="292" t="n"/>
      <c r="E216" s="292" t="n"/>
      <c r="F216" s="292" t="n"/>
      <c r="G216" s="719" t="n"/>
      <c r="H216" s="719" t="n"/>
      <c r="I216" s="719" t="n"/>
      <c r="J216" s="720" t="n"/>
      <c r="K216" s="719" t="n"/>
      <c r="L216" s="720" t="n"/>
      <c r="M216" s="721" t="n">
        <v>24700</v>
      </c>
      <c r="N216" s="666" t="n"/>
      <c r="O216" s="226" t="n"/>
      <c r="P216" s="722" t="n"/>
      <c r="Q216" s="249" t="n"/>
    </row>
    <row r="217" hidden="1" outlineLevel="1">
      <c r="A217" s="696" t="n">
        <v>45748</v>
      </c>
      <c r="B217" s="234" t="inlineStr">
        <is>
          <t>TXO</t>
        </is>
      </c>
      <c r="C217" s="229" t="inlineStr">
        <is>
          <t>週W1 C 04 20900 C</t>
        </is>
      </c>
      <c r="D217" s="229" t="inlineStr">
        <is>
          <t>新倉</t>
        </is>
      </c>
      <c r="E217" s="257" t="inlineStr">
        <is>
          <t>買</t>
        </is>
      </c>
      <c r="F217" s="229" t="inlineStr">
        <is>
          <t>-</t>
        </is>
      </c>
      <c r="G217" s="697" t="n">
        <v>1</v>
      </c>
      <c r="H217" s="698" t="n">
        <v>212</v>
      </c>
      <c r="I217" s="697" t="n">
        <v>-10600</v>
      </c>
      <c r="J217" s="585" t="n">
        <v>18</v>
      </c>
      <c r="K217" s="585" t="n">
        <v>11</v>
      </c>
      <c r="L217" s="585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/>
      </c>
      <c r="M217" s="699">
        <f>L217</f>
        <v/>
      </c>
      <c r="O217" s="249" t="inlineStr">
        <is>
          <t>新倉</t>
        </is>
      </c>
      <c r="P217" s="249" t="inlineStr">
        <is>
          <t>元大期貨</t>
        </is>
      </c>
    </row>
    <row r="218" hidden="1" outlineLevel="1">
      <c r="A218" s="696" t="n">
        <v>45748</v>
      </c>
      <c r="B218" s="234" t="inlineStr">
        <is>
          <t>TXO</t>
        </is>
      </c>
      <c r="C218" s="229" t="inlineStr">
        <is>
          <t>週W1 C 04 20900 C</t>
        </is>
      </c>
      <c r="D218" s="229" t="inlineStr">
        <is>
          <t>平倉</t>
        </is>
      </c>
      <c r="E218" s="257" t="inlineStr">
        <is>
          <t>賣</t>
        </is>
      </c>
      <c r="F218" s="229" t="inlineStr">
        <is>
          <t>-</t>
        </is>
      </c>
      <c r="G218" s="697" t="n">
        <v>1</v>
      </c>
      <c r="H218" s="698" t="n">
        <v>233</v>
      </c>
      <c r="I218" s="697" t="n">
        <v>11650</v>
      </c>
      <c r="J218" s="585" t="n">
        <v>18</v>
      </c>
      <c r="K218" s="585" t="n">
        <v>12</v>
      </c>
      <c r="L218" s="585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/>
      </c>
      <c r="M218" s="699">
        <f>L218</f>
        <v/>
      </c>
      <c r="N218" s="686">
        <f>SUM(M217:M218)</f>
        <v/>
      </c>
      <c r="O218" s="249" t="inlineStr">
        <is>
          <t>平倉</t>
        </is>
      </c>
      <c r="P218" s="249" t="inlineStr">
        <is>
          <t>元大期貨</t>
        </is>
      </c>
    </row>
    <row r="219" hidden="1" outlineLevel="1">
      <c r="A219" s="696" t="n">
        <v>45748</v>
      </c>
      <c r="B219" s="234" t="inlineStr">
        <is>
          <t>TXO</t>
        </is>
      </c>
      <c r="C219" s="229" t="inlineStr">
        <is>
          <t>週W1 C 04 20900 C</t>
        </is>
      </c>
      <c r="D219" s="229" t="inlineStr">
        <is>
          <t>新倉</t>
        </is>
      </c>
      <c r="E219" s="257" t="inlineStr">
        <is>
          <t>買</t>
        </is>
      </c>
      <c r="F219" s="229" t="inlineStr">
        <is>
          <t>-</t>
        </is>
      </c>
      <c r="G219" s="697" t="n">
        <v>1</v>
      </c>
      <c r="H219" s="698" t="n">
        <v>180</v>
      </c>
      <c r="I219" s="697" t="n">
        <v>-9000</v>
      </c>
      <c r="J219" s="585" t="n">
        <v>18</v>
      </c>
      <c r="K219" s="585" t="n">
        <v>9</v>
      </c>
      <c r="L219" s="585">
        <f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/>
      </c>
      <c r="M219" s="699">
        <f>L219</f>
        <v/>
      </c>
      <c r="O219" s="249" t="inlineStr">
        <is>
          <t>新倉</t>
        </is>
      </c>
      <c r="P219" s="249" t="inlineStr">
        <is>
          <t>元大期貨</t>
        </is>
      </c>
    </row>
    <row r="220" hidden="1" outlineLevel="1">
      <c r="A220" s="696" t="n">
        <v>45748</v>
      </c>
      <c r="B220" s="234" t="inlineStr">
        <is>
          <t>TXO</t>
        </is>
      </c>
      <c r="C220" s="229" t="inlineStr">
        <is>
          <t>週W1 C 04 20900 C</t>
        </is>
      </c>
      <c r="D220" s="229" t="inlineStr">
        <is>
          <t>平倉</t>
        </is>
      </c>
      <c r="E220" s="257" t="inlineStr">
        <is>
          <t>賣</t>
        </is>
      </c>
      <c r="F220" s="229" t="inlineStr">
        <is>
          <t>-</t>
        </is>
      </c>
      <c r="G220" s="697" t="n">
        <v>1</v>
      </c>
      <c r="H220" s="698" t="n">
        <v>192</v>
      </c>
      <c r="I220" s="697" t="n">
        <v>9600</v>
      </c>
      <c r="J220" s="585" t="n">
        <v>18</v>
      </c>
      <c r="K220" s="585" t="n">
        <v>10</v>
      </c>
      <c r="L220" s="585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/>
      </c>
      <c r="M220" s="699">
        <f>L220</f>
        <v/>
      </c>
      <c r="N220" s="686">
        <f>SUM(M219:M220)</f>
        <v/>
      </c>
      <c r="O220" s="249" t="inlineStr">
        <is>
          <t>平倉</t>
        </is>
      </c>
      <c r="P220" s="249" t="inlineStr">
        <is>
          <t>元大期貨</t>
        </is>
      </c>
    </row>
    <row r="221" hidden="1" outlineLevel="1">
      <c r="A221" s="696" t="n">
        <v>45748</v>
      </c>
      <c r="B221" s="234" t="inlineStr">
        <is>
          <t>TXO</t>
        </is>
      </c>
      <c r="C221" s="229" t="inlineStr">
        <is>
          <t>週W1 P 04 20300 P</t>
        </is>
      </c>
      <c r="D221" s="229" t="inlineStr">
        <is>
          <t>新倉</t>
        </is>
      </c>
      <c r="E221" s="257" t="inlineStr">
        <is>
          <t>買</t>
        </is>
      </c>
      <c r="F221" s="229" t="inlineStr">
        <is>
          <t>-</t>
        </is>
      </c>
      <c r="G221" s="697" t="n">
        <v>1</v>
      </c>
      <c r="H221" s="698" t="n">
        <v>55</v>
      </c>
      <c r="I221" s="697" t="n">
        <v>-2750</v>
      </c>
      <c r="J221" s="585" t="n">
        <v>18</v>
      </c>
      <c r="K221" s="585" t="n">
        <v>3</v>
      </c>
      <c r="L221" s="585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/>
      </c>
      <c r="M221" s="699">
        <f>L221</f>
        <v/>
      </c>
      <c r="O221" s="249" t="inlineStr">
        <is>
          <t>新倉</t>
        </is>
      </c>
      <c r="P221" s="249" t="inlineStr">
        <is>
          <t>元大期貨</t>
        </is>
      </c>
    </row>
    <row r="222" hidden="1" outlineLevel="1">
      <c r="A222" s="696" t="n">
        <v>45748</v>
      </c>
      <c r="B222" s="234" t="inlineStr">
        <is>
          <t>TXO</t>
        </is>
      </c>
      <c r="C222" s="229" t="inlineStr">
        <is>
          <t>週W1 P 04 20200 P</t>
        </is>
      </c>
      <c r="D222" s="229" t="inlineStr">
        <is>
          <t>新倉</t>
        </is>
      </c>
      <c r="E222" s="257" t="inlineStr">
        <is>
          <t>買</t>
        </is>
      </c>
      <c r="F222" s="229" t="inlineStr">
        <is>
          <t>-</t>
        </is>
      </c>
      <c r="G222" s="697" t="n">
        <v>1</v>
      </c>
      <c r="H222" s="698" t="n">
        <v>58</v>
      </c>
      <c r="I222" s="697" t="n">
        <v>-2900</v>
      </c>
      <c r="J222" s="585" t="n">
        <v>18</v>
      </c>
      <c r="K222" s="585" t="n">
        <v>3</v>
      </c>
      <c r="L222" s="585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/>
      </c>
      <c r="M222" s="699">
        <f>L222</f>
        <v/>
      </c>
      <c r="O222" s="249" t="inlineStr">
        <is>
          <t>新倉</t>
        </is>
      </c>
      <c r="P222" s="249" t="inlineStr">
        <is>
          <t>元大期貨</t>
        </is>
      </c>
    </row>
    <row r="223" hidden="1" outlineLevel="1">
      <c r="A223" s="696" t="n">
        <v>45748</v>
      </c>
      <c r="B223" s="234" t="inlineStr">
        <is>
          <t>TXO</t>
        </is>
      </c>
      <c r="C223" s="229" t="inlineStr">
        <is>
          <t>週W1 P 04 20200 P</t>
        </is>
      </c>
      <c r="D223" s="229" t="inlineStr">
        <is>
          <t>平倉</t>
        </is>
      </c>
      <c r="E223" s="257" t="inlineStr">
        <is>
          <t>賣</t>
        </is>
      </c>
      <c r="F223" s="229" t="inlineStr">
        <is>
          <t>-</t>
        </is>
      </c>
      <c r="G223" s="697" t="n">
        <v>1</v>
      </c>
      <c r="H223" s="698" t="n">
        <v>8</v>
      </c>
      <c r="I223" s="697" t="n">
        <v>400</v>
      </c>
      <c r="J223" s="585" t="n">
        <v>18</v>
      </c>
      <c r="K223" s="585" t="n">
        <v>0</v>
      </c>
      <c r="L223" s="585">
        <f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/>
      </c>
      <c r="M223" s="699">
        <f>L223</f>
        <v/>
      </c>
      <c r="N223" s="686">
        <f>SUM(M222:M223)</f>
        <v/>
      </c>
      <c r="O223" s="249" t="inlineStr">
        <is>
          <t>平倉</t>
        </is>
      </c>
      <c r="P223" s="249" t="inlineStr">
        <is>
          <t>元大期貨</t>
        </is>
      </c>
    </row>
    <row r="224" hidden="1" outlineLevel="1">
      <c r="A224" s="696" t="n">
        <v>45755</v>
      </c>
      <c r="B224" s="234" t="inlineStr">
        <is>
          <t>TXO</t>
        </is>
      </c>
      <c r="C224" s="229" t="inlineStr">
        <is>
          <t>週W2 P 04 18100 P</t>
        </is>
      </c>
      <c r="D224" s="229" t="inlineStr">
        <is>
          <t>新倉</t>
        </is>
      </c>
      <c r="E224" s="257" t="inlineStr">
        <is>
          <t>買</t>
        </is>
      </c>
      <c r="F224" s="229" t="inlineStr">
        <is>
          <t>-</t>
        </is>
      </c>
      <c r="G224" s="697" t="n">
        <v>1</v>
      </c>
      <c r="H224" s="698" t="n">
        <v>185</v>
      </c>
      <c r="I224" s="697" t="n">
        <v>-9250</v>
      </c>
      <c r="J224" s="585" t="n">
        <v>18</v>
      </c>
      <c r="K224" s="585" t="n">
        <v>9</v>
      </c>
      <c r="L224" s="585">
        <f>IF(B224="TXO",I224-SUM(J224:K224),IF(B224="FITX",IF(D224="新倉",-SUM(J224:K224),IF(E224="賣",(H224-H223)*G224*200-SUM(J224:K224),(H223-H224)*G224*200-SUM(J224:K224))),IF(D224="新倉",-SUM(J224:K224),IF(E224="賣",(H224-H223)*G224*50-SUM(J224:K224),(H223-H224)*G224*50-SUM(J224:K224)))))</f>
        <v/>
      </c>
      <c r="M224" s="699">
        <f>L224</f>
        <v/>
      </c>
      <c r="O224" s="249" t="inlineStr">
        <is>
          <t>新倉</t>
        </is>
      </c>
      <c r="P224" s="249" t="inlineStr">
        <is>
          <t>元大期貨</t>
        </is>
      </c>
    </row>
    <row r="225" hidden="1" outlineLevel="1">
      <c r="A225" s="696" t="n">
        <v>45755</v>
      </c>
      <c r="B225" s="234" t="inlineStr">
        <is>
          <t>TXO</t>
        </is>
      </c>
      <c r="C225" s="229" t="inlineStr">
        <is>
          <t>週W2 P 04 18100 P</t>
        </is>
      </c>
      <c r="D225" s="229" t="inlineStr">
        <is>
          <t>平倉</t>
        </is>
      </c>
      <c r="E225" s="257" t="inlineStr">
        <is>
          <t>賣</t>
        </is>
      </c>
      <c r="F225" s="229" t="inlineStr">
        <is>
          <t>-</t>
        </is>
      </c>
      <c r="G225" s="697" t="n">
        <v>1</v>
      </c>
      <c r="H225" s="698" t="n">
        <v>287</v>
      </c>
      <c r="I225" s="697" t="n">
        <v>14350</v>
      </c>
      <c r="J225" s="585" t="n">
        <v>18</v>
      </c>
      <c r="K225" s="585" t="n">
        <v>14</v>
      </c>
      <c r="L225" s="585">
        <f>IF(B225="TXO",I225-SUM(J225:K225),IF(B225="FITX",IF(D225="新倉",-SUM(J225:K225),IF(E225="賣",(H225-H224)*G225*200-SUM(J225:K225),(H224-H225)*G225*200-SUM(J225:K225))),IF(D225="新倉",-SUM(J225:K225),IF(E225="賣",(H225-H224)*G225*50-SUM(J225:K225),(H224-H225)*G225*50-SUM(J225:K225)))))</f>
        <v/>
      </c>
      <c r="M225" s="699">
        <f>L225</f>
        <v/>
      </c>
      <c r="N225" s="686">
        <f>SUM(M224:M225)</f>
        <v/>
      </c>
      <c r="O225" s="249" t="inlineStr">
        <is>
          <t>平倉</t>
        </is>
      </c>
      <c r="P225" s="249" t="inlineStr">
        <is>
          <t>元大期貨</t>
        </is>
      </c>
    </row>
    <row r="226" hidden="1" outlineLevel="1">
      <c r="A226" s="696" t="n">
        <v>45755</v>
      </c>
      <c r="B226" s="234" t="inlineStr">
        <is>
          <t>TXO</t>
        </is>
      </c>
      <c r="C226" s="229" t="inlineStr">
        <is>
          <t>週W2 P 04 18000 P</t>
        </is>
      </c>
      <c r="D226" s="229" t="inlineStr">
        <is>
          <t>新倉</t>
        </is>
      </c>
      <c r="E226" s="257" t="inlineStr">
        <is>
          <t>買</t>
        </is>
      </c>
      <c r="F226" s="229" t="inlineStr">
        <is>
          <t>-</t>
        </is>
      </c>
      <c r="G226" s="697" t="n">
        <v>1</v>
      </c>
      <c r="H226" s="698" t="n">
        <v>238</v>
      </c>
      <c r="I226" s="697" t="n">
        <v>-11900</v>
      </c>
      <c r="J226" s="585" t="n">
        <v>18</v>
      </c>
      <c r="K226" s="585" t="n">
        <v>12</v>
      </c>
      <c r="L226" s="585">
        <f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/>
      </c>
      <c r="M226" s="699">
        <f>L226</f>
        <v/>
      </c>
      <c r="O226" s="249" t="inlineStr">
        <is>
          <t>新倉</t>
        </is>
      </c>
      <c r="P226" s="249" t="inlineStr">
        <is>
          <t>元大期貨</t>
        </is>
      </c>
    </row>
    <row r="227" hidden="1" outlineLevel="1">
      <c r="A227" s="696" t="n">
        <v>45756</v>
      </c>
      <c r="B227" s="234" t="inlineStr">
        <is>
          <t>TXO</t>
        </is>
      </c>
      <c r="C227" s="229" t="inlineStr">
        <is>
          <t>週W2 P 04 18000 P</t>
        </is>
      </c>
      <c r="D227" s="229" t="inlineStr">
        <is>
          <t>平倉</t>
        </is>
      </c>
      <c r="E227" s="257" t="inlineStr">
        <is>
          <t>賣</t>
        </is>
      </c>
      <c r="F227" s="229" t="inlineStr">
        <is>
          <t>-</t>
        </is>
      </c>
      <c r="G227" s="697" t="n">
        <v>1</v>
      </c>
      <c r="H227" s="698" t="n">
        <v>282</v>
      </c>
      <c r="I227" s="697" t="n">
        <v>14100</v>
      </c>
      <c r="J227" s="585" t="n">
        <v>18</v>
      </c>
      <c r="K227" s="585" t="n">
        <v>14</v>
      </c>
      <c r="L227" s="585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/>
      </c>
      <c r="M227" s="699">
        <f>L227</f>
        <v/>
      </c>
      <c r="O227" s="249" t="inlineStr">
        <is>
          <t>新倉</t>
        </is>
      </c>
      <c r="P227" s="249" t="inlineStr">
        <is>
          <t>元大期貨</t>
        </is>
      </c>
    </row>
    <row r="228" hidden="1" outlineLevel="1">
      <c r="A228" s="696" t="n">
        <v>45756</v>
      </c>
      <c r="B228" s="234" t="inlineStr">
        <is>
          <t>TXO</t>
        </is>
      </c>
      <c r="C228" s="229" t="inlineStr">
        <is>
          <t>週W2 C 04 18300 C</t>
        </is>
      </c>
      <c r="D228" s="229" t="inlineStr">
        <is>
          <t>新倉</t>
        </is>
      </c>
      <c r="E228" s="257" t="inlineStr">
        <is>
          <t>買</t>
        </is>
      </c>
      <c r="F228" s="229" t="inlineStr">
        <is>
          <t>-</t>
        </is>
      </c>
      <c r="G228" s="697" t="n">
        <v>1</v>
      </c>
      <c r="H228" s="698" t="n">
        <v>202</v>
      </c>
      <c r="I228" s="697" t="n">
        <v>-10100</v>
      </c>
      <c r="J228" s="585" t="n">
        <v>18</v>
      </c>
      <c r="K228" s="585" t="n">
        <v>10</v>
      </c>
      <c r="L228" s="585">
        <f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/>
      </c>
      <c r="M228" s="699">
        <f>L228</f>
        <v/>
      </c>
      <c r="N228" s="686">
        <f>SUM(M227:M228)</f>
        <v/>
      </c>
      <c r="O228" s="249" t="inlineStr">
        <is>
          <t>平倉</t>
        </is>
      </c>
      <c r="P228" s="249" t="inlineStr">
        <is>
          <t>元大期貨</t>
        </is>
      </c>
    </row>
    <row r="229" hidden="1" outlineLevel="1">
      <c r="A229" s="696" t="n">
        <v>45756</v>
      </c>
      <c r="B229" s="234" t="inlineStr">
        <is>
          <t>TXO</t>
        </is>
      </c>
      <c r="C229" s="229" t="inlineStr">
        <is>
          <t>週W2 C 04 18300 C</t>
        </is>
      </c>
      <c r="D229" s="229" t="inlineStr">
        <is>
          <t>平倉</t>
        </is>
      </c>
      <c r="E229" s="257" t="inlineStr">
        <is>
          <t>賣</t>
        </is>
      </c>
      <c r="F229" s="229" t="inlineStr">
        <is>
          <t>-</t>
        </is>
      </c>
      <c r="G229" s="697" t="n">
        <v>1</v>
      </c>
      <c r="H229" s="698" t="n">
        <v>24</v>
      </c>
      <c r="I229" s="697" t="n">
        <v>1200</v>
      </c>
      <c r="J229" s="585" t="n">
        <v>18</v>
      </c>
      <c r="K229" s="585" t="n">
        <v>1</v>
      </c>
      <c r="L229" s="585">
        <f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/>
      </c>
      <c r="M229" s="699">
        <f>L229</f>
        <v/>
      </c>
      <c r="O229" s="249" t="inlineStr">
        <is>
          <t>新倉</t>
        </is>
      </c>
      <c r="P229" s="249" t="inlineStr">
        <is>
          <t>元大期貨</t>
        </is>
      </c>
    </row>
    <row r="230" hidden="1" outlineLevel="1">
      <c r="A230" s="696" t="n">
        <v>45756</v>
      </c>
      <c r="B230" s="234" t="inlineStr">
        <is>
          <t>TXO</t>
        </is>
      </c>
      <c r="C230" s="229" t="inlineStr">
        <is>
          <t>週W2 C 04 18750 C</t>
        </is>
      </c>
      <c r="D230" s="229" t="inlineStr">
        <is>
          <t>新倉</t>
        </is>
      </c>
      <c r="E230" s="257" t="inlineStr">
        <is>
          <t>買</t>
        </is>
      </c>
      <c r="F230" s="229" t="inlineStr">
        <is>
          <t>-</t>
        </is>
      </c>
      <c r="G230" s="697" t="n">
        <v>1</v>
      </c>
      <c r="H230" s="698" t="n">
        <v>310</v>
      </c>
      <c r="I230" s="697" t="n">
        <v>-15500</v>
      </c>
      <c r="J230" s="585" t="n">
        <v>18</v>
      </c>
      <c r="K230" s="585" t="n">
        <v>16</v>
      </c>
      <c r="L230" s="585">
        <f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/>
      </c>
      <c r="M230" s="699">
        <f>L230</f>
        <v/>
      </c>
      <c r="N230" s="686">
        <f>SUM(M229:M230)</f>
        <v/>
      </c>
      <c r="O230" s="249" t="inlineStr">
        <is>
          <t>平倉</t>
        </is>
      </c>
      <c r="P230" s="249" t="inlineStr">
        <is>
          <t>元大期貨</t>
        </is>
      </c>
    </row>
    <row r="231" hidden="1" outlineLevel="1">
      <c r="A231" s="696" t="n">
        <v>45756</v>
      </c>
      <c r="B231" s="234" t="inlineStr">
        <is>
          <t>TXO</t>
        </is>
      </c>
      <c r="C231" s="229" t="inlineStr">
        <is>
          <t>週W2 C 04 18750 C</t>
        </is>
      </c>
      <c r="D231" s="229" t="inlineStr">
        <is>
          <t>平倉</t>
        </is>
      </c>
      <c r="E231" s="257" t="inlineStr">
        <is>
          <t>賣</t>
        </is>
      </c>
      <c r="F231" s="229" t="inlineStr">
        <is>
          <t>-</t>
        </is>
      </c>
      <c r="G231" s="697" t="n">
        <v>1</v>
      </c>
      <c r="H231" s="698" t="n">
        <v>309</v>
      </c>
      <c r="I231" s="697" t="n">
        <v>15450</v>
      </c>
      <c r="J231" s="585" t="n">
        <v>18</v>
      </c>
      <c r="K231" s="585" t="n">
        <v>15</v>
      </c>
      <c r="L231" s="585">
        <f>IF(B231="TXO",I231-SUM(J231:K231),IF(B231="FITX",IF(D231="新倉",-SUM(J231:K231),IF(E231="賣",(H231-H230)*G231*200-SUM(J231:K231),(H230-H231)*G231*200-SUM(J231:K231))),IF(D231="新倉",-SUM(J231:K231),IF(E231="賣",(H231-H230)*G231*50-SUM(J231:K231),(H230-H231)*G231*50-SUM(J231:K231)))))</f>
        <v/>
      </c>
      <c r="M231" s="699">
        <f>L231</f>
        <v/>
      </c>
      <c r="O231" s="249" t="inlineStr">
        <is>
          <t>新倉</t>
        </is>
      </c>
      <c r="P231" s="249" t="inlineStr">
        <is>
          <t>元大期貨</t>
        </is>
      </c>
    </row>
    <row r="232" hidden="1" outlineLevel="1">
      <c r="A232" s="696" t="n">
        <v>45756</v>
      </c>
      <c r="B232" s="234" t="inlineStr">
        <is>
          <t>TXO</t>
        </is>
      </c>
      <c r="C232" s="229" t="inlineStr">
        <is>
          <t>週W2 P 04 16900 P</t>
        </is>
      </c>
      <c r="D232" s="229" t="inlineStr">
        <is>
          <t>新倉</t>
        </is>
      </c>
      <c r="E232" s="257" t="inlineStr">
        <is>
          <t>買</t>
        </is>
      </c>
      <c r="F232" s="229" t="inlineStr">
        <is>
          <t>-</t>
        </is>
      </c>
      <c r="G232" s="697" t="n">
        <v>2</v>
      </c>
      <c r="H232" s="698" t="n">
        <v>9.1</v>
      </c>
      <c r="I232" s="697" t="n">
        <v>-910</v>
      </c>
      <c r="J232" s="585" t="n">
        <v>36</v>
      </c>
      <c r="K232" s="585" t="n">
        <v>0</v>
      </c>
      <c r="L232" s="585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/>
      </c>
      <c r="M232" s="699">
        <f>L232</f>
        <v/>
      </c>
      <c r="N232" s="686">
        <f>SUM(M231:M232)</f>
        <v/>
      </c>
      <c r="O232" s="249" t="inlineStr">
        <is>
          <t>平倉</t>
        </is>
      </c>
      <c r="P232" s="249" t="inlineStr">
        <is>
          <t>元大期貨</t>
        </is>
      </c>
    </row>
    <row r="233" hidden="1" outlineLevel="1">
      <c r="A233" s="696" t="n">
        <v>45756</v>
      </c>
      <c r="B233" s="234" t="inlineStr">
        <is>
          <t>TXO</t>
        </is>
      </c>
      <c r="C233" s="229" t="inlineStr">
        <is>
          <t>週W2 P 04 17200 P</t>
        </is>
      </c>
      <c r="D233" s="229" t="inlineStr">
        <is>
          <t>新倉</t>
        </is>
      </c>
      <c r="E233" s="257" t="inlineStr">
        <is>
          <t>買</t>
        </is>
      </c>
      <c r="F233" s="229" t="inlineStr">
        <is>
          <t>-</t>
        </is>
      </c>
      <c r="G233" s="697" t="n">
        <v>1</v>
      </c>
      <c r="H233" s="698" t="n">
        <v>17.5</v>
      </c>
      <c r="I233" s="697" t="n">
        <v>-875</v>
      </c>
      <c r="J233" s="585" t="n">
        <v>18</v>
      </c>
      <c r="K233" s="585" t="n">
        <v>1</v>
      </c>
      <c r="L233" s="585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/>
      </c>
      <c r="M233" s="699">
        <f>L233</f>
        <v/>
      </c>
      <c r="O233" s="249" t="inlineStr">
        <is>
          <t>新倉</t>
        </is>
      </c>
      <c r="P233" s="249" t="inlineStr">
        <is>
          <t>元大期貨</t>
        </is>
      </c>
    </row>
    <row r="234" hidden="1" outlineLevel="1">
      <c r="A234" s="696" t="n">
        <v>45756</v>
      </c>
      <c r="B234" s="234" t="inlineStr">
        <is>
          <t>TXO</t>
        </is>
      </c>
      <c r="C234" s="229" t="inlineStr">
        <is>
          <t>週W2 P 04 17200 P</t>
        </is>
      </c>
      <c r="D234" s="229" t="inlineStr">
        <is>
          <t>新倉</t>
        </is>
      </c>
      <c r="E234" s="257" t="inlineStr">
        <is>
          <t>買</t>
        </is>
      </c>
      <c r="F234" s="229" t="inlineStr">
        <is>
          <t>-</t>
        </is>
      </c>
      <c r="G234" s="697" t="n">
        <v>1</v>
      </c>
      <c r="H234" s="698" t="n">
        <v>38</v>
      </c>
      <c r="I234" s="697" t="n">
        <v>-1900</v>
      </c>
      <c r="J234" s="585" t="n">
        <v>18</v>
      </c>
      <c r="K234" s="585" t="n">
        <v>2</v>
      </c>
      <c r="L234" s="585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/>
      </c>
      <c r="M234" s="699">
        <f>L234</f>
        <v/>
      </c>
      <c r="N234" s="686">
        <f>SUM(M233:M234)</f>
        <v/>
      </c>
      <c r="O234" s="249" t="inlineStr">
        <is>
          <t>平倉</t>
        </is>
      </c>
      <c r="P234" s="249" t="inlineStr">
        <is>
          <t>元大期貨</t>
        </is>
      </c>
    </row>
    <row r="235" hidden="1" outlineLevel="1">
      <c r="A235" s="696" t="n">
        <v>45756</v>
      </c>
      <c r="B235" s="234" t="inlineStr">
        <is>
          <t>TXO</t>
        </is>
      </c>
      <c r="C235" s="229" t="inlineStr">
        <is>
          <t>週W2 P 04 17400 P</t>
        </is>
      </c>
      <c r="D235" s="229" t="inlineStr">
        <is>
          <t>新倉</t>
        </is>
      </c>
      <c r="E235" s="257" t="inlineStr">
        <is>
          <t>買</t>
        </is>
      </c>
      <c r="F235" s="229" t="inlineStr">
        <is>
          <t>-</t>
        </is>
      </c>
      <c r="G235" s="697" t="n">
        <v>1</v>
      </c>
      <c r="H235" s="698" t="n">
        <v>42</v>
      </c>
      <c r="I235" s="697" t="n">
        <v>-2100</v>
      </c>
      <c r="J235" s="585" t="n">
        <v>18</v>
      </c>
      <c r="K235" s="585" t="n">
        <v>2</v>
      </c>
      <c r="L235" s="585">
        <f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/>
      </c>
      <c r="M235" s="699">
        <f>L235</f>
        <v/>
      </c>
      <c r="O235" s="249" t="inlineStr">
        <is>
          <t>新倉</t>
        </is>
      </c>
      <c r="P235" s="249" t="inlineStr">
        <is>
          <t>元大期貨</t>
        </is>
      </c>
    </row>
    <row r="236" hidden="1" outlineLevel="1">
      <c r="A236" s="696" t="n">
        <v>45756</v>
      </c>
      <c r="B236" s="234" t="inlineStr">
        <is>
          <t>TXO</t>
        </is>
      </c>
      <c r="C236" s="229" t="inlineStr">
        <is>
          <t>週W2 P 04 17400 P</t>
        </is>
      </c>
      <c r="D236" s="229" t="inlineStr">
        <is>
          <t>平倉</t>
        </is>
      </c>
      <c r="E236" s="257" t="inlineStr">
        <is>
          <t>賣</t>
        </is>
      </c>
      <c r="F236" s="229" t="inlineStr">
        <is>
          <t>-</t>
        </is>
      </c>
      <c r="G236" s="697" t="n">
        <v>1</v>
      </c>
      <c r="H236" s="698" t="n">
        <v>118</v>
      </c>
      <c r="I236" s="697" t="n">
        <v>5900</v>
      </c>
      <c r="J236" s="585" t="n">
        <v>18</v>
      </c>
      <c r="K236" s="585" t="n">
        <v>6</v>
      </c>
      <c r="L236" s="585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/>
      </c>
      <c r="M236" s="699">
        <f>L236</f>
        <v/>
      </c>
      <c r="N236" s="686">
        <f>SUM(M235:M236)</f>
        <v/>
      </c>
      <c r="O236" s="249" t="inlineStr">
        <is>
          <t>平倉</t>
        </is>
      </c>
      <c r="P236" s="249" t="inlineStr">
        <is>
          <t>元大期貨</t>
        </is>
      </c>
    </row>
    <row r="237" hidden="1" outlineLevel="1">
      <c r="A237" s="696" t="n">
        <v>45756</v>
      </c>
      <c r="B237" s="234" t="inlineStr">
        <is>
          <t>TXO</t>
        </is>
      </c>
      <c r="C237" s="229" t="inlineStr">
        <is>
          <t>週W2 P 04 17800 P</t>
        </is>
      </c>
      <c r="D237" s="229" t="inlineStr">
        <is>
          <t>新倉</t>
        </is>
      </c>
      <c r="E237" s="257" t="inlineStr">
        <is>
          <t>買</t>
        </is>
      </c>
      <c r="F237" s="229" t="inlineStr">
        <is>
          <t>-</t>
        </is>
      </c>
      <c r="G237" s="697" t="n">
        <v>1</v>
      </c>
      <c r="H237" s="698" t="n">
        <v>48</v>
      </c>
      <c r="I237" s="697" t="n">
        <v>-2400</v>
      </c>
      <c r="J237" s="585" t="n">
        <v>18</v>
      </c>
      <c r="K237" s="585" t="n">
        <v>2</v>
      </c>
      <c r="L237" s="585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/>
      </c>
      <c r="M237" s="699">
        <f>L237</f>
        <v/>
      </c>
      <c r="O237" s="249" t="inlineStr">
        <is>
          <t>新倉</t>
        </is>
      </c>
      <c r="P237" s="249" t="inlineStr">
        <is>
          <t>元大期貨</t>
        </is>
      </c>
    </row>
    <row r="238" hidden="1" outlineLevel="1">
      <c r="A238" s="696" t="n">
        <v>45756</v>
      </c>
      <c r="B238" s="234" t="inlineStr">
        <is>
          <t>TXO</t>
        </is>
      </c>
      <c r="C238" s="229" t="inlineStr">
        <is>
          <t>週W2 P 04 17800 P</t>
        </is>
      </c>
      <c r="D238" s="229" t="inlineStr">
        <is>
          <t>平倉</t>
        </is>
      </c>
      <c r="E238" s="257" t="inlineStr">
        <is>
          <t>賣</t>
        </is>
      </c>
      <c r="F238" s="229" t="inlineStr">
        <is>
          <t>-</t>
        </is>
      </c>
      <c r="G238" s="697" t="n">
        <v>1</v>
      </c>
      <c r="H238" s="698" t="n">
        <v>68</v>
      </c>
      <c r="I238" s="697" t="n">
        <v>3400</v>
      </c>
      <c r="J238" s="585" t="n">
        <v>18</v>
      </c>
      <c r="K238" s="585" t="n">
        <v>3</v>
      </c>
      <c r="L238" s="585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/>
      </c>
      <c r="M238" s="699">
        <f>L238</f>
        <v/>
      </c>
      <c r="N238" s="686">
        <f>SUM(M223:M238)</f>
        <v/>
      </c>
      <c r="O238" s="249" t="inlineStr">
        <is>
          <t>平倉</t>
        </is>
      </c>
      <c r="P238" s="249" t="inlineStr">
        <is>
          <t>元大期貨</t>
        </is>
      </c>
    </row>
    <row r="239" hidden="1" outlineLevel="1">
      <c r="A239" s="696" t="n">
        <v>45756</v>
      </c>
      <c r="B239" s="234" t="inlineStr">
        <is>
          <t>TXO</t>
        </is>
      </c>
      <c r="C239" s="229" t="inlineStr">
        <is>
          <t>週W2 P 04 17800 P</t>
        </is>
      </c>
      <c r="D239" s="229" t="inlineStr">
        <is>
          <t>新倉</t>
        </is>
      </c>
      <c r="E239" s="257" t="inlineStr">
        <is>
          <t>買</t>
        </is>
      </c>
      <c r="F239" s="229" t="inlineStr">
        <is>
          <t>-</t>
        </is>
      </c>
      <c r="G239" s="697" t="n">
        <v>1</v>
      </c>
      <c r="H239" s="698" t="n">
        <v>25</v>
      </c>
      <c r="I239" s="697" t="n">
        <v>-1250</v>
      </c>
      <c r="J239" s="585" t="n">
        <v>18</v>
      </c>
      <c r="K239" s="585" t="n">
        <v>1</v>
      </c>
      <c r="L239" s="585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/>
      </c>
      <c r="M239" s="699">
        <f>L239</f>
        <v/>
      </c>
      <c r="O239" s="249" t="inlineStr">
        <is>
          <t>新倉</t>
        </is>
      </c>
      <c r="P239" s="249" t="inlineStr">
        <is>
          <t>元大期貨</t>
        </is>
      </c>
    </row>
    <row r="240" hidden="1" outlineLevel="1">
      <c r="A240" s="696" t="n">
        <v>45756</v>
      </c>
      <c r="B240" s="234" t="inlineStr">
        <is>
          <t>TXO</t>
        </is>
      </c>
      <c r="C240" s="229" t="inlineStr">
        <is>
          <t>週W2 P 04 17800 P</t>
        </is>
      </c>
      <c r="D240" s="229" t="inlineStr">
        <is>
          <t>平倉</t>
        </is>
      </c>
      <c r="E240" s="257" t="inlineStr">
        <is>
          <t>賣</t>
        </is>
      </c>
      <c r="F240" s="229" t="inlineStr">
        <is>
          <t>-</t>
        </is>
      </c>
      <c r="G240" s="697" t="n">
        <v>1</v>
      </c>
      <c r="H240" s="698" t="n">
        <v>186</v>
      </c>
      <c r="I240" s="697" t="n">
        <v>9300</v>
      </c>
      <c r="J240" s="585" t="n">
        <v>18</v>
      </c>
      <c r="K240" s="585" t="n">
        <v>9</v>
      </c>
      <c r="L240" s="585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/>
      </c>
      <c r="M240" s="699">
        <f>L240</f>
        <v/>
      </c>
      <c r="N240" s="686">
        <f>SUM(M239:M240)</f>
        <v/>
      </c>
      <c r="O240" s="249" t="inlineStr">
        <is>
          <t>平倉</t>
        </is>
      </c>
      <c r="P240" s="249" t="inlineStr">
        <is>
          <t>元大期貨</t>
        </is>
      </c>
    </row>
    <row r="241" hidden="1" outlineLevel="1">
      <c r="A241" s="696" t="n">
        <v>45756</v>
      </c>
      <c r="B241" s="234" t="inlineStr">
        <is>
          <t>TXO</t>
        </is>
      </c>
      <c r="C241" s="229" t="inlineStr">
        <is>
          <t>週W2 P 04 17900 P</t>
        </is>
      </c>
      <c r="D241" s="229" t="inlineStr">
        <is>
          <t>新倉</t>
        </is>
      </c>
      <c r="E241" s="257" t="inlineStr">
        <is>
          <t>買</t>
        </is>
      </c>
      <c r="F241" s="229" t="inlineStr">
        <is>
          <t>-</t>
        </is>
      </c>
      <c r="G241" s="697" t="n">
        <v>2</v>
      </c>
      <c r="H241" s="698" t="n">
        <v>56</v>
      </c>
      <c r="I241" s="697" t="n">
        <v>-5600</v>
      </c>
      <c r="J241" s="585" t="n">
        <v>36</v>
      </c>
      <c r="K241" s="585" t="n">
        <v>6</v>
      </c>
      <c r="L241" s="585">
        <f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/>
      </c>
      <c r="M241" s="699">
        <f>L241</f>
        <v/>
      </c>
      <c r="O241" s="249" t="inlineStr">
        <is>
          <t>新倉</t>
        </is>
      </c>
      <c r="P241" s="249" t="inlineStr">
        <is>
          <t>元大期貨</t>
        </is>
      </c>
    </row>
    <row r="242" hidden="1" outlineLevel="1">
      <c r="A242" s="696" t="n">
        <v>45756</v>
      </c>
      <c r="B242" s="234" t="inlineStr">
        <is>
          <t>TXO</t>
        </is>
      </c>
      <c r="C242" s="229" t="inlineStr">
        <is>
          <t>週W2 P 04 17900 P</t>
        </is>
      </c>
      <c r="D242" s="229" t="inlineStr">
        <is>
          <t>平倉</t>
        </is>
      </c>
      <c r="E242" s="257" t="inlineStr">
        <is>
          <t>賣</t>
        </is>
      </c>
      <c r="F242" s="229" t="inlineStr">
        <is>
          <t>-</t>
        </is>
      </c>
      <c r="G242" s="697" t="n">
        <v>1</v>
      </c>
      <c r="H242" s="698" t="n">
        <v>75</v>
      </c>
      <c r="I242" s="697" t="n">
        <v>3750</v>
      </c>
      <c r="J242" s="585" t="n">
        <v>18</v>
      </c>
      <c r="K242" s="585" t="n">
        <v>4</v>
      </c>
      <c r="L242" s="585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/>
      </c>
      <c r="M242" s="699">
        <f>L242</f>
        <v/>
      </c>
      <c r="O242" s="249" t="inlineStr">
        <is>
          <t>平倉</t>
        </is>
      </c>
      <c r="P242" s="249" t="inlineStr">
        <is>
          <t>元大期貨</t>
        </is>
      </c>
    </row>
    <row r="243" hidden="1" outlineLevel="1">
      <c r="A243" s="696" t="n">
        <v>45756</v>
      </c>
      <c r="B243" s="234" t="inlineStr">
        <is>
          <t>TXO</t>
        </is>
      </c>
      <c r="C243" s="229" t="inlineStr">
        <is>
          <t>週W2 P 04 17900 P</t>
        </is>
      </c>
      <c r="D243" s="229" t="inlineStr">
        <is>
          <t>平倉</t>
        </is>
      </c>
      <c r="E243" s="257" t="inlineStr">
        <is>
          <t>賣</t>
        </is>
      </c>
      <c r="F243" s="229" t="inlineStr">
        <is>
          <t>-</t>
        </is>
      </c>
      <c r="G243" s="697" t="n">
        <v>1</v>
      </c>
      <c r="H243" s="698" t="n">
        <v>230</v>
      </c>
      <c r="I243" s="697" t="n">
        <v>11500</v>
      </c>
      <c r="J243" s="585" t="n">
        <v>18</v>
      </c>
      <c r="K243" s="585" t="n">
        <v>12</v>
      </c>
      <c r="L243" s="585">
        <f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/>
      </c>
      <c r="M243" s="699">
        <f>L243</f>
        <v/>
      </c>
      <c r="N243" s="686">
        <f>SUM(M241:M243)</f>
        <v/>
      </c>
      <c r="O243" s="249" t="inlineStr">
        <is>
          <t>平倉</t>
        </is>
      </c>
      <c r="P243" s="249" t="inlineStr">
        <is>
          <t>元大期貨</t>
        </is>
      </c>
    </row>
    <row r="244" hidden="1" outlineLevel="1">
      <c r="A244" s="696" t="n">
        <v>45756</v>
      </c>
      <c r="B244" s="234" t="inlineStr">
        <is>
          <t>TXO</t>
        </is>
      </c>
      <c r="C244" s="229" t="inlineStr">
        <is>
          <t>週W2 P 04 18200 P</t>
        </is>
      </c>
      <c r="D244" s="229" t="inlineStr">
        <is>
          <t>新倉</t>
        </is>
      </c>
      <c r="E244" s="257" t="inlineStr">
        <is>
          <t>買</t>
        </is>
      </c>
      <c r="F244" s="229" t="inlineStr">
        <is>
          <t>-</t>
        </is>
      </c>
      <c r="G244" s="697" t="n">
        <v>1</v>
      </c>
      <c r="H244" s="698" t="n">
        <v>91</v>
      </c>
      <c r="I244" s="697" t="n">
        <v>-4550</v>
      </c>
      <c r="J244" s="585" t="n">
        <v>18</v>
      </c>
      <c r="K244" s="585" t="n">
        <v>5</v>
      </c>
      <c r="L244" s="585">
        <f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/>
      </c>
      <c r="M244" s="699">
        <f>L244</f>
        <v/>
      </c>
      <c r="O244" s="249" t="inlineStr">
        <is>
          <t>新倉</t>
        </is>
      </c>
      <c r="P244" s="249" t="inlineStr">
        <is>
          <t>元大期貨</t>
        </is>
      </c>
    </row>
    <row r="245" hidden="1" outlineLevel="1">
      <c r="A245" s="696" t="n">
        <v>45756</v>
      </c>
      <c r="B245" s="234" t="inlineStr">
        <is>
          <t>TXO</t>
        </is>
      </c>
      <c r="C245" s="229" t="inlineStr">
        <is>
          <t>週W2 P 04 18200 P</t>
        </is>
      </c>
      <c r="D245" s="229" t="inlineStr">
        <is>
          <t>平倉</t>
        </is>
      </c>
      <c r="E245" s="257" t="inlineStr">
        <is>
          <t>賣</t>
        </is>
      </c>
      <c r="F245" s="229" t="inlineStr">
        <is>
          <t>-</t>
        </is>
      </c>
      <c r="G245" s="697" t="n">
        <v>1</v>
      </c>
      <c r="H245" s="698" t="n">
        <v>119</v>
      </c>
      <c r="I245" s="697" t="n">
        <v>5950</v>
      </c>
      <c r="J245" s="585" t="n">
        <v>18</v>
      </c>
      <c r="K245" s="585" t="n">
        <v>6</v>
      </c>
      <c r="L245" s="585">
        <f>IF(B245="TXO",I245-SUM(J245:K245),IF(B245="FITX",IF(D245="新倉",-SUM(J245:K245),IF(E245="賣",(H245-H244)*G245*200-SUM(J245:K245),(H244-H245)*G245*200-SUM(J245:K245))),IF(D245="新倉",-SUM(J245:K245),IF(E245="賣",(H245-H244)*G245*50-SUM(J245:K245),(H244-H245)*G245*50-SUM(J245:K245)))))</f>
        <v/>
      </c>
      <c r="M245" s="699">
        <f>L245</f>
        <v/>
      </c>
      <c r="N245" s="686">
        <f>SUM(M244:M245)</f>
        <v/>
      </c>
      <c r="O245" s="249" t="inlineStr">
        <is>
          <t>平倉</t>
        </is>
      </c>
      <c r="P245" s="249" t="inlineStr">
        <is>
          <t>元大期貨</t>
        </is>
      </c>
    </row>
    <row r="246" hidden="1" outlineLevel="1">
      <c r="A246" s="696" t="n">
        <v>45756</v>
      </c>
      <c r="B246" s="234" t="inlineStr">
        <is>
          <t>TXO</t>
        </is>
      </c>
      <c r="C246" s="229" t="inlineStr">
        <is>
          <t>週W2 P 04 18400 P</t>
        </is>
      </c>
      <c r="D246" s="229" t="inlineStr">
        <is>
          <t>新倉</t>
        </is>
      </c>
      <c r="E246" s="257" t="inlineStr">
        <is>
          <t>買</t>
        </is>
      </c>
      <c r="F246" s="229" t="inlineStr">
        <is>
          <t>-</t>
        </is>
      </c>
      <c r="G246" s="697" t="n">
        <v>1</v>
      </c>
      <c r="H246" s="698" t="n">
        <v>98</v>
      </c>
      <c r="I246" s="697" t="n">
        <v>-4900</v>
      </c>
      <c r="J246" s="585" t="n">
        <v>18</v>
      </c>
      <c r="K246" s="585" t="n">
        <v>5</v>
      </c>
      <c r="L246" s="585">
        <f>IF(B246="TXO",I246-SUM(J246:K246),IF(B246="FITX",IF(D246="新倉",-SUM(J246:K246),IF(E246="賣",(H246-H245)*G246*200-SUM(J246:K246),(H245-H246)*G246*200-SUM(J246:K246))),IF(D246="新倉",-SUM(J246:K246),IF(E246="賣",(H246-H245)*G246*50-SUM(J246:K246),(H245-H246)*G246*50-SUM(J246:K246)))))</f>
        <v/>
      </c>
      <c r="M246" s="699">
        <f>L246</f>
        <v/>
      </c>
      <c r="O246" s="249" t="inlineStr">
        <is>
          <t>新倉</t>
        </is>
      </c>
      <c r="P246" s="249" t="inlineStr">
        <is>
          <t>元大期貨</t>
        </is>
      </c>
    </row>
    <row r="247" hidden="1" outlineLevel="1">
      <c r="A247" s="696" t="n">
        <v>45756</v>
      </c>
      <c r="B247" s="234" t="inlineStr">
        <is>
          <t>TXO</t>
        </is>
      </c>
      <c r="C247" s="229" t="inlineStr">
        <is>
          <t>週W2 P 04 18400 P</t>
        </is>
      </c>
      <c r="D247" s="229" t="inlineStr">
        <is>
          <t>平倉</t>
        </is>
      </c>
      <c r="E247" s="257" t="inlineStr">
        <is>
          <t>賣</t>
        </is>
      </c>
      <c r="F247" s="229" t="inlineStr">
        <is>
          <t>-</t>
        </is>
      </c>
      <c r="G247" s="697" t="n">
        <v>1</v>
      </c>
      <c r="H247" s="698" t="n">
        <v>125</v>
      </c>
      <c r="I247" s="697" t="n">
        <v>6250</v>
      </c>
      <c r="J247" s="585" t="n">
        <v>18</v>
      </c>
      <c r="K247" s="585" t="n">
        <v>6</v>
      </c>
      <c r="L247" s="585">
        <f>IF(B247="TXO",I247-SUM(J247:K247),IF(B247="FITX",IF(D247="新倉",-SUM(J247:K247),IF(E247="賣",(H247-H246)*G247*200-SUM(J247:K247),(H246-H247)*G247*200-SUM(J247:K247))),IF(D247="新倉",-SUM(J247:K247),IF(E247="賣",(H247-H246)*G247*50-SUM(J247:K247),(H246-H247)*G247*50-SUM(J247:K247)))))</f>
        <v/>
      </c>
      <c r="M247" s="699">
        <f>L247</f>
        <v/>
      </c>
      <c r="O247" s="249" t="inlineStr">
        <is>
          <t>新倉</t>
        </is>
      </c>
      <c r="P247" s="249" t="inlineStr">
        <is>
          <t>元大期貨</t>
        </is>
      </c>
    </row>
    <row r="248" hidden="1" outlineLevel="1">
      <c r="A248" s="696" t="n">
        <v>45756</v>
      </c>
      <c r="B248" s="234" t="inlineStr">
        <is>
          <t>TXO</t>
        </is>
      </c>
      <c r="C248" s="229" t="inlineStr">
        <is>
          <t>週W2 P 04 18800 P</t>
        </is>
      </c>
      <c r="D248" s="229" t="inlineStr">
        <is>
          <t>新倉</t>
        </is>
      </c>
      <c r="E248" s="257" t="inlineStr">
        <is>
          <t>買</t>
        </is>
      </c>
      <c r="F248" s="229" t="inlineStr">
        <is>
          <t>-</t>
        </is>
      </c>
      <c r="G248" s="697" t="n">
        <v>1</v>
      </c>
      <c r="H248" s="698" t="n">
        <v>230</v>
      </c>
      <c r="I248" s="697" t="n">
        <v>-11500</v>
      </c>
      <c r="J248" s="585" t="n">
        <v>18</v>
      </c>
      <c r="K248" s="585" t="n">
        <v>12</v>
      </c>
      <c r="L248" s="585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/>
      </c>
      <c r="M248" s="699">
        <f>L248</f>
        <v/>
      </c>
      <c r="N248" s="686">
        <f>SUM(M246:M248)</f>
        <v/>
      </c>
      <c r="O248" s="249" t="inlineStr">
        <is>
          <t>新倉</t>
        </is>
      </c>
      <c r="P248" s="249" t="inlineStr">
        <is>
          <t>元大期貨</t>
        </is>
      </c>
    </row>
    <row r="249" hidden="1" outlineLevel="1">
      <c r="A249" s="696" t="n">
        <v>45756</v>
      </c>
      <c r="B249" s="234" t="inlineStr">
        <is>
          <t>TXO</t>
        </is>
      </c>
      <c r="C249" s="229" t="inlineStr">
        <is>
          <t>週W2 P 04 18800 P</t>
        </is>
      </c>
      <c r="D249" s="229" t="inlineStr">
        <is>
          <t>平倉</t>
        </is>
      </c>
      <c r="E249" s="257" t="inlineStr">
        <is>
          <t>賣</t>
        </is>
      </c>
      <c r="F249" s="229" t="inlineStr">
        <is>
          <t>-</t>
        </is>
      </c>
      <c r="G249" s="697" t="n">
        <v>1</v>
      </c>
      <c r="H249" s="698" t="n">
        <v>259</v>
      </c>
      <c r="I249" s="697" t="n">
        <v>12950</v>
      </c>
      <c r="J249" s="585" t="n">
        <v>18</v>
      </c>
      <c r="K249" s="585" t="n">
        <v>13</v>
      </c>
      <c r="L249" s="585">
        <f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/>
      </c>
      <c r="M249" s="699">
        <f>L249</f>
        <v/>
      </c>
      <c r="N249" s="686">
        <f>SUM(M247:M249)</f>
        <v/>
      </c>
      <c r="O249" s="249" t="inlineStr">
        <is>
          <t>新倉</t>
        </is>
      </c>
      <c r="P249" s="249" t="inlineStr">
        <is>
          <t>元大期貨</t>
        </is>
      </c>
    </row>
    <row r="250" collapsed="1">
      <c r="A250" s="691" t="n">
        <v>45757</v>
      </c>
      <c r="B250" s="251" t="n"/>
      <c r="C250" s="252" t="inlineStr">
        <is>
          <t>入金</t>
        </is>
      </c>
      <c r="D250" s="252" t="n"/>
      <c r="E250" s="252" t="n"/>
      <c r="F250" s="252" t="n"/>
      <c r="G250" s="692" t="n"/>
      <c r="H250" s="692" t="n"/>
      <c r="I250" s="692" t="n"/>
      <c r="J250" s="693" t="n"/>
      <c r="K250" s="693" t="n"/>
      <c r="L250" s="693" t="n">
        <v>20000</v>
      </c>
      <c r="M250" s="694">
        <f>L250</f>
        <v/>
      </c>
    </row>
    <row r="251" hidden="1" outlineLevel="1">
      <c r="A251" s="696" t="n">
        <v>45757</v>
      </c>
      <c r="B251" s="234" t="inlineStr">
        <is>
          <t>TXO</t>
        </is>
      </c>
      <c r="C251" s="229" t="inlineStr">
        <is>
          <t>台指 C 04 17800 C</t>
        </is>
      </c>
      <c r="D251" s="229" t="inlineStr">
        <is>
          <t>新倉</t>
        </is>
      </c>
      <c r="E251" s="257" t="inlineStr">
        <is>
          <t>買</t>
        </is>
      </c>
      <c r="F251" s="229" t="inlineStr">
        <is>
          <t>-</t>
        </is>
      </c>
      <c r="G251" s="697" t="n">
        <v>1</v>
      </c>
      <c r="H251" s="698" t="n">
        <v>540</v>
      </c>
      <c r="I251" s="697" t="n">
        <v>-27000</v>
      </c>
      <c r="J251" s="585" t="n">
        <v>18</v>
      </c>
      <c r="K251" s="585" t="n">
        <v>27</v>
      </c>
      <c r="L251" s="585">
        <f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/>
      </c>
      <c r="M251" s="699">
        <f>L251</f>
        <v/>
      </c>
      <c r="O251" s="249" t="inlineStr">
        <is>
          <t>新倉</t>
        </is>
      </c>
      <c r="P251" s="249" t="inlineStr">
        <is>
          <t>元大期貨</t>
        </is>
      </c>
    </row>
    <row r="252" hidden="1" outlineLevel="1">
      <c r="A252" s="696" t="n">
        <v>45757</v>
      </c>
      <c r="B252" s="234" t="inlineStr">
        <is>
          <t>TXO</t>
        </is>
      </c>
      <c r="C252" s="229" t="inlineStr">
        <is>
          <t>台指 C 04 17800 C</t>
        </is>
      </c>
      <c r="D252" s="229" t="inlineStr">
        <is>
          <t>平倉</t>
        </is>
      </c>
      <c r="E252" s="257" t="inlineStr">
        <is>
          <t>賣</t>
        </is>
      </c>
      <c r="F252" s="229" t="inlineStr">
        <is>
          <t>-</t>
        </is>
      </c>
      <c r="G252" s="697" t="n">
        <v>1</v>
      </c>
      <c r="H252" s="698" t="n">
        <v>1500</v>
      </c>
      <c r="I252" s="697" t="n">
        <v>75000</v>
      </c>
      <c r="J252" s="585" t="n">
        <v>18</v>
      </c>
      <c r="K252" s="585" t="n">
        <v>75</v>
      </c>
      <c r="L252" s="585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/>
      </c>
      <c r="M252" s="699">
        <f>L252</f>
        <v/>
      </c>
      <c r="N252" s="686">
        <f>SUM(M251:M252)</f>
        <v/>
      </c>
      <c r="O252" s="249" t="inlineStr">
        <is>
          <t>平倉</t>
        </is>
      </c>
      <c r="P252" s="249" t="inlineStr">
        <is>
          <t>元大期貨</t>
        </is>
      </c>
    </row>
    <row r="253" hidden="1" outlineLevel="1">
      <c r="A253" s="696" t="n">
        <v>45757</v>
      </c>
      <c r="B253" s="234" t="inlineStr">
        <is>
          <t>TXO</t>
        </is>
      </c>
      <c r="C253" s="229" t="inlineStr">
        <is>
          <t>台指 C 04 19200 C</t>
        </is>
      </c>
      <c r="D253" s="229" t="inlineStr">
        <is>
          <t>新倉</t>
        </is>
      </c>
      <c r="E253" s="257" t="inlineStr">
        <is>
          <t>買</t>
        </is>
      </c>
      <c r="F253" s="229" t="inlineStr">
        <is>
          <t>-</t>
        </is>
      </c>
      <c r="G253" s="697" t="n">
        <v>1</v>
      </c>
      <c r="H253" s="698" t="n">
        <v>685</v>
      </c>
      <c r="I253" s="697" t="n">
        <v>-34250</v>
      </c>
      <c r="J253" s="585" t="n">
        <v>18</v>
      </c>
      <c r="K253" s="585" t="n">
        <v>34</v>
      </c>
      <c r="L253" s="585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/>
      </c>
      <c r="M253" s="699">
        <f>L253</f>
        <v/>
      </c>
      <c r="O253" s="249" t="inlineStr">
        <is>
          <t>新倉</t>
        </is>
      </c>
      <c r="P253" s="249" t="inlineStr">
        <is>
          <t>元大期貨</t>
        </is>
      </c>
    </row>
    <row r="254" hidden="1" outlineLevel="1">
      <c r="A254" s="696" t="n">
        <v>45757</v>
      </c>
      <c r="B254" s="234" t="inlineStr">
        <is>
          <t>TXO</t>
        </is>
      </c>
      <c r="C254" s="229" t="inlineStr">
        <is>
          <t>台指 C 04 19200 C</t>
        </is>
      </c>
      <c r="D254" s="229" t="inlineStr">
        <is>
          <t>平倉</t>
        </is>
      </c>
      <c r="E254" s="257" t="inlineStr">
        <is>
          <t>賣</t>
        </is>
      </c>
      <c r="F254" s="229" t="inlineStr">
        <is>
          <t>-</t>
        </is>
      </c>
      <c r="G254" s="697" t="n">
        <v>1</v>
      </c>
      <c r="H254" s="698" t="n">
        <v>690</v>
      </c>
      <c r="I254" s="697" t="n">
        <v>34500</v>
      </c>
      <c r="J254" s="585" t="n">
        <v>18</v>
      </c>
      <c r="K254" s="585" t="n">
        <v>35</v>
      </c>
      <c r="L254" s="585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/>
      </c>
      <c r="M254" s="699">
        <f>L254</f>
        <v/>
      </c>
      <c r="N254" s="686">
        <f>SUM(M253:M254)</f>
        <v/>
      </c>
      <c r="O254" s="249" t="inlineStr">
        <is>
          <t>平倉</t>
        </is>
      </c>
      <c r="P254" s="249" t="inlineStr">
        <is>
          <t>元大期貨</t>
        </is>
      </c>
    </row>
    <row r="255" hidden="1" outlineLevel="1">
      <c r="A255" s="696" t="n">
        <v>45757</v>
      </c>
      <c r="B255" s="234" t="inlineStr">
        <is>
          <t>TXO</t>
        </is>
      </c>
      <c r="C255" s="229" t="inlineStr">
        <is>
          <t>台指 P 04 17300 P</t>
        </is>
      </c>
      <c r="D255" s="229" t="inlineStr">
        <is>
          <t>新倉</t>
        </is>
      </c>
      <c r="E255" s="257" t="inlineStr">
        <is>
          <t>買</t>
        </is>
      </c>
      <c r="F255" s="229" t="inlineStr">
        <is>
          <t>-</t>
        </is>
      </c>
      <c r="G255" s="697" t="n">
        <v>1</v>
      </c>
      <c r="H255" s="698" t="n">
        <v>665</v>
      </c>
      <c r="I255" s="697" t="n">
        <v>-33250</v>
      </c>
      <c r="J255" s="585" t="n">
        <v>18</v>
      </c>
      <c r="K255" s="585" t="n">
        <v>33</v>
      </c>
      <c r="L255" s="585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/>
      </c>
      <c r="M255" s="699">
        <f>L255</f>
        <v/>
      </c>
      <c r="O255" s="249" t="inlineStr">
        <is>
          <t>新倉</t>
        </is>
      </c>
      <c r="P255" s="249" t="inlineStr">
        <is>
          <t>元大期貨</t>
        </is>
      </c>
    </row>
    <row r="256" hidden="1" outlineLevel="1">
      <c r="A256" s="696" t="n">
        <v>45757</v>
      </c>
      <c r="B256" s="234" t="inlineStr">
        <is>
          <t>TXO</t>
        </is>
      </c>
      <c r="C256" s="229" t="inlineStr">
        <is>
          <t>台指 P 04 17300 P</t>
        </is>
      </c>
      <c r="D256" s="229" t="inlineStr">
        <is>
          <t>平倉</t>
        </is>
      </c>
      <c r="E256" s="257" t="inlineStr">
        <is>
          <t>賣</t>
        </is>
      </c>
      <c r="F256" s="229" t="inlineStr">
        <is>
          <t>-</t>
        </is>
      </c>
      <c r="G256" s="697" t="n">
        <v>1</v>
      </c>
      <c r="H256" s="698" t="n">
        <v>710</v>
      </c>
      <c r="I256" s="697" t="n">
        <v>35500</v>
      </c>
      <c r="J256" s="585" t="n">
        <v>18</v>
      </c>
      <c r="K256" s="585" t="n">
        <v>36</v>
      </c>
      <c r="L256" s="585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/>
      </c>
      <c r="M256" s="699">
        <f>L256</f>
        <v/>
      </c>
      <c r="N256" s="686">
        <f>SUM(M255:M256)</f>
        <v/>
      </c>
      <c r="O256" s="249" t="inlineStr">
        <is>
          <t>平倉</t>
        </is>
      </c>
      <c r="P256" s="249" t="inlineStr">
        <is>
          <t>元大期貨</t>
        </is>
      </c>
    </row>
    <row r="257" hidden="1" outlineLevel="1">
      <c r="A257" s="696" t="n">
        <v>45758</v>
      </c>
      <c r="B257" s="234" t="inlineStr">
        <is>
          <t>TXO</t>
        </is>
      </c>
      <c r="C257" s="229" t="inlineStr">
        <is>
          <t>台指 C 04 19000 C</t>
        </is>
      </c>
      <c r="D257" s="229" t="inlineStr">
        <is>
          <t>新倉</t>
        </is>
      </c>
      <c r="E257" s="257" t="inlineStr">
        <is>
          <t>買</t>
        </is>
      </c>
      <c r="F257" s="229" t="inlineStr">
        <is>
          <t>-</t>
        </is>
      </c>
      <c r="G257" s="697" t="n">
        <v>1</v>
      </c>
      <c r="H257" s="698" t="n">
        <v>442</v>
      </c>
      <c r="I257" s="697" t="n">
        <v>-22100</v>
      </c>
      <c r="J257" s="585" t="n">
        <v>18</v>
      </c>
      <c r="K257" s="585" t="n">
        <v>22</v>
      </c>
      <c r="L257" s="585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/>
      </c>
      <c r="M257" s="699">
        <f>L257</f>
        <v/>
      </c>
      <c r="O257" s="249" t="inlineStr">
        <is>
          <t>新倉</t>
        </is>
      </c>
      <c r="P257" s="249" t="inlineStr">
        <is>
          <t>元大期貨</t>
        </is>
      </c>
    </row>
    <row r="258" hidden="1" outlineLevel="1">
      <c r="A258" s="696" t="n">
        <v>45758</v>
      </c>
      <c r="B258" s="234" t="inlineStr">
        <is>
          <t>TXO</t>
        </is>
      </c>
      <c r="C258" s="229" t="inlineStr">
        <is>
          <t>台指 C 04 19000 C</t>
        </is>
      </c>
      <c r="D258" s="229" t="inlineStr">
        <is>
          <t>平倉</t>
        </is>
      </c>
      <c r="E258" s="257" t="inlineStr">
        <is>
          <t>賣</t>
        </is>
      </c>
      <c r="F258" s="229" t="inlineStr">
        <is>
          <t>-</t>
        </is>
      </c>
      <c r="G258" s="697" t="n">
        <v>1</v>
      </c>
      <c r="H258" s="698" t="n">
        <v>555</v>
      </c>
      <c r="I258" s="697" t="n">
        <v>27750</v>
      </c>
      <c r="J258" s="585" t="n">
        <v>18</v>
      </c>
      <c r="K258" s="585" t="n">
        <v>28</v>
      </c>
      <c r="L258" s="585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/>
      </c>
      <c r="M258" s="699">
        <f>L258</f>
        <v/>
      </c>
      <c r="N258" s="686">
        <f>SUM(M257:M258)</f>
        <v/>
      </c>
      <c r="O258" s="249" t="inlineStr">
        <is>
          <t>平倉</t>
        </is>
      </c>
      <c r="P258" s="249" t="inlineStr">
        <is>
          <t>元大期貨</t>
        </is>
      </c>
    </row>
    <row r="259" hidden="1" outlineLevel="1">
      <c r="A259" s="696" t="n">
        <v>45758</v>
      </c>
      <c r="B259" s="234" t="inlineStr">
        <is>
          <t>TXO</t>
        </is>
      </c>
      <c r="C259" s="229" t="inlineStr">
        <is>
          <t>台指 C 04 19200 C</t>
        </is>
      </c>
      <c r="D259" s="229" t="inlineStr">
        <is>
          <t>新倉</t>
        </is>
      </c>
      <c r="E259" s="257" t="inlineStr">
        <is>
          <t>買</t>
        </is>
      </c>
      <c r="F259" s="229" t="inlineStr">
        <is>
          <t>-</t>
        </is>
      </c>
      <c r="G259" s="697" t="n">
        <v>1</v>
      </c>
      <c r="H259" s="698" t="n">
        <v>430</v>
      </c>
      <c r="I259" s="697" t="n">
        <v>-21500</v>
      </c>
      <c r="J259" s="585" t="n">
        <v>18</v>
      </c>
      <c r="K259" s="585" t="n">
        <v>22</v>
      </c>
      <c r="L259" s="585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/>
      </c>
      <c r="M259" s="699">
        <f>L259</f>
        <v/>
      </c>
      <c r="O259" s="249" t="inlineStr">
        <is>
          <t>新倉</t>
        </is>
      </c>
      <c r="P259" s="249" t="inlineStr">
        <is>
          <t>元大期貨</t>
        </is>
      </c>
    </row>
    <row r="260" hidden="1" outlineLevel="1">
      <c r="A260" s="696" t="n">
        <v>45758</v>
      </c>
      <c r="B260" s="234" t="inlineStr">
        <is>
          <t>TXO</t>
        </is>
      </c>
      <c r="C260" s="229" t="inlineStr">
        <is>
          <t>台指 C 04 19200 C</t>
        </is>
      </c>
      <c r="D260" s="229" t="inlineStr">
        <is>
          <t>平倉</t>
        </is>
      </c>
      <c r="E260" s="257" t="inlineStr">
        <is>
          <t>賣</t>
        </is>
      </c>
      <c r="F260" s="229" t="inlineStr">
        <is>
          <t>-</t>
        </is>
      </c>
      <c r="G260" s="697" t="n">
        <v>1</v>
      </c>
      <c r="H260" s="698" t="n">
        <v>460</v>
      </c>
      <c r="I260" s="697" t="n">
        <v>23000</v>
      </c>
      <c r="J260" s="585" t="n">
        <v>18</v>
      </c>
      <c r="K260" s="585" t="n">
        <v>23</v>
      </c>
      <c r="L260" s="585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/>
      </c>
      <c r="M260" s="699">
        <f>L260</f>
        <v/>
      </c>
      <c r="N260" s="686">
        <f>SUM(M259:M260)</f>
        <v/>
      </c>
      <c r="O260" s="249" t="inlineStr">
        <is>
          <t>平倉</t>
        </is>
      </c>
      <c r="P260" s="249" t="inlineStr">
        <is>
          <t>元大期貨</t>
        </is>
      </c>
    </row>
    <row r="261" hidden="1" outlineLevel="1">
      <c r="A261" s="696" t="n">
        <v>45758</v>
      </c>
      <c r="B261" s="234" t="inlineStr">
        <is>
          <t>TXO</t>
        </is>
      </c>
      <c r="C261" s="229" t="inlineStr">
        <is>
          <t>台指 C 04 19400 C</t>
        </is>
      </c>
      <c r="D261" s="229" t="inlineStr">
        <is>
          <t>新倉</t>
        </is>
      </c>
      <c r="E261" s="257" t="inlineStr">
        <is>
          <t>買</t>
        </is>
      </c>
      <c r="F261" s="229" t="inlineStr">
        <is>
          <t>-</t>
        </is>
      </c>
      <c r="G261" s="697" t="n">
        <v>1</v>
      </c>
      <c r="H261" s="698" t="n">
        <v>435</v>
      </c>
      <c r="I261" s="697" t="n">
        <v>-21750</v>
      </c>
      <c r="J261" s="585" t="n">
        <v>18</v>
      </c>
      <c r="K261" s="585" t="n">
        <v>22</v>
      </c>
      <c r="L261" s="585">
        <f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/>
      </c>
      <c r="M261" s="699">
        <f>L261</f>
        <v/>
      </c>
      <c r="O261" s="249" t="inlineStr">
        <is>
          <t>新倉</t>
        </is>
      </c>
      <c r="P261" s="249" t="inlineStr">
        <is>
          <t>元大期貨</t>
        </is>
      </c>
    </row>
    <row r="262" hidden="1" outlineLevel="1">
      <c r="A262" s="696" t="n">
        <v>45758</v>
      </c>
      <c r="B262" s="234" t="inlineStr">
        <is>
          <t>TXO</t>
        </is>
      </c>
      <c r="C262" s="229" t="inlineStr">
        <is>
          <t>台指 C 04 19400 C</t>
        </is>
      </c>
      <c r="D262" s="229" t="inlineStr">
        <is>
          <t>平倉</t>
        </is>
      </c>
      <c r="E262" s="257" t="inlineStr">
        <is>
          <t>賣</t>
        </is>
      </c>
      <c r="F262" s="229" t="inlineStr">
        <is>
          <t>-</t>
        </is>
      </c>
      <c r="G262" s="697" t="n">
        <v>1</v>
      </c>
      <c r="H262" s="698" t="n">
        <v>196</v>
      </c>
      <c r="I262" s="697" t="n">
        <v>9800</v>
      </c>
      <c r="J262" s="585" t="n">
        <v>18</v>
      </c>
      <c r="K262" s="585" t="n">
        <v>10</v>
      </c>
      <c r="L262" s="585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/>
      </c>
      <c r="M262" s="699">
        <f>L262</f>
        <v/>
      </c>
      <c r="N262" s="686">
        <f>SUM(M261:M262)</f>
        <v/>
      </c>
      <c r="O262" s="249" t="inlineStr">
        <is>
          <t>平倉</t>
        </is>
      </c>
      <c r="P262" s="249" t="inlineStr">
        <is>
          <t>元大期貨</t>
        </is>
      </c>
    </row>
    <row r="263" hidden="1" outlineLevel="1">
      <c r="A263" s="696" t="n">
        <v>45758</v>
      </c>
      <c r="B263" s="234" t="inlineStr">
        <is>
          <t>TXO</t>
        </is>
      </c>
      <c r="C263" s="229" t="inlineStr">
        <is>
          <t>台指 P 04 18800 P</t>
        </is>
      </c>
      <c r="D263" s="229" t="inlineStr">
        <is>
          <t>新倉</t>
        </is>
      </c>
      <c r="E263" s="257" t="inlineStr">
        <is>
          <t>買</t>
        </is>
      </c>
      <c r="F263" s="229" t="inlineStr">
        <is>
          <t>-</t>
        </is>
      </c>
      <c r="G263" s="697" t="n">
        <v>1</v>
      </c>
      <c r="H263" s="698" t="n">
        <v>490</v>
      </c>
      <c r="I263" s="697" t="n">
        <v>-24500</v>
      </c>
      <c r="J263" s="585" t="n">
        <v>18</v>
      </c>
      <c r="K263" s="585" t="n">
        <v>25</v>
      </c>
      <c r="L263" s="585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/>
      </c>
      <c r="M263" s="699">
        <f>L263</f>
        <v/>
      </c>
      <c r="O263" s="249" t="inlineStr">
        <is>
          <t>新倉</t>
        </is>
      </c>
      <c r="P263" s="249" t="inlineStr">
        <is>
          <t>元大期貨</t>
        </is>
      </c>
    </row>
    <row r="264" hidden="1" outlineLevel="1">
      <c r="A264" s="696" t="n">
        <v>45758</v>
      </c>
      <c r="B264" s="234" t="inlineStr">
        <is>
          <t>TXO</t>
        </is>
      </c>
      <c r="C264" s="229" t="inlineStr">
        <is>
          <t>台指 P 04 18800 P</t>
        </is>
      </c>
      <c r="D264" s="229" t="inlineStr">
        <is>
          <t>平倉</t>
        </is>
      </c>
      <c r="E264" s="257" t="inlineStr">
        <is>
          <t>賣</t>
        </is>
      </c>
      <c r="F264" s="229" t="inlineStr">
        <is>
          <t>-</t>
        </is>
      </c>
      <c r="G264" s="697" t="n">
        <v>1</v>
      </c>
      <c r="H264" s="698" t="n">
        <v>705</v>
      </c>
      <c r="I264" s="697" t="n">
        <v>35250</v>
      </c>
      <c r="J264" s="585" t="n">
        <v>18</v>
      </c>
      <c r="K264" s="585" t="n">
        <v>35</v>
      </c>
      <c r="L264" s="585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/>
      </c>
      <c r="M264" s="699">
        <f>L264</f>
        <v/>
      </c>
      <c r="N264" s="686">
        <f>SUM(M263:M264)</f>
        <v/>
      </c>
      <c r="O264" s="249" t="inlineStr">
        <is>
          <t>平倉</t>
        </is>
      </c>
      <c r="P264" s="249" t="inlineStr">
        <is>
          <t>元大期貨</t>
        </is>
      </c>
    </row>
    <row r="265" hidden="1" outlineLevel="1">
      <c r="A265" s="696" t="n">
        <v>45758</v>
      </c>
      <c r="B265" s="234" t="inlineStr">
        <is>
          <t>TXO</t>
        </is>
      </c>
      <c r="C265" s="229" t="inlineStr">
        <is>
          <t>台指 P 04 18700 P</t>
        </is>
      </c>
      <c r="D265" s="229" t="inlineStr">
        <is>
          <t>新倉</t>
        </is>
      </c>
      <c r="E265" s="257" t="inlineStr">
        <is>
          <t>買</t>
        </is>
      </c>
      <c r="F265" s="229" t="inlineStr">
        <is>
          <t>-</t>
        </is>
      </c>
      <c r="G265" s="697" t="n">
        <v>1</v>
      </c>
      <c r="H265" s="698" t="n">
        <v>525</v>
      </c>
      <c r="I265" s="697" t="n">
        <v>-26250</v>
      </c>
      <c r="J265" s="585" t="n">
        <v>18</v>
      </c>
      <c r="K265" s="585" t="n">
        <v>26</v>
      </c>
      <c r="L265" s="585">
        <f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/>
      </c>
      <c r="M265" s="699">
        <f>L265</f>
        <v/>
      </c>
      <c r="N265" s="686">
        <f>SUM(M261:M265)</f>
        <v/>
      </c>
      <c r="O265" s="261" t="inlineStr">
        <is>
          <t>放棄</t>
        </is>
      </c>
      <c r="P265" s="249" t="inlineStr">
        <is>
          <t>元大期貨</t>
        </is>
      </c>
    </row>
    <row r="266" hidden="1" outlineLevel="1">
      <c r="A266" s="696" t="n">
        <v>45758</v>
      </c>
      <c r="B266" s="234" t="inlineStr">
        <is>
          <t>TXO</t>
        </is>
      </c>
      <c r="C266" s="229" t="inlineStr">
        <is>
          <t>台指 P 04 19300 P</t>
        </is>
      </c>
      <c r="D266" s="229" t="inlineStr">
        <is>
          <t>新倉</t>
        </is>
      </c>
      <c r="E266" s="257" t="inlineStr">
        <is>
          <t>買</t>
        </is>
      </c>
      <c r="F266" s="229" t="inlineStr">
        <is>
          <t>-</t>
        </is>
      </c>
      <c r="G266" s="697" t="n">
        <v>1</v>
      </c>
      <c r="H266" s="698" t="n">
        <v>417</v>
      </c>
      <c r="I266" s="697" t="n">
        <v>-20850</v>
      </c>
      <c r="J266" s="585" t="n">
        <v>18</v>
      </c>
      <c r="K266" s="585" t="n">
        <v>21</v>
      </c>
      <c r="L266" s="585">
        <f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/>
      </c>
      <c r="M266" s="699">
        <f>L266</f>
        <v/>
      </c>
      <c r="N266" s="686">
        <f>SUM(M263:M266)</f>
        <v/>
      </c>
      <c r="O266" s="261" t="inlineStr">
        <is>
          <t>放棄</t>
        </is>
      </c>
      <c r="P266" s="249" t="inlineStr">
        <is>
          <t>元大期貨</t>
        </is>
      </c>
    </row>
    <row r="267" hidden="1" outlineLevel="1">
      <c r="A267" s="696" t="n">
        <v>45761</v>
      </c>
      <c r="B267" s="234" t="inlineStr">
        <is>
          <t>TXO</t>
        </is>
      </c>
      <c r="C267" s="229" t="inlineStr">
        <is>
          <t>台指 P 04 16600 P</t>
        </is>
      </c>
      <c r="D267" s="229" t="inlineStr">
        <is>
          <t>新倉</t>
        </is>
      </c>
      <c r="E267" s="257" t="inlineStr">
        <is>
          <t>買</t>
        </is>
      </c>
      <c r="F267" s="229" t="inlineStr">
        <is>
          <t>-</t>
        </is>
      </c>
      <c r="G267" s="697" t="n">
        <v>3</v>
      </c>
      <c r="H267" s="698" t="n">
        <v>20</v>
      </c>
      <c r="I267" s="697" t="n">
        <v>-3000</v>
      </c>
      <c r="J267" s="585" t="n">
        <v>54</v>
      </c>
      <c r="K267" s="585" t="n">
        <v>3</v>
      </c>
      <c r="L267" s="585">
        <f>IF(B267="TXO",I267-SUM(J267:K267),IF(B267="FITX",IF(D267="新倉",-SUM(J267:K267),IF(E267="賣",(H267-H266)*G267*200-SUM(J267:K267),(H266-H267)*G267*200-SUM(J267:K267))),IF(D267="新倉",-SUM(J267:K267),IF(E267="賣",(H267-H266)*G267*50-SUM(J267:K267),(H266-H267)*G267*50-SUM(J267:K267)))))</f>
        <v/>
      </c>
      <c r="M267" s="699">
        <f>L267</f>
        <v/>
      </c>
      <c r="N267" s="686">
        <f>M267</f>
        <v/>
      </c>
      <c r="O267" s="261" t="inlineStr">
        <is>
          <t>放棄</t>
        </is>
      </c>
      <c r="P267" s="249" t="inlineStr">
        <is>
          <t>元大期貨</t>
        </is>
      </c>
    </row>
    <row r="268" hidden="1" outlineLevel="1">
      <c r="A268" s="696" t="n">
        <v>45761</v>
      </c>
      <c r="B268" s="234" t="inlineStr">
        <is>
          <t>TXO</t>
        </is>
      </c>
      <c r="C268" s="229" t="inlineStr">
        <is>
          <t>台指 P 04 17100 P</t>
        </is>
      </c>
      <c r="D268" s="229" t="inlineStr">
        <is>
          <t>新倉</t>
        </is>
      </c>
      <c r="E268" s="257" t="inlineStr">
        <is>
          <t>買</t>
        </is>
      </c>
      <c r="F268" s="229" t="inlineStr">
        <is>
          <t>-</t>
        </is>
      </c>
      <c r="G268" s="697" t="n">
        <v>1</v>
      </c>
      <c r="H268" s="698" t="n">
        <v>60</v>
      </c>
      <c r="I268" s="697" t="n">
        <v>-3000</v>
      </c>
      <c r="J268" s="585" t="n">
        <v>18</v>
      </c>
      <c r="K268" s="585" t="n">
        <v>3</v>
      </c>
      <c r="L268" s="585">
        <f>IF(B268="TXO",I268-SUM(J268:K268),IF(B268="FITX",IF(D268="新倉",-SUM(J268:K268),IF(E268="賣",(H268-H267)*G268*200-SUM(J268:K268),(H267-H268)*G268*200-SUM(J268:K268))),IF(D268="新倉",-SUM(J268:K268),IF(E268="賣",(H268-H267)*G268*50-SUM(J268:K268),(H267-H268)*G268*50-SUM(J268:K268)))))</f>
        <v/>
      </c>
      <c r="M268" s="699">
        <f>L268</f>
        <v/>
      </c>
      <c r="N268" s="686">
        <f>M268</f>
        <v/>
      </c>
      <c r="O268" s="261" t="inlineStr">
        <is>
          <t>放棄</t>
        </is>
      </c>
      <c r="P268" s="249" t="inlineStr">
        <is>
          <t>元大期貨</t>
        </is>
      </c>
    </row>
    <row r="269" hidden="1" outlineLevel="1">
      <c r="A269" s="696" t="n">
        <v>45761</v>
      </c>
      <c r="B269" s="234" t="inlineStr">
        <is>
          <t>TXO</t>
        </is>
      </c>
      <c r="C269" s="229" t="inlineStr">
        <is>
          <t>台指 P 04 19600 P</t>
        </is>
      </c>
      <c r="D269" s="229" t="inlineStr">
        <is>
          <t>新倉</t>
        </is>
      </c>
      <c r="E269" s="257" t="inlineStr">
        <is>
          <t>買</t>
        </is>
      </c>
      <c r="F269" s="229" t="inlineStr">
        <is>
          <t>-</t>
        </is>
      </c>
      <c r="G269" s="697" t="n">
        <v>1</v>
      </c>
      <c r="H269" s="698" t="n">
        <v>325</v>
      </c>
      <c r="I269" s="697" t="n">
        <v>-16250</v>
      </c>
      <c r="J269" s="585" t="n">
        <v>18</v>
      </c>
      <c r="K269" s="585" t="n">
        <v>16</v>
      </c>
      <c r="L269" s="585">
        <f>IF(B269="TXO",I269-SUM(J269:K269),IF(B269="FITX",IF(D269="新倉",-SUM(J269:K269),IF(E269="賣",(H269-H268)*G269*200-SUM(J269:K269),(H268-H269)*G269*200-SUM(J269:K269))),IF(D269="新倉",-SUM(J269:K269),IF(E269="賣",(H269-H268)*G269*50-SUM(J269:K269),(H268-H269)*G269*50-SUM(J269:K269)))))</f>
        <v/>
      </c>
      <c r="M269" s="699">
        <f>L269</f>
        <v/>
      </c>
      <c r="N269" s="686">
        <f>M269</f>
        <v/>
      </c>
      <c r="O269" s="276" t="inlineStr">
        <is>
          <t>履約</t>
        </is>
      </c>
      <c r="P269" s="249" t="inlineStr">
        <is>
          <t>元大期貨</t>
        </is>
      </c>
    </row>
    <row r="270" hidden="1" outlineLevel="1">
      <c r="A270" s="696" t="n">
        <v>45763</v>
      </c>
      <c r="B270" s="234" t="inlineStr">
        <is>
          <t>TXO</t>
        </is>
      </c>
      <c r="C270" s="229" t="inlineStr">
        <is>
          <t>台指 P 04 19600 P</t>
        </is>
      </c>
      <c r="D270" s="229" t="inlineStr">
        <is>
          <t>平倉</t>
        </is>
      </c>
      <c r="E270" s="257" t="inlineStr">
        <is>
          <t>賣</t>
        </is>
      </c>
      <c r="F270" s="229" t="inlineStr">
        <is>
          <t>-</t>
        </is>
      </c>
      <c r="G270" s="697" t="n">
        <v>1</v>
      </c>
      <c r="H270" s="698" t="n">
        <v>325</v>
      </c>
      <c r="I270" s="697" t="n">
        <v>2600</v>
      </c>
      <c r="J270" s="585" t="n">
        <v>18</v>
      </c>
      <c r="K270" s="585" t="n">
        <v>20</v>
      </c>
      <c r="L270" s="585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/>
      </c>
      <c r="M270" s="699">
        <f>L270</f>
        <v/>
      </c>
      <c r="N270" s="686">
        <f>M270</f>
        <v/>
      </c>
      <c r="O270" s="276" t="inlineStr">
        <is>
          <t>履約</t>
        </is>
      </c>
      <c r="P270" s="249" t="inlineStr">
        <is>
          <t>元大期貨</t>
        </is>
      </c>
    </row>
    <row r="271" collapsed="1" ht="17.25" customHeight="1" thickBot="1">
      <c r="A271" s="691" t="n">
        <v>45762</v>
      </c>
      <c r="B271" s="251" t="n"/>
      <c r="C271" s="252" t="inlineStr">
        <is>
          <t>入金</t>
        </is>
      </c>
      <c r="D271" s="252" t="n"/>
      <c r="E271" s="252" t="n"/>
      <c r="F271" s="252" t="n"/>
      <c r="G271" s="692" t="n"/>
      <c r="H271" s="692" t="n"/>
      <c r="I271" s="692" t="n"/>
      <c r="J271" s="693" t="n"/>
      <c r="K271" s="693" t="n"/>
      <c r="L271" s="693" t="n">
        <v>100000</v>
      </c>
      <c r="M271" s="694">
        <f>L271</f>
        <v/>
      </c>
      <c r="P271" s="249" t="n"/>
    </row>
    <row r="272" hidden="1" outlineLevel="1">
      <c r="A272" s="696" t="n">
        <v>45763</v>
      </c>
      <c r="B272" s="234" t="inlineStr">
        <is>
          <t>TXO</t>
        </is>
      </c>
      <c r="C272" s="229" t="inlineStr">
        <is>
          <t>台指 C 04 19600 C</t>
        </is>
      </c>
      <c r="D272" s="229" t="inlineStr">
        <is>
          <t>新倉</t>
        </is>
      </c>
      <c r="E272" s="257" t="inlineStr">
        <is>
          <t>買</t>
        </is>
      </c>
      <c r="F272" s="229" t="inlineStr">
        <is>
          <t>-</t>
        </is>
      </c>
      <c r="G272" s="697" t="n">
        <v>1</v>
      </c>
      <c r="H272" s="698" t="n">
        <v>25</v>
      </c>
      <c r="I272" s="697" t="n">
        <v>-1250</v>
      </c>
      <c r="J272" s="585" t="n">
        <v>18</v>
      </c>
      <c r="K272" s="585" t="n">
        <v>1</v>
      </c>
      <c r="L272" s="585">
        <f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/>
      </c>
      <c r="M272" s="699">
        <f>L272</f>
        <v/>
      </c>
      <c r="N272" s="686">
        <f>M272</f>
        <v/>
      </c>
      <c r="O272" s="261" t="inlineStr">
        <is>
          <t>放棄</t>
        </is>
      </c>
      <c r="P272" s="249" t="inlineStr">
        <is>
          <t>元大期貨</t>
        </is>
      </c>
    </row>
    <row r="273" hidden="1" outlineLevel="1">
      <c r="A273" s="696" t="n">
        <v>45763</v>
      </c>
      <c r="B273" s="234" t="inlineStr">
        <is>
          <t>TXO</t>
        </is>
      </c>
      <c r="C273" s="229" t="inlineStr">
        <is>
          <t>台指 P 04 19500 P</t>
        </is>
      </c>
      <c r="D273" s="229" t="inlineStr">
        <is>
          <t>新倉</t>
        </is>
      </c>
      <c r="E273" s="257" t="inlineStr">
        <is>
          <t>買</t>
        </is>
      </c>
      <c r="F273" s="229" t="inlineStr">
        <is>
          <t>-</t>
        </is>
      </c>
      <c r="G273" s="697" t="n">
        <v>1</v>
      </c>
      <c r="H273" s="698" t="n">
        <v>49</v>
      </c>
      <c r="I273" s="697" t="n">
        <v>-2450</v>
      </c>
      <c r="J273" s="585" t="n">
        <v>18</v>
      </c>
      <c r="K273" s="585" t="n">
        <v>2</v>
      </c>
      <c r="L273" s="585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/>
      </c>
      <c r="M273" s="699">
        <f>L273</f>
        <v/>
      </c>
      <c r="N273" s="686">
        <f>M273</f>
        <v/>
      </c>
      <c r="O273" s="261" t="inlineStr">
        <is>
          <t>放棄</t>
        </is>
      </c>
      <c r="P273" s="249" t="inlineStr">
        <is>
          <t>元大期貨</t>
        </is>
      </c>
    </row>
    <row r="274" hidden="1" outlineLevel="1">
      <c r="A274" s="696" t="n">
        <v>45764</v>
      </c>
      <c r="B274" s="234" t="inlineStr">
        <is>
          <t>TXO</t>
        </is>
      </c>
      <c r="C274" s="229" t="inlineStr">
        <is>
          <t>週W4 P 04 15700 P</t>
        </is>
      </c>
      <c r="D274" s="229" t="inlineStr">
        <is>
          <t>新倉</t>
        </is>
      </c>
      <c r="E274" s="257" t="inlineStr">
        <is>
          <t>買</t>
        </is>
      </c>
      <c r="F274" s="229" t="inlineStr">
        <is>
          <t>-</t>
        </is>
      </c>
      <c r="G274" s="697" t="n">
        <v>1</v>
      </c>
      <c r="H274" s="698" t="n">
        <v>20</v>
      </c>
      <c r="I274" s="697" t="n">
        <v>-1000</v>
      </c>
      <c r="J274" s="585" t="n">
        <v>18</v>
      </c>
      <c r="K274" s="585" t="n">
        <v>1</v>
      </c>
      <c r="L274" s="585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/>
      </c>
      <c r="M274" s="699">
        <f>L274</f>
        <v/>
      </c>
      <c r="N274" s="686">
        <f>M274</f>
        <v/>
      </c>
      <c r="O274" s="261" t="inlineStr">
        <is>
          <t>放棄</t>
        </is>
      </c>
      <c r="P274" s="249" t="inlineStr">
        <is>
          <t>元大期貨</t>
        </is>
      </c>
    </row>
    <row r="275" hidden="1" outlineLevel="1">
      <c r="A275" s="696" t="n">
        <v>45764</v>
      </c>
      <c r="B275" s="234" t="inlineStr">
        <is>
          <t>TXO</t>
        </is>
      </c>
      <c r="C275" s="229" t="inlineStr">
        <is>
          <t>週W4 P 04 19400 P</t>
        </is>
      </c>
      <c r="D275" s="229" t="inlineStr">
        <is>
          <t>新倉</t>
        </is>
      </c>
      <c r="E275" s="257" t="inlineStr">
        <is>
          <t>買</t>
        </is>
      </c>
      <c r="F275" s="229" t="inlineStr">
        <is>
          <t>-</t>
        </is>
      </c>
      <c r="G275" s="697" t="n">
        <v>1</v>
      </c>
      <c r="H275" s="698" t="n">
        <v>413</v>
      </c>
      <c r="I275" s="697" t="n">
        <v>-20650</v>
      </c>
      <c r="J275" s="585" t="n">
        <v>18</v>
      </c>
      <c r="K275" s="585" t="n">
        <v>21</v>
      </c>
      <c r="L275" s="585">
        <f>IF(B275="TXO",I275-SUM(J275:K275),IF(B275="FITX",IF(D275="新倉",-SUM(J275:K275),IF(E275="賣",(H275-H274)*G275*200-SUM(J275:K275),(H274-H275)*G275*200-SUM(J275:K275))),IF(D275="新倉",-SUM(J275:K275),IF(E275="賣",(H275-H274)*G275*50-SUM(J275:K275),(H274-H275)*G275*50-SUM(J275:K275)))))</f>
        <v/>
      </c>
      <c r="M275" s="699">
        <f>L275</f>
        <v/>
      </c>
      <c r="N275" s="686">
        <f>M275</f>
        <v/>
      </c>
      <c r="O275" s="249" t="inlineStr">
        <is>
          <t>新倉</t>
        </is>
      </c>
      <c r="P275" s="249" t="inlineStr">
        <is>
          <t>元大期貨</t>
        </is>
      </c>
    </row>
    <row r="276" hidden="1" outlineLevel="1">
      <c r="A276" s="696" t="n">
        <v>45769</v>
      </c>
      <c r="B276" s="234" t="inlineStr">
        <is>
          <t>TXO</t>
        </is>
      </c>
      <c r="C276" s="229" t="inlineStr">
        <is>
          <t>週W4 P 04 19400 P</t>
        </is>
      </c>
      <c r="D276" s="229" t="inlineStr">
        <is>
          <t>平倉</t>
        </is>
      </c>
      <c r="E276" s="257" t="inlineStr">
        <is>
          <t>賣</t>
        </is>
      </c>
      <c r="F276" s="229" t="inlineStr">
        <is>
          <t>-</t>
        </is>
      </c>
      <c r="G276" s="697" t="n">
        <v>1</v>
      </c>
      <c r="H276" s="698" t="n">
        <v>515</v>
      </c>
      <c r="I276" s="697" t="n">
        <v>25750</v>
      </c>
      <c r="J276" s="585" t="n">
        <v>18</v>
      </c>
      <c r="K276" s="585" t="n">
        <v>26</v>
      </c>
      <c r="L276" s="585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/>
      </c>
      <c r="M276" s="699">
        <f>L276</f>
        <v/>
      </c>
      <c r="N276" s="686">
        <f>M276</f>
        <v/>
      </c>
      <c r="O276" s="249" t="inlineStr">
        <is>
          <t>平倉</t>
        </is>
      </c>
      <c r="P276" s="249" t="inlineStr">
        <is>
          <t>元大期貨</t>
        </is>
      </c>
    </row>
    <row r="277" hidden="1" outlineLevel="1">
      <c r="A277" s="696" t="n">
        <v>45764</v>
      </c>
      <c r="B277" s="234" t="inlineStr">
        <is>
          <t>TXO</t>
        </is>
      </c>
      <c r="C277" s="229" t="inlineStr">
        <is>
          <t>週W4 P 04 15600 P</t>
        </is>
      </c>
      <c r="D277" s="229" t="inlineStr">
        <is>
          <t>新倉</t>
        </is>
      </c>
      <c r="E277" s="257" t="inlineStr">
        <is>
          <t>買</t>
        </is>
      </c>
      <c r="F277" s="229" t="inlineStr">
        <is>
          <t>-</t>
        </is>
      </c>
      <c r="G277" s="697" t="n">
        <v>1</v>
      </c>
      <c r="H277" s="698" t="n">
        <v>26.5</v>
      </c>
      <c r="I277" s="697" t="n">
        <v>-1325</v>
      </c>
      <c r="J277" s="585" t="n">
        <v>18</v>
      </c>
      <c r="K277" s="585" t="n">
        <v>1</v>
      </c>
      <c r="L277" s="585">
        <f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/>
      </c>
      <c r="M277" s="699">
        <f>L277</f>
        <v/>
      </c>
      <c r="N277" s="686">
        <f>M277</f>
        <v/>
      </c>
      <c r="O277" s="261" t="inlineStr">
        <is>
          <t>放棄</t>
        </is>
      </c>
      <c r="P277" s="249" t="inlineStr">
        <is>
          <t>元大期貨</t>
        </is>
      </c>
    </row>
    <row r="278" hidden="1" outlineLevel="1">
      <c r="A278" s="696" t="n">
        <v>45769</v>
      </c>
      <c r="B278" s="234" t="inlineStr">
        <is>
          <t>TXO</t>
        </is>
      </c>
      <c r="C278" s="229" t="inlineStr">
        <is>
          <t>週W4 P 04 18600 P</t>
        </is>
      </c>
      <c r="D278" s="229" t="inlineStr">
        <is>
          <t>新倉</t>
        </is>
      </c>
      <c r="E278" s="257" t="inlineStr">
        <is>
          <t>買</t>
        </is>
      </c>
      <c r="F278" s="229" t="inlineStr">
        <is>
          <t>-</t>
        </is>
      </c>
      <c r="G278" s="697" t="n">
        <v>1</v>
      </c>
      <c r="H278" s="698" t="n">
        <v>103</v>
      </c>
      <c r="I278" s="697" t="n">
        <v>-5150</v>
      </c>
      <c r="J278" s="585" t="n">
        <v>18</v>
      </c>
      <c r="K278" s="585" t="n">
        <v>5</v>
      </c>
      <c r="L278" s="585">
        <f>IF(B278="TXO",I278-SUM(J278:K278),IF(B278="FITX",IF(D278="新倉",-SUM(J278:K278),IF(E278="賣",(H278-H282)*G278*200-SUM(J278:K278),(H282-H278)*G278*200-SUM(J278:K278))),IF(D278="新倉",-SUM(J278:K278),IF(E278="賣",(H278-H282)*G278*50-SUM(J278:K278),(H282-H278)*G278*50-SUM(J278:K278)))))</f>
        <v/>
      </c>
      <c r="M278" s="699">
        <f>L278</f>
        <v/>
      </c>
      <c r="N278" s="686">
        <f>M278</f>
        <v/>
      </c>
      <c r="O278" s="261" t="inlineStr">
        <is>
          <t>放棄</t>
        </is>
      </c>
      <c r="P278" s="249" t="inlineStr">
        <is>
          <t>元大期貨</t>
        </is>
      </c>
    </row>
    <row r="279" hidden="1" outlineLevel="1">
      <c r="A279" s="696" t="n">
        <v>45769</v>
      </c>
      <c r="B279" s="234" t="inlineStr">
        <is>
          <t>TXO</t>
        </is>
      </c>
      <c r="C279" s="229" t="inlineStr">
        <is>
          <t>週W4 P 04 18700 P</t>
        </is>
      </c>
      <c r="D279" s="229" t="inlineStr">
        <is>
          <t>新倉</t>
        </is>
      </c>
      <c r="E279" s="257" t="inlineStr">
        <is>
          <t>買</t>
        </is>
      </c>
      <c r="F279" s="229" t="inlineStr">
        <is>
          <t>-</t>
        </is>
      </c>
      <c r="G279" s="697" t="n">
        <v>1</v>
      </c>
      <c r="H279" s="698" t="n">
        <v>131</v>
      </c>
      <c r="I279" s="697" t="n">
        <v>-6550</v>
      </c>
      <c r="J279" s="585" t="n">
        <v>18</v>
      </c>
      <c r="K279" s="585" t="n">
        <v>7</v>
      </c>
      <c r="L279" s="585">
        <f>IF(B279="TXO",I279-SUM(J279:K279),IF(B279="FITX",IF(D279="新倉",-SUM(J279:K279),IF(E279="賣",(H279-H283)*G279*200-SUM(J279:K279),(H283-H279)*G279*200-SUM(J279:K279))),IF(D279="新倉",-SUM(J279:K279),IF(E279="賣",(H279-H283)*G279*50-SUM(J279:K279),(H283-H279)*G279*50-SUM(J279:K279)))))</f>
        <v/>
      </c>
      <c r="M279" s="699">
        <f>L279</f>
        <v/>
      </c>
      <c r="N279" s="686">
        <f>M279</f>
        <v/>
      </c>
      <c r="O279" s="261" t="inlineStr">
        <is>
          <t>放棄</t>
        </is>
      </c>
      <c r="P279" s="249" t="inlineStr">
        <is>
          <t>元大期貨</t>
        </is>
      </c>
    </row>
    <row r="280" hidden="1" outlineLevel="1">
      <c r="A280" s="696" t="n">
        <v>45769</v>
      </c>
      <c r="B280" s="234" t="inlineStr">
        <is>
          <t>TXO</t>
        </is>
      </c>
      <c r="C280" s="229" t="inlineStr">
        <is>
          <t>週W4 P 04 18700 P</t>
        </is>
      </c>
      <c r="D280" s="229" t="inlineStr">
        <is>
          <t>新倉</t>
        </is>
      </c>
      <c r="E280" s="257" t="inlineStr">
        <is>
          <t>買</t>
        </is>
      </c>
      <c r="F280" s="229" t="inlineStr">
        <is>
          <t>-</t>
        </is>
      </c>
      <c r="G280" s="697" t="n">
        <v>1</v>
      </c>
      <c r="H280" s="698" t="n">
        <v>136</v>
      </c>
      <c r="I280" s="697" t="n">
        <v>-6800</v>
      </c>
      <c r="J280" s="585" t="n">
        <v>18</v>
      </c>
      <c r="K280" s="585" t="n">
        <v>7</v>
      </c>
      <c r="L280" s="585">
        <f>IF(B280="TXO",I280-SUM(J280:K280),IF(B280="FITX",IF(D280="新倉",-SUM(J280:K280),IF(E280="賣",(H280-H284)*G280*200-SUM(J280:K280),(H284-H280)*G280*200-SUM(J280:K280))),IF(D280="新倉",-SUM(J280:K280),IF(E280="賣",(H280-H284)*G280*50-SUM(J280:K280),(H284-H280)*G280*50-SUM(J280:K280)))))</f>
        <v/>
      </c>
      <c r="M280" s="699">
        <f>L280</f>
        <v/>
      </c>
      <c r="N280" s="686">
        <f>M280</f>
        <v/>
      </c>
      <c r="O280" s="261" t="inlineStr">
        <is>
          <t>放棄</t>
        </is>
      </c>
      <c r="P280" s="249" t="inlineStr">
        <is>
          <t>元大期貨</t>
        </is>
      </c>
    </row>
    <row r="281" hidden="1" outlineLevel="1">
      <c r="A281" s="696" t="n">
        <v>45769</v>
      </c>
      <c r="B281" s="234" t="inlineStr">
        <is>
          <t>TXO</t>
        </is>
      </c>
      <c r="C281" s="229" t="inlineStr">
        <is>
          <t>週W4 P 04 18800 P</t>
        </is>
      </c>
      <c r="D281" s="229" t="inlineStr">
        <is>
          <t>新倉</t>
        </is>
      </c>
      <c r="E281" s="257" t="inlineStr">
        <is>
          <t>買</t>
        </is>
      </c>
      <c r="F281" s="229" t="inlineStr">
        <is>
          <t>-</t>
        </is>
      </c>
      <c r="G281" s="697" t="n">
        <v>1</v>
      </c>
      <c r="H281" s="698" t="n">
        <v>160</v>
      </c>
      <c r="I281" s="697" t="n">
        <v>-8000</v>
      </c>
      <c r="J281" s="585" t="n">
        <v>18</v>
      </c>
      <c r="K281" s="585" t="n">
        <v>8</v>
      </c>
      <c r="L281" s="585">
        <f>IF(B281="TXO",I281-SUM(J281:K281),IF(B281="FITX",IF(D281="新倉",-SUM(J281:K281),IF(E281="賣",(H281-H285)*G281*200-SUM(J281:K281),(H285-H281)*G281*200-SUM(J281:K281))),IF(D281="新倉",-SUM(J281:K281),IF(E281="賣",(H281-H285)*G281*50-SUM(J281:K281),(H285-H281)*G281*50-SUM(J281:K281)))))</f>
        <v/>
      </c>
      <c r="M281" s="699">
        <f>L281</f>
        <v/>
      </c>
      <c r="N281" s="686">
        <f>M281</f>
        <v/>
      </c>
      <c r="O281" s="261" t="inlineStr">
        <is>
          <t>放棄</t>
        </is>
      </c>
      <c r="P281" s="249" t="inlineStr">
        <is>
          <t>元大期貨</t>
        </is>
      </c>
    </row>
    <row r="282" hidden="1" outlineLevel="1">
      <c r="A282" s="696" t="n">
        <v>45769</v>
      </c>
      <c r="B282" s="234" t="inlineStr">
        <is>
          <t>TXO</t>
        </is>
      </c>
      <c r="C282" s="229" t="inlineStr">
        <is>
          <t>週W4 P 04 18100 P</t>
        </is>
      </c>
      <c r="D282" s="229" t="inlineStr">
        <is>
          <t>新倉</t>
        </is>
      </c>
      <c r="E282" s="257" t="inlineStr">
        <is>
          <t>買</t>
        </is>
      </c>
      <c r="F282" s="229" t="inlineStr">
        <is>
          <t>-</t>
        </is>
      </c>
      <c r="G282" s="697" t="n">
        <v>1</v>
      </c>
      <c r="H282" s="698" t="n">
        <v>42</v>
      </c>
      <c r="I282" s="697" t="n">
        <v>-2100</v>
      </c>
      <c r="J282" s="585" t="n">
        <v>18</v>
      </c>
      <c r="K282" s="585" t="n">
        <v>2</v>
      </c>
      <c r="L282" s="585">
        <f>IF(B282="TXO",I282-SUM(J282:K282),IF(B282="FITX",IF(D282="新倉",-SUM(J282:K282),IF(E282="賣",(H282-H286)*G282*200-SUM(J282:K282),(H286-H282)*G282*200-SUM(J282:K282))),IF(D282="新倉",-SUM(J282:K282),IF(E282="賣",(H282-H286)*G282*50-SUM(J282:K282),(H286-H282)*G282*50-SUM(J282:K282)))))</f>
        <v/>
      </c>
      <c r="M282" s="699">
        <f>L282</f>
        <v/>
      </c>
      <c r="N282" s="686">
        <f>M282</f>
        <v/>
      </c>
      <c r="O282" s="261" t="inlineStr">
        <is>
          <t>放棄</t>
        </is>
      </c>
      <c r="P282" s="249" t="inlineStr">
        <is>
          <t>元大期貨</t>
        </is>
      </c>
    </row>
    <row r="283" hidden="1" outlineLevel="1">
      <c r="A283" s="696" t="n">
        <v>45769</v>
      </c>
      <c r="B283" s="234" t="inlineStr">
        <is>
          <t>TXO</t>
        </is>
      </c>
      <c r="C283" s="229" t="inlineStr">
        <is>
          <t>週W4 P 04 18900 P</t>
        </is>
      </c>
      <c r="D283" s="229" t="inlineStr">
        <is>
          <t>新倉</t>
        </is>
      </c>
      <c r="E283" s="257" t="inlineStr">
        <is>
          <t>買</t>
        </is>
      </c>
      <c r="F283" s="229" t="inlineStr">
        <is>
          <t>-</t>
        </is>
      </c>
      <c r="G283" s="697" t="n">
        <v>1</v>
      </c>
      <c r="H283" s="698" t="n">
        <v>194</v>
      </c>
      <c r="I283" s="697" t="n">
        <v>-9700</v>
      </c>
      <c r="J283" s="585" t="n">
        <v>18</v>
      </c>
      <c r="K283" s="585" t="n">
        <v>10</v>
      </c>
      <c r="L283" s="585">
        <f>IF(B283="TXO",I283-SUM(J283:K283),IF(B283="FITX",IF(D283="新倉",-SUM(J283:K283),IF(E283="賣",(H283-H287)*G283*200-SUM(J283:K283),(H287-H283)*G283*200-SUM(J283:K283))),IF(D283="新倉",-SUM(J283:K283),IF(E283="賣",(H283-H287)*G283*50-SUM(J283:K283),(H287-H283)*G283*50-SUM(J283:K283)))))</f>
        <v/>
      </c>
      <c r="M283" s="699">
        <f>L283</f>
        <v/>
      </c>
      <c r="N283" s="686">
        <f>M283</f>
        <v/>
      </c>
      <c r="O283" s="261" t="inlineStr">
        <is>
          <t>放棄</t>
        </is>
      </c>
      <c r="P283" s="249" t="inlineStr">
        <is>
          <t>元大期貨</t>
        </is>
      </c>
    </row>
    <row r="284" hidden="1" outlineLevel="1">
      <c r="A284" s="696" t="n">
        <v>45769</v>
      </c>
      <c r="B284" s="234" t="inlineStr">
        <is>
          <t>TXO</t>
        </is>
      </c>
      <c r="C284" s="229" t="inlineStr">
        <is>
          <t>週W4 P 04 18900 P</t>
        </is>
      </c>
      <c r="D284" s="229" t="inlineStr">
        <is>
          <t>新倉</t>
        </is>
      </c>
      <c r="E284" s="257" t="inlineStr">
        <is>
          <t>買</t>
        </is>
      </c>
      <c r="F284" s="229" t="inlineStr">
        <is>
          <t>-</t>
        </is>
      </c>
      <c r="G284" s="697" t="n">
        <v>1</v>
      </c>
      <c r="H284" s="698" t="n">
        <v>84</v>
      </c>
      <c r="I284" s="697" t="n">
        <v>-4200</v>
      </c>
      <c r="J284" s="585" t="n">
        <v>18</v>
      </c>
      <c r="K284" s="585" t="n">
        <v>4</v>
      </c>
      <c r="L284" s="585">
        <f>IF(B284="TXO",I284-SUM(J284:K284),IF(B284="FITX",IF(D284="新倉",-SUM(J284:K284),IF(E284="賣",(H284-H288)*G284*200-SUM(J284:K284),(H288-H284)*G284*200-SUM(J284:K284))),IF(D284="新倉",-SUM(J284:K284),IF(E284="賣",(H284-H288)*G284*50-SUM(J284:K284),(H288-H284)*G284*50-SUM(J284:K284)))))</f>
        <v/>
      </c>
      <c r="M284" s="699">
        <f>L284</f>
        <v/>
      </c>
      <c r="N284" s="686">
        <f>M284</f>
        <v/>
      </c>
      <c r="O284" s="261" t="inlineStr">
        <is>
          <t>放棄</t>
        </is>
      </c>
      <c r="P284" s="249" t="inlineStr">
        <is>
          <t>元大期貨</t>
        </is>
      </c>
    </row>
    <row r="285" hidden="1" outlineLevel="1">
      <c r="A285" s="696" t="n">
        <v>45770</v>
      </c>
      <c r="B285" s="234" t="inlineStr">
        <is>
          <t>TXO</t>
        </is>
      </c>
      <c r="C285" s="229" t="inlineStr">
        <is>
          <t>週W4 P 04 18700 P</t>
        </is>
      </c>
      <c r="D285" s="229" t="inlineStr">
        <is>
          <t>新倉</t>
        </is>
      </c>
      <c r="E285" s="257" t="inlineStr">
        <is>
          <t>買</t>
        </is>
      </c>
      <c r="F285" s="229" t="inlineStr">
        <is>
          <t>-</t>
        </is>
      </c>
      <c r="G285" s="697" t="n">
        <v>2</v>
      </c>
      <c r="H285" s="698" t="n">
        <v>27</v>
      </c>
      <c r="I285" s="697" t="n">
        <v>-2700</v>
      </c>
      <c r="J285" s="585" t="n">
        <v>36</v>
      </c>
      <c r="K285" s="585" t="n">
        <v>2</v>
      </c>
      <c r="L285" s="585">
        <f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/>
      </c>
      <c r="M285" s="699">
        <f>L285</f>
        <v/>
      </c>
      <c r="N285" s="686">
        <f>M285</f>
        <v/>
      </c>
      <c r="O285" s="261" t="inlineStr">
        <is>
          <t>放棄</t>
        </is>
      </c>
      <c r="P285" s="249" t="inlineStr">
        <is>
          <t>元大期貨</t>
        </is>
      </c>
    </row>
    <row r="286" hidden="1" outlineLevel="1">
      <c r="A286" s="696" t="n">
        <v>45771</v>
      </c>
      <c r="B286" s="234" t="inlineStr">
        <is>
          <t>TXO</t>
        </is>
      </c>
      <c r="C286" s="229" t="inlineStr">
        <is>
          <t>週W5 P 04 19550 P</t>
        </is>
      </c>
      <c r="D286" s="229" t="inlineStr">
        <is>
          <t>新倉</t>
        </is>
      </c>
      <c r="E286" s="257" t="inlineStr">
        <is>
          <t>買</t>
        </is>
      </c>
      <c r="F286" s="229" t="inlineStr">
        <is>
          <t>-</t>
        </is>
      </c>
      <c r="G286" s="697" t="n">
        <v>1</v>
      </c>
      <c r="H286" s="698" t="n">
        <v>266</v>
      </c>
      <c r="I286" s="697" t="n">
        <v>-13300</v>
      </c>
      <c r="J286" s="585" t="n">
        <v>18</v>
      </c>
      <c r="K286" s="585" t="n">
        <v>13</v>
      </c>
      <c r="L286" s="585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/>
      </c>
      <c r="M286" s="699">
        <f>L286</f>
        <v/>
      </c>
      <c r="N286" s="686">
        <f>M286</f>
        <v/>
      </c>
      <c r="O286" s="249" t="inlineStr">
        <is>
          <t>新倉</t>
        </is>
      </c>
      <c r="P286" s="249" t="inlineStr">
        <is>
          <t>元大期貨</t>
        </is>
      </c>
    </row>
    <row r="287" hidden="1" outlineLevel="1">
      <c r="A287" s="696" t="n">
        <v>45771</v>
      </c>
      <c r="B287" s="234" t="inlineStr">
        <is>
          <t>TXO</t>
        </is>
      </c>
      <c r="C287" s="229" t="inlineStr">
        <is>
          <t>週W5 P 04 19550 P</t>
        </is>
      </c>
      <c r="D287" s="229" t="inlineStr">
        <is>
          <t>平倉</t>
        </is>
      </c>
      <c r="E287" s="257" t="inlineStr">
        <is>
          <t>賣</t>
        </is>
      </c>
      <c r="F287" s="229" t="inlineStr">
        <is>
          <t>-</t>
        </is>
      </c>
      <c r="G287" s="697" t="n">
        <v>1</v>
      </c>
      <c r="H287" s="698" t="n">
        <v>265</v>
      </c>
      <c r="I287" s="697" t="n">
        <v>13250</v>
      </c>
      <c r="J287" s="585" t="n">
        <v>18</v>
      </c>
      <c r="K287" s="585" t="n">
        <v>13</v>
      </c>
      <c r="L287" s="585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/>
      </c>
      <c r="M287" s="699">
        <f>L287</f>
        <v/>
      </c>
      <c r="N287" s="686">
        <f>M287</f>
        <v/>
      </c>
      <c r="O287" s="249" t="inlineStr">
        <is>
          <t>平倉</t>
        </is>
      </c>
      <c r="P287" s="249" t="inlineStr">
        <is>
          <t>元大期貨</t>
        </is>
      </c>
    </row>
    <row r="288" hidden="1" outlineLevel="1">
      <c r="A288" s="696" t="n">
        <v>45771</v>
      </c>
      <c r="B288" s="234" t="inlineStr">
        <is>
          <t>TXO</t>
        </is>
      </c>
      <c r="C288" s="229" t="inlineStr">
        <is>
          <t>台指 P 05 19500 P</t>
        </is>
      </c>
      <c r="D288" s="229" t="inlineStr">
        <is>
          <t>新倉</t>
        </is>
      </c>
      <c r="E288" s="257" t="inlineStr">
        <is>
          <t>買</t>
        </is>
      </c>
      <c r="F288" s="229" t="inlineStr">
        <is>
          <t>-</t>
        </is>
      </c>
      <c r="G288" s="697" t="n">
        <v>1</v>
      </c>
      <c r="H288" s="698" t="n">
        <v>555</v>
      </c>
      <c r="I288" s="697" t="n">
        <v>-27750</v>
      </c>
      <c r="J288" s="585" t="n">
        <v>18</v>
      </c>
      <c r="K288" s="585" t="n">
        <v>28</v>
      </c>
      <c r="L288" s="585">
        <f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/>
      </c>
      <c r="M288" s="699">
        <f>L288</f>
        <v/>
      </c>
      <c r="N288" s="686">
        <f>M288</f>
        <v/>
      </c>
      <c r="O288" s="249" t="inlineStr">
        <is>
          <t>新倉</t>
        </is>
      </c>
      <c r="P288" s="249" t="inlineStr">
        <is>
          <t>元大期貨</t>
        </is>
      </c>
    </row>
    <row r="289" hidden="1" outlineLevel="1">
      <c r="A289" s="696" t="n">
        <v>45771</v>
      </c>
      <c r="B289" s="234" t="inlineStr">
        <is>
          <t>TXO</t>
        </is>
      </c>
      <c r="C289" s="229" t="inlineStr">
        <is>
          <t>台指 P 05 19500 P</t>
        </is>
      </c>
      <c r="D289" s="229" t="inlineStr">
        <is>
          <t>平倉</t>
        </is>
      </c>
      <c r="E289" s="257" t="inlineStr">
        <is>
          <t>賣</t>
        </is>
      </c>
      <c r="F289" s="229" t="inlineStr">
        <is>
          <t>-</t>
        </is>
      </c>
      <c r="G289" s="697" t="n">
        <v>1</v>
      </c>
      <c r="H289" s="698" t="n">
        <v>560</v>
      </c>
      <c r="I289" s="697" t="n">
        <v>28000</v>
      </c>
      <c r="J289" s="585" t="n">
        <v>18</v>
      </c>
      <c r="K289" s="585" t="n">
        <v>28</v>
      </c>
      <c r="L289" s="585">
        <f>IF(B289="TXO",I289-SUM(J289:K289),IF(B289="FITX",IF(D289="新倉",-SUM(J289:K289),IF(E289="賣",(H289-H996)*G289*200-SUM(J289:K289),(H996-H289)*G289*200-SUM(J289:K289))),IF(D289="新倉",-SUM(J289:K289),IF(E289="賣",(H289-H996)*G289*50-SUM(J289:K289),(H996-H289)*G289*50-SUM(J289:K289)))))</f>
        <v/>
      </c>
      <c r="M289" s="699">
        <f>L289</f>
        <v/>
      </c>
      <c r="N289" s="686">
        <f>M289</f>
        <v/>
      </c>
      <c r="O289" s="249" t="inlineStr">
        <is>
          <t>平倉</t>
        </is>
      </c>
      <c r="P289" s="249" t="inlineStr">
        <is>
          <t>元大期貨</t>
        </is>
      </c>
    </row>
    <row r="290" hidden="1" outlineLevel="1">
      <c r="A290" s="696" t="n">
        <v>45772</v>
      </c>
      <c r="B290" s="234" t="inlineStr">
        <is>
          <t>TXO</t>
        </is>
      </c>
      <c r="C290" s="229" t="inlineStr">
        <is>
          <t>週W5 C 04 20050 C</t>
        </is>
      </c>
      <c r="D290" s="229" t="inlineStr">
        <is>
          <t>新倉</t>
        </is>
      </c>
      <c r="E290" s="257" t="inlineStr">
        <is>
          <t>買</t>
        </is>
      </c>
      <c r="F290" s="229" t="inlineStr">
        <is>
          <t>-</t>
        </is>
      </c>
      <c r="G290" s="697" t="n">
        <v>1</v>
      </c>
      <c r="H290" s="698" t="n">
        <v>160</v>
      </c>
      <c r="I290" s="697" t="n">
        <v>-8000</v>
      </c>
      <c r="J290" s="585" t="n">
        <v>18</v>
      </c>
      <c r="K290" s="585" t="n">
        <v>8</v>
      </c>
      <c r="L290" s="585">
        <f>IF(B290="TXO",I290-SUM(J290:K290),IF(B290="FITX",IF(D290="新倉",-SUM(J290:K290),IF(E290="賣",(H290-H997)*G290*200-SUM(J290:K290),(H997-H290)*G290*200-SUM(J290:K290))),IF(D290="新倉",-SUM(J290:K290),IF(E290="賣",(H290-H997)*G290*50-SUM(J290:K290),(H997-H290)*G290*50-SUM(J290:K290)))))</f>
        <v/>
      </c>
      <c r="M290" s="699">
        <f>L290</f>
        <v/>
      </c>
      <c r="N290" s="686">
        <f>M290</f>
        <v/>
      </c>
      <c r="O290" s="249" t="inlineStr">
        <is>
          <t>新倉</t>
        </is>
      </c>
      <c r="P290" s="249" t="inlineStr">
        <is>
          <t>元大期貨</t>
        </is>
      </c>
    </row>
    <row r="291" hidden="1" outlineLevel="1">
      <c r="A291" s="696" t="n">
        <v>45776</v>
      </c>
      <c r="B291" s="234" t="inlineStr">
        <is>
          <t>TXO</t>
        </is>
      </c>
      <c r="C291" s="229" t="inlineStr">
        <is>
          <t>週W5 C 04 20050 C</t>
        </is>
      </c>
      <c r="D291" s="229" t="inlineStr">
        <is>
          <t>平倉</t>
        </is>
      </c>
      <c r="E291" s="257" t="inlineStr">
        <is>
          <t>賣</t>
        </is>
      </c>
      <c r="F291" s="229" t="inlineStr">
        <is>
          <t>-</t>
        </is>
      </c>
      <c r="G291" s="697" t="n">
        <v>1</v>
      </c>
      <c r="H291" s="698" t="n">
        <v>210</v>
      </c>
      <c r="I291" s="697" t="n">
        <v>10500</v>
      </c>
      <c r="J291" s="585" t="n">
        <v>18</v>
      </c>
      <c r="K291" s="585" t="n">
        <v>11</v>
      </c>
      <c r="L291" s="585">
        <f>IF(B291="TXO",I291-SUM(J291:K291),IF(B291="FITX",IF(D291="新倉",-SUM(J291:K291),IF(E291="賣",(H291-H998)*G291*200-SUM(J291:K291),(H998-H291)*G291*200-SUM(J291:K291))),IF(D291="新倉",-SUM(J291:K291),IF(E291="賣",(H291-H998)*G291*50-SUM(J291:K291),(H998-H291)*G291*50-SUM(J291:K291)))))</f>
        <v/>
      </c>
      <c r="M291" s="699">
        <f>L291</f>
        <v/>
      </c>
      <c r="N291" s="686">
        <f>M291</f>
        <v/>
      </c>
      <c r="O291" s="249" t="inlineStr">
        <is>
          <t>平倉</t>
        </is>
      </c>
      <c r="P291" s="249" t="inlineStr">
        <is>
          <t>元大期貨</t>
        </is>
      </c>
    </row>
    <row r="292" hidden="1" outlineLevel="1">
      <c r="A292" s="696" t="n">
        <v>45772</v>
      </c>
      <c r="B292" s="234" t="inlineStr">
        <is>
          <t>TXO</t>
        </is>
      </c>
      <c r="C292" s="229" t="inlineStr">
        <is>
          <t>週W5 C 04 20000 C</t>
        </is>
      </c>
      <c r="D292" s="229" t="inlineStr">
        <is>
          <t>新倉</t>
        </is>
      </c>
      <c r="E292" s="257" t="inlineStr">
        <is>
          <t>買</t>
        </is>
      </c>
      <c r="F292" s="229" t="inlineStr">
        <is>
          <t>-</t>
        </is>
      </c>
      <c r="G292" s="697" t="n">
        <v>1</v>
      </c>
      <c r="H292" s="698" t="n">
        <v>185</v>
      </c>
      <c r="I292" s="697" t="n">
        <v>-9250</v>
      </c>
      <c r="J292" s="585" t="n">
        <v>18</v>
      </c>
      <c r="K292" s="585" t="n">
        <v>9</v>
      </c>
      <c r="L292" s="585">
        <f>IF(B292="TXO",I292-SUM(J292:K292),IF(B292="FITX",IF(D292="新倉",-SUM(J292:K292),IF(E292="賣",(H292-H999)*G292*200-SUM(J292:K292),(H999-H292)*G292*200-SUM(J292:K292))),IF(D292="新倉",-SUM(J292:K292),IF(E292="賣",(H292-H999)*G292*50-SUM(J292:K292),(H999-H292)*G292*50-SUM(J292:K292)))))</f>
        <v/>
      </c>
      <c r="M292" s="699">
        <f>L292</f>
        <v/>
      </c>
      <c r="N292" s="686">
        <f>M292</f>
        <v/>
      </c>
      <c r="O292" s="249" t="inlineStr">
        <is>
          <t>新倉</t>
        </is>
      </c>
      <c r="P292" s="249" t="inlineStr">
        <is>
          <t>元大期貨</t>
        </is>
      </c>
    </row>
    <row r="293" hidden="1" outlineLevel="1">
      <c r="A293" s="696" t="n">
        <v>45776</v>
      </c>
      <c r="B293" s="234" t="inlineStr">
        <is>
          <t>TXO</t>
        </is>
      </c>
      <c r="C293" s="229" t="inlineStr">
        <is>
          <t>週W5 C 04 20000 C</t>
        </is>
      </c>
      <c r="D293" s="229" t="inlineStr">
        <is>
          <t>平倉</t>
        </is>
      </c>
      <c r="E293" s="257" t="inlineStr">
        <is>
          <t>賣</t>
        </is>
      </c>
      <c r="F293" s="229" t="inlineStr">
        <is>
          <t>-</t>
        </is>
      </c>
      <c r="G293" s="697" t="n">
        <v>1</v>
      </c>
      <c r="H293" s="698" t="n">
        <v>245</v>
      </c>
      <c r="I293" s="697" t="n">
        <v>12250</v>
      </c>
      <c r="J293" s="585" t="n">
        <v>18</v>
      </c>
      <c r="K293" s="585" t="n">
        <v>12</v>
      </c>
      <c r="L293" s="585">
        <f>IF(B293="TXO",I293-SUM(J293:K293),IF(B293="FITX",IF(D293="新倉",-SUM(J293:K293),IF(E293="賣",(H293-H1000)*G293*200-SUM(J293:K293),(H1000-H293)*G293*200-SUM(J293:K293))),IF(D293="新倉",-SUM(J293:K293),IF(E293="賣",(H293-H1000)*G293*50-SUM(J293:K293),(H1000-H293)*G293*50-SUM(J293:K293)))))</f>
        <v/>
      </c>
      <c r="M293" s="699">
        <f>L293</f>
        <v/>
      </c>
      <c r="N293" s="686">
        <f>M293</f>
        <v/>
      </c>
      <c r="O293" s="249" t="inlineStr">
        <is>
          <t>平倉</t>
        </is>
      </c>
      <c r="P293" s="249" t="inlineStr">
        <is>
          <t>元大期貨</t>
        </is>
      </c>
    </row>
    <row r="294" hidden="1" outlineLevel="1">
      <c r="A294" s="696" t="n">
        <v>45775</v>
      </c>
      <c r="B294" s="234" t="inlineStr">
        <is>
          <t>TXO</t>
        </is>
      </c>
      <c r="C294" s="229" t="inlineStr">
        <is>
          <t>週W5 C 04 20100 C</t>
        </is>
      </c>
      <c r="D294" s="229" t="inlineStr">
        <is>
          <t>新倉</t>
        </is>
      </c>
      <c r="E294" s="257" t="inlineStr">
        <is>
          <t>買</t>
        </is>
      </c>
      <c r="F294" s="229" t="inlineStr">
        <is>
          <t>-</t>
        </is>
      </c>
      <c r="G294" s="697" t="n">
        <v>1</v>
      </c>
      <c r="H294" s="698" t="n">
        <v>145</v>
      </c>
      <c r="I294" s="697" t="n">
        <v>-7250</v>
      </c>
      <c r="J294" s="585" t="n">
        <v>18</v>
      </c>
      <c r="K294" s="585" t="n">
        <v>7</v>
      </c>
      <c r="L294" s="585">
        <f>IF(B294="TXO",I294-SUM(J294:K294),IF(B294="FITX",IF(D294="新倉",-SUM(J294:K294),IF(E294="賣",(H294-H1001)*G294*200-SUM(J294:K294),(H1001-H294)*G294*200-SUM(J294:K294))),IF(D294="新倉",-SUM(J294:K294),IF(E294="賣",(H294-H1001)*G294*50-SUM(J294:K294),(H1001-H294)*G294*50-SUM(J294:K294)))))</f>
        <v/>
      </c>
      <c r="M294" s="699">
        <f>L294</f>
        <v/>
      </c>
      <c r="N294" s="686">
        <f>M294</f>
        <v/>
      </c>
      <c r="O294" s="249" t="inlineStr">
        <is>
          <t>新倉</t>
        </is>
      </c>
      <c r="P294" s="249" t="inlineStr">
        <is>
          <t>元大期貨</t>
        </is>
      </c>
    </row>
    <row r="295" hidden="1" outlineLevel="1">
      <c r="A295" s="696" t="n">
        <v>45776</v>
      </c>
      <c r="B295" s="234" t="inlineStr">
        <is>
          <t>TXO</t>
        </is>
      </c>
      <c r="C295" s="229" t="inlineStr">
        <is>
          <t>週W5 C 04 20100 C</t>
        </is>
      </c>
      <c r="D295" s="229" t="inlineStr">
        <is>
          <t>平倉</t>
        </is>
      </c>
      <c r="E295" s="257" t="inlineStr">
        <is>
          <t>賣</t>
        </is>
      </c>
      <c r="F295" s="229" t="inlineStr">
        <is>
          <t>-</t>
        </is>
      </c>
      <c r="G295" s="697" t="n">
        <v>1</v>
      </c>
      <c r="H295" s="698" t="n">
        <v>176</v>
      </c>
      <c r="I295" s="697" t="n">
        <v>8800</v>
      </c>
      <c r="J295" s="585" t="n">
        <v>18</v>
      </c>
      <c r="K295" s="585" t="n">
        <v>9</v>
      </c>
      <c r="L295" s="585">
        <f>IF(B295="TXO",I295-SUM(J295:K295),IF(B295="FITX",IF(D295="新倉",-SUM(J295:K295),IF(E295="賣",(H295-H1002)*G295*200-SUM(J295:K295),(H1002-H295)*G295*200-SUM(J295:K295))),IF(D295="新倉",-SUM(J295:K295),IF(E295="賣",(H295-H1002)*G295*50-SUM(J295:K295),(H1002-H295)*G295*50-SUM(J295:K295)))))</f>
        <v/>
      </c>
      <c r="M295" s="699">
        <f>L295</f>
        <v/>
      </c>
      <c r="N295" s="686">
        <f>M295</f>
        <v/>
      </c>
      <c r="O295" s="249" t="inlineStr">
        <is>
          <t>平倉</t>
        </is>
      </c>
      <c r="P295" s="249" t="inlineStr">
        <is>
          <t>元大期貨</t>
        </is>
      </c>
    </row>
    <row r="296" hidden="1" outlineLevel="1">
      <c r="A296" s="696" t="n">
        <v>45776</v>
      </c>
      <c r="B296" s="234" t="inlineStr">
        <is>
          <t>TXO</t>
        </is>
      </c>
      <c r="C296" s="229" t="inlineStr">
        <is>
          <t>週W5 P 04 19600 P</t>
        </is>
      </c>
      <c r="D296" s="229" t="inlineStr">
        <is>
          <t>新倉</t>
        </is>
      </c>
      <c r="E296" s="257" t="inlineStr">
        <is>
          <t>買</t>
        </is>
      </c>
      <c r="F296" s="229" t="inlineStr">
        <is>
          <t>-</t>
        </is>
      </c>
      <c r="G296" s="697" t="n">
        <v>1</v>
      </c>
      <c r="H296" s="698" t="n">
        <v>61</v>
      </c>
      <c r="I296" s="697" t="n">
        <v>-3050</v>
      </c>
      <c r="J296" s="585" t="n">
        <v>18</v>
      </c>
      <c r="K296" s="585" t="n">
        <v>3</v>
      </c>
      <c r="L296" s="585">
        <f>IF(B296="TXO",I296-SUM(J296:K296),IF(B296="FITX",IF(D296="新倉",-SUM(J296:K296),IF(E296="賣",(H296-H1003)*G296*200-SUM(J296:K296),(H1003-H296)*G296*200-SUM(J296:K296))),IF(D296="新倉",-SUM(J296:K296),IF(E296="賣",(H296-H1003)*G296*50-SUM(J296:K296),(H1003-H296)*G296*50-SUM(J296:K296)))))</f>
        <v/>
      </c>
      <c r="M296" s="699">
        <f>L296</f>
        <v/>
      </c>
      <c r="N296" s="686">
        <f>M296</f>
        <v/>
      </c>
      <c r="O296" s="261" t="inlineStr">
        <is>
          <t>放棄</t>
        </is>
      </c>
      <c r="P296" s="249" t="inlineStr">
        <is>
          <t>元大期貨</t>
        </is>
      </c>
    </row>
    <row r="297" hidden="1" outlineLevel="1">
      <c r="A297" s="696" t="n">
        <v>45776</v>
      </c>
      <c r="B297" s="234" t="inlineStr">
        <is>
          <t>TXO</t>
        </is>
      </c>
      <c r="C297" s="229" t="inlineStr">
        <is>
          <t>週W5 C 04 20300 C</t>
        </is>
      </c>
      <c r="D297" s="229" t="inlineStr">
        <is>
          <t>新倉</t>
        </is>
      </c>
      <c r="E297" s="257" t="inlineStr">
        <is>
          <t>買</t>
        </is>
      </c>
      <c r="F297" s="229" t="inlineStr">
        <is>
          <t>-</t>
        </is>
      </c>
      <c r="G297" s="697" t="n">
        <v>1</v>
      </c>
      <c r="H297" s="698" t="n">
        <v>40.5</v>
      </c>
      <c r="I297" s="697" t="n">
        <v>-2025</v>
      </c>
      <c r="J297" s="585" t="n">
        <v>18</v>
      </c>
      <c r="K297" s="585" t="n">
        <v>2</v>
      </c>
      <c r="L297" s="585">
        <f>IF(B297="TXO",I297-SUM(J297:K297),IF(B297="FITX",IF(D297="新倉",-SUM(J297:K297),IF(E297="賣",(H297-H1004)*G297*200-SUM(J297:K297),(H1004-H297)*G297*200-SUM(J297:K297))),IF(D297="新倉",-SUM(J297:K297),IF(E297="賣",(H297-H1004)*G297*50-SUM(J297:K297),(H1004-H297)*G297*50-SUM(J297:K297)))))</f>
        <v/>
      </c>
      <c r="M297" s="699">
        <f>L297</f>
        <v/>
      </c>
      <c r="N297" s="686">
        <f>M297</f>
        <v/>
      </c>
      <c r="O297" s="249" t="inlineStr">
        <is>
          <t>新倉</t>
        </is>
      </c>
      <c r="P297" s="249" t="inlineStr">
        <is>
          <t>元大期貨</t>
        </is>
      </c>
    </row>
    <row r="298" hidden="1" outlineLevel="1">
      <c r="A298" s="696" t="n">
        <v>45776</v>
      </c>
      <c r="B298" s="234" t="inlineStr">
        <is>
          <t>TXO</t>
        </is>
      </c>
      <c r="C298" s="229" t="inlineStr">
        <is>
          <t>週W5 C 04 20300 C</t>
        </is>
      </c>
      <c r="D298" s="229" t="inlineStr">
        <is>
          <t>平倉</t>
        </is>
      </c>
      <c r="E298" s="257" t="inlineStr">
        <is>
          <t>賣</t>
        </is>
      </c>
      <c r="F298" s="229" t="inlineStr">
        <is>
          <t>-</t>
        </is>
      </c>
      <c r="G298" s="697" t="n">
        <v>1</v>
      </c>
      <c r="H298" s="698" t="n">
        <v>62</v>
      </c>
      <c r="I298" s="697" t="n">
        <v>3100</v>
      </c>
      <c r="J298" s="585" t="n">
        <v>18</v>
      </c>
      <c r="K298" s="585" t="n">
        <v>3</v>
      </c>
      <c r="L298" s="585">
        <f>IF(B298="TXO",I298-SUM(J298:K298),IF(B298="FITX",IF(D298="新倉",-SUM(J298:K298),IF(E298="賣",(H298-H1005)*G298*200-SUM(J298:K298),(H1005-H298)*G298*200-SUM(J298:K298))),IF(D298="新倉",-SUM(J298:K298),IF(E298="賣",(H298-H1005)*G298*50-SUM(J298:K298),(H1005-H298)*G298*50-SUM(J298:K298)))))</f>
        <v/>
      </c>
      <c r="M298" s="699">
        <f>L298</f>
        <v/>
      </c>
      <c r="N298" s="686">
        <f>M298</f>
        <v/>
      </c>
      <c r="O298" s="249" t="inlineStr">
        <is>
          <t>平倉</t>
        </is>
      </c>
      <c r="P298" s="249" t="inlineStr">
        <is>
          <t>元大期貨</t>
        </is>
      </c>
    </row>
    <row r="299" hidden="1" outlineLevel="1">
      <c r="A299" s="696" t="n">
        <v>45776</v>
      </c>
      <c r="B299" s="234" t="inlineStr">
        <is>
          <t>TXO</t>
        </is>
      </c>
      <c r="C299" s="229" t="inlineStr">
        <is>
          <t>週W5 C 04 20350 C</t>
        </is>
      </c>
      <c r="D299" s="229" t="inlineStr">
        <is>
          <t>新倉</t>
        </is>
      </c>
      <c r="E299" s="257" t="inlineStr">
        <is>
          <t>買</t>
        </is>
      </c>
      <c r="F299" s="229" t="inlineStr">
        <is>
          <t>-</t>
        </is>
      </c>
      <c r="G299" s="697" t="n">
        <v>1</v>
      </c>
      <c r="H299" s="698" t="n">
        <v>47</v>
      </c>
      <c r="I299" s="697" t="n">
        <v>-2350</v>
      </c>
      <c r="J299" s="585" t="n">
        <v>18</v>
      </c>
      <c r="K299" s="585" t="n">
        <v>2</v>
      </c>
      <c r="L299" s="585">
        <f>IF(B299="TXO",I299-SUM(J299:K299),IF(B299="FITX",IF(D299="新倉",-SUM(J299:K299),IF(E299="賣",(H299-H1006)*G299*200-SUM(J299:K299),(H1006-H299)*G299*200-SUM(J299:K299))),IF(D299="新倉",-SUM(J299:K299),IF(E299="賣",(H299-H1006)*G299*50-SUM(J299:K299),(H1006-H299)*G299*50-SUM(J299:K299)))))</f>
        <v/>
      </c>
      <c r="M299" s="699">
        <f>L299</f>
        <v/>
      </c>
      <c r="N299" s="686">
        <f>M299</f>
        <v/>
      </c>
      <c r="O299" s="261" t="inlineStr">
        <is>
          <t>放棄</t>
        </is>
      </c>
      <c r="P299" s="249" t="inlineStr">
        <is>
          <t>元大期貨</t>
        </is>
      </c>
    </row>
    <row r="300" hidden="1" outlineLevel="1">
      <c r="A300" s="696" t="n">
        <v>45776</v>
      </c>
      <c r="B300" s="234" t="inlineStr">
        <is>
          <t>TXO</t>
        </is>
      </c>
      <c r="C300" s="229" t="inlineStr">
        <is>
          <t>週W5 C 04 20250 C</t>
        </is>
      </c>
      <c r="D300" s="229" t="inlineStr">
        <is>
          <t>新倉</t>
        </is>
      </c>
      <c r="E300" s="257" t="inlineStr">
        <is>
          <t>買</t>
        </is>
      </c>
      <c r="F300" s="229" t="inlineStr">
        <is>
          <t>-</t>
        </is>
      </c>
      <c r="G300" s="697" t="n">
        <v>1</v>
      </c>
      <c r="H300" s="698" t="n">
        <v>84</v>
      </c>
      <c r="I300" s="697" t="n">
        <v>-4200</v>
      </c>
      <c r="J300" s="585" t="n">
        <v>18</v>
      </c>
      <c r="K300" s="585" t="n">
        <v>4</v>
      </c>
      <c r="L300" s="585">
        <f>IF(B300="TXO",I300-SUM(J300:K300),IF(B300="FITX",IF(D300="新倉",-SUM(J300:K300),IF(E300="賣",(H300-H1007)*G300*200-SUM(J300:K300),(H1007-H300)*G300*200-SUM(J300:K300))),IF(D300="新倉",-SUM(J300:K300),IF(E300="賣",(H300-H1007)*G300*50-SUM(J300:K300),(H1007-H300)*G300*50-SUM(J300:K300)))))</f>
        <v/>
      </c>
      <c r="M300" s="699">
        <f>L300</f>
        <v/>
      </c>
      <c r="N300" s="686">
        <f>M300</f>
        <v/>
      </c>
      <c r="O300" s="261" t="inlineStr">
        <is>
          <t>放棄</t>
        </is>
      </c>
      <c r="P300" s="249" t="inlineStr">
        <is>
          <t>元大期貨</t>
        </is>
      </c>
    </row>
    <row r="301" hidden="1" outlineLevel="1" ht="17.25" customHeight="1" thickBot="1">
      <c r="A301" s="696" t="n">
        <v>45777</v>
      </c>
      <c r="B301" s="234" t="inlineStr">
        <is>
          <t>TXO</t>
        </is>
      </c>
      <c r="C301" s="229" t="inlineStr">
        <is>
          <t>週W5 C 04 20250 C</t>
        </is>
      </c>
      <c r="D301" s="229" t="inlineStr">
        <is>
          <t>新倉</t>
        </is>
      </c>
      <c r="E301" s="257" t="inlineStr">
        <is>
          <t>買</t>
        </is>
      </c>
      <c r="F301" s="229" t="inlineStr">
        <is>
          <t>-</t>
        </is>
      </c>
      <c r="G301" s="697" t="n">
        <v>10</v>
      </c>
      <c r="H301" s="698" t="n">
        <v>1.9</v>
      </c>
      <c r="I301" s="697" t="n">
        <v>-950</v>
      </c>
      <c r="J301" s="585" t="n">
        <v>180</v>
      </c>
      <c r="K301" s="585" t="n">
        <v>0</v>
      </c>
      <c r="L301" s="585">
        <f>IF(B301="TXO",I301-SUM(J301:K301),IF(B301="FITX",IF(D301="新倉",-SUM(J301:K301),IF(E301="賣",(H301-H1008)*G301*200-SUM(J301:K301),(H1008-H301)*G301*200-SUM(J301:K301))),IF(D301="新倉",-SUM(J301:K301),IF(E301="賣",(H301-H1008)*G301*50-SUM(J301:K301),(H1008-H301)*G301*50-SUM(J301:K301)))))</f>
        <v/>
      </c>
      <c r="M301" s="699">
        <f>L301</f>
        <v/>
      </c>
      <c r="N301" s="686">
        <f>M301</f>
        <v/>
      </c>
      <c r="O301" s="261" t="inlineStr">
        <is>
          <t>放棄</t>
        </is>
      </c>
      <c r="P301" s="249" t="inlineStr">
        <is>
          <t>元大期貨</t>
        </is>
      </c>
    </row>
    <row r="302" collapsed="1" ht="17.25" customHeight="1" thickBot="1">
      <c r="A302" s="273" t="inlineStr">
        <is>
          <t>4月總計</t>
        </is>
      </c>
      <c r="B302" s="274" t="n"/>
      <c r="C302" s="274" t="n"/>
      <c r="D302" s="274" t="n"/>
      <c r="E302" s="274" t="n"/>
      <c r="F302" s="274" t="n"/>
      <c r="G302" s="715" t="n"/>
      <c r="H302" s="715" t="n"/>
      <c r="I302" s="715" t="n"/>
      <c r="J302" s="716" t="n"/>
      <c r="K302" s="715" t="n"/>
      <c r="L302" s="717">
        <f>SUM(L217:L249,L251:L270,L272:L301)</f>
        <v/>
      </c>
      <c r="M302" s="717">
        <f>SUM(M217:M249,M251:M270,M272:M301)</f>
        <v/>
      </c>
      <c r="N302" s="666" t="n"/>
      <c r="P302" s="249" t="n"/>
    </row>
    <row r="303" hidden="1" outlineLevel="1">
      <c r="A303" s="696" t="n">
        <v>45779</v>
      </c>
      <c r="B303" s="234" t="inlineStr">
        <is>
          <t>TXO</t>
        </is>
      </c>
      <c r="C303" s="229" t="inlineStr">
        <is>
          <t>週W1 C 05 20500 C</t>
        </is>
      </c>
      <c r="D303" s="229" t="inlineStr">
        <is>
          <t>新倉</t>
        </is>
      </c>
      <c r="E303" s="257" t="inlineStr">
        <is>
          <t>買</t>
        </is>
      </c>
      <c r="F303" s="229" t="inlineStr">
        <is>
          <t>-</t>
        </is>
      </c>
      <c r="G303" s="697" t="n">
        <v>1</v>
      </c>
      <c r="H303" s="698" t="n">
        <v>89</v>
      </c>
      <c r="I303" s="697" t="n">
        <v>-4450</v>
      </c>
      <c r="J303" s="585" t="n">
        <v>18</v>
      </c>
      <c r="K303" s="585" t="n">
        <v>4</v>
      </c>
      <c r="L303" s="585">
        <f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/>
      </c>
      <c r="M303" s="699">
        <f>L303</f>
        <v/>
      </c>
      <c r="N303" s="686">
        <f>M303</f>
        <v/>
      </c>
      <c r="O303" s="249" t="inlineStr">
        <is>
          <t>新倉</t>
        </is>
      </c>
      <c r="P303" s="249" t="inlineStr">
        <is>
          <t>元大期貨</t>
        </is>
      </c>
    </row>
    <row r="304" hidden="1" outlineLevel="1">
      <c r="A304" s="696" t="n">
        <v>45779</v>
      </c>
      <c r="B304" s="234" t="inlineStr">
        <is>
          <t>TXO</t>
        </is>
      </c>
      <c r="C304" s="229" t="inlineStr">
        <is>
          <t>週W1 C 05 20500 C</t>
        </is>
      </c>
      <c r="D304" s="229" t="inlineStr">
        <is>
          <t>平倉</t>
        </is>
      </c>
      <c r="E304" s="257" t="inlineStr">
        <is>
          <t>賣</t>
        </is>
      </c>
      <c r="F304" s="229" t="inlineStr">
        <is>
          <t>-</t>
        </is>
      </c>
      <c r="G304" s="697" t="n">
        <v>1</v>
      </c>
      <c r="H304" s="698" t="n">
        <v>93</v>
      </c>
      <c r="I304" s="697" t="n">
        <v>4650</v>
      </c>
      <c r="J304" s="585" t="n">
        <v>18</v>
      </c>
      <c r="K304" s="585" t="n">
        <v>5</v>
      </c>
      <c r="L304" s="585">
        <f>IF(B304="TXO",I304-SUM(J304:K304),IF(B304="FITX",IF(D304="新倉",-SUM(J304:K304),IF(E304="賣",(H304-H1011)*G304*200-SUM(J304:K304),(H1011-H304)*G304*200-SUM(J304:K304))),IF(D304="新倉",-SUM(J304:K304),IF(E304="賣",(H304-H1011)*G304*50-SUM(J304:K304),(H1011-H304)*G304*50-SUM(J304:K304)))))</f>
        <v/>
      </c>
      <c r="M304" s="699">
        <f>L304</f>
        <v/>
      </c>
      <c r="N304" s="686">
        <f>M304</f>
        <v/>
      </c>
      <c r="O304" s="249" t="inlineStr">
        <is>
          <t>平倉</t>
        </is>
      </c>
      <c r="P304" s="249" t="inlineStr">
        <is>
          <t>元大期貨</t>
        </is>
      </c>
    </row>
    <row r="305" hidden="1" outlineLevel="1">
      <c r="A305" s="696" t="n">
        <v>45779</v>
      </c>
      <c r="B305" s="234" t="inlineStr">
        <is>
          <t>TXO</t>
        </is>
      </c>
      <c r="C305" s="229" t="inlineStr">
        <is>
          <t>週W1 P 05 19150 P</t>
        </is>
      </c>
      <c r="D305" s="229" t="inlineStr">
        <is>
          <t>新倉</t>
        </is>
      </c>
      <c r="E305" s="257" t="inlineStr">
        <is>
          <t>買</t>
        </is>
      </c>
      <c r="F305" s="229" t="inlineStr">
        <is>
          <t>-</t>
        </is>
      </c>
      <c r="G305" s="697" t="n">
        <v>2</v>
      </c>
      <c r="H305" s="698" t="n">
        <v>99</v>
      </c>
      <c r="I305" s="697" t="n">
        <v>-9900</v>
      </c>
      <c r="J305" s="585" t="n">
        <v>36</v>
      </c>
      <c r="K305" s="585" t="n">
        <v>10</v>
      </c>
      <c r="L305" s="585">
        <f>IF(B305="TXO",I305-SUM(J305:K305),IF(B305="FITX",IF(D305="新倉",-SUM(J305:K305),IF(E305="賣",(H305-H1012)*G305*200-SUM(J305:K305),(H1012-H305)*G305*200-SUM(J305:K305))),IF(D305="新倉",-SUM(J305:K305),IF(E305="賣",(H305-H1012)*G305*50-SUM(J305:K305),(H1012-H305)*G305*50-SUM(J305:K305)))))</f>
        <v/>
      </c>
      <c r="M305" s="699">
        <f>L305</f>
        <v/>
      </c>
      <c r="N305" s="686">
        <f>M305</f>
        <v/>
      </c>
      <c r="O305" s="249" t="inlineStr">
        <is>
          <t>新倉</t>
        </is>
      </c>
      <c r="P305" s="249" t="inlineStr">
        <is>
          <t>元大期貨</t>
        </is>
      </c>
    </row>
    <row r="306" hidden="1" outlineLevel="1">
      <c r="A306" s="696" t="n">
        <v>45782</v>
      </c>
      <c r="B306" s="234" t="inlineStr">
        <is>
          <t>TXO</t>
        </is>
      </c>
      <c r="C306" s="229" t="inlineStr">
        <is>
          <t>週W1 P 05 19150 P</t>
        </is>
      </c>
      <c r="D306" s="229" t="inlineStr">
        <is>
          <t>平倉</t>
        </is>
      </c>
      <c r="E306" s="257" t="inlineStr">
        <is>
          <t>賣</t>
        </is>
      </c>
      <c r="F306" s="229" t="inlineStr">
        <is>
          <t>-</t>
        </is>
      </c>
      <c r="G306" s="697" t="n">
        <v>2</v>
      </c>
      <c r="H306" s="698" t="n">
        <v>21.5</v>
      </c>
      <c r="I306" s="697" t="n">
        <v>2150</v>
      </c>
      <c r="J306" s="585" t="n">
        <v>36</v>
      </c>
      <c r="K306" s="585" t="n">
        <v>2</v>
      </c>
      <c r="L306" s="585">
        <f>IF(B306="TXO",I306-SUM(J306:K306),IF(B306="FITX",IF(D306="新倉",-SUM(J306:K306),IF(E306="賣",(H306-H1013)*G306*200-SUM(J306:K306),(H1013-H306)*G306*200-SUM(J306:K306))),IF(D306="新倉",-SUM(J306:K306),IF(E306="賣",(H306-H1013)*G306*50-SUM(J306:K306),(H1013-H306)*G306*50-SUM(J306:K306)))))</f>
        <v/>
      </c>
      <c r="M306" s="699">
        <f>L306</f>
        <v/>
      </c>
      <c r="N306" s="686">
        <f>M306</f>
        <v/>
      </c>
      <c r="O306" s="249" t="inlineStr">
        <is>
          <t>平倉</t>
        </is>
      </c>
      <c r="P306" s="249" t="inlineStr">
        <is>
          <t>元大期貨</t>
        </is>
      </c>
    </row>
    <row r="307" hidden="1" outlineLevel="1">
      <c r="A307" s="696" t="n">
        <v>45779</v>
      </c>
      <c r="B307" s="234" t="inlineStr">
        <is>
          <t>TXO</t>
        </is>
      </c>
      <c r="C307" s="229" t="inlineStr">
        <is>
          <t>週W1 P 05 19800 P</t>
        </is>
      </c>
      <c r="D307" s="229" t="inlineStr">
        <is>
          <t>新倉</t>
        </is>
      </c>
      <c r="E307" s="257" t="inlineStr">
        <is>
          <t>買</t>
        </is>
      </c>
      <c r="F307" s="229" t="inlineStr">
        <is>
          <t>-</t>
        </is>
      </c>
      <c r="G307" s="697" t="n">
        <v>1</v>
      </c>
      <c r="H307" s="698" t="n">
        <v>248</v>
      </c>
      <c r="I307" s="697" t="n">
        <v>-12400</v>
      </c>
      <c r="J307" s="585" t="n">
        <v>18</v>
      </c>
      <c r="K307" s="585" t="n">
        <v>12</v>
      </c>
      <c r="L307" s="585">
        <f>IF(B307="TXO",I307-SUM(J307:K307),IF(B307="FITX",IF(D307="新倉",-SUM(J307:K307),IF(E307="賣",(H307-H1014)*G307*200-SUM(J307:K307),(H1014-H307)*G307*200-SUM(J307:K307))),IF(D307="新倉",-SUM(J307:K307),IF(E307="賣",(H307-H1014)*G307*50-SUM(J307:K307),(H1014-H307)*G307*50-SUM(J307:K307)))))</f>
        <v/>
      </c>
      <c r="M307" s="699">
        <f>L307</f>
        <v/>
      </c>
      <c r="N307" s="686">
        <f>M307</f>
        <v/>
      </c>
      <c r="O307" s="249" t="inlineStr">
        <is>
          <t>新倉</t>
        </is>
      </c>
      <c r="P307" s="249" t="inlineStr">
        <is>
          <t>元大期貨</t>
        </is>
      </c>
    </row>
    <row r="308" hidden="1" outlineLevel="1">
      <c r="A308" s="696" t="n">
        <v>45782</v>
      </c>
      <c r="B308" s="234" t="inlineStr">
        <is>
          <t>TXO</t>
        </is>
      </c>
      <c r="C308" s="229" t="inlineStr">
        <is>
          <t>週W1 P 05 19800 P</t>
        </is>
      </c>
      <c r="D308" s="229" t="inlineStr">
        <is>
          <t>平倉</t>
        </is>
      </c>
      <c r="E308" s="257" t="inlineStr">
        <is>
          <t>賣</t>
        </is>
      </c>
      <c r="F308" s="229" t="inlineStr">
        <is>
          <t>-</t>
        </is>
      </c>
      <c r="G308" s="697" t="n">
        <v>1</v>
      </c>
      <c r="H308" s="698" t="n">
        <v>38</v>
      </c>
      <c r="I308" s="697" t="n">
        <v>1900</v>
      </c>
      <c r="J308" s="585" t="n">
        <v>18</v>
      </c>
      <c r="K308" s="585" t="n">
        <v>2</v>
      </c>
      <c r="L308" s="585">
        <f>IF(B308="TXO",I308-SUM(J308:K308),IF(B308="FITX",IF(D308="新倉",-SUM(J308:K308),IF(E308="賣",(H308-H1015)*G308*200-SUM(J308:K308),(H1015-H308)*G308*200-SUM(J308:K308))),IF(D308="新倉",-SUM(J308:K308),IF(E308="賣",(H308-H1015)*G308*50-SUM(J308:K308),(H1015-H308)*G308*50-SUM(J308:K308)))))</f>
        <v/>
      </c>
      <c r="M308" s="699">
        <f>L308</f>
        <v/>
      </c>
      <c r="N308" s="686">
        <f>M308</f>
        <v/>
      </c>
      <c r="O308" s="249" t="inlineStr">
        <is>
          <t>平倉</t>
        </is>
      </c>
      <c r="P308" s="249" t="inlineStr">
        <is>
          <t>元大期貨</t>
        </is>
      </c>
    </row>
    <row r="309" hidden="1" outlineLevel="1">
      <c r="A309" s="696" t="n">
        <v>45782</v>
      </c>
      <c r="B309" s="234" t="inlineStr">
        <is>
          <t>TXO</t>
        </is>
      </c>
      <c r="C309" s="229" t="inlineStr">
        <is>
          <t>週W1 P 05 16900 P</t>
        </is>
      </c>
      <c r="D309" s="229" t="inlineStr">
        <is>
          <t>新倉</t>
        </is>
      </c>
      <c r="E309" s="257" t="inlineStr">
        <is>
          <t>買</t>
        </is>
      </c>
      <c r="F309" s="229" t="inlineStr">
        <is>
          <t>-</t>
        </is>
      </c>
      <c r="G309" s="697" t="n">
        <v>1</v>
      </c>
      <c r="H309" s="698" t="n">
        <v>4.8</v>
      </c>
      <c r="I309" s="697" t="n">
        <v>-240</v>
      </c>
      <c r="J309" s="585" t="n">
        <v>18</v>
      </c>
      <c r="K309" s="585" t="n">
        <v>0</v>
      </c>
      <c r="L309" s="585">
        <f>IF(B309="TXO",I309-SUM(J309:K309),IF(B309="FITX",IF(D309="新倉",-SUM(J309:K309),IF(E309="賣",(H309-H1016)*G309*200-SUM(J309:K309),(H1016-H309)*G309*200-SUM(J309:K309))),IF(D309="新倉",-SUM(J309:K309),IF(E309="賣",(H309-H1016)*G309*50-SUM(J309:K309),(H1016-H309)*G309*50-SUM(J309:K309)))))</f>
        <v/>
      </c>
      <c r="M309" s="699">
        <f>L309</f>
        <v/>
      </c>
      <c r="N309" s="686">
        <f>M309</f>
        <v/>
      </c>
      <c r="O309" s="249" t="inlineStr">
        <is>
          <t>新倉</t>
        </is>
      </c>
      <c r="P309" s="249" t="inlineStr">
        <is>
          <t>元大期貨</t>
        </is>
      </c>
    </row>
    <row r="310" hidden="1" outlineLevel="1">
      <c r="A310" s="696" t="n">
        <v>45782</v>
      </c>
      <c r="B310" s="234" t="inlineStr">
        <is>
          <t>TXO</t>
        </is>
      </c>
      <c r="C310" s="229" t="inlineStr">
        <is>
          <t>週W1 P 05 16900 P</t>
        </is>
      </c>
      <c r="D310" s="229" t="inlineStr">
        <is>
          <t>平倉</t>
        </is>
      </c>
      <c r="E310" s="257" t="inlineStr">
        <is>
          <t>賣</t>
        </is>
      </c>
      <c r="F310" s="229" t="inlineStr">
        <is>
          <t>-</t>
        </is>
      </c>
      <c r="G310" s="697" t="n">
        <v>1</v>
      </c>
      <c r="H310" s="698" t="n">
        <v>4</v>
      </c>
      <c r="I310" s="697" t="n">
        <v>200</v>
      </c>
      <c r="J310" s="585" t="n">
        <v>18</v>
      </c>
      <c r="K310" s="585" t="n">
        <v>0</v>
      </c>
      <c r="L310" s="585">
        <f>IF(B310="TXO",I310-SUM(J310:K310),IF(B310="FITX",IF(D310="新倉",-SUM(J310:K310),IF(E310="賣",(H310-H1017)*G310*200-SUM(J310:K310),(H1017-H310)*G310*200-SUM(J310:K310))),IF(D310="新倉",-SUM(J310:K310),IF(E310="賣",(H310-H1017)*G310*50-SUM(J310:K310),(H1017-H310)*G310*50-SUM(J310:K310)))))</f>
        <v/>
      </c>
      <c r="M310" s="699">
        <f>L310</f>
        <v/>
      </c>
      <c r="N310" s="686">
        <f>M310</f>
        <v/>
      </c>
      <c r="O310" s="249" t="inlineStr">
        <is>
          <t>平倉</t>
        </is>
      </c>
      <c r="P310" s="249" t="inlineStr">
        <is>
          <t>元大期貨</t>
        </is>
      </c>
    </row>
    <row r="311" hidden="1" outlineLevel="1">
      <c r="A311" s="696" t="n">
        <v>45782</v>
      </c>
      <c r="B311" s="234" t="inlineStr">
        <is>
          <t>TXO</t>
        </is>
      </c>
      <c r="C311" s="229" t="inlineStr">
        <is>
          <t>週W1 P 05 16900 P</t>
        </is>
      </c>
      <c r="D311" s="229" t="inlineStr">
        <is>
          <t>新倉</t>
        </is>
      </c>
      <c r="E311" s="257" t="inlineStr">
        <is>
          <t>買</t>
        </is>
      </c>
      <c r="F311" s="229" t="inlineStr">
        <is>
          <t>-</t>
        </is>
      </c>
      <c r="G311" s="697" t="n">
        <v>2</v>
      </c>
      <c r="H311" s="698" t="n">
        <v>4.4</v>
      </c>
      <c r="I311" s="697" t="n">
        <v>-440</v>
      </c>
      <c r="J311" s="585" t="n">
        <v>36</v>
      </c>
      <c r="K311" s="585" t="n">
        <v>0</v>
      </c>
      <c r="L311" s="585">
        <f>IF(B311="TXO",I311-SUM(J311:K311),IF(B311="FITX",IF(D311="新倉",-SUM(J311:K311),IF(E311="賣",(H311-H1018)*G311*200-SUM(J311:K311),(H1018-H311)*G311*200-SUM(J311:K311))),IF(D311="新倉",-SUM(J311:K311),IF(E311="賣",(H311-H1018)*G311*50-SUM(J311:K311),(H1018-H311)*G311*50-SUM(J311:K311)))))</f>
        <v/>
      </c>
      <c r="M311" s="699">
        <f>L311</f>
        <v/>
      </c>
      <c r="N311" s="686">
        <f>M311</f>
        <v/>
      </c>
      <c r="O311" s="249" t="inlineStr">
        <is>
          <t>新倉</t>
        </is>
      </c>
      <c r="P311" s="249" t="inlineStr">
        <is>
          <t>元大期貨</t>
        </is>
      </c>
    </row>
    <row r="312" hidden="1" outlineLevel="1">
      <c r="A312" s="696" t="n">
        <v>45782</v>
      </c>
      <c r="B312" s="234" t="inlineStr">
        <is>
          <t>TXO</t>
        </is>
      </c>
      <c r="C312" s="229" t="inlineStr">
        <is>
          <t>週W1 P 05 16900 P</t>
        </is>
      </c>
      <c r="D312" s="229" t="inlineStr">
        <is>
          <t>平倉</t>
        </is>
      </c>
      <c r="E312" s="257" t="inlineStr">
        <is>
          <t>賣</t>
        </is>
      </c>
      <c r="F312" s="229" t="inlineStr">
        <is>
          <t>-</t>
        </is>
      </c>
      <c r="G312" s="697" t="n">
        <v>1</v>
      </c>
      <c r="H312" s="698" t="n">
        <v>3.6</v>
      </c>
      <c r="I312" s="697" t="n">
        <v>180</v>
      </c>
      <c r="J312" s="585" t="n">
        <v>18</v>
      </c>
      <c r="K312" s="585" t="n">
        <v>0</v>
      </c>
      <c r="L312" s="585">
        <f>IF(B312="TXO",I312-SUM(J312:K312),IF(B312="FITX",IF(D312="新倉",-SUM(J312:K312),IF(E312="賣",(H312-H1019)*G312*200-SUM(J312:K312),(H1019-H312)*G312*200-SUM(J312:K312))),IF(D312="新倉",-SUM(J312:K312),IF(E312="賣",(H312-H1019)*G312*50-SUM(J312:K312),(H1019-H312)*G312*50-SUM(J312:K312)))))</f>
        <v/>
      </c>
      <c r="M312" s="699">
        <f>L312</f>
        <v/>
      </c>
      <c r="N312" s="686">
        <f>M312</f>
        <v/>
      </c>
      <c r="O312" s="249" t="inlineStr">
        <is>
          <t>平倉</t>
        </is>
      </c>
      <c r="P312" s="249" t="inlineStr">
        <is>
          <t>元大期貨</t>
        </is>
      </c>
    </row>
    <row r="313" hidden="1" outlineLevel="1">
      <c r="A313" s="696" t="n">
        <v>45782</v>
      </c>
      <c r="B313" s="234" t="inlineStr">
        <is>
          <t>TXO</t>
        </is>
      </c>
      <c r="C313" s="229" t="inlineStr">
        <is>
          <t>週W1 P 05 20750 P</t>
        </is>
      </c>
      <c r="D313" s="229" t="inlineStr">
        <is>
          <t>新倉</t>
        </is>
      </c>
      <c r="E313" s="257" t="inlineStr">
        <is>
          <t>買</t>
        </is>
      </c>
      <c r="F313" s="229" t="inlineStr">
        <is>
          <t>-</t>
        </is>
      </c>
      <c r="G313" s="697" t="n">
        <v>1</v>
      </c>
      <c r="H313" s="698" t="n">
        <v>159</v>
      </c>
      <c r="I313" s="697" t="n">
        <v>-7950</v>
      </c>
      <c r="J313" s="585" t="n">
        <v>18</v>
      </c>
      <c r="K313" s="585" t="n">
        <v>8</v>
      </c>
      <c r="L313" s="585">
        <f>IF(B313="TXO",I313-SUM(J313:K313),IF(B313="FITX",IF(D313="新倉",-SUM(J313:K313),IF(E313="賣",(H313-H1020)*G313*200-SUM(J313:K313),(H1020-H313)*G313*200-SUM(J313:K313))),IF(D313="新倉",-SUM(J313:K313),IF(E313="賣",(H313-H1020)*G313*50-SUM(J313:K313),(H1020-H313)*G313*50-SUM(J313:K313)))))</f>
        <v/>
      </c>
      <c r="M313" s="699">
        <f>L313</f>
        <v/>
      </c>
      <c r="N313" s="686">
        <f>M313</f>
        <v/>
      </c>
      <c r="O313" s="249" t="inlineStr">
        <is>
          <t>新倉</t>
        </is>
      </c>
      <c r="P313" s="249" t="inlineStr">
        <is>
          <t>元大期貨</t>
        </is>
      </c>
    </row>
    <row r="314" hidden="1" outlineLevel="1">
      <c r="A314" s="696" t="n">
        <v>45782</v>
      </c>
      <c r="B314" s="234" t="inlineStr">
        <is>
          <t>TXO</t>
        </is>
      </c>
      <c r="C314" s="229" t="inlineStr">
        <is>
          <t>週W1 P 05 20750 P</t>
        </is>
      </c>
      <c r="D314" s="229" t="inlineStr">
        <is>
          <t>平倉</t>
        </is>
      </c>
      <c r="E314" s="257" t="inlineStr">
        <is>
          <t>賣</t>
        </is>
      </c>
      <c r="F314" s="229" t="inlineStr">
        <is>
          <t>-</t>
        </is>
      </c>
      <c r="G314" s="697" t="n">
        <v>1</v>
      </c>
      <c r="H314" s="698" t="n">
        <v>164</v>
      </c>
      <c r="I314" s="697" t="n">
        <v>8200</v>
      </c>
      <c r="J314" s="585" t="n">
        <v>18</v>
      </c>
      <c r="K314" s="585" t="n">
        <v>8</v>
      </c>
      <c r="L314" s="585">
        <f>IF(B314="TXO",I314-SUM(J314:K314),IF(B314="FITX",IF(D314="新倉",-SUM(J314:K314),IF(E314="賣",(H314-H1021)*G314*200-SUM(J314:K314),(H1021-H314)*G314*200-SUM(J314:K314))),IF(D314="新倉",-SUM(J314:K314),IF(E314="賣",(H314-H1021)*G314*50-SUM(J314:K314),(H1021-H314)*G314*50-SUM(J314:K314)))))</f>
        <v/>
      </c>
      <c r="M314" s="699">
        <f>L314</f>
        <v/>
      </c>
      <c r="N314" s="686">
        <f>M314</f>
        <v/>
      </c>
      <c r="O314" s="249" t="inlineStr">
        <is>
          <t>平倉</t>
        </is>
      </c>
      <c r="P314" s="249" t="inlineStr">
        <is>
          <t>元大期貨</t>
        </is>
      </c>
    </row>
    <row r="315" hidden="1" outlineLevel="1">
      <c r="A315" s="696" t="n">
        <v>45782</v>
      </c>
      <c r="B315" s="234" t="inlineStr">
        <is>
          <t>TXO</t>
        </is>
      </c>
      <c r="C315" s="229" t="inlineStr">
        <is>
          <t>週W1 C 05 20700 C</t>
        </is>
      </c>
      <c r="D315" s="229" t="inlineStr">
        <is>
          <t>新倉</t>
        </is>
      </c>
      <c r="E315" s="257" t="inlineStr">
        <is>
          <t>買</t>
        </is>
      </c>
      <c r="F315" s="229" t="inlineStr">
        <is>
          <t>-</t>
        </is>
      </c>
      <c r="G315" s="697" t="n">
        <v>1</v>
      </c>
      <c r="H315" s="698" t="n">
        <v>288</v>
      </c>
      <c r="I315" s="697" t="n">
        <v>-14400</v>
      </c>
      <c r="J315" s="585" t="n">
        <v>18</v>
      </c>
      <c r="K315" s="585" t="n">
        <v>14</v>
      </c>
      <c r="L315" s="585">
        <f>IF(B315="TXO",I315-SUM(J315:K315),IF(B315="FITX",IF(D315="新倉",-SUM(J315:K315),IF(E315="賣",(H315-H1022)*G315*200-SUM(J315:K315),(H1022-H315)*G315*200-SUM(J315:K315))),IF(D315="新倉",-SUM(J315:K315),IF(E315="賣",(H315-H1022)*G315*50-SUM(J315:K315),(H1022-H315)*G315*50-SUM(J315:K315)))))</f>
        <v/>
      </c>
      <c r="M315" s="699">
        <f>L315</f>
        <v/>
      </c>
      <c r="N315" s="686">
        <f>M315</f>
        <v/>
      </c>
      <c r="O315" s="249" t="inlineStr">
        <is>
          <t>新倉</t>
        </is>
      </c>
      <c r="P315" s="249" t="inlineStr">
        <is>
          <t>元大期貨</t>
        </is>
      </c>
    </row>
    <row r="316" hidden="1" outlineLevel="1">
      <c r="A316" s="696" t="n">
        <v>45782</v>
      </c>
      <c r="B316" s="234" t="inlineStr">
        <is>
          <t>TXO</t>
        </is>
      </c>
      <c r="C316" s="229" t="inlineStr">
        <is>
          <t>週W1 C 05 20700 C</t>
        </is>
      </c>
      <c r="D316" s="229" t="inlineStr">
        <is>
          <t>平倉</t>
        </is>
      </c>
      <c r="E316" s="257" t="inlineStr">
        <is>
          <t>賣</t>
        </is>
      </c>
      <c r="F316" s="229" t="inlineStr">
        <is>
          <t>-</t>
        </is>
      </c>
      <c r="G316" s="697" t="n">
        <v>1</v>
      </c>
      <c r="H316" s="698" t="n">
        <v>284</v>
      </c>
      <c r="I316" s="697" t="n">
        <v>14200</v>
      </c>
      <c r="J316" s="585" t="n">
        <v>18</v>
      </c>
      <c r="K316" s="585" t="n">
        <v>14</v>
      </c>
      <c r="L316" s="585">
        <f>IF(B316="TXO",I316-SUM(J316:K316),IF(B316="FITX",IF(D316="新倉",-SUM(J316:K316),IF(E316="賣",(H316-H1023)*G316*200-SUM(J316:K316),(H1023-H316)*G316*200-SUM(J316:K316))),IF(D316="新倉",-SUM(J316:K316),IF(E316="賣",(H316-H1023)*G316*50-SUM(J316:K316),(H1023-H316)*G316*50-SUM(J316:K316)))))</f>
        <v/>
      </c>
      <c r="M316" s="699">
        <f>L316</f>
        <v/>
      </c>
      <c r="N316" s="686">
        <f>M316</f>
        <v/>
      </c>
      <c r="O316" s="249" t="inlineStr">
        <is>
          <t>平倉</t>
        </is>
      </c>
      <c r="P316" s="249" t="inlineStr">
        <is>
          <t>元大期貨</t>
        </is>
      </c>
    </row>
    <row r="317" hidden="1" outlineLevel="1">
      <c r="A317" s="696" t="n">
        <v>45782</v>
      </c>
      <c r="B317" s="234" t="inlineStr">
        <is>
          <t>TXO</t>
        </is>
      </c>
      <c r="C317" s="229" t="inlineStr">
        <is>
          <t>週W1 P 05 17100 P</t>
        </is>
      </c>
      <c r="D317" s="229" t="inlineStr">
        <is>
          <t>新倉</t>
        </is>
      </c>
      <c r="E317" s="257" t="inlineStr">
        <is>
          <t>買</t>
        </is>
      </c>
      <c r="F317" s="229" t="inlineStr">
        <is>
          <t>-</t>
        </is>
      </c>
      <c r="G317" s="697" t="n">
        <v>2</v>
      </c>
      <c r="H317" s="698" t="n">
        <v>8.5</v>
      </c>
      <c r="I317" s="697" t="n">
        <v>-850</v>
      </c>
      <c r="J317" s="585" t="n">
        <v>36</v>
      </c>
      <c r="K317" s="585" t="n">
        <v>0</v>
      </c>
      <c r="L317" s="585">
        <f>IF(B317="TXO",I317-SUM(J317:K317),IF(B317="FITX",IF(D317="新倉",-SUM(J317:K317),IF(E317="賣",(H317-H1024)*G317*200-SUM(J317:K317),(H1024-H317)*G317*200-SUM(J317:K317))),IF(D317="新倉",-SUM(J317:K317),IF(E317="賣",(H317-H1024)*G317*50-SUM(J317:K317),(H1024-H317)*G317*50-SUM(J317:K317)))))</f>
        <v/>
      </c>
      <c r="M317" s="699">
        <f>L317</f>
        <v/>
      </c>
      <c r="N317" s="686">
        <f>M317</f>
        <v/>
      </c>
      <c r="O317" s="261" t="inlineStr">
        <is>
          <t>放棄</t>
        </is>
      </c>
      <c r="P317" s="249" t="inlineStr">
        <is>
          <t>元大期貨</t>
        </is>
      </c>
    </row>
    <row r="318" hidden="1" outlineLevel="1">
      <c r="A318" s="696" t="n">
        <v>45782</v>
      </c>
      <c r="B318" s="234" t="inlineStr">
        <is>
          <t>TXO</t>
        </is>
      </c>
      <c r="C318" s="229" t="inlineStr">
        <is>
          <t>週W1 C 05 20900 C</t>
        </is>
      </c>
      <c r="D318" s="229" t="inlineStr">
        <is>
          <t>新倉</t>
        </is>
      </c>
      <c r="E318" s="257" t="inlineStr">
        <is>
          <t>買</t>
        </is>
      </c>
      <c r="F318" s="229" t="inlineStr">
        <is>
          <t>-</t>
        </is>
      </c>
      <c r="G318" s="697" t="n">
        <v>1</v>
      </c>
      <c r="H318" s="698" t="n">
        <v>167</v>
      </c>
      <c r="I318" s="697" t="n">
        <v>-8350</v>
      </c>
      <c r="J318" s="585" t="n">
        <v>18</v>
      </c>
      <c r="K318" s="585" t="n">
        <v>8</v>
      </c>
      <c r="L318" s="585">
        <f>IF(B318="TXO",I318-SUM(J318:K318),IF(B318="FITX",IF(D318="新倉",-SUM(J318:K318),IF(E318="賣",(H318-H1025)*G318*200-SUM(J318:K318),(H1025-H318)*G318*200-SUM(J318:K318))),IF(D318="新倉",-SUM(J318:K318),IF(E318="賣",(H318-H1025)*G318*50-SUM(J318:K318),(H1025-H318)*G318*50-SUM(J318:K318)))))</f>
        <v/>
      </c>
      <c r="M318" s="699">
        <f>L318</f>
        <v/>
      </c>
      <c r="N318" s="686">
        <f>M318</f>
        <v/>
      </c>
      <c r="O318" s="249" t="inlineStr">
        <is>
          <t>新倉</t>
        </is>
      </c>
      <c r="P318" s="249" t="inlineStr">
        <is>
          <t>元大期貨</t>
        </is>
      </c>
    </row>
    <row r="319" hidden="1" outlineLevel="1">
      <c r="A319" s="696" t="n">
        <v>45782</v>
      </c>
      <c r="B319" s="234" t="inlineStr">
        <is>
          <t>TXO</t>
        </is>
      </c>
      <c r="C319" s="229" t="inlineStr">
        <is>
          <t>週W1 C 05 20900 C</t>
        </is>
      </c>
      <c r="D319" s="229" t="inlineStr">
        <is>
          <t>平倉</t>
        </is>
      </c>
      <c r="E319" s="257" t="inlineStr">
        <is>
          <t>賣</t>
        </is>
      </c>
      <c r="F319" s="229" t="inlineStr">
        <is>
          <t>-</t>
        </is>
      </c>
      <c r="G319" s="697" t="n">
        <v>1</v>
      </c>
      <c r="H319" s="698" t="n">
        <v>160</v>
      </c>
      <c r="I319" s="697" t="n">
        <v>8000</v>
      </c>
      <c r="J319" s="585" t="n">
        <v>18</v>
      </c>
      <c r="K319" s="585" t="n">
        <v>8</v>
      </c>
      <c r="L319" s="585">
        <f>IF(B319="TXO",I319-SUM(J319:K319),IF(B319="FITX",IF(D319="新倉",-SUM(J319:K319),IF(E319="賣",(H319-H1026)*G319*200-SUM(J319:K319),(H1026-H319)*G319*200-SUM(J319:K319))),IF(D319="新倉",-SUM(J319:K319),IF(E319="賣",(H319-H1026)*G319*50-SUM(J319:K319),(H1026-H319)*G319*50-SUM(J319:K319)))))</f>
        <v/>
      </c>
      <c r="M319" s="699">
        <f>L319</f>
        <v/>
      </c>
      <c r="N319" s="686">
        <f>M319</f>
        <v/>
      </c>
      <c r="O319" s="249" t="inlineStr">
        <is>
          <t>平倉</t>
        </is>
      </c>
      <c r="P319" s="249" t="inlineStr">
        <is>
          <t>元大期貨</t>
        </is>
      </c>
    </row>
    <row r="320" hidden="1" outlineLevel="1">
      <c r="A320" s="696" t="n">
        <v>45784</v>
      </c>
      <c r="B320" s="234" t="inlineStr">
        <is>
          <t>TXO</t>
        </is>
      </c>
      <c r="C320" s="229" t="inlineStr">
        <is>
          <t>週W1 P 05 20300 P</t>
        </is>
      </c>
      <c r="D320" s="229" t="inlineStr">
        <is>
          <t>新倉</t>
        </is>
      </c>
      <c r="E320" s="257" t="inlineStr">
        <is>
          <t>買</t>
        </is>
      </c>
      <c r="F320" s="229" t="inlineStr">
        <is>
          <t>-</t>
        </is>
      </c>
      <c r="G320" s="697" t="n">
        <v>1</v>
      </c>
      <c r="H320" s="698" t="n">
        <v>1.1</v>
      </c>
      <c r="I320" s="697" t="n">
        <v>-55</v>
      </c>
      <c r="J320" s="585" t="n">
        <v>18</v>
      </c>
      <c r="K320" s="585" t="n">
        <v>0</v>
      </c>
      <c r="L320" s="585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/>
      </c>
      <c r="M320" s="699">
        <f>L320</f>
        <v/>
      </c>
      <c r="N320" s="686">
        <f>M320</f>
        <v/>
      </c>
      <c r="O320" s="261" t="inlineStr">
        <is>
          <t>放棄</t>
        </is>
      </c>
      <c r="P320" s="249" t="inlineStr">
        <is>
          <t>元大期貨</t>
        </is>
      </c>
    </row>
    <row r="321" hidden="1" outlineLevel="1">
      <c r="A321" s="696" t="n">
        <v>45784</v>
      </c>
      <c r="B321" s="234" t="inlineStr">
        <is>
          <t>TXO</t>
        </is>
      </c>
      <c r="C321" s="229" t="inlineStr">
        <is>
          <t>週W1 P 05 20500 P</t>
        </is>
      </c>
      <c r="D321" s="229" t="inlineStr">
        <is>
          <t>新倉</t>
        </is>
      </c>
      <c r="E321" s="257" t="inlineStr">
        <is>
          <t>買</t>
        </is>
      </c>
      <c r="F321" s="229" t="inlineStr">
        <is>
          <t>-</t>
        </is>
      </c>
      <c r="G321" s="697" t="n">
        <v>1</v>
      </c>
      <c r="H321" s="698" t="n">
        <v>32.5</v>
      </c>
      <c r="I321" s="697" t="n">
        <v>-1625</v>
      </c>
      <c r="J321" s="585" t="n">
        <v>18</v>
      </c>
      <c r="K321" s="585" t="n">
        <v>2</v>
      </c>
      <c r="L321" s="585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/>
      </c>
      <c r="M321" s="699">
        <f>L321</f>
        <v/>
      </c>
      <c r="N321" s="686">
        <f>M321</f>
        <v/>
      </c>
      <c r="O321" s="249" t="inlineStr">
        <is>
          <t>新倉</t>
        </is>
      </c>
      <c r="P321" s="249" t="inlineStr">
        <is>
          <t>元大期貨</t>
        </is>
      </c>
    </row>
    <row r="322" hidden="1" outlineLevel="1">
      <c r="A322" s="696" t="n">
        <v>45784</v>
      </c>
      <c r="B322" s="234" t="inlineStr">
        <is>
          <t>TXO</t>
        </is>
      </c>
      <c r="C322" s="229" t="inlineStr">
        <is>
          <t>週W1 P 05 20500 P</t>
        </is>
      </c>
      <c r="D322" s="229" t="inlineStr">
        <is>
          <t>平倉</t>
        </is>
      </c>
      <c r="E322" s="257" t="inlineStr">
        <is>
          <t>賣</t>
        </is>
      </c>
      <c r="F322" s="229" t="inlineStr">
        <is>
          <t>-</t>
        </is>
      </c>
      <c r="G322" s="697" t="n">
        <v>1</v>
      </c>
      <c r="H322" s="698" t="n">
        <v>56</v>
      </c>
      <c r="I322" s="697" t="n">
        <v>2800</v>
      </c>
      <c r="J322" s="585" t="n">
        <v>18</v>
      </c>
      <c r="K322" s="585" t="n">
        <v>3</v>
      </c>
      <c r="L322" s="585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/>
      </c>
      <c r="M322" s="699">
        <f>L322</f>
        <v/>
      </c>
      <c r="N322" s="686">
        <f>M322</f>
        <v/>
      </c>
      <c r="O322" s="249" t="inlineStr">
        <is>
          <t>平倉</t>
        </is>
      </c>
      <c r="P322" s="249" t="inlineStr">
        <is>
          <t>元大期貨</t>
        </is>
      </c>
    </row>
    <row r="323" hidden="1" outlineLevel="1">
      <c r="A323" s="696" t="n">
        <v>45784</v>
      </c>
      <c r="B323" s="234" t="inlineStr">
        <is>
          <t>TXO</t>
        </is>
      </c>
      <c r="C323" s="229" t="inlineStr">
        <is>
          <t>週W1 P 05 20500 P</t>
        </is>
      </c>
      <c r="D323" s="229" t="inlineStr">
        <is>
          <t>新倉</t>
        </is>
      </c>
      <c r="E323" s="257" t="inlineStr">
        <is>
          <t>買</t>
        </is>
      </c>
      <c r="F323" s="229" t="inlineStr">
        <is>
          <t>-</t>
        </is>
      </c>
      <c r="G323" s="697" t="n">
        <v>1</v>
      </c>
      <c r="H323" s="698" t="n">
        <v>29</v>
      </c>
      <c r="I323" s="697" t="n">
        <v>-1450</v>
      </c>
      <c r="J323" s="585" t="n">
        <v>18</v>
      </c>
      <c r="K323" s="585" t="n">
        <v>1</v>
      </c>
      <c r="L323" s="585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/>
      </c>
      <c r="M323" s="699">
        <f>L323</f>
        <v/>
      </c>
      <c r="N323" s="686">
        <f>M323</f>
        <v/>
      </c>
      <c r="O323" s="276" t="inlineStr">
        <is>
          <t>履約</t>
        </is>
      </c>
      <c r="P323" s="249" t="inlineStr">
        <is>
          <t>元大期貨</t>
        </is>
      </c>
    </row>
    <row r="324" hidden="1" outlineLevel="1">
      <c r="A324" s="696" t="n">
        <v>45784</v>
      </c>
      <c r="B324" s="234" t="inlineStr">
        <is>
          <t>TXO</t>
        </is>
      </c>
      <c r="C324" s="229" t="inlineStr">
        <is>
          <t>週W1 P 05 20500 P</t>
        </is>
      </c>
      <c r="D324" s="229" t="inlineStr">
        <is>
          <t>平倉</t>
        </is>
      </c>
      <c r="E324" s="257" t="inlineStr">
        <is>
          <t>賣</t>
        </is>
      </c>
      <c r="F324" s="229" t="inlineStr">
        <is>
          <t>-</t>
        </is>
      </c>
      <c r="G324" s="697" t="n">
        <v>1</v>
      </c>
      <c r="H324" s="698" t="n">
        <v>32.5</v>
      </c>
      <c r="I324" s="697" t="n">
        <v>1700</v>
      </c>
      <c r="J324" s="585" t="n">
        <v>18</v>
      </c>
      <c r="K324" s="585" t="n">
        <v>20</v>
      </c>
      <c r="L324" s="585">
        <f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/>
      </c>
      <c r="M324" s="699">
        <f>L324</f>
        <v/>
      </c>
      <c r="N324" s="686">
        <f>M324</f>
        <v/>
      </c>
      <c r="O324" s="276" t="inlineStr">
        <is>
          <t>履約</t>
        </is>
      </c>
      <c r="P324" s="249" t="inlineStr">
        <is>
          <t>元大期貨</t>
        </is>
      </c>
    </row>
    <row r="325" hidden="1" outlineLevel="1">
      <c r="A325" s="696" t="n">
        <v>45786</v>
      </c>
      <c r="B325" s="234" t="inlineStr">
        <is>
          <t>TXO</t>
        </is>
      </c>
      <c r="C325" s="229" t="inlineStr">
        <is>
          <t>週W2 C 05 20900 C</t>
        </is>
      </c>
      <c r="D325" s="229" t="inlineStr">
        <is>
          <t>新倉</t>
        </is>
      </c>
      <c r="E325" s="257" t="inlineStr">
        <is>
          <t>買</t>
        </is>
      </c>
      <c r="F325" s="229" t="inlineStr">
        <is>
          <t>-</t>
        </is>
      </c>
      <c r="G325" s="697" t="n">
        <v>1</v>
      </c>
      <c r="H325" s="698" t="n">
        <v>224</v>
      </c>
      <c r="I325" s="697" t="n">
        <v>-11200</v>
      </c>
      <c r="J325" s="585" t="n">
        <v>18</v>
      </c>
      <c r="K325" s="585" t="n">
        <v>11</v>
      </c>
      <c r="L325" s="585">
        <f>IF(B325="TXO",I325-SUM(J325:K325),IF(B325="FITX",IF(D325="新倉",-SUM(J325:K325),IF(E325="賣",(H325-H1032)*G325*200-SUM(J325:K325),(H1032-H325)*G325*200-SUM(J325:K325))),IF(D325="新倉",-SUM(J325:K325),IF(E325="賣",(H325-H1032)*G325*50-SUM(J325:K325),(H1032-H325)*G325*50-SUM(J325:K325)))))</f>
        <v/>
      </c>
      <c r="M325" s="699">
        <f>L325</f>
        <v/>
      </c>
      <c r="N325" s="686">
        <f>M325</f>
        <v/>
      </c>
      <c r="O325" s="249" t="inlineStr">
        <is>
          <t>新倉</t>
        </is>
      </c>
      <c r="P325" s="249" t="inlineStr">
        <is>
          <t>元大期貨</t>
        </is>
      </c>
    </row>
    <row r="326" hidden="1" outlineLevel="1">
      <c r="A326" s="696" t="n">
        <v>45786</v>
      </c>
      <c r="B326" s="234" t="inlineStr">
        <is>
          <t>TXO</t>
        </is>
      </c>
      <c r="C326" s="229" t="inlineStr">
        <is>
          <t>週W2 C 05 20900 C</t>
        </is>
      </c>
      <c r="D326" s="229" t="inlineStr">
        <is>
          <t>平倉</t>
        </is>
      </c>
      <c r="E326" s="257" t="inlineStr">
        <is>
          <t>賣</t>
        </is>
      </c>
      <c r="F326" s="229" t="inlineStr">
        <is>
          <t>-</t>
        </is>
      </c>
      <c r="G326" s="697" t="n">
        <v>2</v>
      </c>
      <c r="H326" s="698" t="n">
        <v>232</v>
      </c>
      <c r="I326" s="697" t="n">
        <v>23200</v>
      </c>
      <c r="J326" s="585" t="n">
        <v>36</v>
      </c>
      <c r="K326" s="585" t="n">
        <v>24</v>
      </c>
      <c r="L326" s="585">
        <f>IF(B326="TXO",I326-SUM(J326:K326),IF(B326="FITX",IF(D326="新倉",-SUM(J326:K326),IF(E326="賣",(H326-H1033)*G326*200-SUM(J326:K326),(H1033-H326)*G326*200-SUM(J326:K326))),IF(D326="新倉",-SUM(J326:K326),IF(E326="賣",(H326-H1033)*G326*50-SUM(J326:K326),(H1033-H326)*G326*50-SUM(J326:K326)))))</f>
        <v/>
      </c>
      <c r="M326" s="699">
        <f>L326</f>
        <v/>
      </c>
      <c r="N326" s="686">
        <f>M326</f>
        <v/>
      </c>
      <c r="O326" s="249" t="inlineStr">
        <is>
          <t>平倉</t>
        </is>
      </c>
      <c r="P326" s="249" t="inlineStr">
        <is>
          <t>元大期貨</t>
        </is>
      </c>
    </row>
    <row r="327" hidden="1" outlineLevel="1">
      <c r="A327" s="696" t="n">
        <v>45786</v>
      </c>
      <c r="B327" s="234" t="inlineStr">
        <is>
          <t>TXO</t>
        </is>
      </c>
      <c r="C327" s="229" t="inlineStr">
        <is>
          <t>週W2 P 05 20550 P</t>
        </is>
      </c>
      <c r="D327" s="229" t="inlineStr">
        <is>
          <t>新倉</t>
        </is>
      </c>
      <c r="E327" s="257" t="inlineStr">
        <is>
          <t>買</t>
        </is>
      </c>
      <c r="F327" s="229" t="inlineStr">
        <is>
          <t>-</t>
        </is>
      </c>
      <c r="G327" s="697" t="n">
        <v>1</v>
      </c>
      <c r="H327" s="698" t="n">
        <v>276</v>
      </c>
      <c r="I327" s="697" t="n">
        <v>-13800</v>
      </c>
      <c r="J327" s="585" t="n">
        <v>18</v>
      </c>
      <c r="K327" s="585" t="n">
        <v>14</v>
      </c>
      <c r="L327" s="585">
        <f>IF(B327="TXO",I327-SUM(J327:K327),IF(B327="FITX",IF(D327="新倉",-SUM(J327:K327),IF(E327="賣",(H327-H1034)*G327*200-SUM(J327:K327),(H1034-H327)*G327*200-SUM(J327:K327))),IF(D327="新倉",-SUM(J327:K327),IF(E327="賣",(H327-H1034)*G327*50-SUM(J327:K327),(H1034-H327)*G327*50-SUM(J327:K327)))))</f>
        <v/>
      </c>
      <c r="M327" s="699">
        <f>L327</f>
        <v/>
      </c>
      <c r="N327" s="686">
        <f>M327</f>
        <v/>
      </c>
      <c r="O327" s="261" t="inlineStr">
        <is>
          <t>放棄</t>
        </is>
      </c>
      <c r="P327" s="249" t="inlineStr">
        <is>
          <t>元大期貨</t>
        </is>
      </c>
    </row>
    <row r="328" hidden="1" outlineLevel="1">
      <c r="A328" s="696" t="n">
        <v>45786</v>
      </c>
      <c r="B328" s="234" t="inlineStr">
        <is>
          <t>TXO</t>
        </is>
      </c>
      <c r="C328" s="229" t="inlineStr">
        <is>
          <t>週W2 P 05 20250 P</t>
        </is>
      </c>
      <c r="D328" s="229" t="inlineStr">
        <is>
          <t>新倉</t>
        </is>
      </c>
      <c r="E328" s="257" t="inlineStr">
        <is>
          <t>買</t>
        </is>
      </c>
      <c r="F328" s="229" t="inlineStr">
        <is>
          <t>-</t>
        </is>
      </c>
      <c r="G328" s="697" t="n">
        <v>1</v>
      </c>
      <c r="H328" s="698" t="n">
        <v>118</v>
      </c>
      <c r="I328" s="697" t="n">
        <v>-5900</v>
      </c>
      <c r="J328" s="585" t="n">
        <v>18</v>
      </c>
      <c r="K328" s="585" t="n">
        <v>6</v>
      </c>
      <c r="L328" s="585">
        <f>IF(B328="TXO",I328-SUM(J328:K328),IF(B328="FITX",IF(D328="新倉",-SUM(J328:K328),IF(E328="賣",(H328-H1035)*G328*200-SUM(J328:K328),(H1035-H328)*G328*200-SUM(J328:K328))),IF(D328="新倉",-SUM(J328:K328),IF(E328="賣",(H328-H1035)*G328*50-SUM(J328:K328),(H1035-H328)*G328*50-SUM(J328:K328)))))</f>
        <v/>
      </c>
      <c r="M328" s="699">
        <f>L328</f>
        <v/>
      </c>
      <c r="N328" s="686">
        <f>M328</f>
        <v/>
      </c>
      <c r="O328" s="261" t="inlineStr">
        <is>
          <t>放棄</t>
        </is>
      </c>
      <c r="P328" s="249" t="inlineStr">
        <is>
          <t>元大期貨</t>
        </is>
      </c>
    </row>
    <row r="329" hidden="1" outlineLevel="1">
      <c r="A329" s="696" t="n">
        <v>45786</v>
      </c>
      <c r="B329" s="234" t="inlineStr">
        <is>
          <t>TXO</t>
        </is>
      </c>
      <c r="C329" s="229" t="inlineStr">
        <is>
          <t>週W2 P 05 18200 P</t>
        </is>
      </c>
      <c r="D329" s="229" t="inlineStr">
        <is>
          <t>新倉</t>
        </is>
      </c>
      <c r="E329" s="257" t="inlineStr">
        <is>
          <t>買</t>
        </is>
      </c>
      <c r="F329" s="229" t="inlineStr">
        <is>
          <t>-</t>
        </is>
      </c>
      <c r="G329" s="697" t="n">
        <v>2</v>
      </c>
      <c r="H329" s="698" t="n">
        <v>4.3</v>
      </c>
      <c r="I329" s="697" t="n">
        <v>-430</v>
      </c>
      <c r="J329" s="585" t="n">
        <v>36</v>
      </c>
      <c r="K329" s="585" t="n">
        <v>0</v>
      </c>
      <c r="L329" s="585">
        <f>IF(B329="TXO",I329-SUM(J329:K329),IF(B329="FITX",IF(D329="新倉",-SUM(J329:K329),IF(E329="賣",(H329-H1036)*G329*200-SUM(J329:K329),(H1036-H329)*G329*200-SUM(J329:K329))),IF(D329="新倉",-SUM(J329:K329),IF(E329="賣",(H329-H1036)*G329*50-SUM(J329:K329),(H1036-H329)*G329*50-SUM(J329:K329)))))</f>
        <v/>
      </c>
      <c r="M329" s="699">
        <f>L329</f>
        <v/>
      </c>
      <c r="N329" s="686">
        <f>M329</f>
        <v/>
      </c>
      <c r="O329" s="261" t="inlineStr">
        <is>
          <t>放棄</t>
        </is>
      </c>
      <c r="P329" s="249" t="inlineStr">
        <is>
          <t>元大期貨</t>
        </is>
      </c>
    </row>
    <row r="330" hidden="1" outlineLevel="1">
      <c r="A330" s="696" t="n">
        <v>45786</v>
      </c>
      <c r="B330" s="234" t="inlineStr">
        <is>
          <t>TXO</t>
        </is>
      </c>
      <c r="C330" s="229" t="inlineStr">
        <is>
          <t>週W2 C 05 21000 C</t>
        </is>
      </c>
      <c r="D330" s="229" t="inlineStr">
        <is>
          <t>新倉</t>
        </is>
      </c>
      <c r="E330" s="257" t="inlineStr">
        <is>
          <t>買</t>
        </is>
      </c>
      <c r="F330" s="229" t="inlineStr">
        <is>
          <t>-</t>
        </is>
      </c>
      <c r="G330" s="697" t="n">
        <v>1</v>
      </c>
      <c r="H330" s="698" t="n">
        <v>134</v>
      </c>
      <c r="I330" s="697" t="n">
        <v>-6700</v>
      </c>
      <c r="J330" s="585" t="n">
        <v>18</v>
      </c>
      <c r="K330" s="585" t="n">
        <v>7</v>
      </c>
      <c r="L330" s="585">
        <f>IF(B330="TXO",I330-SUM(J330:K330),IF(B330="FITX",IF(D330="新倉",-SUM(J330:K330),IF(E330="賣",(H330-H1037)*G330*200-SUM(J330:K330),(H1037-H330)*G330*200-SUM(J330:K330))),IF(D330="新倉",-SUM(J330:K330),IF(E330="賣",(H330-H1037)*G330*50-SUM(J330:K330),(H1037-H330)*G330*50-SUM(J330:K330)))))</f>
        <v/>
      </c>
      <c r="M330" s="699">
        <f>L330</f>
        <v/>
      </c>
      <c r="N330" s="686">
        <f>M330</f>
        <v/>
      </c>
      <c r="O330" s="249" t="inlineStr">
        <is>
          <t>新倉</t>
        </is>
      </c>
      <c r="P330" s="249" t="inlineStr">
        <is>
          <t>元大期貨</t>
        </is>
      </c>
    </row>
    <row r="331" hidden="1" outlineLevel="1">
      <c r="A331" s="696" t="n">
        <v>45786</v>
      </c>
      <c r="B331" s="234" t="inlineStr">
        <is>
          <t>TXO</t>
        </is>
      </c>
      <c r="C331" s="229" t="inlineStr">
        <is>
          <t>週W2 C 05 21000 C</t>
        </is>
      </c>
      <c r="D331" s="229" t="inlineStr">
        <is>
          <t>平倉</t>
        </is>
      </c>
      <c r="E331" s="257" t="inlineStr">
        <is>
          <t>賣</t>
        </is>
      </c>
      <c r="F331" s="229" t="inlineStr">
        <is>
          <t>-</t>
        </is>
      </c>
      <c r="G331" s="697" t="n">
        <v>1</v>
      </c>
      <c r="H331" s="698" t="n">
        <v>186</v>
      </c>
      <c r="I331" s="697" t="n">
        <v>9300</v>
      </c>
      <c r="J331" s="585" t="n">
        <v>18</v>
      </c>
      <c r="K331" s="585" t="n">
        <v>9</v>
      </c>
      <c r="L331" s="585">
        <f>IF(B331="TXO",I331-SUM(J331:K331),IF(B331="FITX",IF(D331="新倉",-SUM(J331:K331),IF(E331="賣",(H331-H1038)*G331*200-SUM(J331:K331),(H1038-H331)*G331*200-SUM(J331:K331))),IF(D331="新倉",-SUM(J331:K331),IF(E331="賣",(H331-H1038)*G331*50-SUM(J331:K331),(H1038-H331)*G331*50-SUM(J331:K331)))))</f>
        <v/>
      </c>
      <c r="M331" s="699">
        <f>L331</f>
        <v/>
      </c>
      <c r="N331" s="686">
        <f>M331</f>
        <v/>
      </c>
      <c r="O331" s="249" t="inlineStr">
        <is>
          <t>平倉</t>
        </is>
      </c>
      <c r="P331" s="249" t="inlineStr">
        <is>
          <t>元大期貨</t>
        </is>
      </c>
    </row>
    <row r="332" hidden="1" outlineLevel="1">
      <c r="A332" s="696" t="n">
        <v>45786</v>
      </c>
      <c r="B332" s="234" t="inlineStr">
        <is>
          <t>TXO</t>
        </is>
      </c>
      <c r="C332" s="229" t="inlineStr">
        <is>
          <t>週W2 C 05 20900 C</t>
        </is>
      </c>
      <c r="D332" s="229" t="inlineStr">
        <is>
          <t>新倉</t>
        </is>
      </c>
      <c r="E332" s="257" t="inlineStr">
        <is>
          <t>買</t>
        </is>
      </c>
      <c r="F332" s="229" t="inlineStr">
        <is>
          <t>-</t>
        </is>
      </c>
      <c r="G332" s="697" t="n">
        <v>1</v>
      </c>
      <c r="H332" s="698" t="n">
        <v>176</v>
      </c>
      <c r="I332" s="697" t="n">
        <v>-8800</v>
      </c>
      <c r="J332" s="585" t="n">
        <v>18</v>
      </c>
      <c r="K332" s="585" t="n">
        <v>9</v>
      </c>
      <c r="L332" s="585">
        <f>IF(B332="TXO",I332-SUM(J332:K332),IF(B332="FITX",IF(D332="新倉",-SUM(J332:K332),IF(E332="賣",(H332-H1039)*G332*200-SUM(J332:K332),(H1039-H332)*G332*200-SUM(J332:K332))),IF(D332="新倉",-SUM(J332:K332),IF(E332="賣",(H332-H1039)*G332*50-SUM(J332:K332),(H1039-H332)*G332*50-SUM(J332:K332)))))</f>
        <v/>
      </c>
      <c r="M332" s="699">
        <f>L332</f>
        <v/>
      </c>
      <c r="N332" s="686">
        <f>M332</f>
        <v/>
      </c>
      <c r="O332" s="261" t="inlineStr">
        <is>
          <t>放棄</t>
        </is>
      </c>
      <c r="P332" s="249" t="inlineStr">
        <is>
          <t>元大期貨</t>
        </is>
      </c>
    </row>
    <row r="333" hidden="1" outlineLevel="1">
      <c r="A333" s="696" t="n">
        <v>45789</v>
      </c>
      <c r="B333" s="234" t="inlineStr">
        <is>
          <t>TXO</t>
        </is>
      </c>
      <c r="C333" s="229" t="inlineStr">
        <is>
          <t>週W2 C 05 21300 C</t>
        </is>
      </c>
      <c r="D333" s="229" t="inlineStr">
        <is>
          <t>新倉</t>
        </is>
      </c>
      <c r="E333" s="257" t="inlineStr">
        <is>
          <t>買</t>
        </is>
      </c>
      <c r="F333" s="229" t="inlineStr">
        <is>
          <t>-</t>
        </is>
      </c>
      <c r="G333" s="697" t="n">
        <v>1</v>
      </c>
      <c r="H333" s="698" t="n">
        <v>99</v>
      </c>
      <c r="I333" s="697" t="n">
        <v>-4950</v>
      </c>
      <c r="J333" s="585" t="n">
        <v>18</v>
      </c>
      <c r="K333" s="585" t="n">
        <v>5</v>
      </c>
      <c r="L333" s="585">
        <f>IF(B333="TXO",I333-SUM(J333:K333),IF(B333="FITX",IF(D333="新倉",-SUM(J333:K333),IF(E333="賣",(H333-H1040)*G333*200-SUM(J333:K333),(H1040-H333)*G333*200-SUM(J333:K333))),IF(D333="新倉",-SUM(J333:K333),IF(E333="賣",(H333-H1040)*G333*50-SUM(J333:K333),(H1040-H333)*G333*50-SUM(J333:K333)))))</f>
        <v/>
      </c>
      <c r="M333" s="699">
        <f>L333</f>
        <v/>
      </c>
      <c r="N333" s="686">
        <f>M333</f>
        <v/>
      </c>
      <c r="O333" s="249" t="inlineStr">
        <is>
          <t>新倉</t>
        </is>
      </c>
      <c r="P333" s="249" t="inlineStr">
        <is>
          <t>元大期貨</t>
        </is>
      </c>
    </row>
    <row r="334" hidden="1" outlineLevel="1">
      <c r="A334" s="696" t="n">
        <v>45790</v>
      </c>
      <c r="B334" s="234" t="inlineStr">
        <is>
          <t>TXO</t>
        </is>
      </c>
      <c r="C334" s="229" t="inlineStr">
        <is>
          <t>週W2 C 05 21300 C</t>
        </is>
      </c>
      <c r="D334" s="229" t="inlineStr">
        <is>
          <t>平倉</t>
        </is>
      </c>
      <c r="E334" s="257" t="inlineStr">
        <is>
          <t>賣</t>
        </is>
      </c>
      <c r="F334" s="229" t="inlineStr">
        <is>
          <t>-</t>
        </is>
      </c>
      <c r="G334" s="697" t="n">
        <v>1</v>
      </c>
      <c r="H334" s="698" t="n">
        <v>213</v>
      </c>
      <c r="I334" s="697" t="n">
        <v>10650</v>
      </c>
      <c r="J334" s="585" t="n">
        <v>18</v>
      </c>
      <c r="K334" s="585" t="n">
        <v>11</v>
      </c>
      <c r="L334" s="585">
        <f>IF(B334="TXO",I334-SUM(J334:K334),IF(B334="FITX",IF(D334="新倉",-SUM(J334:K334),IF(E334="賣",(H334-H1041)*G334*200-SUM(J334:K334),(H1041-H334)*G334*200-SUM(J334:K334))),IF(D334="新倉",-SUM(J334:K334),IF(E334="賣",(H334-H1041)*G334*50-SUM(J334:K334),(H1041-H334)*G334*50-SUM(J334:K334)))))</f>
        <v/>
      </c>
      <c r="M334" s="699">
        <f>L334</f>
        <v/>
      </c>
      <c r="N334" s="686">
        <f>M334</f>
        <v/>
      </c>
      <c r="O334" s="249" t="inlineStr">
        <is>
          <t>平倉</t>
        </is>
      </c>
      <c r="P334" s="249" t="inlineStr">
        <is>
          <t>元大期貨</t>
        </is>
      </c>
    </row>
    <row r="335" hidden="1" outlineLevel="1">
      <c r="A335" s="696" t="n">
        <v>45789</v>
      </c>
      <c r="B335" s="234" t="inlineStr">
        <is>
          <t>TXO</t>
        </is>
      </c>
      <c r="C335" s="229" t="inlineStr">
        <is>
          <t>週W2 C 05 21150 C</t>
        </is>
      </c>
      <c r="D335" s="229" t="inlineStr">
        <is>
          <t>新倉</t>
        </is>
      </c>
      <c r="E335" s="257" t="inlineStr">
        <is>
          <t>買</t>
        </is>
      </c>
      <c r="F335" s="229" t="inlineStr">
        <is>
          <t>-</t>
        </is>
      </c>
      <c r="G335" s="697" t="n">
        <v>1</v>
      </c>
      <c r="H335" s="698" t="n">
        <v>162</v>
      </c>
      <c r="I335" s="697" t="n">
        <v>-8100</v>
      </c>
      <c r="J335" s="585" t="n">
        <v>18</v>
      </c>
      <c r="K335" s="585" t="n">
        <v>8</v>
      </c>
      <c r="L335" s="585">
        <f>IF(B335="TXO",I335-SUM(J335:K335),IF(B335="FITX",IF(D335="新倉",-SUM(J335:K335),IF(E335="賣",(H335-H1042)*G335*200-SUM(J335:K335),(H1042-H335)*G335*200-SUM(J335:K335))),IF(D335="新倉",-SUM(J335:K335),IF(E335="賣",(H335-H1042)*G335*50-SUM(J335:K335),(H1042-H335)*G335*50-SUM(J335:K335)))))</f>
        <v/>
      </c>
      <c r="M335" s="699">
        <f>L335</f>
        <v/>
      </c>
      <c r="N335" s="686">
        <f>M335</f>
        <v/>
      </c>
      <c r="O335" s="249" t="inlineStr">
        <is>
          <t>新倉</t>
        </is>
      </c>
      <c r="P335" s="249" t="inlineStr">
        <is>
          <t>元大期貨</t>
        </is>
      </c>
    </row>
    <row r="336" hidden="1" outlineLevel="1">
      <c r="A336" s="696" t="n">
        <v>45790</v>
      </c>
      <c r="B336" s="234" t="inlineStr">
        <is>
          <t>TXO</t>
        </is>
      </c>
      <c r="C336" s="229" t="inlineStr">
        <is>
          <t>週W2 C 05 21150 C</t>
        </is>
      </c>
      <c r="D336" s="229" t="inlineStr">
        <is>
          <t>平倉</t>
        </is>
      </c>
      <c r="E336" s="257" t="inlineStr">
        <is>
          <t>賣</t>
        </is>
      </c>
      <c r="F336" s="229" t="inlineStr">
        <is>
          <t>-</t>
        </is>
      </c>
      <c r="G336" s="697" t="n">
        <v>1</v>
      </c>
      <c r="H336" s="698" t="n">
        <v>322</v>
      </c>
      <c r="I336" s="697" t="n">
        <v>16100</v>
      </c>
      <c r="J336" s="585" t="n">
        <v>18</v>
      </c>
      <c r="K336" s="585" t="n">
        <v>16</v>
      </c>
      <c r="L336" s="585">
        <f>IF(B336="TXO",I336-SUM(J336:K336),IF(B336="FITX",IF(D336="新倉",-SUM(J336:K336),IF(E336="賣",(H336-H1043)*G336*200-SUM(J336:K336),(H1043-H336)*G336*200-SUM(J336:K336))),IF(D336="新倉",-SUM(J336:K336),IF(E336="賣",(H336-H1043)*G336*50-SUM(J336:K336),(H1043-H336)*G336*50-SUM(J336:K336)))))</f>
        <v/>
      </c>
      <c r="M336" s="699">
        <f>L336</f>
        <v/>
      </c>
      <c r="N336" s="686">
        <f>M336</f>
        <v/>
      </c>
      <c r="O336" s="249" t="inlineStr">
        <is>
          <t>平倉</t>
        </is>
      </c>
      <c r="P336" s="249" t="inlineStr">
        <is>
          <t>元大期貨</t>
        </is>
      </c>
    </row>
    <row r="337" hidden="1" outlineLevel="1">
      <c r="A337" s="696" t="n">
        <v>45790</v>
      </c>
      <c r="B337" s="234" t="inlineStr">
        <is>
          <t>TXO</t>
        </is>
      </c>
      <c r="C337" s="229" t="inlineStr">
        <is>
          <t>週W2 C 05 21700 C</t>
        </is>
      </c>
      <c r="D337" s="229" t="inlineStr">
        <is>
          <t>新倉</t>
        </is>
      </c>
      <c r="E337" s="257" t="inlineStr">
        <is>
          <t>買</t>
        </is>
      </c>
      <c r="F337" s="229" t="inlineStr">
        <is>
          <t>-</t>
        </is>
      </c>
      <c r="G337" s="697" t="n">
        <v>1</v>
      </c>
      <c r="H337" s="698" t="n">
        <v>43.5</v>
      </c>
      <c r="I337" s="697" t="n">
        <v>-2175</v>
      </c>
      <c r="J337" s="585" t="n">
        <v>18</v>
      </c>
      <c r="K337" s="585" t="n">
        <v>2</v>
      </c>
      <c r="L337" s="585">
        <f>IF(B337="TXO",I337-SUM(J337:K337),IF(B337="FITX",IF(D337="新倉",-SUM(J337:K337),IF(E337="賣",(H337-H1044)*G337*200-SUM(J337:K337),(H1044-H337)*G337*200-SUM(J337:K337))),IF(D337="新倉",-SUM(J337:K337),IF(E337="賣",(H337-H1044)*G337*50-SUM(J337:K337),(H1044-H337)*G337*50-SUM(J337:K337)))))</f>
        <v/>
      </c>
      <c r="M337" s="699">
        <f>L337</f>
        <v/>
      </c>
      <c r="N337" s="686">
        <f>M337</f>
        <v/>
      </c>
      <c r="O337" s="261" t="inlineStr">
        <is>
          <t>放棄</t>
        </is>
      </c>
      <c r="P337" s="249" t="inlineStr">
        <is>
          <t>元大期貨</t>
        </is>
      </c>
    </row>
    <row r="338" hidden="1" outlineLevel="1">
      <c r="A338" s="696" t="n">
        <v>45790</v>
      </c>
      <c r="B338" s="234" t="inlineStr">
        <is>
          <t>TXO</t>
        </is>
      </c>
      <c r="C338" s="229" t="inlineStr">
        <is>
          <t>週W2 C 05 21800 C</t>
        </is>
      </c>
      <c r="D338" s="229" t="inlineStr">
        <is>
          <t>新倉</t>
        </is>
      </c>
      <c r="E338" s="257" t="inlineStr">
        <is>
          <t>買</t>
        </is>
      </c>
      <c r="F338" s="229" t="inlineStr">
        <is>
          <t>-</t>
        </is>
      </c>
      <c r="G338" s="697" t="n">
        <v>1</v>
      </c>
      <c r="H338" s="698" t="n">
        <v>27.5</v>
      </c>
      <c r="I338" s="697" t="n">
        <v>-1375</v>
      </c>
      <c r="J338" s="585" t="n">
        <v>18</v>
      </c>
      <c r="K338" s="585" t="n">
        <v>1</v>
      </c>
      <c r="L338" s="585">
        <f>IF(B338="TXO",I338-SUM(J338:K338),IF(B338="FITX",IF(D338="新倉",-SUM(J338:K338),IF(E338="賣",(H338-H1045)*G338*200-SUM(J338:K338),(H1045-H338)*G338*200-SUM(J338:K338))),IF(D338="新倉",-SUM(J338:K338),IF(E338="賣",(H338-H1045)*G338*50-SUM(J338:K338),(H1045-H338)*G338*50-SUM(J338:K338)))))</f>
        <v/>
      </c>
      <c r="M338" s="699">
        <f>L338</f>
        <v/>
      </c>
      <c r="N338" s="686">
        <f>M338</f>
        <v/>
      </c>
      <c r="O338" s="261" t="inlineStr">
        <is>
          <t>放棄</t>
        </is>
      </c>
      <c r="P338" s="249" t="inlineStr">
        <is>
          <t>元大期貨</t>
        </is>
      </c>
    </row>
    <row r="339" hidden="1" outlineLevel="1">
      <c r="A339" s="696" t="n">
        <v>45790</v>
      </c>
      <c r="B339" s="234" t="inlineStr">
        <is>
          <t>TXO</t>
        </is>
      </c>
      <c r="C339" s="229" t="inlineStr">
        <is>
          <t>週W2 C 05 21700 C</t>
        </is>
      </c>
      <c r="D339" s="229" t="inlineStr">
        <is>
          <t>新倉</t>
        </is>
      </c>
      <c r="E339" s="257" t="inlineStr">
        <is>
          <t>買</t>
        </is>
      </c>
      <c r="F339" s="229" t="inlineStr">
        <is>
          <t>-</t>
        </is>
      </c>
      <c r="G339" s="697" t="n">
        <v>1</v>
      </c>
      <c r="H339" s="698" t="n">
        <v>40</v>
      </c>
      <c r="I339" s="697" t="n">
        <v>-2000</v>
      </c>
      <c r="J339" s="585" t="n">
        <v>18</v>
      </c>
      <c r="K339" s="585" t="n">
        <v>2</v>
      </c>
      <c r="L339" s="585">
        <f>IF(B339="TXO",I339-SUM(J339:K339),IF(B339="FITX",IF(D339="新倉",-SUM(J339:K339),IF(E339="賣",(H339-H1046)*G339*200-SUM(J339:K339),(H1046-H339)*G339*200-SUM(J339:K339))),IF(D339="新倉",-SUM(J339:K339),IF(E339="賣",(H339-H1046)*G339*50-SUM(J339:K339),(H1046-H339)*G339*50-SUM(J339:K339)))))</f>
        <v/>
      </c>
      <c r="M339" s="699">
        <f>L339</f>
        <v/>
      </c>
      <c r="N339" s="686">
        <f>M339</f>
        <v/>
      </c>
      <c r="O339" s="249" t="inlineStr">
        <is>
          <t>新倉</t>
        </is>
      </c>
      <c r="P339" s="249" t="inlineStr">
        <is>
          <t>元大期貨</t>
        </is>
      </c>
    </row>
    <row r="340" hidden="1" outlineLevel="1">
      <c r="A340" s="696" t="n">
        <v>45791</v>
      </c>
      <c r="B340" s="234" t="inlineStr">
        <is>
          <t>TXO</t>
        </is>
      </c>
      <c r="C340" s="229" t="inlineStr">
        <is>
          <t>週W2 C 05 21700 C</t>
        </is>
      </c>
      <c r="D340" s="229" t="inlineStr">
        <is>
          <t>平倉</t>
        </is>
      </c>
      <c r="E340" s="257" t="inlineStr">
        <is>
          <t>賣</t>
        </is>
      </c>
      <c r="F340" s="229" t="inlineStr">
        <is>
          <t>-</t>
        </is>
      </c>
      <c r="G340" s="697" t="n">
        <v>2</v>
      </c>
      <c r="H340" s="698" t="n">
        <v>63</v>
      </c>
      <c r="I340" s="697" t="n">
        <v>6300</v>
      </c>
      <c r="J340" s="585" t="n">
        <v>36</v>
      </c>
      <c r="K340" s="585" t="n">
        <v>6</v>
      </c>
      <c r="L340" s="585">
        <f>IF(B340="TXO",I340-SUM(J340:K340),IF(B340="FITX",IF(D340="新倉",-SUM(J340:K340),IF(E340="賣",(H340-H1047)*G340*200-SUM(J340:K340),(H1047-H340)*G340*200-SUM(J340:K340))),IF(D340="新倉",-SUM(J340:K340),IF(E340="賣",(H340-H1047)*G340*50-SUM(J340:K340),(H1047-H340)*G340*50-SUM(J340:K340)))))</f>
        <v/>
      </c>
      <c r="M340" s="699">
        <f>L340</f>
        <v/>
      </c>
      <c r="N340" s="686">
        <f>M340</f>
        <v/>
      </c>
      <c r="O340" s="249" t="inlineStr">
        <is>
          <t>平倉</t>
        </is>
      </c>
      <c r="P340" s="249" t="inlineStr">
        <is>
          <t>元大期貨</t>
        </is>
      </c>
    </row>
    <row r="341" hidden="1" outlineLevel="1">
      <c r="A341" s="696" t="n">
        <v>45791</v>
      </c>
      <c r="B341" s="234" t="inlineStr">
        <is>
          <t>TXO</t>
        </is>
      </c>
      <c r="C341" s="229" t="inlineStr">
        <is>
          <t>週W2 C 05 21700 C</t>
        </is>
      </c>
      <c r="D341" s="229" t="inlineStr">
        <is>
          <t>新倉</t>
        </is>
      </c>
      <c r="E341" s="257" t="inlineStr">
        <is>
          <t>買</t>
        </is>
      </c>
      <c r="F341" s="229" t="inlineStr">
        <is>
          <t>-</t>
        </is>
      </c>
      <c r="G341" s="697" t="n">
        <v>1</v>
      </c>
      <c r="H341" s="698" t="n">
        <v>22</v>
      </c>
      <c r="I341" s="697" t="n">
        <v>-1100</v>
      </c>
      <c r="J341" s="585" t="n">
        <v>18</v>
      </c>
      <c r="K341" s="585" t="n">
        <v>1</v>
      </c>
      <c r="L341" s="585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/>
      </c>
      <c r="M341" s="699">
        <f>L341</f>
        <v/>
      </c>
      <c r="N341" s="686">
        <f>M341</f>
        <v/>
      </c>
      <c r="O341" s="249" t="inlineStr">
        <is>
          <t>新倉</t>
        </is>
      </c>
      <c r="P341" s="249" t="inlineStr">
        <is>
          <t>元大期貨</t>
        </is>
      </c>
    </row>
    <row r="342" hidden="1" outlineLevel="1">
      <c r="A342" s="696" t="n">
        <v>45791</v>
      </c>
      <c r="B342" s="234" t="inlineStr">
        <is>
          <t>TXO</t>
        </is>
      </c>
      <c r="C342" s="229" t="inlineStr">
        <is>
          <t>週W2 C 05 21700 C</t>
        </is>
      </c>
      <c r="D342" s="229" t="inlineStr">
        <is>
          <t>平倉</t>
        </is>
      </c>
      <c r="E342" s="257" t="inlineStr">
        <is>
          <t>賣</t>
        </is>
      </c>
      <c r="F342" s="229" t="inlineStr">
        <is>
          <t>-</t>
        </is>
      </c>
      <c r="G342" s="697" t="n">
        <v>1</v>
      </c>
      <c r="H342" s="698" t="n">
        <v>42</v>
      </c>
      <c r="I342" s="697" t="n">
        <v>2100</v>
      </c>
      <c r="J342" s="585" t="n">
        <v>18</v>
      </c>
      <c r="K342" s="585" t="n">
        <v>2</v>
      </c>
      <c r="L342" s="585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/>
      </c>
      <c r="M342" s="699">
        <f>L342</f>
        <v/>
      </c>
      <c r="N342" s="686">
        <f>M342</f>
        <v/>
      </c>
      <c r="O342" s="249" t="inlineStr">
        <is>
          <t>平倉</t>
        </is>
      </c>
      <c r="P342" s="249" t="inlineStr">
        <is>
          <t>元大期貨</t>
        </is>
      </c>
    </row>
    <row r="343" hidden="1" outlineLevel="1">
      <c r="A343" s="696" t="n">
        <v>45791</v>
      </c>
      <c r="B343" s="234" t="inlineStr">
        <is>
          <t>TXO</t>
        </is>
      </c>
      <c r="C343" s="229" t="inlineStr">
        <is>
          <t>週W2 C 05 21650 C</t>
        </is>
      </c>
      <c r="D343" s="229" t="inlineStr">
        <is>
          <t>新倉</t>
        </is>
      </c>
      <c r="E343" s="257" t="inlineStr">
        <is>
          <t>買</t>
        </is>
      </c>
      <c r="F343" s="229" t="inlineStr">
        <is>
          <t>-</t>
        </is>
      </c>
      <c r="G343" s="697" t="n">
        <v>1</v>
      </c>
      <c r="H343" s="698" t="n">
        <v>47</v>
      </c>
      <c r="I343" s="697" t="n">
        <v>-2350</v>
      </c>
      <c r="J343" s="585" t="n">
        <v>18</v>
      </c>
      <c r="K343" s="585" t="n">
        <v>2</v>
      </c>
      <c r="L343" s="585">
        <f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/>
      </c>
      <c r="M343" s="699">
        <f>L343</f>
        <v/>
      </c>
      <c r="N343" s="686">
        <f>M343</f>
        <v/>
      </c>
      <c r="O343" s="249" t="inlineStr">
        <is>
          <t>新倉</t>
        </is>
      </c>
      <c r="P343" s="249" t="inlineStr">
        <is>
          <t>元大期貨</t>
        </is>
      </c>
    </row>
    <row r="344" hidden="1" outlineLevel="1">
      <c r="A344" s="696" t="n">
        <v>45791</v>
      </c>
      <c r="B344" s="234" t="inlineStr">
        <is>
          <t>TXO</t>
        </is>
      </c>
      <c r="C344" s="229" t="inlineStr">
        <is>
          <t>週W2 C 05 21650 C</t>
        </is>
      </c>
      <c r="D344" s="229" t="inlineStr">
        <is>
          <t>平倉</t>
        </is>
      </c>
      <c r="E344" s="257" t="inlineStr">
        <is>
          <t>賣</t>
        </is>
      </c>
      <c r="F344" s="229" t="inlineStr">
        <is>
          <t>-</t>
        </is>
      </c>
      <c r="G344" s="697" t="n">
        <v>1</v>
      </c>
      <c r="H344" s="698" t="n">
        <v>92</v>
      </c>
      <c r="I344" s="697" t="n">
        <v>4600</v>
      </c>
      <c r="J344" s="585" t="n">
        <v>18</v>
      </c>
      <c r="K344" s="585" t="n">
        <v>5</v>
      </c>
      <c r="L344" s="585">
        <f>IF(B344="TXO",I344-SUM(J344:K344),IF(B344="FITX",IF(D344="新倉",-SUM(J344:K344),IF(E344="賣",(H344-H1051)*G344*200-SUM(J344:K344),(H1051-H344)*G344*200-SUM(J344:K344))),IF(D344="新倉",-SUM(J344:K344),IF(E344="賣",(H344-H1051)*G344*50-SUM(J344:K344),(H1051-H344)*G344*50-SUM(J344:K344)))))</f>
        <v/>
      </c>
      <c r="M344" s="699">
        <f>L344</f>
        <v/>
      </c>
      <c r="N344" s="686">
        <f>M344</f>
        <v/>
      </c>
      <c r="O344" s="249" t="inlineStr">
        <is>
          <t>平倉</t>
        </is>
      </c>
      <c r="P344" s="249" t="inlineStr">
        <is>
          <t>元大期貨</t>
        </is>
      </c>
    </row>
    <row r="345" hidden="1" outlineLevel="1">
      <c r="A345" s="696" t="n">
        <v>45793</v>
      </c>
      <c r="B345" s="234" t="inlineStr">
        <is>
          <t>TXO</t>
        </is>
      </c>
      <c r="C345" s="229" t="inlineStr">
        <is>
          <t>台指 P 05 21650 P</t>
        </is>
      </c>
      <c r="D345" s="229" t="inlineStr">
        <is>
          <t>新倉</t>
        </is>
      </c>
      <c r="E345" s="257" t="inlineStr">
        <is>
          <t>買</t>
        </is>
      </c>
      <c r="F345" s="229" t="inlineStr">
        <is>
          <t>-</t>
        </is>
      </c>
      <c r="G345" s="697" t="n">
        <v>1</v>
      </c>
      <c r="H345" s="698" t="n">
        <v>182</v>
      </c>
      <c r="I345" s="697" t="n">
        <v>-9100</v>
      </c>
      <c r="J345" s="585" t="n">
        <v>18</v>
      </c>
      <c r="K345" s="585" t="n">
        <v>9</v>
      </c>
      <c r="L345" s="585">
        <f>IF(B345="TXO",I345-SUM(J345:K345),IF(B345="FITX",IF(D345="新倉",-SUM(J345:K345),IF(E345="賣",(H345-H1052)*G345*200-SUM(J345:K345),(H1052-H345)*G345*200-SUM(J345:K345))),IF(D345="新倉",-SUM(J345:K345),IF(E345="賣",(H345-H1052)*G345*50-SUM(J345:K345),(H1052-H345)*G345*50-SUM(J345:K345)))))</f>
        <v/>
      </c>
      <c r="M345" s="699">
        <f>L345</f>
        <v/>
      </c>
      <c r="N345" s="686">
        <f>M345</f>
        <v/>
      </c>
      <c r="O345" s="249" t="inlineStr">
        <is>
          <t>新倉</t>
        </is>
      </c>
      <c r="P345" s="249" t="inlineStr">
        <is>
          <t>元大期貨</t>
        </is>
      </c>
    </row>
    <row r="346" hidden="1" outlineLevel="1">
      <c r="A346" s="696" t="n">
        <v>45793</v>
      </c>
      <c r="B346" s="234" t="inlineStr">
        <is>
          <t>TXO</t>
        </is>
      </c>
      <c r="C346" s="229" t="inlineStr">
        <is>
          <t>台指 P 05 21650 P</t>
        </is>
      </c>
      <c r="D346" s="229" t="inlineStr">
        <is>
          <t>平倉</t>
        </is>
      </c>
      <c r="E346" s="257" t="inlineStr">
        <is>
          <t>賣</t>
        </is>
      </c>
      <c r="F346" s="229" t="inlineStr">
        <is>
          <t>-</t>
        </is>
      </c>
      <c r="G346" s="697" t="n">
        <v>1</v>
      </c>
      <c r="H346" s="698" t="n">
        <v>175</v>
      </c>
      <c r="I346" s="697" t="n">
        <v>8750</v>
      </c>
      <c r="J346" s="585" t="n">
        <v>18</v>
      </c>
      <c r="K346" s="585" t="n">
        <v>9</v>
      </c>
      <c r="L346" s="585">
        <f>IF(B346="TXO",I346-SUM(J346:K346),IF(B346="FITX",IF(D346="新倉",-SUM(J346:K346),IF(E346="賣",(H346-H1053)*G346*200-SUM(J346:K346),(H1053-H346)*G346*200-SUM(J346:K346))),IF(D346="新倉",-SUM(J346:K346),IF(E346="賣",(H346-H1053)*G346*50-SUM(J346:K346),(H1053-H346)*G346*50-SUM(J346:K346)))))</f>
        <v/>
      </c>
      <c r="M346" s="699">
        <f>L346</f>
        <v/>
      </c>
      <c r="N346" s="686">
        <f>M346</f>
        <v/>
      </c>
      <c r="O346" s="249" t="inlineStr">
        <is>
          <t>平倉</t>
        </is>
      </c>
      <c r="P346" s="249" t="inlineStr">
        <is>
          <t>元大期貨</t>
        </is>
      </c>
    </row>
    <row r="347" hidden="1" outlineLevel="1">
      <c r="A347" s="696" t="n">
        <v>45793</v>
      </c>
      <c r="B347" s="234" t="inlineStr">
        <is>
          <t>TXO</t>
        </is>
      </c>
      <c r="C347" s="229" t="inlineStr">
        <is>
          <t>台指 C 05 21800 C</t>
        </is>
      </c>
      <c r="D347" s="229" t="inlineStr">
        <is>
          <t>新倉</t>
        </is>
      </c>
      <c r="E347" s="257" t="inlineStr">
        <is>
          <t>買</t>
        </is>
      </c>
      <c r="F347" s="229" t="inlineStr">
        <is>
          <t>-</t>
        </is>
      </c>
      <c r="G347" s="697" t="n">
        <v>1</v>
      </c>
      <c r="H347" s="698" t="n">
        <v>178</v>
      </c>
      <c r="I347" s="697" t="n">
        <v>-8900</v>
      </c>
      <c r="J347" s="585" t="n">
        <v>18</v>
      </c>
      <c r="K347" s="585" t="n">
        <v>9</v>
      </c>
      <c r="L347" s="585">
        <f>IF(B347="TXO",I347-SUM(J347:K347),IF(B347="FITX",IF(D347="新倉",-SUM(J347:K347),IF(E347="賣",(H347-H1054)*G347*200-SUM(J347:K347),(H1054-H347)*G347*200-SUM(J347:K347))),IF(D347="新倉",-SUM(J347:K347),IF(E347="賣",(H347-H1054)*G347*50-SUM(J347:K347),(H1054-H347)*G347*50-SUM(J347:K347)))))</f>
        <v/>
      </c>
      <c r="M347" s="699">
        <f>L347</f>
        <v/>
      </c>
      <c r="N347" s="686">
        <f>M347</f>
        <v/>
      </c>
      <c r="O347" s="249" t="inlineStr">
        <is>
          <t>新倉</t>
        </is>
      </c>
      <c r="P347" s="249" t="inlineStr">
        <is>
          <t>元大期貨</t>
        </is>
      </c>
    </row>
    <row r="348" hidden="1" outlineLevel="1">
      <c r="A348" s="696" t="n">
        <v>45793</v>
      </c>
      <c r="B348" s="234" t="inlineStr">
        <is>
          <t>TXO</t>
        </is>
      </c>
      <c r="C348" s="229" t="inlineStr">
        <is>
          <t>台指 C 05 21800 C</t>
        </is>
      </c>
      <c r="D348" s="229" t="inlineStr">
        <is>
          <t>平倉</t>
        </is>
      </c>
      <c r="E348" s="257" t="inlineStr">
        <is>
          <t>賣</t>
        </is>
      </c>
      <c r="F348" s="229" t="inlineStr">
        <is>
          <t>-</t>
        </is>
      </c>
      <c r="G348" s="697" t="n">
        <v>1</v>
      </c>
      <c r="H348" s="698" t="n">
        <v>171</v>
      </c>
      <c r="I348" s="697" t="n">
        <v>8550</v>
      </c>
      <c r="J348" s="585" t="n">
        <v>18</v>
      </c>
      <c r="K348" s="585" t="n">
        <v>9</v>
      </c>
      <c r="L348" s="585">
        <f>IF(B348="TXO",I348-SUM(J348:K348),IF(B348="FITX",IF(D348="新倉",-SUM(J348:K348),IF(E348="賣",(H348-H1055)*G348*200-SUM(J348:K348),(H1055-H348)*G348*200-SUM(J348:K348))),IF(D348="新倉",-SUM(J348:K348),IF(E348="賣",(H348-H1055)*G348*50-SUM(J348:K348),(H1055-H348)*G348*50-SUM(J348:K348)))))</f>
        <v/>
      </c>
      <c r="M348" s="699">
        <f>L348</f>
        <v/>
      </c>
      <c r="N348" s="686">
        <f>M348</f>
        <v/>
      </c>
      <c r="O348" s="249" t="inlineStr">
        <is>
          <t>平倉</t>
        </is>
      </c>
      <c r="P348" s="249" t="inlineStr">
        <is>
          <t>元大期貨</t>
        </is>
      </c>
    </row>
    <row r="349" hidden="1" outlineLevel="1">
      <c r="A349" s="696" t="n">
        <v>45796</v>
      </c>
      <c r="B349" s="234" t="inlineStr">
        <is>
          <t>TXO</t>
        </is>
      </c>
      <c r="C349" s="229" t="inlineStr">
        <is>
          <t>台指 P 05 21400 P</t>
        </is>
      </c>
      <c r="D349" s="229" t="inlineStr">
        <is>
          <t>新倉</t>
        </is>
      </c>
      <c r="E349" s="257" t="inlineStr">
        <is>
          <t>買</t>
        </is>
      </c>
      <c r="F349" s="229" t="inlineStr">
        <is>
          <t>-</t>
        </is>
      </c>
      <c r="G349" s="697" t="n">
        <v>1</v>
      </c>
      <c r="H349" s="698" t="n">
        <v>49</v>
      </c>
      <c r="I349" s="697" t="n">
        <v>-2450</v>
      </c>
      <c r="J349" s="585" t="n">
        <v>18</v>
      </c>
      <c r="K349" s="585" t="n">
        <v>2</v>
      </c>
      <c r="L349" s="585">
        <f>IF(B349="TXO",I349-SUM(J349:K349),IF(B349="FITX",IF(D349="新倉",-SUM(J349:K349),IF(E349="賣",(H349-H1056)*G349*200-SUM(J349:K349),(H1056-H349)*G349*200-SUM(J349:K349))),IF(D349="新倉",-SUM(J349:K349),IF(E349="賣",(H349-H1056)*G349*50-SUM(J349:K349),(H1056-H349)*G349*50-SUM(J349:K349)))))</f>
        <v/>
      </c>
      <c r="M349" s="699">
        <f>L349</f>
        <v/>
      </c>
      <c r="N349" s="686">
        <f>M349</f>
        <v/>
      </c>
      <c r="O349" s="249" t="inlineStr">
        <is>
          <t>新倉</t>
        </is>
      </c>
      <c r="P349" s="249" t="inlineStr">
        <is>
          <t>元大期貨</t>
        </is>
      </c>
    </row>
    <row r="350" hidden="1" outlineLevel="1">
      <c r="A350" s="696" t="n">
        <v>45796</v>
      </c>
      <c r="B350" s="234" t="inlineStr">
        <is>
          <t>TXO</t>
        </is>
      </c>
      <c r="C350" s="229" t="inlineStr">
        <is>
          <t>台指 P 05 21400 P</t>
        </is>
      </c>
      <c r="D350" s="229" t="inlineStr">
        <is>
          <t>平倉</t>
        </is>
      </c>
      <c r="E350" s="257" t="inlineStr">
        <is>
          <t>賣</t>
        </is>
      </c>
      <c r="F350" s="229" t="inlineStr">
        <is>
          <t>-</t>
        </is>
      </c>
      <c r="G350" s="697" t="n">
        <v>1</v>
      </c>
      <c r="H350" s="698" t="n">
        <v>55</v>
      </c>
      <c r="I350" s="697" t="n">
        <v>2750</v>
      </c>
      <c r="J350" s="585" t="n">
        <v>18</v>
      </c>
      <c r="K350" s="585" t="n">
        <v>3</v>
      </c>
      <c r="L350" s="585">
        <f>IF(B350="TXO",I350-SUM(J350:K350),IF(B350="FITX",IF(D350="新倉",-SUM(J350:K350),IF(E350="賣",(H350-H1057)*G350*200-SUM(J350:K350),(H1057-H350)*G350*200-SUM(J350:K350))),IF(D350="新倉",-SUM(J350:K350),IF(E350="賣",(H350-H1057)*G350*50-SUM(J350:K350),(H1057-H350)*G350*50-SUM(J350:K350)))))</f>
        <v/>
      </c>
      <c r="M350" s="699">
        <f>L350</f>
        <v/>
      </c>
      <c r="N350" s="686">
        <f>M350</f>
        <v/>
      </c>
      <c r="O350" s="249" t="inlineStr">
        <is>
          <t>平倉</t>
        </is>
      </c>
      <c r="P350" s="249" t="inlineStr">
        <is>
          <t>元大期貨</t>
        </is>
      </c>
    </row>
    <row r="351" hidden="1" outlineLevel="1">
      <c r="A351" s="696" t="n">
        <v>45796</v>
      </c>
      <c r="B351" s="234" t="inlineStr">
        <is>
          <t>TXO</t>
        </is>
      </c>
      <c r="C351" s="229" t="inlineStr">
        <is>
          <t>台指 P 05 21000 P</t>
        </is>
      </c>
      <c r="D351" s="229" t="inlineStr">
        <is>
          <t>新倉</t>
        </is>
      </c>
      <c r="E351" s="257" t="inlineStr">
        <is>
          <t>買</t>
        </is>
      </c>
      <c r="F351" s="229" t="inlineStr">
        <is>
          <t>-</t>
        </is>
      </c>
      <c r="G351" s="697" t="n">
        <v>1</v>
      </c>
      <c r="H351" s="698" t="n">
        <v>30</v>
      </c>
      <c r="I351" s="697" t="n">
        <v>-1500</v>
      </c>
      <c r="J351" s="585" t="n">
        <v>18</v>
      </c>
      <c r="K351" s="585" t="n">
        <v>2</v>
      </c>
      <c r="L351" s="585">
        <f>IF(B351="TXO",I351-SUM(J351:K351),IF(B351="FITX",IF(D351="新倉",-SUM(J351:K351),IF(E351="賣",(H351-H1058)*G351*200-SUM(J351:K351),(H1058-H351)*G351*200-SUM(J351:K351))),IF(D351="新倉",-SUM(J351:K351),IF(E351="賣",(H351-H1058)*G351*50-SUM(J351:K351),(H1058-H351)*G351*50-SUM(J351:K351)))))</f>
        <v/>
      </c>
      <c r="M351" s="699">
        <f>L351</f>
        <v/>
      </c>
      <c r="N351" s="686">
        <f>M351</f>
        <v/>
      </c>
      <c r="O351" s="261" t="inlineStr">
        <is>
          <t>放棄</t>
        </is>
      </c>
      <c r="P351" s="249" t="inlineStr">
        <is>
          <t>元大期貨</t>
        </is>
      </c>
    </row>
    <row r="352" hidden="1" outlineLevel="1">
      <c r="A352" s="696" t="n">
        <v>45796</v>
      </c>
      <c r="B352" s="234" t="inlineStr">
        <is>
          <t>TXO</t>
        </is>
      </c>
      <c r="C352" s="229" t="inlineStr">
        <is>
          <t>台指 P 05 21250 P</t>
        </is>
      </c>
      <c r="D352" s="229" t="inlineStr">
        <is>
          <t>新倉</t>
        </is>
      </c>
      <c r="E352" s="257" t="inlineStr">
        <is>
          <t>買</t>
        </is>
      </c>
      <c r="F352" s="229" t="inlineStr">
        <is>
          <t>-</t>
        </is>
      </c>
      <c r="G352" s="697" t="n">
        <v>1</v>
      </c>
      <c r="H352" s="698" t="n">
        <v>65</v>
      </c>
      <c r="I352" s="697" t="n">
        <v>-3250</v>
      </c>
      <c r="J352" s="585" t="n">
        <v>18</v>
      </c>
      <c r="K352" s="585" t="n">
        <v>3</v>
      </c>
      <c r="L352" s="585">
        <f>IF(B352="TXO",I352-SUM(J352:K352),IF(B352="FITX",IF(D352="新倉",-SUM(J352:K352),IF(E352="賣",(H352-H1059)*G352*200-SUM(J352:K352),(H1059-H352)*G352*200-SUM(J352:K352))),IF(D352="新倉",-SUM(J352:K352),IF(E352="賣",(H352-H1059)*G352*50-SUM(J352:K352),(H1059-H352)*G352*50-SUM(J352:K352)))))</f>
        <v/>
      </c>
      <c r="M352" s="699">
        <f>L352</f>
        <v/>
      </c>
      <c r="N352" s="686">
        <f>M352</f>
        <v/>
      </c>
      <c r="O352" s="261" t="inlineStr">
        <is>
          <t>放棄</t>
        </is>
      </c>
      <c r="P352" s="249" t="inlineStr">
        <is>
          <t>元大期貨</t>
        </is>
      </c>
    </row>
    <row r="353" hidden="1" outlineLevel="1">
      <c r="A353" s="696" t="n">
        <v>45798</v>
      </c>
      <c r="B353" s="234" t="inlineStr">
        <is>
          <t>TXO</t>
        </is>
      </c>
      <c r="C353" s="229" t="inlineStr">
        <is>
          <t>台指 C 05 21850 C</t>
        </is>
      </c>
      <c r="D353" s="229" t="inlineStr">
        <is>
          <t>新倉</t>
        </is>
      </c>
      <c r="E353" s="257" t="inlineStr">
        <is>
          <t>買</t>
        </is>
      </c>
      <c r="F353" s="229" t="inlineStr">
        <is>
          <t>-</t>
        </is>
      </c>
      <c r="G353" s="697" t="n">
        <v>2</v>
      </c>
      <c r="H353" s="698" t="n">
        <v>6.8</v>
      </c>
      <c r="I353" s="697" t="n">
        <v>-680</v>
      </c>
      <c r="J353" s="585" t="n">
        <v>36</v>
      </c>
      <c r="K353" s="585" t="n">
        <v>0</v>
      </c>
      <c r="L353" s="585">
        <f>IF(B353="TXO",I353-SUM(J353:K353),IF(B353="FITX",IF(D353="新倉",-SUM(J353:K353),IF(E353="賣",(H353-H1060)*G353*200-SUM(J353:K353),(H1060-H353)*G353*200-SUM(J353:K353))),IF(D353="新倉",-SUM(J353:K353),IF(E353="賣",(H353-H1060)*G353*50-SUM(J353:K353),(H1060-H353)*G353*50-SUM(J353:K353)))))</f>
        <v/>
      </c>
      <c r="M353" s="699">
        <f>L353</f>
        <v/>
      </c>
      <c r="N353" s="686">
        <f>M353</f>
        <v/>
      </c>
      <c r="O353" s="261" t="inlineStr">
        <is>
          <t>放棄</t>
        </is>
      </c>
      <c r="P353" s="249" t="inlineStr">
        <is>
          <t>元大期貨</t>
        </is>
      </c>
    </row>
    <row r="354" hidden="1" outlineLevel="1">
      <c r="A354" s="696" t="n">
        <v>45798</v>
      </c>
      <c r="B354" s="234" t="inlineStr">
        <is>
          <t>TXO</t>
        </is>
      </c>
      <c r="C354" s="229" t="inlineStr">
        <is>
          <t>台指 C 05 21900 C</t>
        </is>
      </c>
      <c r="D354" s="229" t="inlineStr">
        <is>
          <t>新倉</t>
        </is>
      </c>
      <c r="E354" s="257" t="inlineStr">
        <is>
          <t>買</t>
        </is>
      </c>
      <c r="F354" s="229" t="inlineStr">
        <is>
          <t>-</t>
        </is>
      </c>
      <c r="G354" s="697" t="n">
        <v>2</v>
      </c>
      <c r="H354" s="698" t="n">
        <v>3.2</v>
      </c>
      <c r="I354" s="697" t="n">
        <v>-320</v>
      </c>
      <c r="J354" s="585" t="n">
        <v>36</v>
      </c>
      <c r="K354" s="585" t="n">
        <v>0</v>
      </c>
      <c r="L354" s="585">
        <f>IF(B354="TXO",I354-SUM(J354:K354),IF(B354="FITX",IF(D354="新倉",-SUM(J354:K354),IF(E354="賣",(H354-H1061)*G354*200-SUM(J354:K354),(H1061-H354)*G354*200-SUM(J354:K354))),IF(D354="新倉",-SUM(J354:K354),IF(E354="賣",(H354-H1061)*G354*50-SUM(J354:K354),(H1061-H354)*G354*50-SUM(J354:K354)))))</f>
        <v/>
      </c>
      <c r="M354" s="699">
        <f>L354</f>
        <v/>
      </c>
      <c r="N354" s="686">
        <f>M354</f>
        <v/>
      </c>
      <c r="O354" s="261" t="inlineStr">
        <is>
          <t>放棄</t>
        </is>
      </c>
      <c r="P354" s="249" t="inlineStr">
        <is>
          <t>元大期貨</t>
        </is>
      </c>
    </row>
    <row r="355" hidden="1" outlineLevel="1">
      <c r="A355" s="696" t="n">
        <v>45798</v>
      </c>
      <c r="B355" s="234" t="inlineStr">
        <is>
          <t>TXO</t>
        </is>
      </c>
      <c r="C355" s="229" t="inlineStr">
        <is>
          <t>台指 C 05 21750 C</t>
        </is>
      </c>
      <c r="D355" s="229" t="inlineStr">
        <is>
          <t>新倉</t>
        </is>
      </c>
      <c r="E355" s="257" t="inlineStr">
        <is>
          <t>買</t>
        </is>
      </c>
      <c r="F355" s="229" t="inlineStr">
        <is>
          <t>-</t>
        </is>
      </c>
      <c r="G355" s="697" t="n">
        <v>1</v>
      </c>
      <c r="H355" s="698" t="n">
        <v>40</v>
      </c>
      <c r="I355" s="697" t="n">
        <v>-2000</v>
      </c>
      <c r="J355" s="585" t="n">
        <v>18</v>
      </c>
      <c r="K355" s="585" t="n">
        <v>2</v>
      </c>
      <c r="L355" s="585">
        <f>IF(B355="TXO",I355-SUM(J355:K355),IF(B355="FITX",IF(D355="新倉",-SUM(J355:K355),IF(E355="賣",(H355-H1062)*G355*200-SUM(J355:K355),(H1062-H355)*G355*200-SUM(J355:K355))),IF(D355="新倉",-SUM(J355:K355),IF(E355="賣",(H355-H1062)*G355*50-SUM(J355:K355),(H1062-H355)*G355*50-SUM(J355:K355)))))</f>
        <v/>
      </c>
      <c r="M355" s="699">
        <f>L355</f>
        <v/>
      </c>
      <c r="N355" s="686">
        <f>M355</f>
        <v/>
      </c>
      <c r="O355" s="249" t="inlineStr">
        <is>
          <t>新倉</t>
        </is>
      </c>
      <c r="P355" s="249" t="inlineStr">
        <is>
          <t>元大期貨</t>
        </is>
      </c>
    </row>
    <row r="356" hidden="1" outlineLevel="1">
      <c r="A356" s="696" t="n">
        <v>45798</v>
      </c>
      <c r="B356" s="234" t="inlineStr">
        <is>
          <t>TXO</t>
        </is>
      </c>
      <c r="C356" s="229" t="inlineStr">
        <is>
          <t>台指 C 05 21750 C</t>
        </is>
      </c>
      <c r="D356" s="229" t="inlineStr">
        <is>
          <t>平倉</t>
        </is>
      </c>
      <c r="E356" s="257" t="inlineStr">
        <is>
          <t>賣</t>
        </is>
      </c>
      <c r="F356" s="229" t="inlineStr">
        <is>
          <t>-</t>
        </is>
      </c>
      <c r="G356" s="697" t="n">
        <v>1</v>
      </c>
      <c r="H356" s="698" t="n">
        <v>97</v>
      </c>
      <c r="I356" s="697" t="n">
        <v>4850</v>
      </c>
      <c r="J356" s="585" t="n">
        <v>18</v>
      </c>
      <c r="K356" s="585" t="n">
        <v>5</v>
      </c>
      <c r="L356" s="585">
        <f>IF(B356="TXO",I356-SUM(J356:K356),IF(B356="FITX",IF(D356="新倉",-SUM(J356:K356),IF(E356="賣",(H356-H1063)*G356*200-SUM(J356:K356),(H1063-H356)*G356*200-SUM(J356:K356))),IF(D356="新倉",-SUM(J356:K356),IF(E356="賣",(H356-H1063)*G356*50-SUM(J356:K356),(H1063-H356)*G356*50-SUM(J356:K356)))))</f>
        <v/>
      </c>
      <c r="M356" s="699">
        <f>L356</f>
        <v/>
      </c>
      <c r="N356" s="686">
        <f>M356</f>
        <v/>
      </c>
      <c r="O356" s="249" t="inlineStr">
        <is>
          <t>平倉</t>
        </is>
      </c>
      <c r="P356" s="249" t="inlineStr">
        <is>
          <t>元大期貨</t>
        </is>
      </c>
    </row>
    <row r="357" hidden="1" outlineLevel="1">
      <c r="A357" s="696" t="n">
        <v>45798</v>
      </c>
      <c r="B357" s="234" t="inlineStr">
        <is>
          <t>TXO</t>
        </is>
      </c>
      <c r="C357" s="229" t="inlineStr">
        <is>
          <t>台指 C 05 21800 C</t>
        </is>
      </c>
      <c r="D357" s="229" t="inlineStr">
        <is>
          <t>新倉</t>
        </is>
      </c>
      <c r="E357" s="257" t="inlineStr">
        <is>
          <t>買</t>
        </is>
      </c>
      <c r="F357" s="229" t="inlineStr">
        <is>
          <t>-</t>
        </is>
      </c>
      <c r="G357" s="697" t="n">
        <v>2</v>
      </c>
      <c r="H357" s="698" t="n">
        <v>13</v>
      </c>
      <c r="I357" s="697" t="n">
        <v>-1300</v>
      </c>
      <c r="J357" s="585" t="n">
        <v>36</v>
      </c>
      <c r="K357" s="585" t="n">
        <v>2</v>
      </c>
      <c r="L357" s="585">
        <f>IF(B357="TXO",I357-SUM(J357:K357),IF(B357="FITX",IF(D357="新倉",-SUM(J357:K357),IF(E357="賣",(H357-H1064)*G357*200-SUM(J357:K357),(H1064-H357)*G357*200-SUM(J357:K357))),IF(D357="新倉",-SUM(J357:K357),IF(E357="賣",(H357-H1064)*G357*50-SUM(J357:K357),(H1064-H357)*G357*50-SUM(J357:K357)))))</f>
        <v/>
      </c>
      <c r="M357" s="699">
        <f>L357</f>
        <v/>
      </c>
      <c r="N357" s="686">
        <f>M357</f>
        <v/>
      </c>
      <c r="O357" s="249" t="inlineStr">
        <is>
          <t>新倉</t>
        </is>
      </c>
      <c r="P357" s="249" t="inlineStr">
        <is>
          <t>元大期貨</t>
        </is>
      </c>
    </row>
    <row r="358" hidden="1" outlineLevel="1">
      <c r="A358" s="696" t="n">
        <v>45798</v>
      </c>
      <c r="B358" s="234" t="inlineStr">
        <is>
          <t>TXO</t>
        </is>
      </c>
      <c r="C358" s="229" t="inlineStr">
        <is>
          <t>台指 C 05 21800 C</t>
        </is>
      </c>
      <c r="D358" s="229" t="inlineStr">
        <is>
          <t>平倉</t>
        </is>
      </c>
      <c r="E358" s="257" t="inlineStr">
        <is>
          <t>賣</t>
        </is>
      </c>
      <c r="F358" s="229" t="inlineStr">
        <is>
          <t>-</t>
        </is>
      </c>
      <c r="G358" s="697" t="n">
        <v>2</v>
      </c>
      <c r="H358" s="698" t="n">
        <v>46.5</v>
      </c>
      <c r="I358" s="697" t="n">
        <v>4650</v>
      </c>
      <c r="J358" s="585" t="n">
        <v>36</v>
      </c>
      <c r="K358" s="585" t="n">
        <v>4</v>
      </c>
      <c r="L358" s="585">
        <f>IF(B358="TXO",I358-SUM(J358:K358),IF(B358="FITX",IF(D358="新倉",-SUM(J358:K358),IF(E358="賣",(H358-H1065)*G358*200-SUM(J358:K358),(H1065-H358)*G358*200-SUM(J358:K358))),IF(D358="新倉",-SUM(J358:K358),IF(E358="賣",(H358-H1065)*G358*50-SUM(J358:K358),(H1065-H358)*G358*50-SUM(J358:K358)))))</f>
        <v/>
      </c>
      <c r="M358" s="699">
        <f>L358</f>
        <v/>
      </c>
      <c r="N358" s="686">
        <f>M358</f>
        <v/>
      </c>
      <c r="O358" s="249" t="inlineStr">
        <is>
          <t>平倉</t>
        </is>
      </c>
      <c r="P358" s="249" t="inlineStr">
        <is>
          <t>元大期貨</t>
        </is>
      </c>
    </row>
    <row r="359" hidden="1" outlineLevel="1">
      <c r="A359" s="696" t="n">
        <v>45800</v>
      </c>
      <c r="B359" s="234" t="inlineStr">
        <is>
          <t>TXO</t>
        </is>
      </c>
      <c r="C359" s="229" t="inlineStr">
        <is>
          <t>週W4 C 05 21800 C</t>
        </is>
      </c>
      <c r="D359" s="229" t="inlineStr">
        <is>
          <t>新倉</t>
        </is>
      </c>
      <c r="E359" s="257" t="inlineStr">
        <is>
          <t>買</t>
        </is>
      </c>
      <c r="F359" s="229" t="inlineStr">
        <is>
          <t>-</t>
        </is>
      </c>
      <c r="G359" s="697" t="n">
        <v>1</v>
      </c>
      <c r="H359" s="698" t="n">
        <v>106</v>
      </c>
      <c r="I359" s="697" t="n">
        <v>-5300</v>
      </c>
      <c r="J359" s="585" t="n">
        <v>18</v>
      </c>
      <c r="K359" s="585" t="n">
        <v>5</v>
      </c>
      <c r="L359" s="585">
        <f>IF(B359="TXO",I359-SUM(J359:K359),IF(B359="FITX",IF(D359="新倉",-SUM(J359:K359),IF(E359="賣",(H359-H1066)*G359*200-SUM(J359:K359),(H1066-H359)*G359*200-SUM(J359:K359))),IF(D359="新倉",-SUM(J359:K359),IF(E359="賣",(H359-H1066)*G359*50-SUM(J359:K359),(H1066-H359)*G359*50-SUM(J359:K359)))))</f>
        <v/>
      </c>
      <c r="M359" s="699">
        <f>L359</f>
        <v/>
      </c>
      <c r="N359" s="686">
        <f>M359</f>
        <v/>
      </c>
      <c r="O359" s="249" t="inlineStr">
        <is>
          <t>新倉</t>
        </is>
      </c>
      <c r="P359" s="249" t="inlineStr">
        <is>
          <t>元大期貨</t>
        </is>
      </c>
    </row>
    <row r="360" hidden="1" outlineLevel="1">
      <c r="A360" s="696" t="n">
        <v>45800</v>
      </c>
      <c r="B360" s="234" t="inlineStr">
        <is>
          <t>TXO</t>
        </is>
      </c>
      <c r="C360" s="229" t="inlineStr">
        <is>
          <t>週W4 C 05 21800 C</t>
        </is>
      </c>
      <c r="D360" s="229" t="inlineStr">
        <is>
          <t>平倉</t>
        </is>
      </c>
      <c r="E360" s="257" t="inlineStr">
        <is>
          <t>賣</t>
        </is>
      </c>
      <c r="F360" s="229" t="inlineStr">
        <is>
          <t>-</t>
        </is>
      </c>
      <c r="G360" s="697" t="n">
        <v>1</v>
      </c>
      <c r="H360" s="698" t="n">
        <v>114</v>
      </c>
      <c r="I360" s="697" t="n">
        <v>5700</v>
      </c>
      <c r="J360" s="585" t="n">
        <v>18</v>
      </c>
      <c r="K360" s="585" t="n">
        <v>6</v>
      </c>
      <c r="L360" s="585">
        <f>IF(B360="TXO",I360-SUM(J360:K360),IF(B360="FITX",IF(D360="新倉",-SUM(J360:K360),IF(E360="賣",(H360-H1067)*G360*200-SUM(J360:K360),(H1067-H360)*G360*200-SUM(J360:K360))),IF(D360="新倉",-SUM(J360:K360),IF(E360="賣",(H360-H1067)*G360*50-SUM(J360:K360),(H1067-H360)*G360*50-SUM(J360:K360)))))</f>
        <v/>
      </c>
      <c r="M360" s="699">
        <f>L360</f>
        <v/>
      </c>
      <c r="N360" s="686">
        <f>M360</f>
        <v/>
      </c>
      <c r="O360" s="249" t="inlineStr">
        <is>
          <t>平倉</t>
        </is>
      </c>
      <c r="P360" s="249" t="inlineStr">
        <is>
          <t>元大期貨</t>
        </is>
      </c>
    </row>
    <row r="361" hidden="1" outlineLevel="1">
      <c r="A361" s="696" t="n">
        <v>45803</v>
      </c>
      <c r="B361" s="234" t="inlineStr">
        <is>
          <t>TXO</t>
        </is>
      </c>
      <c r="C361" s="229" t="inlineStr">
        <is>
          <t>週W4 P 05 21100 P</t>
        </is>
      </c>
      <c r="D361" s="229" t="inlineStr">
        <is>
          <t>新倉</t>
        </is>
      </c>
      <c r="E361" s="257" t="inlineStr">
        <is>
          <t>買</t>
        </is>
      </c>
      <c r="F361" s="229" t="inlineStr">
        <is>
          <t>-</t>
        </is>
      </c>
      <c r="G361" s="697" t="n">
        <v>2</v>
      </c>
      <c r="H361" s="698" t="n">
        <v>30.5</v>
      </c>
      <c r="I361" s="697" t="n">
        <v>-3050</v>
      </c>
      <c r="J361" s="585" t="n">
        <v>36</v>
      </c>
      <c r="K361" s="585" t="n">
        <v>4</v>
      </c>
      <c r="L361" s="585">
        <f>IF(B361="TXO",I361-SUM(J361:K361),IF(B361="FITX",IF(D361="新倉",-SUM(J361:K361),IF(E361="賣",(H361-H1068)*G361*200-SUM(J361:K361),(H1068-H361)*G361*200-SUM(J361:K361))),IF(D361="新倉",-SUM(J361:K361),IF(E361="賣",(H361-H1068)*G361*50-SUM(J361:K361),(H1068-H361)*G361*50-SUM(J361:K361)))))</f>
        <v/>
      </c>
      <c r="M361" s="699">
        <f>L361</f>
        <v/>
      </c>
      <c r="N361" s="686">
        <f>M361</f>
        <v/>
      </c>
      <c r="O361" s="261" t="inlineStr">
        <is>
          <t>放棄</t>
        </is>
      </c>
      <c r="P361" s="249" t="inlineStr">
        <is>
          <t>元大期貨</t>
        </is>
      </c>
    </row>
    <row r="362" hidden="1" outlineLevel="1">
      <c r="A362" s="696" t="n">
        <v>45803</v>
      </c>
      <c r="B362" s="234" t="inlineStr">
        <is>
          <t>TXO</t>
        </is>
      </c>
      <c r="C362" s="229" t="inlineStr">
        <is>
          <t>週W4 P 05 21350 P</t>
        </is>
      </c>
      <c r="D362" s="229" t="inlineStr">
        <is>
          <t>新倉</t>
        </is>
      </c>
      <c r="E362" s="257" t="inlineStr">
        <is>
          <t>買</t>
        </is>
      </c>
      <c r="F362" s="229" t="inlineStr">
        <is>
          <t>-</t>
        </is>
      </c>
      <c r="G362" s="697" t="n">
        <v>1</v>
      </c>
      <c r="H362" s="698" t="n">
        <v>66</v>
      </c>
      <c r="I362" s="697" t="n">
        <v>-3300</v>
      </c>
      <c r="J362" s="585" t="n">
        <v>18</v>
      </c>
      <c r="K362" s="585" t="n">
        <v>3</v>
      </c>
      <c r="L362" s="585">
        <f>IF(B362="TXO",I362-SUM(J362:K362),IF(B362="FITX",IF(D362="新倉",-SUM(J362:K362),IF(E362="賣",(H362-H1069)*G362*200-SUM(J362:K362),(H1069-H362)*G362*200-SUM(J362:K362))),IF(D362="新倉",-SUM(J362:K362),IF(E362="賣",(H362-H1069)*G362*50-SUM(J362:K362),(H1069-H362)*G362*50-SUM(J362:K362)))))</f>
        <v/>
      </c>
      <c r="M362" s="699">
        <f>L362</f>
        <v/>
      </c>
      <c r="N362" s="686">
        <f>M362</f>
        <v/>
      </c>
      <c r="O362" s="249" t="inlineStr">
        <is>
          <t>新倉</t>
        </is>
      </c>
      <c r="P362" s="249" t="inlineStr">
        <is>
          <t>元大期貨</t>
        </is>
      </c>
    </row>
    <row r="363" hidden="1" outlineLevel="1">
      <c r="A363" s="696" t="n">
        <v>45804</v>
      </c>
      <c r="B363" s="234" t="inlineStr">
        <is>
          <t>TXO</t>
        </is>
      </c>
      <c r="C363" s="229" t="inlineStr">
        <is>
          <t>週W4 P 05 21350 P</t>
        </is>
      </c>
      <c r="D363" s="229" t="inlineStr">
        <is>
          <t>平倉</t>
        </is>
      </c>
      <c r="E363" s="257" t="inlineStr">
        <is>
          <t>賣</t>
        </is>
      </c>
      <c r="F363" s="229" t="inlineStr">
        <is>
          <t>-</t>
        </is>
      </c>
      <c r="G363" s="697" t="n">
        <v>1</v>
      </c>
      <c r="H363" s="698" t="n">
        <v>122</v>
      </c>
      <c r="I363" s="697" t="n">
        <v>6100</v>
      </c>
      <c r="J363" s="585" t="n">
        <v>18</v>
      </c>
      <c r="K363" s="585" t="n">
        <v>6</v>
      </c>
      <c r="L363" s="585">
        <f>IF(B363="TXO",I363-SUM(J363:K363),IF(B363="FITX",IF(D363="新倉",-SUM(J363:K363),IF(E363="賣",(H363-H1070)*G363*200-SUM(J363:K363),(H1070-H363)*G363*200-SUM(J363:K363))),IF(D363="新倉",-SUM(J363:K363),IF(E363="賣",(H363-H1070)*G363*50-SUM(J363:K363),(H1070-H363)*G363*50-SUM(J363:K363)))))</f>
        <v/>
      </c>
      <c r="M363" s="699">
        <f>L363</f>
        <v/>
      </c>
      <c r="N363" s="686">
        <f>M363</f>
        <v/>
      </c>
      <c r="O363" s="249" t="inlineStr">
        <is>
          <t>平倉</t>
        </is>
      </c>
      <c r="P363" s="249" t="inlineStr">
        <is>
          <t>元大期貨</t>
        </is>
      </c>
    </row>
    <row r="364" hidden="1" outlineLevel="1">
      <c r="A364" s="696" t="n">
        <v>45804</v>
      </c>
      <c r="B364" s="234" t="inlineStr">
        <is>
          <t>TXO</t>
        </is>
      </c>
      <c r="C364" s="229" t="inlineStr">
        <is>
          <t>週W4 P 05 21000 P</t>
        </is>
      </c>
      <c r="D364" s="229" t="inlineStr">
        <is>
          <t>新倉</t>
        </is>
      </c>
      <c r="E364" s="257" t="inlineStr">
        <is>
          <t>買</t>
        </is>
      </c>
      <c r="F364" s="229" t="inlineStr">
        <is>
          <t>-</t>
        </is>
      </c>
      <c r="G364" s="697" t="n">
        <v>2</v>
      </c>
      <c r="H364" s="698" t="n">
        <v>26.5</v>
      </c>
      <c r="I364" s="697" t="n">
        <v>-2650</v>
      </c>
      <c r="J364" s="585" t="n">
        <v>36</v>
      </c>
      <c r="K364" s="585" t="n">
        <v>2</v>
      </c>
      <c r="L364" s="585">
        <f>IF(B364="TXO",I364-SUM(J364:K364),IF(B364="FITX",IF(D364="新倉",-SUM(J364:K364),IF(E364="賣",(H364-H1071)*G364*200-SUM(J364:K364),(H1071-H364)*G364*200-SUM(J364:K364))),IF(D364="新倉",-SUM(J364:K364),IF(E364="賣",(H364-H1071)*G364*50-SUM(J364:K364),(H1071-H364)*G364*50-SUM(J364:K364)))))</f>
        <v/>
      </c>
      <c r="M364" s="699">
        <f>L364</f>
        <v/>
      </c>
      <c r="N364" s="686">
        <f>M364</f>
        <v/>
      </c>
      <c r="O364" s="261" t="inlineStr">
        <is>
          <t>放棄</t>
        </is>
      </c>
      <c r="P364" s="249" t="inlineStr">
        <is>
          <t>元大期貨</t>
        </is>
      </c>
    </row>
    <row r="365" hidden="1" outlineLevel="1">
      <c r="A365" s="696" t="n">
        <v>45805</v>
      </c>
      <c r="B365" s="234" t="inlineStr">
        <is>
          <t>TXO</t>
        </is>
      </c>
      <c r="C365" s="229" t="inlineStr">
        <is>
          <t>週W4 P 05 21300 P</t>
        </is>
      </c>
      <c r="D365" s="229" t="inlineStr">
        <is>
          <t>新倉</t>
        </is>
      </c>
      <c r="E365" s="257" t="inlineStr">
        <is>
          <t>買</t>
        </is>
      </c>
      <c r="F365" s="229" t="inlineStr">
        <is>
          <t>-</t>
        </is>
      </c>
      <c r="G365" s="697" t="n">
        <v>10</v>
      </c>
      <c r="H365" s="698" t="n">
        <v>0.3</v>
      </c>
      <c r="I365" s="697" t="n">
        <v>-150</v>
      </c>
      <c r="J365" s="585" t="n">
        <v>180</v>
      </c>
      <c r="K365" s="585" t="n">
        <v>0</v>
      </c>
      <c r="L365" s="585">
        <f>IF(B365="TXO",I365-SUM(J365:K365),IF(B365="FITX",IF(D365="新倉",-SUM(J365:K365),IF(E365="賣",(H365-H1072)*G365*200-SUM(J365:K365),(H1072-H365)*G365*200-SUM(J365:K365))),IF(D365="新倉",-SUM(J365:K365),IF(E365="賣",(H365-H1072)*G365*50-SUM(J365:K365),(H1072-H365)*G365*50-SUM(J365:K365)))))</f>
        <v/>
      </c>
      <c r="M365" s="699">
        <f>L365</f>
        <v/>
      </c>
      <c r="N365" s="686">
        <f>M365</f>
        <v/>
      </c>
      <c r="O365" s="261" t="inlineStr">
        <is>
          <t>放棄</t>
        </is>
      </c>
      <c r="P365" s="249" t="inlineStr">
        <is>
          <t>元大期貨</t>
        </is>
      </c>
    </row>
    <row r="366" hidden="1" outlineLevel="1">
      <c r="A366" s="696" t="n">
        <v>45805</v>
      </c>
      <c r="B366" s="234" t="inlineStr">
        <is>
          <t>TXO</t>
        </is>
      </c>
      <c r="C366" s="229" t="inlineStr">
        <is>
          <t>週W4 P 05 21350 P</t>
        </is>
      </c>
      <c r="D366" s="229" t="inlineStr">
        <is>
          <t>新倉</t>
        </is>
      </c>
      <c r="E366" s="257" t="inlineStr">
        <is>
          <t>買</t>
        </is>
      </c>
      <c r="F366" s="229" t="inlineStr">
        <is>
          <t>-</t>
        </is>
      </c>
      <c r="G366" s="697" t="n">
        <v>5</v>
      </c>
      <c r="H366" s="698" t="n">
        <v>5</v>
      </c>
      <c r="I366" s="697" t="n">
        <v>-1250</v>
      </c>
      <c r="J366" s="585" t="n">
        <v>90</v>
      </c>
      <c r="K366" s="585" t="n">
        <v>0</v>
      </c>
      <c r="L366" s="585">
        <f>IF(B366="TXO",I366-SUM(J366:K366),IF(B366="FITX",IF(D366="新倉",-SUM(J366:K366),IF(E366="賣",(H366-H1073)*G366*200-SUM(J366:K366),(H1073-H366)*G366*200-SUM(J366:K366))),IF(D366="新倉",-SUM(J366:K366),IF(E366="賣",(H366-H1073)*G366*50-SUM(J366:K366),(H1073-H366)*G366*50-SUM(J366:K366)))))</f>
        <v/>
      </c>
      <c r="M366" s="699">
        <f>L366</f>
        <v/>
      </c>
      <c r="N366" s="686">
        <f>M366</f>
        <v/>
      </c>
      <c r="O366" s="261" t="inlineStr">
        <is>
          <t>放棄</t>
        </is>
      </c>
      <c r="P366" s="249" t="inlineStr">
        <is>
          <t>元大期貨</t>
        </is>
      </c>
    </row>
    <row r="367" hidden="1" outlineLevel="1" ht="17.25" customHeight="1" thickBot="1">
      <c r="A367" s="696" t="n">
        <v>45806</v>
      </c>
      <c r="B367" s="234" t="inlineStr">
        <is>
          <t>TXO</t>
        </is>
      </c>
      <c r="C367" s="229" t="inlineStr">
        <is>
          <t>週W1 P 06 21000 P</t>
        </is>
      </c>
      <c r="D367" s="229" t="inlineStr">
        <is>
          <t>新倉</t>
        </is>
      </c>
      <c r="E367" s="257" t="inlineStr">
        <is>
          <t>買</t>
        </is>
      </c>
      <c r="F367" s="229" t="inlineStr">
        <is>
          <t>-</t>
        </is>
      </c>
      <c r="G367" s="697" t="n">
        <v>1</v>
      </c>
      <c r="H367" s="698" t="n">
        <v>100</v>
      </c>
      <c r="I367" s="697" t="n">
        <v>-5000</v>
      </c>
      <c r="J367" s="585" t="n">
        <v>18</v>
      </c>
      <c r="K367" s="585" t="n">
        <v>5</v>
      </c>
      <c r="L367" s="585">
        <f>IF(B367="TXO",I367-SUM(J367:K367),IF(B367="FITX",IF(D367="新倉",-SUM(J367:K367),IF(E367="賣",(H367-H1074)*G367*200-SUM(J367:K367),(H1074-H367)*G367*200-SUM(J367:K367))),IF(D367="新倉",-SUM(J367:K367),IF(E367="賣",(H367-H1074)*G367*50-SUM(J367:K367),(H1074-H367)*G367*50-SUM(J367:K367)))))</f>
        <v/>
      </c>
      <c r="M367" s="699">
        <f>L367</f>
        <v/>
      </c>
      <c r="N367" s="686">
        <f>M367</f>
        <v/>
      </c>
      <c r="O367" s="249" t="inlineStr">
        <is>
          <t>新倉</t>
        </is>
      </c>
      <c r="P367" s="249" t="inlineStr">
        <is>
          <t>元大期貨</t>
        </is>
      </c>
    </row>
    <row r="368" collapsed="1" ht="17.25" customHeight="1" thickBot="1">
      <c r="A368" s="273" t="inlineStr">
        <is>
          <t>5月總計</t>
        </is>
      </c>
      <c r="B368" s="274" t="n"/>
      <c r="C368" s="274" t="n"/>
      <c r="D368" s="274" t="n"/>
      <c r="E368" s="274" t="n"/>
      <c r="F368" s="274" t="n"/>
      <c r="G368" s="715" t="n"/>
      <c r="H368" s="715" t="n"/>
      <c r="I368" s="715" t="n"/>
      <c r="J368" s="716" t="n"/>
      <c r="K368" s="715" t="n"/>
      <c r="L368" s="717">
        <f>SUM(L303:L367)</f>
        <v/>
      </c>
      <c r="M368" s="717">
        <f>SUM(M303:M367)</f>
        <v/>
      </c>
      <c r="N368" s="666" t="n"/>
      <c r="O368" s="226" t="n"/>
    </row>
    <row r="369" outlineLevel="1">
      <c r="A369" s="696" t="n">
        <v>45810</v>
      </c>
      <c r="B369" s="234" t="inlineStr">
        <is>
          <t>TXO</t>
        </is>
      </c>
      <c r="C369" s="229" t="inlineStr">
        <is>
          <t>週W1 P 06 21000 P</t>
        </is>
      </c>
      <c r="D369" s="229" t="inlineStr">
        <is>
          <t>平倉</t>
        </is>
      </c>
      <c r="E369" s="257" t="inlineStr">
        <is>
          <t>賣</t>
        </is>
      </c>
      <c r="F369" s="229" t="inlineStr">
        <is>
          <t>-</t>
        </is>
      </c>
      <c r="G369" s="697" t="n">
        <v>1</v>
      </c>
      <c r="H369" s="698" t="n">
        <v>185</v>
      </c>
      <c r="I369" s="697" t="n">
        <v>9250</v>
      </c>
      <c r="J369" s="585" t="n">
        <v>18</v>
      </c>
      <c r="K369" s="585" t="n">
        <v>9</v>
      </c>
      <c r="L369" s="585">
        <f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/>
      </c>
      <c r="M369" s="699">
        <f>L369</f>
        <v/>
      </c>
      <c r="N369" s="686">
        <f>M369</f>
        <v/>
      </c>
      <c r="O369" s="249" t="inlineStr">
        <is>
          <t>平倉</t>
        </is>
      </c>
      <c r="P369" s="249" t="inlineStr">
        <is>
          <t>元大期貨</t>
        </is>
      </c>
    </row>
    <row r="370" outlineLevel="1">
      <c r="A370" s="696" t="n">
        <v>45810</v>
      </c>
      <c r="B370" s="234" t="inlineStr">
        <is>
          <t>TXO</t>
        </is>
      </c>
      <c r="C370" s="229" t="inlineStr">
        <is>
          <t>週W1 P 06 20700 P</t>
        </is>
      </c>
      <c r="D370" s="229" t="inlineStr">
        <is>
          <t>新倉</t>
        </is>
      </c>
      <c r="E370" s="257" t="inlineStr">
        <is>
          <t>買</t>
        </is>
      </c>
      <c r="F370" s="229" t="inlineStr">
        <is>
          <t>-</t>
        </is>
      </c>
      <c r="G370" s="697" t="n">
        <v>1</v>
      </c>
      <c r="H370" s="698" t="n">
        <v>87</v>
      </c>
      <c r="I370" s="697" t="n">
        <v>-4350</v>
      </c>
      <c r="J370" s="585" t="n">
        <v>18</v>
      </c>
      <c r="K370" s="585" t="n">
        <v>4</v>
      </c>
      <c r="L370" s="585">
        <f>IF(B370="TXO",I370-SUM(J370:K370),IF(B370="FITX",IF(D370="新倉",-SUM(J370:K370),IF(E370="賣",(H370-H1077)*G370*200-SUM(J370:K370),(H1077-H370)*G370*200-SUM(J370:K370))),IF(D370="新倉",-SUM(J370:K370),IF(E370="賣",(H370-H1077)*G370*50-SUM(J370:K370),(H1077-H370)*G370*50-SUM(J370:K370)))))</f>
        <v/>
      </c>
      <c r="M370" s="699">
        <f>L370</f>
        <v/>
      </c>
      <c r="N370" s="686">
        <f>M370</f>
        <v/>
      </c>
      <c r="O370" s="261" t="inlineStr">
        <is>
          <t>放棄</t>
        </is>
      </c>
      <c r="P370" s="249" t="inlineStr">
        <is>
          <t>元大期貨</t>
        </is>
      </c>
    </row>
    <row r="371" outlineLevel="1">
      <c r="A371" s="696" t="n">
        <v>45810</v>
      </c>
      <c r="B371" s="234" t="inlineStr">
        <is>
          <t>TXO</t>
        </is>
      </c>
      <c r="C371" s="229" t="inlineStr">
        <is>
          <t>週W1 P 06 19200 P</t>
        </is>
      </c>
      <c r="D371" s="229" t="inlineStr">
        <is>
          <t>新倉</t>
        </is>
      </c>
      <c r="E371" s="257" t="inlineStr">
        <is>
          <t>買</t>
        </is>
      </c>
      <c r="F371" s="229" t="inlineStr">
        <is>
          <t>-</t>
        </is>
      </c>
      <c r="G371" s="697" t="n">
        <v>10</v>
      </c>
      <c r="H371" s="698" t="n">
        <v>2.3</v>
      </c>
      <c r="I371" s="697" t="n">
        <v>-1150</v>
      </c>
      <c r="J371" s="585" t="n">
        <v>180</v>
      </c>
      <c r="K371" s="585" t="n">
        <v>0</v>
      </c>
      <c r="L371" s="585">
        <f>IF(B371="TXO",I371-SUM(J371:K371),IF(B371="FITX",IF(D371="新倉",-SUM(J371:K371),IF(E371="賣",(H371-H1078)*G371*200-SUM(J371:K371),(H1078-H371)*G371*200-SUM(J371:K371))),IF(D371="新倉",-SUM(J371:K371),IF(E371="賣",(H371-H1078)*G371*50-SUM(J371:K371),(H1078-H371)*G371*50-SUM(J371:K371)))))</f>
        <v/>
      </c>
      <c r="M371" s="699">
        <f>L371</f>
        <v/>
      </c>
      <c r="N371" s="686">
        <f>M371</f>
        <v/>
      </c>
      <c r="O371" s="261" t="inlineStr">
        <is>
          <t>放棄</t>
        </is>
      </c>
      <c r="P371" s="249" t="inlineStr">
        <is>
          <t>元大期貨</t>
        </is>
      </c>
    </row>
    <row r="372" outlineLevel="1">
      <c r="A372" s="696" t="n">
        <v>45811</v>
      </c>
      <c r="B372" s="234" t="inlineStr">
        <is>
          <t>TXO</t>
        </is>
      </c>
      <c r="C372" s="229" t="inlineStr">
        <is>
          <t>週W1 C 06 21250 C</t>
        </is>
      </c>
      <c r="D372" s="229" t="inlineStr">
        <is>
          <t>新倉</t>
        </is>
      </c>
      <c r="E372" s="257" t="inlineStr">
        <is>
          <t>買</t>
        </is>
      </c>
      <c r="F372" s="229" t="inlineStr">
        <is>
          <t>-</t>
        </is>
      </c>
      <c r="G372" s="697" t="n">
        <v>1</v>
      </c>
      <c r="H372" s="698" t="n">
        <v>42</v>
      </c>
      <c r="I372" s="697" t="n">
        <v>-2100</v>
      </c>
      <c r="J372" s="585" t="n">
        <v>18</v>
      </c>
      <c r="K372" s="585" t="n">
        <v>2</v>
      </c>
      <c r="L372" s="585">
        <f>IF(B372="TXO",I372-SUM(J372:K372),IF(B372="FITX",IF(D372="新倉",-SUM(J372:K372),IF(E372="賣",(H372-H1079)*G372*200-SUM(J372:K372),(H1079-H372)*G372*200-SUM(J372:K372))),IF(D372="新倉",-SUM(J372:K372),IF(E372="賣",(H372-H1079)*G372*50-SUM(J372:K372),(H1079-H372)*G372*50-SUM(J372:K372)))))</f>
        <v/>
      </c>
      <c r="M372" s="699">
        <f>L372</f>
        <v/>
      </c>
      <c r="N372" s="686">
        <f>M372</f>
        <v/>
      </c>
      <c r="O372" s="261" t="inlineStr">
        <is>
          <t>放棄</t>
        </is>
      </c>
      <c r="P372" s="249" t="inlineStr">
        <is>
          <t>元大期貨</t>
        </is>
      </c>
    </row>
    <row r="373" outlineLevel="1">
      <c r="A373" s="696" t="n">
        <v>45811</v>
      </c>
      <c r="B373" s="234" t="inlineStr">
        <is>
          <t>TXO</t>
        </is>
      </c>
      <c r="C373" s="229" t="inlineStr">
        <is>
          <t>週W1 C 06 21250 C</t>
        </is>
      </c>
      <c r="D373" s="229" t="inlineStr">
        <is>
          <t>新倉</t>
        </is>
      </c>
      <c r="E373" s="257" t="inlineStr">
        <is>
          <t>買</t>
        </is>
      </c>
      <c r="F373" s="229" t="inlineStr">
        <is>
          <t>-</t>
        </is>
      </c>
      <c r="G373" s="697" t="n">
        <v>1</v>
      </c>
      <c r="H373" s="698" t="n">
        <v>98</v>
      </c>
      <c r="I373" s="697" t="n">
        <v>-4900</v>
      </c>
      <c r="J373" s="585" t="n">
        <v>18</v>
      </c>
      <c r="K373" s="585" t="n">
        <v>5</v>
      </c>
      <c r="L373" s="585">
        <f>IF(B373="TXO",I373-SUM(J373:K373),IF(B373="FITX",IF(D373="新倉",-SUM(J373:K373),IF(E373="賣",(H373-H1080)*G373*200-SUM(J373:K373),(H1080-H373)*G373*200-SUM(J373:K373))),IF(D373="新倉",-SUM(J373:K373),IF(E373="賣",(H373-H1080)*G373*50-SUM(J373:K373),(H1080-H373)*G373*50-SUM(J373:K373)))))</f>
        <v/>
      </c>
      <c r="M373" s="699">
        <f>L373</f>
        <v/>
      </c>
      <c r="N373" s="686">
        <f>M373</f>
        <v/>
      </c>
      <c r="O373" s="249" t="inlineStr">
        <is>
          <t>新倉</t>
        </is>
      </c>
      <c r="P373" s="249" t="inlineStr">
        <is>
          <t>元大期貨</t>
        </is>
      </c>
    </row>
    <row r="374" outlineLevel="1">
      <c r="A374" s="696" t="n">
        <v>45812</v>
      </c>
      <c r="B374" s="234" t="inlineStr">
        <is>
          <t>TXO</t>
        </is>
      </c>
      <c r="C374" s="229" t="inlineStr">
        <is>
          <t>週W1 C 06 21250 C</t>
        </is>
      </c>
      <c r="D374" s="229" t="inlineStr">
        <is>
          <t>平倉</t>
        </is>
      </c>
      <c r="E374" s="257" t="inlineStr">
        <is>
          <t>賣</t>
        </is>
      </c>
      <c r="F374" s="229" t="inlineStr">
        <is>
          <t>-</t>
        </is>
      </c>
      <c r="G374" s="697" t="n">
        <v>2</v>
      </c>
      <c r="H374" s="698" t="n">
        <v>99</v>
      </c>
      <c r="I374" s="697" t="n">
        <v>9900</v>
      </c>
      <c r="J374" s="585" t="n">
        <v>36</v>
      </c>
      <c r="K374" s="585" t="n">
        <v>10</v>
      </c>
      <c r="L374" s="585">
        <f>IF(B374="TXO",I374-SUM(J374:K374),IF(B374="FITX",IF(D374="新倉",-SUM(J374:K374),IF(E374="賣",(H374-H1081)*G374*200-SUM(J374:K374),(H1081-H374)*G374*200-SUM(J374:K374))),IF(D374="新倉",-SUM(J374:K374),IF(E374="賣",(H374-H1081)*G374*50-SUM(J374:K374),(H1081-H374)*G374*50-SUM(J374:K374)))))</f>
        <v/>
      </c>
      <c r="M374" s="699">
        <f>L374</f>
        <v/>
      </c>
      <c r="N374" s="686">
        <f>M374</f>
        <v/>
      </c>
      <c r="O374" s="249" t="inlineStr">
        <is>
          <t>平倉</t>
        </is>
      </c>
      <c r="P374" s="249" t="inlineStr">
        <is>
          <t>元大期貨</t>
        </is>
      </c>
    </row>
    <row r="375" outlineLevel="1">
      <c r="A375" s="696" t="n">
        <v>45812</v>
      </c>
      <c r="B375" s="234" t="inlineStr">
        <is>
          <t>TXO</t>
        </is>
      </c>
      <c r="C375" s="229" t="inlineStr">
        <is>
          <t>週W1 P 06 21200 P</t>
        </is>
      </c>
      <c r="D375" s="229" t="inlineStr">
        <is>
          <t>新倉</t>
        </is>
      </c>
      <c r="E375" s="257" t="inlineStr">
        <is>
          <t>買</t>
        </is>
      </c>
      <c r="F375" s="229" t="inlineStr">
        <is>
          <t>-</t>
        </is>
      </c>
      <c r="G375" s="697" t="n">
        <v>1</v>
      </c>
      <c r="H375" s="698" t="n">
        <v>29.5</v>
      </c>
      <c r="I375" s="697" t="n">
        <v>-1475</v>
      </c>
      <c r="J375" s="585" t="n">
        <v>18</v>
      </c>
      <c r="K375" s="585" t="n">
        <v>1</v>
      </c>
      <c r="L375" s="585">
        <f>IF(B375="TXO",I375-SUM(J375:K375),IF(B375="FITX",IF(D375="新倉",-SUM(J375:K375),IF(E375="賣",(H375-H1082)*G375*200-SUM(J375:K375),(H1082-H375)*G375*200-SUM(J375:K375))),IF(D375="新倉",-SUM(J375:K375),IF(E375="賣",(H375-H1082)*G375*50-SUM(J375:K375),(H1082-H375)*G375*50-SUM(J375:K375)))))</f>
        <v/>
      </c>
      <c r="M375" s="699">
        <f>L375</f>
        <v/>
      </c>
      <c r="N375" s="686">
        <f>M375</f>
        <v/>
      </c>
      <c r="O375" s="261" t="inlineStr">
        <is>
          <t>放棄</t>
        </is>
      </c>
      <c r="P375" s="249" t="inlineStr">
        <is>
          <t>元大期貨</t>
        </is>
      </c>
    </row>
    <row r="376" outlineLevel="1">
      <c r="A376" s="696" t="n">
        <v>45812</v>
      </c>
      <c r="B376" s="234" t="inlineStr">
        <is>
          <t>TXO</t>
        </is>
      </c>
      <c r="C376" s="229" t="inlineStr">
        <is>
          <t>週W1 P 06 21150 P</t>
        </is>
      </c>
      <c r="D376" s="229" t="inlineStr">
        <is>
          <t>新倉</t>
        </is>
      </c>
      <c r="E376" s="257" t="inlineStr">
        <is>
          <t>買</t>
        </is>
      </c>
      <c r="F376" s="229" t="inlineStr">
        <is>
          <t>-</t>
        </is>
      </c>
      <c r="G376" s="697" t="n">
        <v>1</v>
      </c>
      <c r="H376" s="698" t="n">
        <v>23.5</v>
      </c>
      <c r="I376" s="697" t="n">
        <v>-1175</v>
      </c>
      <c r="J376" s="585" t="n">
        <v>18</v>
      </c>
      <c r="K376" s="585" t="n">
        <v>1</v>
      </c>
      <c r="L376" s="585">
        <f>IF(B376="TXO",I376-SUM(J376:K376),IF(B376="FITX",IF(D376="新倉",-SUM(J376:K376),IF(E376="賣",(H376-H1083)*G376*200-SUM(J376:K376),(H1083-H376)*G376*200-SUM(J376:K376))),IF(D376="新倉",-SUM(J376:K376),IF(E376="賣",(H376-H1083)*G376*50-SUM(J376:K376),(H1083-H376)*G376*50-SUM(J376:K376)))))</f>
        <v/>
      </c>
      <c r="M376" s="699">
        <f>L376</f>
        <v/>
      </c>
      <c r="N376" s="686">
        <f>M376</f>
        <v/>
      </c>
      <c r="O376" s="261" t="inlineStr">
        <is>
          <t>放棄</t>
        </is>
      </c>
      <c r="P376" s="249" t="inlineStr">
        <is>
          <t>元大期貨</t>
        </is>
      </c>
    </row>
    <row r="377" outlineLevel="1">
      <c r="A377" s="696" t="n">
        <v>45812</v>
      </c>
      <c r="B377" s="234" t="inlineStr">
        <is>
          <t>TXO</t>
        </is>
      </c>
      <c r="C377" s="229" t="inlineStr">
        <is>
          <t>週W1 P 06 21100 P</t>
        </is>
      </c>
      <c r="D377" s="229" t="inlineStr">
        <is>
          <t>新倉</t>
        </is>
      </c>
      <c r="E377" s="257" t="inlineStr">
        <is>
          <t>買</t>
        </is>
      </c>
      <c r="F377" s="229" t="inlineStr">
        <is>
          <t>-</t>
        </is>
      </c>
      <c r="G377" s="697" t="n">
        <v>2</v>
      </c>
      <c r="H377" s="698" t="n">
        <v>19</v>
      </c>
      <c r="I377" s="697" t="n">
        <v>-1900</v>
      </c>
      <c r="J377" s="585" t="n">
        <v>36</v>
      </c>
      <c r="K377" s="585" t="n">
        <v>2</v>
      </c>
      <c r="L377" s="585">
        <f>IF(B377="TXO",I377-SUM(J377:K377),IF(B377="FITX",IF(D377="新倉",-SUM(J377:K377),IF(E377="賣",(H377-H1084)*G377*200-SUM(J377:K377),(H1084-H377)*G377*200-SUM(J377:K377))),IF(D377="新倉",-SUM(J377:K377),IF(E377="賣",(H377-H1084)*G377*50-SUM(J377:K377),(H1084-H377)*G377*50-SUM(J377:K377)))))</f>
        <v/>
      </c>
      <c r="M377" s="699">
        <f>L377</f>
        <v/>
      </c>
      <c r="N377" s="686">
        <f>M377</f>
        <v/>
      </c>
      <c r="O377" s="261" t="inlineStr">
        <is>
          <t>放棄</t>
        </is>
      </c>
      <c r="P377" s="249" t="inlineStr">
        <is>
          <t>元大期貨</t>
        </is>
      </c>
    </row>
    <row r="378" outlineLevel="1">
      <c r="A378" s="696" t="n">
        <v>45812</v>
      </c>
      <c r="B378" s="234" t="inlineStr">
        <is>
          <t>TXO</t>
        </is>
      </c>
      <c r="C378" s="229" t="inlineStr">
        <is>
          <t>週W1 P 06 21400 P</t>
        </is>
      </c>
      <c r="D378" s="229" t="inlineStr">
        <is>
          <t>新倉</t>
        </is>
      </c>
      <c r="E378" s="257" t="inlineStr">
        <is>
          <t>買</t>
        </is>
      </c>
      <c r="F378" s="229" t="inlineStr">
        <is>
          <t>-</t>
        </is>
      </c>
      <c r="G378" s="697" t="n">
        <v>5</v>
      </c>
      <c r="H378" s="698" t="n">
        <v>1.8</v>
      </c>
      <c r="I378" s="697" t="n">
        <v>-450</v>
      </c>
      <c r="J378" s="585" t="n">
        <v>90</v>
      </c>
      <c r="K378" s="585" t="n">
        <v>0</v>
      </c>
      <c r="L378" s="585">
        <f>IF(B378="TXO",I378-SUM(J378:K378),IF(B378="FITX",IF(D378="新倉",-SUM(J378:K378),IF(E378="賣",(H378-H1085)*G378*200-SUM(J378:K378),(H1085-H378)*G378*200-SUM(J378:K378))),IF(D378="新倉",-SUM(J378:K378),IF(E378="賣",(H378-H1085)*G378*50-SUM(J378:K378),(H1085-H378)*G378*50-SUM(J378:K378)))))</f>
        <v/>
      </c>
      <c r="M378" s="699">
        <f>L378</f>
        <v/>
      </c>
      <c r="N378" s="686">
        <f>M378</f>
        <v/>
      </c>
      <c r="O378" s="261" t="inlineStr">
        <is>
          <t>放棄</t>
        </is>
      </c>
      <c r="P378" s="249" t="inlineStr">
        <is>
          <t>元大期貨</t>
        </is>
      </c>
    </row>
    <row r="379" outlineLevel="1">
      <c r="A379" s="696" t="n">
        <v>45812</v>
      </c>
      <c r="B379" s="234" t="inlineStr">
        <is>
          <t>TXO</t>
        </is>
      </c>
      <c r="C379" s="229" t="inlineStr">
        <is>
          <t>週W1 C 06 21600 C</t>
        </is>
      </c>
      <c r="D379" s="229" t="inlineStr">
        <is>
          <t>新倉</t>
        </is>
      </c>
      <c r="E379" s="257" t="inlineStr">
        <is>
          <t>買</t>
        </is>
      </c>
      <c r="F379" s="229" t="inlineStr">
        <is>
          <t>-</t>
        </is>
      </c>
      <c r="G379" s="697" t="n">
        <v>1</v>
      </c>
      <c r="H379" s="698" t="n">
        <v>16</v>
      </c>
      <c r="I379" s="697" t="n">
        <v>-800</v>
      </c>
      <c r="J379" s="585" t="n">
        <v>18</v>
      </c>
      <c r="K379" s="585" t="n">
        <v>1</v>
      </c>
      <c r="L379" s="585">
        <f>IF(B379="TXO",I379-SUM(J379:K379),IF(B379="FITX",IF(D379="新倉",-SUM(J379:K379),IF(E379="賣",(H379-H1086)*G379*200-SUM(J379:K379),(H1086-H379)*G379*200-SUM(J379:K379))),IF(D379="新倉",-SUM(J379:K379),IF(E379="賣",(H379-H1086)*G379*50-SUM(J379:K379),(H1086-H379)*G379*50-SUM(J379:K379)))))</f>
        <v/>
      </c>
      <c r="M379" s="699">
        <f>L379</f>
        <v/>
      </c>
      <c r="N379" s="686">
        <f>M379</f>
        <v/>
      </c>
      <c r="O379" s="249" t="inlineStr">
        <is>
          <t>新倉</t>
        </is>
      </c>
      <c r="P379" s="249" t="inlineStr">
        <is>
          <t>元大期貨</t>
        </is>
      </c>
    </row>
    <row r="380" outlineLevel="1">
      <c r="A380" s="696" t="n">
        <v>45812</v>
      </c>
      <c r="B380" s="234" t="inlineStr">
        <is>
          <t>TXO</t>
        </is>
      </c>
      <c r="C380" s="229" t="inlineStr">
        <is>
          <t>週W1 C 06 21600 C</t>
        </is>
      </c>
      <c r="D380" s="229" t="inlineStr">
        <is>
          <t>平倉</t>
        </is>
      </c>
      <c r="E380" s="257" t="inlineStr">
        <is>
          <t>賣</t>
        </is>
      </c>
      <c r="F380" s="229" t="inlineStr">
        <is>
          <t>-</t>
        </is>
      </c>
      <c r="G380" s="697" t="n">
        <v>2</v>
      </c>
      <c r="H380" s="698" t="n">
        <v>24</v>
      </c>
      <c r="I380" s="697" t="n">
        <v>2400</v>
      </c>
      <c r="J380" s="585" t="n">
        <v>36</v>
      </c>
      <c r="K380" s="585" t="n">
        <v>2</v>
      </c>
      <c r="L380" s="585">
        <f>IF(B380="TXO",I380-SUM(J380:K380),IF(B380="FITX",IF(D380="新倉",-SUM(J380:K380),IF(E380="賣",(H380-H1087)*G380*200-SUM(J380:K380),(H1087-H380)*G380*200-SUM(J380:K380))),IF(D380="新倉",-SUM(J380:K380),IF(E380="賣",(H380-H1087)*G380*50-SUM(J380:K380),(H1087-H380)*G380*50-SUM(J380:K380)))))</f>
        <v/>
      </c>
      <c r="M380" s="699">
        <f>L380</f>
        <v/>
      </c>
      <c r="N380" s="686">
        <f>M380</f>
        <v/>
      </c>
      <c r="O380" s="249" t="inlineStr">
        <is>
          <t>平倉</t>
        </is>
      </c>
      <c r="P380" s="249" t="inlineStr">
        <is>
          <t>元大期貨</t>
        </is>
      </c>
    </row>
    <row r="381" outlineLevel="1">
      <c r="A381" s="696" t="n">
        <v>45812</v>
      </c>
      <c r="B381" s="234" t="inlineStr">
        <is>
          <t>TXO</t>
        </is>
      </c>
      <c r="C381" s="229" t="inlineStr">
        <is>
          <t>週W1 C 06 21650 C</t>
        </is>
      </c>
      <c r="D381" s="229" t="inlineStr">
        <is>
          <t>新倉</t>
        </is>
      </c>
      <c r="E381" s="257" t="inlineStr">
        <is>
          <t>買</t>
        </is>
      </c>
      <c r="F381" s="229" t="inlineStr">
        <is>
          <t>-</t>
        </is>
      </c>
      <c r="G381" s="697" t="n">
        <v>1</v>
      </c>
      <c r="H381" s="698" t="n">
        <v>12</v>
      </c>
      <c r="I381" s="697" t="n">
        <v>-600</v>
      </c>
      <c r="J381" s="585" t="n">
        <v>18</v>
      </c>
      <c r="K381" s="585" t="n">
        <v>1</v>
      </c>
      <c r="L381" s="585">
        <f>IF(B381="TXO",I381-SUM(J381:K381),IF(B381="FITX",IF(D381="新倉",-SUM(J381:K381),IF(E381="賣",(H381-H1088)*G381*200-SUM(J381:K381),(H1088-H381)*G381*200-SUM(J381:K381))),IF(D381="新倉",-SUM(J381:K381),IF(E381="賣",(H381-H1088)*G381*50-SUM(J381:K381),(H1088-H381)*G381*50-SUM(J381:K381)))))</f>
        <v/>
      </c>
      <c r="M381" s="699">
        <f>L381</f>
        <v/>
      </c>
      <c r="N381" s="686">
        <f>M381</f>
        <v/>
      </c>
      <c r="O381" s="249" t="inlineStr">
        <is>
          <t>新倉</t>
        </is>
      </c>
      <c r="P381" s="249" t="inlineStr">
        <is>
          <t>元大期貨</t>
        </is>
      </c>
    </row>
    <row r="382" outlineLevel="1">
      <c r="A382" s="696" t="n">
        <v>45812</v>
      </c>
      <c r="B382" s="234" t="inlineStr">
        <is>
          <t>TXO</t>
        </is>
      </c>
      <c r="C382" s="229" t="inlineStr">
        <is>
          <t>週W1 C 06 21650 C</t>
        </is>
      </c>
      <c r="D382" s="229" t="inlineStr">
        <is>
          <t>平倉</t>
        </is>
      </c>
      <c r="E382" s="257" t="inlineStr">
        <is>
          <t>賣</t>
        </is>
      </c>
      <c r="F382" s="229" t="inlineStr">
        <is>
          <t>-</t>
        </is>
      </c>
      <c r="G382" s="697" t="n">
        <v>3</v>
      </c>
      <c r="H382" s="698" t="n">
        <v>19</v>
      </c>
      <c r="I382" s="697" t="n">
        <v>2850</v>
      </c>
      <c r="J382" s="585" t="n">
        <v>54</v>
      </c>
      <c r="K382" s="585" t="n">
        <v>3</v>
      </c>
      <c r="L382" s="585">
        <f>IF(B382="TXO",I382-SUM(J382:K382),IF(B382="FITX",IF(D382="新倉",-SUM(J382:K382),IF(E382="賣",(H382-H1089)*G382*200-SUM(J382:K382),(H1089-H382)*G382*200-SUM(J382:K382))),IF(D382="新倉",-SUM(J382:K382),IF(E382="賣",(H382-H1089)*G382*50-SUM(J382:K382),(H1089-H382)*G382*50-SUM(J382:K382)))))</f>
        <v/>
      </c>
      <c r="M382" s="699">
        <f>L382</f>
        <v/>
      </c>
      <c r="N382" s="686">
        <f>M382</f>
        <v/>
      </c>
      <c r="O382" s="249" t="inlineStr">
        <is>
          <t>平倉</t>
        </is>
      </c>
      <c r="P382" s="249" t="inlineStr">
        <is>
          <t>元大期貨</t>
        </is>
      </c>
    </row>
    <row r="383" outlineLevel="1">
      <c r="A383" s="696" t="n">
        <v>45812</v>
      </c>
      <c r="B383" s="234" t="inlineStr">
        <is>
          <t>TXO</t>
        </is>
      </c>
      <c r="C383" s="229" t="inlineStr">
        <is>
          <t>週W1 C 06 21650 C</t>
        </is>
      </c>
      <c r="D383" s="229" t="inlineStr">
        <is>
          <t>新倉</t>
        </is>
      </c>
      <c r="E383" s="257" t="inlineStr">
        <is>
          <t>買</t>
        </is>
      </c>
      <c r="F383" s="229" t="inlineStr">
        <is>
          <t>-</t>
        </is>
      </c>
      <c r="G383" s="697" t="n">
        <v>4</v>
      </c>
      <c r="H383" s="698" t="n">
        <v>6.6</v>
      </c>
      <c r="I383" s="697" t="n">
        <v>-1320</v>
      </c>
      <c r="J383" s="585" t="n">
        <v>72</v>
      </c>
      <c r="K383" s="585" t="n">
        <v>0</v>
      </c>
      <c r="L383" s="585">
        <f>IF(B383="TXO",I383-SUM(J383:K383),IF(B383="FITX",IF(D383="新倉",-SUM(J383:K383),IF(E383="賣",(H383-H1090)*G383*200-SUM(J383:K383),(H1090-H383)*G383*200-SUM(J383:K383))),IF(D383="新倉",-SUM(J383:K383),IF(E383="賣",(H383-H1090)*G383*50-SUM(J383:K383),(H1090-H383)*G383*50-SUM(J383:K383)))))</f>
        <v/>
      </c>
      <c r="M383" s="699">
        <f>L383</f>
        <v/>
      </c>
      <c r="N383" s="686">
        <f>M383</f>
        <v/>
      </c>
      <c r="O383" s="261" t="inlineStr">
        <is>
          <t>放棄</t>
        </is>
      </c>
      <c r="P383" s="249" t="inlineStr">
        <is>
          <t>元大期貨</t>
        </is>
      </c>
    </row>
    <row r="384" outlineLevel="1">
      <c r="A384" s="696" t="n">
        <v>45812</v>
      </c>
      <c r="B384" s="234" t="inlineStr">
        <is>
          <t>TXO</t>
        </is>
      </c>
      <c r="C384" s="229" t="inlineStr">
        <is>
          <t>週W1 C 06 21600 C</t>
        </is>
      </c>
      <c r="D384" s="229" t="inlineStr">
        <is>
          <t>新倉</t>
        </is>
      </c>
      <c r="E384" s="257" t="inlineStr">
        <is>
          <t>買</t>
        </is>
      </c>
      <c r="F384" s="229" t="inlineStr">
        <is>
          <t>-</t>
        </is>
      </c>
      <c r="G384" s="697" t="n">
        <v>2</v>
      </c>
      <c r="H384" s="698" t="n">
        <v>10.5</v>
      </c>
      <c r="I384" s="697" t="n">
        <v>-1050</v>
      </c>
      <c r="J384" s="585" t="n">
        <v>36</v>
      </c>
      <c r="K384" s="585" t="n">
        <v>2</v>
      </c>
      <c r="L384" s="585">
        <f>IF(B384="TXO",I384-SUM(J384:K384),IF(B384="FITX",IF(D384="新倉",-SUM(J384:K384),IF(E384="賣",(H384-H1091)*G384*200-SUM(J384:K384),(H1091-H384)*G384*200-SUM(J384:K384))),IF(D384="新倉",-SUM(J384:K384),IF(E384="賣",(H384-H1091)*G384*50-SUM(J384:K384),(H1091-H384)*G384*50-SUM(J384:K384)))))</f>
        <v/>
      </c>
      <c r="M384" s="699">
        <f>L384</f>
        <v/>
      </c>
      <c r="N384" s="686">
        <f>M384</f>
        <v/>
      </c>
      <c r="O384" s="261" t="inlineStr">
        <is>
          <t>放棄</t>
        </is>
      </c>
      <c r="P384" s="249" t="inlineStr">
        <is>
          <t>元大期貨</t>
        </is>
      </c>
    </row>
    <row r="385" outlineLevel="1">
      <c r="A385" s="696" t="n">
        <v>45812</v>
      </c>
      <c r="B385" s="234" t="inlineStr">
        <is>
          <t>TXO</t>
        </is>
      </c>
      <c r="C385" s="229" t="inlineStr">
        <is>
          <t>週W1 P 06 21150 P</t>
        </is>
      </c>
      <c r="D385" s="229" t="inlineStr">
        <is>
          <t>新倉</t>
        </is>
      </c>
      <c r="E385" s="257" t="inlineStr">
        <is>
          <t>買</t>
        </is>
      </c>
      <c r="F385" s="229" t="inlineStr">
        <is>
          <t>-</t>
        </is>
      </c>
      <c r="G385" s="697" t="n">
        <v>2</v>
      </c>
      <c r="H385" s="698" t="n">
        <v>7.4</v>
      </c>
      <c r="I385" s="697" t="n">
        <v>-740</v>
      </c>
      <c r="J385" s="585" t="n">
        <v>36</v>
      </c>
      <c r="K385" s="585" t="n">
        <v>0</v>
      </c>
      <c r="L385" s="585">
        <f>IF(B385="TXO",I385-SUM(J385:K385),IF(B385="FITX",IF(D385="新倉",-SUM(J385:K385),IF(E385="賣",(H385-H1092)*G385*200-SUM(J385:K385),(H1092-H385)*G385*200-SUM(J385:K385))),IF(D385="新倉",-SUM(J385:K385),IF(E385="賣",(H385-H1092)*G385*50-SUM(J385:K385),(H1092-H385)*G385*50-SUM(J385:K385)))))</f>
        <v/>
      </c>
      <c r="M385" s="699">
        <f>L385</f>
        <v/>
      </c>
      <c r="N385" s="686">
        <f>M385</f>
        <v/>
      </c>
      <c r="O385" s="261" t="inlineStr">
        <is>
          <t>放棄</t>
        </is>
      </c>
      <c r="P385" s="249" t="inlineStr">
        <is>
          <t>元大期貨</t>
        </is>
      </c>
    </row>
    <row r="386" outlineLevel="1">
      <c r="A386" s="696" t="n">
        <v>45814</v>
      </c>
      <c r="B386" s="234" t="inlineStr">
        <is>
          <t>TXO</t>
        </is>
      </c>
      <c r="C386" s="229" t="inlineStr">
        <is>
          <t>週W2 P 06 21500 P</t>
        </is>
      </c>
      <c r="D386" s="229" t="inlineStr">
        <is>
          <t>新倉</t>
        </is>
      </c>
      <c r="E386" s="257" t="inlineStr">
        <is>
          <t>買</t>
        </is>
      </c>
      <c r="F386" s="229" t="inlineStr">
        <is>
          <t>-</t>
        </is>
      </c>
      <c r="G386" s="697" t="n">
        <v>1</v>
      </c>
      <c r="H386" s="698" t="n">
        <v>91</v>
      </c>
      <c r="I386" s="697" t="n">
        <v>-4550</v>
      </c>
      <c r="J386" s="585" t="n">
        <v>18</v>
      </c>
      <c r="K386" s="585" t="n">
        <v>5</v>
      </c>
      <c r="L386" s="585">
        <f>IF(B386="TXO",I386-SUM(J386:K386),IF(B386="FITX",IF(D386="新倉",-SUM(J386:K386),IF(E386="賣",(H386-H1093)*G386*200-SUM(J386:K386),(H1093-H386)*G386*200-SUM(J386:K386))),IF(D386="新倉",-SUM(J386:K386),IF(E386="賣",(H386-H1093)*G386*50-SUM(J386:K386),(H1093-H386)*G386*50-SUM(J386:K386)))))</f>
        <v/>
      </c>
      <c r="M386" s="699">
        <f>L386</f>
        <v/>
      </c>
      <c r="N386" s="686">
        <f>M386</f>
        <v/>
      </c>
      <c r="O386" s="249" t="inlineStr">
        <is>
          <t>新倉</t>
        </is>
      </c>
      <c r="P386" s="249" t="inlineStr">
        <is>
          <t>元大期貨</t>
        </is>
      </c>
    </row>
    <row r="387" outlineLevel="1">
      <c r="A387" s="696" t="n">
        <v>45814</v>
      </c>
      <c r="B387" s="234" t="inlineStr">
        <is>
          <t>TXO</t>
        </is>
      </c>
      <c r="C387" s="229" t="inlineStr">
        <is>
          <t>週W2 P 06 21500 P</t>
        </is>
      </c>
      <c r="D387" s="229" t="inlineStr">
        <is>
          <t>平倉</t>
        </is>
      </c>
      <c r="E387" s="257" t="inlineStr">
        <is>
          <t>賣</t>
        </is>
      </c>
      <c r="F387" s="229" t="inlineStr">
        <is>
          <t>-</t>
        </is>
      </c>
      <c r="G387" s="697" t="n">
        <v>1</v>
      </c>
      <c r="H387" s="698" t="n">
        <v>105</v>
      </c>
      <c r="I387" s="697" t="n">
        <v>5250</v>
      </c>
      <c r="J387" s="585" t="n">
        <v>18</v>
      </c>
      <c r="K387" s="585" t="n">
        <v>5</v>
      </c>
      <c r="L387" s="585">
        <f>IF(B387="TXO",I387-SUM(J387:K387),IF(B387="FITX",IF(D387="新倉",-SUM(J387:K387),IF(E387="賣",(H387-H1094)*G387*200-SUM(J387:K387),(H1094-H387)*G387*200-SUM(J387:K387))),IF(D387="新倉",-SUM(J387:K387),IF(E387="賣",(H387-H1094)*G387*50-SUM(J387:K387),(H1094-H387)*G387*50-SUM(J387:K387)))))</f>
        <v/>
      </c>
      <c r="M387" s="699">
        <f>L387</f>
        <v/>
      </c>
      <c r="N387" s="686">
        <f>M387</f>
        <v/>
      </c>
      <c r="O387" s="249" t="inlineStr">
        <is>
          <t>平倉</t>
        </is>
      </c>
      <c r="P387" s="249" t="inlineStr">
        <is>
          <t>元大期貨</t>
        </is>
      </c>
    </row>
    <row r="388" outlineLevel="1">
      <c r="A388" s="696" t="n">
        <v>45814</v>
      </c>
      <c r="B388" s="234" t="inlineStr">
        <is>
          <t>TXO</t>
        </is>
      </c>
      <c r="C388" s="229" t="inlineStr">
        <is>
          <t>週W2 P 06 21500 P</t>
        </is>
      </c>
      <c r="D388" s="229" t="inlineStr">
        <is>
          <t>新倉</t>
        </is>
      </c>
      <c r="E388" s="257" t="inlineStr">
        <is>
          <t>買</t>
        </is>
      </c>
      <c r="F388" s="229" t="inlineStr">
        <is>
          <t>-</t>
        </is>
      </c>
      <c r="G388" s="697" t="n">
        <v>1</v>
      </c>
      <c r="H388" s="698" t="n">
        <v>82</v>
      </c>
      <c r="I388" s="697" t="n">
        <v>-4100</v>
      </c>
      <c r="J388" s="585" t="n">
        <v>18</v>
      </c>
      <c r="K388" s="585" t="n">
        <v>4</v>
      </c>
      <c r="L388" s="585">
        <f>IF(B388="TXO",I388-SUM(J388:K388),IF(B388="FITX",IF(D388="新倉",-SUM(J388:K388),IF(E388="賣",(H388-H1095)*G388*200-SUM(J388:K388),(H1095-H388)*G388*200-SUM(J388:K388))),IF(D388="新倉",-SUM(J388:K388),IF(E388="賣",(H388-H1095)*G388*50-SUM(J388:K388),(H1095-H388)*G388*50-SUM(J388:K388)))))</f>
        <v/>
      </c>
      <c r="M388" s="699">
        <f>L388</f>
        <v/>
      </c>
      <c r="N388" s="686">
        <f>M388</f>
        <v/>
      </c>
      <c r="O388" s="249" t="inlineStr">
        <is>
          <t>新倉</t>
        </is>
      </c>
      <c r="P388" s="249" t="inlineStr">
        <is>
          <t>元大期貨</t>
        </is>
      </c>
    </row>
    <row r="389" outlineLevel="1">
      <c r="A389" s="696" t="n">
        <v>45814</v>
      </c>
      <c r="B389" s="234" t="inlineStr">
        <is>
          <t>TXO</t>
        </is>
      </c>
      <c r="C389" s="229" t="inlineStr">
        <is>
          <t>週W2 P 06 21500 P</t>
        </is>
      </c>
      <c r="D389" s="229" t="inlineStr">
        <is>
          <t>平倉</t>
        </is>
      </c>
      <c r="E389" s="257" t="inlineStr">
        <is>
          <t>賣</t>
        </is>
      </c>
      <c r="F389" s="229" t="inlineStr">
        <is>
          <t>-</t>
        </is>
      </c>
      <c r="G389" s="697" t="n">
        <v>1</v>
      </c>
      <c r="H389" s="698" t="n">
        <v>81</v>
      </c>
      <c r="I389" s="697" t="n">
        <v>4050</v>
      </c>
      <c r="J389" s="585" t="n">
        <v>18</v>
      </c>
      <c r="K389" s="585" t="n">
        <v>4</v>
      </c>
      <c r="L389" s="585">
        <f>IF(B389="TXO",I389-SUM(J389:K389),IF(B389="FITX",IF(D389="新倉",-SUM(J389:K389),IF(E389="賣",(H389-H1096)*G389*200-SUM(J389:K389),(H1096-H389)*G389*200-SUM(J389:K389))),IF(D389="新倉",-SUM(J389:K389),IF(E389="賣",(H389-H1096)*G389*50-SUM(J389:K389),(H1096-H389)*G389*50-SUM(J389:K389)))))</f>
        <v/>
      </c>
      <c r="M389" s="699">
        <f>L389</f>
        <v/>
      </c>
      <c r="N389" s="686">
        <f>M389</f>
        <v/>
      </c>
      <c r="O389" s="249" t="inlineStr">
        <is>
          <t>平倉</t>
        </is>
      </c>
      <c r="P389" s="249" t="inlineStr">
        <is>
          <t>元大期貨</t>
        </is>
      </c>
    </row>
    <row r="390" outlineLevel="1">
      <c r="A390" s="696" t="n">
        <v>45814</v>
      </c>
      <c r="B390" s="234" t="inlineStr">
        <is>
          <t>TXO</t>
        </is>
      </c>
      <c r="C390" s="229" t="inlineStr">
        <is>
          <t>週W2 C 06 21900 C</t>
        </is>
      </c>
      <c r="D390" s="229" t="inlineStr">
        <is>
          <t>新倉</t>
        </is>
      </c>
      <c r="E390" s="257" t="inlineStr">
        <is>
          <t>買</t>
        </is>
      </c>
      <c r="F390" s="229" t="inlineStr">
        <is>
          <t>-</t>
        </is>
      </c>
      <c r="G390" s="697" t="n">
        <v>1</v>
      </c>
      <c r="H390" s="698" t="n">
        <v>138</v>
      </c>
      <c r="I390" s="697" t="n">
        <v>-6900</v>
      </c>
      <c r="J390" s="585" t="n">
        <v>18</v>
      </c>
      <c r="K390" s="585" t="n">
        <v>7</v>
      </c>
      <c r="L390" s="585">
        <f>IF(B390="TXO",I390-SUM(J390:K390),IF(B390="FITX",IF(D390="新倉",-SUM(J390:K390),IF(E390="賣",(H390-H1097)*G390*200-SUM(J390:K390),(H1097-H390)*G390*200-SUM(J390:K390))),IF(D390="新倉",-SUM(J390:K390),IF(E390="賣",(H390-H1097)*G390*50-SUM(J390:K390),(H1097-H390)*G390*50-SUM(J390:K390)))))</f>
        <v/>
      </c>
      <c r="M390" s="699">
        <f>L390</f>
        <v/>
      </c>
      <c r="N390" s="686">
        <f>M390</f>
        <v/>
      </c>
      <c r="O390" s="249" t="inlineStr">
        <is>
          <t>新倉</t>
        </is>
      </c>
      <c r="P390" s="249" t="inlineStr">
        <is>
          <t>元大期貨</t>
        </is>
      </c>
    </row>
    <row r="391" outlineLevel="1">
      <c r="A391" s="696" t="n">
        <v>45814</v>
      </c>
      <c r="B391" s="234" t="inlineStr">
        <is>
          <t>TXO</t>
        </is>
      </c>
      <c r="C391" s="229" t="inlineStr">
        <is>
          <t>週W2 C 06 21900 C</t>
        </is>
      </c>
      <c r="D391" s="229" t="inlineStr">
        <is>
          <t>平倉</t>
        </is>
      </c>
      <c r="E391" s="257" t="inlineStr">
        <is>
          <t>賣</t>
        </is>
      </c>
      <c r="F391" s="229" t="inlineStr">
        <is>
          <t>-</t>
        </is>
      </c>
      <c r="G391" s="697" t="n">
        <v>1</v>
      </c>
      <c r="H391" s="698" t="n">
        <v>133</v>
      </c>
      <c r="I391" s="697" t="n">
        <v>6650</v>
      </c>
      <c r="J391" s="585" t="n">
        <v>18</v>
      </c>
      <c r="K391" s="585" t="n">
        <v>7</v>
      </c>
      <c r="L391" s="585">
        <f>IF(B391="TXO",I391-SUM(J391:K391),IF(B391="FITX",IF(D391="新倉",-SUM(J391:K391),IF(E391="賣",(H391-H1098)*G391*200-SUM(J391:K391),(H1098-H391)*G391*200-SUM(J391:K391))),IF(D391="新倉",-SUM(J391:K391),IF(E391="賣",(H391-H1098)*G391*50-SUM(J391:K391),(H1098-H391)*G391*50-SUM(J391:K391)))))</f>
        <v/>
      </c>
      <c r="M391" s="699">
        <f>L391</f>
        <v/>
      </c>
      <c r="N391" s="686">
        <f>M391</f>
        <v/>
      </c>
      <c r="O391" s="249" t="inlineStr">
        <is>
          <t>平倉</t>
        </is>
      </c>
      <c r="P391" s="249" t="inlineStr">
        <is>
          <t>元大期貨</t>
        </is>
      </c>
    </row>
    <row r="392" outlineLevel="1">
      <c r="A392" s="696" t="n">
        <v>45814</v>
      </c>
      <c r="B392" s="234" t="inlineStr">
        <is>
          <t>TXO</t>
        </is>
      </c>
      <c r="C392" s="229" t="inlineStr">
        <is>
          <t>週W2 C 06 21800 C</t>
        </is>
      </c>
      <c r="D392" s="229" t="inlineStr">
        <is>
          <t>新倉</t>
        </is>
      </c>
      <c r="E392" s="257" t="inlineStr">
        <is>
          <t>買</t>
        </is>
      </c>
      <c r="F392" s="229" t="inlineStr">
        <is>
          <t>-</t>
        </is>
      </c>
      <c r="G392" s="697" t="n">
        <v>1</v>
      </c>
      <c r="H392" s="698" t="n">
        <v>168</v>
      </c>
      <c r="I392" s="697" t="n">
        <v>-8400</v>
      </c>
      <c r="J392" s="585" t="n">
        <v>18</v>
      </c>
      <c r="K392" s="585" t="n">
        <v>8</v>
      </c>
      <c r="L392" s="585">
        <f>IF(B392="TXO",I392-SUM(J392:K392),IF(B392="FITX",IF(D392="新倉",-SUM(J392:K392),IF(E392="賣",(H392-H1099)*G392*200-SUM(J392:K392),(H1099-H392)*G392*200-SUM(J392:K392))),IF(D392="新倉",-SUM(J392:K392),IF(E392="賣",(H392-H1099)*G392*50-SUM(J392:K392),(H1099-H392)*G392*50-SUM(J392:K392)))))</f>
        <v/>
      </c>
      <c r="M392" s="699">
        <f>L392</f>
        <v/>
      </c>
      <c r="N392" s="686">
        <f>M392</f>
        <v/>
      </c>
      <c r="O392" s="249" t="inlineStr">
        <is>
          <t>新倉</t>
        </is>
      </c>
      <c r="P392" s="249" t="inlineStr">
        <is>
          <t>元大期貨</t>
        </is>
      </c>
    </row>
    <row r="393" outlineLevel="1">
      <c r="A393" s="696" t="n">
        <v>45814</v>
      </c>
      <c r="B393" s="234" t="inlineStr">
        <is>
          <t>TXO</t>
        </is>
      </c>
      <c r="C393" s="229" t="inlineStr">
        <is>
          <t>週W2 C 06 21800 C</t>
        </is>
      </c>
      <c r="D393" s="229" t="inlineStr">
        <is>
          <t>平倉</t>
        </is>
      </c>
      <c r="E393" s="257" t="inlineStr">
        <is>
          <t>賣</t>
        </is>
      </c>
      <c r="F393" s="229" t="inlineStr">
        <is>
          <t>-</t>
        </is>
      </c>
      <c r="G393" s="697" t="n">
        <v>1</v>
      </c>
      <c r="H393" s="698" t="n">
        <v>179</v>
      </c>
      <c r="I393" s="697" t="n">
        <v>8950</v>
      </c>
      <c r="J393" s="585" t="n">
        <v>18</v>
      </c>
      <c r="K393" s="585" t="n">
        <v>9</v>
      </c>
      <c r="L393" s="585">
        <f>IF(B393="TXO",I393-SUM(J393:K393),IF(B393="FITX",IF(D393="新倉",-SUM(J393:K393),IF(E393="賣",(H393-H1100)*G393*200-SUM(J393:K393),(H1100-H393)*G393*200-SUM(J393:K393))),IF(D393="新倉",-SUM(J393:K393),IF(E393="賣",(H393-H1100)*G393*50-SUM(J393:K393),(H1100-H393)*G393*50-SUM(J393:K393)))))</f>
        <v/>
      </c>
      <c r="M393" s="699">
        <f>L393</f>
        <v/>
      </c>
      <c r="N393" s="686">
        <f>M393</f>
        <v/>
      </c>
      <c r="O393" s="249" t="inlineStr">
        <is>
          <t>平倉</t>
        </is>
      </c>
      <c r="P393" s="249" t="inlineStr">
        <is>
          <t>元大期貨</t>
        </is>
      </c>
    </row>
    <row r="394" outlineLevel="1">
      <c r="A394" s="696" t="n">
        <v>45814</v>
      </c>
      <c r="B394" s="234" t="inlineStr">
        <is>
          <t>TXO</t>
        </is>
      </c>
      <c r="C394" s="229" t="inlineStr">
        <is>
          <t>週W2 P 06 19300 P</t>
        </is>
      </c>
      <c r="D394" s="229" t="inlineStr">
        <is>
          <t>新倉</t>
        </is>
      </c>
      <c r="E394" s="257" t="inlineStr">
        <is>
          <t>買</t>
        </is>
      </c>
      <c r="F394" s="229" t="inlineStr">
        <is>
          <t>-</t>
        </is>
      </c>
      <c r="G394" s="697" t="n">
        <v>2</v>
      </c>
      <c r="H394" s="698" t="n">
        <v>3.4</v>
      </c>
      <c r="I394" s="697" t="n">
        <v>-340</v>
      </c>
      <c r="J394" s="585" t="n">
        <v>36</v>
      </c>
      <c r="K394" s="585" t="n">
        <v>0</v>
      </c>
      <c r="L394" s="585">
        <f>IF(B394="TXO",I394-SUM(J394:K394),IF(B394="FITX",IF(D394="新倉",-SUM(J394:K394),IF(E394="賣",(H394-H1101)*G394*200-SUM(J394:K394),(H1101-H394)*G394*200-SUM(J394:K394))),IF(D394="新倉",-SUM(J394:K394),IF(E394="賣",(H394-H1101)*G394*50-SUM(J394:K394),(H1101-H394)*G394*50-SUM(J394:K394)))))</f>
        <v/>
      </c>
      <c r="M394" s="699">
        <f>L394</f>
        <v/>
      </c>
      <c r="N394" s="686">
        <f>M394</f>
        <v/>
      </c>
      <c r="O394" s="261" t="inlineStr">
        <is>
          <t>放棄</t>
        </is>
      </c>
      <c r="P394" s="249" t="inlineStr">
        <is>
          <t>元大期貨</t>
        </is>
      </c>
    </row>
    <row r="395" outlineLevel="1">
      <c r="A395" s="696" t="n">
        <v>45817</v>
      </c>
      <c r="B395" s="234" t="inlineStr">
        <is>
          <t>TXO</t>
        </is>
      </c>
      <c r="C395" s="229" t="inlineStr">
        <is>
          <t>週W2 P 06 21500 P</t>
        </is>
      </c>
      <c r="D395" s="229" t="inlineStr">
        <is>
          <t>新倉</t>
        </is>
      </c>
      <c r="E395" s="257" t="inlineStr">
        <is>
          <t>買</t>
        </is>
      </c>
      <c r="F395" s="229" t="inlineStr">
        <is>
          <t>-</t>
        </is>
      </c>
      <c r="G395" s="697" t="n">
        <v>1</v>
      </c>
      <c r="H395" s="698" t="n">
        <v>86</v>
      </c>
      <c r="I395" s="697" t="n">
        <v>-4300</v>
      </c>
      <c r="J395" s="585" t="n">
        <v>18</v>
      </c>
      <c r="K395" s="585" t="n">
        <v>4</v>
      </c>
      <c r="L395" s="585">
        <f>IF(B395="TXO",I395-SUM(J395:K395),IF(B395="FITX",IF(D395="新倉",-SUM(J395:K395),IF(E395="賣",(H395-H1102)*G395*200-SUM(J395:K395),(H1102-H395)*G395*200-SUM(J395:K395))),IF(D395="新倉",-SUM(J395:K395),IF(E395="賣",(H395-H1102)*G395*50-SUM(J395:K395),(H1102-H395)*G395*50-SUM(J395:K395)))))</f>
        <v/>
      </c>
      <c r="M395" s="699">
        <f>L395</f>
        <v/>
      </c>
      <c r="N395" s="686">
        <f>M395</f>
        <v/>
      </c>
      <c r="O395" s="249" t="inlineStr">
        <is>
          <t>新倉</t>
        </is>
      </c>
      <c r="P395" s="249" t="inlineStr">
        <is>
          <t>元大期貨</t>
        </is>
      </c>
    </row>
    <row r="396" outlineLevel="1">
      <c r="A396" s="696" t="n">
        <v>45817</v>
      </c>
      <c r="B396" s="234" t="inlineStr">
        <is>
          <t>TXO</t>
        </is>
      </c>
      <c r="C396" s="229" t="inlineStr">
        <is>
          <t>週W2 P 06 21500 P</t>
        </is>
      </c>
      <c r="D396" s="229" t="inlineStr">
        <is>
          <t>平倉</t>
        </is>
      </c>
      <c r="E396" s="257" t="inlineStr">
        <is>
          <t>賣</t>
        </is>
      </c>
      <c r="F396" s="229" t="inlineStr">
        <is>
          <t>-</t>
        </is>
      </c>
      <c r="G396" s="697" t="n">
        <v>1</v>
      </c>
      <c r="H396" s="698" t="n">
        <v>86</v>
      </c>
      <c r="I396" s="697" t="n">
        <v>4300</v>
      </c>
      <c r="J396" s="585" t="n">
        <v>18</v>
      </c>
      <c r="K396" s="585" t="n">
        <v>4</v>
      </c>
      <c r="L396" s="585">
        <f>IF(B396="TXO",I396-SUM(J396:K396),IF(B396="FITX",IF(D396="新倉",-SUM(J396:K396),IF(E396="賣",(H396-H1103)*G396*200-SUM(J396:K396),(H1103-H396)*G396*200-SUM(J396:K396))),IF(D396="新倉",-SUM(J396:K396),IF(E396="賣",(H396-H1103)*G396*50-SUM(J396:K396),(H1103-H396)*G396*50-SUM(J396:K396)))))</f>
        <v/>
      </c>
      <c r="M396" s="699">
        <f>L396</f>
        <v/>
      </c>
      <c r="N396" s="686">
        <f>M396</f>
        <v/>
      </c>
      <c r="O396" s="249" t="inlineStr">
        <is>
          <t>平倉</t>
        </is>
      </c>
      <c r="P396" s="249" t="inlineStr">
        <is>
          <t>元大期貨</t>
        </is>
      </c>
    </row>
    <row r="397" outlineLevel="1">
      <c r="A397" s="696" t="n">
        <v>45817</v>
      </c>
      <c r="B397" s="234" t="inlineStr">
        <is>
          <t>TXO</t>
        </is>
      </c>
      <c r="C397" s="229" t="inlineStr">
        <is>
          <t>週W2 C 06 22000 C</t>
        </is>
      </c>
      <c r="D397" s="229" t="inlineStr">
        <is>
          <t>新倉</t>
        </is>
      </c>
      <c r="E397" s="257" t="inlineStr">
        <is>
          <t>買</t>
        </is>
      </c>
      <c r="F397" s="229" t="inlineStr">
        <is>
          <t>-</t>
        </is>
      </c>
      <c r="G397" s="697" t="n">
        <v>1</v>
      </c>
      <c r="H397" s="698" t="n">
        <v>56</v>
      </c>
      <c r="I397" s="697" t="n">
        <v>-2800</v>
      </c>
      <c r="J397" s="585" t="n">
        <v>18</v>
      </c>
      <c r="K397" s="585" t="n">
        <v>3</v>
      </c>
      <c r="L397" s="585">
        <f>IF(B397="TXO",I397-SUM(J397:K397),IF(B397="FITX",IF(D397="新倉",-SUM(J397:K397),IF(E397="賣",(H397-H1104)*G397*200-SUM(J397:K397),(H1104-H397)*G397*200-SUM(J397:K397))),IF(D397="新倉",-SUM(J397:K397),IF(E397="賣",(H397-H1104)*G397*50-SUM(J397:K397),(H1104-H397)*G397*50-SUM(J397:K397)))))</f>
        <v/>
      </c>
      <c r="M397" s="699">
        <f>L397</f>
        <v/>
      </c>
      <c r="N397" s="686">
        <f>M397</f>
        <v/>
      </c>
      <c r="O397" s="249" t="inlineStr">
        <is>
          <t>新倉</t>
        </is>
      </c>
      <c r="P397" s="249" t="inlineStr">
        <is>
          <t>元大期貨</t>
        </is>
      </c>
    </row>
    <row r="398" outlineLevel="1">
      <c r="A398" s="696" t="n">
        <v>45818</v>
      </c>
      <c r="B398" s="234" t="inlineStr">
        <is>
          <t>TXO</t>
        </is>
      </c>
      <c r="C398" s="229" t="inlineStr">
        <is>
          <t>週W2 C 06 22000 C</t>
        </is>
      </c>
      <c r="D398" s="229" t="inlineStr">
        <is>
          <t>平倉</t>
        </is>
      </c>
      <c r="E398" s="257" t="inlineStr">
        <is>
          <t>賣</t>
        </is>
      </c>
      <c r="F398" s="229" t="inlineStr">
        <is>
          <t>-</t>
        </is>
      </c>
      <c r="G398" s="697" t="n">
        <v>1</v>
      </c>
      <c r="H398" s="698" t="n">
        <v>67</v>
      </c>
      <c r="I398" s="697" t="n">
        <v>3350</v>
      </c>
      <c r="J398" s="585" t="n">
        <v>18</v>
      </c>
      <c r="K398" s="585" t="n">
        <v>3</v>
      </c>
      <c r="L398" s="585">
        <f>IF(B398="TXO",I398-SUM(J398:K398),IF(B398="FITX",IF(D398="新倉",-SUM(J398:K398),IF(E398="賣",(H398-H1105)*G398*200-SUM(J398:K398),(H1105-H398)*G398*200-SUM(J398:K398))),IF(D398="新倉",-SUM(J398:K398),IF(E398="賣",(H398-H1105)*G398*50-SUM(J398:K398),(H1105-H398)*G398*50-SUM(J398:K398)))))</f>
        <v/>
      </c>
      <c r="M398" s="699">
        <f>L398</f>
        <v/>
      </c>
      <c r="N398" s="686">
        <f>M398</f>
        <v/>
      </c>
      <c r="O398" s="249" t="inlineStr">
        <is>
          <t>平倉</t>
        </is>
      </c>
      <c r="P398" s="249" t="inlineStr">
        <is>
          <t>元大期貨</t>
        </is>
      </c>
    </row>
    <row r="399" outlineLevel="1">
      <c r="A399" s="696" t="n">
        <v>45817</v>
      </c>
      <c r="B399" s="234" t="inlineStr">
        <is>
          <t>TXO</t>
        </is>
      </c>
      <c r="C399" s="229" t="inlineStr">
        <is>
          <t>週W2 C 06 21950 C</t>
        </is>
      </c>
      <c r="D399" s="229" t="inlineStr">
        <is>
          <t>新倉</t>
        </is>
      </c>
      <c r="E399" s="257" t="inlineStr">
        <is>
          <t>買</t>
        </is>
      </c>
      <c r="F399" s="229" t="inlineStr">
        <is>
          <t>-</t>
        </is>
      </c>
      <c r="G399" s="697" t="n">
        <v>2</v>
      </c>
      <c r="H399" s="698" t="n">
        <v>71</v>
      </c>
      <c r="I399" s="697" t="n">
        <v>-7100</v>
      </c>
      <c r="J399" s="585" t="n">
        <v>36</v>
      </c>
      <c r="K399" s="585" t="n">
        <v>8</v>
      </c>
      <c r="L399" s="585">
        <f>IF(B399="TXO",I399-SUM(J399:K399),IF(B399="FITX",IF(D399="新倉",-SUM(J399:K399),IF(E399="賣",(H399-H1106)*G399*200-SUM(J399:K399),(H1106-H399)*G399*200-SUM(J399:K399))),IF(D399="新倉",-SUM(J399:K399),IF(E399="賣",(H399-H1106)*G399*50-SUM(J399:K399),(H1106-H399)*G399*50-SUM(J399:K399)))))</f>
        <v/>
      </c>
      <c r="M399" s="699">
        <f>L399</f>
        <v/>
      </c>
      <c r="N399" s="686">
        <f>M399</f>
        <v/>
      </c>
      <c r="O399" s="249" t="inlineStr">
        <is>
          <t>新倉</t>
        </is>
      </c>
      <c r="P399" s="249" t="inlineStr">
        <is>
          <t>元大期貨</t>
        </is>
      </c>
    </row>
    <row r="400" outlineLevel="1">
      <c r="A400" s="696" t="n">
        <v>45818</v>
      </c>
      <c r="B400" s="234" t="inlineStr">
        <is>
          <t>TXO</t>
        </is>
      </c>
      <c r="C400" s="229" t="inlineStr">
        <is>
          <t>週W2 C 06 21950 C</t>
        </is>
      </c>
      <c r="D400" s="229" t="inlineStr">
        <is>
          <t>平倉</t>
        </is>
      </c>
      <c r="E400" s="257" t="inlineStr">
        <is>
          <t>賣</t>
        </is>
      </c>
      <c r="F400" s="229" t="inlineStr">
        <is>
          <t>-</t>
        </is>
      </c>
      <c r="G400" s="697" t="n">
        <v>2</v>
      </c>
      <c r="H400" s="698" t="n">
        <v>85</v>
      </c>
      <c r="I400" s="697" t="n">
        <v>8500</v>
      </c>
      <c r="J400" s="585" t="n">
        <v>36</v>
      </c>
      <c r="K400" s="585" t="n">
        <v>8</v>
      </c>
      <c r="L400" s="585">
        <f>IF(B400="TXO",I400-SUM(J400:K400),IF(B400="FITX",IF(D400="新倉",-SUM(J400:K400),IF(E400="賣",(H400-H1107)*G400*200-SUM(J400:K400),(H1107-H400)*G400*200-SUM(J400:K400))),IF(D400="新倉",-SUM(J400:K400),IF(E400="賣",(H400-H1107)*G400*50-SUM(J400:K400),(H1107-H400)*G400*50-SUM(J400:K400)))))</f>
        <v/>
      </c>
      <c r="M400" s="699">
        <f>L400</f>
        <v/>
      </c>
      <c r="N400" s="686">
        <f>M400</f>
        <v/>
      </c>
      <c r="O400" s="249" t="inlineStr">
        <is>
          <t>平倉</t>
        </is>
      </c>
      <c r="P400" s="249" t="inlineStr">
        <is>
          <t>元大期貨</t>
        </is>
      </c>
    </row>
    <row r="401" outlineLevel="1">
      <c r="A401" s="696" t="n">
        <v>45817</v>
      </c>
      <c r="B401" s="234" t="inlineStr">
        <is>
          <t>TXO</t>
        </is>
      </c>
      <c r="C401" s="229" t="inlineStr">
        <is>
          <t>週W2 C 06 21800 C</t>
        </is>
      </c>
      <c r="D401" s="229" t="inlineStr">
        <is>
          <t>新倉</t>
        </is>
      </c>
      <c r="E401" s="257" t="inlineStr">
        <is>
          <t>買</t>
        </is>
      </c>
      <c r="F401" s="229" t="inlineStr">
        <is>
          <t>-</t>
        </is>
      </c>
      <c r="G401" s="697" t="n">
        <v>1</v>
      </c>
      <c r="H401" s="698" t="n">
        <v>103</v>
      </c>
      <c r="I401" s="697" t="n">
        <v>-5150</v>
      </c>
      <c r="J401" s="585" t="n">
        <v>18</v>
      </c>
      <c r="K401" s="585" t="n">
        <v>5</v>
      </c>
      <c r="L401" s="585">
        <f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/>
      </c>
      <c r="M401" s="699">
        <f>L401</f>
        <v/>
      </c>
      <c r="N401" s="686">
        <f>M401</f>
        <v/>
      </c>
      <c r="O401" s="249" t="inlineStr">
        <is>
          <t>新倉</t>
        </is>
      </c>
      <c r="P401" s="249" t="inlineStr">
        <is>
          <t>元大期貨</t>
        </is>
      </c>
    </row>
    <row r="402" outlineLevel="1">
      <c r="A402" s="696" t="n">
        <v>45818</v>
      </c>
      <c r="B402" s="234" t="inlineStr">
        <is>
          <t>TXO</t>
        </is>
      </c>
      <c r="C402" s="229" t="inlineStr">
        <is>
          <t>週W2 C 06 21800 C</t>
        </is>
      </c>
      <c r="D402" s="229" t="inlineStr">
        <is>
          <t>平倉</t>
        </is>
      </c>
      <c r="E402" s="257" t="inlineStr">
        <is>
          <t>賣</t>
        </is>
      </c>
      <c r="F402" s="229" t="inlineStr">
        <is>
          <t>-</t>
        </is>
      </c>
      <c r="G402" s="697" t="n">
        <v>1</v>
      </c>
      <c r="H402" s="698" t="n">
        <v>154</v>
      </c>
      <c r="I402" s="697" t="n">
        <v>7700</v>
      </c>
      <c r="J402" s="585" t="n">
        <v>18</v>
      </c>
      <c r="K402" s="585" t="n">
        <v>8</v>
      </c>
      <c r="L402" s="585">
        <f>IF(B402="TXO",I402-SUM(J402:K402),IF(B402="FITX",IF(D402="新倉",-SUM(J402:K402),IF(E402="賣",(H402-H1109)*G402*200-SUM(J402:K402),(H1109-H402)*G402*200-SUM(J402:K402))),IF(D402="新倉",-SUM(J402:K402),IF(E402="賣",(H402-H1109)*G402*50-SUM(J402:K402),(H1109-H402)*G402*50-SUM(J402:K402)))))</f>
        <v/>
      </c>
      <c r="M402" s="699">
        <f>L402</f>
        <v/>
      </c>
      <c r="N402" s="686">
        <f>M402</f>
        <v/>
      </c>
      <c r="O402" s="249" t="inlineStr">
        <is>
          <t>平倉</t>
        </is>
      </c>
      <c r="P402" s="249" t="inlineStr">
        <is>
          <t>元大期貨</t>
        </is>
      </c>
    </row>
    <row r="403" outlineLevel="1">
      <c r="A403" s="696" t="n">
        <v>45817</v>
      </c>
      <c r="B403" s="234" t="inlineStr">
        <is>
          <t>TXO</t>
        </is>
      </c>
      <c r="C403" s="229" t="inlineStr">
        <is>
          <t>週W2 C 06 21850 C</t>
        </is>
      </c>
      <c r="D403" s="229" t="inlineStr">
        <is>
          <t>新倉</t>
        </is>
      </c>
      <c r="E403" s="257" t="inlineStr">
        <is>
          <t>買</t>
        </is>
      </c>
      <c r="F403" s="229" t="inlineStr">
        <is>
          <t>-</t>
        </is>
      </c>
      <c r="G403" s="697" t="n">
        <v>2</v>
      </c>
      <c r="H403" s="698" t="n">
        <v>115</v>
      </c>
      <c r="I403" s="697" t="n">
        <v>-11500</v>
      </c>
      <c r="J403" s="585" t="n">
        <v>36</v>
      </c>
      <c r="K403" s="585" t="n">
        <v>12</v>
      </c>
      <c r="L403" s="585">
        <f>IF(B403="TXO",I403-SUM(J403:K403),IF(B403="FITX",IF(D403="新倉",-SUM(J403:K403),IF(E403="賣",(H403-H1110)*G403*200-SUM(J403:K403),(H1110-H403)*G403*200-SUM(J403:K403))),IF(D403="新倉",-SUM(J403:K403),IF(E403="賣",(H403-H1110)*G403*50-SUM(J403:K403),(H1110-H403)*G403*50-SUM(J403:K403)))))</f>
        <v/>
      </c>
      <c r="M403" s="699">
        <f>L403</f>
        <v/>
      </c>
      <c r="N403" s="686">
        <f>M403</f>
        <v/>
      </c>
      <c r="O403" s="249" t="inlineStr">
        <is>
          <t>新倉</t>
        </is>
      </c>
      <c r="P403" s="249" t="inlineStr">
        <is>
          <t>元大期貨</t>
        </is>
      </c>
    </row>
    <row r="404" outlineLevel="1">
      <c r="A404" s="696" t="n">
        <v>45817</v>
      </c>
      <c r="B404" s="234" t="inlineStr">
        <is>
          <t>TXO</t>
        </is>
      </c>
      <c r="C404" s="229" t="inlineStr">
        <is>
          <t>週W2 C 06 21850 C</t>
        </is>
      </c>
      <c r="D404" s="229" t="inlineStr">
        <is>
          <t>平倉</t>
        </is>
      </c>
      <c r="E404" s="257" t="inlineStr">
        <is>
          <t>賣</t>
        </is>
      </c>
      <c r="F404" s="229" t="inlineStr">
        <is>
          <t>-</t>
        </is>
      </c>
      <c r="G404" s="697" t="n">
        <v>1</v>
      </c>
      <c r="H404" s="698" t="n">
        <v>86</v>
      </c>
      <c r="I404" s="697" t="n">
        <v>4300</v>
      </c>
      <c r="J404" s="585" t="n">
        <v>18</v>
      </c>
      <c r="K404" s="585" t="n">
        <v>4</v>
      </c>
      <c r="L404" s="585">
        <f>IF(B404="TXO",I404-SUM(J404:K404),IF(B404="FITX",IF(D404="新倉",-SUM(J404:K404),IF(E404="賣",(H404-H1111)*G404*200-SUM(J404:K404),(H1111-H404)*G404*200-SUM(J404:K404))),IF(D404="新倉",-SUM(J404:K404),IF(E404="賣",(H404-H1111)*G404*50-SUM(J404:K404),(H1111-H404)*G404*50-SUM(J404:K404)))))</f>
        <v/>
      </c>
      <c r="M404" s="699">
        <f>L404</f>
        <v/>
      </c>
      <c r="N404" s="686">
        <f>M404</f>
        <v/>
      </c>
      <c r="O404" s="249" t="inlineStr">
        <is>
          <t>平倉</t>
        </is>
      </c>
      <c r="P404" s="249" t="inlineStr">
        <is>
          <t>元大期貨</t>
        </is>
      </c>
    </row>
    <row r="405" outlineLevel="1">
      <c r="A405" s="696" t="n">
        <v>45818</v>
      </c>
      <c r="B405" s="234" t="inlineStr">
        <is>
          <t>TXO</t>
        </is>
      </c>
      <c r="C405" s="229" t="inlineStr">
        <is>
          <t>週W2 C 06 21850 C</t>
        </is>
      </c>
      <c r="D405" s="229" t="inlineStr">
        <is>
          <t>平倉</t>
        </is>
      </c>
      <c r="E405" s="257" t="inlineStr">
        <is>
          <t>賣</t>
        </is>
      </c>
      <c r="F405" s="229" t="inlineStr">
        <is>
          <t>-</t>
        </is>
      </c>
      <c r="G405" s="697" t="n">
        <v>1</v>
      </c>
      <c r="H405" s="698" t="n">
        <v>141</v>
      </c>
      <c r="I405" s="697" t="n">
        <v>7050</v>
      </c>
      <c r="J405" s="585" t="n">
        <v>18</v>
      </c>
      <c r="K405" s="585" t="n">
        <v>7</v>
      </c>
      <c r="L405" s="585">
        <f>IF(B405="TXO",I405-SUM(J405:K405),IF(B405="FITX",IF(D405="新倉",-SUM(J405:K405),IF(E405="賣",(H405-H1112)*G405*200-SUM(J405:K405),(H1112-H405)*G405*200-SUM(J405:K405))),IF(D405="新倉",-SUM(J405:K405),IF(E405="賣",(H405-H1112)*G405*50-SUM(J405:K405),(H1112-H405)*G405*50-SUM(J405:K405)))))</f>
        <v/>
      </c>
      <c r="M405" s="699">
        <f>L405</f>
        <v/>
      </c>
      <c r="N405" s="686">
        <f>M405</f>
        <v/>
      </c>
      <c r="O405" s="249" t="inlineStr">
        <is>
          <t>平倉</t>
        </is>
      </c>
      <c r="P405" s="249" t="inlineStr">
        <is>
          <t>元大期貨</t>
        </is>
      </c>
    </row>
    <row r="406" outlineLevel="1">
      <c r="A406" s="696" t="n">
        <v>45818</v>
      </c>
      <c r="B406" s="234" t="inlineStr">
        <is>
          <t>TXO</t>
        </is>
      </c>
      <c r="C406" s="229" t="inlineStr">
        <is>
          <t>週W2 C 06 21950 C</t>
        </is>
      </c>
      <c r="D406" s="229" t="inlineStr">
        <is>
          <t>新倉</t>
        </is>
      </c>
      <c r="E406" s="257" t="inlineStr">
        <is>
          <t>買</t>
        </is>
      </c>
      <c r="F406" s="229" t="inlineStr">
        <is>
          <t>-</t>
        </is>
      </c>
      <c r="G406" s="697" t="n">
        <v>1</v>
      </c>
      <c r="H406" s="698" t="n">
        <v>88</v>
      </c>
      <c r="I406" s="697" t="n">
        <v>-4400</v>
      </c>
      <c r="J406" s="585" t="n">
        <v>18</v>
      </c>
      <c r="K406" s="585" t="n">
        <v>4</v>
      </c>
      <c r="L406" s="585">
        <f>IF(B406="TXO",I406-SUM(J406:K406),IF(B406="FITX",IF(D406="新倉",-SUM(J406:K406),IF(E406="賣",(H406-H1113)*G406*200-SUM(J406:K406),(H1113-H406)*G406*200-SUM(J406:K406))),IF(D406="新倉",-SUM(J406:K406),IF(E406="賣",(H406-H1113)*G406*50-SUM(J406:K406),(H1113-H406)*G406*50-SUM(J406:K406)))))</f>
        <v/>
      </c>
      <c r="M406" s="699">
        <f>L406</f>
        <v/>
      </c>
      <c r="N406" s="686">
        <f>M406</f>
        <v/>
      </c>
      <c r="O406" s="249" t="inlineStr">
        <is>
          <t>新倉</t>
        </is>
      </c>
      <c r="P406" s="249" t="inlineStr">
        <is>
          <t>元大期貨</t>
        </is>
      </c>
    </row>
    <row r="407" outlineLevel="1">
      <c r="A407" s="696" t="n">
        <v>45818</v>
      </c>
      <c r="B407" s="234" t="inlineStr">
        <is>
          <t>TXO</t>
        </is>
      </c>
      <c r="C407" s="229" t="inlineStr">
        <is>
          <t>週W2 C 06 21950 C</t>
        </is>
      </c>
      <c r="D407" s="229" t="inlineStr">
        <is>
          <t>平倉</t>
        </is>
      </c>
      <c r="E407" s="257" t="inlineStr">
        <is>
          <t>賣</t>
        </is>
      </c>
      <c r="F407" s="229" t="inlineStr">
        <is>
          <t>-</t>
        </is>
      </c>
      <c r="G407" s="697" t="n">
        <v>1</v>
      </c>
      <c r="H407" s="698" t="n">
        <v>124</v>
      </c>
      <c r="I407" s="697" t="n">
        <v>6200</v>
      </c>
      <c r="J407" s="585" t="n">
        <v>18</v>
      </c>
      <c r="K407" s="585" t="n">
        <v>6</v>
      </c>
      <c r="L407" s="585">
        <f>IF(B407="TXO",I407-SUM(J407:K407),IF(B407="FITX",IF(D407="新倉",-SUM(J407:K407),IF(E407="賣",(H407-H1114)*G407*200-SUM(J407:K407),(H1114-H407)*G407*200-SUM(J407:K407))),IF(D407="新倉",-SUM(J407:K407),IF(E407="賣",(H407-H1114)*G407*50-SUM(J407:K407),(H1114-H407)*G407*50-SUM(J407:K407)))))</f>
        <v/>
      </c>
      <c r="M407" s="699">
        <f>L407</f>
        <v/>
      </c>
      <c r="N407" s="686">
        <f>M407</f>
        <v/>
      </c>
      <c r="O407" s="249" t="inlineStr">
        <is>
          <t>平倉</t>
        </is>
      </c>
      <c r="P407" s="249" t="inlineStr">
        <is>
          <t>元大期貨</t>
        </is>
      </c>
    </row>
    <row r="408" outlineLevel="1">
      <c r="A408" s="696" t="n">
        <v>45818</v>
      </c>
      <c r="B408" s="234" t="inlineStr">
        <is>
          <t>TXO</t>
        </is>
      </c>
      <c r="C408" s="229" t="inlineStr">
        <is>
          <t>週W2 C 06 22050 C</t>
        </is>
      </c>
      <c r="D408" s="229" t="inlineStr">
        <is>
          <t>新倉</t>
        </is>
      </c>
      <c r="E408" s="257" t="inlineStr">
        <is>
          <t>買</t>
        </is>
      </c>
      <c r="F408" s="229" t="inlineStr">
        <is>
          <t>-</t>
        </is>
      </c>
      <c r="G408" s="697" t="n">
        <v>1</v>
      </c>
      <c r="H408" s="698" t="n">
        <v>50</v>
      </c>
      <c r="I408" s="697" t="n">
        <v>-2500</v>
      </c>
      <c r="J408" s="585" t="n">
        <v>18</v>
      </c>
      <c r="K408" s="585" t="n">
        <v>3</v>
      </c>
      <c r="L408" s="585">
        <f>IF(B408="TXO",I408-SUM(J408:K408),IF(B408="FITX",IF(D408="新倉",-SUM(J408:K408),IF(E408="賣",(H408-H1115)*G408*200-SUM(J408:K408),(H1115-H408)*G408*200-SUM(J408:K408))),IF(D408="新倉",-SUM(J408:K408),IF(E408="賣",(H408-H1115)*G408*50-SUM(J408:K408),(H1115-H408)*G408*50-SUM(J408:K408)))))</f>
        <v/>
      </c>
      <c r="M408" s="699">
        <f>L408</f>
        <v/>
      </c>
      <c r="N408" s="686">
        <f>M408</f>
        <v/>
      </c>
      <c r="O408" s="249" t="inlineStr">
        <is>
          <t>新倉</t>
        </is>
      </c>
      <c r="P408" s="249" t="inlineStr">
        <is>
          <t>元大期貨</t>
        </is>
      </c>
    </row>
    <row r="409" outlineLevel="1">
      <c r="A409" s="696" t="n">
        <v>45818</v>
      </c>
      <c r="B409" s="234" t="inlineStr">
        <is>
          <t>TXO</t>
        </is>
      </c>
      <c r="C409" s="229" t="inlineStr">
        <is>
          <t>週W2 C 06 22050 C</t>
        </is>
      </c>
      <c r="D409" s="229" t="inlineStr">
        <is>
          <t>平倉</t>
        </is>
      </c>
      <c r="E409" s="257" t="inlineStr">
        <is>
          <t>賣</t>
        </is>
      </c>
      <c r="F409" s="229" t="inlineStr">
        <is>
          <t>-</t>
        </is>
      </c>
      <c r="G409" s="697" t="n">
        <v>1</v>
      </c>
      <c r="H409" s="698" t="n">
        <v>148</v>
      </c>
      <c r="I409" s="697" t="n">
        <v>7400</v>
      </c>
      <c r="J409" s="585" t="n">
        <v>18</v>
      </c>
      <c r="K409" s="585" t="n">
        <v>7</v>
      </c>
      <c r="L409" s="585">
        <f>IF(B409="TXO",I409-SUM(J409:K409),IF(B409="FITX",IF(D409="新倉",-SUM(J409:K409),IF(E409="賣",(H409-H1116)*G409*200-SUM(J409:K409),(H1116-H409)*G409*200-SUM(J409:K409))),IF(D409="新倉",-SUM(J409:K409),IF(E409="賣",(H409-H1116)*G409*50-SUM(J409:K409),(H1116-H409)*G409*50-SUM(J409:K409)))))</f>
        <v/>
      </c>
      <c r="M409" s="699">
        <f>L409</f>
        <v/>
      </c>
      <c r="N409" s="686">
        <f>M409</f>
        <v/>
      </c>
      <c r="O409" s="249" t="inlineStr">
        <is>
          <t>平倉</t>
        </is>
      </c>
      <c r="P409" s="249" t="inlineStr">
        <is>
          <t>元大期貨</t>
        </is>
      </c>
    </row>
    <row r="410" outlineLevel="1">
      <c r="A410" s="696" t="n">
        <v>45818</v>
      </c>
      <c r="B410" s="234" t="inlineStr">
        <is>
          <t>TXO</t>
        </is>
      </c>
      <c r="C410" s="229" t="inlineStr">
        <is>
          <t>週W2 C 06 21950 C</t>
        </is>
      </c>
      <c r="D410" s="229" t="inlineStr">
        <is>
          <t>新倉</t>
        </is>
      </c>
      <c r="E410" s="257" t="inlineStr">
        <is>
          <t>買</t>
        </is>
      </c>
      <c r="F410" s="229" t="inlineStr">
        <is>
          <t>-</t>
        </is>
      </c>
      <c r="G410" s="697" t="n">
        <v>2</v>
      </c>
      <c r="H410" s="698" t="n">
        <v>73</v>
      </c>
      <c r="I410" s="697" t="n">
        <v>-7300</v>
      </c>
      <c r="J410" s="585" t="n">
        <v>36</v>
      </c>
      <c r="K410" s="585" t="n">
        <v>8</v>
      </c>
      <c r="L410" s="585">
        <f>IF(B410="TXO",I410-SUM(J410:K410),IF(B410="FITX",IF(D410="新倉",-SUM(J410:K410),IF(E410="賣",(H410-H1117)*G410*200-SUM(J410:K410),(H1117-H410)*G410*200-SUM(J410:K410))),IF(D410="新倉",-SUM(J410:K410),IF(E410="賣",(H410-H1117)*G410*50-SUM(J410:K410),(H1117-H410)*G410*50-SUM(J410:K410)))))</f>
        <v/>
      </c>
      <c r="M410" s="699">
        <f>L410</f>
        <v/>
      </c>
      <c r="N410" s="686">
        <f>M410</f>
        <v/>
      </c>
      <c r="O410" s="249" t="inlineStr">
        <is>
          <t>新倉</t>
        </is>
      </c>
      <c r="P410" s="249" t="inlineStr">
        <is>
          <t>元大期貨</t>
        </is>
      </c>
    </row>
    <row r="411" outlineLevel="1">
      <c r="A411" s="696" t="n">
        <v>45818</v>
      </c>
      <c r="B411" s="234" t="inlineStr">
        <is>
          <t>TXO</t>
        </is>
      </c>
      <c r="C411" s="229" t="inlineStr">
        <is>
          <t>週W2 C 06 21950 C</t>
        </is>
      </c>
      <c r="D411" s="229" t="inlineStr">
        <is>
          <t>平倉</t>
        </is>
      </c>
      <c r="E411" s="257" t="inlineStr">
        <is>
          <t>賣</t>
        </is>
      </c>
      <c r="F411" s="229" t="inlineStr">
        <is>
          <t>-</t>
        </is>
      </c>
      <c r="G411" s="697" t="n">
        <v>2</v>
      </c>
      <c r="H411" s="698" t="n">
        <v>84</v>
      </c>
      <c r="I411" s="697" t="n">
        <v>8400</v>
      </c>
      <c r="J411" s="585" t="n">
        <v>36</v>
      </c>
      <c r="K411" s="585" t="n">
        <v>8</v>
      </c>
      <c r="L411" s="585">
        <f>IF(B411="TXO",I411-SUM(J411:K411),IF(B411="FITX",IF(D411="新倉",-SUM(J411:K411),IF(E411="賣",(H411-H1118)*G411*200-SUM(J411:K411),(H1118-H411)*G411*200-SUM(J411:K411))),IF(D411="新倉",-SUM(J411:K411),IF(E411="賣",(H411-H1118)*G411*50-SUM(J411:K411),(H1118-H411)*G411*50-SUM(J411:K411)))))</f>
        <v/>
      </c>
      <c r="M411" s="699">
        <f>L411</f>
        <v/>
      </c>
      <c r="N411" s="686">
        <f>M411</f>
        <v/>
      </c>
      <c r="O411" s="249" t="inlineStr">
        <is>
          <t>平倉</t>
        </is>
      </c>
      <c r="P411" s="249" t="inlineStr">
        <is>
          <t>元大期貨</t>
        </is>
      </c>
    </row>
    <row r="412" outlineLevel="1">
      <c r="A412" s="696" t="n">
        <v>45818</v>
      </c>
      <c r="B412" s="234" t="inlineStr">
        <is>
          <t>TXO</t>
        </is>
      </c>
      <c r="C412" s="229" t="inlineStr">
        <is>
          <t>週W2 P 06 21650 P</t>
        </is>
      </c>
      <c r="D412" s="229" t="inlineStr">
        <is>
          <t>新倉</t>
        </is>
      </c>
      <c r="E412" s="257" t="inlineStr">
        <is>
          <t>買</t>
        </is>
      </c>
      <c r="F412" s="229" t="inlineStr">
        <is>
          <t>-</t>
        </is>
      </c>
      <c r="G412" s="697" t="n">
        <v>2</v>
      </c>
      <c r="H412" s="698" t="n">
        <v>60</v>
      </c>
      <c r="I412" s="697" t="n">
        <v>-6000</v>
      </c>
      <c r="J412" s="585" t="n">
        <v>36</v>
      </c>
      <c r="K412" s="585" t="n">
        <v>6</v>
      </c>
      <c r="L412" s="585">
        <f>IF(B412="TXO",I412-SUM(J412:K412),IF(B412="FITX",IF(D412="新倉",-SUM(J412:K412),IF(E412="賣",(H412-H1119)*G412*200-SUM(J412:K412),(H1119-H412)*G412*200-SUM(J412:K412))),IF(D412="新倉",-SUM(J412:K412),IF(E412="賣",(H412-H1119)*G412*50-SUM(J412:K412),(H1119-H412)*G412*50-SUM(J412:K412)))))</f>
        <v/>
      </c>
      <c r="M412" s="699">
        <f>L412</f>
        <v/>
      </c>
      <c r="N412" s="686">
        <f>M412</f>
        <v/>
      </c>
      <c r="O412" s="249" t="inlineStr">
        <is>
          <t>新倉</t>
        </is>
      </c>
      <c r="P412" s="249" t="inlineStr">
        <is>
          <t>元大期貨</t>
        </is>
      </c>
    </row>
    <row r="413" outlineLevel="1">
      <c r="A413" s="696" t="n">
        <v>45818</v>
      </c>
      <c r="B413" s="234" t="inlineStr">
        <is>
          <t>TXO</t>
        </is>
      </c>
      <c r="C413" s="229" t="inlineStr">
        <is>
          <t>週W2 P 06 21650 P</t>
        </is>
      </c>
      <c r="D413" s="229" t="inlineStr">
        <is>
          <t>平倉</t>
        </is>
      </c>
      <c r="E413" s="257" t="inlineStr">
        <is>
          <t>賣</t>
        </is>
      </c>
      <c r="F413" s="229" t="inlineStr">
        <is>
          <t>-</t>
        </is>
      </c>
      <c r="G413" s="697" t="n">
        <v>2</v>
      </c>
      <c r="H413" s="698" t="n">
        <v>40</v>
      </c>
      <c r="I413" s="697" t="n">
        <v>4000</v>
      </c>
      <c r="J413" s="585" t="n">
        <v>36</v>
      </c>
      <c r="K413" s="585" t="n">
        <v>4</v>
      </c>
      <c r="L413" s="585">
        <f>IF(B413="TXO",I413-SUM(J413:K413),IF(B413="FITX",IF(D413="新倉",-SUM(J413:K413),IF(E413="賣",(H413-H1120)*G413*200-SUM(J413:K413),(H1120-H413)*G413*200-SUM(J413:K413))),IF(D413="新倉",-SUM(J413:K413),IF(E413="賣",(H413-H1120)*G413*50-SUM(J413:K413),(H1120-H413)*G413*50-SUM(J413:K413)))))</f>
        <v/>
      </c>
      <c r="M413" s="699">
        <f>L413</f>
        <v/>
      </c>
      <c r="N413" s="686">
        <f>M413</f>
        <v/>
      </c>
      <c r="O413" s="249" t="inlineStr">
        <is>
          <t>平倉</t>
        </is>
      </c>
      <c r="P413" s="249" t="inlineStr">
        <is>
          <t>元大期貨</t>
        </is>
      </c>
    </row>
    <row r="414" outlineLevel="1">
      <c r="A414" s="696" t="n">
        <v>45818</v>
      </c>
      <c r="B414" s="234" t="inlineStr">
        <is>
          <t>TXO</t>
        </is>
      </c>
      <c r="C414" s="229" t="inlineStr">
        <is>
          <t>週W2 C 06 22600 C</t>
        </is>
      </c>
      <c r="D414" s="229" t="inlineStr">
        <is>
          <t>新倉</t>
        </is>
      </c>
      <c r="E414" s="257" t="inlineStr">
        <is>
          <t>買</t>
        </is>
      </c>
      <c r="F414" s="229" t="inlineStr">
        <is>
          <t>-</t>
        </is>
      </c>
      <c r="G414" s="697" t="n">
        <v>2</v>
      </c>
      <c r="H414" s="698" t="n">
        <v>15.5</v>
      </c>
      <c r="I414" s="697" t="n">
        <v>-1550</v>
      </c>
      <c r="J414" s="585" t="n">
        <v>36</v>
      </c>
      <c r="K414" s="585" t="n">
        <v>2</v>
      </c>
      <c r="L414" s="585">
        <f>IF(B414="TXO",I414-SUM(J414:K414),IF(B414="FITX",IF(D414="新倉",-SUM(J414:K414),IF(E414="賣",(H414-H1121)*G414*200-SUM(J414:K414),(H1121-H414)*G414*200-SUM(J414:K414))),IF(D414="新倉",-SUM(J414:K414),IF(E414="賣",(H414-H1121)*G414*50-SUM(J414:K414),(H1121-H414)*G414*50-SUM(J414:K414)))))</f>
        <v/>
      </c>
      <c r="M414" s="699">
        <f>L414</f>
        <v/>
      </c>
      <c r="N414" s="686">
        <f>M414</f>
        <v/>
      </c>
      <c r="O414" s="261" t="inlineStr">
        <is>
          <t>放棄</t>
        </is>
      </c>
      <c r="P414" s="249" t="inlineStr">
        <is>
          <t>元大期貨</t>
        </is>
      </c>
    </row>
    <row r="415" outlineLevel="1">
      <c r="A415" s="696" t="n">
        <v>45818</v>
      </c>
      <c r="B415" s="234" t="inlineStr">
        <is>
          <t>TXO</t>
        </is>
      </c>
      <c r="C415" s="229" t="inlineStr">
        <is>
          <t>週W2 C 06 22350 C</t>
        </is>
      </c>
      <c r="D415" s="229" t="inlineStr">
        <is>
          <t>新倉</t>
        </is>
      </c>
      <c r="E415" s="257" t="inlineStr">
        <is>
          <t>買</t>
        </is>
      </c>
      <c r="F415" s="229" t="inlineStr">
        <is>
          <t>-</t>
        </is>
      </c>
      <c r="G415" s="697" t="n">
        <v>1</v>
      </c>
      <c r="H415" s="698" t="n">
        <v>45</v>
      </c>
      <c r="I415" s="697" t="n">
        <v>-2250</v>
      </c>
      <c r="J415" s="585" t="n">
        <v>18</v>
      </c>
      <c r="K415" s="585" t="n">
        <v>2</v>
      </c>
      <c r="L415" s="585">
        <f>IF(B415="TXO",I415-SUM(J415:K415),IF(B415="FITX",IF(D415="新倉",-SUM(J415:K415),IF(E415="賣",(H415-H1122)*G415*200-SUM(J415:K415),(H1122-H415)*G415*200-SUM(J415:K415))),IF(D415="新倉",-SUM(J415:K415),IF(E415="賣",(H415-H1122)*G415*50-SUM(J415:K415),(H1122-H415)*G415*50-SUM(J415:K415)))))</f>
        <v/>
      </c>
      <c r="M415" s="699">
        <f>L415</f>
        <v/>
      </c>
      <c r="N415" s="686">
        <f>M415</f>
        <v/>
      </c>
      <c r="O415" s="249" t="inlineStr">
        <is>
          <t>新倉</t>
        </is>
      </c>
      <c r="P415" s="249" t="inlineStr">
        <is>
          <t>元大期貨</t>
        </is>
      </c>
    </row>
    <row r="416" outlineLevel="1">
      <c r="A416" s="696" t="n">
        <v>45818</v>
      </c>
      <c r="B416" s="234" t="inlineStr">
        <is>
          <t>TXO</t>
        </is>
      </c>
      <c r="C416" s="229" t="inlineStr">
        <is>
          <t>週W2 C 06 22350 C</t>
        </is>
      </c>
      <c r="D416" s="229" t="inlineStr">
        <is>
          <t>平倉</t>
        </is>
      </c>
      <c r="E416" s="257" t="inlineStr">
        <is>
          <t>賣</t>
        </is>
      </c>
      <c r="F416" s="229" t="inlineStr">
        <is>
          <t>-</t>
        </is>
      </c>
      <c r="G416" s="697" t="n">
        <v>1</v>
      </c>
      <c r="H416" s="698" t="n">
        <v>67</v>
      </c>
      <c r="I416" s="697" t="n">
        <v>3350</v>
      </c>
      <c r="J416" s="585" t="n">
        <v>18</v>
      </c>
      <c r="K416" s="585" t="n">
        <v>3</v>
      </c>
      <c r="L416" s="585">
        <f>IF(B416="TXO",I416-SUM(J416:K416),IF(B416="FITX",IF(D416="新倉",-SUM(J416:K416),IF(E416="賣",(H416-H1123)*G416*200-SUM(J416:K416),(H1123-H416)*G416*200-SUM(J416:K416))),IF(D416="新倉",-SUM(J416:K416),IF(E416="賣",(H416-H1123)*G416*50-SUM(J416:K416),(H1123-H416)*G416*50-SUM(J416:K416)))))</f>
        <v/>
      </c>
      <c r="M416" s="699">
        <f>L416</f>
        <v/>
      </c>
      <c r="N416" s="686">
        <f>M416</f>
        <v/>
      </c>
      <c r="O416" s="249" t="inlineStr">
        <is>
          <t>平倉</t>
        </is>
      </c>
      <c r="P416" s="249" t="inlineStr">
        <is>
          <t>元大期貨</t>
        </is>
      </c>
    </row>
    <row r="417" outlineLevel="1">
      <c r="A417" s="696" t="n">
        <v>45819</v>
      </c>
      <c r="B417" s="234" t="inlineStr">
        <is>
          <t>TXO</t>
        </is>
      </c>
      <c r="C417" s="229" t="inlineStr">
        <is>
          <t>週W2 C 06 22400 C</t>
        </is>
      </c>
      <c r="D417" s="229" t="inlineStr">
        <is>
          <t>新倉</t>
        </is>
      </c>
      <c r="E417" s="257" t="inlineStr">
        <is>
          <t>買</t>
        </is>
      </c>
      <c r="F417" s="229" t="inlineStr">
        <is>
          <t>-</t>
        </is>
      </c>
      <c r="G417" s="697" t="n">
        <v>1</v>
      </c>
      <c r="H417" s="698" t="n">
        <v>24</v>
      </c>
      <c r="I417" s="697" t="n">
        <v>-1200</v>
      </c>
      <c r="J417" s="585" t="n">
        <v>18</v>
      </c>
      <c r="K417" s="585" t="n">
        <v>1</v>
      </c>
      <c r="L417" s="585">
        <f>IF(B417="TXO",I417-SUM(J417:K417),IF(B417="FITX",IF(D417="新倉",-SUM(J417:K417),IF(E417="賣",(H417-H1124)*G417*200-SUM(J417:K417),(H1124-H417)*G417*200-SUM(J417:K417))),IF(D417="新倉",-SUM(J417:K417),IF(E417="賣",(H417-H1124)*G417*50-SUM(J417:K417),(H1124-H417)*G417*50-SUM(J417:K417)))))</f>
        <v/>
      </c>
      <c r="M417" s="699">
        <f>L417</f>
        <v/>
      </c>
      <c r="N417" s="686">
        <f>M417</f>
        <v/>
      </c>
      <c r="O417" s="276" t="inlineStr">
        <is>
          <t>履約</t>
        </is>
      </c>
      <c r="P417" s="249" t="inlineStr">
        <is>
          <t>元大期貨</t>
        </is>
      </c>
    </row>
    <row r="418" outlineLevel="1">
      <c r="A418" s="696" t="n">
        <v>45819</v>
      </c>
      <c r="B418" s="234" t="inlineStr">
        <is>
          <t>TXO</t>
        </is>
      </c>
      <c r="C418" s="229" t="inlineStr">
        <is>
          <t>週W2 C 06 22400 C</t>
        </is>
      </c>
      <c r="D418" s="229" t="inlineStr">
        <is>
          <t>平倉</t>
        </is>
      </c>
      <c r="E418" s="257" t="inlineStr">
        <is>
          <t>賣</t>
        </is>
      </c>
      <c r="F418" s="229" t="inlineStr">
        <is>
          <t>-</t>
        </is>
      </c>
      <c r="G418" s="697" t="n">
        <v>1</v>
      </c>
      <c r="H418" s="698" t="n">
        <v>27</v>
      </c>
      <c r="I418" s="697" t="n">
        <v>250</v>
      </c>
      <c r="J418" s="585" t="n">
        <v>18</v>
      </c>
      <c r="K418" s="585" t="n">
        <v>22</v>
      </c>
      <c r="L418" s="585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/>
      </c>
      <c r="M418" s="699">
        <f>L418</f>
        <v/>
      </c>
      <c r="N418" s="686">
        <f>M418</f>
        <v/>
      </c>
      <c r="O418" s="276" t="inlineStr">
        <is>
          <t>履約</t>
        </is>
      </c>
      <c r="P418" s="249" t="inlineStr">
        <is>
          <t>元大期貨</t>
        </is>
      </c>
    </row>
    <row r="419" outlineLevel="1">
      <c r="A419" s="696" t="n">
        <v>45819</v>
      </c>
      <c r="B419" s="234" t="inlineStr">
        <is>
          <t>TXO</t>
        </is>
      </c>
      <c r="C419" s="229" t="inlineStr">
        <is>
          <t>週W2 P 06 22100 P</t>
        </is>
      </c>
      <c r="D419" s="229" t="inlineStr">
        <is>
          <t>新倉</t>
        </is>
      </c>
      <c r="E419" s="257" t="inlineStr">
        <is>
          <t>買</t>
        </is>
      </c>
      <c r="F419" s="229" t="inlineStr">
        <is>
          <t>-</t>
        </is>
      </c>
      <c r="G419" s="697" t="n">
        <v>3</v>
      </c>
      <c r="H419" s="698" t="n">
        <v>26.5</v>
      </c>
      <c r="I419" s="697" t="n">
        <v>-3975</v>
      </c>
      <c r="J419" s="585" t="n">
        <v>54</v>
      </c>
      <c r="K419" s="585" t="n">
        <v>3</v>
      </c>
      <c r="L419" s="585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/>
      </c>
      <c r="M419" s="699">
        <f>L419</f>
        <v/>
      </c>
      <c r="N419" s="686">
        <f>M419</f>
        <v/>
      </c>
      <c r="O419" s="249" t="inlineStr">
        <is>
          <t>新倉</t>
        </is>
      </c>
      <c r="P419" s="249" t="inlineStr">
        <is>
          <t>元大期貨</t>
        </is>
      </c>
    </row>
    <row r="420" outlineLevel="1">
      <c r="A420" s="696" t="n">
        <v>45819</v>
      </c>
      <c r="B420" s="234" t="inlineStr">
        <is>
          <t>TXO</t>
        </is>
      </c>
      <c r="C420" s="229" t="inlineStr">
        <is>
          <t>週W2 P 06 22100 P</t>
        </is>
      </c>
      <c r="D420" s="229" t="inlineStr">
        <is>
          <t>平倉</t>
        </is>
      </c>
      <c r="E420" s="257" t="inlineStr">
        <is>
          <t>賣</t>
        </is>
      </c>
      <c r="F420" s="229" t="inlineStr">
        <is>
          <t>-</t>
        </is>
      </c>
      <c r="G420" s="697" t="n">
        <v>2</v>
      </c>
      <c r="H420" s="698" t="n">
        <v>47</v>
      </c>
      <c r="I420" s="697" t="n">
        <v>4700</v>
      </c>
      <c r="J420" s="585" t="n">
        <v>36</v>
      </c>
      <c r="K420" s="585" t="n">
        <v>4</v>
      </c>
      <c r="L420" s="585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/>
      </c>
      <c r="M420" s="699">
        <f>L420</f>
        <v/>
      </c>
      <c r="N420" s="686">
        <f>M420</f>
        <v/>
      </c>
      <c r="O420" s="249" t="inlineStr">
        <is>
          <t>平倉</t>
        </is>
      </c>
      <c r="P420" s="249" t="inlineStr">
        <is>
          <t>元大期貨</t>
        </is>
      </c>
    </row>
    <row r="421" outlineLevel="1">
      <c r="A421" s="696" t="n">
        <v>45819</v>
      </c>
      <c r="B421" s="234" t="inlineStr">
        <is>
          <t>TXO</t>
        </is>
      </c>
      <c r="C421" s="229" t="inlineStr">
        <is>
          <t>週W2 P 06 22100 P</t>
        </is>
      </c>
      <c r="D421" s="229" t="inlineStr">
        <is>
          <t>平倉</t>
        </is>
      </c>
      <c r="E421" s="257" t="inlineStr">
        <is>
          <t>賣</t>
        </is>
      </c>
      <c r="F421" s="229" t="inlineStr">
        <is>
          <t>-</t>
        </is>
      </c>
      <c r="G421" s="697" t="n">
        <v>1</v>
      </c>
      <c r="H421" s="698" t="n">
        <v>46.5</v>
      </c>
      <c r="I421" s="697" t="n">
        <v>2325</v>
      </c>
      <c r="J421" s="585" t="n">
        <v>18</v>
      </c>
      <c r="K421" s="585" t="n">
        <v>2</v>
      </c>
      <c r="L421" s="585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/>
      </c>
      <c r="M421" s="699">
        <f>L421</f>
        <v/>
      </c>
      <c r="N421" s="686">
        <f>M421</f>
        <v/>
      </c>
      <c r="O421" s="249" t="inlineStr">
        <is>
          <t>平倉</t>
        </is>
      </c>
      <c r="P421" s="249" t="inlineStr">
        <is>
          <t>元大期貨</t>
        </is>
      </c>
    </row>
    <row r="422" outlineLevel="1">
      <c r="A422" s="696" t="n">
        <v>45819</v>
      </c>
      <c r="B422" s="234" t="inlineStr">
        <is>
          <t>TXO</t>
        </is>
      </c>
      <c r="C422" s="229" t="inlineStr">
        <is>
          <t>週W2 C 06 22400 C</t>
        </is>
      </c>
      <c r="D422" s="229" t="inlineStr">
        <is>
          <t>新倉</t>
        </is>
      </c>
      <c r="E422" s="257" t="inlineStr">
        <is>
          <t>買</t>
        </is>
      </c>
      <c r="F422" s="229" t="inlineStr">
        <is>
          <t>-</t>
        </is>
      </c>
      <c r="G422" s="697" t="n">
        <v>2</v>
      </c>
      <c r="H422" s="698" t="n">
        <v>46.5</v>
      </c>
      <c r="I422" s="697" t="n">
        <v>-4650</v>
      </c>
      <c r="J422" s="585" t="n">
        <v>36</v>
      </c>
      <c r="K422" s="585" t="n">
        <v>4</v>
      </c>
      <c r="L422" s="585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/>
      </c>
      <c r="M422" s="699">
        <f>L422</f>
        <v/>
      </c>
      <c r="N422" s="686">
        <f>M422</f>
        <v/>
      </c>
      <c r="O422" s="276" t="inlineStr">
        <is>
          <t>履約</t>
        </is>
      </c>
      <c r="P422" s="249" t="inlineStr">
        <is>
          <t>元大期貨</t>
        </is>
      </c>
    </row>
    <row r="423" outlineLevel="1">
      <c r="A423" s="696" t="n">
        <v>45819</v>
      </c>
      <c r="B423" s="234" t="inlineStr">
        <is>
          <t>TXO</t>
        </is>
      </c>
      <c r="C423" s="229" t="inlineStr">
        <is>
          <t>週W2 C 06 22400 C</t>
        </is>
      </c>
      <c r="D423" s="229" t="inlineStr">
        <is>
          <t>平倉</t>
        </is>
      </c>
      <c r="E423" s="257" t="inlineStr">
        <is>
          <t>賣</t>
        </is>
      </c>
      <c r="F423" s="229" t="inlineStr">
        <is>
          <t>-</t>
        </is>
      </c>
      <c r="G423" s="697" t="n">
        <v>2</v>
      </c>
      <c r="H423" s="698" t="n">
        <v>27</v>
      </c>
      <c r="I423" s="697" t="n">
        <v>500</v>
      </c>
      <c r="J423" s="585" t="n">
        <v>36</v>
      </c>
      <c r="K423" s="585" t="n">
        <v>44</v>
      </c>
      <c r="L423" s="585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/>
      </c>
      <c r="M423" s="699">
        <f>L423</f>
        <v/>
      </c>
      <c r="N423" s="686">
        <f>M423</f>
        <v/>
      </c>
      <c r="O423" s="276" t="inlineStr">
        <is>
          <t>履約</t>
        </is>
      </c>
      <c r="P423" s="249" t="inlineStr">
        <is>
          <t>元大期貨</t>
        </is>
      </c>
    </row>
    <row r="424" outlineLevel="1">
      <c r="A424" s="696" t="n">
        <v>45819</v>
      </c>
      <c r="B424" s="234" t="inlineStr">
        <is>
          <t>TXO</t>
        </is>
      </c>
      <c r="C424" s="229" t="inlineStr">
        <is>
          <t>週W2 P 06 22150 P</t>
        </is>
      </c>
      <c r="D424" s="229" t="inlineStr">
        <is>
          <t>新倉</t>
        </is>
      </c>
      <c r="E424" s="257" t="inlineStr">
        <is>
          <t>買</t>
        </is>
      </c>
      <c r="F424" s="229" t="inlineStr">
        <is>
          <t>-</t>
        </is>
      </c>
      <c r="G424" s="697" t="n">
        <v>1</v>
      </c>
      <c r="H424" s="698" t="n">
        <v>51</v>
      </c>
      <c r="I424" s="697" t="n">
        <v>-2550</v>
      </c>
      <c r="J424" s="585" t="n">
        <v>18</v>
      </c>
      <c r="K424" s="585" t="n">
        <v>3</v>
      </c>
      <c r="L424" s="585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/>
      </c>
      <c r="M424" s="699">
        <f>L424</f>
        <v/>
      </c>
      <c r="N424" s="686">
        <f>M424</f>
        <v/>
      </c>
      <c r="O424" s="249" t="inlineStr">
        <is>
          <t>新倉</t>
        </is>
      </c>
      <c r="P424" s="249" t="inlineStr">
        <is>
          <t>元大期貨</t>
        </is>
      </c>
    </row>
    <row r="425" outlineLevel="1">
      <c r="A425" s="696" t="n">
        <v>45819</v>
      </c>
      <c r="B425" s="234" t="inlineStr">
        <is>
          <t>TXO</t>
        </is>
      </c>
      <c r="C425" s="229" t="inlineStr">
        <is>
          <t>週W2 P 06 22150 P</t>
        </is>
      </c>
      <c r="D425" s="229" t="inlineStr">
        <is>
          <t>平倉</t>
        </is>
      </c>
      <c r="E425" s="257" t="inlineStr">
        <is>
          <t>賣</t>
        </is>
      </c>
      <c r="F425" s="229" t="inlineStr">
        <is>
          <t>-</t>
        </is>
      </c>
      <c r="G425" s="697" t="n">
        <v>1</v>
      </c>
      <c r="H425" s="698" t="n">
        <v>37</v>
      </c>
      <c r="I425" s="697" t="n">
        <v>1850</v>
      </c>
      <c r="J425" s="585" t="n">
        <v>18</v>
      </c>
      <c r="K425" s="585" t="n">
        <v>2</v>
      </c>
      <c r="L425" s="585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/>
      </c>
      <c r="M425" s="699">
        <f>L425</f>
        <v/>
      </c>
      <c r="N425" s="686">
        <f>M425</f>
        <v/>
      </c>
      <c r="O425" s="249" t="inlineStr">
        <is>
          <t>平倉</t>
        </is>
      </c>
      <c r="P425" s="249" t="inlineStr">
        <is>
          <t>元大期貨</t>
        </is>
      </c>
    </row>
    <row r="426" outlineLevel="1">
      <c r="A426" s="696" t="n">
        <v>45819</v>
      </c>
      <c r="B426" s="234" t="inlineStr">
        <is>
          <t>TXO</t>
        </is>
      </c>
      <c r="C426" s="229" t="inlineStr">
        <is>
          <t>週W2 P 06 22100 P</t>
        </is>
      </c>
      <c r="D426" s="229" t="inlineStr">
        <is>
          <t>新倉</t>
        </is>
      </c>
      <c r="E426" s="257" t="inlineStr">
        <is>
          <t>買</t>
        </is>
      </c>
      <c r="F426" s="229" t="inlineStr">
        <is>
          <t>-</t>
        </is>
      </c>
      <c r="G426" s="697" t="n">
        <v>5</v>
      </c>
      <c r="H426" s="698" t="n">
        <v>2.7</v>
      </c>
      <c r="I426" s="697" t="n">
        <v>-675</v>
      </c>
      <c r="J426" s="585" t="n">
        <v>90</v>
      </c>
      <c r="K426" s="585" t="n">
        <v>0</v>
      </c>
      <c r="L426" s="585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/>
      </c>
      <c r="M426" s="699">
        <f>L426</f>
        <v/>
      </c>
      <c r="N426" s="686">
        <f>M426</f>
        <v/>
      </c>
      <c r="O426" s="261" t="inlineStr">
        <is>
          <t>放棄</t>
        </is>
      </c>
      <c r="P426" s="249" t="inlineStr">
        <is>
          <t>元大期貨</t>
        </is>
      </c>
    </row>
    <row r="427" outlineLevel="1">
      <c r="A427" s="696" t="n">
        <v>45819</v>
      </c>
      <c r="B427" s="234" t="inlineStr">
        <is>
          <t>TXO</t>
        </is>
      </c>
      <c r="C427" s="229" t="inlineStr">
        <is>
          <t>週W2 C 06 22400 C</t>
        </is>
      </c>
      <c r="D427" s="229" t="inlineStr">
        <is>
          <t>新倉</t>
        </is>
      </c>
      <c r="E427" s="257" t="inlineStr">
        <is>
          <t>買</t>
        </is>
      </c>
      <c r="F427" s="229" t="inlineStr">
        <is>
          <t>-</t>
        </is>
      </c>
      <c r="G427" s="697" t="n">
        <v>2</v>
      </c>
      <c r="H427" s="698" t="n">
        <v>27</v>
      </c>
      <c r="I427" s="697" t="n">
        <v>-2700</v>
      </c>
      <c r="J427" s="585" t="n">
        <v>36</v>
      </c>
      <c r="K427" s="585" t="n">
        <v>2</v>
      </c>
      <c r="L427" s="585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/>
      </c>
      <c r="M427" s="699">
        <f>L427</f>
        <v/>
      </c>
      <c r="N427" s="686">
        <f>M427</f>
        <v/>
      </c>
      <c r="O427" s="276" t="inlineStr">
        <is>
          <t>履約</t>
        </is>
      </c>
      <c r="P427" s="249" t="inlineStr">
        <is>
          <t>元大期貨</t>
        </is>
      </c>
    </row>
    <row r="428" outlineLevel="1">
      <c r="A428" s="696" t="n">
        <v>45819</v>
      </c>
      <c r="B428" s="234" t="inlineStr">
        <is>
          <t>TXO</t>
        </is>
      </c>
      <c r="C428" s="229" t="inlineStr">
        <is>
          <t>週W2 C 06 22400 C</t>
        </is>
      </c>
      <c r="D428" s="229" t="inlineStr">
        <is>
          <t>平倉</t>
        </is>
      </c>
      <c r="E428" s="257" t="inlineStr">
        <is>
          <t>賣</t>
        </is>
      </c>
      <c r="F428" s="229" t="inlineStr">
        <is>
          <t>-</t>
        </is>
      </c>
      <c r="G428" s="697" t="n">
        <v>2</v>
      </c>
      <c r="H428" s="698" t="n">
        <v>27</v>
      </c>
      <c r="I428" s="697" t="n">
        <v>500</v>
      </c>
      <c r="J428" s="585" t="n">
        <v>36</v>
      </c>
      <c r="K428" s="585" t="n">
        <v>44</v>
      </c>
      <c r="L428" s="585">
        <f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/>
      </c>
      <c r="M428" s="699">
        <f>L428</f>
        <v/>
      </c>
      <c r="N428" s="686">
        <f>M428</f>
        <v/>
      </c>
      <c r="O428" s="276" t="inlineStr">
        <is>
          <t>履約</t>
        </is>
      </c>
      <c r="P428" s="249" t="inlineStr">
        <is>
          <t>元大期貨</t>
        </is>
      </c>
    </row>
    <row r="429" outlineLevel="1">
      <c r="A429" s="696" t="n">
        <v>45820</v>
      </c>
      <c r="B429" s="234" t="inlineStr">
        <is>
          <t>TXO</t>
        </is>
      </c>
      <c r="C429" s="229" t="inlineStr">
        <is>
          <t>台指 C 06 22550 C</t>
        </is>
      </c>
      <c r="D429" s="229" t="inlineStr">
        <is>
          <t>新倉</t>
        </is>
      </c>
      <c r="E429" s="257" t="inlineStr">
        <is>
          <t>買</t>
        </is>
      </c>
      <c r="F429" s="229" t="inlineStr">
        <is>
          <t>-</t>
        </is>
      </c>
      <c r="G429" s="697" t="n">
        <v>1</v>
      </c>
      <c r="H429" s="698" t="n">
        <v>160</v>
      </c>
      <c r="I429" s="697" t="n">
        <v>-8000</v>
      </c>
      <c r="J429" s="585" t="n">
        <v>18</v>
      </c>
      <c r="K429" s="585" t="n">
        <v>8</v>
      </c>
      <c r="L429" s="585">
        <f>IF(B429="TXO",I429-SUM(J429:K429),IF(B429="FITX",IF(D429="新倉",-SUM(J429:K429),IF(E429="賣",(H429-H1133)*G429*200-SUM(J429:K429),(H1133-H429)*G429*200-SUM(J429:K429))),IF(D429="新倉",-SUM(J429:K429),IF(E429="賣",(H429-H1133)*G429*50-SUM(J429:K429),(H1133-H429)*G429*50-SUM(J429:K429)))))</f>
        <v/>
      </c>
      <c r="M429" s="699">
        <f>L429</f>
        <v/>
      </c>
      <c r="N429" s="686">
        <f>M429</f>
        <v/>
      </c>
      <c r="O429" s="249" t="inlineStr">
        <is>
          <t>新倉</t>
        </is>
      </c>
      <c r="P429" s="249" t="inlineStr">
        <is>
          <t>元大期貨</t>
        </is>
      </c>
    </row>
    <row r="430" outlineLevel="1">
      <c r="A430" s="696" t="n">
        <v>45820</v>
      </c>
      <c r="B430" s="234" t="inlineStr">
        <is>
          <t>TXO</t>
        </is>
      </c>
      <c r="C430" s="229" t="inlineStr">
        <is>
          <t>台指 C 06 22550 C</t>
        </is>
      </c>
      <c r="D430" s="229" t="inlineStr">
        <is>
          <t>平倉</t>
        </is>
      </c>
      <c r="E430" s="257" t="inlineStr">
        <is>
          <t>賣</t>
        </is>
      </c>
      <c r="F430" s="229" t="inlineStr">
        <is>
          <t>-</t>
        </is>
      </c>
      <c r="G430" s="697" t="n">
        <v>1</v>
      </c>
      <c r="H430" s="698" t="n">
        <v>160</v>
      </c>
      <c r="I430" s="697" t="n">
        <v>8000</v>
      </c>
      <c r="J430" s="585" t="n">
        <v>18</v>
      </c>
      <c r="K430" s="585" t="n">
        <v>8</v>
      </c>
      <c r="L430" s="585">
        <f>IF(B430="TXO",I430-SUM(J430:K430),IF(B430="FITX",IF(D430="新倉",-SUM(J430:K430),IF(E430="賣",(H430-H1134)*G430*200-SUM(J430:K430),(H1134-H430)*G430*200-SUM(J430:K430))),IF(D430="新倉",-SUM(J430:K430),IF(E430="賣",(H430-H1134)*G430*50-SUM(J430:K430),(H1134-H430)*G430*50-SUM(J430:K430)))))</f>
        <v/>
      </c>
      <c r="M430" s="699">
        <f>L430</f>
        <v/>
      </c>
      <c r="N430" s="686">
        <f>M430</f>
        <v/>
      </c>
      <c r="O430" s="249" t="inlineStr">
        <is>
          <t>平倉</t>
        </is>
      </c>
      <c r="P430" s="249" t="inlineStr">
        <is>
          <t>元大期貨</t>
        </is>
      </c>
    </row>
    <row r="431" outlineLevel="1">
      <c r="A431" s="696" t="n">
        <v>45821</v>
      </c>
      <c r="B431" s="234" t="inlineStr">
        <is>
          <t>TXO</t>
        </is>
      </c>
      <c r="C431" s="229" t="inlineStr">
        <is>
          <t>台指 C 06 22400 C</t>
        </is>
      </c>
      <c r="D431" s="229" t="inlineStr">
        <is>
          <t>新倉</t>
        </is>
      </c>
      <c r="E431" s="257" t="inlineStr">
        <is>
          <t>買</t>
        </is>
      </c>
      <c r="F431" s="229" t="inlineStr">
        <is>
          <t>-</t>
        </is>
      </c>
      <c r="G431" s="697" t="n">
        <v>1</v>
      </c>
      <c r="H431" s="698" t="n">
        <v>157</v>
      </c>
      <c r="I431" s="697" t="n">
        <v>-7850</v>
      </c>
      <c r="J431" s="585" t="n">
        <v>18</v>
      </c>
      <c r="K431" s="585" t="n">
        <v>8</v>
      </c>
      <c r="L431" s="585">
        <f>IF(B431="TXO",I431-SUM(J431:K431),IF(B431="FITX",IF(D431="新倉",-SUM(J431:K431),IF(E431="賣",(H431-H1135)*G431*200-SUM(J431:K431),(H1135-H431)*G431*200-SUM(J431:K431))),IF(D431="新倉",-SUM(J431:K431),IF(E431="賣",(H431-H1135)*G431*50-SUM(J431:K431),(H1135-H431)*G431*50-SUM(J431:K431)))))</f>
        <v/>
      </c>
      <c r="M431" s="699">
        <f>L431</f>
        <v/>
      </c>
      <c r="N431" s="686">
        <f>M431</f>
        <v/>
      </c>
      <c r="O431" s="249" t="inlineStr">
        <is>
          <t>新倉</t>
        </is>
      </c>
      <c r="P431" s="249" t="inlineStr">
        <is>
          <t>元大期貨</t>
        </is>
      </c>
    </row>
    <row r="432" outlineLevel="1">
      <c r="A432" s="696" t="n">
        <v>45821</v>
      </c>
      <c r="B432" s="234" t="inlineStr">
        <is>
          <t>TXO</t>
        </is>
      </c>
      <c r="C432" s="229" t="inlineStr">
        <is>
          <t>台指 C 06 22400 C</t>
        </is>
      </c>
      <c r="D432" s="229" t="inlineStr">
        <is>
          <t>平倉</t>
        </is>
      </c>
      <c r="E432" s="257" t="inlineStr">
        <is>
          <t>賣</t>
        </is>
      </c>
      <c r="F432" s="229" t="inlineStr">
        <is>
          <t>-</t>
        </is>
      </c>
      <c r="G432" s="697" t="n">
        <v>1</v>
      </c>
      <c r="H432" s="698" t="n">
        <v>68</v>
      </c>
      <c r="I432" s="697" t="n">
        <v>3400</v>
      </c>
      <c r="J432" s="585" t="n">
        <v>18</v>
      </c>
      <c r="K432" s="585" t="n">
        <v>3</v>
      </c>
      <c r="L432" s="585">
        <f>IF(B432="TXO",I432-SUM(J432:K432),IF(B432="FITX",IF(D432="新倉",-SUM(J432:K432),IF(E432="賣",(H432-H1136)*G432*200-SUM(J432:K432),(H1136-H432)*G432*200-SUM(J432:K432))),IF(D432="新倉",-SUM(J432:K432),IF(E432="賣",(H432-H1136)*G432*50-SUM(J432:K432),(H1136-H432)*G432*50-SUM(J432:K432)))))</f>
        <v/>
      </c>
      <c r="M432" s="699">
        <f>L432</f>
        <v/>
      </c>
      <c r="N432" s="686">
        <f>M432</f>
        <v/>
      </c>
      <c r="O432" s="249" t="inlineStr">
        <is>
          <t>平倉</t>
        </is>
      </c>
      <c r="P432" s="249" t="inlineStr">
        <is>
          <t>元大期貨</t>
        </is>
      </c>
    </row>
    <row r="433" outlineLevel="1">
      <c r="A433" s="696" t="n">
        <v>45821</v>
      </c>
      <c r="B433" s="234" t="inlineStr">
        <is>
          <t>TXO</t>
        </is>
      </c>
      <c r="C433" s="229" t="inlineStr">
        <is>
          <t>台指 P 06 22150 P</t>
        </is>
      </c>
      <c r="D433" s="229" t="inlineStr">
        <is>
          <t>新倉</t>
        </is>
      </c>
      <c r="E433" s="257" t="inlineStr">
        <is>
          <t>買</t>
        </is>
      </c>
      <c r="F433" s="229" t="inlineStr">
        <is>
          <t>-</t>
        </is>
      </c>
      <c r="G433" s="697" t="n">
        <v>1</v>
      </c>
      <c r="H433" s="698" t="n">
        <v>137</v>
      </c>
      <c r="I433" s="697" t="n">
        <v>-6850</v>
      </c>
      <c r="J433" s="585" t="n">
        <v>18</v>
      </c>
      <c r="K433" s="585" t="n">
        <v>7</v>
      </c>
      <c r="L433" s="585">
        <f>IF(B433="TXO",I433-SUM(J433:K433),IF(B433="FITX",IF(D433="新倉",-SUM(J433:K433),IF(E433="賣",(H433-H1137)*G433*200-SUM(J433:K433),(H1137-H433)*G433*200-SUM(J433:K433))),IF(D433="新倉",-SUM(J433:K433),IF(E433="賣",(H433-H1137)*G433*50-SUM(J433:K433),(H1137-H433)*G433*50-SUM(J433:K433)))))</f>
        <v/>
      </c>
      <c r="M433" s="699">
        <f>L433</f>
        <v/>
      </c>
      <c r="N433" s="686">
        <f>M433</f>
        <v/>
      </c>
      <c r="O433" s="249" t="inlineStr">
        <is>
          <t>新倉</t>
        </is>
      </c>
      <c r="P433" s="249" t="inlineStr">
        <is>
          <t>元大期貨</t>
        </is>
      </c>
    </row>
    <row r="434" outlineLevel="1">
      <c r="A434" s="696" t="n">
        <v>45821</v>
      </c>
      <c r="B434" s="234" t="inlineStr">
        <is>
          <t>TXO</t>
        </is>
      </c>
      <c r="C434" s="229" t="inlineStr">
        <is>
          <t>台指 P 06 22150 P</t>
        </is>
      </c>
      <c r="D434" s="229" t="inlineStr">
        <is>
          <t>平倉</t>
        </is>
      </c>
      <c r="E434" s="257" t="inlineStr">
        <is>
          <t>賣</t>
        </is>
      </c>
      <c r="F434" s="229" t="inlineStr">
        <is>
          <t>-</t>
        </is>
      </c>
      <c r="G434" s="697" t="n">
        <v>1</v>
      </c>
      <c r="H434" s="698" t="n">
        <v>116</v>
      </c>
      <c r="I434" s="697" t="n">
        <v>5800</v>
      </c>
      <c r="J434" s="585" t="n">
        <v>18</v>
      </c>
      <c r="K434" s="585" t="n">
        <v>6</v>
      </c>
      <c r="L434" s="585">
        <f>IF(B434="TXO",I434-SUM(J434:K434),IF(B434="FITX",IF(D434="新倉",-SUM(J434:K434),IF(E434="賣",(H434-H1138)*G434*200-SUM(J434:K434),(H1138-H434)*G434*200-SUM(J434:K434))),IF(D434="新倉",-SUM(J434:K434),IF(E434="賣",(H434-H1138)*G434*50-SUM(J434:K434),(H1138-H434)*G434*50-SUM(J434:K434)))))</f>
        <v/>
      </c>
      <c r="M434" s="699">
        <f>L434</f>
        <v/>
      </c>
      <c r="N434" s="686">
        <f>M434</f>
        <v/>
      </c>
      <c r="O434" s="249" t="inlineStr">
        <is>
          <t>平倉</t>
        </is>
      </c>
      <c r="P434" s="249" t="inlineStr">
        <is>
          <t>元大期貨</t>
        </is>
      </c>
    </row>
    <row r="435" outlineLevel="1">
      <c r="A435" s="696" t="n">
        <v>45821</v>
      </c>
      <c r="B435" s="234" t="inlineStr">
        <is>
          <t>TXO</t>
        </is>
      </c>
      <c r="C435" s="229" t="inlineStr">
        <is>
          <t>台指 C 06 22400 C</t>
        </is>
      </c>
      <c r="D435" s="229" t="inlineStr">
        <is>
          <t>新倉</t>
        </is>
      </c>
      <c r="E435" s="257" t="inlineStr">
        <is>
          <t>買</t>
        </is>
      </c>
      <c r="F435" s="229" t="inlineStr">
        <is>
          <t>-</t>
        </is>
      </c>
      <c r="G435" s="697" t="n">
        <v>1</v>
      </c>
      <c r="H435" s="698" t="n">
        <v>155</v>
      </c>
      <c r="I435" s="697" t="n">
        <v>-7750</v>
      </c>
      <c r="J435" s="585" t="n">
        <v>18</v>
      </c>
      <c r="K435" s="585" t="n">
        <v>8</v>
      </c>
      <c r="L435" s="585">
        <f>IF(B435="TXO",I435-SUM(J435:K435),IF(B435="FITX",IF(D435="新倉",-SUM(J435:K435),IF(E435="賣",(H435-H1139)*G435*200-SUM(J435:K435),(H1139-H435)*G435*200-SUM(J435:K435))),IF(D435="新倉",-SUM(J435:K435),IF(E435="賣",(H435-H1139)*G435*50-SUM(J435:K435),(H1139-H435)*G435*50-SUM(J435:K435)))))</f>
        <v/>
      </c>
      <c r="M435" s="699">
        <f>L435</f>
        <v/>
      </c>
      <c r="N435" s="686">
        <f>M435</f>
        <v/>
      </c>
      <c r="O435" s="249" t="inlineStr">
        <is>
          <t>新倉</t>
        </is>
      </c>
      <c r="P435" s="249" t="inlineStr">
        <is>
          <t>元大期貨</t>
        </is>
      </c>
    </row>
    <row r="436" outlineLevel="1">
      <c r="A436" s="696" t="n">
        <v>45821</v>
      </c>
      <c r="B436" s="234" t="inlineStr">
        <is>
          <t>TXO</t>
        </is>
      </c>
      <c r="C436" s="229" t="inlineStr">
        <is>
          <t>台指 C 06 22400 C</t>
        </is>
      </c>
      <c r="D436" s="229" t="inlineStr">
        <is>
          <t>平倉</t>
        </is>
      </c>
      <c r="E436" s="257" t="inlineStr">
        <is>
          <t>賣</t>
        </is>
      </c>
      <c r="F436" s="229" t="inlineStr">
        <is>
          <t>-</t>
        </is>
      </c>
      <c r="G436" s="697" t="n">
        <v>1</v>
      </c>
      <c r="H436" s="698" t="n">
        <v>146</v>
      </c>
      <c r="I436" s="697" t="n">
        <v>7300</v>
      </c>
      <c r="J436" s="585" t="n">
        <v>18</v>
      </c>
      <c r="K436" s="585" t="n">
        <v>7</v>
      </c>
      <c r="L436" s="585">
        <f>IF(B436="TXO",I436-SUM(J436:K436),IF(B436="FITX",IF(D436="新倉",-SUM(J436:K436),IF(E436="賣",(H436-H1140)*G436*200-SUM(J436:K436),(H1140-H436)*G436*200-SUM(J436:K436))),IF(D436="新倉",-SUM(J436:K436),IF(E436="賣",(H436-H1140)*G436*50-SUM(J436:K436),(H1140-H436)*G436*50-SUM(J436:K436)))))</f>
        <v/>
      </c>
      <c r="M436" s="699">
        <f>L436</f>
        <v/>
      </c>
      <c r="N436" s="686">
        <f>M436</f>
        <v/>
      </c>
      <c r="O436" s="249" t="inlineStr">
        <is>
          <t>平倉</t>
        </is>
      </c>
      <c r="P436" s="249" t="inlineStr">
        <is>
          <t>元大期貨</t>
        </is>
      </c>
    </row>
    <row r="437" outlineLevel="1">
      <c r="A437" s="696" t="n">
        <v>45821</v>
      </c>
      <c r="B437" s="234" t="inlineStr">
        <is>
          <t>TXO</t>
        </is>
      </c>
      <c r="C437" s="229" t="inlineStr">
        <is>
          <t>台指 P 06 22200 P</t>
        </is>
      </c>
      <c r="D437" s="229" t="inlineStr">
        <is>
          <t>新倉</t>
        </is>
      </c>
      <c r="E437" s="257" t="inlineStr">
        <is>
          <t>買</t>
        </is>
      </c>
      <c r="F437" s="229" t="inlineStr">
        <is>
          <t>-</t>
        </is>
      </c>
      <c r="G437" s="697" t="n">
        <v>2</v>
      </c>
      <c r="H437" s="698" t="n">
        <v>148</v>
      </c>
      <c r="I437" s="697" t="n">
        <v>-14800</v>
      </c>
      <c r="J437" s="585" t="n">
        <v>36</v>
      </c>
      <c r="K437" s="585" t="n">
        <v>14</v>
      </c>
      <c r="L437" s="585">
        <f>IF(B437="TXO",I437-SUM(J437:K437),IF(B437="FITX",IF(D437="新倉",-SUM(J437:K437),IF(E437="賣",(H437-H1141)*G437*200-SUM(J437:K437),(H1141-H437)*G437*200-SUM(J437:K437))),IF(D437="新倉",-SUM(J437:K437),IF(E437="賣",(H437-H1141)*G437*50-SUM(J437:K437),(H1141-H437)*G437*50-SUM(J437:K437)))))</f>
        <v/>
      </c>
      <c r="M437" s="699">
        <f>L437</f>
        <v/>
      </c>
      <c r="N437" s="686">
        <f>M437</f>
        <v/>
      </c>
      <c r="O437" s="249" t="inlineStr">
        <is>
          <t>新倉</t>
        </is>
      </c>
      <c r="P437" s="249" t="inlineStr">
        <is>
          <t>元大期貨</t>
        </is>
      </c>
    </row>
    <row r="438" outlineLevel="1">
      <c r="A438" s="696" t="n">
        <v>45821</v>
      </c>
      <c r="B438" s="234" t="inlineStr">
        <is>
          <t>TXO</t>
        </is>
      </c>
      <c r="C438" s="229" t="inlineStr">
        <is>
          <t>台指 P 06 22200 P</t>
        </is>
      </c>
      <c r="D438" s="229" t="inlineStr">
        <is>
          <t>平倉</t>
        </is>
      </c>
      <c r="E438" s="257" t="inlineStr">
        <is>
          <t>賣</t>
        </is>
      </c>
      <c r="F438" s="229" t="inlineStr">
        <is>
          <t>-</t>
        </is>
      </c>
      <c r="G438" s="697" t="n">
        <v>2</v>
      </c>
      <c r="H438" s="698" t="n">
        <v>165</v>
      </c>
      <c r="I438" s="697" t="n">
        <v>16500</v>
      </c>
      <c r="J438" s="585" t="n">
        <v>36</v>
      </c>
      <c r="K438" s="585" t="n">
        <v>16</v>
      </c>
      <c r="L438" s="585">
        <f>IF(B438="TXO",I438-SUM(J438:K438),IF(B438="FITX",IF(D438="新倉",-SUM(J438:K438),IF(E438="賣",(H438-H1142)*G438*200-SUM(J438:K438),(H1142-H438)*G438*200-SUM(J438:K438))),IF(D438="新倉",-SUM(J438:K438),IF(E438="賣",(H438-H1142)*G438*50-SUM(J438:K438),(H1142-H438)*G438*50-SUM(J438:K438)))))</f>
        <v/>
      </c>
      <c r="M438" s="699">
        <f>L438</f>
        <v/>
      </c>
      <c r="N438" s="686">
        <f>M438</f>
        <v/>
      </c>
      <c r="O438" s="249" t="inlineStr">
        <is>
          <t>平倉</t>
        </is>
      </c>
      <c r="P438" s="249" t="inlineStr">
        <is>
          <t>元大期貨</t>
        </is>
      </c>
    </row>
    <row r="439" outlineLevel="1">
      <c r="A439" s="696" t="n">
        <v>45821</v>
      </c>
      <c r="B439" s="234" t="inlineStr">
        <is>
          <t>TXO</t>
        </is>
      </c>
      <c r="C439" s="229" t="inlineStr">
        <is>
          <t>台指 C 06 22400 C</t>
        </is>
      </c>
      <c r="D439" s="229" t="inlineStr">
        <is>
          <t>新倉</t>
        </is>
      </c>
      <c r="E439" s="257" t="inlineStr">
        <is>
          <t>買</t>
        </is>
      </c>
      <c r="F439" s="229" t="inlineStr">
        <is>
          <t>-</t>
        </is>
      </c>
      <c r="G439" s="697" t="n">
        <v>2</v>
      </c>
      <c r="H439" s="698" t="n">
        <v>123</v>
      </c>
      <c r="I439" s="697" t="n">
        <v>-12300</v>
      </c>
      <c r="J439" s="585" t="n">
        <v>36</v>
      </c>
      <c r="K439" s="585" t="n">
        <v>12</v>
      </c>
      <c r="L439" s="585">
        <f>IF(B439="TXO",I439-SUM(J439:K439),IF(B439="FITX",IF(D439="新倉",-SUM(J439:K439),IF(E439="賣",(H439-H1143)*G439*200-SUM(J439:K439),(H1143-H439)*G439*200-SUM(J439:K439))),IF(D439="新倉",-SUM(J439:K439),IF(E439="賣",(H439-H1143)*G439*50-SUM(J439:K439),(H1143-H439)*G439*50-SUM(J439:K439)))))</f>
        <v/>
      </c>
      <c r="M439" s="699">
        <f>L439</f>
        <v/>
      </c>
      <c r="N439" s="686">
        <f>M439</f>
        <v/>
      </c>
      <c r="O439" s="249" t="inlineStr">
        <is>
          <t>新倉</t>
        </is>
      </c>
      <c r="P439" s="249" t="inlineStr">
        <is>
          <t>元大期貨</t>
        </is>
      </c>
    </row>
    <row r="440" outlineLevel="1">
      <c r="A440" s="696" t="n">
        <v>45821</v>
      </c>
      <c r="B440" s="234" t="inlineStr">
        <is>
          <t>TXO</t>
        </is>
      </c>
      <c r="C440" s="229" t="inlineStr">
        <is>
          <t>台指 C 06 22400 C</t>
        </is>
      </c>
      <c r="D440" s="229" t="inlineStr">
        <is>
          <t>平倉</t>
        </is>
      </c>
      <c r="E440" s="257" t="inlineStr">
        <is>
          <t>賣</t>
        </is>
      </c>
      <c r="F440" s="229" t="inlineStr">
        <is>
          <t>-</t>
        </is>
      </c>
      <c r="G440" s="697" t="n">
        <v>2</v>
      </c>
      <c r="H440" s="698" t="n">
        <v>137</v>
      </c>
      <c r="I440" s="697" t="n">
        <v>13700</v>
      </c>
      <c r="J440" s="585" t="n">
        <v>36</v>
      </c>
      <c r="K440" s="585" t="n">
        <v>14</v>
      </c>
      <c r="L440" s="585">
        <f>IF(B440="TXO",I440-SUM(J440:K440),IF(B440="FITX",IF(D440="新倉",-SUM(J440:K440),IF(E440="賣",(H440-H1144)*G440*200-SUM(J440:K440),(H1144-H440)*G440*200-SUM(J440:K440))),IF(D440="新倉",-SUM(J440:K440),IF(E440="賣",(H440-H1144)*G440*50-SUM(J440:K440),(H1144-H440)*G440*50-SUM(J440:K440)))))</f>
        <v/>
      </c>
      <c r="M440" s="699">
        <f>L440</f>
        <v/>
      </c>
      <c r="N440" s="686">
        <f>M440</f>
        <v/>
      </c>
      <c r="O440" s="249" t="inlineStr">
        <is>
          <t>平倉</t>
        </is>
      </c>
      <c r="P440" s="249" t="inlineStr">
        <is>
          <t>元大期貨</t>
        </is>
      </c>
    </row>
    <row r="441" outlineLevel="1">
      <c r="A441" s="696" t="n">
        <v>45821</v>
      </c>
      <c r="B441" s="234" t="inlineStr">
        <is>
          <t>TXO</t>
        </is>
      </c>
      <c r="C441" s="229" t="inlineStr">
        <is>
          <t>台指 P 06 21900 P</t>
        </is>
      </c>
      <c r="D441" s="229" t="inlineStr">
        <is>
          <t>新倉</t>
        </is>
      </c>
      <c r="E441" s="257" t="inlineStr">
        <is>
          <t>買</t>
        </is>
      </c>
      <c r="F441" s="229" t="inlineStr">
        <is>
          <t>-</t>
        </is>
      </c>
      <c r="G441" s="697" t="n">
        <v>2</v>
      </c>
      <c r="H441" s="698" t="n">
        <v>206</v>
      </c>
      <c r="I441" s="697" t="n">
        <v>-20600</v>
      </c>
      <c r="J441" s="585" t="n">
        <v>36</v>
      </c>
      <c r="K441" s="585" t="n">
        <v>20</v>
      </c>
      <c r="L441" s="585">
        <f>IF(B441="TXO",I441-SUM(J441:K441),IF(B441="FITX",IF(D441="新倉",-SUM(J441:K441),IF(E441="賣",(H441-H1145)*G441*200-SUM(J441:K441),(H1145-H441)*G441*200-SUM(J441:K441))),IF(D441="新倉",-SUM(J441:K441),IF(E441="賣",(H441-H1145)*G441*50-SUM(J441:K441),(H1145-H441)*G441*50-SUM(J441:K441)))))</f>
        <v/>
      </c>
      <c r="M441" s="699">
        <f>L441</f>
        <v/>
      </c>
      <c r="N441" s="686">
        <f>M441</f>
        <v/>
      </c>
      <c r="O441" s="249" t="inlineStr">
        <is>
          <t>新倉</t>
        </is>
      </c>
      <c r="P441" s="249" t="inlineStr">
        <is>
          <t>元大期貨</t>
        </is>
      </c>
    </row>
    <row r="442" outlineLevel="1">
      <c r="A442" s="696" t="n">
        <v>45824</v>
      </c>
      <c r="B442" s="234" t="inlineStr">
        <is>
          <t>TXO</t>
        </is>
      </c>
      <c r="C442" s="229" t="inlineStr">
        <is>
          <t>台指 P 06 21900 P</t>
        </is>
      </c>
      <c r="D442" s="229" t="inlineStr">
        <is>
          <t>平倉</t>
        </is>
      </c>
      <c r="E442" s="257" t="inlineStr">
        <is>
          <t>賣</t>
        </is>
      </c>
      <c r="F442" s="229" t="inlineStr">
        <is>
          <t>-</t>
        </is>
      </c>
      <c r="G442" s="697" t="n">
        <v>2</v>
      </c>
      <c r="H442" s="698" t="n">
        <v>111</v>
      </c>
      <c r="I442" s="697" t="n">
        <v>11100</v>
      </c>
      <c r="J442" s="585" t="n">
        <v>36</v>
      </c>
      <c r="K442" s="585" t="n">
        <v>12</v>
      </c>
      <c r="L442" s="585">
        <f>IF(B442="TXO",I442-SUM(J442:K442),IF(B442="FITX",IF(D442="新倉",-SUM(J442:K442),IF(E442="賣",(H442-H1146)*G442*200-SUM(J442:K442),(H1146-H442)*G442*200-SUM(J442:K442))),IF(D442="新倉",-SUM(J442:K442),IF(E442="賣",(H442-H1146)*G442*50-SUM(J442:K442),(H1146-H442)*G442*50-SUM(J442:K442)))))</f>
        <v/>
      </c>
      <c r="M442" s="699">
        <f>L442</f>
        <v/>
      </c>
      <c r="N442" s="686">
        <f>M442</f>
        <v/>
      </c>
      <c r="O442" s="249" t="inlineStr">
        <is>
          <t>平倉</t>
        </is>
      </c>
      <c r="P442" s="249" t="inlineStr">
        <is>
          <t>元大期貨</t>
        </is>
      </c>
    </row>
    <row r="443" outlineLevel="1">
      <c r="A443" s="696" t="n">
        <v>45824</v>
      </c>
      <c r="B443" s="234" t="inlineStr">
        <is>
          <t>TXO</t>
        </is>
      </c>
      <c r="C443" s="229" t="inlineStr">
        <is>
          <t>台指 C 06 21950 C</t>
        </is>
      </c>
      <c r="D443" s="229" t="inlineStr">
        <is>
          <t>新倉</t>
        </is>
      </c>
      <c r="E443" s="257" t="inlineStr">
        <is>
          <t>買</t>
        </is>
      </c>
      <c r="F443" s="229" t="inlineStr">
        <is>
          <t>-</t>
        </is>
      </c>
      <c r="G443" s="697" t="n">
        <v>2</v>
      </c>
      <c r="H443" s="698" t="n">
        <v>299</v>
      </c>
      <c r="I443" s="697" t="n">
        <v>-29900</v>
      </c>
      <c r="J443" s="585" t="n">
        <v>36</v>
      </c>
      <c r="K443" s="585" t="n">
        <v>30</v>
      </c>
      <c r="L443" s="585">
        <f>IF(B443="TXO",I443-SUM(J443:K443),IF(B443="FITX",IF(D443="新倉",-SUM(J443:K443),IF(E443="賣",(H443-H1147)*G443*200-SUM(J443:K443),(H1147-H443)*G443*200-SUM(J443:K443))),IF(D443="新倉",-SUM(J443:K443),IF(E443="賣",(H443-H1147)*G443*50-SUM(J443:K443),(H1147-H443)*G443*50-SUM(J443:K443)))))</f>
        <v/>
      </c>
      <c r="M443" s="699">
        <f>L443</f>
        <v/>
      </c>
      <c r="N443" s="686">
        <f>M443</f>
        <v/>
      </c>
      <c r="O443" s="249" t="inlineStr">
        <is>
          <t>新倉</t>
        </is>
      </c>
      <c r="P443" s="249" t="inlineStr">
        <is>
          <t>元大期貨</t>
        </is>
      </c>
    </row>
    <row r="444" outlineLevel="1">
      <c r="A444" s="696" t="n">
        <v>45824</v>
      </c>
      <c r="B444" s="234" t="inlineStr">
        <is>
          <t>TXO</t>
        </is>
      </c>
      <c r="C444" s="229" t="inlineStr">
        <is>
          <t>台指 C 06 21950 C</t>
        </is>
      </c>
      <c r="D444" s="229" t="inlineStr">
        <is>
          <t>平倉</t>
        </is>
      </c>
      <c r="E444" s="257" t="inlineStr">
        <is>
          <t>賣</t>
        </is>
      </c>
      <c r="F444" s="229" t="inlineStr">
        <is>
          <t>-</t>
        </is>
      </c>
      <c r="G444" s="697" t="n">
        <v>1</v>
      </c>
      <c r="H444" s="698" t="n">
        <v>151</v>
      </c>
      <c r="I444" s="697" t="n">
        <v>7550</v>
      </c>
      <c r="J444" s="585" t="n">
        <v>18</v>
      </c>
      <c r="K444" s="585" t="n">
        <v>8</v>
      </c>
      <c r="L444" s="585">
        <f>IF(B444="TXO",I444-SUM(J444:K444),IF(B444="FITX",IF(D444="新倉",-SUM(J444:K444),IF(E444="賣",(H444-H1148)*G444*200-SUM(J444:K444),(H1148-H444)*G444*200-SUM(J444:K444))),IF(D444="新倉",-SUM(J444:K444),IF(E444="賣",(H444-H1148)*G444*50-SUM(J444:K444),(H1148-H444)*G444*50-SUM(J444:K444)))))</f>
        <v/>
      </c>
      <c r="M444" s="699">
        <f>L444</f>
        <v/>
      </c>
      <c r="N444" s="686">
        <f>M444</f>
        <v/>
      </c>
      <c r="O444" s="249" t="inlineStr">
        <is>
          <t>平倉</t>
        </is>
      </c>
      <c r="P444" s="249" t="inlineStr">
        <is>
          <t>元大期貨</t>
        </is>
      </c>
    </row>
    <row r="445" outlineLevel="1">
      <c r="A445" s="696" t="n">
        <v>45824</v>
      </c>
      <c r="B445" s="234" t="inlineStr">
        <is>
          <t>TXO</t>
        </is>
      </c>
      <c r="C445" s="229" t="inlineStr">
        <is>
          <t>台指 C 06 21950 C</t>
        </is>
      </c>
      <c r="D445" s="229" t="inlineStr">
        <is>
          <t>平倉</t>
        </is>
      </c>
      <c r="E445" s="257" t="inlineStr">
        <is>
          <t>賣</t>
        </is>
      </c>
      <c r="F445" s="229" t="inlineStr">
        <is>
          <t>-</t>
        </is>
      </c>
      <c r="G445" s="697" t="n">
        <v>1</v>
      </c>
      <c r="H445" s="698" t="n">
        <v>133</v>
      </c>
      <c r="I445" s="697" t="n">
        <v>6650</v>
      </c>
      <c r="J445" s="585" t="n">
        <v>18</v>
      </c>
      <c r="K445" s="585" t="n">
        <v>7</v>
      </c>
      <c r="L445" s="585">
        <f>IF(B445="TXO",I445-SUM(J445:K445),IF(B445="FITX",IF(D445="新倉",-SUM(J445:K445),IF(E445="賣",(H445-H1149)*G445*200-SUM(J445:K445),(H1149-H445)*G445*200-SUM(J445:K445))),IF(D445="新倉",-SUM(J445:K445),IF(E445="賣",(H445-H1149)*G445*50-SUM(J445:K445),(H1149-H445)*G445*50-SUM(J445:K445)))))</f>
        <v/>
      </c>
      <c r="M445" s="699">
        <f>L445</f>
        <v/>
      </c>
      <c r="N445" s="686">
        <f>M445</f>
        <v/>
      </c>
      <c r="O445" s="249" t="inlineStr">
        <is>
          <t>平倉</t>
        </is>
      </c>
      <c r="P445" s="249" t="inlineStr">
        <is>
          <t>元大期貨</t>
        </is>
      </c>
    </row>
    <row r="446" outlineLevel="1">
      <c r="A446" s="696" t="n">
        <v>45824</v>
      </c>
      <c r="B446" s="234" t="inlineStr">
        <is>
          <t>TXO</t>
        </is>
      </c>
      <c r="C446" s="229" t="inlineStr">
        <is>
          <t>台指 P 06 22000 P</t>
        </is>
      </c>
      <c r="D446" s="229" t="inlineStr">
        <is>
          <t>新倉</t>
        </is>
      </c>
      <c r="E446" s="257" t="inlineStr">
        <is>
          <t>買</t>
        </is>
      </c>
      <c r="F446" s="229" t="inlineStr">
        <is>
          <t>-</t>
        </is>
      </c>
      <c r="G446" s="697" t="n">
        <v>2</v>
      </c>
      <c r="H446" s="698" t="n">
        <v>151</v>
      </c>
      <c r="I446" s="697" t="n">
        <v>-15100</v>
      </c>
      <c r="J446" s="585" t="n">
        <v>36</v>
      </c>
      <c r="K446" s="585" t="n">
        <v>16</v>
      </c>
      <c r="L446" s="585">
        <f>IF(B446="TXO",I446-SUM(J446:K446),IF(B446="FITX",IF(D446="新倉",-SUM(J446:K446),IF(E446="賣",(H446-H1150)*G446*200-SUM(J446:K446),(H1150-H446)*G446*200-SUM(J446:K446))),IF(D446="新倉",-SUM(J446:K446),IF(E446="賣",(H446-H1150)*G446*50-SUM(J446:K446),(H1150-H446)*G446*50-SUM(J446:K446)))))</f>
        <v/>
      </c>
      <c r="M446" s="699">
        <f>L446</f>
        <v/>
      </c>
      <c r="N446" s="686">
        <f>M446</f>
        <v/>
      </c>
      <c r="O446" s="249" t="inlineStr">
        <is>
          <t>新倉</t>
        </is>
      </c>
      <c r="P446" s="249" t="inlineStr">
        <is>
          <t>元大期貨</t>
        </is>
      </c>
    </row>
    <row r="447" outlineLevel="1">
      <c r="A447" s="696" t="n">
        <v>45824</v>
      </c>
      <c r="B447" s="234" t="inlineStr">
        <is>
          <t>TXO</t>
        </is>
      </c>
      <c r="C447" s="229" t="inlineStr">
        <is>
          <t>台指 P 06 22000 P</t>
        </is>
      </c>
      <c r="D447" s="229" t="inlineStr">
        <is>
          <t>平倉</t>
        </is>
      </c>
      <c r="E447" s="257" t="inlineStr">
        <is>
          <t>賣</t>
        </is>
      </c>
      <c r="F447" s="229" t="inlineStr">
        <is>
          <t>-</t>
        </is>
      </c>
      <c r="G447" s="697" t="n">
        <v>2</v>
      </c>
      <c r="H447" s="698" t="n">
        <v>161</v>
      </c>
      <c r="I447" s="697" t="n">
        <v>16100</v>
      </c>
      <c r="J447" s="585" t="n">
        <v>36</v>
      </c>
      <c r="K447" s="585" t="n">
        <v>16</v>
      </c>
      <c r="L447" s="585">
        <f>IF(B447="TXO",I447-SUM(J447:K447),IF(B447="FITX",IF(D447="新倉",-SUM(J447:K447),IF(E447="賣",(H447-H1151)*G447*200-SUM(J447:K447),(H1151-H447)*G447*200-SUM(J447:K447))),IF(D447="新倉",-SUM(J447:K447),IF(E447="賣",(H447-H1151)*G447*50-SUM(J447:K447),(H1151-H447)*G447*50-SUM(J447:K447)))))</f>
        <v/>
      </c>
      <c r="M447" s="699">
        <f>L447</f>
        <v/>
      </c>
      <c r="N447" s="686">
        <f>M447</f>
        <v/>
      </c>
      <c r="O447" s="249" t="inlineStr">
        <is>
          <t>平倉</t>
        </is>
      </c>
      <c r="P447" s="249" t="inlineStr">
        <is>
          <t>元大期貨</t>
        </is>
      </c>
    </row>
    <row r="448" outlineLevel="1">
      <c r="A448" s="696" t="n">
        <v>45824</v>
      </c>
      <c r="B448" s="234" t="inlineStr">
        <is>
          <t>TXO</t>
        </is>
      </c>
      <c r="C448" s="229" t="inlineStr">
        <is>
          <t>台指 P 06 21950 P</t>
        </is>
      </c>
      <c r="D448" s="229" t="inlineStr">
        <is>
          <t>新倉</t>
        </is>
      </c>
      <c r="E448" s="257" t="inlineStr">
        <is>
          <t>買</t>
        </is>
      </c>
      <c r="F448" s="229" t="inlineStr">
        <is>
          <t>-</t>
        </is>
      </c>
      <c r="G448" s="697" t="n">
        <v>1</v>
      </c>
      <c r="H448" s="698" t="n">
        <v>165</v>
      </c>
      <c r="I448" s="697" t="n">
        <v>-8250</v>
      </c>
      <c r="J448" s="585" t="n">
        <v>18</v>
      </c>
      <c r="K448" s="585" t="n">
        <v>8</v>
      </c>
      <c r="L448" s="585">
        <f>IF(B448="TXO",I448-SUM(J448:K448),IF(B448="FITX",IF(D448="新倉",-SUM(J448:K448),IF(E448="賣",(H448-H1152)*G448*200-SUM(J448:K448),(H1152-H448)*G448*200-SUM(J448:K448))),IF(D448="新倉",-SUM(J448:K448),IF(E448="賣",(H448-H1152)*G448*50-SUM(J448:K448),(H1152-H448)*G448*50-SUM(J448:K448)))))</f>
        <v/>
      </c>
      <c r="M448" s="699">
        <f>L448</f>
        <v/>
      </c>
      <c r="N448" s="686">
        <f>M448</f>
        <v/>
      </c>
      <c r="O448" s="249" t="inlineStr">
        <is>
          <t>新倉</t>
        </is>
      </c>
      <c r="P448" s="249" t="inlineStr">
        <is>
          <t>元大期貨</t>
        </is>
      </c>
    </row>
    <row r="449" outlineLevel="1">
      <c r="A449" s="696" t="n">
        <v>45824</v>
      </c>
      <c r="B449" s="234" t="inlineStr">
        <is>
          <t>TXO</t>
        </is>
      </c>
      <c r="C449" s="229" t="inlineStr">
        <is>
          <t>台指 P 06 21950 P</t>
        </is>
      </c>
      <c r="D449" s="229" t="inlineStr">
        <is>
          <t>平倉</t>
        </is>
      </c>
      <c r="E449" s="257" t="inlineStr">
        <is>
          <t>賣</t>
        </is>
      </c>
      <c r="F449" s="229" t="inlineStr">
        <is>
          <t>-</t>
        </is>
      </c>
      <c r="G449" s="697" t="n">
        <v>1</v>
      </c>
      <c r="H449" s="698" t="n">
        <v>175</v>
      </c>
      <c r="I449" s="697" t="n">
        <v>8750</v>
      </c>
      <c r="J449" s="585" t="n">
        <v>18</v>
      </c>
      <c r="K449" s="585" t="n">
        <v>9</v>
      </c>
      <c r="L449" s="585">
        <f>IF(B449="TXO",I449-SUM(J449:K449),IF(B449="FITX",IF(D449="新倉",-SUM(J449:K449),IF(E449="賣",(H449-H1153)*G449*200-SUM(J449:K449),(H1153-H449)*G449*200-SUM(J449:K449))),IF(D449="新倉",-SUM(J449:K449),IF(E449="賣",(H449-H1153)*G449*50-SUM(J449:K449),(H1153-H449)*G449*50-SUM(J449:K449)))))</f>
        <v/>
      </c>
      <c r="M449" s="699">
        <f>L449</f>
        <v/>
      </c>
      <c r="N449" s="686">
        <f>M449</f>
        <v/>
      </c>
      <c r="O449" s="249" t="inlineStr">
        <is>
          <t>平倉</t>
        </is>
      </c>
      <c r="P449" s="249" t="inlineStr">
        <is>
          <t>元大期貨</t>
        </is>
      </c>
    </row>
    <row r="450" outlineLevel="1">
      <c r="A450" s="696" t="n">
        <v>45824</v>
      </c>
      <c r="B450" s="234" t="inlineStr">
        <is>
          <t>TXO</t>
        </is>
      </c>
      <c r="C450" s="229" t="inlineStr">
        <is>
          <t>台指 C 06 22100 C</t>
        </is>
      </c>
      <c r="D450" s="229" t="inlineStr">
        <is>
          <t>新倉</t>
        </is>
      </c>
      <c r="E450" s="257" t="inlineStr">
        <is>
          <t>買</t>
        </is>
      </c>
      <c r="F450" s="229" t="inlineStr">
        <is>
          <t>-</t>
        </is>
      </c>
      <c r="G450" s="697" t="n">
        <v>2</v>
      </c>
      <c r="H450" s="698" t="n">
        <v>87</v>
      </c>
      <c r="I450" s="697" t="n">
        <v>-8700</v>
      </c>
      <c r="J450" s="585" t="n">
        <v>36</v>
      </c>
      <c r="K450" s="585" t="n">
        <v>8</v>
      </c>
      <c r="L450" s="585">
        <f>IF(B450="TXO",I450-SUM(J450:K450),IF(B450="FITX",IF(D450="新倉",-SUM(J450:K450),IF(E450="賣",(H450-H1154)*G450*200-SUM(J450:K450),(H1154-H450)*G450*200-SUM(J450:K450))),IF(D450="新倉",-SUM(J450:K450),IF(E450="賣",(H450-H1154)*G450*50-SUM(J450:K450),(H1154-H450)*G450*50-SUM(J450:K450)))))</f>
        <v/>
      </c>
      <c r="M450" s="699">
        <f>L450</f>
        <v/>
      </c>
      <c r="N450" s="686">
        <f>M450</f>
        <v/>
      </c>
      <c r="O450" s="249" t="inlineStr">
        <is>
          <t>新倉</t>
        </is>
      </c>
      <c r="P450" s="249" t="inlineStr">
        <is>
          <t>元大期貨</t>
        </is>
      </c>
    </row>
    <row r="451" outlineLevel="1">
      <c r="A451" s="696" t="n">
        <v>45825</v>
      </c>
      <c r="B451" s="234" t="inlineStr">
        <is>
          <t>TXO</t>
        </is>
      </c>
      <c r="C451" s="229" t="inlineStr">
        <is>
          <t>台指 C 06 22100 C</t>
        </is>
      </c>
      <c r="D451" s="229" t="inlineStr">
        <is>
          <t>平倉</t>
        </is>
      </c>
      <c r="E451" s="257" t="inlineStr">
        <is>
          <t>賣</t>
        </is>
      </c>
      <c r="F451" s="229" t="inlineStr">
        <is>
          <t>-</t>
        </is>
      </c>
      <c r="G451" s="697" t="n">
        <v>2</v>
      </c>
      <c r="H451" s="698" t="n">
        <v>123</v>
      </c>
      <c r="I451" s="697" t="n">
        <v>12300</v>
      </c>
      <c r="J451" s="585" t="n">
        <v>36</v>
      </c>
      <c r="K451" s="585" t="n">
        <v>12</v>
      </c>
      <c r="L451" s="585">
        <f>IF(B451="TXO",I451-SUM(J451:K451),IF(B451="FITX",IF(D451="新倉",-SUM(J451:K451),IF(E451="賣",(H451-H1155)*G451*200-SUM(J451:K451),(H1155-H451)*G451*200-SUM(J451:K451))),IF(D451="新倉",-SUM(J451:K451),IF(E451="賣",(H451-H1155)*G451*50-SUM(J451:K451),(H1155-H451)*G451*50-SUM(J451:K451)))))</f>
        <v/>
      </c>
      <c r="M451" s="699">
        <f>L451</f>
        <v/>
      </c>
      <c r="N451" s="686">
        <f>M451</f>
        <v/>
      </c>
      <c r="O451" s="249" t="inlineStr">
        <is>
          <t>平倉</t>
        </is>
      </c>
      <c r="P451" s="249" t="inlineStr">
        <is>
          <t>元大期貨</t>
        </is>
      </c>
    </row>
    <row r="452" outlineLevel="1">
      <c r="A452" s="696" t="n">
        <v>45824</v>
      </c>
      <c r="B452" s="234" t="inlineStr">
        <is>
          <t>TXO</t>
        </is>
      </c>
      <c r="C452" s="229" t="inlineStr">
        <is>
          <t>台指 C 06 22200 C</t>
        </is>
      </c>
      <c r="D452" s="229" t="inlineStr">
        <is>
          <t>新倉</t>
        </is>
      </c>
      <c r="E452" s="257" t="inlineStr">
        <is>
          <t>買</t>
        </is>
      </c>
      <c r="F452" s="229" t="inlineStr">
        <is>
          <t>-</t>
        </is>
      </c>
      <c r="G452" s="697" t="n">
        <v>1</v>
      </c>
      <c r="H452" s="698" t="n">
        <v>54</v>
      </c>
      <c r="I452" s="697" t="n">
        <v>-2700</v>
      </c>
      <c r="J452" s="585" t="n">
        <v>18</v>
      </c>
      <c r="K452" s="585" t="n">
        <v>3</v>
      </c>
      <c r="L452" s="585">
        <f>IF(B452="TXO",I452-SUM(J452:K452),IF(B452="FITX",IF(D452="新倉",-SUM(J452:K452),IF(E452="賣",(H452-H1156)*G452*200-SUM(J452:K452),(H1156-H452)*G452*200-SUM(J452:K452))),IF(D452="新倉",-SUM(J452:K452),IF(E452="賣",(H452-H1156)*G452*50-SUM(J452:K452),(H1156-H452)*G452*50-SUM(J452:K452)))))</f>
        <v/>
      </c>
      <c r="M452" s="699">
        <f>L452</f>
        <v/>
      </c>
      <c r="N452" s="686">
        <f>M452</f>
        <v/>
      </c>
      <c r="O452" s="249" t="inlineStr">
        <is>
          <t>新倉</t>
        </is>
      </c>
      <c r="P452" s="249" t="inlineStr">
        <is>
          <t>元大期貨</t>
        </is>
      </c>
    </row>
    <row r="453" outlineLevel="1">
      <c r="A453" s="696" t="n">
        <v>45825</v>
      </c>
      <c r="B453" s="234" t="inlineStr">
        <is>
          <t>TXO</t>
        </is>
      </c>
      <c r="C453" s="229" t="inlineStr">
        <is>
          <t>台指 C 06 22200 C</t>
        </is>
      </c>
      <c r="D453" s="229" t="inlineStr">
        <is>
          <t>平倉</t>
        </is>
      </c>
      <c r="E453" s="257" t="inlineStr">
        <is>
          <t>賣</t>
        </is>
      </c>
      <c r="F453" s="229" t="inlineStr">
        <is>
          <t>-</t>
        </is>
      </c>
      <c r="G453" s="697" t="n">
        <v>1</v>
      </c>
      <c r="H453" s="698" t="n">
        <v>87</v>
      </c>
      <c r="I453" s="697" t="n">
        <v>4350</v>
      </c>
      <c r="J453" s="585" t="n">
        <v>18</v>
      </c>
      <c r="K453" s="585" t="n">
        <v>4</v>
      </c>
      <c r="L453" s="585">
        <f>IF(B453="TXO",I453-SUM(J453:K453),IF(B453="FITX",IF(D453="新倉",-SUM(J453:K453),IF(E453="賣",(H453-H1157)*G453*200-SUM(J453:K453),(H1157-H453)*G453*200-SUM(J453:K453))),IF(D453="新倉",-SUM(J453:K453),IF(E453="賣",(H453-H1157)*G453*50-SUM(J453:K453),(H1157-H453)*G453*50-SUM(J453:K453)))))</f>
        <v/>
      </c>
      <c r="M453" s="699">
        <f>L453</f>
        <v/>
      </c>
      <c r="N453" s="686">
        <f>M453</f>
        <v/>
      </c>
      <c r="O453" s="249" t="inlineStr">
        <is>
          <t>平倉</t>
        </is>
      </c>
      <c r="P453" s="249" t="inlineStr">
        <is>
          <t>元大期貨</t>
        </is>
      </c>
    </row>
    <row r="454" outlineLevel="1">
      <c r="A454" s="696" t="n">
        <v>45824</v>
      </c>
      <c r="B454" s="234" t="inlineStr">
        <is>
          <t>TXO</t>
        </is>
      </c>
      <c r="C454" s="229" t="inlineStr">
        <is>
          <t>台指 P 06 21900 P</t>
        </is>
      </c>
      <c r="D454" s="229" t="inlineStr">
        <is>
          <t>新倉</t>
        </is>
      </c>
      <c r="E454" s="257" t="inlineStr">
        <is>
          <t>買</t>
        </is>
      </c>
      <c r="F454" s="229" t="inlineStr">
        <is>
          <t>-</t>
        </is>
      </c>
      <c r="G454" s="697" t="n">
        <v>1</v>
      </c>
      <c r="H454" s="698" t="n">
        <v>142</v>
      </c>
      <c r="I454" s="697" t="n">
        <v>-7100</v>
      </c>
      <c r="J454" s="585" t="n">
        <v>18</v>
      </c>
      <c r="K454" s="585" t="n">
        <v>7</v>
      </c>
      <c r="L454" s="585">
        <f>IF(B454="TXO",I454-SUM(J454:K454),IF(B454="FITX",IF(D454="新倉",-SUM(J454:K454),IF(E454="賣",(H454-H1158)*G454*200-SUM(J454:K454),(H1158-H454)*G454*200-SUM(J454:K454))),IF(D454="新倉",-SUM(J454:K454),IF(E454="賣",(H454-H1158)*G454*50-SUM(J454:K454),(H1158-H454)*G454*50-SUM(J454:K454)))))</f>
        <v/>
      </c>
      <c r="M454" s="699">
        <f>L454</f>
        <v/>
      </c>
      <c r="N454" s="686">
        <f>M454</f>
        <v/>
      </c>
      <c r="O454" s="249" t="inlineStr">
        <is>
          <t>新倉</t>
        </is>
      </c>
      <c r="P454" s="249" t="inlineStr">
        <is>
          <t>元大期貨</t>
        </is>
      </c>
    </row>
    <row r="455" outlineLevel="1">
      <c r="A455" s="696" t="n">
        <v>45824</v>
      </c>
      <c r="B455" s="234" t="inlineStr">
        <is>
          <t>TXO</t>
        </is>
      </c>
      <c r="C455" s="229" t="inlineStr">
        <is>
          <t>台指 P 06 21900 P</t>
        </is>
      </c>
      <c r="D455" s="229" t="inlineStr">
        <is>
          <t>平倉</t>
        </is>
      </c>
      <c r="E455" s="257" t="inlineStr">
        <is>
          <t>賣</t>
        </is>
      </c>
      <c r="F455" s="229" t="inlineStr">
        <is>
          <t>-</t>
        </is>
      </c>
      <c r="G455" s="697" t="n">
        <v>1</v>
      </c>
      <c r="H455" s="698" t="n">
        <v>118</v>
      </c>
      <c r="I455" s="697" t="n">
        <v>5900</v>
      </c>
      <c r="J455" s="585" t="n">
        <v>18</v>
      </c>
      <c r="K455" s="585" t="n">
        <v>6</v>
      </c>
      <c r="L455" s="585">
        <f>IF(B455="TXO",I455-SUM(J455:K455),IF(B455="FITX",IF(D455="新倉",-SUM(J455:K455),IF(E455="賣",(H455-H1159)*G455*200-SUM(J455:K455),(H1159-H455)*G455*200-SUM(J455:K455))),IF(D455="新倉",-SUM(J455:K455),IF(E455="賣",(H455-H1159)*G455*50-SUM(J455:K455),(H1159-H455)*G455*50-SUM(J455:K455)))))</f>
        <v/>
      </c>
      <c r="M455" s="699">
        <f>L455</f>
        <v/>
      </c>
      <c r="N455" s="686">
        <f>M455</f>
        <v/>
      </c>
      <c r="O455" s="249" t="inlineStr">
        <is>
          <t>平倉</t>
        </is>
      </c>
      <c r="P455" s="249" t="inlineStr">
        <is>
          <t>元大期貨</t>
        </is>
      </c>
    </row>
    <row r="456" outlineLevel="1">
      <c r="A456" s="696" t="n">
        <v>45825</v>
      </c>
      <c r="B456" s="234" t="inlineStr">
        <is>
          <t>TXO</t>
        </is>
      </c>
      <c r="C456" s="229" t="inlineStr">
        <is>
          <t>台指 P 06 22000 P</t>
        </is>
      </c>
      <c r="D456" s="229" t="inlineStr">
        <is>
          <t>新倉</t>
        </is>
      </c>
      <c r="E456" s="257" t="inlineStr">
        <is>
          <t>買</t>
        </is>
      </c>
      <c r="F456" s="229" t="inlineStr">
        <is>
          <t>-</t>
        </is>
      </c>
      <c r="G456" s="697" t="n">
        <v>5</v>
      </c>
      <c r="H456" s="698" t="n">
        <v>45.5</v>
      </c>
      <c r="I456" s="697" t="n">
        <v>-11375</v>
      </c>
      <c r="J456" s="585" t="n">
        <v>90</v>
      </c>
      <c r="K456" s="585" t="n">
        <v>10</v>
      </c>
      <c r="L456" s="585">
        <f>IF(B456="TXO",I456-SUM(J456:K456),IF(B456="FITX",IF(D456="新倉",-SUM(J456:K456),IF(E456="賣",(H456-H1160)*G456*200-SUM(J456:K456),(H1160-H456)*G456*200-SUM(J456:K456))),IF(D456="新倉",-SUM(J456:K456),IF(E456="賣",(H456-H1160)*G456*50-SUM(J456:K456),(H1160-H456)*G456*50-SUM(J456:K456)))))</f>
        <v/>
      </c>
      <c r="M456" s="699">
        <f>L456</f>
        <v/>
      </c>
      <c r="N456" s="686">
        <f>M456</f>
        <v/>
      </c>
      <c r="O456" s="249" t="inlineStr">
        <is>
          <t>新倉</t>
        </is>
      </c>
      <c r="P456" s="249" t="inlineStr">
        <is>
          <t>元大期貨</t>
        </is>
      </c>
    </row>
    <row r="457" outlineLevel="1">
      <c r="A457" s="696" t="n">
        <v>45825</v>
      </c>
      <c r="B457" s="234" t="inlineStr">
        <is>
          <t>TXO</t>
        </is>
      </c>
      <c r="C457" s="229" t="inlineStr">
        <is>
          <t>台指 P 06 22000 P</t>
        </is>
      </c>
      <c r="D457" s="229" t="inlineStr">
        <is>
          <t>平倉</t>
        </is>
      </c>
      <c r="E457" s="257" t="inlineStr">
        <is>
          <t>賣</t>
        </is>
      </c>
      <c r="F457" s="229" t="inlineStr">
        <is>
          <t>-</t>
        </is>
      </c>
      <c r="G457" s="697" t="n">
        <v>4</v>
      </c>
      <c r="H457" s="698" t="n">
        <v>52</v>
      </c>
      <c r="I457" s="697" t="n">
        <v>10400</v>
      </c>
      <c r="J457" s="585" t="n">
        <v>72</v>
      </c>
      <c r="K457" s="585" t="n">
        <v>12</v>
      </c>
      <c r="L457" s="585">
        <f>IF(B457="TXO",I457-SUM(J457:K457),IF(B457="FITX",IF(D457="新倉",-SUM(J457:K457),IF(E457="賣",(H457-H1161)*G457*200-SUM(J457:K457),(H1161-H457)*G457*200-SUM(J457:K457))),IF(D457="新倉",-SUM(J457:K457),IF(E457="賣",(H457-H1161)*G457*50-SUM(J457:K457),(H1161-H457)*G457*50-SUM(J457:K457)))))</f>
        <v/>
      </c>
      <c r="M457" s="699">
        <f>L457</f>
        <v/>
      </c>
      <c r="N457" s="686">
        <f>M457</f>
        <v/>
      </c>
      <c r="O457" s="249" t="inlineStr">
        <is>
          <t>平倉</t>
        </is>
      </c>
      <c r="P457" s="249" t="inlineStr">
        <is>
          <t>元大期貨</t>
        </is>
      </c>
    </row>
    <row r="458" outlineLevel="1">
      <c r="A458" s="696" t="n">
        <v>45825</v>
      </c>
      <c r="B458" s="234" t="inlineStr">
        <is>
          <t>TXO</t>
        </is>
      </c>
      <c r="C458" s="229" t="inlineStr">
        <is>
          <t>台指 P 06 21950 P</t>
        </is>
      </c>
      <c r="D458" s="229" t="inlineStr">
        <is>
          <t>新倉</t>
        </is>
      </c>
      <c r="E458" s="257" t="inlineStr">
        <is>
          <t>買</t>
        </is>
      </c>
      <c r="F458" s="229" t="inlineStr">
        <is>
          <t>-</t>
        </is>
      </c>
      <c r="G458" s="697" t="n">
        <v>3</v>
      </c>
      <c r="H458" s="698" t="n">
        <v>35.5</v>
      </c>
      <c r="I458" s="697" t="n">
        <v>-5325</v>
      </c>
      <c r="J458" s="585" t="n">
        <v>54</v>
      </c>
      <c r="K458" s="585" t="n">
        <v>6</v>
      </c>
      <c r="L458" s="585">
        <f>IF(B458="TXO",I458-SUM(J458:K458),IF(B458="FITX",IF(D458="新倉",-SUM(J458:K458),IF(E458="賣",(H458-H1162)*G458*200-SUM(J458:K458),(H1162-H458)*G458*200-SUM(J458:K458))),IF(D458="新倉",-SUM(J458:K458),IF(E458="賣",(H458-H1162)*G458*50-SUM(J458:K458),(H1162-H458)*G458*50-SUM(J458:K458)))))</f>
        <v/>
      </c>
      <c r="M458" s="699">
        <f>L458</f>
        <v/>
      </c>
      <c r="N458" s="686">
        <f>M458</f>
        <v/>
      </c>
      <c r="O458" s="249" t="inlineStr">
        <is>
          <t>新倉</t>
        </is>
      </c>
      <c r="P458" s="249" t="inlineStr">
        <is>
          <t>元大期貨</t>
        </is>
      </c>
    </row>
    <row r="459" outlineLevel="1">
      <c r="A459" s="696" t="n">
        <v>45825</v>
      </c>
      <c r="B459" s="234" t="inlineStr">
        <is>
          <t>TXO</t>
        </is>
      </c>
      <c r="C459" s="229" t="inlineStr">
        <is>
          <t>台指 P 06 21950 P</t>
        </is>
      </c>
      <c r="D459" s="229" t="inlineStr">
        <is>
          <t>平倉</t>
        </is>
      </c>
      <c r="E459" s="257" t="inlineStr">
        <is>
          <t>賣</t>
        </is>
      </c>
      <c r="F459" s="229" t="inlineStr">
        <is>
          <t>-</t>
        </is>
      </c>
      <c r="G459" s="697" t="n">
        <v>2</v>
      </c>
      <c r="H459" s="698" t="n">
        <v>40</v>
      </c>
      <c r="I459" s="697" t="n">
        <v>4000</v>
      </c>
      <c r="J459" s="585" t="n">
        <v>36</v>
      </c>
      <c r="K459" s="585" t="n">
        <v>4</v>
      </c>
      <c r="L459" s="585">
        <f>IF(B459="TXO",I459-SUM(J459:K459),IF(B459="FITX",IF(D459="新倉",-SUM(J459:K459),IF(E459="賣",(H459-H1163)*G459*200-SUM(J459:K459),(H1163-H459)*G459*200-SUM(J459:K459))),IF(D459="新倉",-SUM(J459:K459),IF(E459="賣",(H459-H1163)*G459*50-SUM(J459:K459),(H1163-H459)*G459*50-SUM(J459:K459)))))</f>
        <v/>
      </c>
      <c r="M459" s="699">
        <f>L459</f>
        <v/>
      </c>
      <c r="N459" s="686">
        <f>M459</f>
        <v/>
      </c>
      <c r="O459" s="249" t="inlineStr">
        <is>
          <t>平倉</t>
        </is>
      </c>
      <c r="P459" s="249" t="inlineStr">
        <is>
          <t>元大期貨</t>
        </is>
      </c>
    </row>
    <row r="460" outlineLevel="1">
      <c r="A460" s="696" t="n">
        <v>45825</v>
      </c>
      <c r="B460" s="234" t="inlineStr">
        <is>
          <t>TXO</t>
        </is>
      </c>
      <c r="C460" s="229" t="inlineStr">
        <is>
          <t>台指 C 06 22150 C</t>
        </is>
      </c>
      <c r="D460" s="229" t="inlineStr">
        <is>
          <t>新倉</t>
        </is>
      </c>
      <c r="E460" s="257" t="inlineStr">
        <is>
          <t>買</t>
        </is>
      </c>
      <c r="F460" s="229" t="inlineStr">
        <is>
          <t>-</t>
        </is>
      </c>
      <c r="G460" s="697" t="n">
        <v>2</v>
      </c>
      <c r="H460" s="698" t="n">
        <v>191</v>
      </c>
      <c r="I460" s="697" t="n">
        <v>-19100</v>
      </c>
      <c r="J460" s="585" t="n">
        <v>36</v>
      </c>
      <c r="K460" s="585" t="n">
        <v>20</v>
      </c>
      <c r="L460" s="585">
        <f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/>
      </c>
      <c r="M460" s="699">
        <f>L460</f>
        <v/>
      </c>
      <c r="N460" s="686">
        <f>M460</f>
        <v/>
      </c>
      <c r="O460" s="249" t="inlineStr">
        <is>
          <t>新倉</t>
        </is>
      </c>
      <c r="P460" s="249" t="inlineStr">
        <is>
          <t>元大期貨</t>
        </is>
      </c>
    </row>
    <row r="461" outlineLevel="1">
      <c r="A461" s="696" t="n">
        <v>45825</v>
      </c>
      <c r="B461" s="234" t="inlineStr">
        <is>
          <t>TXO</t>
        </is>
      </c>
      <c r="C461" s="229" t="inlineStr">
        <is>
          <t>台指 C 06 22150 C</t>
        </is>
      </c>
      <c r="D461" s="229" t="inlineStr">
        <is>
          <t>平倉</t>
        </is>
      </c>
      <c r="E461" s="257" t="inlineStr">
        <is>
          <t>賣</t>
        </is>
      </c>
      <c r="F461" s="229" t="inlineStr">
        <is>
          <t>-</t>
        </is>
      </c>
      <c r="G461" s="697" t="n">
        <v>2</v>
      </c>
      <c r="H461" s="698" t="n">
        <v>175</v>
      </c>
      <c r="I461" s="697" t="n">
        <v>17500</v>
      </c>
      <c r="J461" s="585" t="n">
        <v>36</v>
      </c>
      <c r="K461" s="585" t="n">
        <v>18</v>
      </c>
      <c r="L461" s="585">
        <f>IF(B461="TXO",I461-SUM(J461:K461),IF(B461="FITX",IF(D461="新倉",-SUM(J461:K461),IF(E461="賣",(H461-H1165)*G461*200-SUM(J461:K461),(H1165-H461)*G461*200-SUM(J461:K461))),IF(D461="新倉",-SUM(J461:K461),IF(E461="賣",(H461-H1165)*G461*50-SUM(J461:K461),(H1165-H461)*G461*50-SUM(J461:K461)))))</f>
        <v/>
      </c>
      <c r="M461" s="699">
        <f>L461</f>
        <v/>
      </c>
      <c r="N461" s="686">
        <f>M461</f>
        <v/>
      </c>
      <c r="O461" s="249" t="inlineStr">
        <is>
          <t>平倉</t>
        </is>
      </c>
      <c r="P461" s="249" t="inlineStr">
        <is>
          <t>元大期貨</t>
        </is>
      </c>
    </row>
    <row r="462" outlineLevel="1">
      <c r="A462" s="696" t="n">
        <v>45825</v>
      </c>
      <c r="B462" s="234" t="inlineStr">
        <is>
          <t>TXO</t>
        </is>
      </c>
      <c r="C462" s="229" t="inlineStr">
        <is>
          <t>台指 C 06 22150 C</t>
        </is>
      </c>
      <c r="D462" s="229" t="inlineStr">
        <is>
          <t>新倉</t>
        </is>
      </c>
      <c r="E462" s="257" t="inlineStr">
        <is>
          <t>買</t>
        </is>
      </c>
      <c r="F462" s="229" t="inlineStr">
        <is>
          <t>-</t>
        </is>
      </c>
      <c r="G462" s="697" t="n">
        <v>1</v>
      </c>
      <c r="H462" s="698" t="n">
        <v>146</v>
      </c>
      <c r="I462" s="697" t="n">
        <v>-7300</v>
      </c>
      <c r="J462" s="585" t="n">
        <v>18</v>
      </c>
      <c r="K462" s="585" t="n">
        <v>7</v>
      </c>
      <c r="L462" s="585">
        <f>IF(B462="TXO",I462-SUM(J462:K462),IF(B462="FITX",IF(D462="新倉",-SUM(J462:K462),IF(E462="賣",(H462-H1166)*G462*200-SUM(J462:K462),(H1166-H462)*G462*200-SUM(J462:K462))),IF(D462="新倉",-SUM(J462:K462),IF(E462="賣",(H462-H1166)*G462*50-SUM(J462:K462),(H1166-H462)*G462*50-SUM(J462:K462)))))</f>
        <v/>
      </c>
      <c r="M462" s="699">
        <f>L462</f>
        <v/>
      </c>
      <c r="N462" s="686">
        <f>M462</f>
        <v/>
      </c>
      <c r="O462" s="249" t="inlineStr">
        <is>
          <t>新倉</t>
        </is>
      </c>
      <c r="P462" s="249" t="inlineStr">
        <is>
          <t>元大期貨</t>
        </is>
      </c>
    </row>
    <row r="463" outlineLevel="1">
      <c r="A463" s="696" t="n">
        <v>45825</v>
      </c>
      <c r="B463" s="234" t="inlineStr">
        <is>
          <t>TXO</t>
        </is>
      </c>
      <c r="C463" s="229" t="inlineStr">
        <is>
          <t>台指 C 06 22150 C</t>
        </is>
      </c>
      <c r="D463" s="229" t="inlineStr">
        <is>
          <t>平倉</t>
        </is>
      </c>
      <c r="E463" s="257" t="inlineStr">
        <is>
          <t>賣</t>
        </is>
      </c>
      <c r="F463" s="229" t="inlineStr">
        <is>
          <t>-</t>
        </is>
      </c>
      <c r="G463" s="697" t="n">
        <v>1</v>
      </c>
      <c r="H463" s="698" t="n">
        <v>150</v>
      </c>
      <c r="I463" s="697" t="n">
        <v>7500</v>
      </c>
      <c r="J463" s="585" t="n">
        <v>18</v>
      </c>
      <c r="K463" s="585" t="n">
        <v>8</v>
      </c>
      <c r="L463" s="585">
        <f>IF(B463="TXO",I463-SUM(J463:K463),IF(B463="FITX",IF(D463="新倉",-SUM(J463:K463),IF(E463="賣",(H463-H1167)*G463*200-SUM(J463:K463),(H1167-H463)*G463*200-SUM(J463:K463))),IF(D463="新倉",-SUM(J463:K463),IF(E463="賣",(H463-H1167)*G463*50-SUM(J463:K463),(H1167-H463)*G463*50-SUM(J463:K463)))))</f>
        <v/>
      </c>
      <c r="M463" s="699">
        <f>L463</f>
        <v/>
      </c>
      <c r="N463" s="686">
        <f>M463</f>
        <v/>
      </c>
      <c r="O463" s="249" t="inlineStr">
        <is>
          <t>平倉</t>
        </is>
      </c>
      <c r="P463" s="249" t="inlineStr">
        <is>
          <t>元大期貨</t>
        </is>
      </c>
    </row>
    <row r="464" outlineLevel="1">
      <c r="A464" s="696" t="n">
        <v>45825</v>
      </c>
      <c r="B464" s="234" t="inlineStr">
        <is>
          <t>TXO</t>
        </is>
      </c>
      <c r="C464" s="229" t="inlineStr">
        <is>
          <t>台指 C 06 22150 C</t>
        </is>
      </c>
      <c r="D464" s="229" t="inlineStr">
        <is>
          <t>新倉</t>
        </is>
      </c>
      <c r="E464" s="257" t="inlineStr">
        <is>
          <t>買</t>
        </is>
      </c>
      <c r="F464" s="229" t="inlineStr">
        <is>
          <t>-</t>
        </is>
      </c>
      <c r="G464" s="697" t="n">
        <v>2</v>
      </c>
      <c r="H464" s="698" t="n">
        <v>116</v>
      </c>
      <c r="I464" s="697" t="n">
        <v>-11600</v>
      </c>
      <c r="J464" s="585" t="n">
        <v>36</v>
      </c>
      <c r="K464" s="585" t="n">
        <v>12</v>
      </c>
      <c r="L464" s="585">
        <f>IF(B464="TXO",I464-SUM(J464:K464),IF(B464="FITX",IF(D464="新倉",-SUM(J464:K464),IF(E464="賣",(H464-H1168)*G464*200-SUM(J464:K464),(H1168-H464)*G464*200-SUM(J464:K464))),IF(D464="新倉",-SUM(J464:K464),IF(E464="賣",(H464-H1168)*G464*50-SUM(J464:K464),(H1168-H464)*G464*50-SUM(J464:K464)))))</f>
        <v/>
      </c>
      <c r="M464" s="699">
        <f>L464</f>
        <v/>
      </c>
      <c r="N464" s="686">
        <f>M464</f>
        <v/>
      </c>
      <c r="O464" s="249" t="inlineStr">
        <is>
          <t>新倉</t>
        </is>
      </c>
      <c r="P464" s="249" t="inlineStr">
        <is>
          <t>元大期貨</t>
        </is>
      </c>
    </row>
    <row r="465" outlineLevel="1">
      <c r="A465" s="696" t="n">
        <v>45825</v>
      </c>
      <c r="B465" s="234" t="inlineStr">
        <is>
          <t>TXO</t>
        </is>
      </c>
      <c r="C465" s="229" t="inlineStr">
        <is>
          <t>台指 C 06 22150 C</t>
        </is>
      </c>
      <c r="D465" s="229" t="inlineStr">
        <is>
          <t>平倉</t>
        </is>
      </c>
      <c r="E465" s="257" t="inlineStr">
        <is>
          <t>賣</t>
        </is>
      </c>
      <c r="F465" s="229" t="inlineStr">
        <is>
          <t>-</t>
        </is>
      </c>
      <c r="G465" s="697" t="n">
        <v>2</v>
      </c>
      <c r="H465" s="698" t="n">
        <v>131</v>
      </c>
      <c r="I465" s="697" t="n">
        <v>13100</v>
      </c>
      <c r="J465" s="585" t="n">
        <v>36</v>
      </c>
      <c r="K465" s="585" t="n">
        <v>14</v>
      </c>
      <c r="L465" s="585">
        <f>IF(B465="TXO",I465-SUM(J465:K465),IF(B465="FITX",IF(D465="新倉",-SUM(J465:K465),IF(E465="賣",(H465-H1169)*G465*200-SUM(J465:K465),(H1169-H465)*G465*200-SUM(J465:K465))),IF(D465="新倉",-SUM(J465:K465),IF(E465="賣",(H465-H1169)*G465*50-SUM(J465:K465),(H1169-H465)*G465*50-SUM(J465:K465)))))</f>
        <v/>
      </c>
      <c r="M465" s="699">
        <f>L465</f>
        <v/>
      </c>
      <c r="N465" s="686">
        <f>M465</f>
        <v/>
      </c>
      <c r="O465" s="249" t="inlineStr">
        <is>
          <t>平倉</t>
        </is>
      </c>
      <c r="P465" s="249" t="inlineStr">
        <is>
          <t>元大期貨</t>
        </is>
      </c>
    </row>
    <row r="466" outlineLevel="1">
      <c r="A466" s="696" t="n">
        <v>45825</v>
      </c>
      <c r="B466" s="234" t="inlineStr">
        <is>
          <t>TXO</t>
        </is>
      </c>
      <c r="C466" s="229" t="inlineStr">
        <is>
          <t>台指 C 06 22100 C</t>
        </is>
      </c>
      <c r="D466" s="229" t="inlineStr">
        <is>
          <t>新倉</t>
        </is>
      </c>
      <c r="E466" s="257" t="inlineStr">
        <is>
          <t>買</t>
        </is>
      </c>
      <c r="F466" s="229" t="inlineStr">
        <is>
          <t>-</t>
        </is>
      </c>
      <c r="G466" s="697" t="n">
        <v>1</v>
      </c>
      <c r="H466" s="698" t="n">
        <v>128</v>
      </c>
      <c r="I466" s="697" t="n">
        <v>-6400</v>
      </c>
      <c r="J466" s="585" t="n">
        <v>18</v>
      </c>
      <c r="K466" s="585" t="n">
        <v>6</v>
      </c>
      <c r="L466" s="585">
        <f>IF(B466="TXO",I466-SUM(J466:K466),IF(B466="FITX",IF(D466="新倉",-SUM(J466:K466),IF(E466="賣",(H466-H1170)*G466*200-SUM(J466:K466),(H1170-H466)*G466*200-SUM(J466:K466))),IF(D466="新倉",-SUM(J466:K466),IF(E466="賣",(H466-H1170)*G466*50-SUM(J466:K466),(H1170-H466)*G466*50-SUM(J466:K466)))))</f>
        <v/>
      </c>
      <c r="M466" s="699">
        <f>L466</f>
        <v/>
      </c>
      <c r="N466" s="686">
        <f>M466</f>
        <v/>
      </c>
      <c r="O466" s="249" t="inlineStr">
        <is>
          <t>新倉</t>
        </is>
      </c>
      <c r="P466" s="249" t="inlineStr">
        <is>
          <t>元大期貨</t>
        </is>
      </c>
    </row>
    <row r="467" outlineLevel="1">
      <c r="A467" s="696" t="n">
        <v>45825</v>
      </c>
      <c r="B467" s="234" t="inlineStr">
        <is>
          <t>TXO</t>
        </is>
      </c>
      <c r="C467" s="229" t="inlineStr">
        <is>
          <t>台指 C 06 22100 C</t>
        </is>
      </c>
      <c r="D467" s="229" t="inlineStr">
        <is>
          <t>平倉</t>
        </is>
      </c>
      <c r="E467" s="257" t="inlineStr">
        <is>
          <t>賣</t>
        </is>
      </c>
      <c r="F467" s="229" t="inlineStr">
        <is>
          <t>-</t>
        </is>
      </c>
      <c r="G467" s="697" t="n">
        <v>1</v>
      </c>
      <c r="H467" s="698" t="n">
        <v>139</v>
      </c>
      <c r="I467" s="697" t="n">
        <v>6950</v>
      </c>
      <c r="J467" s="585" t="n">
        <v>18</v>
      </c>
      <c r="K467" s="585" t="n">
        <v>7</v>
      </c>
      <c r="L467" s="585">
        <f>IF(B467="TXO",I467-SUM(J467:K467),IF(B467="FITX",IF(D467="新倉",-SUM(J467:K467),IF(E467="賣",(H467-H1171)*G467*200-SUM(J467:K467),(H1171-H467)*G467*200-SUM(J467:K467))),IF(D467="新倉",-SUM(J467:K467),IF(E467="賣",(H467-H1171)*G467*50-SUM(J467:K467),(H1171-H467)*G467*50-SUM(J467:K467)))))</f>
        <v/>
      </c>
      <c r="M467" s="699">
        <f>L467</f>
        <v/>
      </c>
      <c r="N467" s="686">
        <f>M467</f>
        <v/>
      </c>
      <c r="O467" s="249" t="inlineStr">
        <is>
          <t>平倉</t>
        </is>
      </c>
      <c r="P467" s="249" t="inlineStr">
        <is>
          <t>元大期貨</t>
        </is>
      </c>
    </row>
    <row r="468" outlineLevel="1">
      <c r="A468" s="696" t="n">
        <v>45825</v>
      </c>
      <c r="B468" s="234" t="inlineStr">
        <is>
          <t>TXO</t>
        </is>
      </c>
      <c r="C468" s="229" t="inlineStr">
        <is>
          <t>台指 C 06 22300 C</t>
        </is>
      </c>
      <c r="D468" s="229" t="inlineStr">
        <is>
          <t>新倉</t>
        </is>
      </c>
      <c r="E468" s="257" t="inlineStr">
        <is>
          <t>買</t>
        </is>
      </c>
      <c r="F468" s="229" t="inlineStr">
        <is>
          <t>-</t>
        </is>
      </c>
      <c r="G468" s="697" t="n">
        <v>3</v>
      </c>
      <c r="H468" s="698" t="n">
        <v>36</v>
      </c>
      <c r="I468" s="697" t="n">
        <v>-5400</v>
      </c>
      <c r="J468" s="585" t="n">
        <v>54</v>
      </c>
      <c r="K468" s="585" t="n">
        <v>6</v>
      </c>
      <c r="L468" s="585">
        <f>IF(B468="TXO",I468-SUM(J468:K468),IF(B468="FITX",IF(D468="新倉",-SUM(J468:K468),IF(E468="賣",(H468-H1172)*G468*200-SUM(J468:K468),(H1172-H468)*G468*200-SUM(J468:K468))),IF(D468="新倉",-SUM(J468:K468),IF(E468="賣",(H468-H1172)*G468*50-SUM(J468:K468),(H1172-H468)*G468*50-SUM(J468:K468)))))</f>
        <v/>
      </c>
      <c r="M468" s="699">
        <f>L468</f>
        <v/>
      </c>
      <c r="N468" s="686">
        <f>M468</f>
        <v/>
      </c>
      <c r="O468" s="249" t="inlineStr">
        <is>
          <t>新倉</t>
        </is>
      </c>
      <c r="P468" s="249" t="inlineStr">
        <is>
          <t>元大期貨</t>
        </is>
      </c>
    </row>
    <row r="469" outlineLevel="1">
      <c r="A469" s="696" t="n">
        <v>45826</v>
      </c>
      <c r="B469" s="234" t="inlineStr">
        <is>
          <t>TXO</t>
        </is>
      </c>
      <c r="C469" s="229" t="inlineStr">
        <is>
          <t>台指 C 06 22300 C</t>
        </is>
      </c>
      <c r="D469" s="229" t="inlineStr">
        <is>
          <t>平倉</t>
        </is>
      </c>
      <c r="E469" s="257" t="inlineStr">
        <is>
          <t>賣</t>
        </is>
      </c>
      <c r="F469" s="229" t="inlineStr">
        <is>
          <t>-</t>
        </is>
      </c>
      <c r="G469" s="697" t="n">
        <v>1</v>
      </c>
      <c r="H469" s="698" t="n">
        <v>80</v>
      </c>
      <c r="I469" s="697" t="n">
        <v>4000</v>
      </c>
      <c r="J469" s="585" t="n">
        <v>18</v>
      </c>
      <c r="K469" s="585" t="n">
        <v>4</v>
      </c>
      <c r="L469" s="585">
        <f>IF(B469="TXO",I469-SUM(J469:K469),IF(B469="FITX",IF(D469="新倉",-SUM(J469:K469),IF(E469="賣",(H469-H1173)*G469*200-SUM(J469:K469),(H1173-H469)*G469*200-SUM(J469:K469))),IF(D469="新倉",-SUM(J469:K469),IF(E469="賣",(H469-H1173)*G469*50-SUM(J469:K469),(H1173-H469)*G469*50-SUM(J469:K469)))))</f>
        <v/>
      </c>
      <c r="M469" s="699">
        <f>L469</f>
        <v/>
      </c>
      <c r="N469" s="686">
        <f>M469</f>
        <v/>
      </c>
      <c r="O469" s="249" t="inlineStr">
        <is>
          <t>平倉</t>
        </is>
      </c>
      <c r="P469" s="249" t="inlineStr">
        <is>
          <t>元大期貨</t>
        </is>
      </c>
    </row>
    <row r="470" outlineLevel="1">
      <c r="A470" s="696" t="n">
        <v>45826</v>
      </c>
      <c r="B470" s="234" t="inlineStr">
        <is>
          <t>TXO</t>
        </is>
      </c>
      <c r="C470" s="229" t="inlineStr">
        <is>
          <t>台指 C 06 22300 C</t>
        </is>
      </c>
      <c r="D470" s="229" t="inlineStr">
        <is>
          <t>平倉</t>
        </is>
      </c>
      <c r="E470" s="257" t="inlineStr">
        <is>
          <t>賣</t>
        </is>
      </c>
      <c r="F470" s="229" t="inlineStr">
        <is>
          <t>-</t>
        </is>
      </c>
      <c r="G470" s="697" t="n">
        <v>2</v>
      </c>
      <c r="H470" s="698" t="n">
        <v>65</v>
      </c>
      <c r="I470" s="697" t="n">
        <v>6500</v>
      </c>
      <c r="J470" s="585" t="n">
        <v>36</v>
      </c>
      <c r="K470" s="585" t="n">
        <v>6</v>
      </c>
      <c r="L470" s="585">
        <f>IF(B470="TXO",I470-SUM(J470:K470),IF(B470="FITX",IF(D470="新倉",-SUM(J470:K470),IF(E470="賣",(H470-H1174)*G470*200-SUM(J470:K470),(H1174-H470)*G470*200-SUM(J470:K470))),IF(D470="新倉",-SUM(J470:K470),IF(E470="賣",(H470-H1174)*G470*50-SUM(J470:K470),(H1174-H470)*G470*50-SUM(J470:K470)))))</f>
        <v/>
      </c>
      <c r="M470" s="699">
        <f>L470</f>
        <v/>
      </c>
      <c r="N470" s="686">
        <f>M470</f>
        <v/>
      </c>
      <c r="O470" s="249" t="inlineStr">
        <is>
          <t>平倉</t>
        </is>
      </c>
      <c r="P470" s="249" t="inlineStr">
        <is>
          <t>元大期貨</t>
        </is>
      </c>
    </row>
    <row r="471" outlineLevel="1">
      <c r="A471" s="696" t="n">
        <v>45825</v>
      </c>
      <c r="B471" s="234" t="inlineStr">
        <is>
          <t>TXO</t>
        </is>
      </c>
      <c r="C471" s="229" t="inlineStr">
        <is>
          <t>台指 C 06 22350 C</t>
        </is>
      </c>
      <c r="D471" s="229" t="inlineStr">
        <is>
          <t>新倉</t>
        </is>
      </c>
      <c r="E471" s="257" t="inlineStr">
        <is>
          <t>買</t>
        </is>
      </c>
      <c r="F471" s="229" t="inlineStr">
        <is>
          <t>-</t>
        </is>
      </c>
      <c r="G471" s="697" t="n">
        <v>3</v>
      </c>
      <c r="H471" s="698" t="n">
        <v>49.5</v>
      </c>
      <c r="I471" s="697" t="n">
        <v>-7425</v>
      </c>
      <c r="J471" s="585" t="n">
        <v>54</v>
      </c>
      <c r="K471" s="585" t="n">
        <v>6</v>
      </c>
      <c r="L471" s="585">
        <f>IF(B471="TXO",I471-SUM(J471:K471),IF(B471="FITX",IF(D471="新倉",-SUM(J471:K471),IF(E471="賣",(H471-H1175)*G471*200-SUM(J471:K471),(H1175-H471)*G471*200-SUM(J471:K471))),IF(D471="新倉",-SUM(J471:K471),IF(E471="賣",(H471-H1175)*G471*50-SUM(J471:K471),(H1175-H471)*G471*50-SUM(J471:K471)))))</f>
        <v/>
      </c>
      <c r="M471" s="699">
        <f>L471</f>
        <v/>
      </c>
      <c r="N471" s="686">
        <f>M471</f>
        <v/>
      </c>
      <c r="O471" s="249" t="inlineStr">
        <is>
          <t>新倉</t>
        </is>
      </c>
      <c r="P471" s="249" t="inlineStr">
        <is>
          <t>元大期貨</t>
        </is>
      </c>
    </row>
    <row r="472" outlineLevel="1">
      <c r="A472" s="696" t="n">
        <v>45826</v>
      </c>
      <c r="B472" s="234" t="inlineStr">
        <is>
          <t>TXO</t>
        </is>
      </c>
      <c r="C472" s="229" t="inlineStr">
        <is>
          <t>台指 C 06 22350 C</t>
        </is>
      </c>
      <c r="D472" s="229" t="inlineStr">
        <is>
          <t>平倉</t>
        </is>
      </c>
      <c r="E472" s="257" t="inlineStr">
        <is>
          <t>賣</t>
        </is>
      </c>
      <c r="F472" s="229" t="inlineStr">
        <is>
          <t>-</t>
        </is>
      </c>
      <c r="G472" s="697" t="n">
        <v>3</v>
      </c>
      <c r="H472" s="698" t="n">
        <v>36.5</v>
      </c>
      <c r="I472" s="697" t="n">
        <v>5475</v>
      </c>
      <c r="J472" s="585" t="n">
        <v>54</v>
      </c>
      <c r="K472" s="585" t="n">
        <v>6</v>
      </c>
      <c r="L472" s="585">
        <f>IF(B472="TXO",I472-SUM(J472:K472),IF(B472="FITX",IF(D472="新倉",-SUM(J472:K472),IF(E472="賣",(H472-H1176)*G472*200-SUM(J472:K472),(H1176-H472)*G472*200-SUM(J472:K472))),IF(D472="新倉",-SUM(J472:K472),IF(E472="賣",(H472-H1176)*G472*50-SUM(J472:K472),(H1176-H472)*G472*50-SUM(J472:K472)))))</f>
        <v/>
      </c>
      <c r="M472" s="699">
        <f>L472</f>
        <v/>
      </c>
      <c r="N472" s="686">
        <f>M472</f>
        <v/>
      </c>
      <c r="O472" s="249" t="inlineStr">
        <is>
          <t>平倉</t>
        </is>
      </c>
      <c r="P472" s="249" t="inlineStr">
        <is>
          <t>元大期貨</t>
        </is>
      </c>
    </row>
    <row r="473" outlineLevel="1">
      <c r="A473" s="696" t="n">
        <v>45826</v>
      </c>
      <c r="B473" s="234" t="inlineStr">
        <is>
          <t>TXO</t>
        </is>
      </c>
      <c r="C473" s="229" t="inlineStr">
        <is>
          <t>台指 P 06 21950 P</t>
        </is>
      </c>
      <c r="D473" s="229" t="inlineStr">
        <is>
          <t>新倉</t>
        </is>
      </c>
      <c r="E473" s="257" t="inlineStr">
        <is>
          <t>買</t>
        </is>
      </c>
      <c r="F473" s="229" t="inlineStr">
        <is>
          <t>-</t>
        </is>
      </c>
      <c r="G473" s="697" t="n">
        <v>3</v>
      </c>
      <c r="H473" s="698" t="n">
        <v>39</v>
      </c>
      <c r="I473" s="697" t="n">
        <v>-5850</v>
      </c>
      <c r="J473" s="585" t="n">
        <v>54</v>
      </c>
      <c r="K473" s="585" t="n">
        <v>6</v>
      </c>
      <c r="L473" s="585">
        <f>IF(B473="TXO",I473-SUM(J473:K473),IF(B473="FITX",IF(D473="新倉",-SUM(J473:K473),IF(E473="賣",(H473-H1177)*G473*200-SUM(J473:K473),(H1177-H473)*G473*200-SUM(J473:K473))),IF(D473="新倉",-SUM(J473:K473),IF(E473="賣",(H473-H1177)*G473*50-SUM(J473:K473),(H1177-H473)*G473*50-SUM(J473:K473)))))</f>
        <v/>
      </c>
      <c r="M473" s="699">
        <f>L473</f>
        <v/>
      </c>
      <c r="N473" s="686">
        <f>M473</f>
        <v/>
      </c>
      <c r="O473" s="261" t="inlineStr">
        <is>
          <t>放棄</t>
        </is>
      </c>
      <c r="P473" s="249" t="inlineStr">
        <is>
          <t>元大期貨</t>
        </is>
      </c>
    </row>
    <row r="474" outlineLevel="1">
      <c r="A474" s="696" t="n">
        <v>45826</v>
      </c>
      <c r="B474" s="234" t="inlineStr">
        <is>
          <t>TXO</t>
        </is>
      </c>
      <c r="C474" s="229" t="inlineStr">
        <is>
          <t>台指 C 06 22350 C</t>
        </is>
      </c>
      <c r="D474" s="229" t="inlineStr">
        <is>
          <t>新倉</t>
        </is>
      </c>
      <c r="E474" s="257" t="inlineStr">
        <is>
          <t>買</t>
        </is>
      </c>
      <c r="F474" s="229" t="inlineStr">
        <is>
          <t>-</t>
        </is>
      </c>
      <c r="G474" s="697" t="n">
        <v>4</v>
      </c>
      <c r="H474" s="698" t="n">
        <v>12</v>
      </c>
      <c r="I474" s="697" t="n">
        <v>-2400</v>
      </c>
      <c r="J474" s="585" t="n">
        <v>72</v>
      </c>
      <c r="K474" s="585" t="n">
        <v>4</v>
      </c>
      <c r="L474" s="585">
        <f>IF(B474="TXO",I474-SUM(J474:K474),IF(B474="FITX",IF(D474="新倉",-SUM(J474:K474),IF(E474="賣",(H474-H1178)*G474*200-SUM(J474:K474),(H1178-H474)*G474*200-SUM(J474:K474))),IF(D474="新倉",-SUM(J474:K474),IF(E474="賣",(H474-H1178)*G474*50-SUM(J474:K474),(H1178-H474)*G474*50-SUM(J474:K474)))))</f>
        <v/>
      </c>
      <c r="M474" s="699">
        <f>L474</f>
        <v/>
      </c>
      <c r="N474" s="686">
        <f>M474</f>
        <v/>
      </c>
      <c r="O474" s="249" t="inlineStr">
        <is>
          <t>新倉</t>
        </is>
      </c>
      <c r="P474" s="249" t="inlineStr">
        <is>
          <t>元大期貨</t>
        </is>
      </c>
    </row>
    <row r="475" outlineLevel="1">
      <c r="A475" s="696" t="n">
        <v>45826</v>
      </c>
      <c r="B475" s="234" t="inlineStr">
        <is>
          <t>TXO</t>
        </is>
      </c>
      <c r="C475" s="229" t="inlineStr">
        <is>
          <t>台指 C 06 22350 C</t>
        </is>
      </c>
      <c r="D475" s="229" t="inlineStr">
        <is>
          <t>平倉</t>
        </is>
      </c>
      <c r="E475" s="257" t="inlineStr">
        <is>
          <t>賣</t>
        </is>
      </c>
      <c r="F475" s="229" t="inlineStr">
        <is>
          <t>-</t>
        </is>
      </c>
      <c r="G475" s="697" t="n">
        <v>1</v>
      </c>
      <c r="H475" s="698" t="n">
        <v>43.5</v>
      </c>
      <c r="I475" s="697" t="n">
        <v>2175</v>
      </c>
      <c r="J475" s="585" t="n">
        <v>18</v>
      </c>
      <c r="K475" s="585" t="n">
        <v>2</v>
      </c>
      <c r="L475" s="585">
        <f>IF(B475="TXO",I475-SUM(J475:K475),IF(B475="FITX",IF(D475="新倉",-SUM(J475:K475),IF(E475="賣",(H475-H1179)*G475*200-SUM(J475:K475),(H1179-H475)*G475*200-SUM(J475:K475))),IF(D475="新倉",-SUM(J475:K475),IF(E475="賣",(H475-H1179)*G475*50-SUM(J475:K475),(H1179-H475)*G475*50-SUM(J475:K475)))))</f>
        <v/>
      </c>
      <c r="M475" s="699">
        <f>L475</f>
        <v/>
      </c>
      <c r="N475" s="686">
        <f>M475</f>
        <v/>
      </c>
      <c r="O475" s="249" t="inlineStr">
        <is>
          <t>平倉</t>
        </is>
      </c>
      <c r="P475" s="249" t="inlineStr">
        <is>
          <t>元大期貨</t>
        </is>
      </c>
    </row>
    <row r="476" outlineLevel="1">
      <c r="A476" s="696" t="n">
        <v>45826</v>
      </c>
      <c r="B476" s="234" t="inlineStr">
        <is>
          <t>TXO</t>
        </is>
      </c>
      <c r="C476" s="229" t="inlineStr">
        <is>
          <t>台指 C 06 22350 C</t>
        </is>
      </c>
      <c r="D476" s="229" t="inlineStr">
        <is>
          <t>平倉</t>
        </is>
      </c>
      <c r="E476" s="257" t="inlineStr">
        <is>
          <t>賣</t>
        </is>
      </c>
      <c r="F476" s="229" t="inlineStr">
        <is>
          <t>-</t>
        </is>
      </c>
      <c r="G476" s="697" t="n">
        <v>1</v>
      </c>
      <c r="H476" s="698" t="n">
        <v>41</v>
      </c>
      <c r="I476" s="697" t="n">
        <v>2050</v>
      </c>
      <c r="J476" s="585" t="n">
        <v>18</v>
      </c>
      <c r="K476" s="585" t="n">
        <v>2</v>
      </c>
      <c r="L476" s="585">
        <f>IF(B476="TXO",I476-SUM(J476:K476),IF(B476="FITX",IF(D476="新倉",-SUM(J476:K476),IF(E476="賣",(H476-H1180)*G476*200-SUM(J476:K476),(H1180-H476)*G476*200-SUM(J476:K476))),IF(D476="新倉",-SUM(J476:K476),IF(E476="賣",(H476-H1180)*G476*50-SUM(J476:K476),(H1180-H476)*G476*50-SUM(J476:K476)))))</f>
        <v/>
      </c>
      <c r="M476" s="699">
        <f>L476</f>
        <v/>
      </c>
      <c r="N476" s="686">
        <f>M476</f>
        <v/>
      </c>
      <c r="O476" s="249" t="inlineStr">
        <is>
          <t>平倉</t>
        </is>
      </c>
      <c r="P476" s="249" t="inlineStr">
        <is>
          <t>元大期貨</t>
        </is>
      </c>
    </row>
    <row r="477" outlineLevel="1">
      <c r="A477" s="696" t="n">
        <v>45826</v>
      </c>
      <c r="B477" s="234" t="inlineStr">
        <is>
          <t>TXO</t>
        </is>
      </c>
      <c r="C477" s="229" t="inlineStr">
        <is>
          <t>台指 C 06 22350 C</t>
        </is>
      </c>
      <c r="D477" s="229" t="inlineStr">
        <is>
          <t>平倉</t>
        </is>
      </c>
      <c r="E477" s="257" t="inlineStr">
        <is>
          <t>賣</t>
        </is>
      </c>
      <c r="F477" s="229" t="inlineStr">
        <is>
          <t>-</t>
        </is>
      </c>
      <c r="G477" s="697" t="n">
        <v>2</v>
      </c>
      <c r="H477" s="698" t="n">
        <v>36.5</v>
      </c>
      <c r="I477" s="697" t="n">
        <v>3650</v>
      </c>
      <c r="J477" s="585" t="n">
        <v>36</v>
      </c>
      <c r="K477" s="585" t="n">
        <v>4</v>
      </c>
      <c r="L477" s="585">
        <f>IF(B477="TXO",I477-SUM(J477:K477),IF(B477="FITX",IF(D477="新倉",-SUM(J477:K477),IF(E477="賣",(H477-H1181)*G477*200-SUM(J477:K477),(H1181-H477)*G477*200-SUM(J477:K477))),IF(D477="新倉",-SUM(J477:K477),IF(E477="賣",(H477-H1181)*G477*50-SUM(J477:K477),(H1181-H477)*G477*50-SUM(J477:K477)))))</f>
        <v/>
      </c>
      <c r="M477" s="699">
        <f>L477</f>
        <v/>
      </c>
      <c r="N477" s="686">
        <f>M477</f>
        <v/>
      </c>
      <c r="O477" s="249" t="inlineStr">
        <is>
          <t>平倉</t>
        </is>
      </c>
      <c r="P477" s="249" t="inlineStr">
        <is>
          <t>元大期貨</t>
        </is>
      </c>
    </row>
    <row r="478" outlineLevel="1">
      <c r="A478" s="696" t="n">
        <v>45826</v>
      </c>
      <c r="B478" s="234" t="inlineStr">
        <is>
          <t>TXO</t>
        </is>
      </c>
      <c r="C478" s="229" t="inlineStr">
        <is>
          <t>台指 C 06 22400 C</t>
        </is>
      </c>
      <c r="D478" s="229" t="inlineStr">
        <is>
          <t>新倉</t>
        </is>
      </c>
      <c r="E478" s="257" t="inlineStr">
        <is>
          <t>買</t>
        </is>
      </c>
      <c r="F478" s="229" t="inlineStr">
        <is>
          <t>-</t>
        </is>
      </c>
      <c r="G478" s="697" t="n">
        <v>10</v>
      </c>
      <c r="H478" s="698" t="n">
        <v>7</v>
      </c>
      <c r="I478" s="697" t="n">
        <v>-3500</v>
      </c>
      <c r="J478" s="585" t="n">
        <v>180</v>
      </c>
      <c r="K478" s="585" t="n">
        <v>0</v>
      </c>
      <c r="L478" s="585">
        <f>IF(B478="TXO",I478-SUM(J478:K478),IF(B478="FITX",IF(D478="新倉",-SUM(J478:K478),IF(E478="賣",(H478-H1182)*G478*200-SUM(J478:K478),(H1182-H478)*G478*200-SUM(J478:K478))),IF(D478="新倉",-SUM(J478:K478),IF(E478="賣",(H478-H1182)*G478*50-SUM(J478:K478),(H1182-H478)*G478*50-SUM(J478:K478)))))</f>
        <v/>
      </c>
      <c r="M478" s="699">
        <f>L478</f>
        <v/>
      </c>
      <c r="N478" s="686">
        <f>M478</f>
        <v/>
      </c>
      <c r="O478" s="249" t="inlineStr">
        <is>
          <t>新倉</t>
        </is>
      </c>
      <c r="P478" s="249" t="inlineStr">
        <is>
          <t>元大期貨</t>
        </is>
      </c>
    </row>
    <row r="479" outlineLevel="1">
      <c r="A479" s="696" t="n">
        <v>45826</v>
      </c>
      <c r="B479" s="234" t="inlineStr">
        <is>
          <t>TXO</t>
        </is>
      </c>
      <c r="C479" s="229" t="inlineStr">
        <is>
          <t>台指 C 06 22400 C</t>
        </is>
      </c>
      <c r="D479" s="229" t="inlineStr">
        <is>
          <t>平倉</t>
        </is>
      </c>
      <c r="E479" s="257" t="inlineStr">
        <is>
          <t>賣</t>
        </is>
      </c>
      <c r="F479" s="229" t="inlineStr">
        <is>
          <t>-</t>
        </is>
      </c>
      <c r="G479" s="697" t="n">
        <v>1</v>
      </c>
      <c r="H479" s="698" t="n">
        <v>20</v>
      </c>
      <c r="I479" s="697" t="n">
        <v>1000</v>
      </c>
      <c r="J479" s="585" t="n">
        <v>18</v>
      </c>
      <c r="K479" s="585" t="n">
        <v>1</v>
      </c>
      <c r="L479" s="585">
        <f>IF(B479="TXO",I479-SUM(J479:K479),IF(B479="FITX",IF(D479="新倉",-SUM(J479:K479),IF(E479="賣",(H479-H1183)*G479*200-SUM(J479:K479),(H1183-H479)*G479*200-SUM(J479:K479))),IF(D479="新倉",-SUM(J479:K479),IF(E479="賣",(H479-H1183)*G479*50-SUM(J479:K479),(H1183-H479)*G479*50-SUM(J479:K479)))))</f>
        <v/>
      </c>
      <c r="M479" s="699">
        <f>L479</f>
        <v/>
      </c>
      <c r="N479" s="686">
        <f>M479</f>
        <v/>
      </c>
      <c r="O479" s="249" t="inlineStr">
        <is>
          <t>平倉</t>
        </is>
      </c>
      <c r="P479" s="249" t="inlineStr">
        <is>
          <t>元大期貨</t>
        </is>
      </c>
    </row>
    <row r="480" outlineLevel="1">
      <c r="A480" s="696" t="n">
        <v>45826</v>
      </c>
      <c r="B480" s="234" t="inlineStr">
        <is>
          <t>TXO</t>
        </is>
      </c>
      <c r="C480" s="229" t="inlineStr">
        <is>
          <t>台指 C 06 22400 C</t>
        </is>
      </c>
      <c r="D480" s="229" t="inlineStr">
        <is>
          <t>平倉</t>
        </is>
      </c>
      <c r="E480" s="257" t="inlineStr">
        <is>
          <t>賣</t>
        </is>
      </c>
      <c r="F480" s="229" t="inlineStr">
        <is>
          <t>-</t>
        </is>
      </c>
      <c r="G480" s="697" t="n">
        <v>3</v>
      </c>
      <c r="H480" s="698" t="n">
        <v>17</v>
      </c>
      <c r="I480" s="697" t="n">
        <v>2550</v>
      </c>
      <c r="J480" s="585" t="n">
        <v>54</v>
      </c>
      <c r="K480" s="585" t="n">
        <v>3</v>
      </c>
      <c r="L480" s="585">
        <f>IF(B480="TXO",I480-SUM(J480:K480),IF(B480="FITX",IF(D480="新倉",-SUM(J480:K480),IF(E480="賣",(H480-H1184)*G480*200-SUM(J480:K480),(H1184-H480)*G480*200-SUM(J480:K480))),IF(D480="新倉",-SUM(J480:K480),IF(E480="賣",(H480-H1184)*G480*50-SUM(J480:K480),(H1184-H480)*G480*50-SUM(J480:K480)))))</f>
        <v/>
      </c>
      <c r="M480" s="699">
        <f>L480</f>
        <v/>
      </c>
      <c r="N480" s="686">
        <f>M480</f>
        <v/>
      </c>
      <c r="O480" s="249" t="inlineStr">
        <is>
          <t>平倉</t>
        </is>
      </c>
      <c r="P480" s="249" t="inlineStr">
        <is>
          <t>元大期貨</t>
        </is>
      </c>
    </row>
    <row r="481" outlineLevel="1">
      <c r="A481" s="696" t="n">
        <v>45826</v>
      </c>
      <c r="B481" s="234" t="inlineStr">
        <is>
          <t>TXO</t>
        </is>
      </c>
      <c r="C481" s="229" t="inlineStr">
        <is>
          <t>台指 C 06 22400 C</t>
        </is>
      </c>
      <c r="D481" s="229" t="inlineStr">
        <is>
          <t>平倉</t>
        </is>
      </c>
      <c r="E481" s="257" t="inlineStr">
        <is>
          <t>賣</t>
        </is>
      </c>
      <c r="F481" s="229" t="inlineStr">
        <is>
          <t>-</t>
        </is>
      </c>
      <c r="G481" s="697" t="n">
        <v>2</v>
      </c>
      <c r="H481" s="698" t="n">
        <v>17.5</v>
      </c>
      <c r="I481" s="697" t="n">
        <v>1750</v>
      </c>
      <c r="J481" s="585" t="n">
        <v>36</v>
      </c>
      <c r="K481" s="585" t="n">
        <v>2</v>
      </c>
      <c r="L481" s="585">
        <f>IF(B481="TXO",I481-SUM(J481:K481),IF(B481="FITX",IF(D481="新倉",-SUM(J481:K481),IF(E481="賣",(H481-H1185)*G481*200-SUM(J481:K481),(H1185-H481)*G481*200-SUM(J481:K481))),IF(D481="新倉",-SUM(J481:K481),IF(E481="賣",(H481-H1185)*G481*50-SUM(J481:K481),(H1185-H481)*G481*50-SUM(J481:K481)))))</f>
        <v/>
      </c>
      <c r="M481" s="699">
        <f>L481</f>
        <v/>
      </c>
      <c r="N481" s="686">
        <f>M481</f>
        <v/>
      </c>
      <c r="O481" s="249" t="inlineStr">
        <is>
          <t>平倉</t>
        </is>
      </c>
      <c r="P481" s="249" t="inlineStr">
        <is>
          <t>元大期貨</t>
        </is>
      </c>
    </row>
    <row r="482" outlineLevel="1">
      <c r="A482" s="696" t="n">
        <v>45826</v>
      </c>
      <c r="B482" s="234" t="inlineStr">
        <is>
          <t>TXO</t>
        </is>
      </c>
      <c r="C482" s="229" t="inlineStr">
        <is>
          <t>台指 C 06 22400 C</t>
        </is>
      </c>
      <c r="D482" s="229" t="inlineStr">
        <is>
          <t>平倉</t>
        </is>
      </c>
      <c r="E482" s="257" t="inlineStr">
        <is>
          <t>賣</t>
        </is>
      </c>
      <c r="F482" s="229" t="inlineStr">
        <is>
          <t>-</t>
        </is>
      </c>
      <c r="G482" s="697" t="n">
        <v>2</v>
      </c>
      <c r="H482" s="698" t="n">
        <v>14</v>
      </c>
      <c r="I482" s="697" t="n">
        <v>1400</v>
      </c>
      <c r="J482" s="585" t="n">
        <v>36</v>
      </c>
      <c r="K482" s="585" t="n">
        <v>2</v>
      </c>
      <c r="L482" s="585">
        <f>IF(B482="TXO",I482-SUM(J482:K482),IF(B482="FITX",IF(D482="新倉",-SUM(J482:K482),IF(E482="賣",(H482-H1186)*G482*200-SUM(J482:K482),(H1186-H482)*G482*200-SUM(J482:K482))),IF(D482="新倉",-SUM(J482:K482),IF(E482="賣",(H482-H1186)*G482*50-SUM(J482:K482),(H1186-H482)*G482*50-SUM(J482:K482)))))</f>
        <v/>
      </c>
      <c r="M482" s="699">
        <f>L482</f>
        <v/>
      </c>
      <c r="N482" s="686">
        <f>M482</f>
        <v/>
      </c>
      <c r="O482" s="249" t="inlineStr">
        <is>
          <t>平倉</t>
        </is>
      </c>
      <c r="P482" s="249" t="inlineStr">
        <is>
          <t>元大期貨</t>
        </is>
      </c>
    </row>
    <row r="483" outlineLevel="1">
      <c r="A483" s="696" t="n">
        <v>45826</v>
      </c>
      <c r="B483" s="234" t="inlineStr">
        <is>
          <t>TXO</t>
        </is>
      </c>
      <c r="C483" s="229" t="inlineStr">
        <is>
          <t>台指 C 06 22300 C</t>
        </is>
      </c>
      <c r="D483" s="229" t="inlineStr">
        <is>
          <t>新倉</t>
        </is>
      </c>
      <c r="E483" s="257" t="inlineStr">
        <is>
          <t>買</t>
        </is>
      </c>
      <c r="F483" s="229" t="inlineStr">
        <is>
          <t>-</t>
        </is>
      </c>
      <c r="G483" s="697" t="n">
        <v>2</v>
      </c>
      <c r="H483" s="698" t="n">
        <v>28</v>
      </c>
      <c r="I483" s="697" t="n">
        <v>-2800</v>
      </c>
      <c r="J483" s="585" t="n">
        <v>36</v>
      </c>
      <c r="K483" s="585" t="n">
        <v>2</v>
      </c>
      <c r="L483" s="585">
        <f>IF(B483="TXO",I483-SUM(J483:K483),IF(B483="FITX",IF(D483="新倉",-SUM(J483:K483),IF(E483="賣",(H483-H1187)*G483*200-SUM(J483:K483),(H1187-H483)*G483*200-SUM(J483:K483))),IF(D483="新倉",-SUM(J483:K483),IF(E483="賣",(H483-H1187)*G483*50-SUM(J483:K483),(H1187-H483)*G483*50-SUM(J483:K483)))))</f>
        <v/>
      </c>
      <c r="M483" s="699">
        <f>L483</f>
        <v/>
      </c>
      <c r="N483" s="686">
        <f>M483</f>
        <v/>
      </c>
      <c r="O483" s="249" t="inlineStr">
        <is>
          <t>新倉</t>
        </is>
      </c>
      <c r="P483" s="249" t="inlineStr">
        <is>
          <t>元大期貨</t>
        </is>
      </c>
    </row>
    <row r="484" outlineLevel="1">
      <c r="A484" s="696" t="n">
        <v>45826</v>
      </c>
      <c r="B484" s="234" t="inlineStr">
        <is>
          <t>TXO</t>
        </is>
      </c>
      <c r="C484" s="229" t="inlineStr">
        <is>
          <t>台指 C 06 22300 C</t>
        </is>
      </c>
      <c r="D484" s="229" t="inlineStr">
        <is>
          <t>平倉</t>
        </is>
      </c>
      <c r="E484" s="257" t="inlineStr">
        <is>
          <t>賣</t>
        </is>
      </c>
      <c r="F484" s="229" t="inlineStr">
        <is>
          <t>-</t>
        </is>
      </c>
      <c r="G484" s="697" t="n">
        <v>1</v>
      </c>
      <c r="H484" s="698" t="n">
        <v>56</v>
      </c>
      <c r="I484" s="697" t="n">
        <v>2800</v>
      </c>
      <c r="J484" s="585" t="n">
        <v>18</v>
      </c>
      <c r="K484" s="585" t="n">
        <v>3</v>
      </c>
      <c r="L484" s="585">
        <f>IF(B484="TXO",I484-SUM(J484:K484),IF(B484="FITX",IF(D484="新倉",-SUM(J484:K484),IF(E484="賣",(H484-H1188)*G484*200-SUM(J484:K484),(H1188-H484)*G484*200-SUM(J484:K484))),IF(D484="新倉",-SUM(J484:K484),IF(E484="賣",(H484-H1188)*G484*50-SUM(J484:K484),(H1188-H484)*G484*50-SUM(J484:K484)))))</f>
        <v/>
      </c>
      <c r="M484" s="699">
        <f>L484</f>
        <v/>
      </c>
      <c r="N484" s="686">
        <f>M484</f>
        <v/>
      </c>
      <c r="O484" s="249" t="inlineStr">
        <is>
          <t>平倉</t>
        </is>
      </c>
      <c r="P484" s="249" t="inlineStr">
        <is>
          <t>元大期貨</t>
        </is>
      </c>
    </row>
    <row r="485" outlineLevel="1">
      <c r="A485" s="696" t="n">
        <v>45826</v>
      </c>
      <c r="B485" s="234" t="inlineStr">
        <is>
          <t>TXO</t>
        </is>
      </c>
      <c r="C485" s="229" t="inlineStr">
        <is>
          <t>台指 C 06 22300 C</t>
        </is>
      </c>
      <c r="D485" s="229" t="inlineStr">
        <is>
          <t>平倉</t>
        </is>
      </c>
      <c r="E485" s="257" t="inlineStr">
        <is>
          <t>賣</t>
        </is>
      </c>
      <c r="F485" s="229" t="inlineStr">
        <is>
          <t>-</t>
        </is>
      </c>
      <c r="G485" s="697" t="n">
        <v>1</v>
      </c>
      <c r="H485" s="698" t="n">
        <v>51</v>
      </c>
      <c r="I485" s="697" t="n">
        <v>2550</v>
      </c>
      <c r="J485" s="585" t="n">
        <v>18</v>
      </c>
      <c r="K485" s="585" t="n">
        <v>3</v>
      </c>
      <c r="L485" s="585">
        <f>IF(B485="TXO",I485-SUM(J485:K485),IF(B485="FITX",IF(D485="新倉",-SUM(J485:K485),IF(E485="賣",(H485-H1189)*G485*200-SUM(J485:K485),(H1189-H485)*G485*200-SUM(J485:K485))),IF(D485="新倉",-SUM(J485:K485),IF(E485="賣",(H485-H1189)*G485*50-SUM(J485:K485),(H1189-H485)*G485*50-SUM(J485:K485)))))</f>
        <v/>
      </c>
      <c r="M485" s="699">
        <f>L485</f>
        <v/>
      </c>
      <c r="N485" s="686">
        <f>M485</f>
        <v/>
      </c>
      <c r="O485" s="249" t="inlineStr">
        <is>
          <t>平倉</t>
        </is>
      </c>
      <c r="P485" s="249" t="inlineStr">
        <is>
          <t>元大期貨</t>
        </is>
      </c>
    </row>
    <row r="486" outlineLevel="1">
      <c r="A486" s="696" t="n">
        <v>45827</v>
      </c>
      <c r="B486" s="234" t="inlineStr">
        <is>
          <t>TXO</t>
        </is>
      </c>
      <c r="C486" s="229" t="inlineStr">
        <is>
          <t>週W4 P 06 22300 P</t>
        </is>
      </c>
      <c r="D486" s="229" t="inlineStr">
        <is>
          <t>新倉</t>
        </is>
      </c>
      <c r="E486" s="257" t="inlineStr">
        <is>
          <t>買</t>
        </is>
      </c>
      <c r="F486" s="229" t="inlineStr">
        <is>
          <t>-</t>
        </is>
      </c>
      <c r="G486" s="697" t="n">
        <v>1</v>
      </c>
      <c r="H486" s="698" t="n">
        <v>342</v>
      </c>
      <c r="I486" s="697" t="n">
        <v>-17100</v>
      </c>
      <c r="J486" s="585" t="n">
        <v>18</v>
      </c>
      <c r="K486" s="585" t="n">
        <v>17</v>
      </c>
      <c r="L486" s="585">
        <f>IF(B486="TXO",I486-SUM(J486:K486),IF(B486="FITX",IF(D486="新倉",-SUM(J486:K486),IF(E486="賣",(H486-H1190)*G486*200-SUM(J486:K486),(H1190-H486)*G486*200-SUM(J486:K486))),IF(D486="新倉",-SUM(J486:K486),IF(E486="賣",(H486-H1190)*G486*50-SUM(J486:K486),(H1190-H486)*G486*50-SUM(J486:K486)))))</f>
        <v/>
      </c>
      <c r="M486" s="699">
        <f>L486</f>
        <v/>
      </c>
      <c r="N486" s="686">
        <f>M486</f>
        <v/>
      </c>
      <c r="O486" s="249" t="inlineStr">
        <is>
          <t>新倉</t>
        </is>
      </c>
      <c r="P486" s="249" t="inlineStr">
        <is>
          <t>元大期貨</t>
        </is>
      </c>
    </row>
    <row r="487" outlineLevel="1">
      <c r="A487" s="696" t="n">
        <v>45827</v>
      </c>
      <c r="B487" s="234" t="inlineStr">
        <is>
          <t>TXO</t>
        </is>
      </c>
      <c r="C487" s="229" t="inlineStr">
        <is>
          <t>週W4 P 06 22300 P</t>
        </is>
      </c>
      <c r="D487" s="229" t="inlineStr">
        <is>
          <t>平倉</t>
        </is>
      </c>
      <c r="E487" s="257" t="inlineStr">
        <is>
          <t>賣</t>
        </is>
      </c>
      <c r="F487" s="229" t="inlineStr">
        <is>
          <t>-</t>
        </is>
      </c>
      <c r="G487" s="697" t="n">
        <v>1</v>
      </c>
      <c r="H487" s="698" t="n">
        <v>327</v>
      </c>
      <c r="I487" s="697" t="n">
        <v>16350</v>
      </c>
      <c r="J487" s="585" t="n">
        <v>18</v>
      </c>
      <c r="K487" s="585" t="n">
        <v>16</v>
      </c>
      <c r="L487" s="585">
        <f>IF(B487="TXO",I487-SUM(J487:K487),IF(B487="FITX",IF(D487="新倉",-SUM(J487:K487),IF(E487="賣",(H487-H1191)*G487*200-SUM(J487:K487),(H1191-H487)*G487*200-SUM(J487:K487))),IF(D487="新倉",-SUM(J487:K487),IF(E487="賣",(H487-H1191)*G487*50-SUM(J487:K487),(H1191-H487)*G487*50-SUM(J487:K487)))))</f>
        <v/>
      </c>
      <c r="M487" s="699">
        <f>L487</f>
        <v/>
      </c>
      <c r="N487" s="686">
        <f>M487</f>
        <v/>
      </c>
      <c r="O487" s="249" t="inlineStr">
        <is>
          <t>平倉</t>
        </is>
      </c>
      <c r="P487" s="249" t="inlineStr">
        <is>
          <t>元大期貨</t>
        </is>
      </c>
    </row>
    <row r="488" outlineLevel="1">
      <c r="A488" s="696" t="n">
        <v>45827</v>
      </c>
      <c r="B488" s="234" t="inlineStr">
        <is>
          <t>TXO</t>
        </is>
      </c>
      <c r="C488" s="229" t="inlineStr">
        <is>
          <t>週W4 C 06 22450 C</t>
        </is>
      </c>
      <c r="D488" s="229" t="inlineStr">
        <is>
          <t>新倉</t>
        </is>
      </c>
      <c r="E488" s="257" t="inlineStr">
        <is>
          <t>買</t>
        </is>
      </c>
      <c r="F488" s="229" t="inlineStr">
        <is>
          <t>-</t>
        </is>
      </c>
      <c r="G488" s="697" t="n">
        <v>1</v>
      </c>
      <c r="H488" s="698" t="n">
        <v>107</v>
      </c>
      <c r="I488" s="697" t="n">
        <v>-5350</v>
      </c>
      <c r="J488" s="585" t="n">
        <v>18</v>
      </c>
      <c r="K488" s="585" t="n">
        <v>5</v>
      </c>
      <c r="L488" s="585">
        <f>IF(B488="TXO",I488-SUM(J488:K488),IF(B488="FITX",IF(D488="新倉",-SUM(J488:K488),IF(E488="賣",(H488-H1192)*G488*200-SUM(J488:K488),(H1192-H488)*G488*200-SUM(J488:K488))),IF(D488="新倉",-SUM(J488:K488),IF(E488="賣",(H488-H1192)*G488*50-SUM(J488:K488),(H1192-H488)*G488*50-SUM(J488:K488)))))</f>
        <v/>
      </c>
      <c r="M488" s="699">
        <f>L488</f>
        <v/>
      </c>
      <c r="N488" s="686">
        <f>M488</f>
        <v/>
      </c>
      <c r="O488" s="249" t="inlineStr">
        <is>
          <t>新倉</t>
        </is>
      </c>
      <c r="P488" s="249" t="inlineStr">
        <is>
          <t>元大期貨</t>
        </is>
      </c>
    </row>
    <row r="489" outlineLevel="1">
      <c r="A489" s="696" t="n">
        <v>45827</v>
      </c>
      <c r="B489" s="234" t="inlineStr">
        <is>
          <t>TXO</t>
        </is>
      </c>
      <c r="C489" s="229" t="inlineStr">
        <is>
          <t>週W4 C 06 22450 C</t>
        </is>
      </c>
      <c r="D489" s="229" t="inlineStr">
        <is>
          <t>平倉</t>
        </is>
      </c>
      <c r="E489" s="257" t="inlineStr">
        <is>
          <t>賣</t>
        </is>
      </c>
      <c r="F489" s="229" t="inlineStr">
        <is>
          <t>-</t>
        </is>
      </c>
      <c r="G489" s="697" t="n">
        <v>1</v>
      </c>
      <c r="H489" s="698" t="n">
        <v>102</v>
      </c>
      <c r="I489" s="697" t="n">
        <v>5100</v>
      </c>
      <c r="J489" s="585" t="n">
        <v>18</v>
      </c>
      <c r="K489" s="585" t="n">
        <v>5</v>
      </c>
      <c r="L489" s="585">
        <f>IF(B489="TXO",I489-SUM(J489:K489),IF(B489="FITX",IF(D489="新倉",-SUM(J489:K489),IF(E489="賣",(H489-H1193)*G489*200-SUM(J489:K489),(H1193-H489)*G489*200-SUM(J489:K489))),IF(D489="新倉",-SUM(J489:K489),IF(E489="賣",(H489-H1193)*G489*50-SUM(J489:K489),(H1193-H489)*G489*50-SUM(J489:K489)))))</f>
        <v/>
      </c>
      <c r="M489" s="699">
        <f>L489</f>
        <v/>
      </c>
      <c r="N489" s="686">
        <f>M489</f>
        <v/>
      </c>
      <c r="O489" s="249" t="inlineStr">
        <is>
          <t>平倉</t>
        </is>
      </c>
      <c r="P489" s="249" t="inlineStr">
        <is>
          <t>元大期貨</t>
        </is>
      </c>
    </row>
    <row r="490" outlineLevel="1" ht="17.25" customHeight="1" thickBot="1">
      <c r="A490" s="696" t="n">
        <v>45827</v>
      </c>
      <c r="B490" s="234" t="inlineStr">
        <is>
          <t>TXO</t>
        </is>
      </c>
      <c r="C490" s="229" t="inlineStr">
        <is>
          <t>週W4 P 06 19800 P</t>
        </is>
      </c>
      <c r="D490" s="229" t="inlineStr">
        <is>
          <t>新倉</t>
        </is>
      </c>
      <c r="E490" s="257" t="inlineStr">
        <is>
          <t>買</t>
        </is>
      </c>
      <c r="F490" s="229" t="inlineStr">
        <is>
          <t>-</t>
        </is>
      </c>
      <c r="G490" s="697" t="n">
        <v>3</v>
      </c>
      <c r="H490" s="698" t="n">
        <v>30</v>
      </c>
      <c r="I490" s="697" t="n">
        <v>-4500</v>
      </c>
      <c r="J490" s="585" t="n">
        <v>54</v>
      </c>
      <c r="K490" s="585" t="n">
        <v>6</v>
      </c>
      <c r="L490" s="585">
        <f>IF(B490="TXO",I490-SUM(J490:K490),IF(B490="FITX",IF(D490="新倉",-SUM(J490:K490),IF(E490="賣",(H490-H1194)*G490*200-SUM(J490:K490),(H1194-H490)*G490*200-SUM(J490:K490))),IF(D490="新倉",-SUM(J490:K490),IF(E490="賣",(H490-H1194)*G490*50-SUM(J490:K490),(H1194-H490)*G490*50-SUM(J490:K490)))))</f>
        <v/>
      </c>
      <c r="M490" s="699">
        <f>L490</f>
        <v/>
      </c>
      <c r="N490" s="686">
        <f>M490</f>
        <v/>
      </c>
      <c r="O490" s="261" t="inlineStr">
        <is>
          <t>放棄</t>
        </is>
      </c>
      <c r="P490" s="249" t="inlineStr">
        <is>
          <t>元大期貨</t>
        </is>
      </c>
    </row>
    <row r="491" ht="17.25" customHeight="1" thickBot="1">
      <c r="A491" s="718" t="n">
        <v>45828</v>
      </c>
      <c r="B491" s="292" t="n"/>
      <c r="C491" s="471" t="inlineStr">
        <is>
          <t>從技到道選擇權班</t>
        </is>
      </c>
      <c r="D491" s="292" t="n"/>
      <c r="E491" s="292" t="n"/>
      <c r="F491" s="292" t="n"/>
      <c r="G491" s="719" t="n"/>
      <c r="H491" s="719" t="n"/>
      <c r="I491" s="719" t="n"/>
      <c r="J491" s="720" t="n"/>
      <c r="K491" s="719" t="n"/>
      <c r="L491" s="720" t="n"/>
      <c r="M491" s="721" t="n">
        <v>36000</v>
      </c>
      <c r="N491" s="666" t="n"/>
      <c r="O491" s="226" t="n"/>
      <c r="P491" s="722" t="n"/>
      <c r="Q491" s="249" t="n"/>
    </row>
    <row r="492" outlineLevel="1">
      <c r="A492" s="696" t="n">
        <v>45828</v>
      </c>
      <c r="B492" s="234" t="inlineStr">
        <is>
          <t>TXO</t>
        </is>
      </c>
      <c r="C492" s="229" t="inlineStr">
        <is>
          <t>週W4 P 06 21500 P</t>
        </is>
      </c>
      <c r="D492" s="229" t="inlineStr">
        <is>
          <t>新倉</t>
        </is>
      </c>
      <c r="E492" s="257" t="inlineStr">
        <is>
          <t>買</t>
        </is>
      </c>
      <c r="F492" s="229" t="inlineStr">
        <is>
          <t>-</t>
        </is>
      </c>
      <c r="G492" s="697" t="n">
        <v>2</v>
      </c>
      <c r="H492" s="698" t="n">
        <v>140</v>
      </c>
      <c r="I492" s="697" t="n">
        <v>-14000</v>
      </c>
      <c r="J492" s="585" t="n">
        <v>36</v>
      </c>
      <c r="K492" s="585" t="n">
        <v>14</v>
      </c>
      <c r="L492" s="585">
        <f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/>
      </c>
      <c r="M492" s="699">
        <f>L492</f>
        <v/>
      </c>
      <c r="N492" s="686">
        <f>M492</f>
        <v/>
      </c>
      <c r="O492" s="249" t="inlineStr">
        <is>
          <t>新倉</t>
        </is>
      </c>
      <c r="P492" s="249" t="inlineStr">
        <is>
          <t>元大期貨</t>
        </is>
      </c>
    </row>
    <row r="493" outlineLevel="1">
      <c r="A493" s="696" t="n">
        <v>45828</v>
      </c>
      <c r="B493" s="234" t="inlineStr">
        <is>
          <t>TXO</t>
        </is>
      </c>
      <c r="C493" s="229" t="inlineStr">
        <is>
          <t>週W4 P 06 21500 P</t>
        </is>
      </c>
      <c r="D493" s="229" t="inlineStr">
        <is>
          <t>平倉</t>
        </is>
      </c>
      <c r="E493" s="257" t="inlineStr">
        <is>
          <t>賣</t>
        </is>
      </c>
      <c r="F493" s="229" t="inlineStr">
        <is>
          <t>-</t>
        </is>
      </c>
      <c r="G493" s="697" t="n">
        <v>2</v>
      </c>
      <c r="H493" s="698" t="n">
        <v>149</v>
      </c>
      <c r="I493" s="697" t="n">
        <v>14900</v>
      </c>
      <c r="J493" s="585" t="n">
        <v>36</v>
      </c>
      <c r="K493" s="585" t="n">
        <v>14</v>
      </c>
      <c r="L493" s="585">
        <f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/>
      </c>
      <c r="M493" s="699">
        <f>L493</f>
        <v/>
      </c>
      <c r="N493" s="686">
        <f>M493</f>
        <v/>
      </c>
      <c r="O493" s="249" t="inlineStr">
        <is>
          <t>平倉</t>
        </is>
      </c>
      <c r="P493" s="249" t="inlineStr">
        <is>
          <t>元大期貨</t>
        </is>
      </c>
    </row>
    <row r="494" outlineLevel="1">
      <c r="A494" s="696" t="n">
        <v>45831</v>
      </c>
      <c r="B494" s="234" t="inlineStr">
        <is>
          <t>TXO</t>
        </is>
      </c>
      <c r="C494" s="229" t="inlineStr">
        <is>
          <t>週W4 P 06 21100 P</t>
        </is>
      </c>
      <c r="D494" s="229" t="inlineStr">
        <is>
          <t>新倉</t>
        </is>
      </c>
      <c r="E494" s="257" t="inlineStr">
        <is>
          <t>買</t>
        </is>
      </c>
      <c r="F494" s="229" t="inlineStr">
        <is>
          <t>-</t>
        </is>
      </c>
      <c r="G494" s="697" t="n">
        <v>2</v>
      </c>
      <c r="H494" s="698" t="n">
        <v>61</v>
      </c>
      <c r="I494" s="697" t="n">
        <v>-6100</v>
      </c>
      <c r="J494" s="585" t="n">
        <v>36</v>
      </c>
      <c r="K494" s="585" t="n">
        <v>6</v>
      </c>
      <c r="L494" s="585">
        <f>IF(B494="TXO",I494-SUM(J494:K494),IF(B494="FITX",IF(D494="新倉",-SUM(J494:K494),IF(E494="賣",(H494-H1197)*G494*200-SUM(J494:K494),(H1197-H494)*G494*200-SUM(J494:K494))),IF(D494="新倉",-SUM(J494:K494),IF(E494="賣",(H494-H1197)*G494*50-SUM(J494:K494),(H1197-H494)*G494*50-SUM(J494:K494)))))</f>
        <v/>
      </c>
      <c r="M494" s="699">
        <f>L494</f>
        <v/>
      </c>
      <c r="N494" s="686">
        <f>M494</f>
        <v/>
      </c>
      <c r="O494" s="261" t="inlineStr">
        <is>
          <t>放棄</t>
        </is>
      </c>
      <c r="P494" s="249" t="inlineStr">
        <is>
          <t>元大期貨</t>
        </is>
      </c>
    </row>
    <row r="495" outlineLevel="1">
      <c r="A495" s="696" t="n">
        <v>45831</v>
      </c>
      <c r="B495" s="234" t="inlineStr">
        <is>
          <t>TXO</t>
        </is>
      </c>
      <c r="C495" s="229" t="inlineStr">
        <is>
          <t>週W4 P 06 21200 P</t>
        </is>
      </c>
      <c r="D495" s="229" t="inlineStr">
        <is>
          <t>新倉</t>
        </is>
      </c>
      <c r="E495" s="257" t="inlineStr">
        <is>
          <t>買</t>
        </is>
      </c>
      <c r="F495" s="229" t="inlineStr">
        <is>
          <t>-</t>
        </is>
      </c>
      <c r="G495" s="697" t="n">
        <v>2</v>
      </c>
      <c r="H495" s="698" t="n">
        <v>76</v>
      </c>
      <c r="I495" s="697" t="n">
        <v>-7600</v>
      </c>
      <c r="J495" s="585" t="n">
        <v>36</v>
      </c>
      <c r="K495" s="585" t="n">
        <v>8</v>
      </c>
      <c r="L495" s="585">
        <f>IF(B495="TXO",I495-SUM(J495:K495),IF(B495="FITX",IF(D495="新倉",-SUM(J495:K495),IF(E495="賣",(H495-H1198)*G495*200-SUM(J495:K495),(H1198-H495)*G495*200-SUM(J495:K495))),IF(D495="新倉",-SUM(J495:K495),IF(E495="賣",(H495-H1198)*G495*50-SUM(J495:K495),(H1198-H495)*G495*50-SUM(J495:K495)))))</f>
        <v/>
      </c>
      <c r="M495" s="699">
        <f>L495</f>
        <v/>
      </c>
      <c r="N495" s="686">
        <f>M495</f>
        <v/>
      </c>
      <c r="O495" s="261" t="inlineStr">
        <is>
          <t>放棄</t>
        </is>
      </c>
      <c r="P495" s="249" t="inlineStr">
        <is>
          <t>元大期貨</t>
        </is>
      </c>
    </row>
    <row r="496" outlineLevel="1">
      <c r="A496" s="696" t="n">
        <v>45831</v>
      </c>
      <c r="B496" s="234" t="inlineStr">
        <is>
          <t>TXO</t>
        </is>
      </c>
      <c r="C496" s="229" t="inlineStr">
        <is>
          <t>週W4 P 06 21950 P</t>
        </is>
      </c>
      <c r="D496" s="229" t="inlineStr">
        <is>
          <t>新倉</t>
        </is>
      </c>
      <c r="E496" s="257" t="inlineStr">
        <is>
          <t>買</t>
        </is>
      </c>
      <c r="F496" s="229" t="inlineStr">
        <is>
          <t>-</t>
        </is>
      </c>
      <c r="G496" s="697" t="n">
        <v>1</v>
      </c>
      <c r="H496" s="698" t="n">
        <v>347</v>
      </c>
      <c r="I496" s="697" t="n">
        <v>-17350</v>
      </c>
      <c r="J496" s="585" t="n">
        <v>18</v>
      </c>
      <c r="K496" s="585" t="n">
        <v>17</v>
      </c>
      <c r="L496" s="585">
        <f>IF(B496="TXO",I496-SUM(J496:K496),IF(B496="FITX",IF(D496="新倉",-SUM(J496:K496),IF(E496="賣",(H496-H1199)*G496*200-SUM(J496:K496),(H1199-H496)*G496*200-SUM(J496:K496))),IF(D496="新倉",-SUM(J496:K496),IF(E496="賣",(H496-H1199)*G496*50-SUM(J496:K496),(H1199-H496)*G496*50-SUM(J496:K496)))))</f>
        <v/>
      </c>
      <c r="M496" s="699">
        <f>L496</f>
        <v/>
      </c>
      <c r="N496" s="686">
        <f>M496</f>
        <v/>
      </c>
      <c r="O496" s="249" t="inlineStr">
        <is>
          <t>新倉</t>
        </is>
      </c>
      <c r="P496" s="249" t="inlineStr">
        <is>
          <t>元大期貨</t>
        </is>
      </c>
    </row>
    <row r="497" outlineLevel="1">
      <c r="A497" s="696" t="n">
        <v>45831</v>
      </c>
      <c r="B497" s="234" t="inlineStr">
        <is>
          <t>TXO</t>
        </is>
      </c>
      <c r="C497" s="229" t="inlineStr">
        <is>
          <t>週W4 P 06 21950 P</t>
        </is>
      </c>
      <c r="D497" s="229" t="inlineStr">
        <is>
          <t>平倉</t>
        </is>
      </c>
      <c r="E497" s="257" t="inlineStr">
        <is>
          <t>賣</t>
        </is>
      </c>
      <c r="F497" s="229" t="inlineStr">
        <is>
          <t>-</t>
        </is>
      </c>
      <c r="G497" s="697" t="n">
        <v>1</v>
      </c>
      <c r="H497" s="698" t="n">
        <v>470</v>
      </c>
      <c r="I497" s="697" t="n">
        <v>23500</v>
      </c>
      <c r="J497" s="585" t="n">
        <v>18</v>
      </c>
      <c r="K497" s="585" t="n">
        <v>24</v>
      </c>
      <c r="L497" s="585">
        <f>IF(B497="TXO",I497-SUM(J497:K497),IF(B497="FITX",IF(D497="新倉",-SUM(J497:K497),IF(E497="賣",(H497-H1200)*G497*200-SUM(J497:K497),(H1200-H497)*G497*200-SUM(J497:K497))),IF(D497="新倉",-SUM(J497:K497),IF(E497="賣",(H497-H1200)*G497*50-SUM(J497:K497),(H1200-H497)*G497*50-SUM(J497:K497)))))</f>
        <v/>
      </c>
      <c r="M497" s="699">
        <f>L497</f>
        <v/>
      </c>
      <c r="N497" s="686">
        <f>M497</f>
        <v/>
      </c>
      <c r="O497" s="249" t="inlineStr">
        <is>
          <t>平倉</t>
        </is>
      </c>
      <c r="P497" s="249" t="inlineStr">
        <is>
          <t>元大期貨</t>
        </is>
      </c>
    </row>
    <row r="498" outlineLevel="1">
      <c r="A498" s="696" t="n">
        <v>45831</v>
      </c>
      <c r="B498" s="234" t="inlineStr">
        <is>
          <t>TXO</t>
        </is>
      </c>
      <c r="C498" s="229" t="inlineStr">
        <is>
          <t>週W4 C 06 22050 C</t>
        </is>
      </c>
      <c r="D498" s="229" t="inlineStr">
        <is>
          <t>新倉</t>
        </is>
      </c>
      <c r="E498" s="257" t="inlineStr">
        <is>
          <t>買</t>
        </is>
      </c>
      <c r="F498" s="229" t="inlineStr">
        <is>
          <t>-</t>
        </is>
      </c>
      <c r="G498" s="697" t="n">
        <v>1</v>
      </c>
      <c r="H498" s="698" t="n">
        <v>38.5</v>
      </c>
      <c r="I498" s="697" t="n">
        <v>-1925</v>
      </c>
      <c r="J498" s="585" t="n">
        <v>18</v>
      </c>
      <c r="K498" s="585" t="n">
        <v>2</v>
      </c>
      <c r="L498" s="585">
        <f>IF(B498="TXO",I498-SUM(J498:K498),IF(B498="FITX",IF(D498="新倉",-SUM(J498:K498),IF(E498="賣",(H498-H1201)*G498*200-SUM(J498:K498),(H1201-H498)*G498*200-SUM(J498:K498))),IF(D498="新倉",-SUM(J498:K498),IF(E498="賣",(H498-H1201)*G498*50-SUM(J498:K498),(H1201-H498)*G498*50-SUM(J498:K498)))))</f>
        <v/>
      </c>
      <c r="M498" s="699">
        <f>L498</f>
        <v/>
      </c>
      <c r="N498" s="686">
        <f>M498</f>
        <v/>
      </c>
      <c r="O498" s="261" t="inlineStr">
        <is>
          <t>放棄</t>
        </is>
      </c>
      <c r="P498" s="249" t="inlineStr">
        <is>
          <t>元大期貨</t>
        </is>
      </c>
    </row>
    <row r="499" outlineLevel="1">
      <c r="A499" s="696" t="n">
        <v>45831</v>
      </c>
      <c r="B499" s="234" t="inlineStr">
        <is>
          <t>TXO</t>
        </is>
      </c>
      <c r="C499" s="229" t="inlineStr">
        <is>
          <t>週W4 C 06 22050 C</t>
        </is>
      </c>
      <c r="D499" s="229" t="inlineStr">
        <is>
          <t>新倉</t>
        </is>
      </c>
      <c r="E499" s="257" t="inlineStr">
        <is>
          <t>買</t>
        </is>
      </c>
      <c r="F499" s="229" t="inlineStr">
        <is>
          <t>-</t>
        </is>
      </c>
      <c r="G499" s="697" t="n">
        <v>1</v>
      </c>
      <c r="H499" s="698" t="n">
        <v>39</v>
      </c>
      <c r="I499" s="697" t="n">
        <v>-1950</v>
      </c>
      <c r="J499" s="585" t="n">
        <v>18</v>
      </c>
      <c r="K499" s="585" t="n">
        <v>2</v>
      </c>
      <c r="L499" s="585">
        <f>IF(B499="TXO",I499-SUM(J499:K499),IF(B499="FITX",IF(D499="新倉",-SUM(J499:K499),IF(E499="賣",(H499-H1202)*G499*200-SUM(J499:K499),(H1202-H499)*G499*200-SUM(J499:K499))),IF(D499="新倉",-SUM(J499:K499),IF(E499="賣",(H499-H1202)*G499*50-SUM(J499:K499),(H1202-H499)*G499*50-SUM(J499:K499)))))</f>
        <v/>
      </c>
      <c r="M499" s="699">
        <f>L499</f>
        <v/>
      </c>
      <c r="N499" s="686">
        <f>M499</f>
        <v/>
      </c>
      <c r="O499" s="249" t="inlineStr">
        <is>
          <t>新倉</t>
        </is>
      </c>
      <c r="P499" s="249" t="inlineStr">
        <is>
          <t>元大期貨</t>
        </is>
      </c>
    </row>
    <row r="500" outlineLevel="1">
      <c r="A500" s="696" t="n">
        <v>45832</v>
      </c>
      <c r="B500" s="234" t="inlineStr">
        <is>
          <t>TXO</t>
        </is>
      </c>
      <c r="C500" s="229" t="inlineStr">
        <is>
          <t>週W4 C 06 22050 C</t>
        </is>
      </c>
      <c r="D500" s="229" t="inlineStr">
        <is>
          <t>平倉</t>
        </is>
      </c>
      <c r="E500" s="257" t="inlineStr">
        <is>
          <t>賣</t>
        </is>
      </c>
      <c r="F500" s="229" t="inlineStr">
        <is>
          <t>-</t>
        </is>
      </c>
      <c r="G500" s="697" t="n">
        <v>2</v>
      </c>
      <c r="H500" s="698" t="n">
        <v>123</v>
      </c>
      <c r="I500" s="697" t="n">
        <v>12300</v>
      </c>
      <c r="J500" s="585" t="n">
        <v>36</v>
      </c>
      <c r="K500" s="585" t="n">
        <v>12</v>
      </c>
      <c r="L500" s="585">
        <f>IF(B500="TXO",I500-SUM(J500:K500),IF(B500="FITX",IF(D500="新倉",-SUM(J500:K500),IF(E500="賣",(H500-H1203)*G500*200-SUM(J500:K500),(H1203-H500)*G500*200-SUM(J500:K500))),IF(D500="新倉",-SUM(J500:K500),IF(E500="賣",(H500-H1203)*G500*50-SUM(J500:K500),(H1203-H500)*G500*50-SUM(J500:K500)))))</f>
        <v/>
      </c>
      <c r="M500" s="699">
        <f>L500</f>
        <v/>
      </c>
      <c r="N500" s="686">
        <f>M500</f>
        <v/>
      </c>
      <c r="O500" s="249" t="inlineStr">
        <is>
          <t>平倉</t>
        </is>
      </c>
      <c r="P500" s="249" t="inlineStr">
        <is>
          <t>元大期貨</t>
        </is>
      </c>
    </row>
    <row r="501" outlineLevel="1">
      <c r="A501" s="696" t="n">
        <v>45832</v>
      </c>
      <c r="B501" s="234" t="inlineStr">
        <is>
          <t>TXO</t>
        </is>
      </c>
      <c r="C501" s="229" t="inlineStr">
        <is>
          <t>週W4 P 06 21700 P</t>
        </is>
      </c>
      <c r="D501" s="229" t="inlineStr">
        <is>
          <t>新倉</t>
        </is>
      </c>
      <c r="E501" s="257" t="inlineStr">
        <is>
          <t>買</t>
        </is>
      </c>
      <c r="F501" s="229" t="inlineStr">
        <is>
          <t>-</t>
        </is>
      </c>
      <c r="G501" s="697" t="n">
        <v>2</v>
      </c>
      <c r="H501" s="698" t="n">
        <v>18</v>
      </c>
      <c r="I501" s="697" t="n">
        <v>-1800</v>
      </c>
      <c r="J501" s="585" t="n">
        <v>36</v>
      </c>
      <c r="K501" s="585" t="n">
        <v>2</v>
      </c>
      <c r="L501" s="585">
        <f>IF(B501="TXO",I501-SUM(J501:K501),IF(B501="FITX",IF(D501="新倉",-SUM(J501:K501),IF(E501="賣",(H501-H1204)*G501*200-SUM(J501:K501),(H1204-H501)*G501*200-SUM(J501:K501))),IF(D501="新倉",-SUM(J501:K501),IF(E501="賣",(H501-H1204)*G501*50-SUM(J501:K501),(H1204-H501)*G501*50-SUM(J501:K501)))))</f>
        <v/>
      </c>
      <c r="M501" s="699">
        <f>L501</f>
        <v/>
      </c>
      <c r="N501" s="686">
        <f>M501</f>
        <v/>
      </c>
      <c r="O501" s="261" t="inlineStr">
        <is>
          <t>放棄</t>
        </is>
      </c>
      <c r="P501" s="249" t="inlineStr">
        <is>
          <t>元大期貨</t>
        </is>
      </c>
    </row>
    <row r="502" outlineLevel="1">
      <c r="A502" s="696" t="n">
        <v>45833</v>
      </c>
      <c r="B502" s="234" t="inlineStr">
        <is>
          <t>TXO</t>
        </is>
      </c>
      <c r="C502" s="229" t="inlineStr">
        <is>
          <t>週W4 C 06 22400 C</t>
        </is>
      </c>
      <c r="D502" s="229" t="inlineStr">
        <is>
          <t>新倉</t>
        </is>
      </c>
      <c r="E502" s="257" t="inlineStr">
        <is>
          <t>買</t>
        </is>
      </c>
      <c r="F502" s="229" t="inlineStr">
        <is>
          <t>-</t>
        </is>
      </c>
      <c r="G502" s="697" t="n">
        <v>2</v>
      </c>
      <c r="H502" s="698" t="n">
        <v>25</v>
      </c>
      <c r="I502" s="697" t="n">
        <v>-2500</v>
      </c>
      <c r="J502" s="585" t="n">
        <v>36</v>
      </c>
      <c r="K502" s="585" t="n">
        <v>2</v>
      </c>
      <c r="L502" s="585">
        <f>IF(B502="TXO",I502-SUM(J502:K502),IF(B502="FITX",IF(D502="新倉",-SUM(J502:K502),IF(E502="賣",(H502-H1205)*G502*200-SUM(J502:K502),(H1205-H502)*G502*200-SUM(J502:K502))),IF(D502="新倉",-SUM(J502:K502),IF(E502="賣",(H502-H1205)*G502*50-SUM(J502:K502),(H1205-H502)*G502*50-SUM(J502:K502)))))</f>
        <v/>
      </c>
      <c r="M502" s="699">
        <f>L502</f>
        <v/>
      </c>
      <c r="N502" s="686">
        <f>M502</f>
        <v/>
      </c>
      <c r="O502" s="249" t="inlineStr">
        <is>
          <t>新倉</t>
        </is>
      </c>
      <c r="P502" s="249" t="inlineStr">
        <is>
          <t>元大期貨</t>
        </is>
      </c>
    </row>
    <row r="503" outlineLevel="1">
      <c r="A503" s="696" t="n">
        <v>45833</v>
      </c>
      <c r="B503" s="234" t="inlineStr">
        <is>
          <t>TXO</t>
        </is>
      </c>
      <c r="C503" s="229" t="inlineStr">
        <is>
          <t>週W4 C 06 22400 C</t>
        </is>
      </c>
      <c r="D503" s="229" t="inlineStr">
        <is>
          <t>平倉</t>
        </is>
      </c>
      <c r="E503" s="257" t="inlineStr">
        <is>
          <t>賣</t>
        </is>
      </c>
      <c r="F503" s="229" t="inlineStr">
        <is>
          <t>-</t>
        </is>
      </c>
      <c r="G503" s="697" t="n">
        <v>2</v>
      </c>
      <c r="H503" s="698" t="n">
        <v>30.5</v>
      </c>
      <c r="I503" s="697" t="n">
        <v>3050</v>
      </c>
      <c r="J503" s="585" t="n">
        <v>36</v>
      </c>
      <c r="K503" s="585" t="n">
        <v>4</v>
      </c>
      <c r="L503" s="585">
        <f>IF(B503="TXO",I503-SUM(J503:K503),IF(B503="FITX",IF(D503="新倉",-SUM(J503:K503),IF(E503="賣",(H503-H1206)*G503*200-SUM(J503:K503),(H1206-H503)*G503*200-SUM(J503:K503))),IF(D503="新倉",-SUM(J503:K503),IF(E503="賣",(H503-H1206)*G503*50-SUM(J503:K503),(H1206-H503)*G503*50-SUM(J503:K503)))))</f>
        <v/>
      </c>
      <c r="M503" s="699">
        <f>L503</f>
        <v/>
      </c>
      <c r="N503" s="686">
        <f>M503</f>
        <v/>
      </c>
      <c r="O503" s="249" t="inlineStr">
        <is>
          <t>平倉</t>
        </is>
      </c>
      <c r="P503" s="249" t="inlineStr">
        <is>
          <t>元大期貨</t>
        </is>
      </c>
    </row>
    <row r="504" outlineLevel="1">
      <c r="A504" s="696" t="n">
        <v>45833</v>
      </c>
      <c r="B504" s="234" t="inlineStr">
        <is>
          <t>TXO</t>
        </is>
      </c>
      <c r="C504" s="229" t="inlineStr">
        <is>
          <t>週W4 P 06 22000 P</t>
        </is>
      </c>
      <c r="D504" s="229" t="inlineStr">
        <is>
          <t>新倉</t>
        </is>
      </c>
      <c r="E504" s="257" t="inlineStr">
        <is>
          <t>買</t>
        </is>
      </c>
      <c r="F504" s="229" t="inlineStr">
        <is>
          <t>-</t>
        </is>
      </c>
      <c r="G504" s="697" t="n">
        <v>2</v>
      </c>
      <c r="H504" s="698" t="n">
        <v>21.5</v>
      </c>
      <c r="I504" s="697" t="n">
        <v>-2150</v>
      </c>
      <c r="J504" s="585" t="n">
        <v>36</v>
      </c>
      <c r="K504" s="585" t="n">
        <v>2</v>
      </c>
      <c r="L504" s="585">
        <f>IF(B504="TXO",I504-SUM(J504:K504),IF(B504="FITX",IF(D504="新倉",-SUM(J504:K504),IF(E504="賣",(H504-H1207)*G504*200-SUM(J504:K504),(H1207-H504)*G504*200-SUM(J504:K504))),IF(D504="新倉",-SUM(J504:K504),IF(E504="賣",(H504-H1207)*G504*50-SUM(J504:K504),(H1207-H504)*G504*50-SUM(J504:K504)))))</f>
        <v/>
      </c>
      <c r="M504" s="699">
        <f>L504</f>
        <v/>
      </c>
      <c r="N504" s="686">
        <f>M504</f>
        <v/>
      </c>
      <c r="O504" s="261" t="inlineStr">
        <is>
          <t>放棄</t>
        </is>
      </c>
      <c r="P504" s="249" t="inlineStr">
        <is>
          <t>元大期貨</t>
        </is>
      </c>
    </row>
    <row r="505" outlineLevel="1">
      <c r="A505" s="696" t="n">
        <v>45833</v>
      </c>
      <c r="B505" s="234" t="inlineStr">
        <is>
          <t>TXO</t>
        </is>
      </c>
      <c r="C505" s="229" t="inlineStr">
        <is>
          <t>週W4 C 06 22500 C</t>
        </is>
      </c>
      <c r="D505" s="229" t="inlineStr">
        <is>
          <t>新倉</t>
        </is>
      </c>
      <c r="E505" s="257" t="inlineStr">
        <is>
          <t>買</t>
        </is>
      </c>
      <c r="F505" s="229" t="inlineStr">
        <is>
          <t>-</t>
        </is>
      </c>
      <c r="G505" s="697" t="n">
        <v>10</v>
      </c>
      <c r="H505" s="698" t="n">
        <v>2.5</v>
      </c>
      <c r="I505" s="697" t="n">
        <v>-1250</v>
      </c>
      <c r="J505" s="585" t="n">
        <v>180</v>
      </c>
      <c r="K505" s="585" t="n">
        <v>0</v>
      </c>
      <c r="L505" s="585">
        <f>IF(B505="TXO",I505-SUM(J505:K505),IF(B505="FITX",IF(D505="新倉",-SUM(J505:K505),IF(E505="賣",(H505-H1208)*G505*200-SUM(J505:K505),(H1208-H505)*G505*200-SUM(J505:K505))),IF(D505="新倉",-SUM(J505:K505),IF(E505="賣",(H505-H1208)*G505*50-SUM(J505:K505),(H1208-H505)*G505*50-SUM(J505:K505)))))</f>
        <v/>
      </c>
      <c r="M505" s="699">
        <f>L505</f>
        <v/>
      </c>
      <c r="N505" s="686">
        <f>M505</f>
        <v/>
      </c>
      <c r="O505" s="261" t="inlineStr">
        <is>
          <t>放棄</t>
        </is>
      </c>
      <c r="P505" s="249" t="inlineStr">
        <is>
          <t>元大期貨</t>
        </is>
      </c>
    </row>
    <row r="506" outlineLevel="1">
      <c r="A506" s="696" t="n">
        <v>45833</v>
      </c>
      <c r="B506" s="234" t="inlineStr">
        <is>
          <t>TXO</t>
        </is>
      </c>
      <c r="C506" s="229" t="inlineStr">
        <is>
          <t>週W4 C 06 22350 C</t>
        </is>
      </c>
      <c r="D506" s="229" t="inlineStr">
        <is>
          <t>新倉</t>
        </is>
      </c>
      <c r="E506" s="257" t="inlineStr">
        <is>
          <t>買</t>
        </is>
      </c>
      <c r="F506" s="229" t="inlineStr">
        <is>
          <t>-</t>
        </is>
      </c>
      <c r="G506" s="697" t="n">
        <v>2</v>
      </c>
      <c r="H506" s="698" t="n">
        <v>30</v>
      </c>
      <c r="I506" s="697" t="n">
        <v>-3000</v>
      </c>
      <c r="J506" s="585" t="n">
        <v>36</v>
      </c>
      <c r="K506" s="585" t="n">
        <v>4</v>
      </c>
      <c r="L506" s="585">
        <f>IF(B506="TXO",I506-SUM(J506:K506),IF(B506="FITX",IF(D506="新倉",-SUM(J506:K506),IF(E506="賣",(H506-H1209)*G506*200-SUM(J506:K506),(H1209-H506)*G506*200-SUM(J506:K506))),IF(D506="新倉",-SUM(J506:K506),IF(E506="賣",(H506-H1209)*G506*50-SUM(J506:K506),(H1209-H506)*G506*50-SUM(J506:K506)))))</f>
        <v/>
      </c>
      <c r="M506" s="699">
        <f>L506</f>
        <v/>
      </c>
      <c r="N506" s="686">
        <f>M506</f>
        <v/>
      </c>
      <c r="O506" s="249" t="inlineStr">
        <is>
          <t>新倉</t>
        </is>
      </c>
      <c r="P506" s="249" t="inlineStr">
        <is>
          <t>元大期貨</t>
        </is>
      </c>
    </row>
    <row r="507" outlineLevel="1">
      <c r="A507" s="696" t="n">
        <v>45833</v>
      </c>
      <c r="B507" s="234" t="inlineStr">
        <is>
          <t>TXO</t>
        </is>
      </c>
      <c r="C507" s="229" t="inlineStr">
        <is>
          <t>週W4 C 06 22350 C</t>
        </is>
      </c>
      <c r="D507" s="229" t="inlineStr">
        <is>
          <t>平倉</t>
        </is>
      </c>
      <c r="E507" s="257" t="inlineStr">
        <is>
          <t>賣</t>
        </is>
      </c>
      <c r="F507" s="229" t="inlineStr">
        <is>
          <t>-</t>
        </is>
      </c>
      <c r="G507" s="697" t="n">
        <v>2</v>
      </c>
      <c r="H507" s="698" t="n">
        <v>61</v>
      </c>
      <c r="I507" s="697" t="n">
        <v>6100</v>
      </c>
      <c r="J507" s="585" t="n">
        <v>36</v>
      </c>
      <c r="K507" s="585" t="n">
        <v>6</v>
      </c>
      <c r="L507" s="585">
        <f>IF(B507="TXO",I507-SUM(J507:K507),IF(B507="FITX",IF(D507="新倉",-SUM(J507:K507),IF(E507="賣",(H507-H1210)*G507*200-SUM(J507:K507),(H1210-H507)*G507*200-SUM(J507:K507))),IF(D507="新倉",-SUM(J507:K507),IF(E507="賣",(H507-H1210)*G507*50-SUM(J507:K507),(H1210-H507)*G507*50-SUM(J507:K507)))))</f>
        <v/>
      </c>
      <c r="M507" s="699">
        <f>L507</f>
        <v/>
      </c>
      <c r="N507" s="686">
        <f>M507</f>
        <v/>
      </c>
      <c r="O507" s="249" t="inlineStr">
        <is>
          <t>平倉</t>
        </is>
      </c>
      <c r="P507" s="249" t="inlineStr">
        <is>
          <t>元大期貨</t>
        </is>
      </c>
    </row>
    <row r="508" outlineLevel="1">
      <c r="A508" s="696" t="n">
        <v>45833</v>
      </c>
      <c r="B508" s="234" t="inlineStr">
        <is>
          <t>TXO</t>
        </is>
      </c>
      <c r="C508" s="229" t="inlineStr">
        <is>
          <t>週W4 P 06 22100 P</t>
        </is>
      </c>
      <c r="D508" s="229" t="inlineStr">
        <is>
          <t>新倉</t>
        </is>
      </c>
      <c r="E508" s="257" t="inlineStr">
        <is>
          <t>買</t>
        </is>
      </c>
      <c r="F508" s="229" t="inlineStr">
        <is>
          <t>-</t>
        </is>
      </c>
      <c r="G508" s="697" t="n">
        <v>10</v>
      </c>
      <c r="H508" s="698" t="n">
        <v>4.6</v>
      </c>
      <c r="I508" s="697" t="n">
        <v>-2300</v>
      </c>
      <c r="J508" s="585" t="n">
        <v>180</v>
      </c>
      <c r="K508" s="585" t="n">
        <v>0</v>
      </c>
      <c r="L508" s="585">
        <f>IF(B508="TXO",I508-SUM(J508:K508),IF(B508="FITX",IF(D508="新倉",-SUM(J508:K508),IF(E508="賣",(H508-H1211)*G508*200-SUM(J508:K508),(H1211-H508)*G508*200-SUM(J508:K508))),IF(D508="新倉",-SUM(J508:K508),IF(E508="賣",(H508-H1211)*G508*50-SUM(J508:K508),(H1211-H508)*G508*50-SUM(J508:K508)))))</f>
        <v/>
      </c>
      <c r="M508" s="699">
        <f>L508</f>
        <v/>
      </c>
      <c r="N508" s="686">
        <f>M508</f>
        <v/>
      </c>
      <c r="O508" s="261" t="inlineStr">
        <is>
          <t>放棄</t>
        </is>
      </c>
      <c r="P508" s="249" t="inlineStr">
        <is>
          <t>元大期貨</t>
        </is>
      </c>
    </row>
    <row r="509" outlineLevel="1" ht="17.25" customHeight="1" thickBot="1">
      <c r="A509" s="696" t="n">
        <v>45838</v>
      </c>
      <c r="B509" s="234" t="inlineStr">
        <is>
          <t>TXO</t>
        </is>
      </c>
      <c r="C509" s="229" t="inlineStr">
        <is>
          <t>週W1 C 07 22650 C</t>
        </is>
      </c>
      <c r="D509" s="229" t="inlineStr">
        <is>
          <t>新倉</t>
        </is>
      </c>
      <c r="E509" s="257" t="inlineStr">
        <is>
          <t>買</t>
        </is>
      </c>
      <c r="F509" s="229" t="inlineStr">
        <is>
          <t>-</t>
        </is>
      </c>
      <c r="G509" s="697" t="n">
        <v>2</v>
      </c>
      <c r="H509" s="698" t="n">
        <v>53</v>
      </c>
      <c r="I509" s="697" t="n">
        <v>-5300</v>
      </c>
      <c r="J509" s="585" t="n">
        <v>36</v>
      </c>
      <c r="K509" s="585" t="n">
        <v>6</v>
      </c>
      <c r="L509" s="585">
        <f>IF(B509="TXO",I509-SUM(J509:K509),IF(B509="FITX",IF(D509="新倉",-SUM(J509:K509),IF(E509="賣",(H509-H1212)*G509*200-SUM(J509:K509),(H1212-H509)*G509*200-SUM(J509:K509))),IF(D509="新倉",-SUM(J509:K509),IF(E509="賣",(H509-H1212)*G509*50-SUM(J509:K509),(H1212-H509)*G509*50-SUM(J509:K509)))))</f>
        <v/>
      </c>
      <c r="M509" s="699">
        <f>L509</f>
        <v/>
      </c>
      <c r="N509" s="686">
        <f>M509</f>
        <v/>
      </c>
      <c r="O509" s="261" t="inlineStr">
        <is>
          <t>放棄</t>
        </is>
      </c>
      <c r="P509" s="249" t="inlineStr">
        <is>
          <t>元大期貨</t>
        </is>
      </c>
    </row>
    <row r="510" ht="17.25" customHeight="1" thickBot="1">
      <c r="A510" s="273" t="inlineStr">
        <is>
          <t>6月總計</t>
        </is>
      </c>
      <c r="B510" s="274" t="n"/>
      <c r="C510" s="274" t="n"/>
      <c r="D510" s="274" t="n"/>
      <c r="E510" s="274" t="n"/>
      <c r="F510" s="274" t="n"/>
      <c r="G510" s="715" t="n"/>
      <c r="H510" s="715" t="n"/>
      <c r="I510" s="715" t="n"/>
      <c r="J510" s="716" t="n"/>
      <c r="K510" s="715" t="n"/>
      <c r="L510" s="717">
        <f>SUM(L369:L509)</f>
        <v/>
      </c>
      <c r="M510" s="717">
        <f>SUM(M369:M509)</f>
        <v/>
      </c>
      <c r="N510" s="666" t="n"/>
    </row>
    <row r="511" hidden="1" outlineLevel="1">
      <c r="A511" s="696" t="n">
        <v>45839</v>
      </c>
      <c r="B511" s="234" t="inlineStr">
        <is>
          <t>TXO</t>
        </is>
      </c>
      <c r="C511" s="229" t="inlineStr">
        <is>
          <t>週W1 C 07 22650 C</t>
        </is>
      </c>
      <c r="D511" s="229" t="inlineStr">
        <is>
          <t>平倉</t>
        </is>
      </c>
      <c r="E511" s="257" t="inlineStr">
        <is>
          <t>賣</t>
        </is>
      </c>
      <c r="F511" s="229" t="inlineStr">
        <is>
          <t>-</t>
        </is>
      </c>
      <c r="G511" s="697" t="n">
        <v>2</v>
      </c>
      <c r="H511" s="698" t="n">
        <v>17</v>
      </c>
      <c r="I511" s="697" t="n">
        <v>1700</v>
      </c>
      <c r="J511" s="585" t="n">
        <v>36</v>
      </c>
      <c r="K511" s="585" t="n">
        <v>2</v>
      </c>
      <c r="L511" s="585">
        <f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/>
      </c>
      <c r="M511" s="699">
        <f>L511</f>
        <v/>
      </c>
      <c r="N511" s="686">
        <f>M511</f>
        <v/>
      </c>
      <c r="O511" s="249" t="inlineStr">
        <is>
          <t>平倉</t>
        </is>
      </c>
      <c r="P511" s="249" t="inlineStr">
        <is>
          <t>元大期貨</t>
        </is>
      </c>
    </row>
    <row r="512" hidden="1" outlineLevel="1">
      <c r="A512" s="696" t="n">
        <v>45839</v>
      </c>
      <c r="B512" s="234" t="inlineStr">
        <is>
          <t>TXO</t>
        </is>
      </c>
      <c r="C512" s="229" t="inlineStr">
        <is>
          <t>週W1 C 07 22650 C</t>
        </is>
      </c>
      <c r="D512" s="229" t="inlineStr">
        <is>
          <t>新倉</t>
        </is>
      </c>
      <c r="E512" s="257" t="inlineStr">
        <is>
          <t>買</t>
        </is>
      </c>
      <c r="F512" s="229" t="inlineStr">
        <is>
          <t>-</t>
        </is>
      </c>
      <c r="G512" s="697" t="n">
        <v>1</v>
      </c>
      <c r="H512" s="698" t="n">
        <v>38</v>
      </c>
      <c r="I512" s="697" t="n">
        <v>-1900</v>
      </c>
      <c r="J512" s="585" t="n">
        <v>18</v>
      </c>
      <c r="K512" s="585" t="n">
        <v>2</v>
      </c>
      <c r="L512" s="585">
        <f>IF(B512="TXO",I512-SUM(J512:K512),IF(B512="FITX",IF(D512="新倉",-SUM(J512:K512),IF(E512="賣",(H512-H1215)*G512*200-SUM(J512:K512),(H1215-H512)*G512*200-SUM(J512:K512))),IF(D512="新倉",-SUM(J512:K512),IF(E512="賣",(H512-H1215)*G512*50-SUM(J512:K512),(H1215-H512)*G512*50-SUM(J512:K512)))))</f>
        <v/>
      </c>
      <c r="M512" s="699">
        <f>L512</f>
        <v/>
      </c>
      <c r="N512" s="686">
        <f>M512</f>
        <v/>
      </c>
      <c r="O512" s="261" t="inlineStr">
        <is>
          <t>放棄</t>
        </is>
      </c>
      <c r="P512" s="249" t="inlineStr">
        <is>
          <t>元大期貨</t>
        </is>
      </c>
    </row>
    <row r="513" hidden="1" outlineLevel="1">
      <c r="A513" s="696" t="n">
        <v>45839</v>
      </c>
      <c r="B513" s="234" t="inlineStr">
        <is>
          <t>TXO</t>
        </is>
      </c>
      <c r="C513" s="229" t="inlineStr">
        <is>
          <t>週W1 C 07 22650 C</t>
        </is>
      </c>
      <c r="D513" s="229" t="inlineStr">
        <is>
          <t>新倉</t>
        </is>
      </c>
      <c r="E513" s="257" t="inlineStr">
        <is>
          <t>買</t>
        </is>
      </c>
      <c r="F513" s="229" t="inlineStr">
        <is>
          <t>-</t>
        </is>
      </c>
      <c r="G513" s="697" t="n">
        <v>2</v>
      </c>
      <c r="H513" s="698" t="n">
        <v>47.5</v>
      </c>
      <c r="I513" s="697" t="n">
        <v>-4750</v>
      </c>
      <c r="J513" s="585" t="n">
        <v>36</v>
      </c>
      <c r="K513" s="585" t="n">
        <v>4</v>
      </c>
      <c r="L513" s="585">
        <f>IF(B513="TXO",I513-SUM(J513:K513),IF(B513="FITX",IF(D513="新倉",-SUM(J513:K513),IF(E513="賣",(H513-H1216)*G513*200-SUM(J513:K513),(H1216-H513)*G513*200-SUM(J513:K513))),IF(D513="新倉",-SUM(J513:K513),IF(E513="賣",(H513-H1216)*G513*50-SUM(J513:K513),(H1216-H513)*G513*50-SUM(J513:K513)))))</f>
        <v/>
      </c>
      <c r="M513" s="699">
        <f>L513</f>
        <v/>
      </c>
      <c r="N513" s="686">
        <f>M513</f>
        <v/>
      </c>
      <c r="O513" s="261" t="inlineStr">
        <is>
          <t>放棄</t>
        </is>
      </c>
      <c r="P513" s="249" t="inlineStr">
        <is>
          <t>元大期貨</t>
        </is>
      </c>
    </row>
    <row r="514" hidden="1" outlineLevel="1">
      <c r="A514" s="696" t="n">
        <v>45839</v>
      </c>
      <c r="B514" s="234" t="inlineStr">
        <is>
          <t>TXO</t>
        </is>
      </c>
      <c r="C514" s="229" t="inlineStr">
        <is>
          <t>週W1 C 07 22750 C</t>
        </is>
      </c>
      <c r="D514" s="229" t="inlineStr">
        <is>
          <t>新倉</t>
        </is>
      </c>
      <c r="E514" s="257" t="inlineStr">
        <is>
          <t>買</t>
        </is>
      </c>
      <c r="F514" s="229" t="inlineStr">
        <is>
          <t>-</t>
        </is>
      </c>
      <c r="G514" s="697" t="n">
        <v>2</v>
      </c>
      <c r="H514" s="698" t="n">
        <v>90</v>
      </c>
      <c r="I514" s="697" t="n">
        <v>-9000</v>
      </c>
      <c r="J514" s="585" t="n">
        <v>36</v>
      </c>
      <c r="K514" s="585" t="n">
        <v>10</v>
      </c>
      <c r="L514" s="585">
        <f>IF(B514="TXO",I514-SUM(J514:K514),IF(B514="FITX",IF(D514="新倉",-SUM(J514:K514),IF(E514="賣",(H514-H1217)*G514*200-SUM(J514:K514),(H1217-H514)*G514*200-SUM(J514:K514))),IF(D514="新倉",-SUM(J514:K514),IF(E514="賣",(H514-H1217)*G514*50-SUM(J514:K514),(H1217-H514)*G514*50-SUM(J514:K514)))))</f>
        <v/>
      </c>
      <c r="M514" s="699">
        <f>L514</f>
        <v/>
      </c>
      <c r="N514" s="686">
        <f>M514</f>
        <v/>
      </c>
      <c r="O514" s="261" t="inlineStr">
        <is>
          <t>放棄</t>
        </is>
      </c>
      <c r="P514" s="249" t="inlineStr">
        <is>
          <t>元大期貨</t>
        </is>
      </c>
    </row>
    <row r="515" hidden="1" outlineLevel="1">
      <c r="A515" s="696" t="n">
        <v>45839</v>
      </c>
      <c r="B515" s="234" t="inlineStr">
        <is>
          <t>TXO</t>
        </is>
      </c>
      <c r="C515" s="229" t="inlineStr">
        <is>
          <t>週W1 C 07 22700 C</t>
        </is>
      </c>
      <c r="D515" s="229" t="inlineStr">
        <is>
          <t>新倉</t>
        </is>
      </c>
      <c r="E515" s="257" t="inlineStr">
        <is>
          <t>買</t>
        </is>
      </c>
      <c r="F515" s="229" t="inlineStr">
        <is>
          <t>-</t>
        </is>
      </c>
      <c r="G515" s="697" t="n">
        <v>3</v>
      </c>
      <c r="H515" s="698" t="n">
        <v>70</v>
      </c>
      <c r="I515" s="697" t="n">
        <v>-10500</v>
      </c>
      <c r="J515" s="585" t="n">
        <v>54</v>
      </c>
      <c r="K515" s="585" t="n">
        <v>12</v>
      </c>
      <c r="L515" s="585">
        <f>IF(B515="TXO",I515-SUM(J515:K515),IF(B515="FITX",IF(D515="新倉",-SUM(J515:K515),IF(E515="賣",(H515-H1218)*G515*200-SUM(J515:K515),(H1218-H515)*G515*200-SUM(J515:K515))),IF(D515="新倉",-SUM(J515:K515),IF(E515="賣",(H515-H1218)*G515*50-SUM(J515:K515),(H1218-H515)*G515*50-SUM(J515:K515)))))</f>
        <v/>
      </c>
      <c r="M515" s="699">
        <f>L515</f>
        <v/>
      </c>
      <c r="N515" s="686">
        <f>M515</f>
        <v/>
      </c>
      <c r="O515" s="249" t="inlineStr">
        <is>
          <t>新倉</t>
        </is>
      </c>
      <c r="P515" s="249" t="inlineStr">
        <is>
          <t>元大期貨</t>
        </is>
      </c>
    </row>
    <row r="516" hidden="1" outlineLevel="1">
      <c r="A516" s="696" t="n">
        <v>45839</v>
      </c>
      <c r="B516" s="234" t="inlineStr">
        <is>
          <t>TXO</t>
        </is>
      </c>
      <c r="C516" s="229" t="inlineStr">
        <is>
          <t>週W1 C 07 22700 C</t>
        </is>
      </c>
      <c r="D516" s="229" t="inlineStr">
        <is>
          <t>平倉</t>
        </is>
      </c>
      <c r="E516" s="257" t="inlineStr">
        <is>
          <t>賣</t>
        </is>
      </c>
      <c r="F516" s="229" t="inlineStr">
        <is>
          <t>-</t>
        </is>
      </c>
      <c r="G516" s="697" t="n">
        <v>1</v>
      </c>
      <c r="H516" s="698" t="n">
        <v>116</v>
      </c>
      <c r="I516" s="697" t="n">
        <v>5800</v>
      </c>
      <c r="J516" s="585" t="n">
        <v>18</v>
      </c>
      <c r="K516" s="585" t="n">
        <v>6</v>
      </c>
      <c r="L516" s="585">
        <f>IF(B516="TXO",I516-SUM(J516:K516),IF(B516="FITX",IF(D516="新倉",-SUM(J516:K516),IF(E516="賣",(H516-H1219)*G516*200-SUM(J516:K516),(H1219-H516)*G516*200-SUM(J516:K516))),IF(D516="新倉",-SUM(J516:K516),IF(E516="賣",(H516-H1219)*G516*50-SUM(J516:K516),(H1219-H516)*G516*50-SUM(J516:K516)))))</f>
        <v/>
      </c>
      <c r="M516" s="699">
        <f>L516</f>
        <v/>
      </c>
      <c r="N516" s="686">
        <f>M516</f>
        <v/>
      </c>
      <c r="O516" s="249" t="inlineStr">
        <is>
          <t>平倉</t>
        </is>
      </c>
      <c r="P516" s="249" t="inlineStr">
        <is>
          <t>元大期貨</t>
        </is>
      </c>
    </row>
    <row r="517" hidden="1" outlineLevel="1">
      <c r="A517" s="696" t="n">
        <v>45839</v>
      </c>
      <c r="B517" s="234" t="inlineStr">
        <is>
          <t>TXO</t>
        </is>
      </c>
      <c r="C517" s="229" t="inlineStr">
        <is>
          <t>週W1 C 07 22700 C</t>
        </is>
      </c>
      <c r="D517" s="229" t="inlineStr">
        <is>
          <t>平倉</t>
        </is>
      </c>
      <c r="E517" s="257" t="inlineStr">
        <is>
          <t>賣</t>
        </is>
      </c>
      <c r="F517" s="229" t="inlineStr">
        <is>
          <t>-</t>
        </is>
      </c>
      <c r="G517" s="697" t="n">
        <v>1</v>
      </c>
      <c r="H517" s="698" t="n">
        <v>127</v>
      </c>
      <c r="I517" s="697" t="n">
        <v>6350</v>
      </c>
      <c r="J517" s="585" t="n">
        <v>18</v>
      </c>
      <c r="K517" s="585" t="n">
        <v>6</v>
      </c>
      <c r="L517" s="585">
        <f>IF(B517="TXO",I517-SUM(J517:K517),IF(B517="FITX",IF(D517="新倉",-SUM(J517:K517),IF(E517="賣",(H517-H1220)*G517*200-SUM(J517:K517),(H1220-H517)*G517*200-SUM(J517:K517))),IF(D517="新倉",-SUM(J517:K517),IF(E517="賣",(H517-H1220)*G517*50-SUM(J517:K517),(H1220-H517)*G517*50-SUM(J517:K517)))))</f>
        <v/>
      </c>
      <c r="M517" s="699">
        <f>L517</f>
        <v/>
      </c>
      <c r="N517" s="686">
        <f>M517</f>
        <v/>
      </c>
      <c r="O517" s="249" t="inlineStr">
        <is>
          <t>平倉</t>
        </is>
      </c>
      <c r="P517" s="249" t="inlineStr">
        <is>
          <t>元大期貨</t>
        </is>
      </c>
    </row>
    <row r="518" hidden="1" outlineLevel="1">
      <c r="A518" s="696" t="n">
        <v>45840</v>
      </c>
      <c r="B518" s="234" t="inlineStr">
        <is>
          <t>TXO</t>
        </is>
      </c>
      <c r="C518" s="229" t="inlineStr">
        <is>
          <t>週W1 P 07 22000 P</t>
        </is>
      </c>
      <c r="D518" s="229" t="inlineStr">
        <is>
          <t>新倉</t>
        </is>
      </c>
      <c r="E518" s="257" t="inlineStr">
        <is>
          <t>買</t>
        </is>
      </c>
      <c r="F518" s="229" t="inlineStr">
        <is>
          <t>-</t>
        </is>
      </c>
      <c r="G518" s="697" t="n">
        <v>6</v>
      </c>
      <c r="H518" s="698" t="n">
        <v>3</v>
      </c>
      <c r="I518" s="697" t="n">
        <v>-900</v>
      </c>
      <c r="J518" s="585" t="n">
        <v>108</v>
      </c>
      <c r="K518" s="585" t="n">
        <v>0</v>
      </c>
      <c r="L518" s="585">
        <f>IF(B518="TXO",I518-SUM(J518:K518),IF(B518="FITX",IF(D518="新倉",-SUM(J518:K518),IF(E518="賣",(H518-H1221)*G518*200-SUM(J518:K518),(H1221-H518)*G518*200-SUM(J518:K518))),IF(D518="新倉",-SUM(J518:K518),IF(E518="賣",(H518-H1221)*G518*50-SUM(J518:K518),(H1221-H518)*G518*50-SUM(J518:K518)))))</f>
        <v/>
      </c>
      <c r="M518" s="699">
        <f>L518</f>
        <v/>
      </c>
      <c r="N518" s="686">
        <f>M518</f>
        <v/>
      </c>
      <c r="O518" s="261" t="inlineStr">
        <is>
          <t>放棄</t>
        </is>
      </c>
      <c r="P518" s="249" t="inlineStr">
        <is>
          <t>元大期貨</t>
        </is>
      </c>
    </row>
    <row r="519" hidden="1" outlineLevel="1">
      <c r="A519" s="696" t="n">
        <v>45840</v>
      </c>
      <c r="B519" s="234" t="inlineStr">
        <is>
          <t>TXO</t>
        </is>
      </c>
      <c r="C519" s="229" t="inlineStr">
        <is>
          <t>週W1 C 07 22700 C</t>
        </is>
      </c>
      <c r="D519" s="229" t="inlineStr">
        <is>
          <t>新倉</t>
        </is>
      </c>
      <c r="E519" s="257" t="inlineStr">
        <is>
          <t>買</t>
        </is>
      </c>
      <c r="F519" s="229" t="inlineStr">
        <is>
          <t>-</t>
        </is>
      </c>
      <c r="G519" s="697" t="n">
        <v>3</v>
      </c>
      <c r="H519" s="698" t="n">
        <v>20</v>
      </c>
      <c r="I519" s="697" t="n">
        <v>-3000</v>
      </c>
      <c r="J519" s="585" t="n">
        <v>54</v>
      </c>
      <c r="K519" s="585" t="n">
        <v>3</v>
      </c>
      <c r="L519" s="585">
        <f>IF(B519="TXO",I519-SUM(J519:K519),IF(B519="FITX",IF(D519="新倉",-SUM(J519:K519),IF(E519="賣",(H519-H1222)*G519*200-SUM(J519:K519),(H1222-H519)*G519*200-SUM(J519:K519))),IF(D519="新倉",-SUM(J519:K519),IF(E519="賣",(H519-H1222)*G519*50-SUM(J519:K519),(H1222-H519)*G519*50-SUM(J519:K519)))))</f>
        <v/>
      </c>
      <c r="M519" s="699">
        <f>L519</f>
        <v/>
      </c>
      <c r="N519" s="686">
        <f>M519</f>
        <v/>
      </c>
      <c r="O519" s="261" t="inlineStr">
        <is>
          <t>放棄</t>
        </is>
      </c>
      <c r="P519" s="249" t="inlineStr">
        <is>
          <t>元大期貨</t>
        </is>
      </c>
    </row>
    <row r="520" hidden="1" outlineLevel="1">
      <c r="A520" s="696" t="n">
        <v>45840</v>
      </c>
      <c r="B520" s="234" t="inlineStr">
        <is>
          <t>TXO</t>
        </is>
      </c>
      <c r="C520" s="229" t="inlineStr">
        <is>
          <t>週W1 P 07 22400 P</t>
        </is>
      </c>
      <c r="D520" s="229" t="inlineStr">
        <is>
          <t>新倉</t>
        </is>
      </c>
      <c r="E520" s="257" t="inlineStr">
        <is>
          <t>買</t>
        </is>
      </c>
      <c r="F520" s="229" t="inlineStr">
        <is>
          <t>-</t>
        </is>
      </c>
      <c r="G520" s="697" t="n">
        <v>1</v>
      </c>
      <c r="H520" s="698" t="n">
        <v>60</v>
      </c>
      <c r="I520" s="697" t="n">
        <v>-3000</v>
      </c>
      <c r="J520" s="585" t="n">
        <v>18</v>
      </c>
      <c r="K520" s="585" t="n">
        <v>3</v>
      </c>
      <c r="L520" s="585">
        <f>IF(B520="TXO",I520-SUM(J520:K520),IF(B520="FITX",IF(D520="新倉",-SUM(J520:K520),IF(E520="賣",(H520-H1223)*G520*200-SUM(J520:K520),(H1223-H520)*G520*200-SUM(J520:K520))),IF(D520="新倉",-SUM(J520:K520),IF(E520="賣",(H520-H1223)*G520*50-SUM(J520:K520),(H1223-H520)*G520*50-SUM(J520:K520)))))</f>
        <v/>
      </c>
      <c r="M520" s="699">
        <f>L520</f>
        <v/>
      </c>
      <c r="N520" s="686">
        <f>M520</f>
        <v/>
      </c>
      <c r="O520" s="249" t="inlineStr">
        <is>
          <t>新倉</t>
        </is>
      </c>
      <c r="P520" s="249" t="inlineStr">
        <is>
          <t>元大期貨</t>
        </is>
      </c>
    </row>
    <row r="521" hidden="1" outlineLevel="1">
      <c r="A521" s="696" t="n">
        <v>45840</v>
      </c>
      <c r="B521" s="234" t="inlineStr">
        <is>
          <t>TXO</t>
        </is>
      </c>
      <c r="C521" s="229" t="inlineStr">
        <is>
          <t>週W1 P 07 22400 P</t>
        </is>
      </c>
      <c r="D521" s="229" t="inlineStr">
        <is>
          <t>平倉</t>
        </is>
      </c>
      <c r="E521" s="257" t="inlineStr">
        <is>
          <t>賣</t>
        </is>
      </c>
      <c r="F521" s="229" t="inlineStr">
        <is>
          <t>-</t>
        </is>
      </c>
      <c r="G521" s="697" t="n">
        <v>1</v>
      </c>
      <c r="H521" s="698" t="n">
        <v>75</v>
      </c>
      <c r="I521" s="697" t="n">
        <v>3750</v>
      </c>
      <c r="J521" s="585" t="n">
        <v>18</v>
      </c>
      <c r="K521" s="585" t="n">
        <v>4</v>
      </c>
      <c r="L521" s="585">
        <f>IF(B521="TXO",I521-SUM(J521:K521),IF(B521="FITX",IF(D521="新倉",-SUM(J521:K521),IF(E521="賣",(H521-H1224)*G521*200-SUM(J521:K521),(H1224-H521)*G521*200-SUM(J521:K521))),IF(D521="新倉",-SUM(J521:K521),IF(E521="賣",(H521-H1224)*G521*50-SUM(J521:K521),(H1224-H521)*G521*50-SUM(J521:K521)))))</f>
        <v/>
      </c>
      <c r="M521" s="699">
        <f>L521</f>
        <v/>
      </c>
      <c r="N521" s="686">
        <f>M521</f>
        <v/>
      </c>
      <c r="O521" s="249" t="inlineStr">
        <is>
          <t>平倉</t>
        </is>
      </c>
      <c r="P521" s="249" t="inlineStr">
        <is>
          <t>元大期貨</t>
        </is>
      </c>
    </row>
    <row r="522" hidden="1" outlineLevel="1">
      <c r="A522" s="696" t="n">
        <v>45840</v>
      </c>
      <c r="B522" s="234" t="inlineStr">
        <is>
          <t>TXO</t>
        </is>
      </c>
      <c r="C522" s="229" t="inlineStr">
        <is>
          <t>週W1 C 07 22600 C</t>
        </is>
      </c>
      <c r="D522" s="229" t="inlineStr">
        <is>
          <t>新倉</t>
        </is>
      </c>
      <c r="E522" s="257" t="inlineStr">
        <is>
          <t>買</t>
        </is>
      </c>
      <c r="F522" s="229" t="inlineStr">
        <is>
          <t>-</t>
        </is>
      </c>
      <c r="G522" s="697" t="n">
        <v>10</v>
      </c>
      <c r="H522" s="698" t="n">
        <v>3.8</v>
      </c>
      <c r="I522" s="697" t="n">
        <v>-1900</v>
      </c>
      <c r="J522" s="585" t="n">
        <v>180</v>
      </c>
      <c r="K522" s="585" t="n">
        <v>0</v>
      </c>
      <c r="L522" s="585">
        <f>IF(B522="TXO",I522-SUM(J522:K522),IF(B522="FITX",IF(D522="新倉",-SUM(J522:K522),IF(E522="賣",(H522-H1225)*G522*200-SUM(J522:K522),(H1225-H522)*G522*200-SUM(J522:K522))),IF(D522="新倉",-SUM(J522:K522),IF(E522="賣",(H522-H1225)*G522*50-SUM(J522:K522),(H1225-H522)*G522*50-SUM(J522:K522)))))</f>
        <v/>
      </c>
      <c r="M522" s="699">
        <f>L522</f>
        <v/>
      </c>
      <c r="N522" s="686">
        <f>M522</f>
        <v/>
      </c>
      <c r="O522" s="261" t="inlineStr">
        <is>
          <t>放棄</t>
        </is>
      </c>
      <c r="P522" s="249" t="inlineStr">
        <is>
          <t>元大期貨</t>
        </is>
      </c>
    </row>
    <row r="523" hidden="1" outlineLevel="1">
      <c r="A523" s="696" t="n">
        <v>45840</v>
      </c>
      <c r="B523" s="234" t="inlineStr">
        <is>
          <t>TXO</t>
        </is>
      </c>
      <c r="C523" s="229" t="inlineStr">
        <is>
          <t>週W1 C 07 22500 C</t>
        </is>
      </c>
      <c r="D523" s="229" t="inlineStr">
        <is>
          <t>新倉</t>
        </is>
      </c>
      <c r="E523" s="257" t="inlineStr">
        <is>
          <t>買</t>
        </is>
      </c>
      <c r="F523" s="229" t="inlineStr">
        <is>
          <t>-</t>
        </is>
      </c>
      <c r="G523" s="697" t="n">
        <v>2</v>
      </c>
      <c r="H523" s="698" t="n">
        <v>25</v>
      </c>
      <c r="I523" s="697" t="n">
        <v>-2500</v>
      </c>
      <c r="J523" s="585" t="n">
        <v>36</v>
      </c>
      <c r="K523" s="585" t="n">
        <v>2</v>
      </c>
      <c r="L523" s="585">
        <f>IF(B523="TXO",I523-SUM(J523:K523),IF(B523="FITX",IF(D523="新倉",-SUM(J523:K523),IF(E523="賣",(H523-H1226)*G523*200-SUM(J523:K523),(H1226-H523)*G523*200-SUM(J523:K523))),IF(D523="新倉",-SUM(J523:K523),IF(E523="賣",(H523-H1226)*G523*50-SUM(J523:K523),(H1226-H523)*G523*50-SUM(J523:K523)))))</f>
        <v/>
      </c>
      <c r="M523" s="699">
        <f>L523</f>
        <v/>
      </c>
      <c r="N523" s="686">
        <f>M523</f>
        <v/>
      </c>
      <c r="O523" s="261" t="inlineStr">
        <is>
          <t>放棄</t>
        </is>
      </c>
      <c r="P523" s="249" t="inlineStr">
        <is>
          <t>元大期貨</t>
        </is>
      </c>
    </row>
    <row r="524" hidden="1" outlineLevel="1">
      <c r="A524" s="696" t="n">
        <v>45840</v>
      </c>
      <c r="B524" s="234" t="inlineStr">
        <is>
          <t>TXO</t>
        </is>
      </c>
      <c r="C524" s="229" t="inlineStr">
        <is>
          <t>週W1 C 07 22500 C</t>
        </is>
      </c>
      <c r="D524" s="229" t="inlineStr">
        <is>
          <t>新倉</t>
        </is>
      </c>
      <c r="E524" s="257" t="inlineStr">
        <is>
          <t>買</t>
        </is>
      </c>
      <c r="F524" s="229" t="inlineStr">
        <is>
          <t>-</t>
        </is>
      </c>
      <c r="G524" s="697" t="n">
        <v>1</v>
      </c>
      <c r="H524" s="698" t="n">
        <v>37</v>
      </c>
      <c r="I524" s="697" t="n">
        <v>-1850</v>
      </c>
      <c r="J524" s="585" t="n">
        <v>18</v>
      </c>
      <c r="K524" s="585" t="n">
        <v>2</v>
      </c>
      <c r="L524" s="585">
        <f>IF(B524="TXO",I524-SUM(J524:K524),IF(B524="FITX",IF(D524="新倉",-SUM(J524:K524),IF(E524="賣",(H524-H1227)*G524*200-SUM(J524:K524),(H1227-H524)*G524*200-SUM(J524:K524))),IF(D524="新倉",-SUM(J524:K524),IF(E524="賣",(H524-H1227)*G524*50-SUM(J524:K524),(H1227-H524)*G524*50-SUM(J524:K524)))))</f>
        <v/>
      </c>
      <c r="M524" s="699">
        <f>L524</f>
        <v/>
      </c>
      <c r="N524" s="686">
        <f>M524</f>
        <v/>
      </c>
      <c r="O524" s="261" t="inlineStr">
        <is>
          <t>放棄</t>
        </is>
      </c>
      <c r="P524" s="249" t="inlineStr">
        <is>
          <t>元大期貨</t>
        </is>
      </c>
    </row>
    <row r="525" hidden="1" outlineLevel="1">
      <c r="A525" s="696" t="n">
        <v>45841</v>
      </c>
      <c r="B525" s="234" t="inlineStr">
        <is>
          <t>TXO</t>
        </is>
      </c>
      <c r="C525" s="229" t="inlineStr">
        <is>
          <t>週W2 P 07 20200 P</t>
        </is>
      </c>
      <c r="D525" s="229" t="inlineStr">
        <is>
          <t>新倉</t>
        </is>
      </c>
      <c r="E525" s="257" t="inlineStr">
        <is>
          <t>買</t>
        </is>
      </c>
      <c r="F525" s="229" t="inlineStr">
        <is>
          <t>-</t>
        </is>
      </c>
      <c r="G525" s="697" t="n">
        <v>5</v>
      </c>
      <c r="H525" s="698" t="n">
        <v>6</v>
      </c>
      <c r="I525" s="697" t="n">
        <v>-1500</v>
      </c>
      <c r="J525" s="585" t="n">
        <v>90</v>
      </c>
      <c r="K525" s="585" t="n">
        <v>0</v>
      </c>
      <c r="L525" s="585">
        <f>IF(B525="TXO",I525-SUM(J525:K525),IF(B525="FITX",IF(D525="新倉",-SUM(J525:K525),IF(E525="賣",(H525-H1228)*G525*200-SUM(J525:K525),(H1228-H525)*G525*200-SUM(J525:K525))),IF(D525="新倉",-SUM(J525:K525),IF(E525="賣",(H525-H1228)*G525*50-SUM(J525:K525),(H1228-H525)*G525*50-SUM(J525:K525)))))</f>
        <v/>
      </c>
      <c r="M525" s="699">
        <f>L525</f>
        <v/>
      </c>
      <c r="N525" s="686">
        <f>M525</f>
        <v/>
      </c>
      <c r="O525" s="249" t="inlineStr">
        <is>
          <t>新倉</t>
        </is>
      </c>
      <c r="P525" s="249" t="inlineStr">
        <is>
          <t>元大期貨</t>
        </is>
      </c>
    </row>
    <row r="526" hidden="1" outlineLevel="1">
      <c r="A526" s="696" t="n">
        <v>45845</v>
      </c>
      <c r="B526" s="234" t="inlineStr">
        <is>
          <t>TXO</t>
        </is>
      </c>
      <c r="C526" s="229" t="inlineStr">
        <is>
          <t>週W2 P 07 20200 P</t>
        </is>
      </c>
      <c r="D526" s="229" t="inlineStr">
        <is>
          <t>平倉</t>
        </is>
      </c>
      <c r="E526" s="257" t="inlineStr">
        <is>
          <t>賣</t>
        </is>
      </c>
      <c r="F526" s="229" t="inlineStr">
        <is>
          <t>-</t>
        </is>
      </c>
      <c r="G526" s="697" t="n">
        <v>3</v>
      </c>
      <c r="H526" s="698" t="n">
        <v>21.5</v>
      </c>
      <c r="I526" s="697" t="n">
        <v>3225</v>
      </c>
      <c r="J526" s="585" t="n">
        <v>54</v>
      </c>
      <c r="K526" s="585" t="n">
        <v>3</v>
      </c>
      <c r="L526" s="585">
        <f>IF(B526="TXO",I526-SUM(J526:K526),IF(B526="FITX",IF(D526="新倉",-SUM(J526:K526),IF(E526="賣",(H526-H1229)*G526*200-SUM(J526:K526),(H1229-H526)*G526*200-SUM(J526:K526))),IF(D526="新倉",-SUM(J526:K526),IF(E526="賣",(H526-H1229)*G526*50-SUM(J526:K526),(H1229-H526)*G526*50-SUM(J526:K526)))))</f>
        <v/>
      </c>
      <c r="M526" s="699">
        <f>L526</f>
        <v/>
      </c>
      <c r="N526" s="686">
        <f>M526</f>
        <v/>
      </c>
      <c r="O526" s="249" t="inlineStr">
        <is>
          <t>平倉</t>
        </is>
      </c>
      <c r="P526" s="249" t="inlineStr">
        <is>
          <t>元大期貨</t>
        </is>
      </c>
    </row>
    <row r="527" hidden="1" outlineLevel="1">
      <c r="A527" s="696" t="n">
        <v>45845</v>
      </c>
      <c r="B527" s="234" t="inlineStr">
        <is>
          <t>TXO</t>
        </is>
      </c>
      <c r="C527" s="229" t="inlineStr">
        <is>
          <t>週W2 P 07 20200 P</t>
        </is>
      </c>
      <c r="D527" s="229" t="inlineStr">
        <is>
          <t>平倉</t>
        </is>
      </c>
      <c r="E527" s="257" t="inlineStr">
        <is>
          <t>賣</t>
        </is>
      </c>
      <c r="F527" s="229" t="inlineStr">
        <is>
          <t>-</t>
        </is>
      </c>
      <c r="G527" s="697" t="n">
        <v>1</v>
      </c>
      <c r="H527" s="698" t="n">
        <v>30</v>
      </c>
      <c r="I527" s="697" t="n">
        <v>1500</v>
      </c>
      <c r="J527" s="585" t="n">
        <v>18</v>
      </c>
      <c r="K527" s="585" t="n">
        <v>2</v>
      </c>
      <c r="L527" s="585">
        <f>IF(B527="TXO",I527-SUM(J527:K527),IF(B527="FITX",IF(D527="新倉",-SUM(J527:K527),IF(E527="賣",(H527-H1230)*G527*200-SUM(J527:K527),(H1230-H527)*G527*200-SUM(J527:K527))),IF(D527="新倉",-SUM(J527:K527),IF(E527="賣",(H527-H1230)*G527*50-SUM(J527:K527),(H1230-H527)*G527*50-SUM(J527:K527)))))</f>
        <v/>
      </c>
      <c r="M527" s="699">
        <f>L527</f>
        <v/>
      </c>
      <c r="N527" s="686">
        <f>M527</f>
        <v/>
      </c>
      <c r="O527" s="249" t="inlineStr">
        <is>
          <t>平倉</t>
        </is>
      </c>
      <c r="P527" s="249" t="inlineStr">
        <is>
          <t>元大期貨</t>
        </is>
      </c>
    </row>
    <row r="528" hidden="1" outlineLevel="1">
      <c r="A528" s="696" t="n">
        <v>45841</v>
      </c>
      <c r="B528" s="234" t="inlineStr">
        <is>
          <t>TXO</t>
        </is>
      </c>
      <c r="C528" s="229" t="inlineStr">
        <is>
          <t>週W2 P 07 20000 P</t>
        </is>
      </c>
      <c r="D528" s="229" t="inlineStr">
        <is>
          <t>新倉</t>
        </is>
      </c>
      <c r="E528" s="257" t="inlineStr">
        <is>
          <t>買</t>
        </is>
      </c>
      <c r="F528" s="229" t="inlineStr">
        <is>
          <t>-</t>
        </is>
      </c>
      <c r="G528" s="697" t="n">
        <v>10</v>
      </c>
      <c r="H528" s="698" t="n">
        <v>7</v>
      </c>
      <c r="I528" s="697" t="n">
        <v>-3500</v>
      </c>
      <c r="J528" s="585" t="n">
        <v>180</v>
      </c>
      <c r="K528" s="585" t="n">
        <v>0</v>
      </c>
      <c r="L528" s="585">
        <f>IF(B528="TXO",I528-SUM(J528:K528),IF(B528="FITX",IF(D528="新倉",-SUM(J528:K528),IF(E528="賣",(H528-H1231)*G528*200-SUM(J528:K528),(H1231-H528)*G528*200-SUM(J528:K528))),IF(D528="新倉",-SUM(J528:K528),IF(E528="賣",(H528-H1231)*G528*50-SUM(J528:K528),(H1231-H528)*G528*50-SUM(J528:K528)))))</f>
        <v/>
      </c>
      <c r="M528" s="699">
        <f>L528</f>
        <v/>
      </c>
      <c r="N528" s="686">
        <f>M528</f>
        <v/>
      </c>
      <c r="O528" s="249" t="inlineStr">
        <is>
          <t>新倉</t>
        </is>
      </c>
      <c r="P528" s="249" t="inlineStr">
        <is>
          <t>元大期貨</t>
        </is>
      </c>
    </row>
    <row r="529" hidden="1" outlineLevel="1">
      <c r="A529" s="696" t="n">
        <v>45845</v>
      </c>
      <c r="B529" s="234" t="inlineStr">
        <is>
          <t>TXO</t>
        </is>
      </c>
      <c r="C529" s="229" t="inlineStr">
        <is>
          <t>週W2 P 07 20000 P</t>
        </is>
      </c>
      <c r="D529" s="229" t="inlineStr">
        <is>
          <t>平倉</t>
        </is>
      </c>
      <c r="E529" s="257" t="inlineStr">
        <is>
          <t>賣</t>
        </is>
      </c>
      <c r="F529" s="229" t="inlineStr">
        <is>
          <t>-</t>
        </is>
      </c>
      <c r="G529" s="697" t="n">
        <v>5</v>
      </c>
      <c r="H529" s="698" t="n">
        <v>21</v>
      </c>
      <c r="I529" s="697" t="n">
        <v>5250</v>
      </c>
      <c r="J529" s="585" t="n">
        <v>90</v>
      </c>
      <c r="K529" s="585" t="n">
        <v>5</v>
      </c>
      <c r="L529" s="585">
        <f>IF(B529="TXO",I529-SUM(J529:K529),IF(B529="FITX",IF(D529="新倉",-SUM(J529:K529),IF(E529="賣",(H529-H1232)*G529*200-SUM(J529:K529),(H1232-H529)*G529*200-SUM(J529:K529))),IF(D529="新倉",-SUM(J529:K529),IF(E529="賣",(H529-H1232)*G529*50-SUM(J529:K529),(H1232-H529)*G529*50-SUM(J529:K529)))))</f>
        <v/>
      </c>
      <c r="M529" s="699">
        <f>L529</f>
        <v/>
      </c>
      <c r="N529" s="686">
        <f>M529</f>
        <v/>
      </c>
      <c r="O529" s="249" t="inlineStr">
        <is>
          <t>平倉</t>
        </is>
      </c>
      <c r="P529" s="249" t="inlineStr">
        <is>
          <t>元大期貨</t>
        </is>
      </c>
    </row>
    <row r="530" hidden="1" outlineLevel="1">
      <c r="A530" s="696" t="n">
        <v>45841</v>
      </c>
      <c r="B530" s="234" t="inlineStr">
        <is>
          <t>TXO</t>
        </is>
      </c>
      <c r="C530" s="229" t="inlineStr">
        <is>
          <t>週W2 C 07 22700 C</t>
        </is>
      </c>
      <c r="D530" s="229" t="inlineStr">
        <is>
          <t>新倉</t>
        </is>
      </c>
      <c r="E530" s="257" t="inlineStr">
        <is>
          <t>買</t>
        </is>
      </c>
      <c r="F530" s="229" t="inlineStr">
        <is>
          <t>-</t>
        </is>
      </c>
      <c r="G530" s="697" t="n">
        <v>1</v>
      </c>
      <c r="H530" s="698" t="n">
        <v>146</v>
      </c>
      <c r="I530" s="697" t="n">
        <v>-7300</v>
      </c>
      <c r="J530" s="585" t="n">
        <v>18</v>
      </c>
      <c r="K530" s="585" t="n">
        <v>7</v>
      </c>
      <c r="L530" s="585">
        <f>IF(B530="TXO",I530-SUM(J530:K530),IF(B530="FITX",IF(D530="新倉",-SUM(J530:K530),IF(E530="賣",(H530-H1233)*G530*200-SUM(J530:K530),(H1233-H530)*G530*200-SUM(J530:K530))),IF(D530="新倉",-SUM(J530:K530),IF(E530="賣",(H530-H1233)*G530*50-SUM(J530:K530),(H1233-H530)*G530*50-SUM(J530:K530)))))</f>
        <v/>
      </c>
      <c r="M530" s="699">
        <f>L530</f>
        <v/>
      </c>
      <c r="N530" s="686">
        <f>M530</f>
        <v/>
      </c>
      <c r="O530" s="249" t="inlineStr">
        <is>
          <t>新倉</t>
        </is>
      </c>
      <c r="P530" s="249" t="inlineStr">
        <is>
          <t>元大期貨</t>
        </is>
      </c>
    </row>
    <row r="531" hidden="1" outlineLevel="1">
      <c r="A531" s="696" t="n">
        <v>45841</v>
      </c>
      <c r="B531" s="234" t="inlineStr">
        <is>
          <t>TXO</t>
        </is>
      </c>
      <c r="C531" s="229" t="inlineStr">
        <is>
          <t>週W2 C 07 22700 C</t>
        </is>
      </c>
      <c r="D531" s="229" t="inlineStr">
        <is>
          <t>平倉</t>
        </is>
      </c>
      <c r="E531" s="257" t="inlineStr">
        <is>
          <t>賣</t>
        </is>
      </c>
      <c r="F531" s="229" t="inlineStr">
        <is>
          <t>-</t>
        </is>
      </c>
      <c r="G531" s="697" t="n">
        <v>1</v>
      </c>
      <c r="H531" s="698" t="n">
        <v>156</v>
      </c>
      <c r="I531" s="697" t="n">
        <v>7800</v>
      </c>
      <c r="J531" s="585" t="n">
        <v>18</v>
      </c>
      <c r="K531" s="585" t="n">
        <v>8</v>
      </c>
      <c r="L531" s="585">
        <f>IF(B531="TXO",I531-SUM(J531:K531),IF(B531="FITX",IF(D531="新倉",-SUM(J531:K531),IF(E531="賣",(H531-H1234)*G531*200-SUM(J531:K531),(H1234-H531)*G531*200-SUM(J531:K531))),IF(D531="新倉",-SUM(J531:K531),IF(E531="賣",(H531-H1234)*G531*50-SUM(J531:K531),(H1234-H531)*G531*50-SUM(J531:K531)))))</f>
        <v/>
      </c>
      <c r="M531" s="699">
        <f>L531</f>
        <v/>
      </c>
      <c r="N531" s="686">
        <f>M531</f>
        <v/>
      </c>
      <c r="O531" s="249" t="inlineStr">
        <is>
          <t>平倉</t>
        </is>
      </c>
      <c r="P531" s="249" t="inlineStr">
        <is>
          <t>元大期貨</t>
        </is>
      </c>
    </row>
    <row r="532" hidden="1" outlineLevel="1">
      <c r="A532" s="696" t="n">
        <v>45841</v>
      </c>
      <c r="B532" s="234" t="inlineStr">
        <is>
          <t>TXO</t>
        </is>
      </c>
      <c r="C532" s="229" t="inlineStr">
        <is>
          <t>週W2 P 07 19900 P</t>
        </is>
      </c>
      <c r="D532" s="229" t="inlineStr">
        <is>
          <t>新倉</t>
        </is>
      </c>
      <c r="E532" s="257" t="inlineStr">
        <is>
          <t>買</t>
        </is>
      </c>
      <c r="F532" s="229" t="inlineStr">
        <is>
          <t>-</t>
        </is>
      </c>
      <c r="G532" s="697" t="n">
        <v>5</v>
      </c>
      <c r="H532" s="698" t="n">
        <v>4.7</v>
      </c>
      <c r="I532" s="697" t="n">
        <v>-1175</v>
      </c>
      <c r="J532" s="585" t="n">
        <v>90</v>
      </c>
      <c r="K532" s="585" t="n">
        <v>0</v>
      </c>
      <c r="L532" s="585">
        <f>IF(B532="TXO",I532-SUM(J532:K532),IF(B532="FITX",IF(D532="新倉",-SUM(J532:K532),IF(E532="賣",(H532-H1235)*G532*200-SUM(J532:K532),(H1235-H532)*G532*200-SUM(J532:K532))),IF(D532="新倉",-SUM(J532:K532),IF(E532="賣",(H532-H1235)*G532*50-SUM(J532:K532),(H1235-H532)*G532*50-SUM(J532:K532)))))</f>
        <v/>
      </c>
      <c r="M532" s="699">
        <f>L532</f>
        <v/>
      </c>
      <c r="N532" s="686">
        <f>M532</f>
        <v/>
      </c>
      <c r="O532" s="249" t="inlineStr">
        <is>
          <t>新倉</t>
        </is>
      </c>
      <c r="P532" s="249" t="inlineStr">
        <is>
          <t>元大期貨</t>
        </is>
      </c>
    </row>
    <row r="533" hidden="1" outlineLevel="1">
      <c r="A533" s="696" t="n">
        <v>45845</v>
      </c>
      <c r="B533" s="234" t="inlineStr">
        <is>
          <t>TXO</t>
        </is>
      </c>
      <c r="C533" s="229" t="inlineStr">
        <is>
          <t>週W2 P 07 19900 P</t>
        </is>
      </c>
      <c r="D533" s="229" t="inlineStr">
        <is>
          <t>平倉</t>
        </is>
      </c>
      <c r="E533" s="257" t="inlineStr">
        <is>
          <t>賣</t>
        </is>
      </c>
      <c r="F533" s="229" t="inlineStr">
        <is>
          <t>-</t>
        </is>
      </c>
      <c r="G533" s="697" t="n">
        <v>3</v>
      </c>
      <c r="H533" s="698" t="n">
        <v>20</v>
      </c>
      <c r="I533" s="697" t="n">
        <v>3000</v>
      </c>
      <c r="J533" s="585" t="n">
        <v>54</v>
      </c>
      <c r="K533" s="585" t="n">
        <v>3</v>
      </c>
      <c r="L533" s="585">
        <f>IF(B533="TXO",I533-SUM(J533:K533),IF(B533="FITX",IF(D533="新倉",-SUM(J533:K533),IF(E533="賣",(H533-H1236)*G533*200-SUM(J533:K533),(H1236-H533)*G533*200-SUM(J533:K533))),IF(D533="新倉",-SUM(J533:K533),IF(E533="賣",(H533-H1236)*G533*50-SUM(J533:K533),(H1236-H533)*G533*50-SUM(J533:K533)))))</f>
        <v/>
      </c>
      <c r="M533" s="699">
        <f>L533</f>
        <v/>
      </c>
      <c r="N533" s="686">
        <f>M533</f>
        <v/>
      </c>
      <c r="O533" s="249" t="inlineStr">
        <is>
          <t>平倉</t>
        </is>
      </c>
      <c r="P533" s="249" t="inlineStr">
        <is>
          <t>元大期貨</t>
        </is>
      </c>
    </row>
    <row r="534" hidden="1" outlineLevel="1">
      <c r="A534" s="696" t="n">
        <v>45842</v>
      </c>
      <c r="B534" s="234" t="inlineStr">
        <is>
          <t>TXO</t>
        </is>
      </c>
      <c r="C534" s="229" t="inlineStr">
        <is>
          <t>週W2 P 07 22500 P</t>
        </is>
      </c>
      <c r="D534" s="229" t="inlineStr">
        <is>
          <t>新倉</t>
        </is>
      </c>
      <c r="E534" s="257" t="inlineStr">
        <is>
          <t>買</t>
        </is>
      </c>
      <c r="F534" s="229" t="inlineStr">
        <is>
          <t>-</t>
        </is>
      </c>
      <c r="G534" s="697" t="n">
        <v>1</v>
      </c>
      <c r="H534" s="698" t="n">
        <v>84</v>
      </c>
      <c r="I534" s="697" t="n">
        <v>-4200</v>
      </c>
      <c r="J534" s="585" t="n">
        <v>18</v>
      </c>
      <c r="K534" s="585" t="n">
        <v>4</v>
      </c>
      <c r="L534" s="585">
        <f>IF(B534="TXO",I534-SUM(J534:K534),IF(B534="FITX",IF(D534="新倉",-SUM(J534:K534),IF(E534="賣",(H534-H1237)*G534*200-SUM(J534:K534),(H1237-H534)*G534*200-SUM(J534:K534))),IF(D534="新倉",-SUM(J534:K534),IF(E534="賣",(H534-H1237)*G534*50-SUM(J534:K534),(H1237-H534)*G534*50-SUM(J534:K534)))))</f>
        <v/>
      </c>
      <c r="M534" s="699">
        <f>L534</f>
        <v/>
      </c>
      <c r="N534" s="686">
        <f>M534</f>
        <v/>
      </c>
      <c r="O534" s="249" t="inlineStr">
        <is>
          <t>新倉</t>
        </is>
      </c>
      <c r="P534" s="249" t="inlineStr">
        <is>
          <t>元大期貨</t>
        </is>
      </c>
    </row>
    <row r="535" hidden="1" outlineLevel="1">
      <c r="A535" s="696" t="n">
        <v>45842</v>
      </c>
      <c r="B535" s="234" t="inlineStr">
        <is>
          <t>TXO</t>
        </is>
      </c>
      <c r="C535" s="229" t="inlineStr">
        <is>
          <t>週W2 P 07 22500 P</t>
        </is>
      </c>
      <c r="D535" s="229" t="inlineStr">
        <is>
          <t>平倉</t>
        </is>
      </c>
      <c r="E535" s="257" t="inlineStr">
        <is>
          <t>賣</t>
        </is>
      </c>
      <c r="F535" s="229" t="inlineStr">
        <is>
          <t>-</t>
        </is>
      </c>
      <c r="G535" s="697" t="n">
        <v>1</v>
      </c>
      <c r="H535" s="698" t="n">
        <v>92</v>
      </c>
      <c r="I535" s="697" t="n">
        <v>4600</v>
      </c>
      <c r="J535" s="585" t="n">
        <v>18</v>
      </c>
      <c r="K535" s="585" t="n">
        <v>5</v>
      </c>
      <c r="L535" s="585">
        <f>IF(B535="TXO",I535-SUM(J535:K535),IF(B535="FITX",IF(D535="新倉",-SUM(J535:K535),IF(E535="賣",(H535-H1238)*G535*200-SUM(J535:K535),(H1238-H535)*G535*200-SUM(J535:K535))),IF(D535="新倉",-SUM(J535:K535),IF(E535="賣",(H535-H1238)*G535*50-SUM(J535:K535),(H1238-H535)*G535*50-SUM(J535:K535)))))</f>
        <v/>
      </c>
      <c r="M535" s="699">
        <f>L535</f>
        <v/>
      </c>
      <c r="N535" s="686">
        <f>M535</f>
        <v/>
      </c>
      <c r="O535" s="249" t="inlineStr">
        <is>
          <t>平倉</t>
        </is>
      </c>
      <c r="P535" s="249" t="inlineStr">
        <is>
          <t>元大期貨</t>
        </is>
      </c>
    </row>
    <row r="536" hidden="1" outlineLevel="1">
      <c r="A536" s="696" t="n">
        <v>45842</v>
      </c>
      <c r="B536" s="234" t="inlineStr">
        <is>
          <t>TXO</t>
        </is>
      </c>
      <c r="C536" s="229" t="inlineStr">
        <is>
          <t>週W2 P 07 22500 P</t>
        </is>
      </c>
      <c r="D536" s="229" t="inlineStr">
        <is>
          <t>新倉</t>
        </is>
      </c>
      <c r="E536" s="257" t="inlineStr">
        <is>
          <t>買</t>
        </is>
      </c>
      <c r="F536" s="229" t="inlineStr">
        <is>
          <t>-</t>
        </is>
      </c>
      <c r="G536" s="697" t="n">
        <v>1</v>
      </c>
      <c r="H536" s="698" t="n">
        <v>90</v>
      </c>
      <c r="I536" s="697" t="n">
        <v>-4500</v>
      </c>
      <c r="J536" s="585" t="n">
        <v>18</v>
      </c>
      <c r="K536" s="585" t="n">
        <v>5</v>
      </c>
      <c r="L536" s="585">
        <f>IF(B536="TXO",I536-SUM(J536:K536),IF(B536="FITX",IF(D536="新倉",-SUM(J536:K536),IF(E536="賣",(H536-H1239)*G536*200-SUM(J536:K536),(H1239-H536)*G536*200-SUM(J536:K536))),IF(D536="新倉",-SUM(J536:K536),IF(E536="賣",(H536-H1239)*G536*50-SUM(J536:K536),(H1239-H536)*G536*50-SUM(J536:K536)))))</f>
        <v/>
      </c>
      <c r="M536" s="699">
        <f>L536</f>
        <v/>
      </c>
      <c r="N536" s="686">
        <f>M536</f>
        <v/>
      </c>
      <c r="O536" s="249" t="inlineStr">
        <is>
          <t>新倉</t>
        </is>
      </c>
      <c r="P536" s="249" t="inlineStr">
        <is>
          <t>元大期貨</t>
        </is>
      </c>
    </row>
    <row r="537" hidden="1" outlineLevel="1">
      <c r="A537" s="696" t="n">
        <v>45842</v>
      </c>
      <c r="B537" s="234" t="inlineStr">
        <is>
          <t>TXO</t>
        </is>
      </c>
      <c r="C537" s="229" t="inlineStr">
        <is>
          <t>週W2 P 07 22500 P</t>
        </is>
      </c>
      <c r="D537" s="229" t="inlineStr">
        <is>
          <t>平倉</t>
        </is>
      </c>
      <c r="E537" s="257" t="inlineStr">
        <is>
          <t>賣</t>
        </is>
      </c>
      <c r="F537" s="229" t="inlineStr">
        <is>
          <t>-</t>
        </is>
      </c>
      <c r="G537" s="697" t="n">
        <v>1</v>
      </c>
      <c r="H537" s="698" t="n">
        <v>85</v>
      </c>
      <c r="I537" s="697" t="n">
        <v>4250</v>
      </c>
      <c r="J537" s="585" t="n">
        <v>18</v>
      </c>
      <c r="K537" s="585" t="n">
        <v>4</v>
      </c>
      <c r="L537" s="585">
        <f>IF(B537="TXO",I537-SUM(J537:K537),IF(B537="FITX",IF(D537="新倉",-SUM(J537:K537),IF(E537="賣",(H537-H1240)*G537*200-SUM(J537:K537),(H1240-H537)*G537*200-SUM(J537:K537))),IF(D537="新倉",-SUM(J537:K537),IF(E537="賣",(H537-H1240)*G537*50-SUM(J537:K537),(H1240-H537)*G537*50-SUM(J537:K537)))))</f>
        <v/>
      </c>
      <c r="M537" s="699">
        <f>L537</f>
        <v/>
      </c>
      <c r="N537" s="686">
        <f>M537</f>
        <v/>
      </c>
      <c r="O537" s="249" t="inlineStr">
        <is>
          <t>平倉</t>
        </is>
      </c>
      <c r="P537" s="249" t="inlineStr">
        <is>
          <t>元大期貨</t>
        </is>
      </c>
    </row>
    <row r="538" hidden="1" outlineLevel="1">
      <c r="A538" s="696" t="n">
        <v>45848</v>
      </c>
      <c r="B538" s="234" t="inlineStr">
        <is>
          <t>TXO</t>
        </is>
      </c>
      <c r="C538" s="229" t="inlineStr">
        <is>
          <t>台指 P 07 22300 P</t>
        </is>
      </c>
      <c r="D538" s="229" t="inlineStr">
        <is>
          <t>新倉</t>
        </is>
      </c>
      <c r="E538" s="257" t="inlineStr">
        <is>
          <t>買</t>
        </is>
      </c>
      <c r="F538" s="229" t="inlineStr">
        <is>
          <t>-</t>
        </is>
      </c>
      <c r="G538" s="697" t="n">
        <v>1</v>
      </c>
      <c r="H538" s="698" t="n">
        <v>202</v>
      </c>
      <c r="I538" s="697" t="n">
        <v>-10100</v>
      </c>
      <c r="J538" s="585" t="n">
        <v>18</v>
      </c>
      <c r="K538" s="585" t="n">
        <v>10</v>
      </c>
      <c r="L538" s="585">
        <f>IF(B538="TXO",I538-SUM(J538:K538),IF(B538="FITX",IF(D538="新倉",-SUM(J538:K538),IF(E538="賣",(H538-H1241)*G538*200-SUM(J538:K538),(H1241-H538)*G538*200-SUM(J538:K538))),IF(D538="新倉",-SUM(J538:K538),IF(E538="賣",(H538-H1241)*G538*50-SUM(J538:K538),(H1241-H538)*G538*50-SUM(J538:K538)))))</f>
        <v/>
      </c>
      <c r="M538" s="699">
        <f>L538</f>
        <v/>
      </c>
      <c r="N538" s="686">
        <f>M538</f>
        <v/>
      </c>
      <c r="O538" s="249" t="inlineStr">
        <is>
          <t>新倉</t>
        </is>
      </c>
      <c r="P538" s="249" t="inlineStr">
        <is>
          <t>元大期貨</t>
        </is>
      </c>
    </row>
    <row r="539" hidden="1" outlineLevel="1">
      <c r="A539" s="696" t="n">
        <v>45848</v>
      </c>
      <c r="B539" s="234" t="inlineStr">
        <is>
          <t>TXO</t>
        </is>
      </c>
      <c r="C539" s="229" t="inlineStr">
        <is>
          <t>台指 P 07 22300 P</t>
        </is>
      </c>
      <c r="D539" s="229" t="inlineStr">
        <is>
          <t>平倉</t>
        </is>
      </c>
      <c r="E539" s="257" t="inlineStr">
        <is>
          <t>賣</t>
        </is>
      </c>
      <c r="F539" s="229" t="inlineStr">
        <is>
          <t>-</t>
        </is>
      </c>
      <c r="G539" s="697" t="n">
        <v>1</v>
      </c>
      <c r="H539" s="698" t="n">
        <v>188</v>
      </c>
      <c r="I539" s="697" t="n">
        <v>9400</v>
      </c>
      <c r="J539" s="585" t="n">
        <v>18</v>
      </c>
      <c r="K539" s="585" t="n">
        <v>9</v>
      </c>
      <c r="L539" s="585">
        <f>IF(B539="TXO",I539-SUM(J539:K539),IF(B539="FITX",IF(D539="新倉",-SUM(J539:K539),IF(E539="賣",(H539-H1242)*G539*200-SUM(J539:K539),(H1242-H539)*G539*200-SUM(J539:K539))),IF(D539="新倉",-SUM(J539:K539),IF(E539="賣",(H539-H1242)*G539*50-SUM(J539:K539),(H1242-H539)*G539*50-SUM(J539:K539)))))</f>
        <v/>
      </c>
      <c r="M539" s="699">
        <f>L539</f>
        <v/>
      </c>
      <c r="N539" s="686">
        <f>M539</f>
        <v/>
      </c>
      <c r="O539" s="249" t="inlineStr">
        <is>
          <t>平倉</t>
        </is>
      </c>
      <c r="P539" s="249" t="inlineStr">
        <is>
          <t>元大期貨</t>
        </is>
      </c>
    </row>
    <row r="540" hidden="1" outlineLevel="1">
      <c r="A540" s="696" t="n">
        <v>45848</v>
      </c>
      <c r="B540" s="234" t="inlineStr">
        <is>
          <t>TXO</t>
        </is>
      </c>
      <c r="C540" s="229" t="inlineStr">
        <is>
          <t>台指 C 07 22600 C</t>
        </is>
      </c>
      <c r="D540" s="229" t="inlineStr">
        <is>
          <t>新倉</t>
        </is>
      </c>
      <c r="E540" s="257" t="inlineStr">
        <is>
          <t>買</t>
        </is>
      </c>
      <c r="F540" s="229" t="inlineStr">
        <is>
          <t>-</t>
        </is>
      </c>
      <c r="G540" s="697" t="n">
        <v>1</v>
      </c>
      <c r="H540" s="698" t="n">
        <v>172</v>
      </c>
      <c r="I540" s="697" t="n">
        <v>-8600</v>
      </c>
      <c r="J540" s="585" t="n">
        <v>18</v>
      </c>
      <c r="K540" s="585" t="n">
        <v>9</v>
      </c>
      <c r="L540" s="585">
        <f>IF(B540="TXO",I540-SUM(J540:K540),IF(B540="FITX",IF(D540="新倉",-SUM(J540:K540),IF(E540="賣",(H540-H1243)*G540*200-SUM(J540:K540),(H1243-H540)*G540*200-SUM(J540:K540))),IF(D540="新倉",-SUM(J540:K540),IF(E540="賣",(H540-H1243)*G540*50-SUM(J540:K540),(H1243-H540)*G540*50-SUM(J540:K540)))))</f>
        <v/>
      </c>
      <c r="M540" s="699">
        <f>L540</f>
        <v/>
      </c>
      <c r="N540" s="686">
        <f>M540</f>
        <v/>
      </c>
      <c r="O540" s="249" t="inlineStr">
        <is>
          <t>新倉</t>
        </is>
      </c>
      <c r="P540" s="249" t="inlineStr">
        <is>
          <t>元大期貨</t>
        </is>
      </c>
    </row>
    <row r="541" hidden="1" outlineLevel="1">
      <c r="A541" s="696" t="n">
        <v>45848</v>
      </c>
      <c r="B541" s="234" t="inlineStr">
        <is>
          <t>TXO</t>
        </is>
      </c>
      <c r="C541" s="229" t="inlineStr">
        <is>
          <t>台指 C 07 22600 C</t>
        </is>
      </c>
      <c r="D541" s="229" t="inlineStr">
        <is>
          <t>平倉</t>
        </is>
      </c>
      <c r="E541" s="257" t="inlineStr">
        <is>
          <t>賣</t>
        </is>
      </c>
      <c r="F541" s="229" t="inlineStr">
        <is>
          <t>-</t>
        </is>
      </c>
      <c r="G541" s="697" t="n">
        <v>1</v>
      </c>
      <c r="H541" s="698" t="n">
        <v>165</v>
      </c>
      <c r="I541" s="697" t="n">
        <v>8250</v>
      </c>
      <c r="J541" s="585" t="n">
        <v>18</v>
      </c>
      <c r="K541" s="585" t="n">
        <v>8</v>
      </c>
      <c r="L541" s="585">
        <f>IF(B541="TXO",I541-SUM(J541:K541),IF(B541="FITX",IF(D541="新倉",-SUM(J541:K541),IF(E541="賣",(H541-H1244)*G541*200-SUM(J541:K541),(H1244-H541)*G541*200-SUM(J541:K541))),IF(D541="新倉",-SUM(J541:K541),IF(E541="賣",(H541-H1244)*G541*50-SUM(J541:K541),(H1244-H541)*G541*50-SUM(J541:K541)))))</f>
        <v/>
      </c>
      <c r="M541" s="699">
        <f>L541</f>
        <v/>
      </c>
      <c r="N541" s="686">
        <f>M541</f>
        <v/>
      </c>
      <c r="O541" s="249" t="inlineStr">
        <is>
          <t>平倉</t>
        </is>
      </c>
      <c r="P541" s="249" t="inlineStr">
        <is>
          <t>元大期貨</t>
        </is>
      </c>
    </row>
    <row r="542" hidden="1" outlineLevel="1">
      <c r="A542" s="696" t="n">
        <v>45849</v>
      </c>
      <c r="B542" s="234" t="inlineStr">
        <is>
          <t>TXO</t>
        </is>
      </c>
      <c r="C542" s="229" t="inlineStr">
        <is>
          <t>週F2 C 07 22950 C</t>
        </is>
      </c>
      <c r="D542" s="229" t="inlineStr">
        <is>
          <t>新倉</t>
        </is>
      </c>
      <c r="E542" s="257" t="inlineStr">
        <is>
          <t>買</t>
        </is>
      </c>
      <c r="F542" s="229" t="inlineStr">
        <is>
          <t>-</t>
        </is>
      </c>
      <c r="G542" s="697" t="n">
        <v>3</v>
      </c>
      <c r="H542" s="698" t="n">
        <v>7</v>
      </c>
      <c r="I542" s="697" t="n">
        <v>-1050</v>
      </c>
      <c r="J542" s="585" t="n">
        <v>54</v>
      </c>
      <c r="K542" s="585" t="n">
        <v>0</v>
      </c>
      <c r="L542" s="585">
        <f>IF(B542="TXO",I542-SUM(J542:K542),IF(B542="FITX",IF(D542="新倉",-SUM(J542:K542),IF(E542="賣",(H542-H1245)*G542*200-SUM(J542:K542),(H1245-H542)*G542*200-SUM(J542:K542))),IF(D542="新倉",-SUM(J542:K542),IF(E542="賣",(H542-H1245)*G542*50-SUM(J542:K542),(H1245-H542)*G542*50-SUM(J542:K542)))))</f>
        <v/>
      </c>
      <c r="M542" s="699">
        <f>L542</f>
        <v/>
      </c>
      <c r="N542" s="686">
        <f>M542</f>
        <v/>
      </c>
      <c r="O542" s="261" t="inlineStr">
        <is>
          <t>放棄</t>
        </is>
      </c>
      <c r="P542" s="249" t="inlineStr">
        <is>
          <t>元大期貨</t>
        </is>
      </c>
    </row>
    <row r="543" hidden="1" outlineLevel="1">
      <c r="A543" s="696" t="n">
        <v>45849</v>
      </c>
      <c r="B543" s="234" t="inlineStr">
        <is>
          <t>TXO</t>
        </is>
      </c>
      <c r="C543" s="229" t="inlineStr">
        <is>
          <t>週F2 P 07 22200 P</t>
        </is>
      </c>
      <c r="D543" s="229" t="inlineStr">
        <is>
          <t>新倉</t>
        </is>
      </c>
      <c r="E543" s="257" t="inlineStr">
        <is>
          <t>買</t>
        </is>
      </c>
      <c r="F543" s="229" t="inlineStr">
        <is>
          <t>-</t>
        </is>
      </c>
      <c r="G543" s="697" t="n">
        <v>5</v>
      </c>
      <c r="H543" s="698" t="n">
        <v>9</v>
      </c>
      <c r="I543" s="697" t="n">
        <v>-2250</v>
      </c>
      <c r="J543" s="585" t="n">
        <v>90</v>
      </c>
      <c r="K543" s="585" t="n">
        <v>0</v>
      </c>
      <c r="L543" s="585">
        <f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/>
      </c>
      <c r="M543" s="699">
        <f>L543</f>
        <v/>
      </c>
      <c r="N543" s="686">
        <f>M543</f>
        <v/>
      </c>
      <c r="O543" s="261" t="inlineStr">
        <is>
          <t>放棄</t>
        </is>
      </c>
      <c r="P543" s="249" t="inlineStr">
        <is>
          <t>元大期貨</t>
        </is>
      </c>
    </row>
    <row r="544" hidden="1" outlineLevel="1">
      <c r="A544" s="696" t="n">
        <v>45849</v>
      </c>
      <c r="B544" s="234" t="inlineStr">
        <is>
          <t>TXO</t>
        </is>
      </c>
      <c r="C544" s="229" t="inlineStr">
        <is>
          <t>台指 P 07 22400 P</t>
        </is>
      </c>
      <c r="D544" s="229" t="inlineStr">
        <is>
          <t>新倉</t>
        </is>
      </c>
      <c r="E544" s="257" t="inlineStr">
        <is>
          <t>買</t>
        </is>
      </c>
      <c r="F544" s="229" t="inlineStr">
        <is>
          <t>-</t>
        </is>
      </c>
      <c r="G544" s="697" t="n">
        <v>1</v>
      </c>
      <c r="H544" s="698" t="n">
        <v>166</v>
      </c>
      <c r="I544" s="697" t="n">
        <v>-8300</v>
      </c>
      <c r="J544" s="585" t="n">
        <v>18</v>
      </c>
      <c r="K544" s="585" t="n">
        <v>8</v>
      </c>
      <c r="L544" s="585">
        <f>IF(B544="TXO",I544-SUM(J544:K544),IF(B544="FITX",IF(D544="新倉",-SUM(J544:K544),IF(E544="賣",(H544-H1247)*G544*200-SUM(J544:K544),(H1247-H544)*G544*200-SUM(J544:K544))),IF(D544="新倉",-SUM(J544:K544),IF(E544="賣",(H544-H1247)*G544*50-SUM(J544:K544),(H1247-H544)*G544*50-SUM(J544:K544)))))</f>
        <v/>
      </c>
      <c r="M544" s="699">
        <f>L544</f>
        <v/>
      </c>
      <c r="N544" s="686">
        <f>M544</f>
        <v/>
      </c>
      <c r="O544" s="249" t="inlineStr">
        <is>
          <t>新倉</t>
        </is>
      </c>
      <c r="P544" s="249" t="inlineStr">
        <is>
          <t>元大期貨</t>
        </is>
      </c>
    </row>
    <row r="545" hidden="1" outlineLevel="1">
      <c r="A545" s="696" t="n">
        <v>45849</v>
      </c>
      <c r="B545" s="234" t="inlineStr">
        <is>
          <t>TXO</t>
        </is>
      </c>
      <c r="C545" s="229" t="inlineStr">
        <is>
          <t>台指 P 07 22400 P</t>
        </is>
      </c>
      <c r="D545" s="229" t="inlineStr">
        <is>
          <t>平倉</t>
        </is>
      </c>
      <c r="E545" s="257" t="inlineStr">
        <is>
          <t>賣</t>
        </is>
      </c>
      <c r="F545" s="229" t="inlineStr">
        <is>
          <t>-</t>
        </is>
      </c>
      <c r="G545" s="697" t="n">
        <v>1</v>
      </c>
      <c r="H545" s="698" t="n">
        <v>167</v>
      </c>
      <c r="I545" s="697" t="n">
        <v>8350</v>
      </c>
      <c r="J545" s="585" t="n">
        <v>18</v>
      </c>
      <c r="K545" s="585" t="n">
        <v>8</v>
      </c>
      <c r="L545" s="585">
        <f>IF(B545="TXO",I545-SUM(J545:K545),IF(B545="FITX",IF(D545="新倉",-SUM(J545:K545),IF(E545="賣",(H545-H1248)*G545*200-SUM(J545:K545),(H1248-H545)*G545*200-SUM(J545:K545))),IF(D545="新倉",-SUM(J545:K545),IF(E545="賣",(H545-H1248)*G545*50-SUM(J545:K545),(H1248-H545)*G545*50-SUM(J545:K545)))))</f>
        <v/>
      </c>
      <c r="M545" s="699">
        <f>L545</f>
        <v/>
      </c>
      <c r="N545" s="686">
        <f>M545</f>
        <v/>
      </c>
      <c r="O545" s="249" t="inlineStr">
        <is>
          <t>平倉</t>
        </is>
      </c>
      <c r="P545" s="249" t="inlineStr">
        <is>
          <t>元大期貨</t>
        </is>
      </c>
    </row>
    <row r="546" hidden="1" outlineLevel="1">
      <c r="A546" s="696" t="n">
        <v>45849</v>
      </c>
      <c r="B546" s="234" t="inlineStr">
        <is>
          <t>TXO</t>
        </is>
      </c>
      <c r="C546" s="229" t="inlineStr">
        <is>
          <t>台指 P 07 22400 P</t>
        </is>
      </c>
      <c r="D546" s="229" t="inlineStr">
        <is>
          <t>新倉</t>
        </is>
      </c>
      <c r="E546" s="257" t="inlineStr">
        <is>
          <t>買</t>
        </is>
      </c>
      <c r="F546" s="229" t="inlineStr">
        <is>
          <t>-</t>
        </is>
      </c>
      <c r="G546" s="697" t="n">
        <v>1</v>
      </c>
      <c r="H546" s="698" t="n">
        <v>158</v>
      </c>
      <c r="I546" s="697" t="n">
        <v>-7900</v>
      </c>
      <c r="J546" s="585" t="n">
        <v>18</v>
      </c>
      <c r="K546" s="585" t="n">
        <v>8</v>
      </c>
      <c r="L546" s="585">
        <f>IF(B546="TXO",I546-SUM(J546:K546),IF(B546="FITX",IF(D546="新倉",-SUM(J546:K546),IF(E546="賣",(H546-H1249)*G546*200-SUM(J546:K546),(H1249-H546)*G546*200-SUM(J546:K546))),IF(D546="新倉",-SUM(J546:K546),IF(E546="賣",(H546-H1249)*G546*50-SUM(J546:K546),(H1249-H546)*G546*50-SUM(J546:K546)))))</f>
        <v/>
      </c>
      <c r="M546" s="699">
        <f>L546</f>
        <v/>
      </c>
      <c r="N546" s="686">
        <f>M546</f>
        <v/>
      </c>
      <c r="O546" s="249" t="inlineStr">
        <is>
          <t>新倉</t>
        </is>
      </c>
      <c r="P546" s="249" t="inlineStr">
        <is>
          <t>元大期貨</t>
        </is>
      </c>
    </row>
    <row r="547" hidden="1" outlineLevel="1">
      <c r="A547" s="696" t="n">
        <v>45849</v>
      </c>
      <c r="B547" s="234" t="inlineStr">
        <is>
          <t>TXO</t>
        </is>
      </c>
      <c r="C547" s="229" t="inlineStr">
        <is>
          <t>台指 P 07 22400 P</t>
        </is>
      </c>
      <c r="D547" s="229" t="inlineStr">
        <is>
          <t>平倉</t>
        </is>
      </c>
      <c r="E547" s="257" t="inlineStr">
        <is>
          <t>賣</t>
        </is>
      </c>
      <c r="F547" s="229" t="inlineStr">
        <is>
          <t>-</t>
        </is>
      </c>
      <c r="G547" s="697" t="n">
        <v>1</v>
      </c>
      <c r="H547" s="698" t="n">
        <v>159</v>
      </c>
      <c r="I547" s="697" t="n">
        <v>7950</v>
      </c>
      <c r="J547" s="585" t="n">
        <v>18</v>
      </c>
      <c r="K547" s="585" t="n">
        <v>8</v>
      </c>
      <c r="L547" s="585">
        <f>IF(B547="TXO",I547-SUM(J547:K547),IF(B547="FITX",IF(D547="新倉",-SUM(J547:K547),IF(E547="賣",(H547-H1250)*G547*200-SUM(J547:K547),(H1250-H547)*G547*200-SUM(J547:K547))),IF(D547="新倉",-SUM(J547:K547),IF(E547="賣",(H547-H1250)*G547*50-SUM(J547:K547),(H1250-H547)*G547*50-SUM(J547:K547)))))</f>
        <v/>
      </c>
      <c r="M547" s="699">
        <f>L547</f>
        <v/>
      </c>
      <c r="N547" s="686">
        <f>M547</f>
        <v/>
      </c>
      <c r="O547" s="249" t="inlineStr">
        <is>
          <t>平倉</t>
        </is>
      </c>
      <c r="P547" s="249" t="inlineStr">
        <is>
          <t>元大期貨</t>
        </is>
      </c>
    </row>
    <row r="548" hidden="1" outlineLevel="1">
      <c r="A548" s="696" t="n">
        <v>45849</v>
      </c>
      <c r="B548" s="234" t="inlineStr">
        <is>
          <t>TXO</t>
        </is>
      </c>
      <c r="C548" s="229" t="inlineStr">
        <is>
          <t>台指 P 07 22400 P</t>
        </is>
      </c>
      <c r="D548" s="229" t="inlineStr">
        <is>
          <t>新倉</t>
        </is>
      </c>
      <c r="E548" s="257" t="inlineStr">
        <is>
          <t>買</t>
        </is>
      </c>
      <c r="F548" s="229" t="inlineStr">
        <is>
          <t>-</t>
        </is>
      </c>
      <c r="G548" s="697" t="n">
        <v>1</v>
      </c>
      <c r="H548" s="698" t="n">
        <v>154</v>
      </c>
      <c r="I548" s="697" t="n">
        <v>-7700</v>
      </c>
      <c r="J548" s="585" t="n">
        <v>18</v>
      </c>
      <c r="K548" s="585" t="n">
        <v>8</v>
      </c>
      <c r="L548" s="585">
        <f>IF(B548="TXO",I548-SUM(J548:K548),IF(B548="FITX",IF(D548="新倉",-SUM(J548:K548),IF(E548="賣",(H548-H1251)*G548*200-SUM(J548:K548),(H1251-H548)*G548*200-SUM(J548:K548))),IF(D548="新倉",-SUM(J548:K548),IF(E548="賣",(H548-H1251)*G548*50-SUM(J548:K548),(H1251-H548)*G548*50-SUM(J548:K548)))))</f>
        <v/>
      </c>
      <c r="M548" s="699">
        <f>L548</f>
        <v/>
      </c>
      <c r="N548" s="686">
        <f>M548</f>
        <v/>
      </c>
      <c r="O548" s="249" t="inlineStr">
        <is>
          <t>新倉</t>
        </is>
      </c>
      <c r="P548" s="249" t="inlineStr">
        <is>
          <t>元大期貨</t>
        </is>
      </c>
    </row>
    <row r="549" hidden="1" outlineLevel="1">
      <c r="A549" s="696" t="n">
        <v>45853</v>
      </c>
      <c r="B549" s="234" t="inlineStr">
        <is>
          <t>TXO</t>
        </is>
      </c>
      <c r="C549" s="229" t="inlineStr">
        <is>
          <t>台指 P 07 22400 P</t>
        </is>
      </c>
      <c r="D549" s="229" t="inlineStr">
        <is>
          <t>平倉</t>
        </is>
      </c>
      <c r="E549" s="257" t="inlineStr">
        <is>
          <t>賣</t>
        </is>
      </c>
      <c r="F549" s="229" t="inlineStr">
        <is>
          <t>-</t>
        </is>
      </c>
      <c r="G549" s="697" t="n">
        <v>1</v>
      </c>
      <c r="H549" s="698" t="n">
        <v>13</v>
      </c>
      <c r="I549" s="697" t="n">
        <v>650</v>
      </c>
      <c r="J549" s="585" t="n">
        <v>18</v>
      </c>
      <c r="K549" s="585" t="n">
        <v>1</v>
      </c>
      <c r="L549" s="585">
        <f>IF(B549="TXO",I549-SUM(J549:K549),IF(B549="FITX",IF(D549="新倉",-SUM(J549:K549),IF(E549="賣",(H549-H1252)*G549*200-SUM(J549:K549),(H1252-H549)*G549*200-SUM(J549:K549))),IF(D549="新倉",-SUM(J549:K549),IF(E549="賣",(H549-H1252)*G549*50-SUM(J549:K549),(H1252-H549)*G549*50-SUM(J549:K549)))))</f>
        <v/>
      </c>
      <c r="M549" s="699">
        <f>L549</f>
        <v/>
      </c>
      <c r="N549" s="686">
        <f>M549</f>
        <v/>
      </c>
      <c r="O549" s="249" t="inlineStr">
        <is>
          <t>平倉</t>
        </is>
      </c>
      <c r="P549" s="249" t="inlineStr">
        <is>
          <t>元大期貨</t>
        </is>
      </c>
    </row>
    <row r="550" hidden="1" outlineLevel="1">
      <c r="A550" s="696" t="n">
        <v>45849</v>
      </c>
      <c r="B550" s="234" t="inlineStr">
        <is>
          <t>TXO</t>
        </is>
      </c>
      <c r="C550" s="229" t="inlineStr">
        <is>
          <t>週F2 C 07 22950 C</t>
        </is>
      </c>
      <c r="D550" s="229" t="inlineStr">
        <is>
          <t>新倉</t>
        </is>
      </c>
      <c r="E550" s="257" t="inlineStr">
        <is>
          <t>買</t>
        </is>
      </c>
      <c r="F550" s="229" t="inlineStr">
        <is>
          <t>-</t>
        </is>
      </c>
      <c r="G550" s="697" t="n">
        <v>3</v>
      </c>
      <c r="H550" s="698" t="n">
        <v>14</v>
      </c>
      <c r="I550" s="697" t="n">
        <v>-2100</v>
      </c>
      <c r="J550" s="585" t="n">
        <v>54</v>
      </c>
      <c r="K550" s="585" t="n">
        <v>3</v>
      </c>
      <c r="L550" s="585">
        <f>IF(B550="TXO",I550-SUM(J550:K550),IF(B550="FITX",IF(D550="新倉",-SUM(J550:K550),IF(E550="賣",(H550-H1253)*G550*200-SUM(J550:K550),(H1253-H550)*G550*200-SUM(J550:K550))),IF(D550="新倉",-SUM(J550:K550),IF(E550="賣",(H550-H1253)*G550*50-SUM(J550:K550),(H1253-H550)*G550*50-SUM(J550:K550)))))</f>
        <v/>
      </c>
      <c r="M550" s="699">
        <f>L550</f>
        <v/>
      </c>
      <c r="N550" s="686">
        <f>M550</f>
        <v/>
      </c>
      <c r="O550" s="261" t="inlineStr">
        <is>
          <t>放棄</t>
        </is>
      </c>
      <c r="P550" s="249" t="inlineStr">
        <is>
          <t>元大期貨</t>
        </is>
      </c>
    </row>
    <row r="551" hidden="1" outlineLevel="1">
      <c r="A551" s="696" t="n">
        <v>45849</v>
      </c>
      <c r="B551" s="234" t="inlineStr">
        <is>
          <t>TXO</t>
        </is>
      </c>
      <c r="C551" s="229" t="inlineStr">
        <is>
          <t>週F2 C 07 22950 C</t>
        </is>
      </c>
      <c r="D551" s="229" t="inlineStr">
        <is>
          <t>新倉</t>
        </is>
      </c>
      <c r="E551" s="257" t="inlineStr">
        <is>
          <t>買</t>
        </is>
      </c>
      <c r="F551" s="229" t="inlineStr">
        <is>
          <t>-</t>
        </is>
      </c>
      <c r="G551" s="697" t="n">
        <v>3</v>
      </c>
      <c r="H551" s="698" t="n">
        <v>22.5</v>
      </c>
      <c r="I551" s="697" t="n">
        <v>-3375</v>
      </c>
      <c r="J551" s="585" t="n">
        <v>54</v>
      </c>
      <c r="K551" s="585" t="n">
        <v>3</v>
      </c>
      <c r="L551" s="585">
        <f>IF(B551="TXO",I551-SUM(J551:K551),IF(B551="FITX",IF(D551="新倉",-SUM(J551:K551),IF(E551="賣",(H551-H1254)*G551*200-SUM(J551:K551),(H1254-H551)*G551*200-SUM(J551:K551))),IF(D551="新倉",-SUM(J551:K551),IF(E551="賣",(H551-H1254)*G551*50-SUM(J551:K551),(H1254-H551)*G551*50-SUM(J551:K551)))))</f>
        <v/>
      </c>
      <c r="M551" s="699">
        <f>L551</f>
        <v/>
      </c>
      <c r="N551" s="686">
        <f>M551</f>
        <v/>
      </c>
      <c r="O551" s="261" t="inlineStr">
        <is>
          <t>放棄</t>
        </is>
      </c>
      <c r="P551" s="249" t="inlineStr">
        <is>
          <t>元大期貨</t>
        </is>
      </c>
    </row>
    <row r="552" hidden="1" outlineLevel="1">
      <c r="A552" s="696" t="n">
        <v>45849</v>
      </c>
      <c r="B552" s="234" t="inlineStr">
        <is>
          <t>TXO</t>
        </is>
      </c>
      <c r="C552" s="229" t="inlineStr">
        <is>
          <t>台指 P 07 22600 P</t>
        </is>
      </c>
      <c r="D552" s="229" t="inlineStr">
        <is>
          <t>新倉</t>
        </is>
      </c>
      <c r="E552" s="257" t="inlineStr">
        <is>
          <t>買</t>
        </is>
      </c>
      <c r="F552" s="229" t="inlineStr">
        <is>
          <t>-</t>
        </is>
      </c>
      <c r="G552" s="697" t="n">
        <v>1</v>
      </c>
      <c r="H552" s="698" t="n">
        <v>204</v>
      </c>
      <c r="I552" s="697" t="n">
        <v>-10200</v>
      </c>
      <c r="J552" s="585" t="n">
        <v>18</v>
      </c>
      <c r="K552" s="585" t="n">
        <v>10</v>
      </c>
      <c r="L552" s="585">
        <f>IF(B552="TXO",I552-SUM(J552:K552),IF(B552="FITX",IF(D552="新倉",-SUM(J552:K552),IF(E552="賣",(H552-H1255)*G552*200-SUM(J552:K552),(H1255-H552)*G552*200-SUM(J552:K552))),IF(D552="新倉",-SUM(J552:K552),IF(E552="賣",(H552-H1255)*G552*50-SUM(J552:K552),(H1255-H552)*G552*50-SUM(J552:K552)))))</f>
        <v/>
      </c>
      <c r="M552" s="699">
        <f>L552</f>
        <v/>
      </c>
      <c r="N552" s="686">
        <f>M552</f>
        <v/>
      </c>
      <c r="O552" s="249" t="inlineStr">
        <is>
          <t>新倉</t>
        </is>
      </c>
      <c r="P552" s="249" t="inlineStr">
        <is>
          <t>元大期貨</t>
        </is>
      </c>
    </row>
    <row r="553" hidden="1" outlineLevel="1">
      <c r="A553" s="696" t="n">
        <v>45849</v>
      </c>
      <c r="B553" s="234" t="inlineStr">
        <is>
          <t>TXO</t>
        </is>
      </c>
      <c r="C553" s="229" t="inlineStr">
        <is>
          <t>台指 P 07 22600 P</t>
        </is>
      </c>
      <c r="D553" s="229" t="inlineStr">
        <is>
          <t>平倉</t>
        </is>
      </c>
      <c r="E553" s="257" t="inlineStr">
        <is>
          <t>賣</t>
        </is>
      </c>
      <c r="F553" s="229" t="inlineStr">
        <is>
          <t>-</t>
        </is>
      </c>
      <c r="G553" s="697" t="n">
        <v>1</v>
      </c>
      <c r="H553" s="698" t="n">
        <v>225</v>
      </c>
      <c r="I553" s="697" t="n">
        <v>11250</v>
      </c>
      <c r="J553" s="585" t="n">
        <v>18</v>
      </c>
      <c r="K553" s="585" t="n">
        <v>11</v>
      </c>
      <c r="L553" s="585">
        <f>IF(B553="TXO",I553-SUM(J553:K553),IF(B553="FITX",IF(D553="新倉",-SUM(J553:K553),IF(E553="賣",(H553-H1256)*G553*200-SUM(J553:K553),(H1256-H553)*G553*200-SUM(J553:K553))),IF(D553="新倉",-SUM(J553:K553),IF(E553="賣",(H553-H1256)*G553*50-SUM(J553:K553),(H1256-H553)*G553*50-SUM(J553:K553)))))</f>
        <v/>
      </c>
      <c r="M553" s="699">
        <f>L553</f>
        <v/>
      </c>
      <c r="N553" s="686">
        <f>M553</f>
        <v/>
      </c>
      <c r="O553" s="249" t="inlineStr">
        <is>
          <t>平倉</t>
        </is>
      </c>
      <c r="P553" s="249" t="inlineStr">
        <is>
          <t>元大期貨</t>
        </is>
      </c>
    </row>
    <row r="554" hidden="1" outlineLevel="1">
      <c r="A554" s="696" t="n">
        <v>45849</v>
      </c>
      <c r="B554" s="234" t="inlineStr">
        <is>
          <t>TXO</t>
        </is>
      </c>
      <c r="C554" s="229" t="inlineStr">
        <is>
          <t>週F2 C 07 22800 C</t>
        </is>
      </c>
      <c r="D554" s="229" t="inlineStr">
        <is>
          <t>新倉</t>
        </is>
      </c>
      <c r="E554" s="257" t="inlineStr">
        <is>
          <t>買</t>
        </is>
      </c>
      <c r="F554" s="229" t="inlineStr">
        <is>
          <t>-</t>
        </is>
      </c>
      <c r="G554" s="697" t="n">
        <v>2</v>
      </c>
      <c r="H554" s="698" t="n">
        <v>19</v>
      </c>
      <c r="I554" s="697" t="n">
        <v>-1900</v>
      </c>
      <c r="J554" s="585" t="n">
        <v>36</v>
      </c>
      <c r="K554" s="585" t="n">
        <v>2</v>
      </c>
      <c r="L554" s="585">
        <f>IF(B554="TXO",I554-SUM(J554:K554),IF(B554="FITX",IF(D554="新倉",-SUM(J554:K554),IF(E554="賣",(H554-H1257)*G554*200-SUM(J554:K554),(H1257-H554)*G554*200-SUM(J554:K554))),IF(D554="新倉",-SUM(J554:K554),IF(E554="賣",(H554-H1257)*G554*50-SUM(J554:K554),(H1257-H554)*G554*50-SUM(J554:K554)))))</f>
        <v/>
      </c>
      <c r="M554" s="699">
        <f>L554</f>
        <v/>
      </c>
      <c r="N554" s="686">
        <f>M554</f>
        <v/>
      </c>
      <c r="O554" s="261" t="inlineStr">
        <is>
          <t>放棄</t>
        </is>
      </c>
      <c r="P554" s="249" t="inlineStr">
        <is>
          <t>元大期貨</t>
        </is>
      </c>
    </row>
    <row r="555" hidden="1" outlineLevel="1">
      <c r="A555" s="696" t="n">
        <v>45849</v>
      </c>
      <c r="B555" s="234" t="inlineStr">
        <is>
          <t>TXO</t>
        </is>
      </c>
      <c r="C555" s="229" t="inlineStr">
        <is>
          <t>週F2 C 07 22850 C</t>
        </is>
      </c>
      <c r="D555" s="229" t="inlineStr">
        <is>
          <t>新倉</t>
        </is>
      </c>
      <c r="E555" s="257" t="inlineStr">
        <is>
          <t>買</t>
        </is>
      </c>
      <c r="F555" s="229" t="inlineStr">
        <is>
          <t>-</t>
        </is>
      </c>
      <c r="G555" s="697" t="n">
        <v>5</v>
      </c>
      <c r="H555" s="698" t="n">
        <v>9.5</v>
      </c>
      <c r="I555" s="697" t="n">
        <v>-2375</v>
      </c>
      <c r="J555" s="585" t="n">
        <v>90</v>
      </c>
      <c r="K555" s="585" t="n">
        <v>0</v>
      </c>
      <c r="L555" s="585">
        <f>IF(B555="TXO",I555-SUM(J555:K555),IF(B555="FITX",IF(D555="新倉",-SUM(J555:K555),IF(E555="賣",(H555-H1258)*G555*200-SUM(J555:K555),(H1258-H555)*G555*200-SUM(J555:K555))),IF(D555="新倉",-SUM(J555:K555),IF(E555="賣",(H555-H1258)*G555*50-SUM(J555:K555),(H1258-H555)*G555*50-SUM(J555:K555)))))</f>
        <v/>
      </c>
      <c r="M555" s="699">
        <f>L555</f>
        <v/>
      </c>
      <c r="N555" s="686">
        <f>M555</f>
        <v/>
      </c>
      <c r="O555" s="261" t="inlineStr">
        <is>
          <t>放棄</t>
        </is>
      </c>
      <c r="P555" s="249" t="inlineStr">
        <is>
          <t>元大期貨</t>
        </is>
      </c>
    </row>
    <row r="556" hidden="1" outlineLevel="1">
      <c r="A556" s="696" t="n">
        <v>45853</v>
      </c>
      <c r="B556" s="234" t="inlineStr">
        <is>
          <t>TXO</t>
        </is>
      </c>
      <c r="C556" s="229" t="inlineStr">
        <is>
          <t>台指 C 07 23100 C</t>
        </is>
      </c>
      <c r="D556" s="229" t="inlineStr">
        <is>
          <t>新倉</t>
        </is>
      </c>
      <c r="E556" s="257" t="inlineStr">
        <is>
          <t>買</t>
        </is>
      </c>
      <c r="F556" s="229" t="inlineStr">
        <is>
          <t>-</t>
        </is>
      </c>
      <c r="G556" s="697" t="n">
        <v>3</v>
      </c>
      <c r="H556" s="698" t="n">
        <v>15</v>
      </c>
      <c r="I556" s="697" t="n">
        <v>-2250</v>
      </c>
      <c r="J556" s="585" t="n">
        <v>54</v>
      </c>
      <c r="K556" s="585" t="n">
        <v>3</v>
      </c>
      <c r="L556" s="585">
        <f>IF(B556="TXO",I556-SUM(J556:K556),IF(B556="FITX",IF(D556="新倉",-SUM(J556:K556),IF(E556="賣",(H556-H1259)*G556*200-SUM(J556:K556),(H1259-H556)*G556*200-SUM(J556:K556))),IF(D556="新倉",-SUM(J556:K556),IF(E556="賣",(H556-H1259)*G556*50-SUM(J556:K556),(H1259-H556)*G556*50-SUM(J556:K556)))))</f>
        <v/>
      </c>
      <c r="M556" s="699">
        <f>L556</f>
        <v/>
      </c>
      <c r="N556" s="686">
        <f>M556</f>
        <v/>
      </c>
      <c r="O556" s="249" t="inlineStr">
        <is>
          <t>新倉</t>
        </is>
      </c>
      <c r="P556" s="249" t="inlineStr">
        <is>
          <t>元大期貨</t>
        </is>
      </c>
    </row>
    <row r="557" hidden="1" outlineLevel="1">
      <c r="A557" s="696" t="n">
        <v>45854</v>
      </c>
      <c r="B557" s="234" t="inlineStr">
        <is>
          <t>TXO</t>
        </is>
      </c>
      <c r="C557" s="229" t="inlineStr">
        <is>
          <t>台指 C 07 23100 C</t>
        </is>
      </c>
      <c r="D557" s="229" t="inlineStr">
        <is>
          <t>平倉</t>
        </is>
      </c>
      <c r="E557" s="257" t="inlineStr">
        <is>
          <t>賣</t>
        </is>
      </c>
      <c r="F557" s="229" t="inlineStr">
        <is>
          <t>-</t>
        </is>
      </c>
      <c r="G557" s="697" t="n">
        <v>2</v>
      </c>
      <c r="H557" s="698" t="n">
        <v>30</v>
      </c>
      <c r="I557" s="697" t="n">
        <v>3000</v>
      </c>
      <c r="J557" s="585" t="n">
        <v>36</v>
      </c>
      <c r="K557" s="585" t="n">
        <v>4</v>
      </c>
      <c r="L557" s="585">
        <f>IF(B557="TXO",I557-SUM(J557:K557),IF(B557="FITX",IF(D557="新倉",-SUM(J557:K557),IF(E557="賣",(H557-H1260)*G557*200-SUM(J557:K557),(H1260-H557)*G557*200-SUM(J557:K557))),IF(D557="新倉",-SUM(J557:K557),IF(E557="賣",(H557-H1260)*G557*50-SUM(J557:K557),(H1260-H557)*G557*50-SUM(J557:K557)))))</f>
        <v/>
      </c>
      <c r="M557" s="699">
        <f>L557</f>
        <v/>
      </c>
      <c r="N557" s="686">
        <f>M557</f>
        <v/>
      </c>
      <c r="O557" s="249" t="inlineStr">
        <is>
          <t>平倉</t>
        </is>
      </c>
      <c r="P557" s="249" t="inlineStr">
        <is>
          <t>元大期貨</t>
        </is>
      </c>
    </row>
    <row r="558" hidden="1" outlineLevel="1">
      <c r="A558" s="696" t="n">
        <v>45853</v>
      </c>
      <c r="B558" s="234" t="inlineStr">
        <is>
          <t>TXO</t>
        </is>
      </c>
      <c r="C558" s="229" t="inlineStr">
        <is>
          <t>台指 C 07 23000 C</t>
        </is>
      </c>
      <c r="D558" s="229" t="inlineStr">
        <is>
          <t>新倉</t>
        </is>
      </c>
      <c r="E558" s="257" t="inlineStr">
        <is>
          <t>買</t>
        </is>
      </c>
      <c r="F558" s="229" t="inlineStr">
        <is>
          <t>-</t>
        </is>
      </c>
      <c r="G558" s="697" t="n">
        <v>2</v>
      </c>
      <c r="H558" s="698" t="n">
        <v>30</v>
      </c>
      <c r="I558" s="697" t="n">
        <v>-3000</v>
      </c>
      <c r="J558" s="585" t="n">
        <v>36</v>
      </c>
      <c r="K558" s="585" t="n">
        <v>4</v>
      </c>
      <c r="L558" s="585">
        <f>IF(B558="TXO",I558-SUM(J558:K558),IF(B558="FITX",IF(D558="新倉",-SUM(J558:K558),IF(E558="賣",(H558-H1261)*G558*200-SUM(J558:K558),(H1261-H558)*G558*200-SUM(J558:K558))),IF(D558="新倉",-SUM(J558:K558),IF(E558="賣",(H558-H1261)*G558*50-SUM(J558:K558),(H1261-H558)*G558*50-SUM(J558:K558)))))</f>
        <v/>
      </c>
      <c r="M558" s="699">
        <f>L558</f>
        <v/>
      </c>
      <c r="N558" s="686">
        <f>M558</f>
        <v/>
      </c>
      <c r="O558" s="249" t="inlineStr">
        <is>
          <t>新倉</t>
        </is>
      </c>
      <c r="P558" s="249" t="inlineStr">
        <is>
          <t>元大期貨</t>
        </is>
      </c>
    </row>
    <row r="559" hidden="1" outlineLevel="1">
      <c r="A559" s="696" t="n">
        <v>45854</v>
      </c>
      <c r="B559" s="234" t="inlineStr">
        <is>
          <t>TXO</t>
        </is>
      </c>
      <c r="C559" s="229" t="inlineStr">
        <is>
          <t>台指 C 07 23000 C</t>
        </is>
      </c>
      <c r="D559" s="229" t="inlineStr">
        <is>
          <t>平倉</t>
        </is>
      </c>
      <c r="E559" s="257" t="inlineStr">
        <is>
          <t>賣</t>
        </is>
      </c>
      <c r="F559" s="229" t="inlineStr">
        <is>
          <t>-</t>
        </is>
      </c>
      <c r="G559" s="697" t="n">
        <v>2</v>
      </c>
      <c r="H559" s="698" t="n">
        <v>60</v>
      </c>
      <c r="I559" s="697" t="n">
        <v>6000</v>
      </c>
      <c r="J559" s="585" t="n">
        <v>36</v>
      </c>
      <c r="K559" s="585" t="n">
        <v>6</v>
      </c>
      <c r="L559" s="585">
        <f>IF(B559="TXO",I559-SUM(J559:K559),IF(B559="FITX",IF(D559="新倉",-SUM(J559:K559),IF(E559="賣",(H559-H1262)*G559*200-SUM(J559:K559),(H1262-H559)*G559*200-SUM(J559:K559))),IF(D559="新倉",-SUM(J559:K559),IF(E559="賣",(H559-H1262)*G559*50-SUM(J559:K559),(H1262-H559)*G559*50-SUM(J559:K559)))))</f>
        <v/>
      </c>
      <c r="M559" s="699">
        <f>L559</f>
        <v/>
      </c>
      <c r="N559" s="686">
        <f>M559</f>
        <v/>
      </c>
      <c r="O559" s="249" t="inlineStr">
        <is>
          <t>平倉</t>
        </is>
      </c>
      <c r="P559" s="249" t="inlineStr">
        <is>
          <t>元大期貨</t>
        </is>
      </c>
    </row>
    <row r="560" hidden="1" outlineLevel="1">
      <c r="A560" s="696" t="n">
        <v>45853</v>
      </c>
      <c r="B560" s="234" t="inlineStr">
        <is>
          <t>TXO</t>
        </is>
      </c>
      <c r="C560" s="229" t="inlineStr">
        <is>
          <t>台指 C 07 23500 C</t>
        </is>
      </c>
      <c r="D560" s="229" t="inlineStr">
        <is>
          <t>新倉</t>
        </is>
      </c>
      <c r="E560" s="257" t="inlineStr">
        <is>
          <t>買</t>
        </is>
      </c>
      <c r="F560" s="229" t="inlineStr">
        <is>
          <t>-</t>
        </is>
      </c>
      <c r="G560" s="697" t="n">
        <v>20</v>
      </c>
      <c r="H560" s="698" t="n">
        <v>1.5</v>
      </c>
      <c r="I560" s="697" t="n">
        <v>-1500</v>
      </c>
      <c r="J560" s="585" t="n">
        <v>360</v>
      </c>
      <c r="K560" s="585" t="n">
        <v>0</v>
      </c>
      <c r="L560" s="585">
        <f>IF(B560="TXO",I560-SUM(J560:K560),IF(B560="FITX",IF(D560="新倉",-SUM(J560:K560),IF(E560="賣",(H560-H1263)*G560*200-SUM(J560:K560),(H1263-H560)*G560*200-SUM(J560:K560))),IF(D560="新倉",-SUM(J560:K560),IF(E560="賣",(H560-H1263)*G560*50-SUM(J560:K560),(H1263-H560)*G560*50-SUM(J560:K560)))))</f>
        <v/>
      </c>
      <c r="M560" s="699">
        <f>L560</f>
        <v/>
      </c>
      <c r="N560" s="686">
        <f>M560</f>
        <v/>
      </c>
      <c r="O560" s="261" t="inlineStr">
        <is>
          <t>放棄</t>
        </is>
      </c>
      <c r="P560" s="249" t="inlineStr">
        <is>
          <t>元大期貨</t>
        </is>
      </c>
    </row>
    <row r="561" hidden="1" outlineLevel="1">
      <c r="A561" s="696" t="n">
        <v>45853</v>
      </c>
      <c r="B561" s="234" t="inlineStr">
        <is>
          <t>TXO</t>
        </is>
      </c>
      <c r="C561" s="229" t="inlineStr">
        <is>
          <t>台指 C 07 23400 C</t>
        </is>
      </c>
      <c r="D561" s="229" t="inlineStr">
        <is>
          <t>新倉</t>
        </is>
      </c>
      <c r="E561" s="257" t="inlineStr">
        <is>
          <t>買</t>
        </is>
      </c>
      <c r="F561" s="229" t="inlineStr">
        <is>
          <t>-</t>
        </is>
      </c>
      <c r="G561" s="697" t="n">
        <v>10</v>
      </c>
      <c r="H561" s="698" t="n">
        <v>3</v>
      </c>
      <c r="I561" s="697" t="n">
        <v>-1500</v>
      </c>
      <c r="J561" s="585" t="n">
        <v>180</v>
      </c>
      <c r="K561" s="585" t="n">
        <v>0</v>
      </c>
      <c r="L561" s="585">
        <f>IF(B561="TXO",I561-SUM(J561:K561),IF(B561="FITX",IF(D561="新倉",-SUM(J561:K561),IF(E561="賣",(H561-H1264)*G561*200-SUM(J561:K561),(H1264-H561)*G561*200-SUM(J561:K561))),IF(D561="新倉",-SUM(J561:K561),IF(E561="賣",(H561-H1264)*G561*50-SUM(J561:K561),(H1264-H561)*G561*50-SUM(J561:K561)))))</f>
        <v/>
      </c>
      <c r="M561" s="699">
        <f>L561</f>
        <v/>
      </c>
      <c r="N561" s="686">
        <f>M561</f>
        <v/>
      </c>
      <c r="O561" s="261" t="inlineStr">
        <is>
          <t>放棄</t>
        </is>
      </c>
      <c r="P561" s="249" t="inlineStr">
        <is>
          <t>元大期貨</t>
        </is>
      </c>
    </row>
    <row r="562" hidden="1" outlineLevel="1">
      <c r="A562" s="696" t="n">
        <v>45853</v>
      </c>
      <c r="B562" s="234" t="inlineStr">
        <is>
          <t>TXO</t>
        </is>
      </c>
      <c r="C562" s="229" t="inlineStr">
        <is>
          <t>台指 C 07 23050 C</t>
        </is>
      </c>
      <c r="D562" s="229" t="inlineStr">
        <is>
          <t>新倉</t>
        </is>
      </c>
      <c r="E562" s="257" t="inlineStr">
        <is>
          <t>買</t>
        </is>
      </c>
      <c r="F562" s="229" t="inlineStr">
        <is>
          <t>-</t>
        </is>
      </c>
      <c r="G562" s="697" t="n">
        <v>1</v>
      </c>
      <c r="H562" s="698" t="n">
        <v>37.5</v>
      </c>
      <c r="I562" s="697" t="n">
        <v>-1875</v>
      </c>
      <c r="J562" s="585" t="n">
        <v>18</v>
      </c>
      <c r="K562" s="585" t="n">
        <v>2</v>
      </c>
      <c r="L562" s="585">
        <f>IF(B562="TXO",I562-SUM(J562:K562),IF(B562="FITX",IF(D562="新倉",-SUM(J562:K562),IF(E562="賣",(H562-H1265)*G562*200-SUM(J562:K562),(H1265-H562)*G562*200-SUM(J562:K562))),IF(D562="新倉",-SUM(J562:K562),IF(E562="賣",(H562-H1265)*G562*50-SUM(J562:K562),(H1265-H562)*G562*50-SUM(J562:K562)))))</f>
        <v/>
      </c>
      <c r="M562" s="699">
        <f>L562</f>
        <v/>
      </c>
      <c r="N562" s="686">
        <f>M562</f>
        <v/>
      </c>
      <c r="O562" s="261" t="inlineStr">
        <is>
          <t>放棄</t>
        </is>
      </c>
      <c r="P562" s="249" t="inlineStr">
        <is>
          <t>元大期貨</t>
        </is>
      </c>
    </row>
    <row r="563" hidden="1" outlineLevel="1">
      <c r="A563" s="696" t="n">
        <v>45854</v>
      </c>
      <c r="B563" s="234" t="inlineStr">
        <is>
          <t>TXO</t>
        </is>
      </c>
      <c r="C563" s="229" t="inlineStr">
        <is>
          <t>台指 C 07 23150 C</t>
        </is>
      </c>
      <c r="D563" s="229" t="inlineStr">
        <is>
          <t>新倉</t>
        </is>
      </c>
      <c r="E563" s="257" t="inlineStr">
        <is>
          <t>買</t>
        </is>
      </c>
      <c r="F563" s="229" t="inlineStr">
        <is>
          <t>-</t>
        </is>
      </c>
      <c r="G563" s="697" t="n">
        <v>10</v>
      </c>
      <c r="H563" s="698" t="n">
        <v>2.5</v>
      </c>
      <c r="I563" s="697" t="n">
        <v>-1250</v>
      </c>
      <c r="J563" s="585" t="n">
        <v>180</v>
      </c>
      <c r="K563" s="585" t="n">
        <v>0</v>
      </c>
      <c r="L563" s="585">
        <f>IF(B563="TXO",I563-SUM(J563:K563),IF(B563="FITX",IF(D563="新倉",-SUM(J563:K563),IF(E563="賣",(H563-H1266)*G563*200-SUM(J563:K563),(H1266-H563)*G563*200-SUM(J563:K563))),IF(D563="新倉",-SUM(J563:K563),IF(E563="賣",(H563-H1266)*G563*50-SUM(J563:K563),(H1266-H563)*G563*50-SUM(J563:K563)))))</f>
        <v/>
      </c>
      <c r="M563" s="699">
        <f>L563</f>
        <v/>
      </c>
      <c r="N563" s="686">
        <f>M563</f>
        <v/>
      </c>
      <c r="O563" s="261" t="inlineStr">
        <is>
          <t>放棄</t>
        </is>
      </c>
      <c r="P563" s="249" t="inlineStr">
        <is>
          <t>元大期貨</t>
        </is>
      </c>
    </row>
    <row r="564" hidden="1" outlineLevel="1">
      <c r="A564" s="696" t="n">
        <v>45855</v>
      </c>
      <c r="B564" s="234" t="inlineStr">
        <is>
          <t>TXO</t>
        </is>
      </c>
      <c r="C564" s="229" t="inlineStr">
        <is>
          <t>週F3 P 07 22000 P</t>
        </is>
      </c>
      <c r="D564" s="229" t="inlineStr">
        <is>
          <t>新倉</t>
        </is>
      </c>
      <c r="E564" s="257" t="inlineStr">
        <is>
          <t>買</t>
        </is>
      </c>
      <c r="F564" s="229" t="inlineStr">
        <is>
          <t>-</t>
        </is>
      </c>
      <c r="G564" s="697" t="n">
        <v>5</v>
      </c>
      <c r="H564" s="698" t="n">
        <v>6</v>
      </c>
      <c r="I564" s="697" t="n">
        <v>-1500</v>
      </c>
      <c r="J564" s="585" t="n">
        <v>90</v>
      </c>
      <c r="K564" s="585" t="n">
        <v>0</v>
      </c>
      <c r="L564" s="585">
        <f>IF(B564="TXO",I564-SUM(J564:K564),IF(B564="FITX",IF(D564="新倉",-SUM(J564:K564),IF(E564="賣",(H564-H1267)*G564*200-SUM(J564:K564),(H1267-H564)*G564*200-SUM(J564:K564))),IF(D564="新倉",-SUM(J564:K564),IF(E564="賣",(H564-H1267)*G564*50-SUM(J564:K564),(H1267-H564)*G564*50-SUM(J564:K564)))))</f>
        <v/>
      </c>
      <c r="M564" s="699">
        <f>L564</f>
        <v/>
      </c>
      <c r="N564" s="686">
        <f>M564</f>
        <v/>
      </c>
      <c r="O564" s="261" t="inlineStr">
        <is>
          <t>放棄</t>
        </is>
      </c>
      <c r="P564" s="249" t="inlineStr">
        <is>
          <t>元大期貨</t>
        </is>
      </c>
    </row>
    <row r="565" hidden="1" outlineLevel="1">
      <c r="A565" s="696" t="n">
        <v>45855</v>
      </c>
      <c r="B565" s="234" t="inlineStr">
        <is>
          <t>TXO</t>
        </is>
      </c>
      <c r="C565" s="229" t="inlineStr">
        <is>
          <t>週F3 C 07 23450 C</t>
        </is>
      </c>
      <c r="D565" s="229" t="inlineStr">
        <is>
          <t>新倉</t>
        </is>
      </c>
      <c r="E565" s="257" t="inlineStr">
        <is>
          <t>買</t>
        </is>
      </c>
      <c r="F565" s="229" t="inlineStr">
        <is>
          <t>-</t>
        </is>
      </c>
      <c r="G565" s="697" t="n">
        <v>1</v>
      </c>
      <c r="H565" s="698" t="n">
        <v>22</v>
      </c>
      <c r="I565" s="697" t="n">
        <v>-1100</v>
      </c>
      <c r="J565" s="585" t="n">
        <v>18</v>
      </c>
      <c r="K565" s="585" t="n">
        <v>1</v>
      </c>
      <c r="L565" s="585">
        <f>IF(B565="TXO",I565-SUM(J565:K565),IF(B565="FITX",IF(D565="新倉",-SUM(J565:K565),IF(E565="賣",(H565-H1268)*G565*200-SUM(J565:K565),(H1268-H565)*G565*200-SUM(J565:K565))),IF(D565="新倉",-SUM(J565:K565),IF(E565="賣",(H565-H1268)*G565*50-SUM(J565:K565),(H1268-H565)*G565*50-SUM(J565:K565)))))</f>
        <v/>
      </c>
      <c r="M565" s="699">
        <f>L565</f>
        <v/>
      </c>
      <c r="N565" s="686">
        <f>M565</f>
        <v/>
      </c>
      <c r="O565" s="276" t="inlineStr">
        <is>
          <t>履約</t>
        </is>
      </c>
      <c r="P565" s="249" t="inlineStr">
        <is>
          <t>元大期貨</t>
        </is>
      </c>
    </row>
    <row r="566" hidden="1" outlineLevel="1">
      <c r="A566" s="696" t="n">
        <v>45855</v>
      </c>
      <c r="B566" s="234" t="inlineStr">
        <is>
          <t>TXO</t>
        </is>
      </c>
      <c r="C566" s="229" t="inlineStr">
        <is>
          <t>週F3 C 07 23450 C</t>
        </is>
      </c>
      <c r="D566" s="229" t="inlineStr">
        <is>
          <t>平倉</t>
        </is>
      </c>
      <c r="E566" s="257" t="inlineStr">
        <is>
          <t>賣</t>
        </is>
      </c>
      <c r="F566" s="229" t="inlineStr">
        <is>
          <t>-</t>
        </is>
      </c>
      <c r="G566" s="697" t="n">
        <v>1</v>
      </c>
      <c r="H566" s="698" t="n">
        <v>22</v>
      </c>
      <c r="I566" s="697" t="n">
        <v>3500</v>
      </c>
      <c r="J566" s="585" t="n">
        <v>18</v>
      </c>
      <c r="K566" s="585" t="n">
        <v>4</v>
      </c>
      <c r="L566" s="585">
        <f>IF(B566="TXO",I566-SUM(J566:K566),IF(B566="FITX",IF(D566="新倉",-SUM(J566:K566),IF(E566="賣",(H566-H1269)*G566*200-SUM(J566:K566),(H1269-H566)*G566*200-SUM(J566:K566))),IF(D566="新倉",-SUM(J566:K566),IF(E566="賣",(H566-H1269)*G566*50-SUM(J566:K566),(H1269-H566)*G566*50-SUM(J566:K566)))))</f>
        <v/>
      </c>
      <c r="M566" s="699">
        <f>L566</f>
        <v/>
      </c>
      <c r="N566" s="686">
        <f>M566</f>
        <v/>
      </c>
      <c r="O566" s="276" t="inlineStr">
        <is>
          <t>履約</t>
        </is>
      </c>
      <c r="P566" s="249" t="inlineStr">
        <is>
          <t>元大期貨</t>
        </is>
      </c>
    </row>
    <row r="567" hidden="1" outlineLevel="1">
      <c r="A567" s="696" t="n">
        <v>45856</v>
      </c>
      <c r="B567" s="234" t="inlineStr">
        <is>
          <t>TXO</t>
        </is>
      </c>
      <c r="C567" s="229" t="inlineStr">
        <is>
          <t>週F3 C 07 23400 C</t>
        </is>
      </c>
      <c r="D567" s="229" t="inlineStr">
        <is>
          <t>新倉</t>
        </is>
      </c>
      <c r="E567" s="257" t="inlineStr">
        <is>
          <t>買</t>
        </is>
      </c>
      <c r="F567" s="229" t="inlineStr">
        <is>
          <t>-</t>
        </is>
      </c>
      <c r="G567" s="697" t="n">
        <v>1</v>
      </c>
      <c r="H567" s="698" t="n">
        <v>21</v>
      </c>
      <c r="I567" s="697" t="n">
        <v>-1050</v>
      </c>
      <c r="J567" s="585" t="n">
        <v>18</v>
      </c>
      <c r="K567" s="585" t="n">
        <v>1</v>
      </c>
      <c r="L567" s="585">
        <f>IF(B567="TXO",I567-SUM(J567:K567),IF(B567="FITX",IF(D567="新倉",-SUM(J567:K567),IF(E567="賣",(H567-H1270)*G567*200-SUM(J567:K567),(H1270-H567)*G567*200-SUM(J567:K567))),IF(D567="新倉",-SUM(J567:K567),IF(E567="賣",(H567-H1270)*G567*50-SUM(J567:K567),(H1270-H567)*G567*50-SUM(J567:K567)))))</f>
        <v/>
      </c>
      <c r="M567" s="699">
        <f>L567</f>
        <v/>
      </c>
      <c r="N567" s="686">
        <f>M567</f>
        <v/>
      </c>
      <c r="O567" s="261" t="inlineStr">
        <is>
          <t>放棄</t>
        </is>
      </c>
      <c r="P567" s="249" t="inlineStr">
        <is>
          <t>元大期貨</t>
        </is>
      </c>
    </row>
    <row r="568" hidden="1" outlineLevel="1">
      <c r="A568" s="696" t="n">
        <v>45856</v>
      </c>
      <c r="B568" s="234" t="inlineStr">
        <is>
          <t>TXO</t>
        </is>
      </c>
      <c r="C568" s="229" t="inlineStr">
        <is>
          <t>週F3 C 07 23400 C</t>
        </is>
      </c>
      <c r="D568" s="229" t="inlineStr">
        <is>
          <t>新倉</t>
        </is>
      </c>
      <c r="E568" s="257" t="inlineStr">
        <is>
          <t>買</t>
        </is>
      </c>
      <c r="F568" s="229" t="inlineStr">
        <is>
          <t>-</t>
        </is>
      </c>
      <c r="G568" s="697" t="n">
        <v>4</v>
      </c>
      <c r="H568" s="698" t="n">
        <v>44</v>
      </c>
      <c r="I568" s="697" t="n">
        <v>-8800</v>
      </c>
      <c r="J568" s="585" t="n">
        <v>72</v>
      </c>
      <c r="K568" s="585" t="n">
        <v>8</v>
      </c>
      <c r="L568" s="585">
        <f>IF(B568="TXO",I568-SUM(J568:K568),IF(B568="FITX",IF(D568="新倉",-SUM(J568:K568),IF(E568="賣",(H568-H1271)*G568*200-SUM(J568:K568),(H1271-H568)*G568*200-SUM(J568:K568))),IF(D568="新倉",-SUM(J568:K568),IF(E568="賣",(H568-H1271)*G568*50-SUM(J568:K568),(H1271-H568)*G568*50-SUM(J568:K568)))))</f>
        <v/>
      </c>
      <c r="M568" s="699">
        <f>L568</f>
        <v/>
      </c>
      <c r="N568" s="686">
        <f>M568</f>
        <v/>
      </c>
      <c r="O568" s="249" t="inlineStr">
        <is>
          <t>新倉</t>
        </is>
      </c>
      <c r="P568" s="249" t="inlineStr">
        <is>
          <t>元大期貨</t>
        </is>
      </c>
    </row>
    <row r="569" hidden="1" outlineLevel="1">
      <c r="A569" s="696" t="n">
        <v>45856</v>
      </c>
      <c r="B569" s="234" t="inlineStr">
        <is>
          <t>TXO</t>
        </is>
      </c>
      <c r="C569" s="229" t="inlineStr">
        <is>
          <t>週F3 C 07 23400 C</t>
        </is>
      </c>
      <c r="D569" s="229" t="inlineStr">
        <is>
          <t>平倉</t>
        </is>
      </c>
      <c r="E569" s="257" t="inlineStr">
        <is>
          <t>賣</t>
        </is>
      </c>
      <c r="F569" s="229" t="inlineStr">
        <is>
          <t>-</t>
        </is>
      </c>
      <c r="G569" s="697" t="n">
        <v>5</v>
      </c>
      <c r="H569" s="698" t="n">
        <v>0.3</v>
      </c>
      <c r="I569" s="697" t="n">
        <v>75</v>
      </c>
      <c r="J569" s="585" t="n">
        <v>90</v>
      </c>
      <c r="K569" s="585" t="n">
        <v>0</v>
      </c>
      <c r="L569" s="585">
        <f>IF(B569="TXO",I569-SUM(J569:K569),IF(B569="FITX",IF(D569="新倉",-SUM(J569:K569),IF(E569="賣",(H569-H1272)*G569*200-SUM(J569:K569),(H1272-H569)*G569*200-SUM(J569:K569))),IF(D569="新倉",-SUM(J569:K569),IF(E569="賣",(H569-H1272)*G569*50-SUM(J569:K569),(H1272-H569)*G569*50-SUM(J569:K569)))))</f>
        <v/>
      </c>
      <c r="M569" s="699">
        <f>L569</f>
        <v/>
      </c>
      <c r="N569" s="686">
        <f>M569</f>
        <v/>
      </c>
      <c r="O569" s="249" t="inlineStr">
        <is>
          <t>平倉</t>
        </is>
      </c>
      <c r="P569" s="249" t="inlineStr">
        <is>
          <t>元大期貨</t>
        </is>
      </c>
    </row>
    <row r="570" hidden="1" outlineLevel="1">
      <c r="A570" s="696" t="n">
        <v>45859</v>
      </c>
      <c r="B570" s="234" t="inlineStr">
        <is>
          <t>TXO</t>
        </is>
      </c>
      <c r="C570" s="229" t="inlineStr">
        <is>
          <t>週W4 P 07 23100 P</t>
        </is>
      </c>
      <c r="D570" s="229" t="inlineStr">
        <is>
          <t>新倉</t>
        </is>
      </c>
      <c r="E570" s="257" t="inlineStr">
        <is>
          <t>買</t>
        </is>
      </c>
      <c r="F570" s="229" t="inlineStr">
        <is>
          <t>-</t>
        </is>
      </c>
      <c r="G570" s="697" t="n">
        <v>1</v>
      </c>
      <c r="H570" s="698" t="n">
        <v>59</v>
      </c>
      <c r="I570" s="697" t="n">
        <v>-2950</v>
      </c>
      <c r="J570" s="585" t="n">
        <v>18</v>
      </c>
      <c r="K570" s="585" t="n">
        <v>3</v>
      </c>
      <c r="L570" s="585">
        <f>IF(B570="TXO",I570-SUM(J570:K570),IF(B570="FITX",IF(D570="新倉",-SUM(J570:K570),IF(E570="賣",(H570-H1273)*G570*200-SUM(J570:K570),(H1273-H570)*G570*200-SUM(J570:K570))),IF(D570="新倉",-SUM(J570:K570),IF(E570="賣",(H570-H1273)*G570*50-SUM(J570:K570),(H1273-H570)*G570*50-SUM(J570:K570)))))</f>
        <v/>
      </c>
      <c r="M570" s="699">
        <f>L570</f>
        <v/>
      </c>
      <c r="N570" s="686">
        <f>M570</f>
        <v/>
      </c>
      <c r="O570" s="249" t="inlineStr">
        <is>
          <t>新倉</t>
        </is>
      </c>
      <c r="P570" s="249" t="inlineStr">
        <is>
          <t>元大期貨</t>
        </is>
      </c>
    </row>
    <row r="571" hidden="1" outlineLevel="1">
      <c r="A571" s="696" t="n">
        <v>45861</v>
      </c>
      <c r="B571" s="234" t="inlineStr">
        <is>
          <t>TXO</t>
        </is>
      </c>
      <c r="C571" s="229" t="inlineStr">
        <is>
          <t>週W4 P 07 23100 P</t>
        </is>
      </c>
      <c r="D571" s="229" t="inlineStr">
        <is>
          <t>平倉</t>
        </is>
      </c>
      <c r="E571" s="257" t="inlineStr">
        <is>
          <t>賣</t>
        </is>
      </c>
      <c r="F571" s="229" t="inlineStr">
        <is>
          <t>-</t>
        </is>
      </c>
      <c r="G571" s="697" t="n">
        <v>1</v>
      </c>
      <c r="H571" s="698" t="n">
        <v>120</v>
      </c>
      <c r="I571" s="697" t="n">
        <v>6000</v>
      </c>
      <c r="J571" s="585" t="n">
        <v>18</v>
      </c>
      <c r="K571" s="585" t="n">
        <v>6</v>
      </c>
      <c r="L571" s="585">
        <f>IF(B571="TXO",I571-SUM(J571:K571),IF(B571="FITX",IF(D571="新倉",-SUM(J571:K571),IF(E571="賣",(H571-H1274)*G571*200-SUM(J571:K571),(H1274-H571)*G571*200-SUM(J571:K571))),IF(D571="新倉",-SUM(J571:K571),IF(E571="賣",(H571-H1274)*G571*50-SUM(J571:K571),(H1274-H571)*G571*50-SUM(J571:K571)))))</f>
        <v/>
      </c>
      <c r="M571" s="699">
        <f>L571</f>
        <v/>
      </c>
      <c r="N571" s="686">
        <f>M571</f>
        <v/>
      </c>
      <c r="O571" s="249" t="inlineStr">
        <is>
          <t>平倉</t>
        </is>
      </c>
      <c r="P571" s="249" t="inlineStr">
        <is>
          <t>元大期貨</t>
        </is>
      </c>
    </row>
    <row r="572" hidden="1" outlineLevel="1">
      <c r="A572" s="696" t="n">
        <v>45861</v>
      </c>
      <c r="B572" s="234" t="inlineStr">
        <is>
          <t>TXO</t>
        </is>
      </c>
      <c r="C572" s="229" t="inlineStr">
        <is>
          <t>週W4 P 07 22850 P</t>
        </is>
      </c>
      <c r="D572" s="229" t="inlineStr">
        <is>
          <t>新倉</t>
        </is>
      </c>
      <c r="E572" s="257" t="inlineStr">
        <is>
          <t>買</t>
        </is>
      </c>
      <c r="F572" s="229" t="inlineStr">
        <is>
          <t>-</t>
        </is>
      </c>
      <c r="G572" s="697" t="n">
        <v>2</v>
      </c>
      <c r="H572" s="698" t="n">
        <v>29</v>
      </c>
      <c r="I572" s="697" t="n">
        <v>-2900</v>
      </c>
      <c r="J572" s="585" t="n">
        <v>36</v>
      </c>
      <c r="K572" s="585" t="n">
        <v>2</v>
      </c>
      <c r="L572" s="585">
        <f>IF(B572="TXO",I572-SUM(J572:K572),IF(B572="FITX",IF(D572="新倉",-SUM(J572:K572),IF(E572="賣",(H572-H1275)*G572*200-SUM(J572:K572),(H1275-H572)*G572*200-SUM(J572:K572))),IF(D572="新倉",-SUM(J572:K572),IF(E572="賣",(H572-H1275)*G572*50-SUM(J572:K572),(H1275-H572)*G572*50-SUM(J572:K572)))))</f>
        <v/>
      </c>
      <c r="M572" s="699">
        <f>L572</f>
        <v/>
      </c>
      <c r="N572" s="686">
        <f>M572</f>
        <v/>
      </c>
      <c r="O572" s="249" t="inlineStr">
        <is>
          <t>新倉</t>
        </is>
      </c>
      <c r="P572" s="249" t="inlineStr">
        <is>
          <t>元大期貨</t>
        </is>
      </c>
    </row>
    <row r="573" hidden="1" outlineLevel="1">
      <c r="A573" s="696" t="n">
        <v>45861</v>
      </c>
      <c r="B573" s="234" t="inlineStr">
        <is>
          <t>TXO</t>
        </is>
      </c>
      <c r="C573" s="229" t="inlineStr">
        <is>
          <t>週W4 P 07 22850 P</t>
        </is>
      </c>
      <c r="D573" s="229" t="inlineStr">
        <is>
          <t>平倉</t>
        </is>
      </c>
      <c r="E573" s="257" t="inlineStr">
        <is>
          <t>賣</t>
        </is>
      </c>
      <c r="F573" s="229" t="inlineStr">
        <is>
          <t>-</t>
        </is>
      </c>
      <c r="G573" s="697" t="n">
        <v>1</v>
      </c>
      <c r="H573" s="698" t="n">
        <v>43.5</v>
      </c>
      <c r="I573" s="697" t="n">
        <v>2175</v>
      </c>
      <c r="J573" s="585" t="n">
        <v>18</v>
      </c>
      <c r="K573" s="585" t="n">
        <v>2</v>
      </c>
      <c r="L573" s="585">
        <f>IF(B573="TXO",I573-SUM(J573:K573),IF(B573="FITX",IF(D573="新倉",-SUM(J573:K573),IF(E573="賣",(H573-H1276)*G573*200-SUM(J573:K573),(H1276-H573)*G573*200-SUM(J573:K573))),IF(D573="新倉",-SUM(J573:K573),IF(E573="賣",(H573-H1276)*G573*50-SUM(J573:K573),(H1276-H573)*G573*50-SUM(J573:K573)))))</f>
        <v/>
      </c>
      <c r="M573" s="699">
        <f>L573</f>
        <v/>
      </c>
      <c r="N573" s="686">
        <f>M573</f>
        <v/>
      </c>
      <c r="O573" s="249" t="inlineStr">
        <is>
          <t>平倉</t>
        </is>
      </c>
      <c r="P573" s="249" t="inlineStr">
        <is>
          <t>元大期貨</t>
        </is>
      </c>
    </row>
    <row r="574" hidden="1" outlineLevel="1">
      <c r="A574" s="696" t="n">
        <v>45861</v>
      </c>
      <c r="B574" s="234" t="inlineStr">
        <is>
          <t>TXO</t>
        </is>
      </c>
      <c r="C574" s="229" t="inlineStr">
        <is>
          <t>週W4 C 07 23300 C</t>
        </is>
      </c>
      <c r="D574" s="229" t="inlineStr">
        <is>
          <t>新倉</t>
        </is>
      </c>
      <c r="E574" s="257" t="inlineStr">
        <is>
          <t>買</t>
        </is>
      </c>
      <c r="F574" s="229" t="inlineStr">
        <is>
          <t>-</t>
        </is>
      </c>
      <c r="G574" s="697" t="n">
        <v>10</v>
      </c>
      <c r="H574" s="698" t="n">
        <v>1.2</v>
      </c>
      <c r="I574" s="697" t="n">
        <v>-600</v>
      </c>
      <c r="J574" s="585" t="n">
        <v>180</v>
      </c>
      <c r="K574" s="585" t="n">
        <v>0</v>
      </c>
      <c r="L574" s="585">
        <f>IF(B574="TXO",I574-SUM(J574:K574),IF(B574="FITX",IF(D574="新倉",-SUM(J574:K574),IF(E574="賣",(H574-H1277)*G574*200-SUM(J574:K574),(H1277-H574)*G574*200-SUM(J574:K574))),IF(D574="新倉",-SUM(J574:K574),IF(E574="賣",(H574-H1277)*G574*50-SUM(J574:K574),(H1277-H574)*G574*50-SUM(J574:K574)))))</f>
        <v/>
      </c>
      <c r="M574" s="699">
        <f>L574</f>
        <v/>
      </c>
      <c r="N574" s="686">
        <f>M574</f>
        <v/>
      </c>
      <c r="O574" s="261" t="inlineStr">
        <is>
          <t>放棄</t>
        </is>
      </c>
      <c r="P574" s="249" t="inlineStr">
        <is>
          <t>元大期貨</t>
        </is>
      </c>
    </row>
    <row r="575" hidden="1" outlineLevel="1">
      <c r="A575" s="696" t="n">
        <v>45861</v>
      </c>
      <c r="B575" s="234" t="inlineStr">
        <is>
          <t>TXO</t>
        </is>
      </c>
      <c r="C575" s="229" t="inlineStr">
        <is>
          <t>週W4 C 07 23300 C</t>
        </is>
      </c>
      <c r="D575" s="229" t="inlineStr">
        <is>
          <t>新倉</t>
        </is>
      </c>
      <c r="E575" s="257" t="inlineStr">
        <is>
          <t>買</t>
        </is>
      </c>
      <c r="F575" s="229" t="inlineStr">
        <is>
          <t>-</t>
        </is>
      </c>
      <c r="G575" s="697" t="n">
        <v>10</v>
      </c>
      <c r="H575" s="698" t="n">
        <v>1.3</v>
      </c>
      <c r="I575" s="697" t="n">
        <v>-650</v>
      </c>
      <c r="J575" s="585" t="n">
        <v>180</v>
      </c>
      <c r="K575" s="585" t="n">
        <v>0</v>
      </c>
      <c r="L575" s="585">
        <f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/>
      </c>
      <c r="M575" s="699">
        <f>L575</f>
        <v/>
      </c>
      <c r="N575" s="686">
        <f>M575</f>
        <v/>
      </c>
      <c r="O575" s="261" t="inlineStr">
        <is>
          <t>放棄</t>
        </is>
      </c>
      <c r="P575" s="249" t="inlineStr">
        <is>
          <t>元大期貨</t>
        </is>
      </c>
    </row>
    <row r="576" hidden="1" outlineLevel="1">
      <c r="A576" s="696" t="n">
        <v>45861</v>
      </c>
      <c r="B576" s="234" t="inlineStr">
        <is>
          <t>TXO</t>
        </is>
      </c>
      <c r="C576" s="229" t="inlineStr">
        <is>
          <t>週W4 P 07 23050 P</t>
        </is>
      </c>
      <c r="D576" s="229" t="inlineStr">
        <is>
          <t>新倉</t>
        </is>
      </c>
      <c r="E576" s="257" t="inlineStr">
        <is>
          <t>買</t>
        </is>
      </c>
      <c r="F576" s="229" t="inlineStr">
        <is>
          <t>-</t>
        </is>
      </c>
      <c r="G576" s="697" t="n">
        <v>5</v>
      </c>
      <c r="H576" s="698" t="n">
        <v>13</v>
      </c>
      <c r="I576" s="697" t="n">
        <v>-3250</v>
      </c>
      <c r="J576" s="585" t="n">
        <v>90</v>
      </c>
      <c r="K576" s="585" t="n">
        <v>5</v>
      </c>
      <c r="L576" s="585">
        <f>IF(B576="TXO",I576-SUM(J576:K576),IF(B576="FITX",IF(D576="新倉",-SUM(J576:K576),IF(E576="賣",(H576-H1279)*G576*200-SUM(J576:K576),(H1279-H576)*G576*200-SUM(J576:K576))),IF(D576="新倉",-SUM(J576:K576),IF(E576="賣",(H576-H1279)*G576*50-SUM(J576:K576),(H1279-H576)*G576*50-SUM(J576:K576)))))</f>
        <v/>
      </c>
      <c r="M576" s="699">
        <f>L576</f>
        <v/>
      </c>
      <c r="N576" s="686">
        <f>M576</f>
        <v/>
      </c>
      <c r="O576" s="261" t="inlineStr">
        <is>
          <t>放棄</t>
        </is>
      </c>
      <c r="P576" s="249" t="inlineStr">
        <is>
          <t>元大期貨</t>
        </is>
      </c>
    </row>
    <row r="577" hidden="1" outlineLevel="1">
      <c r="A577" s="696" t="n">
        <v>45862</v>
      </c>
      <c r="B577" s="234" t="inlineStr">
        <is>
          <t>TXO</t>
        </is>
      </c>
      <c r="C577" s="229" t="inlineStr">
        <is>
          <t>週F4 C 07 23600 C</t>
        </is>
      </c>
      <c r="D577" s="229" t="inlineStr">
        <is>
          <t>新倉</t>
        </is>
      </c>
      <c r="E577" s="257" t="inlineStr">
        <is>
          <t>買</t>
        </is>
      </c>
      <c r="F577" s="229" t="inlineStr">
        <is>
          <t>-</t>
        </is>
      </c>
      <c r="G577" s="697" t="n">
        <v>1</v>
      </c>
      <c r="H577" s="698" t="n">
        <v>18</v>
      </c>
      <c r="I577" s="697" t="n">
        <v>-900</v>
      </c>
      <c r="J577" s="585" t="n">
        <v>18</v>
      </c>
      <c r="K577" s="585" t="n">
        <v>1</v>
      </c>
      <c r="L577" s="585">
        <f>IF(B577="TXO",I577-SUM(J577:K577),IF(B577="FITX",IF(D577="新倉",-SUM(J577:K577),IF(E577="賣",(H577-H1280)*G577*200-SUM(J577:K577),(H1280-H577)*G577*200-SUM(J577:K577))),IF(D577="新倉",-SUM(J577:K577),IF(E577="賣",(H577-H1280)*G577*50-SUM(J577:K577),(H1280-H577)*G577*50-SUM(J577:K577)))))</f>
        <v/>
      </c>
      <c r="M577" s="699">
        <f>L577</f>
        <v/>
      </c>
      <c r="N577" s="686">
        <f>M577</f>
        <v/>
      </c>
      <c r="O577" s="261" t="inlineStr">
        <is>
          <t>放棄</t>
        </is>
      </c>
      <c r="P577" s="249" t="inlineStr">
        <is>
          <t>元大期貨</t>
        </is>
      </c>
    </row>
    <row r="578" hidden="1" outlineLevel="1">
      <c r="A578" s="696" t="n">
        <v>45862</v>
      </c>
      <c r="B578" s="234" t="inlineStr">
        <is>
          <t>TXO</t>
        </is>
      </c>
      <c r="C578" s="229" t="inlineStr">
        <is>
          <t>週F4 C 07 23600 C</t>
        </is>
      </c>
      <c r="D578" s="229" t="inlineStr">
        <is>
          <t>新倉</t>
        </is>
      </c>
      <c r="E578" s="257" t="inlineStr">
        <is>
          <t>買</t>
        </is>
      </c>
      <c r="F578" s="229" t="inlineStr">
        <is>
          <t>-</t>
        </is>
      </c>
      <c r="G578" s="697" t="n">
        <v>1</v>
      </c>
      <c r="H578" s="698" t="n">
        <v>24.5</v>
      </c>
      <c r="I578" s="697" t="n">
        <v>-1225</v>
      </c>
      <c r="J578" s="585" t="n">
        <v>18</v>
      </c>
      <c r="K578" s="585" t="n">
        <v>1</v>
      </c>
      <c r="L578" s="585">
        <f>IF(B578="TXO",I578-SUM(J578:K578),IF(B578="FITX",IF(D578="新倉",-SUM(J578:K578),IF(E578="賣",(H578-H1281)*G578*200-SUM(J578:K578),(H1281-H578)*G578*200-SUM(J578:K578))),IF(D578="新倉",-SUM(J578:K578),IF(E578="賣",(H578-H1281)*G578*50-SUM(J578:K578),(H1281-H578)*G578*50-SUM(J578:K578)))))</f>
        <v/>
      </c>
      <c r="M578" s="699">
        <f>L578</f>
        <v/>
      </c>
      <c r="N578" s="686">
        <f>M578</f>
        <v/>
      </c>
      <c r="O578" s="261" t="inlineStr">
        <is>
          <t>放棄</t>
        </is>
      </c>
      <c r="P578" s="249" t="inlineStr">
        <is>
          <t>元大期貨</t>
        </is>
      </c>
    </row>
    <row r="579" hidden="1" outlineLevel="1">
      <c r="A579" s="696" t="n">
        <v>45862</v>
      </c>
      <c r="B579" s="234" t="inlineStr">
        <is>
          <t>TXO</t>
        </is>
      </c>
      <c r="C579" s="229" t="inlineStr">
        <is>
          <t>週F4 C 07 23600 C</t>
        </is>
      </c>
      <c r="D579" s="229" t="inlineStr">
        <is>
          <t>新倉</t>
        </is>
      </c>
      <c r="E579" s="257" t="inlineStr">
        <is>
          <t>買</t>
        </is>
      </c>
      <c r="F579" s="229" t="inlineStr">
        <is>
          <t>-</t>
        </is>
      </c>
      <c r="G579" s="697" t="n">
        <v>2</v>
      </c>
      <c r="H579" s="698" t="n">
        <v>26</v>
      </c>
      <c r="I579" s="697" t="n">
        <v>-2600</v>
      </c>
      <c r="J579" s="585" t="n">
        <v>36</v>
      </c>
      <c r="K579" s="585" t="n">
        <v>2</v>
      </c>
      <c r="L579" s="585">
        <f>IF(B579="TXO",I579-SUM(J579:K579),IF(B579="FITX",IF(D579="新倉",-SUM(J579:K579),IF(E579="賣",(H579-H1282)*G579*200-SUM(J579:K579),(H1282-H579)*G579*200-SUM(J579:K579))),IF(D579="新倉",-SUM(J579:K579),IF(E579="賣",(H579-H1282)*G579*50-SUM(J579:K579),(H1282-H579)*G579*50-SUM(J579:K579)))))</f>
        <v/>
      </c>
      <c r="M579" s="699">
        <f>L579</f>
        <v/>
      </c>
      <c r="N579" s="686">
        <f>M579</f>
        <v/>
      </c>
      <c r="O579" s="261" t="inlineStr">
        <is>
          <t>放棄</t>
        </is>
      </c>
      <c r="P579" s="249" t="inlineStr">
        <is>
          <t>元大期貨</t>
        </is>
      </c>
    </row>
    <row r="580" collapsed="1" ht="17.25" customHeight="1" thickBot="1">
      <c r="A580" s="691" t="n">
        <v>45863</v>
      </c>
      <c r="B580" s="251" t="n"/>
      <c r="C580" s="252" t="inlineStr">
        <is>
          <t>入金</t>
        </is>
      </c>
      <c r="D580" s="252" t="n"/>
      <c r="E580" s="252" t="n"/>
      <c r="F580" s="252" t="n"/>
      <c r="G580" s="692" t="n"/>
      <c r="H580" s="692" t="n"/>
      <c r="I580" s="692" t="n"/>
      <c r="J580" s="693" t="n"/>
      <c r="K580" s="693" t="n"/>
      <c r="L580" s="693" t="n">
        <v>100000</v>
      </c>
      <c r="M580" s="694">
        <f>L580</f>
        <v/>
      </c>
      <c r="P580" s="249" t="n"/>
    </row>
    <row r="581" hidden="1" outlineLevel="1">
      <c r="A581" s="696" t="n">
        <v>45863</v>
      </c>
      <c r="B581" s="234" t="inlineStr">
        <is>
          <t>TXO</t>
        </is>
      </c>
      <c r="C581" s="229" t="inlineStr">
        <is>
          <t>週F4 P 07 23250 P</t>
        </is>
      </c>
      <c r="D581" s="229" t="inlineStr">
        <is>
          <t>新倉</t>
        </is>
      </c>
      <c r="E581" s="257" t="inlineStr">
        <is>
          <t>買</t>
        </is>
      </c>
      <c r="F581" s="229" t="inlineStr">
        <is>
          <t>-</t>
        </is>
      </c>
      <c r="G581" s="697" t="n">
        <v>2</v>
      </c>
      <c r="H581" s="698" t="n">
        <v>33</v>
      </c>
      <c r="I581" s="697" t="n">
        <v>-3300</v>
      </c>
      <c r="J581" s="585" t="n">
        <v>36</v>
      </c>
      <c r="K581" s="585" t="n">
        <v>4</v>
      </c>
      <c r="L581" s="585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/>
      </c>
      <c r="M581" s="699">
        <f>L581</f>
        <v/>
      </c>
      <c r="N581" s="686">
        <f>M581</f>
        <v/>
      </c>
      <c r="O581" s="261" t="inlineStr">
        <is>
          <t>放棄</t>
        </is>
      </c>
      <c r="P581" s="249" t="inlineStr">
        <is>
          <t>元大期貨</t>
        </is>
      </c>
    </row>
    <row r="582" hidden="1" outlineLevel="1">
      <c r="A582" s="696" t="n">
        <v>45863</v>
      </c>
      <c r="B582" s="234" t="inlineStr">
        <is>
          <t>TXO</t>
        </is>
      </c>
      <c r="C582" s="229" t="inlineStr">
        <is>
          <t>週F4 P 07 23250 P</t>
        </is>
      </c>
      <c r="D582" s="229" t="inlineStr">
        <is>
          <t>新倉</t>
        </is>
      </c>
      <c r="E582" s="257" t="inlineStr">
        <is>
          <t>買</t>
        </is>
      </c>
      <c r="F582" s="229" t="inlineStr">
        <is>
          <t>-</t>
        </is>
      </c>
      <c r="G582" s="697" t="n">
        <v>2</v>
      </c>
      <c r="H582" s="698" t="n">
        <v>46</v>
      </c>
      <c r="I582" s="697" t="n">
        <v>-4600</v>
      </c>
      <c r="J582" s="585" t="n">
        <v>36</v>
      </c>
      <c r="K582" s="585" t="n">
        <v>4</v>
      </c>
      <c r="L582" s="585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/>
      </c>
      <c r="M582" s="699">
        <f>L582</f>
        <v/>
      </c>
      <c r="N582" s="686">
        <f>M582</f>
        <v/>
      </c>
      <c r="O582" s="261" t="inlineStr">
        <is>
          <t>放棄</t>
        </is>
      </c>
      <c r="P582" s="249" t="inlineStr">
        <is>
          <t>元大期貨</t>
        </is>
      </c>
    </row>
    <row r="583" hidden="1" outlineLevel="1">
      <c r="A583" s="696" t="n">
        <v>45863</v>
      </c>
      <c r="B583" s="234" t="inlineStr">
        <is>
          <t>TXO</t>
        </is>
      </c>
      <c r="C583" s="229" t="inlineStr">
        <is>
          <t>週F4 C 07 23350 C</t>
        </is>
      </c>
      <c r="D583" s="229" t="inlineStr">
        <is>
          <t>新倉</t>
        </is>
      </c>
      <c r="E583" s="257" t="inlineStr">
        <is>
          <t>買</t>
        </is>
      </c>
      <c r="F583" s="229" t="inlineStr">
        <is>
          <t>-</t>
        </is>
      </c>
      <c r="G583" s="697" t="n">
        <v>1</v>
      </c>
      <c r="H583" s="698" t="n">
        <v>50</v>
      </c>
      <c r="I583" s="697" t="n">
        <v>-2500</v>
      </c>
      <c r="J583" s="585" t="n">
        <v>18</v>
      </c>
      <c r="K583" s="585" t="n">
        <v>3</v>
      </c>
      <c r="L583" s="585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/>
      </c>
      <c r="M583" s="699">
        <f>L583</f>
        <v/>
      </c>
      <c r="N583" s="686">
        <f>M583</f>
        <v/>
      </c>
      <c r="O583" s="276" t="inlineStr">
        <is>
          <t>履約</t>
        </is>
      </c>
      <c r="P583" s="249" t="inlineStr">
        <is>
          <t>元大期貨</t>
        </is>
      </c>
    </row>
    <row r="584" hidden="1" outlineLevel="1">
      <c r="A584" s="696" t="n">
        <v>45863</v>
      </c>
      <c r="B584" s="234" t="inlineStr">
        <is>
          <t>TXO</t>
        </is>
      </c>
      <c r="C584" s="229" t="inlineStr">
        <is>
          <t>週F4 C 07 23350 C</t>
        </is>
      </c>
      <c r="D584" s="229" t="inlineStr">
        <is>
          <t>平倉</t>
        </is>
      </c>
      <c r="E584" s="257" t="inlineStr">
        <is>
          <t>賣</t>
        </is>
      </c>
      <c r="F584" s="229" t="inlineStr">
        <is>
          <t>-</t>
        </is>
      </c>
      <c r="G584" s="697" t="n">
        <v>1</v>
      </c>
      <c r="H584" s="698" t="n">
        <v>50</v>
      </c>
      <c r="I584" s="697" t="n">
        <v>300</v>
      </c>
      <c r="J584" s="585" t="n">
        <v>18</v>
      </c>
      <c r="K584" s="585" t="n">
        <v>23</v>
      </c>
      <c r="L584" s="585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/>
      </c>
      <c r="M584" s="699">
        <f>L584</f>
        <v/>
      </c>
      <c r="N584" s="686">
        <f>M584</f>
        <v/>
      </c>
      <c r="O584" s="276" t="inlineStr">
        <is>
          <t>履約</t>
        </is>
      </c>
      <c r="P584" s="249" t="inlineStr">
        <is>
          <t>元大期貨</t>
        </is>
      </c>
    </row>
    <row r="585" hidden="1" outlineLevel="1">
      <c r="A585" s="696" t="n">
        <v>45863</v>
      </c>
      <c r="B585" s="234" t="inlineStr">
        <is>
          <t>TXO</t>
        </is>
      </c>
      <c r="C585" s="229" t="inlineStr">
        <is>
          <t>週F4 C 07 23450 C</t>
        </is>
      </c>
      <c r="D585" s="229" t="inlineStr">
        <is>
          <t>新倉</t>
        </is>
      </c>
      <c r="E585" s="257" t="inlineStr">
        <is>
          <t>買</t>
        </is>
      </c>
      <c r="F585" s="229" t="inlineStr">
        <is>
          <t>-</t>
        </is>
      </c>
      <c r="G585" s="697" t="n">
        <v>3</v>
      </c>
      <c r="H585" s="698" t="n">
        <v>7.1</v>
      </c>
      <c r="I585" s="697" t="n">
        <v>-1065</v>
      </c>
      <c r="J585" s="585" t="n">
        <v>54</v>
      </c>
      <c r="K585" s="585" t="n">
        <v>0</v>
      </c>
      <c r="L585" s="585">
        <f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/>
      </c>
      <c r="M585" s="699">
        <f>L585</f>
        <v/>
      </c>
      <c r="N585" s="686">
        <f>M585</f>
        <v/>
      </c>
      <c r="O585" s="261" t="inlineStr">
        <is>
          <t>放棄</t>
        </is>
      </c>
      <c r="P585" s="249" t="inlineStr">
        <is>
          <t>元大期貨</t>
        </is>
      </c>
    </row>
    <row r="586" hidden="1" outlineLevel="1">
      <c r="A586" s="696" t="n">
        <v>45866</v>
      </c>
      <c r="B586" s="234" t="inlineStr">
        <is>
          <t>TXO</t>
        </is>
      </c>
      <c r="C586" s="229" t="inlineStr">
        <is>
          <t>週W5 P 07 20500 P</t>
        </is>
      </c>
      <c r="D586" s="229" t="inlineStr">
        <is>
          <t>新倉</t>
        </is>
      </c>
      <c r="E586" s="257" t="inlineStr">
        <is>
          <t>買</t>
        </is>
      </c>
      <c r="F586" s="229" t="inlineStr">
        <is>
          <t>-</t>
        </is>
      </c>
      <c r="G586" s="697" t="n">
        <v>10</v>
      </c>
      <c r="H586" s="698" t="n">
        <v>3.6</v>
      </c>
      <c r="I586" s="697" t="n">
        <v>-1800</v>
      </c>
      <c r="J586" s="585" t="n">
        <v>180</v>
      </c>
      <c r="K586" s="585" t="n">
        <v>0</v>
      </c>
      <c r="L586" s="585">
        <f>IF(B586="TXO",I586-SUM(J586:K586),IF(B586="FITX",IF(D586="新倉",-SUM(J586:K586),IF(E586="賣",(H586-H1287)*G586*200-SUM(J586:K586),(H1287-H586)*G586*200-SUM(J586:K586))),IF(D586="新倉",-SUM(J586:K586),IF(E586="賣",(H586-H1287)*G586*50-SUM(J586:K586),(H1287-H586)*G586*50-SUM(J586:K586)))))</f>
        <v/>
      </c>
      <c r="M586" s="699">
        <f>L586</f>
        <v/>
      </c>
      <c r="N586" s="686">
        <f>M586</f>
        <v/>
      </c>
      <c r="O586" s="261" t="inlineStr">
        <is>
          <t>放棄</t>
        </is>
      </c>
      <c r="P586" s="249" t="inlineStr">
        <is>
          <t>元大期貨</t>
        </is>
      </c>
    </row>
    <row r="587" hidden="1" outlineLevel="1">
      <c r="A587" s="696" t="n">
        <v>45866</v>
      </c>
      <c r="B587" s="234" t="inlineStr">
        <is>
          <t>TXO</t>
        </is>
      </c>
      <c r="C587" s="229" t="inlineStr">
        <is>
          <t>週W5 C 07 23850 C</t>
        </is>
      </c>
      <c r="D587" s="229" t="inlineStr">
        <is>
          <t>新倉</t>
        </is>
      </c>
      <c r="E587" s="257" t="inlineStr">
        <is>
          <t>買</t>
        </is>
      </c>
      <c r="F587" s="229" t="inlineStr">
        <is>
          <t>-</t>
        </is>
      </c>
      <c r="G587" s="697" t="n">
        <v>2</v>
      </c>
      <c r="H587" s="698" t="n">
        <v>35</v>
      </c>
      <c r="I587" s="697" t="n">
        <v>-3500</v>
      </c>
      <c r="J587" s="585" t="n">
        <v>36</v>
      </c>
      <c r="K587" s="585" t="n">
        <v>4</v>
      </c>
      <c r="L587" s="585">
        <f>IF(B587="TXO",I587-SUM(J587:K587),IF(B587="FITX",IF(D587="新倉",-SUM(J587:K587),IF(E587="賣",(H587-H1288)*G587*200-SUM(J587:K587),(H1288-H587)*G587*200-SUM(J587:K587))),IF(D587="新倉",-SUM(J587:K587),IF(E587="賣",(H587-H1288)*G587*50-SUM(J587:K587),(H1288-H587)*G587*50-SUM(J587:K587)))))</f>
        <v/>
      </c>
      <c r="M587" s="699">
        <f>L587</f>
        <v/>
      </c>
      <c r="N587" s="686">
        <f>M587</f>
        <v/>
      </c>
      <c r="O587" s="249" t="inlineStr">
        <is>
          <t>新倉</t>
        </is>
      </c>
      <c r="P587" s="249" t="inlineStr">
        <is>
          <t>元大期貨</t>
        </is>
      </c>
    </row>
    <row r="588" hidden="1" outlineLevel="1">
      <c r="A588" s="696" t="n">
        <v>45866</v>
      </c>
      <c r="B588" s="234" t="inlineStr">
        <is>
          <t>TXO</t>
        </is>
      </c>
      <c r="C588" s="229" t="inlineStr">
        <is>
          <t>週W5 C 07 23850 C</t>
        </is>
      </c>
      <c r="D588" s="229" t="inlineStr">
        <is>
          <t>平倉</t>
        </is>
      </c>
      <c r="E588" s="257" t="inlineStr">
        <is>
          <t>賣</t>
        </is>
      </c>
      <c r="F588" s="229" t="inlineStr">
        <is>
          <t>-</t>
        </is>
      </c>
      <c r="G588" s="697" t="n">
        <v>2</v>
      </c>
      <c r="H588" s="698" t="n">
        <v>12.5</v>
      </c>
      <c r="I588" s="697" t="n">
        <v>1250</v>
      </c>
      <c r="J588" s="585" t="n">
        <v>36</v>
      </c>
      <c r="K588" s="585" t="n">
        <v>2</v>
      </c>
      <c r="L588" s="585">
        <f>IF(B588="TXO",I588-SUM(J588:K588),IF(B588="FITX",IF(D588="新倉",-SUM(J588:K588),IF(E588="賣",(H588-H1289)*G588*200-SUM(J588:K588),(H1289-H588)*G588*200-SUM(J588:K588))),IF(D588="新倉",-SUM(J588:K588),IF(E588="賣",(H588-H1289)*G588*50-SUM(J588:K588),(H1289-H588)*G588*50-SUM(J588:K588)))))</f>
        <v/>
      </c>
      <c r="M588" s="699">
        <f>L588</f>
        <v/>
      </c>
      <c r="N588" s="686">
        <f>M588</f>
        <v/>
      </c>
      <c r="O588" s="249" t="inlineStr">
        <is>
          <t>平倉</t>
        </is>
      </c>
      <c r="P588" s="249" t="inlineStr">
        <is>
          <t>元大期貨</t>
        </is>
      </c>
    </row>
    <row r="589" hidden="1" outlineLevel="1">
      <c r="A589" s="696" t="n">
        <v>45866</v>
      </c>
      <c r="B589" s="234" t="inlineStr">
        <is>
          <t>TXO</t>
        </is>
      </c>
      <c r="C589" s="229" t="inlineStr">
        <is>
          <t>週W5 C 07 23800 C</t>
        </is>
      </c>
      <c r="D589" s="229" t="inlineStr">
        <is>
          <t>新倉</t>
        </is>
      </c>
      <c r="E589" s="257" t="inlineStr">
        <is>
          <t>買</t>
        </is>
      </c>
      <c r="F589" s="229" t="inlineStr">
        <is>
          <t>-</t>
        </is>
      </c>
      <c r="G589" s="697" t="n">
        <v>2</v>
      </c>
      <c r="H589" s="698" t="n">
        <v>25</v>
      </c>
      <c r="I589" s="697" t="n">
        <v>-2500</v>
      </c>
      <c r="J589" s="585" t="n">
        <v>36</v>
      </c>
      <c r="K589" s="585" t="n">
        <v>2</v>
      </c>
      <c r="L589" s="585">
        <f>IF(B589="TXO",I589-SUM(J589:K589),IF(B589="FITX",IF(D589="新倉",-SUM(J589:K589),IF(E589="賣",(H589-H1290)*G589*200-SUM(J589:K589),(H1290-H589)*G589*200-SUM(J589:K589))),IF(D589="新倉",-SUM(J589:K589),IF(E589="賣",(H589-H1290)*G589*50-SUM(J589:K589),(H1290-H589)*G589*50-SUM(J589:K589)))))</f>
        <v/>
      </c>
      <c r="M589" s="699">
        <f>L589</f>
        <v/>
      </c>
      <c r="N589" s="686">
        <f>M589</f>
        <v/>
      </c>
      <c r="O589" s="249" t="inlineStr">
        <is>
          <t>新倉</t>
        </is>
      </c>
      <c r="P589" s="249" t="inlineStr">
        <is>
          <t>元大期貨</t>
        </is>
      </c>
    </row>
    <row r="590" hidden="1" outlineLevel="1">
      <c r="A590" s="696" t="n">
        <v>45866</v>
      </c>
      <c r="B590" s="234" t="inlineStr">
        <is>
          <t>TXO</t>
        </is>
      </c>
      <c r="C590" s="229" t="inlineStr">
        <is>
          <t>週W5 C 07 23800 C</t>
        </is>
      </c>
      <c r="D590" s="229" t="inlineStr">
        <is>
          <t>平倉</t>
        </is>
      </c>
      <c r="E590" s="257" t="inlineStr">
        <is>
          <t>賣</t>
        </is>
      </c>
      <c r="F590" s="229" t="inlineStr">
        <is>
          <t>-</t>
        </is>
      </c>
      <c r="G590" s="697" t="n">
        <v>1</v>
      </c>
      <c r="H590" s="698" t="n">
        <v>52</v>
      </c>
      <c r="I590" s="697" t="n">
        <v>2600</v>
      </c>
      <c r="J590" s="585" t="n">
        <v>18</v>
      </c>
      <c r="K590" s="585" t="n">
        <v>3</v>
      </c>
      <c r="L590" s="585">
        <f>IF(B590="TXO",I590-SUM(J590:K590),IF(B590="FITX",IF(D590="新倉",-SUM(J590:K590),IF(E590="賣",(H590-H1291)*G590*200-SUM(J590:K590),(H1291-H590)*G590*200-SUM(J590:K590))),IF(D590="新倉",-SUM(J590:K590),IF(E590="賣",(H590-H1291)*G590*50-SUM(J590:K590),(H1291-H590)*G590*50-SUM(J590:K590)))))</f>
        <v/>
      </c>
      <c r="M590" s="699">
        <f>L590</f>
        <v/>
      </c>
      <c r="N590" s="686">
        <f>M590</f>
        <v/>
      </c>
      <c r="O590" s="249" t="inlineStr">
        <is>
          <t>平倉</t>
        </is>
      </c>
      <c r="P590" s="249" t="inlineStr">
        <is>
          <t>元大期貨</t>
        </is>
      </c>
    </row>
    <row r="591" hidden="1" outlineLevel="1">
      <c r="A591" s="696" t="n">
        <v>45866</v>
      </c>
      <c r="B591" s="234" t="inlineStr">
        <is>
          <t>TXO</t>
        </is>
      </c>
      <c r="C591" s="229" t="inlineStr">
        <is>
          <t>週W5 C 07 23800 C</t>
        </is>
      </c>
      <c r="D591" s="229" t="inlineStr">
        <is>
          <t>平倉</t>
        </is>
      </c>
      <c r="E591" s="257" t="inlineStr">
        <is>
          <t>賣</t>
        </is>
      </c>
      <c r="F591" s="229" t="inlineStr">
        <is>
          <t>-</t>
        </is>
      </c>
      <c r="G591" s="697" t="n">
        <v>1</v>
      </c>
      <c r="H591" s="698" t="n">
        <v>17</v>
      </c>
      <c r="I591" s="697" t="n">
        <v>850</v>
      </c>
      <c r="J591" s="585" t="n">
        <v>18</v>
      </c>
      <c r="K591" s="585" t="n">
        <v>1</v>
      </c>
      <c r="L591" s="585">
        <f>IF(B591="TXO",I591-SUM(J591:K591),IF(B591="FITX",IF(D591="新倉",-SUM(J591:K591),IF(E591="賣",(H591-H1292)*G591*200-SUM(J591:K591),(H1292-H591)*G591*200-SUM(J591:K591))),IF(D591="新倉",-SUM(J591:K591),IF(E591="賣",(H591-H1292)*G591*50-SUM(J591:K591),(H1292-H591)*G591*50-SUM(J591:K591)))))</f>
        <v/>
      </c>
      <c r="M591" s="699">
        <f>L591</f>
        <v/>
      </c>
      <c r="N591" s="686">
        <f>M591</f>
        <v/>
      </c>
      <c r="O591" s="249" t="inlineStr">
        <is>
          <t>平倉</t>
        </is>
      </c>
      <c r="P591" s="249" t="inlineStr">
        <is>
          <t>元大期貨</t>
        </is>
      </c>
    </row>
    <row r="592" hidden="1" outlineLevel="1">
      <c r="A592" s="696" t="n">
        <v>45866</v>
      </c>
      <c r="B592" s="234" t="inlineStr">
        <is>
          <t>TXO</t>
        </is>
      </c>
      <c r="C592" s="229" t="inlineStr">
        <is>
          <t>週W5 P 07 23000 P</t>
        </is>
      </c>
      <c r="D592" s="229" t="inlineStr">
        <is>
          <t>新倉</t>
        </is>
      </c>
      <c r="E592" s="257" t="inlineStr">
        <is>
          <t>買</t>
        </is>
      </c>
      <c r="F592" s="229" t="inlineStr">
        <is>
          <t>-</t>
        </is>
      </c>
      <c r="G592" s="697" t="n">
        <v>1</v>
      </c>
      <c r="H592" s="698" t="n">
        <v>44</v>
      </c>
      <c r="I592" s="697" t="n">
        <v>-2200</v>
      </c>
      <c r="J592" s="585" t="n">
        <v>18</v>
      </c>
      <c r="K592" s="585" t="n">
        <v>2</v>
      </c>
      <c r="L592" s="585">
        <f>IF(B592="TXO",I592-SUM(J592:K592),IF(B592="FITX",IF(D592="新倉",-SUM(J592:K592),IF(E592="賣",(H592-H1293)*G592*200-SUM(J592:K592),(H1293-H592)*G592*200-SUM(J592:K592))),IF(D592="新倉",-SUM(J592:K592),IF(E592="賣",(H592-H1293)*G592*50-SUM(J592:K592),(H1293-H592)*G592*50-SUM(J592:K592)))))</f>
        <v/>
      </c>
      <c r="M592" s="699">
        <f>L592</f>
        <v/>
      </c>
      <c r="N592" s="686">
        <f>M592</f>
        <v/>
      </c>
      <c r="O592" s="261" t="inlineStr">
        <is>
          <t>放棄</t>
        </is>
      </c>
      <c r="P592" s="249" t="inlineStr">
        <is>
          <t>元大期貨</t>
        </is>
      </c>
    </row>
    <row r="593" hidden="1" outlineLevel="1">
      <c r="A593" s="696" t="n">
        <v>45867</v>
      </c>
      <c r="B593" s="234" t="inlineStr">
        <is>
          <t>TXO</t>
        </is>
      </c>
      <c r="C593" s="229" t="inlineStr">
        <is>
          <t>週W5 P 07 23200 P</t>
        </is>
      </c>
      <c r="D593" s="229" t="inlineStr">
        <is>
          <t>新倉</t>
        </is>
      </c>
      <c r="E593" s="257" t="inlineStr">
        <is>
          <t>買</t>
        </is>
      </c>
      <c r="F593" s="229" t="inlineStr">
        <is>
          <t>-</t>
        </is>
      </c>
      <c r="G593" s="697" t="n">
        <v>2</v>
      </c>
      <c r="H593" s="698" t="n">
        <v>57</v>
      </c>
      <c r="I593" s="697" t="n">
        <v>-5700</v>
      </c>
      <c r="J593" s="585" t="n">
        <v>36</v>
      </c>
      <c r="K593" s="585" t="n">
        <v>6</v>
      </c>
      <c r="L593" s="585">
        <f>IF(B593="TXO",I593-SUM(J593:K593),IF(B593="FITX",IF(D593="新倉",-SUM(J593:K593),IF(E593="賣",(H593-H1294)*G593*200-SUM(J593:K593),(H1294-H593)*G593*200-SUM(J593:K593))),IF(D593="新倉",-SUM(J593:K593),IF(E593="賣",(H593-H1294)*G593*50-SUM(J593:K593),(H1294-H593)*G593*50-SUM(J593:K593)))))</f>
        <v/>
      </c>
      <c r="M593" s="699">
        <f>L593</f>
        <v/>
      </c>
      <c r="N593" s="686">
        <f>M593</f>
        <v/>
      </c>
      <c r="O593" s="249" t="inlineStr">
        <is>
          <t>新倉</t>
        </is>
      </c>
      <c r="P593" s="249" t="inlineStr">
        <is>
          <t>元大期貨</t>
        </is>
      </c>
    </row>
    <row r="594" hidden="1" outlineLevel="1">
      <c r="A594" s="696" t="n">
        <v>45867</v>
      </c>
      <c r="B594" s="234" t="inlineStr">
        <is>
          <t>TXO</t>
        </is>
      </c>
      <c r="C594" s="229" t="inlineStr">
        <is>
          <t>週W5 P 07 23200 P</t>
        </is>
      </c>
      <c r="D594" s="229" t="inlineStr">
        <is>
          <t>平倉</t>
        </is>
      </c>
      <c r="E594" s="257" t="inlineStr">
        <is>
          <t>賣</t>
        </is>
      </c>
      <c r="F594" s="229" t="inlineStr">
        <is>
          <t>-</t>
        </is>
      </c>
      <c r="G594" s="697" t="n">
        <v>2</v>
      </c>
      <c r="H594" s="698" t="n">
        <v>58</v>
      </c>
      <c r="I594" s="697" t="n">
        <v>5800</v>
      </c>
      <c r="J594" s="585" t="n">
        <v>36</v>
      </c>
      <c r="K594" s="585" t="n">
        <v>6</v>
      </c>
      <c r="L594" s="585">
        <f>IF(B594="TXO",I594-SUM(J594:K594),IF(B594="FITX",IF(D594="新倉",-SUM(J594:K594),IF(E594="賣",(H594-H1295)*G594*200-SUM(J594:K594),(H1295-H594)*G594*200-SUM(J594:K594))),IF(D594="新倉",-SUM(J594:K594),IF(E594="賣",(H594-H1295)*G594*50-SUM(J594:K594),(H1295-H594)*G594*50-SUM(J594:K594)))))</f>
        <v/>
      </c>
      <c r="M594" s="699">
        <f>L594</f>
        <v/>
      </c>
      <c r="N594" s="686">
        <f>M594</f>
        <v/>
      </c>
      <c r="O594" s="249" t="inlineStr">
        <is>
          <t>平倉</t>
        </is>
      </c>
      <c r="P594" s="249" t="inlineStr">
        <is>
          <t>元大期貨</t>
        </is>
      </c>
    </row>
    <row r="595" hidden="1" outlineLevel="1">
      <c r="A595" s="696" t="n">
        <v>45867</v>
      </c>
      <c r="B595" s="234" t="inlineStr">
        <is>
          <t>TXO</t>
        </is>
      </c>
      <c r="C595" s="229" t="inlineStr">
        <is>
          <t>週W5 P 07 23200 P</t>
        </is>
      </c>
      <c r="D595" s="229" t="inlineStr">
        <is>
          <t>新倉</t>
        </is>
      </c>
      <c r="E595" s="257" t="inlineStr">
        <is>
          <t>買</t>
        </is>
      </c>
      <c r="F595" s="229" t="inlineStr">
        <is>
          <t>-</t>
        </is>
      </c>
      <c r="G595" s="697" t="n">
        <v>2</v>
      </c>
      <c r="H595" s="698" t="n">
        <v>62</v>
      </c>
      <c r="I595" s="697" t="n">
        <v>-6200</v>
      </c>
      <c r="J595" s="585" t="n">
        <v>36</v>
      </c>
      <c r="K595" s="585" t="n">
        <v>6</v>
      </c>
      <c r="L595" s="585">
        <f>IF(B595="TXO",I595-SUM(J595:K595),IF(B595="FITX",IF(D595="新倉",-SUM(J595:K595),IF(E595="賣",(H595-H1296)*G595*200-SUM(J595:K595),(H1296-H595)*G595*200-SUM(J595:K595))),IF(D595="新倉",-SUM(J595:K595),IF(E595="賣",(H595-H1296)*G595*50-SUM(J595:K595),(H1296-H595)*G595*50-SUM(J595:K595)))))</f>
        <v/>
      </c>
      <c r="M595" s="699">
        <f>L595</f>
        <v/>
      </c>
      <c r="N595" s="686">
        <f>M595</f>
        <v/>
      </c>
      <c r="O595" s="249" t="inlineStr">
        <is>
          <t>新倉</t>
        </is>
      </c>
      <c r="P595" s="249" t="inlineStr">
        <is>
          <t>元大期貨</t>
        </is>
      </c>
    </row>
    <row r="596" hidden="1" outlineLevel="1">
      <c r="A596" s="696" t="n">
        <v>45867</v>
      </c>
      <c r="B596" s="234" t="inlineStr">
        <is>
          <t>TXO</t>
        </is>
      </c>
      <c r="C596" s="229" t="inlineStr">
        <is>
          <t>週W5 P 07 23200 P</t>
        </is>
      </c>
      <c r="D596" s="229" t="inlineStr">
        <is>
          <t>平倉</t>
        </is>
      </c>
      <c r="E596" s="257" t="inlineStr">
        <is>
          <t>賣</t>
        </is>
      </c>
      <c r="F596" s="229" t="inlineStr">
        <is>
          <t>-</t>
        </is>
      </c>
      <c r="G596" s="697" t="n">
        <v>2</v>
      </c>
      <c r="H596" s="698" t="n">
        <v>70</v>
      </c>
      <c r="I596" s="697" t="n">
        <v>7000</v>
      </c>
      <c r="J596" s="585" t="n">
        <v>36</v>
      </c>
      <c r="K596" s="585" t="n">
        <v>8</v>
      </c>
      <c r="L596" s="585">
        <f>IF(B596="TXO",I596-SUM(J596:K596),IF(B596="FITX",IF(D596="新倉",-SUM(J596:K596),IF(E596="賣",(H596-H1297)*G596*200-SUM(J596:K596),(H1297-H596)*G596*200-SUM(J596:K596))),IF(D596="新倉",-SUM(J596:K596),IF(E596="賣",(H596-H1297)*G596*50-SUM(J596:K596),(H1297-H596)*G596*50-SUM(J596:K596)))))</f>
        <v/>
      </c>
      <c r="M596" s="699">
        <f>L596</f>
        <v/>
      </c>
      <c r="N596" s="686">
        <f>M596</f>
        <v/>
      </c>
      <c r="O596" s="249" t="inlineStr">
        <is>
          <t>平倉</t>
        </is>
      </c>
      <c r="P596" s="249" t="inlineStr">
        <is>
          <t>元大期貨</t>
        </is>
      </c>
    </row>
    <row r="597" hidden="1" outlineLevel="1">
      <c r="A597" s="696" t="n">
        <v>45867</v>
      </c>
      <c r="B597" s="234" t="inlineStr">
        <is>
          <t>TXO</t>
        </is>
      </c>
      <c r="C597" s="229" t="inlineStr">
        <is>
          <t>週W5 P 07 22800 P</t>
        </is>
      </c>
      <c r="D597" s="229" t="inlineStr">
        <is>
          <t>新倉</t>
        </is>
      </c>
      <c r="E597" s="257" t="inlineStr">
        <is>
          <t>買</t>
        </is>
      </c>
      <c r="F597" s="229" t="inlineStr">
        <is>
          <t>-</t>
        </is>
      </c>
      <c r="G597" s="697" t="n">
        <v>2</v>
      </c>
      <c r="H597" s="698" t="n">
        <v>38.5</v>
      </c>
      <c r="I597" s="697" t="n">
        <v>-3850</v>
      </c>
      <c r="J597" s="585" t="n">
        <v>36</v>
      </c>
      <c r="K597" s="585" t="n">
        <v>4</v>
      </c>
      <c r="L597" s="585">
        <f>IF(B597="TXO",I597-SUM(J597:K597),IF(B597="FITX",IF(D597="新倉",-SUM(J597:K597),IF(E597="賣",(H597-H1298)*G597*200-SUM(J597:K597),(H1298-H597)*G597*200-SUM(J597:K597))),IF(D597="新倉",-SUM(J597:K597),IF(E597="賣",(H597-H1298)*G597*50-SUM(J597:K597),(H1298-H597)*G597*50-SUM(J597:K597)))))</f>
        <v/>
      </c>
      <c r="M597" s="699">
        <f>L597</f>
        <v/>
      </c>
      <c r="N597" s="686">
        <f>M597</f>
        <v/>
      </c>
      <c r="O597" s="261" t="inlineStr">
        <is>
          <t>放棄</t>
        </is>
      </c>
      <c r="P597" s="249" t="inlineStr">
        <is>
          <t>元大期貨</t>
        </is>
      </c>
    </row>
    <row r="598" hidden="1" outlineLevel="1">
      <c r="A598" s="696" t="n">
        <v>45867</v>
      </c>
      <c r="B598" s="234" t="inlineStr">
        <is>
          <t>TXO</t>
        </is>
      </c>
      <c r="C598" s="229" t="inlineStr">
        <is>
          <t>週W5 P 07 22900 P</t>
        </is>
      </c>
      <c r="D598" s="229" t="inlineStr">
        <is>
          <t>新倉</t>
        </is>
      </c>
      <c r="E598" s="257" t="inlineStr">
        <is>
          <t>買</t>
        </is>
      </c>
      <c r="F598" s="229" t="inlineStr">
        <is>
          <t>-</t>
        </is>
      </c>
      <c r="G598" s="697" t="n">
        <v>2</v>
      </c>
      <c r="H598" s="698" t="n">
        <v>31.5</v>
      </c>
      <c r="I598" s="697" t="n">
        <v>-3150</v>
      </c>
      <c r="J598" s="585" t="n">
        <v>36</v>
      </c>
      <c r="K598" s="585" t="n">
        <v>4</v>
      </c>
      <c r="L598" s="585">
        <f>IF(B598="TXO",I598-SUM(J598:K598),IF(B598="FITX",IF(D598="新倉",-SUM(J598:K598),IF(E598="賣",(H598-H1299)*G598*200-SUM(J598:K598),(H1299-H598)*G598*200-SUM(J598:K598))),IF(D598="新倉",-SUM(J598:K598),IF(E598="賣",(H598-H1299)*G598*50-SUM(J598:K598),(H1299-H598)*G598*50-SUM(J598:K598)))))</f>
        <v/>
      </c>
      <c r="M598" s="699">
        <f>L598</f>
        <v/>
      </c>
      <c r="N598" s="686">
        <f>M598</f>
        <v/>
      </c>
      <c r="O598" s="261" t="inlineStr">
        <is>
          <t>放棄</t>
        </is>
      </c>
      <c r="P598" s="249" t="inlineStr">
        <is>
          <t>元大期貨</t>
        </is>
      </c>
    </row>
    <row r="599" hidden="1" outlineLevel="1">
      <c r="A599" s="696" t="n">
        <v>45868</v>
      </c>
      <c r="B599" s="234" t="inlineStr">
        <is>
          <t>TXO</t>
        </is>
      </c>
      <c r="C599" s="229" t="inlineStr">
        <is>
          <t>週W5 P 07 23100 P</t>
        </is>
      </c>
      <c r="D599" s="229" t="inlineStr">
        <is>
          <t>新倉</t>
        </is>
      </c>
      <c r="E599" s="257" t="inlineStr">
        <is>
          <t>買</t>
        </is>
      </c>
      <c r="F599" s="229" t="inlineStr">
        <is>
          <t>-</t>
        </is>
      </c>
      <c r="G599" s="697" t="n">
        <v>3</v>
      </c>
      <c r="H599" s="698" t="n">
        <v>23</v>
      </c>
      <c r="I599" s="697" t="n">
        <v>-3450</v>
      </c>
      <c r="J599" s="585" t="n">
        <v>54</v>
      </c>
      <c r="K599" s="585" t="n">
        <v>3</v>
      </c>
      <c r="L599" s="585">
        <f>IF(B599="TXO",I599-SUM(J599:K599),IF(B599="FITX",IF(D599="新倉",-SUM(J599:K599),IF(E599="賣",(H599-H1300)*G599*200-SUM(J599:K599),(H1300-H599)*G599*200-SUM(J599:K599))),IF(D599="新倉",-SUM(J599:K599),IF(E599="賣",(H599-H1300)*G599*50-SUM(J599:K599),(H1300-H599)*G599*50-SUM(J599:K599)))))</f>
        <v/>
      </c>
      <c r="M599" s="699">
        <f>L599</f>
        <v/>
      </c>
      <c r="N599" s="686">
        <f>M599</f>
        <v/>
      </c>
      <c r="O599" s="249" t="inlineStr">
        <is>
          <t>新倉</t>
        </is>
      </c>
      <c r="P599" s="249" t="inlineStr">
        <is>
          <t>元大期貨</t>
        </is>
      </c>
    </row>
    <row r="600" hidden="1" outlineLevel="1">
      <c r="A600" s="696" t="n">
        <v>45868</v>
      </c>
      <c r="B600" s="234" t="inlineStr">
        <is>
          <t>TXO</t>
        </is>
      </c>
      <c r="C600" s="229" t="inlineStr">
        <is>
          <t>週W5 P 07 23100 P</t>
        </is>
      </c>
      <c r="D600" s="229" t="inlineStr">
        <is>
          <t>平倉</t>
        </is>
      </c>
      <c r="E600" s="257" t="inlineStr">
        <is>
          <t>賣</t>
        </is>
      </c>
      <c r="F600" s="229" t="inlineStr">
        <is>
          <t>-</t>
        </is>
      </c>
      <c r="G600" s="697" t="n">
        <v>3</v>
      </c>
      <c r="H600" s="698" t="n">
        <v>35</v>
      </c>
      <c r="I600" s="697" t="n">
        <v>5250</v>
      </c>
      <c r="J600" s="585" t="n">
        <v>54</v>
      </c>
      <c r="K600" s="585" t="n">
        <v>6</v>
      </c>
      <c r="L600" s="585">
        <f>IF(B600="TXO",I600-SUM(J600:K600),IF(B600="FITX",IF(D600="新倉",-SUM(J600:K600),IF(E600="賣",(H600-H1301)*G600*200-SUM(J600:K600),(H1301-H600)*G600*200-SUM(J600:K600))),IF(D600="新倉",-SUM(J600:K600),IF(E600="賣",(H600-H1301)*G600*50-SUM(J600:K600),(H1301-H600)*G600*50-SUM(J600:K600)))))</f>
        <v/>
      </c>
      <c r="M600" s="699">
        <f>L600</f>
        <v/>
      </c>
      <c r="N600" s="686">
        <f>M600</f>
        <v/>
      </c>
      <c r="O600" s="249" t="inlineStr">
        <is>
          <t>平倉</t>
        </is>
      </c>
      <c r="P600" s="249" t="inlineStr">
        <is>
          <t>元大期貨</t>
        </is>
      </c>
    </row>
    <row r="601" hidden="1" outlineLevel="1">
      <c r="A601" s="696" t="n">
        <v>45868</v>
      </c>
      <c r="B601" s="234" t="inlineStr">
        <is>
          <t>TXO</t>
        </is>
      </c>
      <c r="C601" s="229" t="inlineStr">
        <is>
          <t>週W5 P 07 23100 P</t>
        </is>
      </c>
      <c r="D601" s="229" t="inlineStr">
        <is>
          <t>新倉</t>
        </is>
      </c>
      <c r="E601" s="257" t="inlineStr">
        <is>
          <t>買</t>
        </is>
      </c>
      <c r="F601" s="229" t="inlineStr">
        <is>
          <t>-</t>
        </is>
      </c>
      <c r="G601" s="697" t="n">
        <v>3</v>
      </c>
      <c r="H601" s="698" t="n">
        <v>34</v>
      </c>
      <c r="I601" s="697" t="n">
        <v>-5100</v>
      </c>
      <c r="J601" s="585" t="n">
        <v>54</v>
      </c>
      <c r="K601" s="585" t="n">
        <v>6</v>
      </c>
      <c r="L601" s="585">
        <f>IF(B601="TXO",I601-SUM(J601:K601),IF(B601="FITX",IF(D601="新倉",-SUM(J601:K601),IF(E601="賣",(H601-H1302)*G601*200-SUM(J601:K601),(H1302-H601)*G601*200-SUM(J601:K601))),IF(D601="新倉",-SUM(J601:K601),IF(E601="賣",(H601-H1302)*G601*50-SUM(J601:K601),(H1302-H601)*G601*50-SUM(J601:K601)))))</f>
        <v/>
      </c>
      <c r="M601" s="699">
        <f>L601</f>
        <v/>
      </c>
      <c r="N601" s="686">
        <f>M601</f>
        <v/>
      </c>
      <c r="O601" s="261" t="inlineStr">
        <is>
          <t>放棄</t>
        </is>
      </c>
      <c r="P601" s="249" t="inlineStr">
        <is>
          <t>元大期貨</t>
        </is>
      </c>
    </row>
    <row r="602" hidden="1" outlineLevel="1">
      <c r="A602" s="696" t="n">
        <v>45868</v>
      </c>
      <c r="B602" s="234" t="inlineStr">
        <is>
          <t>TXO</t>
        </is>
      </c>
      <c r="C602" s="229" t="inlineStr">
        <is>
          <t>週W5 C 07 23450 C</t>
        </is>
      </c>
      <c r="D602" s="229" t="inlineStr">
        <is>
          <t>新倉</t>
        </is>
      </c>
      <c r="E602" s="257" t="inlineStr">
        <is>
          <t>買</t>
        </is>
      </c>
      <c r="F602" s="229" t="inlineStr">
        <is>
          <t>-</t>
        </is>
      </c>
      <c r="G602" s="697" t="n">
        <v>5</v>
      </c>
      <c r="H602" s="698" t="n">
        <v>8.300000000000001</v>
      </c>
      <c r="I602" s="697" t="n">
        <v>-2075</v>
      </c>
      <c r="J602" s="585" t="n">
        <v>90</v>
      </c>
      <c r="K602" s="585" t="n">
        <v>0</v>
      </c>
      <c r="L602" s="585">
        <f>IF(B602="TXO",I602-SUM(J602:K602),IF(B602="FITX",IF(D602="新倉",-SUM(J602:K602),IF(E602="賣",(H602-H1303)*G602*200-SUM(J602:K602),(H1303-H602)*G602*200-SUM(J602:K602))),IF(D602="新倉",-SUM(J602:K602),IF(E602="賣",(H602-H1303)*G602*50-SUM(J602:K602),(H1303-H602)*G602*50-SUM(J602:K602)))))</f>
        <v/>
      </c>
      <c r="M602" s="699">
        <f>L602</f>
        <v/>
      </c>
      <c r="N602" s="686">
        <f>M602</f>
        <v/>
      </c>
      <c r="O602" s="261" t="inlineStr">
        <is>
          <t>放棄</t>
        </is>
      </c>
      <c r="P602" s="249" t="inlineStr">
        <is>
          <t>元大期貨</t>
        </is>
      </c>
    </row>
    <row r="603" hidden="1" outlineLevel="1">
      <c r="A603" s="696" t="n">
        <v>45868</v>
      </c>
      <c r="B603" s="234" t="inlineStr">
        <is>
          <t>TXO</t>
        </is>
      </c>
      <c r="C603" s="229" t="inlineStr">
        <is>
          <t>週W5 P 07 23100 P</t>
        </is>
      </c>
      <c r="D603" s="229" t="inlineStr">
        <is>
          <t>新倉</t>
        </is>
      </c>
      <c r="E603" s="257" t="inlineStr">
        <is>
          <t>買</t>
        </is>
      </c>
      <c r="F603" s="229" t="inlineStr">
        <is>
          <t>-</t>
        </is>
      </c>
      <c r="G603" s="697" t="n">
        <v>5</v>
      </c>
      <c r="H603" s="698" t="n">
        <v>5</v>
      </c>
      <c r="I603" s="697" t="n">
        <v>-1250</v>
      </c>
      <c r="J603" s="585" t="n">
        <v>90</v>
      </c>
      <c r="K603" s="585" t="n">
        <v>0</v>
      </c>
      <c r="L603" s="585">
        <f>IF(B603="TXO",I603-SUM(J603:K603),IF(B603="FITX",IF(D603="新倉",-SUM(J603:K603),IF(E603="賣",(H603-H1304)*G603*200-SUM(J603:K603),(H1304-H603)*G603*200-SUM(J603:K603))),IF(D603="新倉",-SUM(J603:K603),IF(E603="賣",(H603-H1304)*G603*50-SUM(J603:K603),(H1304-H603)*G603*50-SUM(J603:K603)))))</f>
        <v/>
      </c>
      <c r="M603" s="699">
        <f>L603</f>
        <v/>
      </c>
      <c r="N603" s="686">
        <f>M603</f>
        <v/>
      </c>
      <c r="O603" s="261" t="inlineStr">
        <is>
          <t>放棄</t>
        </is>
      </c>
      <c r="P603" s="249" t="inlineStr">
        <is>
          <t>元大期貨</t>
        </is>
      </c>
    </row>
    <row r="604" hidden="1" outlineLevel="1">
      <c r="A604" s="696" t="n">
        <v>45868</v>
      </c>
      <c r="B604" s="234" t="inlineStr">
        <is>
          <t>TXO</t>
        </is>
      </c>
      <c r="C604" s="229" t="inlineStr">
        <is>
          <t>週W5 P 07 23100 P</t>
        </is>
      </c>
      <c r="D604" s="229" t="inlineStr">
        <is>
          <t>新倉</t>
        </is>
      </c>
      <c r="E604" s="257" t="inlineStr">
        <is>
          <t>買</t>
        </is>
      </c>
      <c r="F604" s="229" t="inlineStr">
        <is>
          <t>-</t>
        </is>
      </c>
      <c r="G604" s="697" t="n">
        <v>3</v>
      </c>
      <c r="H604" s="698" t="n">
        <v>7.3</v>
      </c>
      <c r="I604" s="697" t="n">
        <v>-1095</v>
      </c>
      <c r="J604" s="585" t="n">
        <v>54</v>
      </c>
      <c r="K604" s="585" t="n">
        <v>0</v>
      </c>
      <c r="L604" s="585">
        <f>IF(B604="TXO",I604-SUM(J604:K604),IF(B604="FITX",IF(D604="新倉",-SUM(J604:K604),IF(E604="賣",(H604-H1305)*G604*200-SUM(J604:K604),(H1305-H604)*G604*200-SUM(J604:K604))),IF(D604="新倉",-SUM(J604:K604),IF(E604="賣",(H604-H1305)*G604*50-SUM(J604:K604),(H1305-H604)*G604*50-SUM(J604:K604)))))</f>
        <v/>
      </c>
      <c r="M604" s="699">
        <f>L604</f>
        <v/>
      </c>
      <c r="N604" s="686">
        <f>M604</f>
        <v/>
      </c>
      <c r="O604" s="261" t="inlineStr">
        <is>
          <t>放棄</t>
        </is>
      </c>
      <c r="P604" s="249" t="inlineStr">
        <is>
          <t>元大期貨</t>
        </is>
      </c>
    </row>
    <row r="605" hidden="1" outlineLevel="1" ht="17.25" customHeight="1" thickBot="1">
      <c r="A605" s="696" t="n">
        <v>45868</v>
      </c>
      <c r="B605" s="234" t="inlineStr">
        <is>
          <t>TXO</t>
        </is>
      </c>
      <c r="C605" s="229" t="inlineStr">
        <is>
          <t>週W5 P 07 23100 P</t>
        </is>
      </c>
      <c r="D605" s="229" t="inlineStr">
        <is>
          <t>新倉</t>
        </is>
      </c>
      <c r="E605" s="257" t="inlineStr">
        <is>
          <t>買</t>
        </is>
      </c>
      <c r="F605" s="229" t="inlineStr">
        <is>
          <t>-</t>
        </is>
      </c>
      <c r="G605" s="697" t="n">
        <v>2</v>
      </c>
      <c r="H605" s="698" t="n">
        <v>7.2</v>
      </c>
      <c r="I605" s="697" t="n">
        <v>-720</v>
      </c>
      <c r="J605" s="585" t="n">
        <v>36</v>
      </c>
      <c r="K605" s="585" t="n">
        <v>0</v>
      </c>
      <c r="L605" s="585">
        <f>IF(B605="TXO",I605-SUM(J605:K605),IF(B605="FITX",IF(D605="新倉",-SUM(J605:K605),IF(E605="賣",(H605-H1306)*G605*200-SUM(J605:K605),(H1306-H605)*G605*200-SUM(J605:K605))),IF(D605="新倉",-SUM(J605:K605),IF(E605="賣",(H605-H1306)*G605*50-SUM(J605:K605),(H1306-H605)*G605*50-SUM(J605:K605)))))</f>
        <v/>
      </c>
      <c r="M605" s="699">
        <f>L605</f>
        <v/>
      </c>
      <c r="N605" s="686">
        <f>M605</f>
        <v/>
      </c>
      <c r="O605" s="261" t="inlineStr">
        <is>
          <t>放棄</t>
        </is>
      </c>
      <c r="P605" s="249" t="inlineStr">
        <is>
          <t>元大期貨</t>
        </is>
      </c>
    </row>
    <row r="606" collapsed="1" ht="17.25" customHeight="1" thickBot="1">
      <c r="A606" s="465" t="inlineStr">
        <is>
          <t>7月總計</t>
        </is>
      </c>
      <c r="B606" s="274" t="n"/>
      <c r="C606" s="274" t="n"/>
      <c r="D606" s="274" t="n"/>
      <c r="E606" s="274" t="n"/>
      <c r="F606" s="274" t="n"/>
      <c r="G606" s="715" t="n"/>
      <c r="H606" s="715" t="n"/>
      <c r="I606" s="715" t="n"/>
      <c r="J606" s="716" t="n"/>
      <c r="K606" s="715" t="n"/>
      <c r="L606" s="717">
        <f>SUM(L511:L579,L581:L605)</f>
        <v/>
      </c>
      <c r="M606" s="717">
        <f>SUM(M511:M579,M581:M605)</f>
        <v/>
      </c>
      <c r="N606" s="666" t="n"/>
      <c r="P606" s="249" t="n"/>
    </row>
    <row r="607" hidden="1" outlineLevel="1">
      <c r="A607" s="696" t="n">
        <v>45870</v>
      </c>
      <c r="B607" s="234" t="inlineStr">
        <is>
          <t>TXO</t>
        </is>
      </c>
      <c r="C607" s="229" t="inlineStr">
        <is>
          <t>週F1 C 08 23700 C</t>
        </is>
      </c>
      <c r="D607" s="229" t="inlineStr">
        <is>
          <t>新倉</t>
        </is>
      </c>
      <c r="E607" s="257" t="inlineStr">
        <is>
          <t>買</t>
        </is>
      </c>
      <c r="F607" s="229" t="inlineStr">
        <is>
          <t>-</t>
        </is>
      </c>
      <c r="G607" s="697" t="n">
        <v>1</v>
      </c>
      <c r="H607" s="698" t="n">
        <v>30</v>
      </c>
      <c r="I607" s="697" t="n">
        <v>-1500</v>
      </c>
      <c r="J607" s="585" t="n">
        <v>18</v>
      </c>
      <c r="K607" s="585" t="n">
        <v>2</v>
      </c>
      <c r="L607" s="585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/>
      </c>
      <c r="M607" s="699">
        <f>L607</f>
        <v/>
      </c>
      <c r="N607" s="686">
        <f>M607</f>
        <v/>
      </c>
      <c r="O607" s="261" t="inlineStr">
        <is>
          <t>放棄</t>
        </is>
      </c>
      <c r="P607" s="249" t="inlineStr">
        <is>
          <t>元大期貨</t>
        </is>
      </c>
    </row>
    <row r="608" hidden="1" outlineLevel="1">
      <c r="A608" s="696" t="n">
        <v>45870</v>
      </c>
      <c r="B608" s="234" t="inlineStr">
        <is>
          <t>TXO</t>
        </is>
      </c>
      <c r="C608" s="229" t="inlineStr">
        <is>
          <t>週F1 C 08 23450 C</t>
        </is>
      </c>
      <c r="D608" s="229" t="inlineStr">
        <is>
          <t>新倉</t>
        </is>
      </c>
      <c r="E608" s="257" t="inlineStr">
        <is>
          <t>買</t>
        </is>
      </c>
      <c r="F608" s="229" t="inlineStr">
        <is>
          <t>-</t>
        </is>
      </c>
      <c r="G608" s="697" t="n">
        <v>20</v>
      </c>
      <c r="H608" s="698" t="n">
        <v>0.9</v>
      </c>
      <c r="I608" s="697" t="n">
        <v>-900</v>
      </c>
      <c r="J608" s="585" t="n">
        <v>360</v>
      </c>
      <c r="K608" s="585" t="n">
        <v>0</v>
      </c>
      <c r="L608" s="585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/>
      </c>
      <c r="M608" s="699">
        <f>L608</f>
        <v/>
      </c>
      <c r="N608" s="686">
        <f>M608</f>
        <v/>
      </c>
      <c r="O608" s="249" t="inlineStr">
        <is>
          <t>新倉</t>
        </is>
      </c>
      <c r="P608" s="249" t="inlineStr">
        <is>
          <t>元大期貨</t>
        </is>
      </c>
    </row>
    <row r="609" hidden="1" outlineLevel="1">
      <c r="A609" s="696" t="n">
        <v>45870</v>
      </c>
      <c r="B609" s="234" t="inlineStr">
        <is>
          <t>TXO</t>
        </is>
      </c>
      <c r="C609" s="229" t="inlineStr">
        <is>
          <t>週F1 C 08 23450 C</t>
        </is>
      </c>
      <c r="D609" s="229" t="inlineStr">
        <is>
          <t>平倉</t>
        </is>
      </c>
      <c r="E609" s="257" t="inlineStr">
        <is>
          <t>賣</t>
        </is>
      </c>
      <c r="F609" s="229" t="inlineStr">
        <is>
          <t>-</t>
        </is>
      </c>
      <c r="G609" s="697" t="n">
        <v>10</v>
      </c>
      <c r="H609" s="698" t="n">
        <v>3</v>
      </c>
      <c r="I609" s="697" t="n">
        <v>1500</v>
      </c>
      <c r="J609" s="585" t="n">
        <v>180</v>
      </c>
      <c r="K609" s="585" t="n">
        <v>0</v>
      </c>
      <c r="L609" s="585">
        <f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/>
      </c>
      <c r="M609" s="699">
        <f>L609</f>
        <v/>
      </c>
      <c r="N609" s="686">
        <f>M609</f>
        <v/>
      </c>
      <c r="O609" s="249" t="inlineStr">
        <is>
          <t>平倉</t>
        </is>
      </c>
      <c r="P609" s="249" t="inlineStr">
        <is>
          <t>元大期貨</t>
        </is>
      </c>
    </row>
    <row r="610" hidden="1" outlineLevel="1">
      <c r="A610" s="696" t="n">
        <v>45870</v>
      </c>
      <c r="B610" s="234" t="inlineStr">
        <is>
          <t>TXO</t>
        </is>
      </c>
      <c r="C610" s="229" t="inlineStr">
        <is>
          <t>週F1 C 08 23450 C</t>
        </is>
      </c>
      <c r="D610" s="229" t="inlineStr">
        <is>
          <t>平倉</t>
        </is>
      </c>
      <c r="E610" s="257" t="inlineStr">
        <is>
          <t>賣</t>
        </is>
      </c>
      <c r="F610" s="229" t="inlineStr">
        <is>
          <t>-</t>
        </is>
      </c>
      <c r="G610" s="697" t="n">
        <v>10</v>
      </c>
      <c r="H610" s="698" t="n">
        <v>3</v>
      </c>
      <c r="I610" s="697" t="n">
        <v>3000</v>
      </c>
      <c r="J610" s="585" t="n">
        <v>180</v>
      </c>
      <c r="K610" s="585" t="n">
        <v>230</v>
      </c>
      <c r="L610" s="585">
        <f>IF(B610="TXO",I610-SUM(J610:K610),IF(B610="FITX",IF(D610="新倉",-SUM(J610:K610),IF(E610="賣",(H610-H1310)*G610*200-SUM(J610:K610),(H1310-H610)*G610*200-SUM(J610:K610))),IF(D610="新倉",-SUM(J610:K610),IF(E610="賣",(H610-H1310)*G610*50-SUM(J610:K610),(H1310-H610)*G610*50-SUM(J610:K610)))))</f>
        <v/>
      </c>
      <c r="M610" s="699">
        <f>L610</f>
        <v/>
      </c>
      <c r="N610" s="686">
        <f>M610</f>
        <v/>
      </c>
      <c r="O610" s="276" t="inlineStr">
        <is>
          <t>履約</t>
        </is>
      </c>
      <c r="P610" s="249" t="inlineStr">
        <is>
          <t>元大期貨</t>
        </is>
      </c>
    </row>
    <row r="611" hidden="1" outlineLevel="1">
      <c r="A611" s="696" t="n">
        <v>45873</v>
      </c>
      <c r="B611" s="234" t="inlineStr">
        <is>
          <t>TXO</t>
        </is>
      </c>
      <c r="C611" s="229" t="inlineStr">
        <is>
          <t>週W1 C 08 23550 C</t>
        </is>
      </c>
      <c r="D611" s="229" t="inlineStr">
        <is>
          <t>新倉</t>
        </is>
      </c>
      <c r="E611" s="257" t="inlineStr">
        <is>
          <t>買</t>
        </is>
      </c>
      <c r="F611" s="229" t="inlineStr">
        <is>
          <t>-</t>
        </is>
      </c>
      <c r="G611" s="697" t="n">
        <v>3</v>
      </c>
      <c r="H611" s="698" t="n">
        <v>46.5</v>
      </c>
      <c r="I611" s="697" t="n">
        <v>-6975</v>
      </c>
      <c r="J611" s="585" t="n">
        <v>54</v>
      </c>
      <c r="K611" s="585" t="n">
        <v>6</v>
      </c>
      <c r="L611" s="585">
        <f>IF(B611="TXO",I611-SUM(J611:K611),IF(B611="FITX",IF(D611="新倉",-SUM(J611:K611),IF(E611="賣",(H611-H1311)*G611*200-SUM(J611:K611),(H1311-H611)*G611*200-SUM(J611:K611))),IF(D611="新倉",-SUM(J611:K611),IF(E611="賣",(H611-H1311)*G611*50-SUM(J611:K611),(H1311-H611)*G611*50-SUM(J611:K611)))))</f>
        <v/>
      </c>
      <c r="M611" s="699">
        <f>L611</f>
        <v/>
      </c>
      <c r="N611" s="686">
        <f>M611</f>
        <v/>
      </c>
      <c r="O611" s="249" t="inlineStr">
        <is>
          <t>新倉</t>
        </is>
      </c>
      <c r="P611" s="249" t="inlineStr">
        <is>
          <t>元大期貨</t>
        </is>
      </c>
    </row>
    <row r="612" hidden="1" outlineLevel="1">
      <c r="A612" s="696" t="n">
        <v>45873</v>
      </c>
      <c r="B612" s="234" t="inlineStr">
        <is>
          <t>TXO</t>
        </is>
      </c>
      <c r="C612" s="229" t="inlineStr">
        <is>
          <t>週W1 C 08 23550 C</t>
        </is>
      </c>
      <c r="D612" s="229" t="inlineStr">
        <is>
          <t>平倉</t>
        </is>
      </c>
      <c r="E612" s="257" t="inlineStr">
        <is>
          <t>賣</t>
        </is>
      </c>
      <c r="F612" s="229" t="inlineStr">
        <is>
          <t>-</t>
        </is>
      </c>
      <c r="G612" s="697" t="n">
        <v>3</v>
      </c>
      <c r="H612" s="698" t="n">
        <v>41.5</v>
      </c>
      <c r="I612" s="697" t="n">
        <v>6225</v>
      </c>
      <c r="J612" s="585" t="n">
        <v>54</v>
      </c>
      <c r="K612" s="585" t="n">
        <v>6</v>
      </c>
      <c r="L612" s="585">
        <f>IF(B612="TXO",I612-SUM(J612:K612),IF(B612="FITX",IF(D612="新倉",-SUM(J612:K612),IF(E612="賣",(H612-H1312)*G612*200-SUM(J612:K612),(H1312-H612)*G612*200-SUM(J612:K612))),IF(D612="新倉",-SUM(J612:K612),IF(E612="賣",(H612-H1312)*G612*50-SUM(J612:K612),(H1312-H612)*G612*50-SUM(J612:K612)))))</f>
        <v/>
      </c>
      <c r="M612" s="699">
        <f>L612</f>
        <v/>
      </c>
      <c r="N612" s="686">
        <f>M612</f>
        <v/>
      </c>
      <c r="O612" s="249" t="inlineStr">
        <is>
          <t>平倉</t>
        </is>
      </c>
      <c r="P612" s="249" t="inlineStr">
        <is>
          <t>元大期貨</t>
        </is>
      </c>
    </row>
    <row r="613" hidden="1" outlineLevel="1">
      <c r="A613" s="696" t="n">
        <v>45873</v>
      </c>
      <c r="B613" s="234" t="inlineStr">
        <is>
          <t>TXO</t>
        </is>
      </c>
      <c r="C613" s="229" t="inlineStr">
        <is>
          <t>週W1 P 08 23250 P</t>
        </is>
      </c>
      <c r="D613" s="229" t="inlineStr">
        <is>
          <t>新倉</t>
        </is>
      </c>
      <c r="E613" s="257" t="inlineStr">
        <is>
          <t>買</t>
        </is>
      </c>
      <c r="F613" s="229" t="inlineStr">
        <is>
          <t>-</t>
        </is>
      </c>
      <c r="G613" s="697" t="n">
        <v>1</v>
      </c>
      <c r="H613" s="698" t="n">
        <v>331</v>
      </c>
      <c r="I613" s="697" t="n">
        <v>-16550</v>
      </c>
      <c r="J613" s="585" t="n">
        <v>18</v>
      </c>
      <c r="K613" s="585" t="n">
        <v>17</v>
      </c>
      <c r="L613" s="585">
        <f>IF(B613="TXO",I613-SUM(J613:K613),IF(B613="FITX",IF(D613="新倉",-SUM(J613:K613),IF(E613="賣",(H613-H1313)*G613*200-SUM(J613:K613),(H1313-H613)*G613*200-SUM(J613:K613))),IF(D613="新倉",-SUM(J613:K613),IF(E613="賣",(H613-H1313)*G613*50-SUM(J613:K613),(H1313-H613)*G613*50-SUM(J613:K613)))))</f>
        <v/>
      </c>
      <c r="M613" s="699">
        <f>L613</f>
        <v/>
      </c>
      <c r="N613" s="686">
        <f>M613</f>
        <v/>
      </c>
      <c r="O613" s="249" t="inlineStr">
        <is>
          <t>新倉</t>
        </is>
      </c>
      <c r="P613" s="249" t="inlineStr">
        <is>
          <t>元大期貨</t>
        </is>
      </c>
    </row>
    <row r="614" hidden="1" outlineLevel="1">
      <c r="A614" s="696" t="n">
        <v>45873</v>
      </c>
      <c r="B614" s="234" t="inlineStr">
        <is>
          <t>TXO</t>
        </is>
      </c>
      <c r="C614" s="229" t="inlineStr">
        <is>
          <t>週W1 P 08 23250 P</t>
        </is>
      </c>
      <c r="D614" s="229" t="inlineStr">
        <is>
          <t>平倉</t>
        </is>
      </c>
      <c r="E614" s="257" t="inlineStr">
        <is>
          <t>賣</t>
        </is>
      </c>
      <c r="F614" s="229" t="inlineStr">
        <is>
          <t>-</t>
        </is>
      </c>
      <c r="G614" s="697" t="n">
        <v>1</v>
      </c>
      <c r="H614" s="698" t="n">
        <v>309</v>
      </c>
      <c r="I614" s="697" t="n">
        <v>15450</v>
      </c>
      <c r="J614" s="585" t="n">
        <v>18</v>
      </c>
      <c r="K614" s="585" t="n">
        <v>15</v>
      </c>
      <c r="L614" s="585">
        <f>IF(B614="TXO",I614-SUM(J614:K614),IF(B614="FITX",IF(D614="新倉",-SUM(J614:K614),IF(E614="賣",(H614-H1314)*G614*200-SUM(J614:K614),(H1314-H614)*G614*200-SUM(J614:K614))),IF(D614="新倉",-SUM(J614:K614),IF(E614="賣",(H614-H1314)*G614*50-SUM(J614:K614),(H1314-H614)*G614*50-SUM(J614:K614)))))</f>
        <v/>
      </c>
      <c r="M614" s="699">
        <f>L614</f>
        <v/>
      </c>
      <c r="N614" s="686">
        <f>M614</f>
        <v/>
      </c>
      <c r="O614" s="249" t="inlineStr">
        <is>
          <t>平倉</t>
        </is>
      </c>
      <c r="P614" s="249" t="inlineStr">
        <is>
          <t>元大期貨</t>
        </is>
      </c>
    </row>
    <row r="615" hidden="1" outlineLevel="1">
      <c r="A615" s="696" t="n">
        <v>45873</v>
      </c>
      <c r="B615" s="234" t="inlineStr">
        <is>
          <t>TXO</t>
        </is>
      </c>
      <c r="C615" s="229" t="inlineStr">
        <is>
          <t>週W1 P 08 23250 P</t>
        </is>
      </c>
      <c r="D615" s="229" t="inlineStr">
        <is>
          <t>新倉</t>
        </is>
      </c>
      <c r="E615" s="257" t="inlineStr">
        <is>
          <t>買</t>
        </is>
      </c>
      <c r="F615" s="229" t="inlineStr">
        <is>
          <t>-</t>
        </is>
      </c>
      <c r="G615" s="697" t="n">
        <v>1</v>
      </c>
      <c r="H615" s="698" t="n">
        <v>289</v>
      </c>
      <c r="I615" s="697" t="n">
        <v>-14450</v>
      </c>
      <c r="J615" s="585" t="n">
        <v>18</v>
      </c>
      <c r="K615" s="585" t="n">
        <v>14</v>
      </c>
      <c r="L615" s="585">
        <f>IF(B615="TXO",I615-SUM(J615:K615),IF(B615="FITX",IF(D615="新倉",-SUM(J615:K615),IF(E615="賣",(H615-H1315)*G615*200-SUM(J615:K615),(H1315-H615)*G615*200-SUM(J615:K615))),IF(D615="新倉",-SUM(J615:K615),IF(E615="賣",(H615-H1315)*G615*50-SUM(J615:K615),(H1315-H615)*G615*50-SUM(J615:K615)))))</f>
        <v/>
      </c>
      <c r="M615" s="699">
        <f>L615</f>
        <v/>
      </c>
      <c r="N615" s="686">
        <f>M615</f>
        <v/>
      </c>
      <c r="O615" s="249" t="inlineStr">
        <is>
          <t>新倉</t>
        </is>
      </c>
      <c r="P615" s="249" t="inlineStr">
        <is>
          <t>元大期貨</t>
        </is>
      </c>
    </row>
    <row r="616" hidden="1" outlineLevel="1">
      <c r="A616" s="696" t="n">
        <v>45873</v>
      </c>
      <c r="B616" s="234" t="inlineStr">
        <is>
          <t>TXO</t>
        </is>
      </c>
      <c r="C616" s="229" t="inlineStr">
        <is>
          <t>週W1 P 08 23250 P</t>
        </is>
      </c>
      <c r="D616" s="229" t="inlineStr">
        <is>
          <t>平倉</t>
        </is>
      </c>
      <c r="E616" s="257" t="inlineStr">
        <is>
          <t>賣</t>
        </is>
      </c>
      <c r="F616" s="229" t="inlineStr">
        <is>
          <t>-</t>
        </is>
      </c>
      <c r="G616" s="697" t="n">
        <v>1</v>
      </c>
      <c r="H616" s="698" t="n">
        <v>300</v>
      </c>
      <c r="I616" s="697" t="n">
        <v>15000</v>
      </c>
      <c r="J616" s="585" t="n">
        <v>18</v>
      </c>
      <c r="K616" s="585" t="n">
        <v>15</v>
      </c>
      <c r="L616" s="585">
        <f>IF(B616="TXO",I616-SUM(J616:K616),IF(B616="FITX",IF(D616="新倉",-SUM(J616:K616),IF(E616="賣",(H616-H1316)*G616*200-SUM(J616:K616),(H1316-H616)*G616*200-SUM(J616:K616))),IF(D616="新倉",-SUM(J616:K616),IF(E616="賣",(H616-H1316)*G616*50-SUM(J616:K616),(H1316-H616)*G616*50-SUM(J616:K616)))))</f>
        <v/>
      </c>
      <c r="M616" s="699">
        <f>L616</f>
        <v/>
      </c>
      <c r="N616" s="686">
        <f>M616</f>
        <v/>
      </c>
      <c r="O616" s="249" t="inlineStr">
        <is>
          <t>平倉</t>
        </is>
      </c>
      <c r="P616" s="249" t="inlineStr">
        <is>
          <t>元大期貨</t>
        </is>
      </c>
    </row>
    <row r="617" hidden="1" outlineLevel="1">
      <c r="A617" s="696" t="n">
        <v>45873</v>
      </c>
      <c r="B617" s="234" t="inlineStr">
        <is>
          <t>TXO</t>
        </is>
      </c>
      <c r="C617" s="229" t="inlineStr">
        <is>
          <t>週W1 P 08 23300 P</t>
        </is>
      </c>
      <c r="D617" s="229" t="inlineStr">
        <is>
          <t>新倉</t>
        </is>
      </c>
      <c r="E617" s="257" t="inlineStr">
        <is>
          <t>買</t>
        </is>
      </c>
      <c r="F617" s="229" t="inlineStr">
        <is>
          <t>-</t>
        </is>
      </c>
      <c r="G617" s="697" t="n">
        <v>1</v>
      </c>
      <c r="H617" s="698" t="n">
        <v>268</v>
      </c>
      <c r="I617" s="697" t="n">
        <v>-13400</v>
      </c>
      <c r="J617" s="585" t="n">
        <v>18</v>
      </c>
      <c r="K617" s="585" t="n">
        <v>13</v>
      </c>
      <c r="L617" s="585">
        <f>IF(B617="TXO",I617-SUM(J617:K617),IF(B617="FITX",IF(D617="新倉",-SUM(J617:K617),IF(E617="賣",(H617-H1317)*G617*200-SUM(J617:K617),(H1317-H617)*G617*200-SUM(J617:K617))),IF(D617="新倉",-SUM(J617:K617),IF(E617="賣",(H617-H1317)*G617*50-SUM(J617:K617),(H1317-H617)*G617*50-SUM(J617:K617)))))</f>
        <v/>
      </c>
      <c r="M617" s="699">
        <f>L617</f>
        <v/>
      </c>
      <c r="N617" s="686">
        <f>M617</f>
        <v/>
      </c>
      <c r="O617" s="249" t="inlineStr">
        <is>
          <t>新倉</t>
        </is>
      </c>
      <c r="P617" s="249" t="inlineStr">
        <is>
          <t>元大期貨</t>
        </is>
      </c>
    </row>
    <row r="618" hidden="1" outlineLevel="1">
      <c r="A618" s="696" t="n">
        <v>45873</v>
      </c>
      <c r="B618" s="234" t="inlineStr">
        <is>
          <t>TXO</t>
        </is>
      </c>
      <c r="C618" s="229" t="inlineStr">
        <is>
          <t>週W1 P 08 23300 P</t>
        </is>
      </c>
      <c r="D618" s="229" t="inlineStr">
        <is>
          <t>平倉</t>
        </is>
      </c>
      <c r="E618" s="257" t="inlineStr">
        <is>
          <t>賣</t>
        </is>
      </c>
      <c r="F618" s="229" t="inlineStr">
        <is>
          <t>-</t>
        </is>
      </c>
      <c r="G618" s="697" t="n">
        <v>1</v>
      </c>
      <c r="H618" s="698" t="n">
        <v>304</v>
      </c>
      <c r="I618" s="697" t="n">
        <v>15200</v>
      </c>
      <c r="J618" s="585" t="n">
        <v>18</v>
      </c>
      <c r="K618" s="585" t="n">
        <v>15</v>
      </c>
      <c r="L618" s="585">
        <f>IF(B618="TXO",I618-SUM(J618:K618),IF(B618="FITX",IF(D618="新倉",-SUM(J618:K618),IF(E618="賣",(H618-H1318)*G618*200-SUM(J618:K618),(H1318-H618)*G618*200-SUM(J618:K618))),IF(D618="新倉",-SUM(J618:K618),IF(E618="賣",(H618-H1318)*G618*50-SUM(J618:K618),(H1318-H618)*G618*50-SUM(J618:K618)))))</f>
        <v/>
      </c>
      <c r="M618" s="699">
        <f>L618</f>
        <v/>
      </c>
      <c r="N618" s="686">
        <f>M618</f>
        <v/>
      </c>
      <c r="O618" s="249" t="inlineStr">
        <is>
          <t>平倉</t>
        </is>
      </c>
      <c r="P618" s="249" t="inlineStr">
        <is>
          <t>元大期貨</t>
        </is>
      </c>
    </row>
    <row r="619" hidden="1" outlineLevel="1">
      <c r="A619" s="696" t="n">
        <v>45873</v>
      </c>
      <c r="B619" s="234" t="inlineStr">
        <is>
          <t>TXO</t>
        </is>
      </c>
      <c r="C619" s="229" t="inlineStr">
        <is>
          <t>週W1 P 08 22900 P</t>
        </is>
      </c>
      <c r="D619" s="229" t="inlineStr">
        <is>
          <t>新倉</t>
        </is>
      </c>
      <c r="E619" s="257" t="inlineStr">
        <is>
          <t>買</t>
        </is>
      </c>
      <c r="F619" s="229" t="inlineStr">
        <is>
          <t>-</t>
        </is>
      </c>
      <c r="G619" s="697" t="n">
        <v>2</v>
      </c>
      <c r="H619" s="698" t="n">
        <v>75</v>
      </c>
      <c r="I619" s="697" t="n">
        <v>-7500</v>
      </c>
      <c r="J619" s="585" t="n">
        <v>36</v>
      </c>
      <c r="K619" s="585" t="n">
        <v>8</v>
      </c>
      <c r="L619" s="585">
        <f>IF(B619="TXO",I619-SUM(J619:K619),IF(B619="FITX",IF(D619="新倉",-SUM(J619:K619),IF(E619="賣",(H619-H1319)*G619*200-SUM(J619:K619),(H1319-H619)*G619*200-SUM(J619:K619))),IF(D619="新倉",-SUM(J619:K619),IF(E619="賣",(H619-H1319)*G619*50-SUM(J619:K619),(H1319-H619)*G619*50-SUM(J619:K619)))))</f>
        <v/>
      </c>
      <c r="M619" s="699">
        <f>L619</f>
        <v/>
      </c>
      <c r="N619" s="686">
        <f>M619</f>
        <v/>
      </c>
      <c r="O619" s="261" t="inlineStr">
        <is>
          <t>放棄</t>
        </is>
      </c>
      <c r="P619" s="249" t="inlineStr">
        <is>
          <t>元大期貨</t>
        </is>
      </c>
    </row>
    <row r="620" hidden="1" outlineLevel="1">
      <c r="A620" s="696" t="n">
        <v>45874</v>
      </c>
      <c r="B620" s="234" t="inlineStr">
        <is>
          <t>TXO</t>
        </is>
      </c>
      <c r="C620" s="229" t="inlineStr">
        <is>
          <t>週W1 P 08 23250 P</t>
        </is>
      </c>
      <c r="D620" s="229" t="inlineStr">
        <is>
          <t>新倉</t>
        </is>
      </c>
      <c r="E620" s="257" t="inlineStr">
        <is>
          <t>買</t>
        </is>
      </c>
      <c r="F620" s="229" t="inlineStr">
        <is>
          <t>-</t>
        </is>
      </c>
      <c r="G620" s="697" t="n">
        <v>2</v>
      </c>
      <c r="H620" s="698" t="n">
        <v>61</v>
      </c>
      <c r="I620" s="697" t="n">
        <v>-6100</v>
      </c>
      <c r="J620" s="585" t="n">
        <v>36</v>
      </c>
      <c r="K620" s="585" t="n">
        <v>6</v>
      </c>
      <c r="L620" s="585">
        <f>IF(B620="TXO",I620-SUM(J620:K620),IF(B620="FITX",IF(D620="新倉",-SUM(J620:K620),IF(E620="賣",(H620-H1320)*G620*200-SUM(J620:K620),(H1320-H620)*G620*200-SUM(J620:K620))),IF(D620="新倉",-SUM(J620:K620),IF(E620="賣",(H620-H1320)*G620*50-SUM(J620:K620),(H1320-H620)*G620*50-SUM(J620:K620)))))</f>
        <v/>
      </c>
      <c r="M620" s="699">
        <f>L620</f>
        <v/>
      </c>
      <c r="N620" s="686">
        <f>M620</f>
        <v/>
      </c>
      <c r="O620" s="249" t="inlineStr">
        <is>
          <t>新倉</t>
        </is>
      </c>
      <c r="P620" s="249" t="inlineStr">
        <is>
          <t>元大期貨</t>
        </is>
      </c>
    </row>
    <row r="621" hidden="1" outlineLevel="1">
      <c r="A621" s="696" t="n">
        <v>45874</v>
      </c>
      <c r="B621" s="234" t="inlineStr">
        <is>
          <t>TXO</t>
        </is>
      </c>
      <c r="C621" s="229" t="inlineStr">
        <is>
          <t>週W1 P 08 23250 P</t>
        </is>
      </c>
      <c r="D621" s="229" t="inlineStr">
        <is>
          <t>平倉</t>
        </is>
      </c>
      <c r="E621" s="257" t="inlineStr">
        <is>
          <t>賣</t>
        </is>
      </c>
      <c r="F621" s="229" t="inlineStr">
        <is>
          <t>-</t>
        </is>
      </c>
      <c r="G621" s="697" t="n">
        <v>2</v>
      </c>
      <c r="H621" s="698" t="n">
        <v>56</v>
      </c>
      <c r="I621" s="697" t="n">
        <v>5600</v>
      </c>
      <c r="J621" s="585" t="n">
        <v>36</v>
      </c>
      <c r="K621" s="585" t="n">
        <v>6</v>
      </c>
      <c r="L621" s="585">
        <f>IF(B621="TXO",I621-SUM(J621:K621),IF(B621="FITX",IF(D621="新倉",-SUM(J621:K621),IF(E621="賣",(H621-H1321)*G621*200-SUM(J621:K621),(H1321-H621)*G621*200-SUM(J621:K621))),IF(D621="新倉",-SUM(J621:K621),IF(E621="賣",(H621-H1321)*G621*50-SUM(J621:K621),(H1321-H621)*G621*50-SUM(J621:K621)))))</f>
        <v/>
      </c>
      <c r="M621" s="699">
        <f>L621</f>
        <v/>
      </c>
      <c r="N621" s="686">
        <f>M621</f>
        <v/>
      </c>
      <c r="O621" s="249" t="inlineStr">
        <is>
          <t>平倉</t>
        </is>
      </c>
      <c r="P621" s="249" t="inlineStr">
        <is>
          <t>元大期貨</t>
        </is>
      </c>
    </row>
    <row r="622" hidden="1" outlineLevel="1">
      <c r="A622" s="696" t="n">
        <v>45875</v>
      </c>
      <c r="B622" s="234" t="inlineStr">
        <is>
          <t>TXO</t>
        </is>
      </c>
      <c r="C622" s="229" t="inlineStr">
        <is>
          <t>週W1 C 08 23450 C</t>
        </is>
      </c>
      <c r="D622" s="229" t="inlineStr">
        <is>
          <t>新倉</t>
        </is>
      </c>
      <c r="E622" s="257" t="inlineStr">
        <is>
          <t>買</t>
        </is>
      </c>
      <c r="F622" s="229" t="inlineStr">
        <is>
          <t>-</t>
        </is>
      </c>
      <c r="G622" s="697" t="n">
        <v>2</v>
      </c>
      <c r="H622" s="698" t="n">
        <v>98</v>
      </c>
      <c r="I622" s="697" t="n">
        <v>-9800</v>
      </c>
      <c r="J622" s="585" t="n">
        <v>36</v>
      </c>
      <c r="K622" s="585" t="n">
        <v>10</v>
      </c>
      <c r="L622" s="585">
        <f>IF(B622="TXO",I622-SUM(J622:K622),IF(B622="FITX",IF(D622="新倉",-SUM(J622:K622),IF(E622="賣",(H622-H1322)*G622*200-SUM(J622:K622),(H1322-H622)*G622*200-SUM(J622:K622))),IF(D622="新倉",-SUM(J622:K622),IF(E622="賣",(H622-H1322)*G622*50-SUM(J622:K622),(H1322-H622)*G622*50-SUM(J622:K622)))))</f>
        <v/>
      </c>
      <c r="M622" s="699">
        <f>L622</f>
        <v/>
      </c>
      <c r="N622" s="686">
        <f>M622</f>
        <v/>
      </c>
      <c r="O622" s="249" t="inlineStr">
        <is>
          <t>新倉</t>
        </is>
      </c>
      <c r="P622" s="249" t="inlineStr">
        <is>
          <t>元大期貨</t>
        </is>
      </c>
    </row>
    <row r="623" hidden="1" outlineLevel="1">
      <c r="A623" s="696" t="n">
        <v>45875</v>
      </c>
      <c r="B623" s="234" t="inlineStr">
        <is>
          <t>TXO</t>
        </is>
      </c>
      <c r="C623" s="229" t="inlineStr">
        <is>
          <t>週W1 C 08 23450 C</t>
        </is>
      </c>
      <c r="D623" s="229" t="inlineStr">
        <is>
          <t>平倉</t>
        </is>
      </c>
      <c r="E623" s="257" t="inlineStr">
        <is>
          <t>賣</t>
        </is>
      </c>
      <c r="F623" s="229" t="inlineStr">
        <is>
          <t>-</t>
        </is>
      </c>
      <c r="G623" s="697" t="n">
        <v>2</v>
      </c>
      <c r="H623" s="698" t="n">
        <v>101</v>
      </c>
      <c r="I623" s="697" t="n">
        <v>10100</v>
      </c>
      <c r="J623" s="585" t="n">
        <v>36</v>
      </c>
      <c r="K623" s="585" t="n">
        <v>10</v>
      </c>
      <c r="L623" s="585">
        <f>IF(B623="TXO",I623-SUM(J623:K623),IF(B623="FITX",IF(D623="新倉",-SUM(J623:K623),IF(E623="賣",(H623-H1323)*G623*200-SUM(J623:K623),(H1323-H623)*G623*200-SUM(J623:K623))),IF(D623="新倉",-SUM(J623:K623),IF(E623="賣",(H623-H1323)*G623*50-SUM(J623:K623),(H1323-H623)*G623*50-SUM(J623:K623)))))</f>
        <v/>
      </c>
      <c r="M623" s="699">
        <f>L623</f>
        <v/>
      </c>
      <c r="N623" s="686">
        <f>M623</f>
        <v/>
      </c>
      <c r="O623" s="249" t="inlineStr">
        <is>
          <t>平倉</t>
        </is>
      </c>
      <c r="P623" s="249" t="inlineStr">
        <is>
          <t>元大期貨</t>
        </is>
      </c>
    </row>
    <row r="624" hidden="1" outlineLevel="1">
      <c r="A624" s="696" t="n">
        <v>45875</v>
      </c>
      <c r="B624" s="234" t="inlineStr">
        <is>
          <t>TXO</t>
        </is>
      </c>
      <c r="C624" s="229" t="inlineStr">
        <is>
          <t>週W1 P 08 23600 P</t>
        </is>
      </c>
      <c r="D624" s="229" t="inlineStr">
        <is>
          <t>新倉</t>
        </is>
      </c>
      <c r="E624" s="257" t="inlineStr">
        <is>
          <t>買</t>
        </is>
      </c>
      <c r="F624" s="229" t="inlineStr">
        <is>
          <t>-</t>
        </is>
      </c>
      <c r="G624" s="697" t="n">
        <v>2</v>
      </c>
      <c r="H624" s="698" t="n">
        <v>144</v>
      </c>
      <c r="I624" s="697" t="n">
        <v>-14400</v>
      </c>
      <c r="J624" s="585" t="n">
        <v>36</v>
      </c>
      <c r="K624" s="585" t="n">
        <v>14</v>
      </c>
      <c r="L624" s="585">
        <f>IF(B624="TXO",I624-SUM(J624:K624),IF(B624="FITX",IF(D624="新倉",-SUM(J624:K624),IF(E624="賣",(H624-H1324)*G624*200-SUM(J624:K624),(H1324-H624)*G624*200-SUM(J624:K624))),IF(D624="新倉",-SUM(J624:K624),IF(E624="賣",(H624-H1324)*G624*50-SUM(J624:K624),(H1324-H624)*G624*50-SUM(J624:K624)))))</f>
        <v/>
      </c>
      <c r="M624" s="699">
        <f>L624</f>
        <v/>
      </c>
      <c r="N624" s="686">
        <f>M624</f>
        <v/>
      </c>
      <c r="O624" s="261" t="inlineStr">
        <is>
          <t>放棄</t>
        </is>
      </c>
      <c r="P624" s="249" t="inlineStr">
        <is>
          <t>元大期貨</t>
        </is>
      </c>
    </row>
    <row r="625" hidden="1" outlineLevel="1">
      <c r="A625" s="696" t="n">
        <v>45875</v>
      </c>
      <c r="B625" s="234" t="inlineStr">
        <is>
          <t>TXO</t>
        </is>
      </c>
      <c r="C625" s="229" t="inlineStr">
        <is>
          <t>週W1 P 08 23600 P</t>
        </is>
      </c>
      <c r="D625" s="229" t="inlineStr">
        <is>
          <t>新倉</t>
        </is>
      </c>
      <c r="E625" s="257" t="inlineStr">
        <is>
          <t>買</t>
        </is>
      </c>
      <c r="F625" s="229" t="inlineStr">
        <is>
          <t>-</t>
        </is>
      </c>
      <c r="G625" s="697" t="n">
        <v>1</v>
      </c>
      <c r="H625" s="698" t="n">
        <v>130</v>
      </c>
      <c r="I625" s="697" t="n">
        <v>-6500</v>
      </c>
      <c r="J625" s="585" t="n">
        <v>18</v>
      </c>
      <c r="K625" s="585" t="n">
        <v>7</v>
      </c>
      <c r="L625" s="585">
        <f>IF(B625="TXO",I625-SUM(J625:K625),IF(B625="FITX",IF(D625="新倉",-SUM(J625:K625),IF(E625="賣",(H625-H1325)*G625*200-SUM(J625:K625),(H1325-H625)*G625*200-SUM(J625:K625))),IF(D625="新倉",-SUM(J625:K625),IF(E625="賣",(H625-H1325)*G625*50-SUM(J625:K625),(H1325-H625)*G625*50-SUM(J625:K625)))))</f>
        <v/>
      </c>
      <c r="M625" s="699">
        <f>L625</f>
        <v/>
      </c>
      <c r="N625" s="686">
        <f>M625</f>
        <v/>
      </c>
      <c r="O625" s="261" t="inlineStr">
        <is>
          <t>放棄</t>
        </is>
      </c>
      <c r="P625" s="249" t="inlineStr">
        <is>
          <t>元大期貨</t>
        </is>
      </c>
    </row>
    <row r="626" hidden="1" outlineLevel="1">
      <c r="A626" s="696" t="n">
        <v>45875</v>
      </c>
      <c r="B626" s="234" t="inlineStr">
        <is>
          <t>TXO</t>
        </is>
      </c>
      <c r="C626" s="229" t="inlineStr">
        <is>
          <t>週W1 P 08 23600 P</t>
        </is>
      </c>
      <c r="D626" s="229" t="inlineStr">
        <is>
          <t>新倉</t>
        </is>
      </c>
      <c r="E626" s="257" t="inlineStr">
        <is>
          <t>買</t>
        </is>
      </c>
      <c r="F626" s="229" t="inlineStr">
        <is>
          <t>-</t>
        </is>
      </c>
      <c r="G626" s="697" t="n">
        <v>1</v>
      </c>
      <c r="H626" s="698" t="n">
        <v>135</v>
      </c>
      <c r="I626" s="697" t="n">
        <v>-6750</v>
      </c>
      <c r="J626" s="585" t="n">
        <v>18</v>
      </c>
      <c r="K626" s="585" t="n">
        <v>7</v>
      </c>
      <c r="L626" s="585">
        <f>IF(B626="TXO",I626-SUM(J626:K626),IF(B626="FITX",IF(D626="新倉",-SUM(J626:K626),IF(E626="賣",(H626-H1326)*G626*200-SUM(J626:K626),(H1326-H626)*G626*200-SUM(J626:K626))),IF(D626="新倉",-SUM(J626:K626),IF(E626="賣",(H626-H1326)*G626*50-SUM(J626:K626),(H1326-H626)*G626*50-SUM(J626:K626)))))</f>
        <v/>
      </c>
      <c r="M626" s="699">
        <f>L626</f>
        <v/>
      </c>
      <c r="N626" s="686">
        <f>M626</f>
        <v/>
      </c>
      <c r="O626" s="261" t="inlineStr">
        <is>
          <t>放棄</t>
        </is>
      </c>
      <c r="P626" s="249" t="inlineStr">
        <is>
          <t>元大期貨</t>
        </is>
      </c>
    </row>
    <row r="627" hidden="1" outlineLevel="1">
      <c r="A627" s="696" t="n">
        <v>45875</v>
      </c>
      <c r="B627" s="234" t="inlineStr">
        <is>
          <t>TXO</t>
        </is>
      </c>
      <c r="C627" s="229" t="inlineStr">
        <is>
          <t>週W1 P 08 23600 P</t>
        </is>
      </c>
      <c r="D627" s="229" t="inlineStr">
        <is>
          <t>新倉</t>
        </is>
      </c>
      <c r="E627" s="257" t="inlineStr">
        <is>
          <t>買</t>
        </is>
      </c>
      <c r="F627" s="229" t="inlineStr">
        <is>
          <t>-</t>
        </is>
      </c>
      <c r="G627" s="697" t="n">
        <v>1</v>
      </c>
      <c r="H627" s="698" t="n">
        <v>147</v>
      </c>
      <c r="I627" s="697" t="n">
        <v>-7350</v>
      </c>
      <c r="J627" s="585" t="n">
        <v>18</v>
      </c>
      <c r="K627" s="585" t="n">
        <v>7</v>
      </c>
      <c r="L627" s="585">
        <f>IF(B627="TXO",I627-SUM(J627:K627),IF(B627="FITX",IF(D627="新倉",-SUM(J627:K627),IF(E627="賣",(H627-H1327)*G627*200-SUM(J627:K627),(H1327-H627)*G627*200-SUM(J627:K627))),IF(D627="新倉",-SUM(J627:K627),IF(E627="賣",(H627-H1327)*G627*50-SUM(J627:K627),(H1327-H627)*G627*50-SUM(J627:K627)))))</f>
        <v/>
      </c>
      <c r="M627" s="699">
        <f>L627</f>
        <v/>
      </c>
      <c r="N627" s="686">
        <f>M627</f>
        <v/>
      </c>
      <c r="O627" s="249" t="inlineStr">
        <is>
          <t>新倉</t>
        </is>
      </c>
      <c r="P627" s="249" t="inlineStr">
        <is>
          <t>元大期貨</t>
        </is>
      </c>
    </row>
    <row r="628" hidden="1" outlineLevel="1">
      <c r="A628" s="696" t="n">
        <v>45875</v>
      </c>
      <c r="B628" s="234" t="inlineStr">
        <is>
          <t>TXO</t>
        </is>
      </c>
      <c r="C628" s="229" t="inlineStr">
        <is>
          <t>週W1 P 08 23600 P</t>
        </is>
      </c>
      <c r="D628" s="229" t="inlineStr">
        <is>
          <t>平倉</t>
        </is>
      </c>
      <c r="E628" s="257" t="inlineStr">
        <is>
          <t>賣</t>
        </is>
      </c>
      <c r="F628" s="229" t="inlineStr">
        <is>
          <t>-</t>
        </is>
      </c>
      <c r="G628" s="697" t="n">
        <v>3</v>
      </c>
      <c r="H628" s="698" t="n">
        <v>144</v>
      </c>
      <c r="I628" s="697" t="n">
        <v>21600</v>
      </c>
      <c r="J628" s="585" t="n">
        <v>54</v>
      </c>
      <c r="K628" s="585" t="n">
        <v>21</v>
      </c>
      <c r="L628" s="585">
        <f>IF(B628="TXO",I628-SUM(J628:K628),IF(B628="FITX",IF(D628="新倉",-SUM(J628:K628),IF(E628="賣",(H628-H1328)*G628*200-SUM(J628:K628),(H1328-H628)*G628*200-SUM(J628:K628))),IF(D628="新倉",-SUM(J628:K628),IF(E628="賣",(H628-H1328)*G628*50-SUM(J628:K628),(H1328-H628)*G628*50-SUM(J628:K628)))))</f>
        <v/>
      </c>
      <c r="M628" s="699">
        <f>L628</f>
        <v/>
      </c>
      <c r="N628" s="686">
        <f>M628</f>
        <v/>
      </c>
      <c r="O628" s="249" t="inlineStr">
        <is>
          <t>平倉</t>
        </is>
      </c>
      <c r="P628" s="249" t="inlineStr">
        <is>
          <t>元大期貨</t>
        </is>
      </c>
    </row>
    <row r="629" hidden="1" outlineLevel="1">
      <c r="A629" s="696" t="n">
        <v>45875</v>
      </c>
      <c r="B629" s="234" t="inlineStr">
        <is>
          <t>TXO</t>
        </is>
      </c>
      <c r="C629" s="229" t="inlineStr">
        <is>
          <t>週W1 P 08 23600 P</t>
        </is>
      </c>
      <c r="D629" s="229" t="inlineStr">
        <is>
          <t>平倉</t>
        </is>
      </c>
      <c r="E629" s="257" t="inlineStr">
        <is>
          <t>賣</t>
        </is>
      </c>
      <c r="F629" s="229" t="inlineStr">
        <is>
          <t>-</t>
        </is>
      </c>
      <c r="G629" s="697" t="n">
        <v>1</v>
      </c>
      <c r="H629" s="698" t="n">
        <v>157</v>
      </c>
      <c r="I629" s="697" t="n">
        <v>7850</v>
      </c>
      <c r="J629" s="585" t="n">
        <v>18</v>
      </c>
      <c r="K629" s="585" t="n">
        <v>8</v>
      </c>
      <c r="L629" s="585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/>
      </c>
      <c r="M629" s="699">
        <f>L629</f>
        <v/>
      </c>
      <c r="N629" s="686">
        <f>M629</f>
        <v/>
      </c>
      <c r="O629" s="249" t="inlineStr">
        <is>
          <t>平倉</t>
        </is>
      </c>
      <c r="P629" s="249" t="inlineStr">
        <is>
          <t>元大期貨</t>
        </is>
      </c>
    </row>
    <row r="630" hidden="1" outlineLevel="1">
      <c r="A630" s="696" t="n">
        <v>45875</v>
      </c>
      <c r="B630" s="234" t="inlineStr">
        <is>
          <t>TXO</t>
        </is>
      </c>
      <c r="C630" s="229" t="inlineStr">
        <is>
          <t>週W1 P 08 23600 P</t>
        </is>
      </c>
      <c r="D630" s="229" t="inlineStr">
        <is>
          <t>新倉</t>
        </is>
      </c>
      <c r="E630" s="257" t="inlineStr">
        <is>
          <t>買</t>
        </is>
      </c>
      <c r="F630" s="229" t="inlineStr">
        <is>
          <t>-</t>
        </is>
      </c>
      <c r="G630" s="697" t="n">
        <v>1</v>
      </c>
      <c r="H630" s="698" t="n">
        <v>145</v>
      </c>
      <c r="I630" s="697" t="n">
        <v>-7250</v>
      </c>
      <c r="J630" s="585" t="n">
        <v>18</v>
      </c>
      <c r="K630" s="585" t="n">
        <v>7</v>
      </c>
      <c r="L630" s="585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/>
      </c>
      <c r="M630" s="699">
        <f>L630</f>
        <v/>
      </c>
      <c r="N630" s="686">
        <f>M630</f>
        <v/>
      </c>
      <c r="O630" s="261" t="inlineStr">
        <is>
          <t>放棄</t>
        </is>
      </c>
      <c r="P630" s="249" t="inlineStr">
        <is>
          <t>元大期貨</t>
        </is>
      </c>
    </row>
    <row r="631" hidden="1" outlineLevel="1">
      <c r="A631" s="696" t="n">
        <v>45875</v>
      </c>
      <c r="B631" s="234" t="inlineStr">
        <is>
          <t>TXO</t>
        </is>
      </c>
      <c r="C631" s="229" t="inlineStr">
        <is>
          <t>週W1 P 08 23600 P</t>
        </is>
      </c>
      <c r="D631" s="229" t="inlineStr">
        <is>
          <t>新倉</t>
        </is>
      </c>
      <c r="E631" s="257" t="inlineStr">
        <is>
          <t>買</t>
        </is>
      </c>
      <c r="F631" s="229" t="inlineStr">
        <is>
          <t>-</t>
        </is>
      </c>
      <c r="G631" s="697" t="n">
        <v>1</v>
      </c>
      <c r="H631" s="698" t="n">
        <v>152</v>
      </c>
      <c r="I631" s="697" t="n">
        <v>-7600</v>
      </c>
      <c r="J631" s="585" t="n">
        <v>18</v>
      </c>
      <c r="K631" s="585" t="n">
        <v>8</v>
      </c>
      <c r="L631" s="585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/>
      </c>
      <c r="M631" s="699">
        <f>L631</f>
        <v/>
      </c>
      <c r="N631" s="686">
        <f>M631</f>
        <v/>
      </c>
      <c r="O631" s="249" t="inlineStr">
        <is>
          <t>新倉</t>
        </is>
      </c>
      <c r="P631" s="249" t="inlineStr">
        <is>
          <t>元大期貨</t>
        </is>
      </c>
    </row>
    <row r="632" hidden="1" outlineLevel="1">
      <c r="A632" s="696" t="n">
        <v>45875</v>
      </c>
      <c r="B632" s="234" t="inlineStr">
        <is>
          <t>TXO</t>
        </is>
      </c>
      <c r="C632" s="229" t="inlineStr">
        <is>
          <t>週W1 P 08 23600 P</t>
        </is>
      </c>
      <c r="D632" s="229" t="inlineStr">
        <is>
          <t>平倉</t>
        </is>
      </c>
      <c r="E632" s="257" t="inlineStr">
        <is>
          <t>賣</t>
        </is>
      </c>
      <c r="F632" s="229" t="inlineStr">
        <is>
          <t>-</t>
        </is>
      </c>
      <c r="G632" s="697" t="n">
        <v>3</v>
      </c>
      <c r="H632" s="698" t="n">
        <v>156</v>
      </c>
      <c r="I632" s="697" t="n">
        <v>23400</v>
      </c>
      <c r="J632" s="585" t="n">
        <v>54</v>
      </c>
      <c r="K632" s="585" t="n">
        <v>24</v>
      </c>
      <c r="L632" s="585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/>
      </c>
      <c r="M632" s="699">
        <f>L632</f>
        <v/>
      </c>
      <c r="N632" s="686">
        <f>M632</f>
        <v/>
      </c>
      <c r="O632" s="249" t="inlineStr">
        <is>
          <t>平倉</t>
        </is>
      </c>
      <c r="P632" s="249" t="inlineStr">
        <is>
          <t>元大期貨</t>
        </is>
      </c>
    </row>
    <row r="633" hidden="1" outlineLevel="1">
      <c r="A633" s="696" t="n">
        <v>45875</v>
      </c>
      <c r="B633" s="234" t="inlineStr">
        <is>
          <t>TXO</t>
        </is>
      </c>
      <c r="C633" s="229" t="inlineStr">
        <is>
          <t>週W1 P 08 23600 P</t>
        </is>
      </c>
      <c r="D633" s="229" t="inlineStr">
        <is>
          <t>新倉</t>
        </is>
      </c>
      <c r="E633" s="257" t="inlineStr">
        <is>
          <t>買</t>
        </is>
      </c>
      <c r="F633" s="229" t="inlineStr">
        <is>
          <t>-</t>
        </is>
      </c>
      <c r="G633" s="697" t="n">
        <v>1</v>
      </c>
      <c r="H633" s="698" t="n">
        <v>150</v>
      </c>
      <c r="I633" s="697" t="n">
        <v>-7500</v>
      </c>
      <c r="J633" s="585" t="n">
        <v>18</v>
      </c>
      <c r="K633" s="585" t="n">
        <v>8</v>
      </c>
      <c r="L633" s="585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/>
      </c>
      <c r="M633" s="699">
        <f>L633</f>
        <v/>
      </c>
      <c r="N633" s="686">
        <f>M633</f>
        <v/>
      </c>
      <c r="O633" s="276" t="inlineStr">
        <is>
          <t>履約</t>
        </is>
      </c>
      <c r="P633" s="249" t="inlineStr">
        <is>
          <t>元大期貨</t>
        </is>
      </c>
    </row>
    <row r="634" hidden="1" outlineLevel="1">
      <c r="A634" s="696" t="n">
        <v>45875</v>
      </c>
      <c r="B634" s="234" t="inlineStr">
        <is>
          <t>TXO</t>
        </is>
      </c>
      <c r="C634" s="229" t="inlineStr">
        <is>
          <t>週W1 P 08 23600 P</t>
        </is>
      </c>
      <c r="D634" s="229" t="inlineStr">
        <is>
          <t>平倉</t>
        </is>
      </c>
      <c r="E634" s="257" t="inlineStr">
        <is>
          <t>賣</t>
        </is>
      </c>
      <c r="F634" s="229" t="inlineStr">
        <is>
          <t>-</t>
        </is>
      </c>
      <c r="G634" s="697" t="n">
        <v>1</v>
      </c>
      <c r="H634" s="698" t="n">
        <v>157</v>
      </c>
      <c r="I634" s="697" t="n">
        <v>6050</v>
      </c>
      <c r="J634" s="585" t="n">
        <v>18</v>
      </c>
      <c r="K634" s="585" t="n">
        <v>23</v>
      </c>
      <c r="L634" s="585">
        <f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/>
      </c>
      <c r="M634" s="699">
        <f>L634</f>
        <v/>
      </c>
      <c r="N634" s="686">
        <f>M634</f>
        <v/>
      </c>
      <c r="O634" s="276" t="inlineStr">
        <is>
          <t>履約</t>
        </is>
      </c>
      <c r="P634" s="249" t="inlineStr">
        <is>
          <t>元大期貨</t>
        </is>
      </c>
    </row>
    <row r="635" hidden="1" outlineLevel="1">
      <c r="A635" s="696" t="n">
        <v>45875</v>
      </c>
      <c r="B635" s="234" t="inlineStr">
        <is>
          <t>TXO</t>
        </is>
      </c>
      <c r="C635" s="229" t="inlineStr">
        <is>
          <t>週W1 P 08 23600 P</t>
        </is>
      </c>
      <c r="D635" s="229" t="inlineStr">
        <is>
          <t>新倉</t>
        </is>
      </c>
      <c r="E635" s="257" t="inlineStr">
        <is>
          <t>買</t>
        </is>
      </c>
      <c r="F635" s="229" t="inlineStr">
        <is>
          <t>-</t>
        </is>
      </c>
      <c r="G635" s="697" t="n">
        <v>1</v>
      </c>
      <c r="H635" s="698" t="n">
        <v>157</v>
      </c>
      <c r="I635" s="697" t="n">
        <v>-7850</v>
      </c>
      <c r="J635" s="585" t="n">
        <v>18</v>
      </c>
      <c r="K635" s="585" t="n">
        <v>8</v>
      </c>
      <c r="L635" s="585">
        <f>IF(B635="TXO",I635-SUM(J635:K635),IF(B635="FITX",IF(D635="新倉",-SUM(J635:K635),IF(E635="賣",(H635-H1333)*G635*200-SUM(J635:K635),(H1333-H635)*G635*200-SUM(J635:K635))),IF(D635="新倉",-SUM(J635:K635),IF(E635="賣",(H635-H1333)*G635*50-SUM(J635:K635),(H1333-H635)*G635*50-SUM(J635:K635)))))</f>
        <v/>
      </c>
      <c r="M635" s="699">
        <f>L635</f>
        <v/>
      </c>
      <c r="N635" s="686">
        <f>M635</f>
        <v/>
      </c>
      <c r="O635" s="276" t="inlineStr">
        <is>
          <t>履約</t>
        </is>
      </c>
      <c r="P635" s="249" t="inlineStr">
        <is>
          <t>元大期貨</t>
        </is>
      </c>
    </row>
    <row r="636" hidden="1" outlineLevel="1">
      <c r="A636" s="696" t="n">
        <v>45875</v>
      </c>
      <c r="B636" s="234" t="inlineStr">
        <is>
          <t>TXO</t>
        </is>
      </c>
      <c r="C636" s="229" t="inlineStr">
        <is>
          <t>週W1 P 08 23600 P</t>
        </is>
      </c>
      <c r="D636" s="229" t="inlineStr">
        <is>
          <t>平倉</t>
        </is>
      </c>
      <c r="E636" s="257" t="inlineStr">
        <is>
          <t>賣</t>
        </is>
      </c>
      <c r="F636" s="229" t="inlineStr">
        <is>
          <t>-</t>
        </is>
      </c>
      <c r="G636" s="697" t="n">
        <v>1</v>
      </c>
      <c r="H636" s="698" t="n">
        <v>157</v>
      </c>
      <c r="I636" s="697" t="n">
        <v>6050</v>
      </c>
      <c r="J636" s="585" t="n">
        <v>18</v>
      </c>
      <c r="K636" s="585" t="n">
        <v>23</v>
      </c>
      <c r="L636" s="585">
        <f>IF(B636="TXO",I636-SUM(J636:K636),IF(B636="FITX",IF(D636="新倉",-SUM(J636:K636),IF(E636="賣",(H636-H1334)*G636*200-SUM(J636:K636),(H1334-H636)*G636*200-SUM(J636:K636))),IF(D636="新倉",-SUM(J636:K636),IF(E636="賣",(H636-H1334)*G636*50-SUM(J636:K636),(H1334-H636)*G636*50-SUM(J636:K636)))))</f>
        <v/>
      </c>
      <c r="M636" s="699">
        <f>L636</f>
        <v/>
      </c>
      <c r="N636" s="686">
        <f>M636</f>
        <v/>
      </c>
      <c r="O636" s="276" t="inlineStr">
        <is>
          <t>履約</t>
        </is>
      </c>
      <c r="P636" s="249" t="inlineStr">
        <is>
          <t>元大期貨</t>
        </is>
      </c>
    </row>
    <row r="637" hidden="1" outlineLevel="1">
      <c r="A637" s="696" t="n">
        <v>45875</v>
      </c>
      <c r="B637" s="234" t="inlineStr">
        <is>
          <t>TXO</t>
        </is>
      </c>
      <c r="C637" s="229" t="inlineStr">
        <is>
          <t>週W1 P 08 23650 P</t>
        </is>
      </c>
      <c r="D637" s="229" t="inlineStr">
        <is>
          <t>新倉</t>
        </is>
      </c>
      <c r="E637" s="257" t="inlineStr">
        <is>
          <t>買</t>
        </is>
      </c>
      <c r="F637" s="229" t="inlineStr">
        <is>
          <t>-</t>
        </is>
      </c>
      <c r="G637" s="697" t="n">
        <v>1</v>
      </c>
      <c r="H637" s="698" t="n">
        <v>172</v>
      </c>
      <c r="I637" s="697" t="n">
        <v>-8600</v>
      </c>
      <c r="J637" s="585" t="n">
        <v>18</v>
      </c>
      <c r="K637" s="585" t="n">
        <v>9</v>
      </c>
      <c r="L637" s="585">
        <f>IF(B637="TXO",I637-SUM(J637:K637),IF(B637="FITX",IF(D637="新倉",-SUM(J637:K637),IF(E637="賣",(H637-H1335)*G637*200-SUM(J637:K637),(H1335-H637)*G637*200-SUM(J637:K637))),IF(D637="新倉",-SUM(J637:K637),IF(E637="賣",(H637-H1335)*G637*50-SUM(J637:K637),(H1335-H637)*G637*50-SUM(J637:K637)))))</f>
        <v/>
      </c>
      <c r="M637" s="699">
        <f>L637</f>
        <v/>
      </c>
      <c r="N637" s="686">
        <f>M637</f>
        <v/>
      </c>
      <c r="O637" s="249" t="inlineStr">
        <is>
          <t>新倉</t>
        </is>
      </c>
      <c r="P637" s="249" t="inlineStr">
        <is>
          <t>元大期貨</t>
        </is>
      </c>
    </row>
    <row r="638" hidden="1" outlineLevel="1">
      <c r="A638" s="696" t="n">
        <v>45875</v>
      </c>
      <c r="B638" s="234" t="inlineStr">
        <is>
          <t>TXO</t>
        </is>
      </c>
      <c r="C638" s="229" t="inlineStr">
        <is>
          <t>週W1 P 08 23650 P</t>
        </is>
      </c>
      <c r="D638" s="229" t="inlineStr">
        <is>
          <t>平倉</t>
        </is>
      </c>
      <c r="E638" s="257" t="inlineStr">
        <is>
          <t>賣</t>
        </is>
      </c>
      <c r="F638" s="229" t="inlineStr">
        <is>
          <t>-</t>
        </is>
      </c>
      <c r="G638" s="697" t="n">
        <v>1</v>
      </c>
      <c r="H638" s="698" t="n">
        <v>189</v>
      </c>
      <c r="I638" s="697" t="n">
        <v>9450</v>
      </c>
      <c r="J638" s="585" t="n">
        <v>18</v>
      </c>
      <c r="K638" s="585" t="n">
        <v>9</v>
      </c>
      <c r="L638" s="585">
        <f>IF(B638="TXO",I638-SUM(J638:K638),IF(B638="FITX",IF(D638="新倉",-SUM(J638:K638),IF(E638="賣",(H638-H1336)*G638*200-SUM(J638:K638),(H1336-H638)*G638*200-SUM(J638:K638))),IF(D638="新倉",-SUM(J638:K638),IF(E638="賣",(H638-H1336)*G638*50-SUM(J638:K638),(H1336-H638)*G638*50-SUM(J638:K638)))))</f>
        <v/>
      </c>
      <c r="M638" s="699">
        <f>L638</f>
        <v/>
      </c>
      <c r="N638" s="686">
        <f>M638</f>
        <v/>
      </c>
      <c r="O638" s="249" t="inlineStr">
        <is>
          <t>平倉</t>
        </is>
      </c>
      <c r="P638" s="249" t="inlineStr">
        <is>
          <t>元大期貨</t>
        </is>
      </c>
    </row>
    <row r="639" hidden="1" outlineLevel="1">
      <c r="A639" s="696" t="n">
        <v>45875</v>
      </c>
      <c r="B639" s="234" t="inlineStr">
        <is>
          <t>TXO</t>
        </is>
      </c>
      <c r="C639" s="229" t="inlineStr">
        <is>
          <t>週W1 P 08 23500 P</t>
        </is>
      </c>
      <c r="D639" s="229" t="inlineStr">
        <is>
          <t>新倉</t>
        </is>
      </c>
      <c r="E639" s="257" t="inlineStr">
        <is>
          <t>買</t>
        </is>
      </c>
      <c r="F639" s="229" t="inlineStr">
        <is>
          <t>-</t>
        </is>
      </c>
      <c r="G639" s="697" t="n">
        <v>1</v>
      </c>
      <c r="H639" s="698" t="n">
        <v>49</v>
      </c>
      <c r="I639" s="697" t="n">
        <v>-2450</v>
      </c>
      <c r="J639" s="585" t="n">
        <v>18</v>
      </c>
      <c r="K639" s="585" t="n">
        <v>2</v>
      </c>
      <c r="L639" s="585">
        <f>IF(B639="TXO",I639-SUM(J639:K639),IF(B639="FITX",IF(D639="新倉",-SUM(J639:K639),IF(E639="賣",(H639-H1337)*G639*200-SUM(J639:K639),(H1337-H639)*G639*200-SUM(J639:K639))),IF(D639="新倉",-SUM(J639:K639),IF(E639="賣",(H639-H1337)*G639*50-SUM(J639:K639),(H1337-H639)*G639*50-SUM(J639:K639)))))</f>
        <v/>
      </c>
      <c r="M639" s="699">
        <f>L639</f>
        <v/>
      </c>
      <c r="N639" s="686">
        <f>M639</f>
        <v/>
      </c>
      <c r="O639" s="261" t="inlineStr">
        <is>
          <t>放棄</t>
        </is>
      </c>
      <c r="P639" s="249" t="inlineStr">
        <is>
          <t>元大期貨</t>
        </is>
      </c>
    </row>
    <row r="640" hidden="1" outlineLevel="1">
      <c r="A640" s="696" t="n">
        <v>45875</v>
      </c>
      <c r="B640" s="234" t="inlineStr">
        <is>
          <t>TXO</t>
        </is>
      </c>
      <c r="C640" s="229" t="inlineStr">
        <is>
          <t>週W1 P 08 23500 P</t>
        </is>
      </c>
      <c r="D640" s="229" t="inlineStr">
        <is>
          <t>新倉</t>
        </is>
      </c>
      <c r="E640" s="257" t="inlineStr">
        <is>
          <t>買</t>
        </is>
      </c>
      <c r="F640" s="229" t="inlineStr">
        <is>
          <t>-</t>
        </is>
      </c>
      <c r="G640" s="697" t="n">
        <v>1</v>
      </c>
      <c r="H640" s="698" t="n">
        <v>54</v>
      </c>
      <c r="I640" s="697" t="n">
        <v>-2700</v>
      </c>
      <c r="J640" s="585" t="n">
        <v>18</v>
      </c>
      <c r="K640" s="585" t="n">
        <v>3</v>
      </c>
      <c r="L640" s="585">
        <f>IF(B640="TXO",I640-SUM(J640:K640),IF(B640="FITX",IF(D640="新倉",-SUM(J640:K640),IF(E640="賣",(H640-H1338)*G640*200-SUM(J640:K640),(H1338-H640)*G640*200-SUM(J640:K640))),IF(D640="新倉",-SUM(J640:K640),IF(E640="賣",(H640-H1338)*G640*50-SUM(J640:K640),(H1338-H640)*G640*50-SUM(J640:K640)))))</f>
        <v/>
      </c>
      <c r="M640" s="699">
        <f>L640</f>
        <v/>
      </c>
      <c r="N640" s="686">
        <f>M640</f>
        <v/>
      </c>
      <c r="O640" s="249" t="inlineStr">
        <is>
          <t>新倉</t>
        </is>
      </c>
      <c r="P640" s="249" t="inlineStr">
        <is>
          <t>元大期貨</t>
        </is>
      </c>
    </row>
    <row r="641" hidden="1" outlineLevel="1">
      <c r="A641" s="696" t="n">
        <v>45875</v>
      </c>
      <c r="B641" s="234" t="inlineStr">
        <is>
          <t>TXO</t>
        </is>
      </c>
      <c r="C641" s="229" t="inlineStr">
        <is>
          <t>週W1 P 08 23500 P</t>
        </is>
      </c>
      <c r="D641" s="229" t="inlineStr">
        <is>
          <t>平倉</t>
        </is>
      </c>
      <c r="E641" s="257" t="inlineStr">
        <is>
          <t>賣</t>
        </is>
      </c>
      <c r="F641" s="229" t="inlineStr">
        <is>
          <t>-</t>
        </is>
      </c>
      <c r="G641" s="697" t="n">
        <v>2</v>
      </c>
      <c r="H641" s="698" t="n">
        <v>67</v>
      </c>
      <c r="I641" s="697" t="n">
        <v>6700</v>
      </c>
      <c r="J641" s="585" t="n">
        <v>36</v>
      </c>
      <c r="K641" s="585" t="n">
        <v>6</v>
      </c>
      <c r="L641" s="585">
        <f>IF(B641="TXO",I641-SUM(J641:K641),IF(B641="FITX",IF(D641="新倉",-SUM(J641:K641),IF(E641="賣",(H641-H1339)*G641*200-SUM(J641:K641),(H1339-H641)*G641*200-SUM(J641:K641))),IF(D641="新倉",-SUM(J641:K641),IF(E641="賣",(H641-H1339)*G641*50-SUM(J641:K641),(H1339-H641)*G641*50-SUM(J641:K641)))))</f>
        <v/>
      </c>
      <c r="M641" s="699">
        <f>L641</f>
        <v/>
      </c>
      <c r="N641" s="686">
        <f>M641</f>
        <v/>
      </c>
      <c r="O641" s="249" t="inlineStr">
        <is>
          <t>平倉</t>
        </is>
      </c>
      <c r="P641" s="249" t="inlineStr">
        <is>
          <t>元大期貨</t>
        </is>
      </c>
    </row>
    <row r="642" hidden="1" outlineLevel="1">
      <c r="A642" s="696" t="n">
        <v>45875</v>
      </c>
      <c r="B642" s="234" t="inlineStr">
        <is>
          <t>TXO</t>
        </is>
      </c>
      <c r="C642" s="229" t="inlineStr">
        <is>
          <t>週W1 P 08 23500 P</t>
        </is>
      </c>
      <c r="D642" s="229" t="inlineStr">
        <is>
          <t>新倉</t>
        </is>
      </c>
      <c r="E642" s="257" t="inlineStr">
        <is>
          <t>買</t>
        </is>
      </c>
      <c r="F642" s="229" t="inlineStr">
        <is>
          <t>-</t>
        </is>
      </c>
      <c r="G642" s="697" t="n">
        <v>1</v>
      </c>
      <c r="H642" s="698" t="n">
        <v>42.5</v>
      </c>
      <c r="I642" s="697" t="n">
        <v>-2125</v>
      </c>
      <c r="J642" s="585" t="n">
        <v>18</v>
      </c>
      <c r="K642" s="585" t="n">
        <v>2</v>
      </c>
      <c r="L642" s="585">
        <f>IF(B642="TXO",I642-SUM(J642:K642),IF(B642="FITX",IF(D642="新倉",-SUM(J642:K642),IF(E642="賣",(H642-H1340)*G642*200-SUM(J642:K642),(H1340-H642)*G642*200-SUM(J642:K642))),IF(D642="新倉",-SUM(J642:K642),IF(E642="賣",(H642-H1340)*G642*50-SUM(J642:K642),(H1340-H642)*G642*50-SUM(J642:K642)))))</f>
        <v/>
      </c>
      <c r="M642" s="699">
        <f>L642</f>
        <v/>
      </c>
      <c r="N642" s="686">
        <f>M642</f>
        <v/>
      </c>
      <c r="O642" s="261" t="inlineStr">
        <is>
          <t>放棄</t>
        </is>
      </c>
      <c r="P642" s="249" t="inlineStr">
        <is>
          <t>元大期貨</t>
        </is>
      </c>
    </row>
    <row r="643" hidden="1" outlineLevel="1">
      <c r="A643" s="696" t="n">
        <v>45875</v>
      </c>
      <c r="B643" s="234" t="inlineStr">
        <is>
          <t>TXO</t>
        </is>
      </c>
      <c r="C643" s="229" t="inlineStr">
        <is>
          <t>週W1 P 08 23500 P</t>
        </is>
      </c>
      <c r="D643" s="229" t="inlineStr">
        <is>
          <t>新倉</t>
        </is>
      </c>
      <c r="E643" s="257" t="inlineStr">
        <is>
          <t>買</t>
        </is>
      </c>
      <c r="F643" s="229" t="inlineStr">
        <is>
          <t>-</t>
        </is>
      </c>
      <c r="G643" s="697" t="n">
        <v>1</v>
      </c>
      <c r="H643" s="698" t="n">
        <v>43</v>
      </c>
      <c r="I643" s="697" t="n">
        <v>-2150</v>
      </c>
      <c r="J643" s="585" t="n">
        <v>18</v>
      </c>
      <c r="K643" s="585" t="n">
        <v>2</v>
      </c>
      <c r="L643" s="585">
        <f>IF(B643="TXO",I643-SUM(J643:K643),IF(B643="FITX",IF(D643="新倉",-SUM(J643:K643),IF(E643="賣",(H643-H1341)*G643*200-SUM(J643:K643),(H1341-H643)*G643*200-SUM(J643:K643))),IF(D643="新倉",-SUM(J643:K643),IF(E643="賣",(H643-H1341)*G643*50-SUM(J643:K643),(H1341-H643)*G643*50-SUM(J643:K643)))))</f>
        <v/>
      </c>
      <c r="M643" s="699">
        <f>L643</f>
        <v/>
      </c>
      <c r="N643" s="686">
        <f>M643</f>
        <v/>
      </c>
      <c r="O643" s="249" t="inlineStr">
        <is>
          <t>新倉</t>
        </is>
      </c>
      <c r="P643" s="249" t="inlineStr">
        <is>
          <t>元大期貨</t>
        </is>
      </c>
    </row>
    <row r="644" hidden="1" outlineLevel="1">
      <c r="A644" s="696" t="n">
        <v>45875</v>
      </c>
      <c r="B644" s="234" t="inlineStr">
        <is>
          <t>TXO</t>
        </is>
      </c>
      <c r="C644" s="229" t="inlineStr">
        <is>
          <t>週W1 P 08 23500 P</t>
        </is>
      </c>
      <c r="D644" s="229" t="inlineStr">
        <is>
          <t>平倉</t>
        </is>
      </c>
      <c r="E644" s="257" t="inlineStr">
        <is>
          <t>賣</t>
        </is>
      </c>
      <c r="F644" s="229" t="inlineStr">
        <is>
          <t>-</t>
        </is>
      </c>
      <c r="G644" s="697" t="n">
        <v>2</v>
      </c>
      <c r="H644" s="698" t="n">
        <v>50</v>
      </c>
      <c r="I644" s="697" t="n">
        <v>5000</v>
      </c>
      <c r="J644" s="585" t="n">
        <v>36</v>
      </c>
      <c r="K644" s="585" t="n">
        <v>6</v>
      </c>
      <c r="L644" s="585">
        <f>IF(B644="TXO",I644-SUM(J644:K644),IF(B644="FITX",IF(D644="新倉",-SUM(J644:K644),IF(E644="賣",(H644-H1342)*G644*200-SUM(J644:K644),(H1342-H644)*G644*200-SUM(J644:K644))),IF(D644="新倉",-SUM(J644:K644),IF(E644="賣",(H644-H1342)*G644*50-SUM(J644:K644),(H1342-H644)*G644*50-SUM(J644:K644)))))</f>
        <v/>
      </c>
      <c r="M644" s="699">
        <f>L644</f>
        <v/>
      </c>
      <c r="N644" s="686">
        <f>M644</f>
        <v/>
      </c>
      <c r="O644" s="249" t="inlineStr">
        <is>
          <t>平倉</t>
        </is>
      </c>
      <c r="P644" s="249" t="inlineStr">
        <is>
          <t>元大期貨</t>
        </is>
      </c>
    </row>
    <row r="645" hidden="1" outlineLevel="1">
      <c r="A645" s="696" t="n">
        <v>45875</v>
      </c>
      <c r="B645" s="234" t="inlineStr">
        <is>
          <t>TXO</t>
        </is>
      </c>
      <c r="C645" s="229" t="inlineStr">
        <is>
          <t>週W1 P 08 23450 P</t>
        </is>
      </c>
      <c r="D645" s="229" t="inlineStr">
        <is>
          <t>新倉</t>
        </is>
      </c>
      <c r="E645" s="257" t="inlineStr">
        <is>
          <t>買</t>
        </is>
      </c>
      <c r="F645" s="229" t="inlineStr">
        <is>
          <t>-</t>
        </is>
      </c>
      <c r="G645" s="697" t="n">
        <v>20</v>
      </c>
      <c r="H645" s="698" t="n">
        <v>2</v>
      </c>
      <c r="I645" s="697" t="n">
        <v>-2000</v>
      </c>
      <c r="J645" s="585" t="n">
        <v>360</v>
      </c>
      <c r="K645" s="585" t="n">
        <v>0</v>
      </c>
      <c r="L645" s="585">
        <f>IF(B645="TXO",I645-SUM(J645:K645),IF(B645="FITX",IF(D645="新倉",-SUM(J645:K645),IF(E645="賣",(H645-H1343)*G645*200-SUM(J645:K645),(H1343-H645)*G645*200-SUM(J645:K645))),IF(D645="新倉",-SUM(J645:K645),IF(E645="賣",(H645-H1343)*G645*50-SUM(J645:K645),(H1343-H645)*G645*50-SUM(J645:K645)))))</f>
        <v/>
      </c>
      <c r="M645" s="699">
        <f>L645</f>
        <v/>
      </c>
      <c r="N645" s="686">
        <f>M645</f>
        <v/>
      </c>
      <c r="O645" s="261" t="inlineStr">
        <is>
          <t>放棄</t>
        </is>
      </c>
      <c r="P645" s="249" t="inlineStr">
        <is>
          <t>元大期貨</t>
        </is>
      </c>
    </row>
    <row r="646" hidden="1" outlineLevel="1">
      <c r="A646" s="696" t="n">
        <v>45876</v>
      </c>
      <c r="B646" s="234" t="inlineStr">
        <is>
          <t>TXO</t>
        </is>
      </c>
      <c r="C646" s="229" t="inlineStr">
        <is>
          <t>週F2 P 08 23350 P</t>
        </is>
      </c>
      <c r="D646" s="229" t="inlineStr">
        <is>
          <t>新倉</t>
        </is>
      </c>
      <c r="E646" s="257" t="inlineStr">
        <is>
          <t>買</t>
        </is>
      </c>
      <c r="F646" s="229" t="inlineStr">
        <is>
          <t>-</t>
        </is>
      </c>
      <c r="G646" s="697" t="n">
        <v>1</v>
      </c>
      <c r="H646" s="698" t="n">
        <v>88</v>
      </c>
      <c r="I646" s="697" t="n">
        <v>-4400</v>
      </c>
      <c r="J646" s="585" t="n">
        <v>18</v>
      </c>
      <c r="K646" s="585" t="n">
        <v>4</v>
      </c>
      <c r="L646" s="585">
        <f>IF(B646="TXO",I646-SUM(J646:K646),IF(B646="FITX",IF(D646="新倉",-SUM(J646:K646),IF(E646="賣",(H646-H1344)*G646*200-SUM(J646:K646),(H1344-H646)*G646*200-SUM(J646:K646))),IF(D646="新倉",-SUM(J646:K646),IF(E646="賣",(H646-H1344)*G646*50-SUM(J646:K646),(H1344-H646)*G646*50-SUM(J646:K646)))))</f>
        <v/>
      </c>
      <c r="M646" s="699">
        <f>L646</f>
        <v/>
      </c>
      <c r="N646" s="686">
        <f>M646</f>
        <v/>
      </c>
      <c r="O646" s="261" t="inlineStr">
        <is>
          <t>放棄</t>
        </is>
      </c>
      <c r="P646" s="249" t="inlineStr">
        <is>
          <t>元大期貨</t>
        </is>
      </c>
    </row>
    <row r="647" hidden="1" outlineLevel="1">
      <c r="A647" s="696" t="n">
        <v>45876</v>
      </c>
      <c r="B647" s="234" t="inlineStr">
        <is>
          <t>TXO</t>
        </is>
      </c>
      <c r="C647" s="229" t="inlineStr">
        <is>
          <t>週F2 P 08 23350 P</t>
        </is>
      </c>
      <c r="D647" s="229" t="inlineStr">
        <is>
          <t>新倉</t>
        </is>
      </c>
      <c r="E647" s="257" t="inlineStr">
        <is>
          <t>買</t>
        </is>
      </c>
      <c r="F647" s="229" t="inlineStr">
        <is>
          <t>-</t>
        </is>
      </c>
      <c r="G647" s="697" t="n">
        <v>1</v>
      </c>
      <c r="H647" s="698" t="n">
        <v>98</v>
      </c>
      <c r="I647" s="697" t="n">
        <v>-4900</v>
      </c>
      <c r="J647" s="585" t="n">
        <v>18</v>
      </c>
      <c r="K647" s="585" t="n">
        <v>5</v>
      </c>
      <c r="L647" s="585">
        <f>IF(B647="TXO",I647-SUM(J647:K647),IF(B647="FITX",IF(D647="新倉",-SUM(J647:K647),IF(E647="賣",(H647-H1345)*G647*200-SUM(J647:K647),(H1345-H647)*G647*200-SUM(J647:K647))),IF(D647="新倉",-SUM(J647:K647),IF(E647="賣",(H647-H1345)*G647*50-SUM(J647:K647),(H1345-H647)*G647*50-SUM(J647:K647)))))</f>
        <v/>
      </c>
      <c r="M647" s="699">
        <f>L647</f>
        <v/>
      </c>
      <c r="N647" s="686">
        <f>M647</f>
        <v/>
      </c>
      <c r="O647" s="261" t="inlineStr">
        <is>
          <t>放棄</t>
        </is>
      </c>
      <c r="P647" s="249" t="inlineStr">
        <is>
          <t>元大期貨</t>
        </is>
      </c>
    </row>
    <row r="648" hidden="1" outlineLevel="1">
      <c r="A648" s="696" t="n">
        <v>45876</v>
      </c>
      <c r="B648" s="234" t="inlineStr">
        <is>
          <t>TXO</t>
        </is>
      </c>
      <c r="C648" s="229" t="inlineStr">
        <is>
          <t>週F2 P 08 23350 P</t>
        </is>
      </c>
      <c r="D648" s="229" t="inlineStr">
        <is>
          <t>新倉</t>
        </is>
      </c>
      <c r="E648" s="257" t="inlineStr">
        <is>
          <t>買</t>
        </is>
      </c>
      <c r="F648" s="229" t="inlineStr">
        <is>
          <t>-</t>
        </is>
      </c>
      <c r="G648" s="697" t="n">
        <v>1</v>
      </c>
      <c r="H648" s="698" t="n">
        <v>110</v>
      </c>
      <c r="I648" s="697" t="n">
        <v>-5500</v>
      </c>
      <c r="J648" s="585" t="n">
        <v>18</v>
      </c>
      <c r="K648" s="585" t="n">
        <v>6</v>
      </c>
      <c r="L648" s="585">
        <f>IF(B648="TXO",I648-SUM(J648:K648),IF(B648="FITX",IF(D648="新倉",-SUM(J648:K648),IF(E648="賣",(H648-H1346)*G648*200-SUM(J648:K648),(H1346-H648)*G648*200-SUM(J648:K648))),IF(D648="新倉",-SUM(J648:K648),IF(E648="賣",(H648-H1346)*G648*50-SUM(J648:K648),(H1346-H648)*G648*50-SUM(J648:K648)))))</f>
        <v/>
      </c>
      <c r="M648" s="699">
        <f>L648</f>
        <v/>
      </c>
      <c r="N648" s="686">
        <f>M648</f>
        <v/>
      </c>
      <c r="O648" s="261" t="inlineStr">
        <is>
          <t>放棄</t>
        </is>
      </c>
      <c r="P648" s="249" t="inlineStr">
        <is>
          <t>元大期貨</t>
        </is>
      </c>
    </row>
    <row r="649" hidden="1" outlineLevel="1">
      <c r="A649" s="696" t="n">
        <v>45876</v>
      </c>
      <c r="B649" s="234" t="inlineStr">
        <is>
          <t>TXO</t>
        </is>
      </c>
      <c r="C649" s="229" t="inlineStr">
        <is>
          <t>週F2 P 08 23350 P</t>
        </is>
      </c>
      <c r="D649" s="229" t="inlineStr">
        <is>
          <t>新倉</t>
        </is>
      </c>
      <c r="E649" s="257" t="inlineStr">
        <is>
          <t>買</t>
        </is>
      </c>
      <c r="F649" s="229" t="inlineStr">
        <is>
          <t>-</t>
        </is>
      </c>
      <c r="G649" s="697" t="n">
        <v>2</v>
      </c>
      <c r="H649" s="698" t="n">
        <v>116</v>
      </c>
      <c r="I649" s="697" t="n">
        <v>-11600</v>
      </c>
      <c r="J649" s="585" t="n">
        <v>36</v>
      </c>
      <c r="K649" s="585" t="n">
        <v>12</v>
      </c>
      <c r="L649" s="585">
        <f>IF(B649="TXO",I649-SUM(J649:K649),IF(B649="FITX",IF(D649="新倉",-SUM(J649:K649),IF(E649="賣",(H649-H1347)*G649*200-SUM(J649:K649),(H1347-H649)*G649*200-SUM(J649:K649))),IF(D649="新倉",-SUM(J649:K649),IF(E649="賣",(H649-H1347)*G649*50-SUM(J649:K649),(H1347-H649)*G649*50-SUM(J649:K649)))))</f>
        <v/>
      </c>
      <c r="M649" s="699">
        <f>L649</f>
        <v/>
      </c>
      <c r="N649" s="686">
        <f>M649</f>
        <v/>
      </c>
      <c r="O649" s="249" t="inlineStr">
        <is>
          <t>新倉</t>
        </is>
      </c>
      <c r="P649" s="249" t="inlineStr">
        <is>
          <t>元大期貨</t>
        </is>
      </c>
    </row>
    <row r="650" hidden="1" outlineLevel="1">
      <c r="A650" s="696" t="n">
        <v>45876</v>
      </c>
      <c r="B650" s="234" t="inlineStr">
        <is>
          <t>TXO</t>
        </is>
      </c>
      <c r="C650" s="229" t="inlineStr">
        <is>
          <t>週F2 P 08 23350 P</t>
        </is>
      </c>
      <c r="D650" s="229" t="inlineStr">
        <is>
          <t>平倉</t>
        </is>
      </c>
      <c r="E650" s="257" t="inlineStr">
        <is>
          <t>賣</t>
        </is>
      </c>
      <c r="F650" s="229" t="inlineStr">
        <is>
          <t>-</t>
        </is>
      </c>
      <c r="G650" s="697" t="n">
        <v>2</v>
      </c>
      <c r="H650" s="698" t="n">
        <v>121</v>
      </c>
      <c r="I650" s="697" t="n">
        <v>12100</v>
      </c>
      <c r="J650" s="585" t="n">
        <v>36</v>
      </c>
      <c r="K650" s="585" t="n">
        <v>12</v>
      </c>
      <c r="L650" s="585">
        <f>IF(B650="TXO",I650-SUM(J650:K650),IF(B650="FITX",IF(D650="新倉",-SUM(J650:K650),IF(E650="賣",(H650-H1348)*G650*200-SUM(J650:K650),(H1348-H650)*G650*200-SUM(J650:K650))),IF(D650="新倉",-SUM(J650:K650),IF(E650="賣",(H650-H1348)*G650*50-SUM(J650:K650),(H1348-H650)*G650*50-SUM(J650:K650)))))</f>
        <v/>
      </c>
      <c r="M650" s="699">
        <f>L650</f>
        <v/>
      </c>
      <c r="N650" s="686">
        <f>M650</f>
        <v/>
      </c>
      <c r="O650" s="249" t="inlineStr">
        <is>
          <t>平倉</t>
        </is>
      </c>
      <c r="P650" s="249" t="inlineStr">
        <is>
          <t>元大期貨</t>
        </is>
      </c>
    </row>
    <row r="651" hidden="1" outlineLevel="1">
      <c r="A651" s="696" t="n">
        <v>45876</v>
      </c>
      <c r="B651" s="234" t="inlineStr">
        <is>
          <t>TXO</t>
        </is>
      </c>
      <c r="C651" s="229" t="inlineStr">
        <is>
          <t>週F2 P 08 23350 P</t>
        </is>
      </c>
      <c r="D651" s="229" t="inlineStr">
        <is>
          <t>新倉</t>
        </is>
      </c>
      <c r="E651" s="257" t="inlineStr">
        <is>
          <t>買</t>
        </is>
      </c>
      <c r="F651" s="229" t="inlineStr">
        <is>
          <t>-</t>
        </is>
      </c>
      <c r="G651" s="697" t="n">
        <v>2</v>
      </c>
      <c r="H651" s="698" t="n">
        <v>113</v>
      </c>
      <c r="I651" s="697" t="n">
        <v>-11300</v>
      </c>
      <c r="J651" s="585" t="n">
        <v>36</v>
      </c>
      <c r="K651" s="585" t="n">
        <v>12</v>
      </c>
      <c r="L651" s="585">
        <f>IF(B651="TXO",I651-SUM(J651:K651),IF(B651="FITX",IF(D651="新倉",-SUM(J651:K651),IF(E651="賣",(H651-H1349)*G651*200-SUM(J651:K651),(H1349-H651)*G651*200-SUM(J651:K651))),IF(D651="新倉",-SUM(J651:K651),IF(E651="賣",(H651-H1349)*G651*50-SUM(J651:K651),(H1349-H651)*G651*50-SUM(J651:K651)))))</f>
        <v/>
      </c>
      <c r="M651" s="699">
        <f>L651</f>
        <v/>
      </c>
      <c r="N651" s="686">
        <f>M651</f>
        <v/>
      </c>
      <c r="O651" s="249" t="inlineStr">
        <is>
          <t>新倉</t>
        </is>
      </c>
      <c r="P651" s="249" t="inlineStr">
        <is>
          <t>元大期貨</t>
        </is>
      </c>
    </row>
    <row r="652" hidden="1" outlineLevel="1">
      <c r="A652" s="696" t="n">
        <v>45876</v>
      </c>
      <c r="B652" s="234" t="inlineStr">
        <is>
          <t>TXO</t>
        </is>
      </c>
      <c r="C652" s="229" t="inlineStr">
        <is>
          <t>週F2 P 08 23350 P</t>
        </is>
      </c>
      <c r="D652" s="229" t="inlineStr">
        <is>
          <t>平倉</t>
        </is>
      </c>
      <c r="E652" s="257" t="inlineStr">
        <is>
          <t>賣</t>
        </is>
      </c>
      <c r="F652" s="229" t="inlineStr">
        <is>
          <t>-</t>
        </is>
      </c>
      <c r="G652" s="697" t="n">
        <v>2</v>
      </c>
      <c r="H652" s="698" t="n">
        <v>117</v>
      </c>
      <c r="I652" s="697" t="n">
        <v>11700</v>
      </c>
      <c r="J652" s="585" t="n">
        <v>36</v>
      </c>
      <c r="K652" s="585" t="n">
        <v>12</v>
      </c>
      <c r="L652" s="585">
        <f>IF(B652="TXO",I652-SUM(J652:K652),IF(B652="FITX",IF(D652="新倉",-SUM(J652:K652),IF(E652="賣",(H652-H1350)*G652*200-SUM(J652:K652),(H1350-H652)*G652*200-SUM(J652:K652))),IF(D652="新倉",-SUM(J652:K652),IF(E652="賣",(H652-H1350)*G652*50-SUM(J652:K652),(H1350-H652)*G652*50-SUM(J652:K652)))))</f>
        <v/>
      </c>
      <c r="M652" s="699">
        <f>L652</f>
        <v/>
      </c>
      <c r="N652" s="686">
        <f>M652</f>
        <v/>
      </c>
      <c r="O652" s="249" t="inlineStr">
        <is>
          <t>平倉</t>
        </is>
      </c>
      <c r="P652" s="249" t="inlineStr">
        <is>
          <t>元大期貨</t>
        </is>
      </c>
    </row>
    <row r="653" hidden="1" outlineLevel="1">
      <c r="A653" s="696" t="n">
        <v>45876</v>
      </c>
      <c r="B653" s="234" t="inlineStr">
        <is>
          <t>TXO</t>
        </is>
      </c>
      <c r="C653" s="229" t="inlineStr">
        <is>
          <t>週F2 P 08 23350 P</t>
        </is>
      </c>
      <c r="D653" s="229" t="inlineStr">
        <is>
          <t>新倉</t>
        </is>
      </c>
      <c r="E653" s="257" t="inlineStr">
        <is>
          <t>買</t>
        </is>
      </c>
      <c r="F653" s="229" t="inlineStr">
        <is>
          <t>-</t>
        </is>
      </c>
      <c r="G653" s="697" t="n">
        <v>2</v>
      </c>
      <c r="H653" s="698" t="n">
        <v>107</v>
      </c>
      <c r="I653" s="697" t="n">
        <v>-10700</v>
      </c>
      <c r="J653" s="585" t="n">
        <v>36</v>
      </c>
      <c r="K653" s="585" t="n">
        <v>10</v>
      </c>
      <c r="L653" s="585">
        <f>IF(B653="TXO",I653-SUM(J653:K653),IF(B653="FITX",IF(D653="新倉",-SUM(J653:K653),IF(E653="賣",(H653-H1351)*G653*200-SUM(J653:K653),(H1351-H653)*G653*200-SUM(J653:K653))),IF(D653="新倉",-SUM(J653:K653),IF(E653="賣",(H653-H1351)*G653*50-SUM(J653:K653),(H1351-H653)*G653*50-SUM(J653:K653)))))</f>
        <v/>
      </c>
      <c r="M653" s="699">
        <f>L653</f>
        <v/>
      </c>
      <c r="N653" s="686">
        <f>M653</f>
        <v/>
      </c>
      <c r="O653" s="261" t="inlineStr">
        <is>
          <t>放棄</t>
        </is>
      </c>
      <c r="P653" s="249" t="inlineStr">
        <is>
          <t>元大期貨</t>
        </is>
      </c>
    </row>
    <row r="654" hidden="1" outlineLevel="1">
      <c r="A654" s="696" t="n">
        <v>45876</v>
      </c>
      <c r="B654" s="234" t="inlineStr">
        <is>
          <t>TXO</t>
        </is>
      </c>
      <c r="C654" s="229" t="inlineStr">
        <is>
          <t>週F2 C 08 24100 C</t>
        </is>
      </c>
      <c r="D654" s="229" t="inlineStr">
        <is>
          <t>新倉</t>
        </is>
      </c>
      <c r="E654" s="257" t="inlineStr">
        <is>
          <t>買</t>
        </is>
      </c>
      <c r="F654" s="229" t="inlineStr">
        <is>
          <t>-</t>
        </is>
      </c>
      <c r="G654" s="697" t="n">
        <v>5</v>
      </c>
      <c r="H654" s="698" t="n">
        <v>75</v>
      </c>
      <c r="I654" s="697" t="n">
        <v>-18750</v>
      </c>
      <c r="J654" s="585" t="n">
        <v>90</v>
      </c>
      <c r="K654" s="585" t="n">
        <v>20</v>
      </c>
      <c r="L654" s="585">
        <f>IF(B654="TXO",I654-SUM(J654:K654),IF(B654="FITX",IF(D654="新倉",-SUM(J654:K654),IF(E654="賣",(H654-H1352)*G654*200-SUM(J654:K654),(H1352-H654)*G654*200-SUM(J654:K654))),IF(D654="新倉",-SUM(J654:K654),IF(E654="賣",(H654-H1352)*G654*50-SUM(J654:K654),(H1352-H654)*G654*50-SUM(J654:K654)))))</f>
        <v/>
      </c>
      <c r="M654" s="699">
        <f>L654</f>
        <v/>
      </c>
      <c r="N654" s="686">
        <f>M654</f>
        <v/>
      </c>
      <c r="O654" s="249" t="inlineStr">
        <is>
          <t>新倉</t>
        </is>
      </c>
      <c r="P654" s="249" t="inlineStr">
        <is>
          <t>元大期貨</t>
        </is>
      </c>
    </row>
    <row r="655" hidden="1" outlineLevel="1">
      <c r="A655" s="696" t="n">
        <v>45876</v>
      </c>
      <c r="B655" s="234" t="inlineStr">
        <is>
          <t>TXO</t>
        </is>
      </c>
      <c r="C655" s="229" t="inlineStr">
        <is>
          <t>週F2 C 08 24100 C</t>
        </is>
      </c>
      <c r="D655" s="229" t="inlineStr">
        <is>
          <t>平倉</t>
        </is>
      </c>
      <c r="E655" s="257" t="inlineStr">
        <is>
          <t>賣</t>
        </is>
      </c>
      <c r="F655" s="229" t="inlineStr">
        <is>
          <t>-</t>
        </is>
      </c>
      <c r="G655" s="697" t="n">
        <v>5</v>
      </c>
      <c r="H655" s="698" t="n">
        <v>66</v>
      </c>
      <c r="I655" s="697" t="n">
        <v>16500</v>
      </c>
      <c r="J655" s="585" t="n">
        <v>90</v>
      </c>
      <c r="K655" s="585" t="n">
        <v>15</v>
      </c>
      <c r="L655" s="585">
        <f>IF(B655="TXO",I655-SUM(J655:K655),IF(B655="FITX",IF(D655="新倉",-SUM(J655:K655),IF(E655="賣",(H655-H1353)*G655*200-SUM(J655:K655),(H1353-H655)*G655*200-SUM(J655:K655))),IF(D655="新倉",-SUM(J655:K655),IF(E655="賣",(H655-H1353)*G655*50-SUM(J655:K655),(H1353-H655)*G655*50-SUM(J655:K655)))))</f>
        <v/>
      </c>
      <c r="M655" s="699">
        <f>L655</f>
        <v/>
      </c>
      <c r="N655" s="686">
        <f>M655</f>
        <v/>
      </c>
      <c r="O655" s="249" t="inlineStr">
        <is>
          <t>平倉</t>
        </is>
      </c>
      <c r="P655" s="249" t="inlineStr">
        <is>
          <t>元大期貨</t>
        </is>
      </c>
    </row>
    <row r="656" hidden="1" outlineLevel="1">
      <c r="A656" s="696" t="n">
        <v>45877</v>
      </c>
      <c r="B656" s="234" t="inlineStr">
        <is>
          <t>TXO</t>
        </is>
      </c>
      <c r="C656" s="229" t="inlineStr">
        <is>
          <t>週F2 P 08 24000 P</t>
        </is>
      </c>
      <c r="D656" s="229" t="inlineStr">
        <is>
          <t>新倉</t>
        </is>
      </c>
      <c r="E656" s="257" t="inlineStr">
        <is>
          <t>買</t>
        </is>
      </c>
      <c r="F656" s="229" t="inlineStr">
        <is>
          <t>-</t>
        </is>
      </c>
      <c r="G656" s="697" t="n">
        <v>3</v>
      </c>
      <c r="H656" s="698" t="n">
        <v>64</v>
      </c>
      <c r="I656" s="697" t="n">
        <v>-9600</v>
      </c>
      <c r="J656" s="585" t="n">
        <v>54</v>
      </c>
      <c r="K656" s="585" t="n">
        <v>9</v>
      </c>
      <c r="L656" s="585">
        <f>IF(B656="TXO",I656-SUM(J656:K656),IF(B656="FITX",IF(D656="新倉",-SUM(J656:K656),IF(E656="賣",(H656-H1354)*G656*200-SUM(J656:K656),(H1354-H656)*G656*200-SUM(J656:K656))),IF(D656="新倉",-SUM(J656:K656),IF(E656="賣",(H656-H1354)*G656*50-SUM(J656:K656),(H1354-H656)*G656*50-SUM(J656:K656)))))</f>
        <v/>
      </c>
      <c r="M656" s="699">
        <f>L656</f>
        <v/>
      </c>
      <c r="N656" s="686">
        <f>M656</f>
        <v/>
      </c>
      <c r="O656" s="249" t="inlineStr">
        <is>
          <t>新倉</t>
        </is>
      </c>
      <c r="P656" s="249" t="inlineStr">
        <is>
          <t>元大期貨</t>
        </is>
      </c>
    </row>
    <row r="657" hidden="1" outlineLevel="1">
      <c r="A657" s="696" t="n">
        <v>45877</v>
      </c>
      <c r="B657" s="234" t="inlineStr">
        <is>
          <t>TXO</t>
        </is>
      </c>
      <c r="C657" s="229" t="inlineStr">
        <is>
          <t>週F2 P 08 24000 P</t>
        </is>
      </c>
      <c r="D657" s="229" t="inlineStr">
        <is>
          <t>平倉</t>
        </is>
      </c>
      <c r="E657" s="257" t="inlineStr">
        <is>
          <t>賣</t>
        </is>
      </c>
      <c r="F657" s="229" t="inlineStr">
        <is>
          <t>-</t>
        </is>
      </c>
      <c r="G657" s="697" t="n">
        <v>1</v>
      </c>
      <c r="H657" s="698" t="n">
        <v>53</v>
      </c>
      <c r="I657" s="697" t="n">
        <v>2650</v>
      </c>
      <c r="J657" s="585" t="n">
        <v>18</v>
      </c>
      <c r="K657" s="585" t="n">
        <v>3</v>
      </c>
      <c r="L657" s="585">
        <f>IF(B657="TXO",I657-SUM(J657:K657),IF(B657="FITX",IF(D657="新倉",-SUM(J657:K657),IF(E657="賣",(H657-H1355)*G657*200-SUM(J657:K657),(H1355-H657)*G657*200-SUM(J657:K657))),IF(D657="新倉",-SUM(J657:K657),IF(E657="賣",(H657-H1355)*G657*50-SUM(J657:K657),(H1355-H657)*G657*50-SUM(J657:K657)))))</f>
        <v/>
      </c>
      <c r="M657" s="699">
        <f>L657</f>
        <v/>
      </c>
      <c r="N657" s="686">
        <f>M657</f>
        <v/>
      </c>
      <c r="O657" s="249" t="inlineStr">
        <is>
          <t>平倉</t>
        </is>
      </c>
      <c r="P657" s="249" t="inlineStr">
        <is>
          <t>元大期貨</t>
        </is>
      </c>
    </row>
    <row r="658" hidden="1" outlineLevel="1">
      <c r="A658" s="696" t="n">
        <v>45877</v>
      </c>
      <c r="B658" s="234" t="inlineStr">
        <is>
          <t>TXO</t>
        </is>
      </c>
      <c r="C658" s="229" t="inlineStr">
        <is>
          <t>週F2 P 08 24000 P</t>
        </is>
      </c>
      <c r="D658" s="229" t="inlineStr">
        <is>
          <t>平倉</t>
        </is>
      </c>
      <c r="E658" s="257" t="inlineStr">
        <is>
          <t>賣</t>
        </is>
      </c>
      <c r="F658" s="229" t="inlineStr">
        <is>
          <t>-</t>
        </is>
      </c>
      <c r="G658" s="697" t="n">
        <v>2</v>
      </c>
      <c r="H658" s="698" t="n">
        <v>52</v>
      </c>
      <c r="I658" s="697" t="n">
        <v>5200</v>
      </c>
      <c r="J658" s="585" t="n">
        <v>36</v>
      </c>
      <c r="K658" s="585" t="n">
        <v>6</v>
      </c>
      <c r="L658" s="585">
        <f>IF(B658="TXO",I658-SUM(J658:K658),IF(B658="FITX",IF(D658="新倉",-SUM(J658:K658),IF(E658="賣",(H658-H1356)*G658*200-SUM(J658:K658),(H1356-H658)*G658*200-SUM(J658:K658))),IF(D658="新倉",-SUM(J658:K658),IF(E658="賣",(H658-H1356)*G658*50-SUM(J658:K658),(H1356-H658)*G658*50-SUM(J658:K658)))))</f>
        <v/>
      </c>
      <c r="M658" s="699">
        <f>L658</f>
        <v/>
      </c>
      <c r="N658" s="686">
        <f>M658</f>
        <v/>
      </c>
      <c r="O658" s="249" t="inlineStr">
        <is>
          <t>新倉</t>
        </is>
      </c>
      <c r="P658" s="249" t="inlineStr">
        <is>
          <t>元大期貨</t>
        </is>
      </c>
    </row>
    <row r="659" hidden="1" outlineLevel="1">
      <c r="A659" s="696" t="n">
        <v>45877</v>
      </c>
      <c r="B659" s="234" t="inlineStr">
        <is>
          <t>TXO</t>
        </is>
      </c>
      <c r="C659" s="229" t="inlineStr">
        <is>
          <t>週F2 P 08 24000 P</t>
        </is>
      </c>
      <c r="D659" s="229" t="inlineStr">
        <is>
          <t>新倉</t>
        </is>
      </c>
      <c r="E659" s="257" t="inlineStr">
        <is>
          <t>買</t>
        </is>
      </c>
      <c r="F659" s="229" t="inlineStr">
        <is>
          <t>-</t>
        </is>
      </c>
      <c r="G659" s="697" t="n">
        <v>3</v>
      </c>
      <c r="H659" s="698" t="n">
        <v>43.5</v>
      </c>
      <c r="I659" s="697" t="n">
        <v>-6525</v>
      </c>
      <c r="J659" s="585" t="n">
        <v>54</v>
      </c>
      <c r="K659" s="585" t="n">
        <v>6</v>
      </c>
      <c r="L659" s="585">
        <f>IF(B659="TXO",I659-SUM(J659:K659),IF(B659="FITX",IF(D659="新倉",-SUM(J659:K659),IF(E659="賣",(H659-H1357)*G659*200-SUM(J659:K659),(H1357-H659)*G659*200-SUM(J659:K659))),IF(D659="新倉",-SUM(J659:K659),IF(E659="賣",(H659-H1357)*G659*50-SUM(J659:K659),(H1357-H659)*G659*50-SUM(J659:K659)))))</f>
        <v/>
      </c>
      <c r="M659" s="699">
        <f>L659</f>
        <v/>
      </c>
      <c r="N659" s="686">
        <f>M659</f>
        <v/>
      </c>
      <c r="O659" s="249" t="inlineStr">
        <is>
          <t>新倉</t>
        </is>
      </c>
      <c r="P659" s="249" t="inlineStr">
        <is>
          <t>元大期貨</t>
        </is>
      </c>
    </row>
    <row r="660" hidden="1" outlineLevel="1">
      <c r="A660" s="696" t="n">
        <v>45877</v>
      </c>
      <c r="B660" s="234" t="inlineStr">
        <is>
          <t>TXO</t>
        </is>
      </c>
      <c r="C660" s="229" t="inlineStr">
        <is>
          <t>週F2 P 08 24000 P</t>
        </is>
      </c>
      <c r="D660" s="229" t="inlineStr">
        <is>
          <t>平倉</t>
        </is>
      </c>
      <c r="E660" s="257" t="inlineStr">
        <is>
          <t>賣</t>
        </is>
      </c>
      <c r="F660" s="229" t="inlineStr">
        <is>
          <t>-</t>
        </is>
      </c>
      <c r="G660" s="697" t="n">
        <v>1</v>
      </c>
      <c r="H660" s="698" t="n">
        <v>52</v>
      </c>
      <c r="I660" s="697" t="n">
        <v>2600</v>
      </c>
      <c r="J660" s="585" t="n">
        <v>18</v>
      </c>
      <c r="K660" s="585" t="n">
        <v>3</v>
      </c>
      <c r="L660" s="585">
        <f>IF(B660="TXO",I660-SUM(J660:K660),IF(B660="FITX",IF(D660="新倉",-SUM(J660:K660),IF(E660="賣",(H660-H1358)*G660*200-SUM(J660:K660),(H1358-H660)*G660*200-SUM(J660:K660))),IF(D660="新倉",-SUM(J660:K660),IF(E660="賣",(H660-H1358)*G660*50-SUM(J660:K660),(H1358-H660)*G660*50-SUM(J660:K660)))))</f>
        <v/>
      </c>
      <c r="M660" s="699">
        <f>L660</f>
        <v/>
      </c>
      <c r="N660" s="686">
        <f>M660</f>
        <v/>
      </c>
      <c r="O660" s="249" t="inlineStr">
        <is>
          <t>平倉</t>
        </is>
      </c>
      <c r="P660" s="249" t="inlineStr">
        <is>
          <t>元大期貨</t>
        </is>
      </c>
    </row>
    <row r="661" hidden="1" outlineLevel="1">
      <c r="A661" s="696" t="n">
        <v>45877</v>
      </c>
      <c r="B661" s="234" t="inlineStr">
        <is>
          <t>TXO</t>
        </is>
      </c>
      <c r="C661" s="229" t="inlineStr">
        <is>
          <t>週F2 P 08 24000 P</t>
        </is>
      </c>
      <c r="D661" s="229" t="inlineStr">
        <is>
          <t>平倉</t>
        </is>
      </c>
      <c r="E661" s="257" t="inlineStr">
        <is>
          <t>賣</t>
        </is>
      </c>
      <c r="F661" s="229" t="inlineStr">
        <is>
          <t>-</t>
        </is>
      </c>
      <c r="G661" s="697" t="n">
        <v>2</v>
      </c>
      <c r="H661" s="698" t="n">
        <v>51</v>
      </c>
      <c r="I661" s="697" t="n">
        <v>5100</v>
      </c>
      <c r="J661" s="585" t="n">
        <v>36</v>
      </c>
      <c r="K661" s="585" t="n">
        <v>6</v>
      </c>
      <c r="L661" s="585">
        <f>IF(B661="TXO",I661-SUM(J661:K661),IF(B661="FITX",IF(D661="新倉",-SUM(J661:K661),IF(E661="賣",(H661-H1359)*G661*200-SUM(J661:K661),(H1359-H661)*G661*200-SUM(J661:K661))),IF(D661="新倉",-SUM(J661:K661),IF(E661="賣",(H661-H1359)*G661*50-SUM(J661:K661),(H1359-H661)*G661*50-SUM(J661:K661)))))</f>
        <v/>
      </c>
      <c r="M661" s="699">
        <f>L661</f>
        <v/>
      </c>
      <c r="N661" s="686">
        <f>M661</f>
        <v/>
      </c>
      <c r="O661" s="249" t="inlineStr">
        <is>
          <t>平倉</t>
        </is>
      </c>
      <c r="P661" s="249" t="inlineStr">
        <is>
          <t>元大期貨</t>
        </is>
      </c>
    </row>
    <row r="662" hidden="1" outlineLevel="1">
      <c r="A662" s="696" t="n">
        <v>45877</v>
      </c>
      <c r="B662" s="234" t="inlineStr">
        <is>
          <t>TXO</t>
        </is>
      </c>
      <c r="C662" s="229" t="inlineStr">
        <is>
          <t>週F2 P 08 24000 P</t>
        </is>
      </c>
      <c r="D662" s="229" t="inlineStr">
        <is>
          <t>新倉</t>
        </is>
      </c>
      <c r="E662" s="257" t="inlineStr">
        <is>
          <t>買</t>
        </is>
      </c>
      <c r="F662" s="229" t="inlineStr">
        <is>
          <t>-</t>
        </is>
      </c>
      <c r="G662" s="697" t="n">
        <v>10</v>
      </c>
      <c r="H662" s="698" t="n">
        <v>40</v>
      </c>
      <c r="I662" s="697" t="n">
        <v>-20000</v>
      </c>
      <c r="J662" s="585" t="n">
        <v>180</v>
      </c>
      <c r="K662" s="585" t="n">
        <v>20</v>
      </c>
      <c r="L662" s="585">
        <f>IF(B662="TXO",I662-SUM(J662:K662),IF(B662="FITX",IF(D662="新倉",-SUM(J662:K662),IF(E662="賣",(H662-H1360)*G662*200-SUM(J662:K662),(H1360-H662)*G662*200-SUM(J662:K662))),IF(D662="新倉",-SUM(J662:K662),IF(E662="賣",(H662-H1360)*G662*50-SUM(J662:K662),(H1360-H662)*G662*50-SUM(J662:K662)))))</f>
        <v/>
      </c>
      <c r="M662" s="699">
        <f>L662</f>
        <v/>
      </c>
      <c r="N662" s="686">
        <f>M662</f>
        <v/>
      </c>
      <c r="O662" s="249" t="inlineStr">
        <is>
          <t>新倉</t>
        </is>
      </c>
      <c r="P662" s="249" t="inlineStr">
        <is>
          <t>元大期貨</t>
        </is>
      </c>
    </row>
    <row r="663" hidden="1" outlineLevel="1">
      <c r="A663" s="696" t="n">
        <v>45877</v>
      </c>
      <c r="B663" s="234" t="inlineStr">
        <is>
          <t>TXO</t>
        </is>
      </c>
      <c r="C663" s="229" t="inlineStr">
        <is>
          <t>週F2 P 08 24000 P</t>
        </is>
      </c>
      <c r="D663" s="229" t="inlineStr">
        <is>
          <t>平倉</t>
        </is>
      </c>
      <c r="E663" s="257" t="inlineStr">
        <is>
          <t>賣</t>
        </is>
      </c>
      <c r="F663" s="229" t="inlineStr">
        <is>
          <t>-</t>
        </is>
      </c>
      <c r="G663" s="697" t="n">
        <v>10</v>
      </c>
      <c r="H663" s="698" t="n">
        <v>44</v>
      </c>
      <c r="I663" s="697" t="n">
        <v>22000</v>
      </c>
      <c r="J663" s="585" t="n">
        <v>180</v>
      </c>
      <c r="K663" s="585" t="n">
        <v>20</v>
      </c>
      <c r="L663" s="585">
        <f>IF(B663="TXO",I663-SUM(J663:K663),IF(B663="FITX",IF(D663="新倉",-SUM(J663:K663),IF(E663="賣",(H663-H1361)*G663*200-SUM(J663:K663),(H1361-H663)*G663*200-SUM(J663:K663))),IF(D663="新倉",-SUM(J663:K663),IF(E663="賣",(H663-H1361)*G663*50-SUM(J663:K663),(H1361-H663)*G663*50-SUM(J663:K663)))))</f>
        <v/>
      </c>
      <c r="M663" s="699">
        <f>L663</f>
        <v/>
      </c>
      <c r="N663" s="686">
        <f>M663</f>
        <v/>
      </c>
      <c r="O663" s="249" t="inlineStr">
        <is>
          <t>平倉</t>
        </is>
      </c>
      <c r="P663" s="249" t="inlineStr">
        <is>
          <t>元大期貨</t>
        </is>
      </c>
    </row>
    <row r="664" hidden="1" outlineLevel="1">
      <c r="A664" s="696" t="n">
        <v>45877</v>
      </c>
      <c r="B664" s="234" t="inlineStr">
        <is>
          <t>TXO</t>
        </is>
      </c>
      <c r="C664" s="229" t="inlineStr">
        <is>
          <t>週F2 P 08 24000 P</t>
        </is>
      </c>
      <c r="D664" s="229" t="inlineStr">
        <is>
          <t>新倉</t>
        </is>
      </c>
      <c r="E664" s="257" t="inlineStr">
        <is>
          <t>買</t>
        </is>
      </c>
      <c r="F664" s="229" t="inlineStr">
        <is>
          <t>-</t>
        </is>
      </c>
      <c r="G664" s="697" t="n">
        <v>5</v>
      </c>
      <c r="H664" s="698" t="n">
        <v>48</v>
      </c>
      <c r="I664" s="697" t="n">
        <v>-12000</v>
      </c>
      <c r="J664" s="585" t="n">
        <v>90</v>
      </c>
      <c r="K664" s="585" t="n">
        <v>10</v>
      </c>
      <c r="L664" s="585">
        <f>IF(B664="TXO",I664-SUM(J664:K664),IF(B664="FITX",IF(D664="新倉",-SUM(J664:K664),IF(E664="賣",(H664-H1362)*G664*200-SUM(J664:K664),(H1362-H664)*G664*200-SUM(J664:K664))),IF(D664="新倉",-SUM(J664:K664),IF(E664="賣",(H664-H1362)*G664*50-SUM(J664:K664),(H1362-H664)*G664*50-SUM(J664:K664)))))</f>
        <v/>
      </c>
      <c r="M664" s="699">
        <f>L664</f>
        <v/>
      </c>
      <c r="N664" s="686">
        <f>M664</f>
        <v/>
      </c>
      <c r="O664" s="249" t="inlineStr">
        <is>
          <t>新倉</t>
        </is>
      </c>
      <c r="P664" s="249" t="inlineStr">
        <is>
          <t>元大期貨</t>
        </is>
      </c>
    </row>
    <row r="665" hidden="1" outlineLevel="1">
      <c r="A665" s="696" t="n">
        <v>45877</v>
      </c>
      <c r="B665" s="234" t="inlineStr">
        <is>
          <t>TXO</t>
        </is>
      </c>
      <c r="C665" s="229" t="inlineStr">
        <is>
          <t>週F2 P 08 24000 P</t>
        </is>
      </c>
      <c r="D665" s="229" t="inlineStr">
        <is>
          <t>平倉</t>
        </is>
      </c>
      <c r="E665" s="257" t="inlineStr">
        <is>
          <t>賣</t>
        </is>
      </c>
      <c r="F665" s="229" t="inlineStr">
        <is>
          <t>-</t>
        </is>
      </c>
      <c r="G665" s="697" t="n">
        <v>3</v>
      </c>
      <c r="H665" s="698" t="n">
        <v>35.5</v>
      </c>
      <c r="I665" s="697" t="n">
        <v>5325</v>
      </c>
      <c r="J665" s="585" t="n">
        <v>54</v>
      </c>
      <c r="K665" s="585" t="n">
        <v>6</v>
      </c>
      <c r="L665" s="585">
        <f>IF(B665="TXO",I665-SUM(J665:K665),IF(B665="FITX",IF(D665="新倉",-SUM(J665:K665),IF(E665="賣",(H665-H1363)*G665*200-SUM(J665:K665),(H1363-H665)*G665*200-SUM(J665:K665))),IF(D665="新倉",-SUM(J665:K665),IF(E665="賣",(H665-H1363)*G665*50-SUM(J665:K665),(H1363-H665)*G665*50-SUM(J665:K665)))))</f>
        <v/>
      </c>
      <c r="M665" s="699">
        <f>L665</f>
        <v/>
      </c>
      <c r="N665" s="686">
        <f>M665</f>
        <v/>
      </c>
      <c r="O665" s="249" t="inlineStr">
        <is>
          <t>平倉</t>
        </is>
      </c>
      <c r="P665" s="249" t="inlineStr">
        <is>
          <t>元大期貨</t>
        </is>
      </c>
    </row>
    <row r="666" hidden="1" outlineLevel="1">
      <c r="A666" s="696" t="n">
        <v>45877</v>
      </c>
      <c r="B666" s="234" t="inlineStr">
        <is>
          <t>TXO</t>
        </is>
      </c>
      <c r="C666" s="229" t="inlineStr">
        <is>
          <t>週F2 P 08 24000 P</t>
        </is>
      </c>
      <c r="D666" s="229" t="inlineStr">
        <is>
          <t>平倉</t>
        </is>
      </c>
      <c r="E666" s="257" t="inlineStr">
        <is>
          <t>賣</t>
        </is>
      </c>
      <c r="F666" s="229" t="inlineStr">
        <is>
          <t>-</t>
        </is>
      </c>
      <c r="G666" s="697" t="n">
        <v>2</v>
      </c>
      <c r="H666" s="698" t="n">
        <v>35</v>
      </c>
      <c r="I666" s="697" t="n">
        <v>3500</v>
      </c>
      <c r="J666" s="585" t="n">
        <v>36</v>
      </c>
      <c r="K666" s="585" t="n">
        <v>4</v>
      </c>
      <c r="L666" s="585">
        <f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/>
      </c>
      <c r="M666" s="699">
        <f>L666</f>
        <v/>
      </c>
      <c r="N666" s="686">
        <f>M666</f>
        <v/>
      </c>
      <c r="O666" s="249" t="inlineStr">
        <is>
          <t>平倉</t>
        </is>
      </c>
      <c r="P666" s="249" t="inlineStr">
        <is>
          <t>元大期貨</t>
        </is>
      </c>
    </row>
    <row r="667" hidden="1" outlineLevel="1">
      <c r="A667" s="696" t="n">
        <v>45877</v>
      </c>
      <c r="B667" s="234" t="inlineStr">
        <is>
          <t>TXO</t>
        </is>
      </c>
      <c r="C667" s="229" t="inlineStr">
        <is>
          <t>週F2 P 08 24000 P</t>
        </is>
      </c>
      <c r="D667" s="229" t="inlineStr">
        <is>
          <t>新倉</t>
        </is>
      </c>
      <c r="E667" s="257" t="inlineStr">
        <is>
          <t>買</t>
        </is>
      </c>
      <c r="F667" s="229" t="inlineStr">
        <is>
          <t>-</t>
        </is>
      </c>
      <c r="G667" s="697" t="n">
        <v>10</v>
      </c>
      <c r="H667" s="698" t="n">
        <v>43</v>
      </c>
      <c r="I667" s="697" t="n">
        <v>-21500</v>
      </c>
      <c r="J667" s="585" t="n">
        <v>180</v>
      </c>
      <c r="K667" s="585" t="n">
        <v>20</v>
      </c>
      <c r="L667" s="585">
        <f>IF(B667="TXO",I667-SUM(J667:K667),IF(B667="FITX",IF(D667="新倉",-SUM(J667:K667),IF(E667="賣",(H667-H1365)*G667*200-SUM(J667:K667),(H1365-H667)*G667*200-SUM(J667:K667))),IF(D667="新倉",-SUM(J667:K667),IF(E667="賣",(H667-H1365)*G667*50-SUM(J667:K667),(H1365-H667)*G667*50-SUM(J667:K667)))))</f>
        <v/>
      </c>
      <c r="M667" s="699">
        <f>L667</f>
        <v/>
      </c>
      <c r="N667" s="686">
        <f>M667</f>
        <v/>
      </c>
      <c r="O667" s="249" t="inlineStr">
        <is>
          <t>新倉</t>
        </is>
      </c>
      <c r="P667" s="249" t="inlineStr">
        <is>
          <t>元大期貨</t>
        </is>
      </c>
    </row>
    <row r="668" hidden="1" outlineLevel="1">
      <c r="A668" s="696" t="n">
        <v>45877</v>
      </c>
      <c r="B668" s="234" t="inlineStr">
        <is>
          <t>TXO</t>
        </is>
      </c>
      <c r="C668" s="229" t="inlineStr">
        <is>
          <t>週F2 P 08 24000 P</t>
        </is>
      </c>
      <c r="D668" s="229" t="inlineStr">
        <is>
          <t>平倉</t>
        </is>
      </c>
      <c r="E668" s="257" t="inlineStr">
        <is>
          <t>賣</t>
        </is>
      </c>
      <c r="F668" s="229" t="inlineStr">
        <is>
          <t>-</t>
        </is>
      </c>
      <c r="G668" s="697" t="n">
        <v>10</v>
      </c>
      <c r="H668" s="698" t="n">
        <v>50</v>
      </c>
      <c r="I668" s="697" t="n">
        <v>25000</v>
      </c>
      <c r="J668" s="585" t="n">
        <v>180</v>
      </c>
      <c r="K668" s="585" t="n">
        <v>30</v>
      </c>
      <c r="L668" s="585">
        <f>IF(B668="TXO",I668-SUM(J668:K668),IF(B668="FITX",IF(D668="新倉",-SUM(J668:K668),IF(E668="賣",(H668-H1366)*G668*200-SUM(J668:K668),(H1366-H668)*G668*200-SUM(J668:K668))),IF(D668="新倉",-SUM(J668:K668),IF(E668="賣",(H668-H1366)*G668*50-SUM(J668:K668),(H1366-H668)*G668*50-SUM(J668:K668)))))</f>
        <v/>
      </c>
      <c r="M668" s="699">
        <f>L668</f>
        <v/>
      </c>
      <c r="N668" s="686">
        <f>M668</f>
        <v/>
      </c>
      <c r="O668" s="249" t="inlineStr">
        <is>
          <t>平倉</t>
        </is>
      </c>
      <c r="P668" s="249" t="inlineStr">
        <is>
          <t>元大期貨</t>
        </is>
      </c>
    </row>
    <row r="669" hidden="1" outlineLevel="1">
      <c r="A669" s="696" t="n">
        <v>45877</v>
      </c>
      <c r="B669" s="234" t="inlineStr">
        <is>
          <t>TXO</t>
        </is>
      </c>
      <c r="C669" s="229" t="inlineStr">
        <is>
          <t>週F2 P 08 23900 P</t>
        </is>
      </c>
      <c r="D669" s="229" t="inlineStr">
        <is>
          <t>新倉</t>
        </is>
      </c>
      <c r="E669" s="257" t="inlineStr">
        <is>
          <t>買</t>
        </is>
      </c>
      <c r="F669" s="229" t="inlineStr">
        <is>
          <t>-</t>
        </is>
      </c>
      <c r="G669" s="697" t="n">
        <v>4</v>
      </c>
      <c r="H669" s="698" t="n">
        <v>17</v>
      </c>
      <c r="I669" s="697" t="n">
        <v>-3400</v>
      </c>
      <c r="J669" s="585" t="n">
        <v>72</v>
      </c>
      <c r="K669" s="585" t="n">
        <v>4</v>
      </c>
      <c r="L669" s="585">
        <f>IF(B669="TXO",I669-SUM(J669:K669),IF(B669="FITX",IF(D669="新倉",-SUM(J669:K669),IF(E669="賣",(H669-H1367)*G669*200-SUM(J669:K669),(H1367-H669)*G669*200-SUM(J669:K669))),IF(D669="新倉",-SUM(J669:K669),IF(E669="賣",(H669-H1367)*G669*50-SUM(J669:K669),(H1367-H669)*G669*50-SUM(J669:K669)))))</f>
        <v/>
      </c>
      <c r="M669" s="699">
        <f>L669</f>
        <v/>
      </c>
      <c r="N669" s="686">
        <f>M669</f>
        <v/>
      </c>
      <c r="O669" s="249" t="inlineStr">
        <is>
          <t>新倉</t>
        </is>
      </c>
      <c r="P669" s="249" t="inlineStr">
        <is>
          <t>元大期貨</t>
        </is>
      </c>
    </row>
    <row r="670" hidden="1" outlineLevel="1">
      <c r="A670" s="696" t="n">
        <v>45877</v>
      </c>
      <c r="B670" s="234" t="inlineStr">
        <is>
          <t>TXO</t>
        </is>
      </c>
      <c r="C670" s="229" t="inlineStr">
        <is>
          <t>週F2 P 08 23900 P</t>
        </is>
      </c>
      <c r="D670" s="229" t="inlineStr">
        <is>
          <t>新倉</t>
        </is>
      </c>
      <c r="E670" s="257" t="inlineStr">
        <is>
          <t>買</t>
        </is>
      </c>
      <c r="F670" s="229" t="inlineStr">
        <is>
          <t>-</t>
        </is>
      </c>
      <c r="G670" s="697" t="n">
        <v>6</v>
      </c>
      <c r="H670" s="698" t="n">
        <v>17.5</v>
      </c>
      <c r="I670" s="697" t="n">
        <v>-5250</v>
      </c>
      <c r="J670" s="585" t="n">
        <v>108</v>
      </c>
      <c r="K670" s="585" t="n">
        <v>6</v>
      </c>
      <c r="L670" s="585">
        <f>IF(B670="TXO",I670-SUM(J670:K670),IF(B670="FITX",IF(D670="新倉",-SUM(J670:K670),IF(E670="賣",(H670-H1368)*G670*200-SUM(J670:K670),(H1368-H670)*G670*200-SUM(J670:K670))),IF(D670="新倉",-SUM(J670:K670),IF(E670="賣",(H670-H1368)*G670*50-SUM(J670:K670),(H1368-H670)*G670*50-SUM(J670:K670)))))</f>
        <v/>
      </c>
      <c r="M670" s="699">
        <f>L670</f>
        <v/>
      </c>
      <c r="N670" s="686">
        <f>M670</f>
        <v/>
      </c>
      <c r="O670" s="249" t="inlineStr">
        <is>
          <t>新倉</t>
        </is>
      </c>
      <c r="P670" s="249" t="inlineStr">
        <is>
          <t>元大期貨</t>
        </is>
      </c>
    </row>
    <row r="671" hidden="1" outlineLevel="1">
      <c r="A671" s="696" t="n">
        <v>45877</v>
      </c>
      <c r="B671" s="234" t="inlineStr">
        <is>
          <t>TXO</t>
        </is>
      </c>
      <c r="C671" s="229" t="inlineStr">
        <is>
          <t>週F2 P 08 23900 P</t>
        </is>
      </c>
      <c r="D671" s="229" t="inlineStr">
        <is>
          <t>平倉</t>
        </is>
      </c>
      <c r="E671" s="257" t="inlineStr">
        <is>
          <t>賣</t>
        </is>
      </c>
      <c r="F671" s="229" t="inlineStr">
        <is>
          <t>-</t>
        </is>
      </c>
      <c r="G671" s="697" t="n">
        <v>10</v>
      </c>
      <c r="H671" s="698" t="n">
        <v>19.5</v>
      </c>
      <c r="I671" s="697" t="n">
        <v>9750</v>
      </c>
      <c r="J671" s="585" t="n">
        <v>180</v>
      </c>
      <c r="K671" s="585" t="n">
        <v>10</v>
      </c>
      <c r="L671" s="585">
        <f>IF(B671="TXO",I671-SUM(J671:K671),IF(B671="FITX",IF(D671="新倉",-SUM(J671:K671),IF(E671="賣",(H671-H1369)*G671*200-SUM(J671:K671),(H1369-H671)*G671*200-SUM(J671:K671))),IF(D671="新倉",-SUM(J671:K671),IF(E671="賣",(H671-H1369)*G671*50-SUM(J671:K671),(H1369-H671)*G671*50-SUM(J671:K671)))))</f>
        <v/>
      </c>
      <c r="M671" s="699">
        <f>L671</f>
        <v/>
      </c>
      <c r="N671" s="686">
        <f>M671</f>
        <v/>
      </c>
      <c r="O671" s="249" t="inlineStr">
        <is>
          <t>平倉</t>
        </is>
      </c>
      <c r="P671" s="249" t="inlineStr">
        <is>
          <t>元大期貨</t>
        </is>
      </c>
    </row>
    <row r="672" hidden="1" outlineLevel="1">
      <c r="A672" s="696" t="n">
        <v>45877</v>
      </c>
      <c r="B672" s="234" t="inlineStr">
        <is>
          <t>TXO</t>
        </is>
      </c>
      <c r="C672" s="229" t="inlineStr">
        <is>
          <t>週F2 P 08 23950 P</t>
        </is>
      </c>
      <c r="D672" s="229" t="inlineStr">
        <is>
          <t>新倉</t>
        </is>
      </c>
      <c r="E672" s="257" t="inlineStr">
        <is>
          <t>買</t>
        </is>
      </c>
      <c r="F672" s="229" t="inlineStr">
        <is>
          <t>-</t>
        </is>
      </c>
      <c r="G672" s="697" t="n">
        <v>10</v>
      </c>
      <c r="H672" s="698" t="n">
        <v>21</v>
      </c>
      <c r="I672" s="697" t="n">
        <v>-10500</v>
      </c>
      <c r="J672" s="585" t="n">
        <v>180</v>
      </c>
      <c r="K672" s="585" t="n">
        <v>10</v>
      </c>
      <c r="L672" s="585">
        <f>IF(B672="TXO",I672-SUM(J672:K672),IF(B672="FITX",IF(D672="新倉",-SUM(J672:K672),IF(E672="賣",(H672-H1370)*G672*200-SUM(J672:K672),(H1370-H672)*G672*200-SUM(J672:K672))),IF(D672="新倉",-SUM(J672:K672),IF(E672="賣",(H672-H1370)*G672*50-SUM(J672:K672),(H1370-H672)*G672*50-SUM(J672:K672)))))</f>
        <v/>
      </c>
      <c r="M672" s="699">
        <f>L672</f>
        <v/>
      </c>
      <c r="N672" s="686">
        <f>M672</f>
        <v/>
      </c>
      <c r="O672" s="249" t="inlineStr">
        <is>
          <t>新倉</t>
        </is>
      </c>
      <c r="P672" s="249" t="inlineStr">
        <is>
          <t>元大期貨</t>
        </is>
      </c>
    </row>
    <row r="673" hidden="1" outlineLevel="1">
      <c r="A673" s="696" t="n">
        <v>45877</v>
      </c>
      <c r="B673" s="234" t="inlineStr">
        <is>
          <t>TXO</t>
        </is>
      </c>
      <c r="C673" s="229" t="inlineStr">
        <is>
          <t>週F2 P 08 23950 P</t>
        </is>
      </c>
      <c r="D673" s="229" t="inlineStr">
        <is>
          <t>平倉</t>
        </is>
      </c>
      <c r="E673" s="257" t="inlineStr">
        <is>
          <t>賣</t>
        </is>
      </c>
      <c r="F673" s="229" t="inlineStr">
        <is>
          <t>-</t>
        </is>
      </c>
      <c r="G673" s="697" t="n">
        <v>9</v>
      </c>
      <c r="H673" s="698" t="n">
        <v>23.5</v>
      </c>
      <c r="I673" s="697" t="n">
        <v>10575</v>
      </c>
      <c r="J673" s="585" t="n">
        <v>162</v>
      </c>
      <c r="K673" s="585" t="n">
        <v>9</v>
      </c>
      <c r="L673" s="585">
        <f>IF(B673="TXO",I673-SUM(J673:K673),IF(B673="FITX",IF(D673="新倉",-SUM(J673:K673),IF(E673="賣",(H673-H1371)*G673*200-SUM(J673:K673),(H1371-H673)*G673*200-SUM(J673:K673))),IF(D673="新倉",-SUM(J673:K673),IF(E673="賣",(H673-H1371)*G673*50-SUM(J673:K673),(H1371-H673)*G673*50-SUM(J673:K673)))))</f>
        <v/>
      </c>
      <c r="M673" s="699">
        <f>L673</f>
        <v/>
      </c>
      <c r="N673" s="686">
        <f>M673</f>
        <v/>
      </c>
      <c r="O673" s="249" t="inlineStr">
        <is>
          <t>平倉</t>
        </is>
      </c>
      <c r="P673" s="249" t="inlineStr">
        <is>
          <t>元大期貨</t>
        </is>
      </c>
    </row>
    <row r="674" hidden="1" outlineLevel="1">
      <c r="A674" s="696" t="n">
        <v>45877</v>
      </c>
      <c r="B674" s="234" t="inlineStr">
        <is>
          <t>TXO</t>
        </is>
      </c>
      <c r="C674" s="229" t="inlineStr">
        <is>
          <t>週F2 P 08 23950 P</t>
        </is>
      </c>
      <c r="D674" s="229" t="inlineStr">
        <is>
          <t>平倉</t>
        </is>
      </c>
      <c r="E674" s="257" t="inlineStr">
        <is>
          <t>賣</t>
        </is>
      </c>
      <c r="F674" s="229" t="inlineStr">
        <is>
          <t>-</t>
        </is>
      </c>
      <c r="G674" s="697" t="n">
        <v>1</v>
      </c>
      <c r="H674" s="698" t="n">
        <v>21</v>
      </c>
      <c r="I674" s="697" t="n">
        <v>1050</v>
      </c>
      <c r="J674" s="585" t="n">
        <v>18</v>
      </c>
      <c r="K674" s="585" t="n">
        <v>1</v>
      </c>
      <c r="L674" s="585">
        <f>IF(B674="TXO",I674-SUM(J674:K674),IF(B674="FITX",IF(D674="新倉",-SUM(J674:K674),IF(E674="賣",(H674-H1372)*G674*200-SUM(J674:K674),(H1372-H674)*G674*200-SUM(J674:K674))),IF(D674="新倉",-SUM(J674:K674),IF(E674="賣",(H674-H1372)*G674*50-SUM(J674:K674),(H1372-H674)*G674*50-SUM(J674:K674)))))</f>
        <v/>
      </c>
      <c r="M674" s="699">
        <f>L674</f>
        <v/>
      </c>
      <c r="N674" s="686">
        <f>M674</f>
        <v/>
      </c>
      <c r="O674" s="249" t="inlineStr">
        <is>
          <t>新倉</t>
        </is>
      </c>
      <c r="P674" s="249" t="inlineStr">
        <is>
          <t>元大期貨</t>
        </is>
      </c>
    </row>
    <row r="675" hidden="1" outlineLevel="1">
      <c r="A675" s="696" t="n">
        <v>45877</v>
      </c>
      <c r="B675" s="234" t="inlineStr">
        <is>
          <t>TXO</t>
        </is>
      </c>
      <c r="C675" s="229" t="inlineStr">
        <is>
          <t>週F2 P 08 23950 P</t>
        </is>
      </c>
      <c r="D675" s="229" t="inlineStr">
        <is>
          <t>新倉</t>
        </is>
      </c>
      <c r="E675" s="257" t="inlineStr">
        <is>
          <t>買</t>
        </is>
      </c>
      <c r="F675" s="229" t="inlineStr">
        <is>
          <t>-</t>
        </is>
      </c>
      <c r="G675" s="697" t="n">
        <v>10</v>
      </c>
      <c r="H675" s="698" t="n">
        <v>20</v>
      </c>
      <c r="I675" s="697" t="n">
        <v>-10000</v>
      </c>
      <c r="J675" s="585" t="n">
        <v>180</v>
      </c>
      <c r="K675" s="585" t="n">
        <v>10</v>
      </c>
      <c r="L675" s="585">
        <f>IF(B675="TXO",I675-SUM(J675:K675),IF(B675="FITX",IF(D675="新倉",-SUM(J675:K675),IF(E675="賣",(H675-H1373)*G675*200-SUM(J675:K675),(H1373-H675)*G675*200-SUM(J675:K675))),IF(D675="新倉",-SUM(J675:K675),IF(E675="賣",(H675-H1373)*G675*50-SUM(J675:K675),(H1373-H675)*G675*50-SUM(J675:K675)))))</f>
        <v/>
      </c>
      <c r="M675" s="699">
        <f>L675</f>
        <v/>
      </c>
      <c r="N675" s="686">
        <f>M675</f>
        <v/>
      </c>
      <c r="O675" s="249" t="inlineStr">
        <is>
          <t>新倉</t>
        </is>
      </c>
      <c r="P675" s="249" t="inlineStr">
        <is>
          <t>元大期貨</t>
        </is>
      </c>
    </row>
    <row r="676" hidden="1" outlineLevel="1">
      <c r="A676" s="696" t="n">
        <v>45877</v>
      </c>
      <c r="B676" s="234" t="inlineStr">
        <is>
          <t>TXO</t>
        </is>
      </c>
      <c r="C676" s="229" t="inlineStr">
        <is>
          <t>週F2 P 08 23950 P</t>
        </is>
      </c>
      <c r="D676" s="229" t="inlineStr">
        <is>
          <t>平倉</t>
        </is>
      </c>
      <c r="E676" s="257" t="inlineStr">
        <is>
          <t>賣</t>
        </is>
      </c>
      <c r="F676" s="229" t="inlineStr">
        <is>
          <t>-</t>
        </is>
      </c>
      <c r="G676" s="697" t="n">
        <v>10</v>
      </c>
      <c r="H676" s="698" t="n">
        <v>22</v>
      </c>
      <c r="I676" s="697" t="n">
        <v>11000</v>
      </c>
      <c r="J676" s="585" t="n">
        <v>180</v>
      </c>
      <c r="K676" s="585" t="n">
        <v>10</v>
      </c>
      <c r="L676" s="585">
        <f>IF(B676="TXO",I676-SUM(J676:K676),IF(B676="FITX",IF(D676="新倉",-SUM(J676:K676),IF(E676="賣",(H676-H1374)*G676*200-SUM(J676:K676),(H1374-H676)*G676*200-SUM(J676:K676))),IF(D676="新倉",-SUM(J676:K676),IF(E676="賣",(H676-H1374)*G676*50-SUM(J676:K676),(H1374-H676)*G676*50-SUM(J676:K676)))))</f>
        <v/>
      </c>
      <c r="M676" s="699">
        <f>L676</f>
        <v/>
      </c>
      <c r="N676" s="686">
        <f>M676</f>
        <v/>
      </c>
      <c r="O676" s="249" t="inlineStr">
        <is>
          <t>平倉</t>
        </is>
      </c>
      <c r="P676" s="249" t="inlineStr">
        <is>
          <t>元大期貨</t>
        </is>
      </c>
    </row>
    <row r="677" hidden="1" outlineLevel="1">
      <c r="A677" s="696" t="n">
        <v>45877</v>
      </c>
      <c r="B677" s="234" t="inlineStr">
        <is>
          <t>TXO</t>
        </is>
      </c>
      <c r="C677" s="229" t="inlineStr">
        <is>
          <t>週F2 C 08 24050 C</t>
        </is>
      </c>
      <c r="D677" s="229" t="inlineStr">
        <is>
          <t>新倉</t>
        </is>
      </c>
      <c r="E677" s="257" t="inlineStr">
        <is>
          <t>買</t>
        </is>
      </c>
      <c r="F677" s="229" t="inlineStr">
        <is>
          <t>-</t>
        </is>
      </c>
      <c r="G677" s="697" t="n">
        <v>3</v>
      </c>
      <c r="H677" s="698" t="n">
        <v>82</v>
      </c>
      <c r="I677" s="697" t="n">
        <v>-12300</v>
      </c>
      <c r="J677" s="585" t="n">
        <v>54</v>
      </c>
      <c r="K677" s="585" t="n">
        <v>12</v>
      </c>
      <c r="L677" s="585">
        <f>IF(B677="TXO",I677-SUM(J677:K677),IF(B677="FITX",IF(D677="新倉",-SUM(J677:K677),IF(E677="賣",(H677-H1375)*G677*200-SUM(J677:K677),(H1375-H677)*G677*200-SUM(J677:K677))),IF(D677="新倉",-SUM(J677:K677),IF(E677="賣",(H677-H1375)*G677*50-SUM(J677:K677),(H1375-H677)*G677*50-SUM(J677:K677)))))</f>
        <v/>
      </c>
      <c r="M677" s="699">
        <f>L677</f>
        <v/>
      </c>
      <c r="N677" s="686">
        <f>M677</f>
        <v/>
      </c>
      <c r="O677" s="249" t="inlineStr">
        <is>
          <t>新倉</t>
        </is>
      </c>
      <c r="P677" s="249" t="inlineStr">
        <is>
          <t>元大期貨</t>
        </is>
      </c>
    </row>
    <row r="678" hidden="1" outlineLevel="1">
      <c r="A678" s="696" t="n">
        <v>45877</v>
      </c>
      <c r="B678" s="234" t="inlineStr">
        <is>
          <t>TXO</t>
        </is>
      </c>
      <c r="C678" s="229" t="inlineStr">
        <is>
          <t>週F2 C 08 24050 C</t>
        </is>
      </c>
      <c r="D678" s="229" t="inlineStr">
        <is>
          <t>平倉</t>
        </is>
      </c>
      <c r="E678" s="257" t="inlineStr">
        <is>
          <t>賣</t>
        </is>
      </c>
      <c r="F678" s="229" t="inlineStr">
        <is>
          <t>-</t>
        </is>
      </c>
      <c r="G678" s="697" t="n">
        <v>2</v>
      </c>
      <c r="H678" s="698" t="n">
        <v>79</v>
      </c>
      <c r="I678" s="697" t="n">
        <v>7900</v>
      </c>
      <c r="J678" s="585" t="n">
        <v>36</v>
      </c>
      <c r="K678" s="585" t="n">
        <v>8</v>
      </c>
      <c r="L678" s="585">
        <f>IF(B678="TXO",I678-SUM(J678:K678),IF(B678="FITX",IF(D678="新倉",-SUM(J678:K678),IF(E678="賣",(H678-H1376)*G678*200-SUM(J678:K678),(H1376-H678)*G678*200-SUM(J678:K678))),IF(D678="新倉",-SUM(J678:K678),IF(E678="賣",(H678-H1376)*G678*50-SUM(J678:K678),(H1376-H678)*G678*50-SUM(J678:K678)))))</f>
        <v/>
      </c>
      <c r="M678" s="699">
        <f>L678</f>
        <v/>
      </c>
      <c r="N678" s="686">
        <f>M678</f>
        <v/>
      </c>
      <c r="O678" s="249" t="inlineStr">
        <is>
          <t>平倉</t>
        </is>
      </c>
      <c r="P678" s="249" t="inlineStr">
        <is>
          <t>元大期貨</t>
        </is>
      </c>
    </row>
    <row r="679" hidden="1" outlineLevel="1">
      <c r="A679" s="696" t="n">
        <v>45877</v>
      </c>
      <c r="B679" s="234" t="inlineStr">
        <is>
          <t>TXO</t>
        </is>
      </c>
      <c r="C679" s="229" t="inlineStr">
        <is>
          <t>週F2 C 08 24050 C</t>
        </is>
      </c>
      <c r="D679" s="229" t="inlineStr">
        <is>
          <t>平倉</t>
        </is>
      </c>
      <c r="E679" s="257" t="inlineStr">
        <is>
          <t>賣</t>
        </is>
      </c>
      <c r="F679" s="229" t="inlineStr">
        <is>
          <t>-</t>
        </is>
      </c>
      <c r="G679" s="697" t="n">
        <v>1</v>
      </c>
      <c r="H679" s="698" t="n">
        <v>78</v>
      </c>
      <c r="I679" s="697" t="n">
        <v>3900</v>
      </c>
      <c r="J679" s="585" t="n">
        <v>18</v>
      </c>
      <c r="K679" s="585" t="n">
        <v>4</v>
      </c>
      <c r="L679" s="585">
        <f>IF(B679="TXO",I679-SUM(J679:K679),IF(B679="FITX",IF(D679="新倉",-SUM(J679:K679),IF(E679="賣",(H679-H1377)*G679*200-SUM(J679:K679),(H1377-H679)*G679*200-SUM(J679:K679))),IF(D679="新倉",-SUM(J679:K679),IF(E679="賣",(H679-H1377)*G679*50-SUM(J679:K679),(H1377-H679)*G679*50-SUM(J679:K679)))))</f>
        <v/>
      </c>
      <c r="M679" s="699">
        <f>L679</f>
        <v/>
      </c>
      <c r="N679" s="686">
        <f>M679</f>
        <v/>
      </c>
      <c r="O679" s="249" t="inlineStr">
        <is>
          <t>平倉</t>
        </is>
      </c>
      <c r="P679" s="249" t="inlineStr">
        <is>
          <t>元大期貨</t>
        </is>
      </c>
    </row>
    <row r="680" hidden="1" outlineLevel="1">
      <c r="A680" s="696" t="n">
        <v>45881</v>
      </c>
      <c r="B680" s="234" t="inlineStr">
        <is>
          <t>TXO</t>
        </is>
      </c>
      <c r="C680" s="229" t="inlineStr">
        <is>
          <t>週W2 P 08 24100 P</t>
        </is>
      </c>
      <c r="D680" s="229" t="inlineStr">
        <is>
          <t>新倉</t>
        </is>
      </c>
      <c r="E680" s="257" t="inlineStr">
        <is>
          <t>買</t>
        </is>
      </c>
      <c r="F680" s="229" t="inlineStr">
        <is>
          <t>-</t>
        </is>
      </c>
      <c r="G680" s="697" t="n">
        <v>2</v>
      </c>
      <c r="H680" s="698" t="n">
        <v>80</v>
      </c>
      <c r="I680" s="697" t="n">
        <v>-8000</v>
      </c>
      <c r="J680" s="585" t="n">
        <v>36</v>
      </c>
      <c r="K680" s="585" t="n">
        <v>8</v>
      </c>
      <c r="L680" s="585">
        <f>IF(B680="TXO",I680-SUM(J680:K680),IF(B680="FITX",IF(D680="新倉",-SUM(J680:K680),IF(E680="賣",(H680-H1378)*G680*200-SUM(J680:K680),(H1378-H680)*G680*200-SUM(J680:K680))),IF(D680="新倉",-SUM(J680:K680),IF(E680="賣",(H680-H1378)*G680*50-SUM(J680:K680),(H1378-H680)*G680*50-SUM(J680:K680)))))</f>
        <v/>
      </c>
      <c r="M680" s="699">
        <f>L680</f>
        <v/>
      </c>
      <c r="N680" s="686">
        <f>M680</f>
        <v/>
      </c>
      <c r="O680" s="249" t="inlineStr">
        <is>
          <t>新倉</t>
        </is>
      </c>
      <c r="P680" s="249" t="inlineStr">
        <is>
          <t>元大期貨</t>
        </is>
      </c>
    </row>
    <row r="681" hidden="1" outlineLevel="1">
      <c r="A681" s="696" t="n">
        <v>45881</v>
      </c>
      <c r="B681" s="234" t="inlineStr">
        <is>
          <t>TXO</t>
        </is>
      </c>
      <c r="C681" s="229" t="inlineStr">
        <is>
          <t>週W2 P 08 24100 P</t>
        </is>
      </c>
      <c r="D681" s="229" t="inlineStr">
        <is>
          <t>平倉</t>
        </is>
      </c>
      <c r="E681" s="257" t="inlineStr">
        <is>
          <t>賣</t>
        </is>
      </c>
      <c r="F681" s="229" t="inlineStr">
        <is>
          <t>-</t>
        </is>
      </c>
      <c r="G681" s="697" t="n">
        <v>2</v>
      </c>
      <c r="H681" s="698" t="n">
        <v>87</v>
      </c>
      <c r="I681" s="697" t="n">
        <v>8700</v>
      </c>
      <c r="J681" s="585" t="n">
        <v>36</v>
      </c>
      <c r="K681" s="585" t="n">
        <v>8</v>
      </c>
      <c r="L681" s="585">
        <f>IF(B681="TXO",I681-SUM(J681:K681),IF(B681="FITX",IF(D681="新倉",-SUM(J681:K681),IF(E681="賣",(H681-H1379)*G681*200-SUM(J681:K681),(H1379-H681)*G681*200-SUM(J681:K681))),IF(D681="新倉",-SUM(J681:K681),IF(E681="賣",(H681-H1379)*G681*50-SUM(J681:K681),(H1379-H681)*G681*50-SUM(J681:K681)))))</f>
        <v/>
      </c>
      <c r="M681" s="699">
        <f>L681</f>
        <v/>
      </c>
      <c r="N681" s="686">
        <f>M681</f>
        <v/>
      </c>
      <c r="O681" s="249" t="inlineStr">
        <is>
          <t>平倉</t>
        </is>
      </c>
      <c r="P681" s="249" t="inlineStr">
        <is>
          <t>元大期貨</t>
        </is>
      </c>
    </row>
    <row r="682" hidden="1" outlineLevel="1">
      <c r="A682" s="696" t="n">
        <v>45881</v>
      </c>
      <c r="B682" s="234" t="inlineStr">
        <is>
          <t>TXO</t>
        </is>
      </c>
      <c r="C682" s="229" t="inlineStr">
        <is>
          <t>週W2 P 08 24100 P</t>
        </is>
      </c>
      <c r="D682" s="229" t="inlineStr">
        <is>
          <t>新倉</t>
        </is>
      </c>
      <c r="E682" s="257" t="inlineStr">
        <is>
          <t>買</t>
        </is>
      </c>
      <c r="F682" s="229" t="inlineStr">
        <is>
          <t>-</t>
        </is>
      </c>
      <c r="G682" s="697" t="n">
        <v>2</v>
      </c>
      <c r="H682" s="698" t="n">
        <v>73</v>
      </c>
      <c r="I682" s="697" t="n">
        <v>-7300</v>
      </c>
      <c r="J682" s="585" t="n">
        <v>36</v>
      </c>
      <c r="K682" s="585" t="n">
        <v>8</v>
      </c>
      <c r="L682" s="585">
        <f>IF(B682="TXO",I682-SUM(J682:K682),IF(B682="FITX",IF(D682="新倉",-SUM(J682:K682),IF(E682="賣",(H682-H1380)*G682*200-SUM(J682:K682),(H1380-H682)*G682*200-SUM(J682:K682))),IF(D682="新倉",-SUM(J682:K682),IF(E682="賣",(H682-H1380)*G682*50-SUM(J682:K682),(H1380-H682)*G682*50-SUM(J682:K682)))))</f>
        <v/>
      </c>
      <c r="M682" s="699">
        <f>L682</f>
        <v/>
      </c>
      <c r="N682" s="686">
        <f>M682</f>
        <v/>
      </c>
      <c r="O682" s="249" t="inlineStr">
        <is>
          <t>新倉</t>
        </is>
      </c>
      <c r="P682" s="249" t="inlineStr">
        <is>
          <t>元大期貨</t>
        </is>
      </c>
    </row>
    <row r="683" hidden="1" outlineLevel="1">
      <c r="A683" s="696" t="n">
        <v>45881</v>
      </c>
      <c r="B683" s="234" t="inlineStr">
        <is>
          <t>TXO</t>
        </is>
      </c>
      <c r="C683" s="229" t="inlineStr">
        <is>
          <t>週W2 P 08 24100 P</t>
        </is>
      </c>
      <c r="D683" s="229" t="inlineStr">
        <is>
          <t>平倉</t>
        </is>
      </c>
      <c r="E683" s="257" t="inlineStr">
        <is>
          <t>賣</t>
        </is>
      </c>
      <c r="F683" s="229" t="inlineStr">
        <is>
          <t>-</t>
        </is>
      </c>
      <c r="G683" s="697" t="n">
        <v>2</v>
      </c>
      <c r="H683" s="698" t="n">
        <v>76</v>
      </c>
      <c r="I683" s="697" t="n">
        <v>7600</v>
      </c>
      <c r="J683" s="585" t="n">
        <v>36</v>
      </c>
      <c r="K683" s="585" t="n">
        <v>8</v>
      </c>
      <c r="L683" s="585">
        <f>IF(B683="TXO",I683-SUM(J683:K683),IF(B683="FITX",IF(D683="新倉",-SUM(J683:K683),IF(E683="賣",(H683-H1381)*G683*200-SUM(J683:K683),(H1381-H683)*G683*200-SUM(J683:K683))),IF(D683="新倉",-SUM(J683:K683),IF(E683="賣",(H683-H1381)*G683*50-SUM(J683:K683),(H1381-H683)*G683*50-SUM(J683:K683)))))</f>
        <v/>
      </c>
      <c r="M683" s="699">
        <f>L683</f>
        <v/>
      </c>
      <c r="N683" s="686">
        <f>M683</f>
        <v/>
      </c>
      <c r="O683" s="249" t="inlineStr">
        <is>
          <t>平倉</t>
        </is>
      </c>
      <c r="P683" s="249" t="inlineStr">
        <is>
          <t>元大期貨</t>
        </is>
      </c>
    </row>
    <row r="684" hidden="1" outlineLevel="1">
      <c r="A684" s="696" t="n">
        <v>45881</v>
      </c>
      <c r="B684" s="234" t="inlineStr">
        <is>
          <t>TXO</t>
        </is>
      </c>
      <c r="C684" s="229" t="inlineStr">
        <is>
          <t>週W2 P 08 24050 P</t>
        </is>
      </c>
      <c r="D684" s="229" t="inlineStr">
        <is>
          <t>新倉</t>
        </is>
      </c>
      <c r="E684" s="257" t="inlineStr">
        <is>
          <t>買</t>
        </is>
      </c>
      <c r="F684" s="229" t="inlineStr">
        <is>
          <t>-</t>
        </is>
      </c>
      <c r="G684" s="697" t="n">
        <v>2</v>
      </c>
      <c r="H684" s="698" t="n">
        <v>60</v>
      </c>
      <c r="I684" s="697" t="n">
        <v>-6000</v>
      </c>
      <c r="J684" s="585" t="n">
        <v>36</v>
      </c>
      <c r="K684" s="585" t="n">
        <v>6</v>
      </c>
      <c r="L684" s="585">
        <f>IF(B684="TXO",I684-SUM(J684:K684),IF(B684="FITX",IF(D684="新倉",-SUM(J684:K684),IF(E684="賣",(H684-H1382)*G684*200-SUM(J684:K684),(H1382-H684)*G684*200-SUM(J684:K684))),IF(D684="新倉",-SUM(J684:K684),IF(E684="賣",(H684-H1382)*G684*50-SUM(J684:K684),(H1382-H684)*G684*50-SUM(J684:K684)))))</f>
        <v/>
      </c>
      <c r="M684" s="699">
        <f>L684</f>
        <v/>
      </c>
      <c r="N684" s="686">
        <f>M684</f>
        <v/>
      </c>
      <c r="O684" s="249" t="inlineStr">
        <is>
          <t>新倉</t>
        </is>
      </c>
      <c r="P684" s="249" t="inlineStr">
        <is>
          <t>元大期貨</t>
        </is>
      </c>
    </row>
    <row r="685" hidden="1" outlineLevel="1">
      <c r="A685" s="696" t="n">
        <v>45881</v>
      </c>
      <c r="B685" s="234" t="inlineStr">
        <is>
          <t>TXO</t>
        </is>
      </c>
      <c r="C685" s="229" t="inlineStr">
        <is>
          <t>週W2 P 08 24050 P</t>
        </is>
      </c>
      <c r="D685" s="229" t="inlineStr">
        <is>
          <t>平倉</t>
        </is>
      </c>
      <c r="E685" s="257" t="inlineStr">
        <is>
          <t>賣</t>
        </is>
      </c>
      <c r="F685" s="229" t="inlineStr">
        <is>
          <t>-</t>
        </is>
      </c>
      <c r="G685" s="697" t="n">
        <v>2</v>
      </c>
      <c r="H685" s="698" t="n">
        <v>49</v>
      </c>
      <c r="I685" s="697" t="n">
        <v>4900</v>
      </c>
      <c r="J685" s="585" t="n">
        <v>36</v>
      </c>
      <c r="K685" s="585" t="n">
        <v>4</v>
      </c>
      <c r="L685" s="585">
        <f>IF(B685="TXO",I685-SUM(J685:K685),IF(B685="FITX",IF(D685="新倉",-SUM(J685:K685),IF(E685="賣",(H685-H1383)*G685*200-SUM(J685:K685),(H1383-H685)*G685*200-SUM(J685:K685))),IF(D685="新倉",-SUM(J685:K685),IF(E685="賣",(H685-H1383)*G685*50-SUM(J685:K685),(H1383-H685)*G685*50-SUM(J685:K685)))))</f>
        <v/>
      </c>
      <c r="M685" s="699">
        <f>L685</f>
        <v/>
      </c>
      <c r="N685" s="686">
        <f>M685</f>
        <v/>
      </c>
      <c r="O685" s="249" t="inlineStr">
        <is>
          <t>平倉</t>
        </is>
      </c>
      <c r="P685" s="249" t="inlineStr">
        <is>
          <t>元大期貨</t>
        </is>
      </c>
    </row>
    <row r="686" hidden="1" outlineLevel="1">
      <c r="A686" s="696" t="n">
        <v>45882</v>
      </c>
      <c r="B686" s="234" t="inlineStr">
        <is>
          <t>TXO</t>
        </is>
      </c>
      <c r="C686" s="229" t="inlineStr">
        <is>
          <t>週W2 C 08 24250 C</t>
        </is>
      </c>
      <c r="D686" s="229" t="inlineStr">
        <is>
          <t>新倉</t>
        </is>
      </c>
      <c r="E686" s="257" t="inlineStr">
        <is>
          <t>買</t>
        </is>
      </c>
      <c r="F686" s="229" t="inlineStr">
        <is>
          <t>-</t>
        </is>
      </c>
      <c r="G686" s="697" t="n">
        <v>2</v>
      </c>
      <c r="H686" s="698" t="n">
        <v>55</v>
      </c>
      <c r="I686" s="697" t="n">
        <v>-5500</v>
      </c>
      <c r="J686" s="585" t="n">
        <v>36</v>
      </c>
      <c r="K686" s="585" t="n">
        <v>6</v>
      </c>
      <c r="L686" s="585">
        <f>IF(B686="TXO",I686-SUM(J686:K686),IF(B686="FITX",IF(D686="新倉",-SUM(J686:K686),IF(E686="賣",(H686-H1384)*G686*200-SUM(J686:K686),(H1384-H686)*G686*200-SUM(J686:K686))),IF(D686="新倉",-SUM(J686:K686),IF(E686="賣",(H686-H1384)*G686*50-SUM(J686:K686),(H1384-H686)*G686*50-SUM(J686:K686)))))</f>
        <v/>
      </c>
      <c r="M686" s="699">
        <f>L686</f>
        <v/>
      </c>
      <c r="N686" s="686">
        <f>M686</f>
        <v/>
      </c>
      <c r="O686" s="249" t="inlineStr">
        <is>
          <t>新倉</t>
        </is>
      </c>
      <c r="P686" s="249" t="inlineStr">
        <is>
          <t>元大期貨</t>
        </is>
      </c>
    </row>
    <row r="687" hidden="1" outlineLevel="1">
      <c r="A687" s="696" t="n">
        <v>45882</v>
      </c>
      <c r="B687" s="234" t="inlineStr">
        <is>
          <t>TXO</t>
        </is>
      </c>
      <c r="C687" s="229" t="inlineStr">
        <is>
          <t>週W2 C 08 24250 C</t>
        </is>
      </c>
      <c r="D687" s="229" t="inlineStr">
        <is>
          <t>平倉</t>
        </is>
      </c>
      <c r="E687" s="257" t="inlineStr">
        <is>
          <t>賣</t>
        </is>
      </c>
      <c r="F687" s="229" t="inlineStr">
        <is>
          <t>-</t>
        </is>
      </c>
      <c r="G687" s="697" t="n">
        <v>2</v>
      </c>
      <c r="H687" s="698" t="n">
        <v>62</v>
      </c>
      <c r="I687" s="697" t="n">
        <v>6200</v>
      </c>
      <c r="J687" s="585" t="n">
        <v>36</v>
      </c>
      <c r="K687" s="585" t="n">
        <v>6</v>
      </c>
      <c r="L687" s="585">
        <f>IF(B687="TXO",I687-SUM(J687:K687),IF(B687="FITX",IF(D687="新倉",-SUM(J687:K687),IF(E687="賣",(H687-H1385)*G687*200-SUM(J687:K687),(H1385-H687)*G687*200-SUM(J687:K687))),IF(D687="新倉",-SUM(J687:K687),IF(E687="賣",(H687-H1385)*G687*50-SUM(J687:K687),(H1385-H687)*G687*50-SUM(J687:K687)))))</f>
        <v/>
      </c>
      <c r="M687" s="699">
        <f>L687</f>
        <v/>
      </c>
      <c r="N687" s="686">
        <f>M687</f>
        <v/>
      </c>
      <c r="O687" s="249" t="inlineStr">
        <is>
          <t>平倉</t>
        </is>
      </c>
      <c r="P687" s="249" t="inlineStr">
        <is>
          <t>元大期貨</t>
        </is>
      </c>
    </row>
    <row r="688" hidden="1" outlineLevel="1">
      <c r="A688" s="696" t="n">
        <v>45882</v>
      </c>
      <c r="B688" s="234" t="inlineStr">
        <is>
          <t>TXO</t>
        </is>
      </c>
      <c r="C688" s="229" t="inlineStr">
        <is>
          <t>週W2 C 08 24250 C</t>
        </is>
      </c>
      <c r="D688" s="229" t="inlineStr">
        <is>
          <t>新倉</t>
        </is>
      </c>
      <c r="E688" s="257" t="inlineStr">
        <is>
          <t>買</t>
        </is>
      </c>
      <c r="F688" s="229" t="inlineStr">
        <is>
          <t>-</t>
        </is>
      </c>
      <c r="G688" s="697" t="n">
        <v>2</v>
      </c>
      <c r="H688" s="698" t="n">
        <v>50</v>
      </c>
      <c r="I688" s="697" t="n">
        <v>-5000</v>
      </c>
      <c r="J688" s="585" t="n">
        <v>36</v>
      </c>
      <c r="K688" s="585" t="n">
        <v>6</v>
      </c>
      <c r="L688" s="585">
        <f>IF(B688="TXO",I688-SUM(J688:K688),IF(B688="FITX",IF(D688="新倉",-SUM(J688:K688),IF(E688="賣",(H688-H1386)*G688*200-SUM(J688:K688),(H1386-H688)*G688*200-SUM(J688:K688))),IF(D688="新倉",-SUM(J688:K688),IF(E688="賣",(H688-H1386)*G688*50-SUM(J688:K688),(H1386-H688)*G688*50-SUM(J688:K688)))))</f>
        <v/>
      </c>
      <c r="M688" s="699">
        <f>L688</f>
        <v/>
      </c>
      <c r="N688" s="686">
        <f>M688</f>
        <v/>
      </c>
      <c r="O688" s="249" t="inlineStr">
        <is>
          <t>新倉</t>
        </is>
      </c>
      <c r="P688" s="249" t="inlineStr">
        <is>
          <t>元大期貨</t>
        </is>
      </c>
    </row>
    <row r="689" hidden="1" outlineLevel="1">
      <c r="A689" s="696" t="n">
        <v>45882</v>
      </c>
      <c r="B689" s="234" t="inlineStr">
        <is>
          <t>TXO</t>
        </is>
      </c>
      <c r="C689" s="229" t="inlineStr">
        <is>
          <t>週W2 C 08 24250 C</t>
        </is>
      </c>
      <c r="D689" s="229" t="inlineStr">
        <is>
          <t>平倉</t>
        </is>
      </c>
      <c r="E689" s="257" t="inlineStr">
        <is>
          <t>賣</t>
        </is>
      </c>
      <c r="F689" s="229" t="inlineStr">
        <is>
          <t>-</t>
        </is>
      </c>
      <c r="G689" s="697" t="n">
        <v>2</v>
      </c>
      <c r="H689" s="698" t="n">
        <v>53</v>
      </c>
      <c r="I689" s="697" t="n">
        <v>5300</v>
      </c>
      <c r="J689" s="585" t="n">
        <v>36</v>
      </c>
      <c r="K689" s="585" t="n">
        <v>6</v>
      </c>
      <c r="L689" s="585">
        <f>IF(B689="TXO",I689-SUM(J689:K689),IF(B689="FITX",IF(D689="新倉",-SUM(J689:K689),IF(E689="賣",(H689-H1387)*G689*200-SUM(J689:K689),(H1387-H689)*G689*200-SUM(J689:K689))),IF(D689="新倉",-SUM(J689:K689),IF(E689="賣",(H689-H1387)*G689*50-SUM(J689:K689),(H1387-H689)*G689*50-SUM(J689:K689)))))</f>
        <v/>
      </c>
      <c r="M689" s="699">
        <f>L689</f>
        <v/>
      </c>
      <c r="N689" s="686">
        <f>M689</f>
        <v/>
      </c>
      <c r="O689" s="249" t="inlineStr">
        <is>
          <t>平倉</t>
        </is>
      </c>
      <c r="P689" s="249" t="inlineStr">
        <is>
          <t>元大期貨</t>
        </is>
      </c>
    </row>
    <row r="690" hidden="1" outlineLevel="1">
      <c r="A690" s="696" t="n">
        <v>45882</v>
      </c>
      <c r="B690" s="234" t="inlineStr">
        <is>
          <t>TXO</t>
        </is>
      </c>
      <c r="C690" s="229" t="inlineStr">
        <is>
          <t>週W2 C 08 24250 C</t>
        </is>
      </c>
      <c r="D690" s="229" t="inlineStr">
        <is>
          <t>新倉</t>
        </is>
      </c>
      <c r="E690" s="257" t="inlineStr">
        <is>
          <t>買</t>
        </is>
      </c>
      <c r="F690" s="229" t="inlineStr">
        <is>
          <t>-</t>
        </is>
      </c>
      <c r="G690" s="697" t="n">
        <v>2</v>
      </c>
      <c r="H690" s="698" t="n">
        <v>52</v>
      </c>
      <c r="I690" s="697" t="n">
        <v>-5200</v>
      </c>
      <c r="J690" s="585" t="n">
        <v>36</v>
      </c>
      <c r="K690" s="585" t="n">
        <v>6</v>
      </c>
      <c r="L690" s="585">
        <f>IF(B690="TXO",I690-SUM(J690:K690),IF(B690="FITX",IF(D690="新倉",-SUM(J690:K690),IF(E690="賣",(H690-H1388)*G690*200-SUM(J690:K690),(H1388-H690)*G690*200-SUM(J690:K690))),IF(D690="新倉",-SUM(J690:K690),IF(E690="賣",(H690-H1388)*G690*50-SUM(J690:K690),(H1388-H690)*G690*50-SUM(J690:K690)))))</f>
        <v/>
      </c>
      <c r="M690" s="699">
        <f>L690</f>
        <v/>
      </c>
      <c r="N690" s="686">
        <f>M690</f>
        <v/>
      </c>
      <c r="O690" s="249" t="inlineStr">
        <is>
          <t>新倉</t>
        </is>
      </c>
      <c r="P690" s="249" t="inlineStr">
        <is>
          <t>元大期貨</t>
        </is>
      </c>
    </row>
    <row r="691" hidden="1" outlineLevel="1">
      <c r="A691" s="696" t="n">
        <v>45882</v>
      </c>
      <c r="B691" s="234" t="inlineStr">
        <is>
          <t>TXO</t>
        </is>
      </c>
      <c r="C691" s="229" t="inlineStr">
        <is>
          <t>週W2 C 08 24250 C</t>
        </is>
      </c>
      <c r="D691" s="229" t="inlineStr">
        <is>
          <t>平倉</t>
        </is>
      </c>
      <c r="E691" s="257" t="inlineStr">
        <is>
          <t>賣</t>
        </is>
      </c>
      <c r="F691" s="229" t="inlineStr">
        <is>
          <t>-</t>
        </is>
      </c>
      <c r="G691" s="697" t="n">
        <v>2</v>
      </c>
      <c r="H691" s="698" t="n">
        <v>53</v>
      </c>
      <c r="I691" s="697" t="n">
        <v>5300</v>
      </c>
      <c r="J691" s="585" t="n">
        <v>36</v>
      </c>
      <c r="K691" s="585" t="n">
        <v>6</v>
      </c>
      <c r="L691" s="585">
        <f>IF(B691="TXO",I691-SUM(J691:K691),IF(B691="FITX",IF(D691="新倉",-SUM(J691:K691),IF(E691="賣",(H691-H1389)*G691*200-SUM(J691:K691),(H1389-H691)*G691*200-SUM(J691:K691))),IF(D691="新倉",-SUM(J691:K691),IF(E691="賣",(H691-H1389)*G691*50-SUM(J691:K691),(H1389-H691)*G691*50-SUM(J691:K691)))))</f>
        <v/>
      </c>
      <c r="M691" s="699">
        <f>L691</f>
        <v/>
      </c>
      <c r="N691" s="686">
        <f>M691</f>
        <v/>
      </c>
      <c r="O691" s="249" t="inlineStr">
        <is>
          <t>平倉</t>
        </is>
      </c>
      <c r="P691" s="249" t="inlineStr">
        <is>
          <t>元大期貨</t>
        </is>
      </c>
    </row>
    <row r="692" hidden="1" outlineLevel="1">
      <c r="A692" s="696" t="n">
        <v>45882</v>
      </c>
      <c r="B692" s="234" t="inlineStr">
        <is>
          <t>TXO</t>
        </is>
      </c>
      <c r="C692" s="229" t="inlineStr">
        <is>
          <t>週W2 C 08 24400 C</t>
        </is>
      </c>
      <c r="D692" s="229" t="inlineStr">
        <is>
          <t>新倉</t>
        </is>
      </c>
      <c r="E692" s="257" t="inlineStr">
        <is>
          <t>買</t>
        </is>
      </c>
      <c r="F692" s="229" t="inlineStr">
        <is>
          <t>-</t>
        </is>
      </c>
      <c r="G692" s="697" t="n">
        <v>20</v>
      </c>
      <c r="H692" s="698" t="n">
        <v>1.5</v>
      </c>
      <c r="I692" s="697" t="n">
        <v>-1500</v>
      </c>
      <c r="J692" s="585" t="n">
        <v>360</v>
      </c>
      <c r="K692" s="585" t="n">
        <v>0</v>
      </c>
      <c r="L692" s="585">
        <f>IF(B692="TXO",I692-SUM(J692:K692),IF(B692="FITX",IF(D692="新倉",-SUM(J692:K692),IF(E692="賣",(H692-H1390)*G692*200-SUM(J692:K692),(H1390-H692)*G692*200-SUM(J692:K692))),IF(D692="新倉",-SUM(J692:K692),IF(E692="賣",(H692-H1390)*G692*50-SUM(J692:K692),(H1390-H692)*G692*50-SUM(J692:K692)))))</f>
        <v/>
      </c>
      <c r="M692" s="699">
        <f>L692</f>
        <v/>
      </c>
      <c r="N692" s="686">
        <f>M692</f>
        <v/>
      </c>
      <c r="O692" s="261" t="inlineStr">
        <is>
          <t>放棄</t>
        </is>
      </c>
      <c r="P692" s="249" t="inlineStr">
        <is>
          <t>元大期貨</t>
        </is>
      </c>
    </row>
    <row r="693" hidden="1" outlineLevel="1">
      <c r="A693" s="696" t="n">
        <v>45882</v>
      </c>
      <c r="B693" s="234" t="inlineStr">
        <is>
          <t>TXO</t>
        </is>
      </c>
      <c r="C693" s="229" t="inlineStr">
        <is>
          <t>週W2 P 08 24200 P</t>
        </is>
      </c>
      <c r="D693" s="229" t="inlineStr">
        <is>
          <t>新倉</t>
        </is>
      </c>
      <c r="E693" s="257" t="inlineStr">
        <is>
          <t>買</t>
        </is>
      </c>
      <c r="F693" s="229" t="inlineStr">
        <is>
          <t>-</t>
        </is>
      </c>
      <c r="G693" s="697" t="n">
        <v>10</v>
      </c>
      <c r="H693" s="698" t="n">
        <v>9</v>
      </c>
      <c r="I693" s="697" t="n">
        <v>-4500</v>
      </c>
      <c r="J693" s="585" t="n">
        <v>180</v>
      </c>
      <c r="K693" s="585" t="n">
        <v>0</v>
      </c>
      <c r="L693" s="585">
        <f>IF(B693="TXO",I693-SUM(J693:K693),IF(B693="FITX",IF(D693="新倉",-SUM(J693:K693),IF(E693="賣",(H693-H1391)*G693*200-SUM(J693:K693),(H1391-H693)*G693*200-SUM(J693:K693))),IF(D693="新倉",-SUM(J693:K693),IF(E693="賣",(H693-H1391)*G693*50-SUM(J693:K693),(H1391-H693)*G693*50-SUM(J693:K693)))))</f>
        <v/>
      </c>
      <c r="M693" s="699">
        <f>L693</f>
        <v/>
      </c>
      <c r="N693" s="686">
        <f>M693</f>
        <v/>
      </c>
      <c r="O693" s="249" t="inlineStr">
        <is>
          <t>新倉</t>
        </is>
      </c>
      <c r="P693" s="249" t="inlineStr">
        <is>
          <t>元大期貨</t>
        </is>
      </c>
    </row>
    <row r="694" hidden="1" outlineLevel="1">
      <c r="A694" s="696" t="n">
        <v>45882</v>
      </c>
      <c r="B694" s="234" t="inlineStr">
        <is>
          <t>TXO</t>
        </is>
      </c>
      <c r="C694" s="229" t="inlineStr">
        <is>
          <t>週W2 P 08 24200 P</t>
        </is>
      </c>
      <c r="D694" s="229" t="inlineStr">
        <is>
          <t>平倉</t>
        </is>
      </c>
      <c r="E694" s="257" t="inlineStr">
        <is>
          <t>賣</t>
        </is>
      </c>
      <c r="F694" s="229" t="inlineStr">
        <is>
          <t>-</t>
        </is>
      </c>
      <c r="G694" s="697" t="n">
        <v>1</v>
      </c>
      <c r="H694" s="698" t="n">
        <v>21.5</v>
      </c>
      <c r="I694" s="697" t="n">
        <v>1075</v>
      </c>
      <c r="J694" s="585" t="n">
        <v>18</v>
      </c>
      <c r="K694" s="585" t="n">
        <v>1</v>
      </c>
      <c r="L694" s="585">
        <f>IF(B694="TXO",I694-SUM(J694:K694),IF(B694="FITX",IF(D694="新倉",-SUM(J694:K694),IF(E694="賣",(H694-H1392)*G694*200-SUM(J694:K694),(H1392-H694)*G694*200-SUM(J694:K694))),IF(D694="新倉",-SUM(J694:K694),IF(E694="賣",(H694-H1392)*G694*50-SUM(J694:K694),(H1392-H694)*G694*50-SUM(J694:K694)))))</f>
        <v/>
      </c>
      <c r="M694" s="699">
        <f>L694</f>
        <v/>
      </c>
      <c r="N694" s="686">
        <f>M694</f>
        <v/>
      </c>
      <c r="O694" s="249" t="inlineStr">
        <is>
          <t>平倉</t>
        </is>
      </c>
      <c r="P694" s="249" t="inlineStr">
        <is>
          <t>元大期貨</t>
        </is>
      </c>
    </row>
    <row r="695" hidden="1" outlineLevel="1">
      <c r="A695" s="696" t="n">
        <v>45882</v>
      </c>
      <c r="B695" s="234" t="inlineStr">
        <is>
          <t>TXO</t>
        </is>
      </c>
      <c r="C695" s="229" t="inlineStr">
        <is>
          <t>週W2 P 08 24200 P</t>
        </is>
      </c>
      <c r="D695" s="229" t="inlineStr">
        <is>
          <t>平倉</t>
        </is>
      </c>
      <c r="E695" s="257" t="inlineStr">
        <is>
          <t>賣</t>
        </is>
      </c>
      <c r="F695" s="229" t="inlineStr">
        <is>
          <t>-</t>
        </is>
      </c>
      <c r="G695" s="697" t="n">
        <v>1</v>
      </c>
      <c r="H695" s="698" t="n">
        <v>29</v>
      </c>
      <c r="I695" s="697" t="n">
        <v>1450</v>
      </c>
      <c r="J695" s="585" t="n">
        <v>18</v>
      </c>
      <c r="K695" s="585" t="n">
        <v>1</v>
      </c>
      <c r="L695" s="585">
        <f>IF(B695="TXO",I695-SUM(J695:K695),IF(B695="FITX",IF(D695="新倉",-SUM(J695:K695),IF(E695="賣",(H695-H1393)*G695*200-SUM(J695:K695),(H1393-H695)*G695*200-SUM(J695:K695))),IF(D695="新倉",-SUM(J695:K695),IF(E695="賣",(H695-H1393)*G695*50-SUM(J695:K695),(H1393-H695)*G695*50-SUM(J695:K695)))))</f>
        <v/>
      </c>
      <c r="M695" s="699">
        <f>L695</f>
        <v/>
      </c>
      <c r="N695" s="686">
        <f>M695</f>
        <v/>
      </c>
      <c r="O695" s="249" t="inlineStr">
        <is>
          <t>平倉</t>
        </is>
      </c>
      <c r="P695" s="249" t="inlineStr">
        <is>
          <t>元大期貨</t>
        </is>
      </c>
    </row>
    <row r="696" hidden="1" outlineLevel="1">
      <c r="A696" s="696" t="n">
        <v>45882</v>
      </c>
      <c r="B696" s="234" t="inlineStr">
        <is>
          <t>TXO</t>
        </is>
      </c>
      <c r="C696" s="229" t="inlineStr">
        <is>
          <t>週W2 P 08 24200 P</t>
        </is>
      </c>
      <c r="D696" s="229" t="inlineStr">
        <is>
          <t>平倉</t>
        </is>
      </c>
      <c r="E696" s="257" t="inlineStr">
        <is>
          <t>賣</t>
        </is>
      </c>
      <c r="F696" s="229" t="inlineStr">
        <is>
          <t>-</t>
        </is>
      </c>
      <c r="G696" s="697" t="n">
        <v>3</v>
      </c>
      <c r="H696" s="698" t="n">
        <v>24</v>
      </c>
      <c r="I696" s="697" t="n">
        <v>3600</v>
      </c>
      <c r="J696" s="585" t="n">
        <v>54</v>
      </c>
      <c r="K696" s="585" t="n">
        <v>3</v>
      </c>
      <c r="L696" s="585">
        <f>IF(B696="TXO",I696-SUM(J696:K696),IF(B696="FITX",IF(D696="新倉",-SUM(J696:K696),IF(E696="賣",(H696-H1394)*G696*200-SUM(J696:K696),(H1394-H696)*G696*200-SUM(J696:K696))),IF(D696="新倉",-SUM(J696:K696),IF(E696="賣",(H696-H1394)*G696*50-SUM(J696:K696),(H1394-H696)*G696*50-SUM(J696:K696)))))</f>
        <v/>
      </c>
      <c r="M696" s="699">
        <f>L696</f>
        <v/>
      </c>
      <c r="N696" s="686">
        <f>M696</f>
        <v/>
      </c>
      <c r="O696" s="249" t="inlineStr">
        <is>
          <t>平倉</t>
        </is>
      </c>
      <c r="P696" s="249" t="inlineStr">
        <is>
          <t>元大期貨</t>
        </is>
      </c>
    </row>
    <row r="697" hidden="1" outlineLevel="1">
      <c r="A697" s="696" t="n">
        <v>45882</v>
      </c>
      <c r="B697" s="234" t="inlineStr">
        <is>
          <t>TXO</t>
        </is>
      </c>
      <c r="C697" s="229" t="inlineStr">
        <is>
          <t>週W2 P 08 24200 P</t>
        </is>
      </c>
      <c r="D697" s="229" t="inlineStr">
        <is>
          <t>平倉</t>
        </is>
      </c>
      <c r="E697" s="257" t="inlineStr">
        <is>
          <t>賣</t>
        </is>
      </c>
      <c r="F697" s="229" t="inlineStr">
        <is>
          <t>-</t>
        </is>
      </c>
      <c r="G697" s="697" t="n">
        <v>5</v>
      </c>
      <c r="H697" s="698" t="n">
        <v>18</v>
      </c>
      <c r="I697" s="697" t="n">
        <v>4500</v>
      </c>
      <c r="J697" s="585" t="n">
        <v>90</v>
      </c>
      <c r="K697" s="585" t="n">
        <v>5</v>
      </c>
      <c r="L697" s="585">
        <f>IF(B697="TXO",I697-SUM(J697:K697),IF(B697="FITX",IF(D697="新倉",-SUM(J697:K697),IF(E697="賣",(H697-H1395)*G697*200-SUM(J697:K697),(H1395-H697)*G697*200-SUM(J697:K697))),IF(D697="新倉",-SUM(J697:K697),IF(E697="賣",(H697-H1395)*G697*50-SUM(J697:K697),(H1395-H697)*G697*50-SUM(J697:K697)))))</f>
        <v/>
      </c>
      <c r="M697" s="699">
        <f>L697</f>
        <v/>
      </c>
      <c r="N697" s="686">
        <f>M697</f>
        <v/>
      </c>
      <c r="O697" s="249" t="inlineStr">
        <is>
          <t>平倉</t>
        </is>
      </c>
      <c r="P697" s="249" t="inlineStr">
        <is>
          <t>元大期貨</t>
        </is>
      </c>
    </row>
    <row r="698" hidden="1" outlineLevel="1">
      <c r="A698" s="696" t="n">
        <v>45882</v>
      </c>
      <c r="B698" s="234" t="inlineStr">
        <is>
          <t>TXO</t>
        </is>
      </c>
      <c r="C698" s="229" t="inlineStr">
        <is>
          <t>週W2 P 08 24150 P</t>
        </is>
      </c>
      <c r="D698" s="229" t="inlineStr">
        <is>
          <t>新倉</t>
        </is>
      </c>
      <c r="E698" s="257" t="inlineStr">
        <is>
          <t>買</t>
        </is>
      </c>
      <c r="F698" s="229" t="inlineStr">
        <is>
          <t>-</t>
        </is>
      </c>
      <c r="G698" s="697" t="n">
        <v>10</v>
      </c>
      <c r="H698" s="698" t="n">
        <v>2.6</v>
      </c>
      <c r="I698" s="697" t="n">
        <v>-1300</v>
      </c>
      <c r="J698" s="585" t="n">
        <v>180</v>
      </c>
      <c r="K698" s="585" t="n">
        <v>0</v>
      </c>
      <c r="L698" s="585">
        <f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/>
      </c>
      <c r="M698" s="699">
        <f>L698</f>
        <v/>
      </c>
      <c r="N698" s="686">
        <f>M698</f>
        <v/>
      </c>
      <c r="O698" s="249" t="inlineStr">
        <is>
          <t>新倉</t>
        </is>
      </c>
      <c r="P698" s="249" t="inlineStr">
        <is>
          <t>元大期貨</t>
        </is>
      </c>
    </row>
    <row r="699" hidden="1" outlineLevel="1">
      <c r="A699" s="696" t="n">
        <v>45882</v>
      </c>
      <c r="B699" s="234" t="inlineStr">
        <is>
          <t>TXO</t>
        </is>
      </c>
      <c r="C699" s="229" t="inlineStr">
        <is>
          <t>週W2 P 08 24150 P</t>
        </is>
      </c>
      <c r="D699" s="229" t="inlineStr">
        <is>
          <t>平倉</t>
        </is>
      </c>
      <c r="E699" s="257" t="inlineStr">
        <is>
          <t>賣</t>
        </is>
      </c>
      <c r="F699" s="229" t="inlineStr">
        <is>
          <t>-</t>
        </is>
      </c>
      <c r="G699" s="697" t="n">
        <v>1</v>
      </c>
      <c r="H699" s="698" t="n">
        <v>9.199999999999999</v>
      </c>
      <c r="I699" s="697" t="n">
        <v>460</v>
      </c>
      <c r="J699" s="585" t="n">
        <v>18</v>
      </c>
      <c r="K699" s="585" t="n">
        <v>0</v>
      </c>
      <c r="L699" s="585">
        <f>IF(B699="TXO",I699-SUM(J699:K699),IF(B699="FITX",IF(D699="新倉",-SUM(J699:K699),IF(E699="賣",(H699-H1397)*G699*200-SUM(J699:K699),(H1397-H699)*G699*200-SUM(J699:K699))),IF(D699="新倉",-SUM(J699:K699),IF(E699="賣",(H699-H1397)*G699*50-SUM(J699:K699),(H1397-H699)*G699*50-SUM(J699:K699)))))</f>
        <v/>
      </c>
      <c r="M699" s="699">
        <f>L699</f>
        <v/>
      </c>
      <c r="N699" s="686">
        <f>M699</f>
        <v/>
      </c>
      <c r="O699" s="249" t="inlineStr">
        <is>
          <t>平倉</t>
        </is>
      </c>
      <c r="P699" s="249" t="inlineStr">
        <is>
          <t>元大期貨</t>
        </is>
      </c>
    </row>
    <row r="700" hidden="1" outlineLevel="1">
      <c r="A700" s="696" t="n">
        <v>45882</v>
      </c>
      <c r="B700" s="234" t="inlineStr">
        <is>
          <t>TXO</t>
        </is>
      </c>
      <c r="C700" s="229" t="inlineStr">
        <is>
          <t>週W2 P 08 24150 P</t>
        </is>
      </c>
      <c r="D700" s="229" t="inlineStr">
        <is>
          <t>平倉</t>
        </is>
      </c>
      <c r="E700" s="257" t="inlineStr">
        <is>
          <t>賣</t>
        </is>
      </c>
      <c r="F700" s="229" t="inlineStr">
        <is>
          <t>-</t>
        </is>
      </c>
      <c r="G700" s="697" t="n">
        <v>1</v>
      </c>
      <c r="H700" s="698" t="n">
        <v>13.5</v>
      </c>
      <c r="I700" s="697" t="n">
        <v>675</v>
      </c>
      <c r="J700" s="585" t="n">
        <v>18</v>
      </c>
      <c r="K700" s="585" t="n">
        <v>1</v>
      </c>
      <c r="L700" s="585">
        <f>IF(B700="TXO",I700-SUM(J700:K700),IF(B700="FITX",IF(D700="新倉",-SUM(J700:K700),IF(E700="賣",(H700-H1398)*G700*200-SUM(J700:K700),(H1398-H700)*G700*200-SUM(J700:K700))),IF(D700="新倉",-SUM(J700:K700),IF(E700="賣",(H700-H1398)*G700*50-SUM(J700:K700),(H1398-H700)*G700*50-SUM(J700:K700)))))</f>
        <v/>
      </c>
      <c r="M700" s="699">
        <f>L700</f>
        <v/>
      </c>
      <c r="N700" s="686">
        <f>M700</f>
        <v/>
      </c>
      <c r="O700" s="249" t="inlineStr">
        <is>
          <t>平倉</t>
        </is>
      </c>
      <c r="P700" s="249" t="inlineStr">
        <is>
          <t>元大期貨</t>
        </is>
      </c>
    </row>
    <row r="701" hidden="1" outlineLevel="1">
      <c r="A701" s="696" t="n">
        <v>45882</v>
      </c>
      <c r="B701" s="234" t="inlineStr">
        <is>
          <t>TXO</t>
        </is>
      </c>
      <c r="C701" s="229" t="inlineStr">
        <is>
          <t>週W2 P 08 24150 P</t>
        </is>
      </c>
      <c r="D701" s="229" t="inlineStr">
        <is>
          <t>平倉</t>
        </is>
      </c>
      <c r="E701" s="257" t="inlineStr">
        <is>
          <t>賣</t>
        </is>
      </c>
      <c r="F701" s="229" t="inlineStr">
        <is>
          <t>-</t>
        </is>
      </c>
      <c r="G701" s="697" t="n">
        <v>3</v>
      </c>
      <c r="H701" s="698" t="n">
        <v>11.5</v>
      </c>
      <c r="I701" s="697" t="n">
        <v>1725</v>
      </c>
      <c r="J701" s="585" t="n">
        <v>54</v>
      </c>
      <c r="K701" s="585" t="n">
        <v>3</v>
      </c>
      <c r="L701" s="585">
        <f>IF(B701="TXO",I701-SUM(J701:K701),IF(B701="FITX",IF(D701="新倉",-SUM(J701:K701),IF(E701="賣",(H701-H1399)*G701*200-SUM(J701:K701),(H1399-H701)*G701*200-SUM(J701:K701))),IF(D701="新倉",-SUM(J701:K701),IF(E701="賣",(H701-H1399)*G701*50-SUM(J701:K701),(H1399-H701)*G701*50-SUM(J701:K701)))))</f>
        <v/>
      </c>
      <c r="M701" s="699">
        <f>L701</f>
        <v/>
      </c>
      <c r="N701" s="686">
        <f>M701</f>
        <v/>
      </c>
      <c r="O701" s="249" t="inlineStr">
        <is>
          <t>平倉</t>
        </is>
      </c>
      <c r="P701" s="249" t="inlineStr">
        <is>
          <t>元大期貨</t>
        </is>
      </c>
    </row>
    <row r="702" hidden="1" outlineLevel="1">
      <c r="A702" s="696" t="n">
        <v>45882</v>
      </c>
      <c r="B702" s="234" t="inlineStr">
        <is>
          <t>TXO</t>
        </is>
      </c>
      <c r="C702" s="229" t="inlineStr">
        <is>
          <t>週W2 P 08 24150 P</t>
        </is>
      </c>
      <c r="D702" s="229" t="inlineStr">
        <is>
          <t>平倉</t>
        </is>
      </c>
      <c r="E702" s="257" t="inlineStr">
        <is>
          <t>賣</t>
        </is>
      </c>
      <c r="F702" s="229" t="inlineStr">
        <is>
          <t>-</t>
        </is>
      </c>
      <c r="G702" s="697" t="n">
        <v>5</v>
      </c>
      <c r="H702" s="698" t="n">
        <v>5.2</v>
      </c>
      <c r="I702" s="697" t="n">
        <v>1300</v>
      </c>
      <c r="J702" s="585" t="n">
        <v>90</v>
      </c>
      <c r="K702" s="585" t="n">
        <v>0</v>
      </c>
      <c r="L702" s="585">
        <f>IF(B702="TXO",I702-SUM(J702:K702),IF(B702="FITX",IF(D702="新倉",-SUM(J702:K702),IF(E702="賣",(H702-H1400)*G702*200-SUM(J702:K702),(H1400-H702)*G702*200-SUM(J702:K702))),IF(D702="新倉",-SUM(J702:K702),IF(E702="賣",(H702-H1400)*G702*50-SUM(J702:K702),(H1400-H702)*G702*50-SUM(J702:K702)))))</f>
        <v/>
      </c>
      <c r="M702" s="699">
        <f>L702</f>
        <v/>
      </c>
      <c r="N702" s="686">
        <f>M702</f>
        <v/>
      </c>
      <c r="O702" s="249" t="inlineStr">
        <is>
          <t>平倉</t>
        </is>
      </c>
      <c r="P702" s="249" t="inlineStr">
        <is>
          <t>元大期貨</t>
        </is>
      </c>
    </row>
    <row r="703" hidden="1" outlineLevel="1">
      <c r="A703" s="696" t="n">
        <v>45882</v>
      </c>
      <c r="B703" s="234" t="inlineStr">
        <is>
          <t>TXO</t>
        </is>
      </c>
      <c r="C703" s="229" t="inlineStr">
        <is>
          <t>週W2 C 08 24350 C</t>
        </is>
      </c>
      <c r="D703" s="229" t="inlineStr">
        <is>
          <t>新倉</t>
        </is>
      </c>
      <c r="E703" s="257" t="inlineStr">
        <is>
          <t>買</t>
        </is>
      </c>
      <c r="F703" s="229" t="inlineStr">
        <is>
          <t>-</t>
        </is>
      </c>
      <c r="G703" s="697" t="n">
        <v>1</v>
      </c>
      <c r="H703" s="698" t="n">
        <v>26</v>
      </c>
      <c r="I703" s="697" t="n">
        <v>-1300</v>
      </c>
      <c r="J703" s="585" t="n">
        <v>18</v>
      </c>
      <c r="K703" s="585" t="n">
        <v>1</v>
      </c>
      <c r="L703" s="585">
        <f>IF(B703="TXO",I703-SUM(J703:K703),IF(B703="FITX",IF(D703="新倉",-SUM(J703:K703),IF(E703="賣",(H703-H1401)*G703*200-SUM(J703:K703),(H1401-H703)*G703*200-SUM(J703:K703))),IF(D703="新倉",-SUM(J703:K703),IF(E703="賣",(H703-H1401)*G703*50-SUM(J703:K703),(H1401-H703)*G703*50-SUM(J703:K703)))))</f>
        <v/>
      </c>
      <c r="M703" s="699">
        <f>L703</f>
        <v/>
      </c>
      <c r="N703" s="686">
        <f>M703</f>
        <v/>
      </c>
      <c r="O703" s="261" t="inlineStr">
        <is>
          <t>放棄</t>
        </is>
      </c>
      <c r="P703" s="249" t="inlineStr">
        <is>
          <t>元大期貨</t>
        </is>
      </c>
    </row>
    <row r="704" hidden="1" outlineLevel="1">
      <c r="A704" s="696" t="n">
        <v>45882</v>
      </c>
      <c r="B704" s="234" t="inlineStr">
        <is>
          <t>TXO</t>
        </is>
      </c>
      <c r="C704" s="229" t="inlineStr">
        <is>
          <t>週W2 C 08 24350 C</t>
        </is>
      </c>
      <c r="D704" s="229" t="inlineStr">
        <is>
          <t>新倉</t>
        </is>
      </c>
      <c r="E704" s="257" t="inlineStr">
        <is>
          <t>買</t>
        </is>
      </c>
      <c r="F704" s="229" t="inlineStr">
        <is>
          <t>-</t>
        </is>
      </c>
      <c r="G704" s="697" t="n">
        <v>2</v>
      </c>
      <c r="H704" s="698" t="n">
        <v>34.5</v>
      </c>
      <c r="I704" s="697" t="n">
        <v>-3450</v>
      </c>
      <c r="J704" s="585" t="n">
        <v>36</v>
      </c>
      <c r="K704" s="585" t="n">
        <v>4</v>
      </c>
      <c r="L704" s="585">
        <f>IF(B704="TXO",I704-SUM(J704:K704),IF(B704="FITX",IF(D704="新倉",-SUM(J704:K704),IF(E704="賣",(H704-H1402)*G704*200-SUM(J704:K704),(H1402-H704)*G704*200-SUM(J704:K704))),IF(D704="新倉",-SUM(J704:K704),IF(E704="賣",(H704-H1402)*G704*50-SUM(J704:K704),(H1402-H704)*G704*50-SUM(J704:K704)))))</f>
        <v/>
      </c>
      <c r="M704" s="699">
        <f>L704</f>
        <v/>
      </c>
      <c r="N704" s="686">
        <f>M704</f>
        <v/>
      </c>
      <c r="O704" s="261" t="inlineStr">
        <is>
          <t>放棄</t>
        </is>
      </c>
      <c r="P704" s="249" t="inlineStr">
        <is>
          <t>元大期貨</t>
        </is>
      </c>
    </row>
    <row r="705" hidden="1" outlineLevel="1">
      <c r="A705" s="696" t="n">
        <v>45883</v>
      </c>
      <c r="B705" s="234" t="inlineStr">
        <is>
          <t>TXO</t>
        </is>
      </c>
      <c r="C705" s="229" t="inlineStr">
        <is>
          <t>週F3 P 08 24300 P</t>
        </is>
      </c>
      <c r="D705" s="229" t="inlineStr">
        <is>
          <t>新倉</t>
        </is>
      </c>
      <c r="E705" s="257" t="inlineStr">
        <is>
          <t>買</t>
        </is>
      </c>
      <c r="F705" s="229" t="inlineStr">
        <is>
          <t>-</t>
        </is>
      </c>
      <c r="G705" s="697" t="n">
        <v>1</v>
      </c>
      <c r="H705" s="698" t="n">
        <v>72</v>
      </c>
      <c r="I705" s="697" t="n">
        <v>-3600</v>
      </c>
      <c r="J705" s="585" t="n">
        <v>18</v>
      </c>
      <c r="K705" s="585" t="n">
        <v>4</v>
      </c>
      <c r="L705" s="585">
        <f>IF(B705="TXO",I705-SUM(J705:K705),IF(B705="FITX",IF(D705="新倉",-SUM(J705:K705),IF(E705="賣",(H705-H1403)*G705*200-SUM(J705:K705),(H1403-H705)*G705*200-SUM(J705:K705))),IF(D705="新倉",-SUM(J705:K705),IF(E705="賣",(H705-H1403)*G705*50-SUM(J705:K705),(H1403-H705)*G705*50-SUM(J705:K705)))))</f>
        <v/>
      </c>
      <c r="M705" s="699">
        <f>L705</f>
        <v/>
      </c>
      <c r="N705" s="686">
        <f>M705</f>
        <v/>
      </c>
      <c r="O705" s="249" t="inlineStr">
        <is>
          <t>新倉</t>
        </is>
      </c>
      <c r="P705" s="249" t="inlineStr">
        <is>
          <t>元大期貨</t>
        </is>
      </c>
    </row>
    <row r="706" hidden="1" outlineLevel="1">
      <c r="A706" s="696" t="n">
        <v>45883</v>
      </c>
      <c r="B706" s="234" t="inlineStr">
        <is>
          <t>TXO</t>
        </is>
      </c>
      <c r="C706" s="229" t="inlineStr">
        <is>
          <t>週F3 P 08 24300 P</t>
        </is>
      </c>
      <c r="D706" s="229" t="inlineStr">
        <is>
          <t>平倉</t>
        </is>
      </c>
      <c r="E706" s="257" t="inlineStr">
        <is>
          <t>賣</t>
        </is>
      </c>
      <c r="F706" s="229" t="inlineStr">
        <is>
          <t>-</t>
        </is>
      </c>
      <c r="G706" s="697" t="n">
        <v>1</v>
      </c>
      <c r="H706" s="698" t="n">
        <v>73</v>
      </c>
      <c r="I706" s="697" t="n">
        <v>3650</v>
      </c>
      <c r="J706" s="585" t="n">
        <v>18</v>
      </c>
      <c r="K706" s="585" t="n">
        <v>4</v>
      </c>
      <c r="L706" s="585">
        <f>IF(B706="TXO",I706-SUM(J706:K706),IF(B706="FITX",IF(D706="新倉",-SUM(J706:K706),IF(E706="賣",(H706-H1404)*G706*200-SUM(J706:K706),(H1404-H706)*G706*200-SUM(J706:K706))),IF(D706="新倉",-SUM(J706:K706),IF(E706="賣",(H706-H1404)*G706*50-SUM(J706:K706),(H1404-H706)*G706*50-SUM(J706:K706)))))</f>
        <v/>
      </c>
      <c r="M706" s="699">
        <f>L706</f>
        <v/>
      </c>
      <c r="N706" s="686">
        <f>M706</f>
        <v/>
      </c>
      <c r="O706" s="249" t="inlineStr">
        <is>
          <t>平倉</t>
        </is>
      </c>
      <c r="P706" s="249" t="inlineStr">
        <is>
          <t>元大期貨</t>
        </is>
      </c>
    </row>
    <row r="707" hidden="1" outlineLevel="1">
      <c r="A707" s="696" t="n">
        <v>45883</v>
      </c>
      <c r="B707" s="234" t="inlineStr">
        <is>
          <t>TXO</t>
        </is>
      </c>
      <c r="C707" s="229" t="inlineStr">
        <is>
          <t>週F3 P 08 24300 P</t>
        </is>
      </c>
      <c r="D707" s="229" t="inlineStr">
        <is>
          <t>新倉</t>
        </is>
      </c>
      <c r="E707" s="257" t="inlineStr">
        <is>
          <t>買</t>
        </is>
      </c>
      <c r="F707" s="229" t="inlineStr">
        <is>
          <t>-</t>
        </is>
      </c>
      <c r="G707" s="697" t="n">
        <v>1</v>
      </c>
      <c r="H707" s="698" t="n">
        <v>75</v>
      </c>
      <c r="I707" s="697" t="n">
        <v>-3750</v>
      </c>
      <c r="J707" s="585" t="n">
        <v>18</v>
      </c>
      <c r="K707" s="585" t="n">
        <v>4</v>
      </c>
      <c r="L707" s="585">
        <f>IF(B707="TXO",I707-SUM(J707:K707),IF(B707="FITX",IF(D707="新倉",-SUM(J707:K707),IF(E707="賣",(H707-H1405)*G707*200-SUM(J707:K707),(H1405-H707)*G707*200-SUM(J707:K707))),IF(D707="新倉",-SUM(J707:K707),IF(E707="賣",(H707-H1405)*G707*50-SUM(J707:K707),(H1405-H707)*G707*50-SUM(J707:K707)))))</f>
        <v/>
      </c>
      <c r="M707" s="699">
        <f>L707</f>
        <v/>
      </c>
      <c r="N707" s="686">
        <f>M707</f>
        <v/>
      </c>
      <c r="O707" s="249" t="inlineStr">
        <is>
          <t>新倉</t>
        </is>
      </c>
      <c r="P707" s="249" t="inlineStr">
        <is>
          <t>元大期貨</t>
        </is>
      </c>
    </row>
    <row r="708" hidden="1" outlineLevel="1">
      <c r="A708" s="696" t="n">
        <v>45883</v>
      </c>
      <c r="B708" s="234" t="inlineStr">
        <is>
          <t>TXO</t>
        </is>
      </c>
      <c r="C708" s="229" t="inlineStr">
        <is>
          <t>週F3 P 08 24300 P</t>
        </is>
      </c>
      <c r="D708" s="229" t="inlineStr">
        <is>
          <t>平倉</t>
        </is>
      </c>
      <c r="E708" s="257" t="inlineStr">
        <is>
          <t>賣</t>
        </is>
      </c>
      <c r="F708" s="229" t="inlineStr">
        <is>
          <t>-</t>
        </is>
      </c>
      <c r="G708" s="697" t="n">
        <v>1</v>
      </c>
      <c r="H708" s="698" t="n">
        <v>79</v>
      </c>
      <c r="I708" s="697" t="n">
        <v>3950</v>
      </c>
      <c r="J708" s="585" t="n">
        <v>18</v>
      </c>
      <c r="K708" s="585" t="n">
        <v>4</v>
      </c>
      <c r="L708" s="585">
        <f>IF(B708="TXO",I708-SUM(J708:K708),IF(B708="FITX",IF(D708="新倉",-SUM(J708:K708),IF(E708="賣",(H708-H1406)*G708*200-SUM(J708:K708),(H1406-H708)*G708*200-SUM(J708:K708))),IF(D708="新倉",-SUM(J708:K708),IF(E708="賣",(H708-H1406)*G708*50-SUM(J708:K708),(H1406-H708)*G708*50-SUM(J708:K708)))))</f>
        <v/>
      </c>
      <c r="M708" s="699">
        <f>L708</f>
        <v/>
      </c>
      <c r="N708" s="686">
        <f>M708</f>
        <v/>
      </c>
      <c r="O708" s="249" t="inlineStr">
        <is>
          <t>平倉</t>
        </is>
      </c>
      <c r="P708" s="249" t="inlineStr">
        <is>
          <t>元大期貨</t>
        </is>
      </c>
    </row>
    <row r="709" hidden="1" outlineLevel="1">
      <c r="A709" s="696" t="n">
        <v>45883</v>
      </c>
      <c r="B709" s="234" t="inlineStr">
        <is>
          <t>TXO</t>
        </is>
      </c>
      <c r="C709" s="229" t="inlineStr">
        <is>
          <t>週F3 P 08 24300 P</t>
        </is>
      </c>
      <c r="D709" s="229" t="inlineStr">
        <is>
          <t>新倉</t>
        </is>
      </c>
      <c r="E709" s="257" t="inlineStr">
        <is>
          <t>買</t>
        </is>
      </c>
      <c r="F709" s="229" t="inlineStr">
        <is>
          <t>-</t>
        </is>
      </c>
      <c r="G709" s="697" t="n">
        <v>1</v>
      </c>
      <c r="H709" s="698" t="n">
        <v>74</v>
      </c>
      <c r="I709" s="697" t="n">
        <v>-3700</v>
      </c>
      <c r="J709" s="585" t="n">
        <v>18</v>
      </c>
      <c r="K709" s="585" t="n">
        <v>4</v>
      </c>
      <c r="L709" s="585">
        <f>IF(B709="TXO",I709-SUM(J709:K709),IF(B709="FITX",IF(D709="新倉",-SUM(J709:K709),IF(E709="賣",(H709-H1407)*G709*200-SUM(J709:K709),(H1407-H709)*G709*200-SUM(J709:K709))),IF(D709="新倉",-SUM(J709:K709),IF(E709="賣",(H709-H1407)*G709*50-SUM(J709:K709),(H1407-H709)*G709*50-SUM(J709:K709)))))</f>
        <v/>
      </c>
      <c r="M709" s="699">
        <f>L709</f>
        <v/>
      </c>
      <c r="N709" s="686">
        <f>M709</f>
        <v/>
      </c>
      <c r="O709" s="249" t="inlineStr">
        <is>
          <t>新倉</t>
        </is>
      </c>
      <c r="P709" s="249" t="inlineStr">
        <is>
          <t>元大期貨</t>
        </is>
      </c>
    </row>
    <row r="710" hidden="1" outlineLevel="1">
      <c r="A710" s="696" t="n">
        <v>45883</v>
      </c>
      <c r="B710" s="234" t="inlineStr">
        <is>
          <t>TXO</t>
        </is>
      </c>
      <c r="C710" s="229" t="inlineStr">
        <is>
          <t>週F3 P 08 24300 P</t>
        </is>
      </c>
      <c r="D710" s="229" t="inlineStr">
        <is>
          <t>平倉</t>
        </is>
      </c>
      <c r="E710" s="257" t="inlineStr">
        <is>
          <t>賣</t>
        </is>
      </c>
      <c r="F710" s="229" t="inlineStr">
        <is>
          <t>-</t>
        </is>
      </c>
      <c r="G710" s="697" t="n">
        <v>1</v>
      </c>
      <c r="H710" s="698" t="n">
        <v>67</v>
      </c>
      <c r="I710" s="697" t="n">
        <v>3350</v>
      </c>
      <c r="J710" s="585" t="n">
        <v>18</v>
      </c>
      <c r="K710" s="585" t="n">
        <v>3</v>
      </c>
      <c r="L710" s="585">
        <f>IF(B710="TXO",I710-SUM(J710:K710),IF(B710="FITX",IF(D710="新倉",-SUM(J710:K710),IF(E710="賣",(H710-H1408)*G710*200-SUM(J710:K710),(H1408-H710)*G710*200-SUM(J710:K710))),IF(D710="新倉",-SUM(J710:K710),IF(E710="賣",(H710-H1408)*G710*50-SUM(J710:K710),(H1408-H710)*G710*50-SUM(J710:K710)))))</f>
        <v/>
      </c>
      <c r="M710" s="699">
        <f>L710</f>
        <v/>
      </c>
      <c r="N710" s="686">
        <f>M710</f>
        <v/>
      </c>
      <c r="O710" s="249" t="inlineStr">
        <is>
          <t>平倉</t>
        </is>
      </c>
      <c r="P710" s="249" t="inlineStr">
        <is>
          <t>元大期貨</t>
        </is>
      </c>
    </row>
    <row r="711" hidden="1" outlineLevel="1">
      <c r="A711" s="696" t="n">
        <v>45883</v>
      </c>
      <c r="B711" s="234" t="inlineStr">
        <is>
          <t>TXO</t>
        </is>
      </c>
      <c r="C711" s="229" t="inlineStr">
        <is>
          <t>週F3 P 08 24300 P</t>
        </is>
      </c>
      <c r="D711" s="229" t="inlineStr">
        <is>
          <t>新倉</t>
        </is>
      </c>
      <c r="E711" s="257" t="inlineStr">
        <is>
          <t>買</t>
        </is>
      </c>
      <c r="F711" s="229" t="inlineStr">
        <is>
          <t>-</t>
        </is>
      </c>
      <c r="G711" s="697" t="n">
        <v>2</v>
      </c>
      <c r="H711" s="698" t="n">
        <v>59</v>
      </c>
      <c r="I711" s="697" t="n">
        <v>-5900</v>
      </c>
      <c r="J711" s="585" t="n">
        <v>36</v>
      </c>
      <c r="K711" s="585" t="n">
        <v>6</v>
      </c>
      <c r="L711" s="585">
        <f>IF(B711="TXO",I711-SUM(J711:K711),IF(B711="FITX",IF(D711="新倉",-SUM(J711:K711),IF(E711="賣",(H711-H1409)*G711*200-SUM(J711:K711),(H1409-H711)*G711*200-SUM(J711:K711))),IF(D711="新倉",-SUM(J711:K711),IF(E711="賣",(H711-H1409)*G711*50-SUM(J711:K711),(H1409-H711)*G711*50-SUM(J711:K711)))))</f>
        <v/>
      </c>
      <c r="M711" s="699">
        <f>L711</f>
        <v/>
      </c>
      <c r="N711" s="686">
        <f>M711</f>
        <v/>
      </c>
      <c r="O711" s="249" t="inlineStr">
        <is>
          <t>新倉</t>
        </is>
      </c>
      <c r="P711" s="249" t="inlineStr">
        <is>
          <t>元大期貨</t>
        </is>
      </c>
    </row>
    <row r="712" hidden="1" outlineLevel="1">
      <c r="A712" s="696" t="n">
        <v>45883</v>
      </c>
      <c r="B712" s="234" t="inlineStr">
        <is>
          <t>TXO</t>
        </is>
      </c>
      <c r="C712" s="229" t="inlineStr">
        <is>
          <t>週F3 P 08 24300 P</t>
        </is>
      </c>
      <c r="D712" s="229" t="inlineStr">
        <is>
          <t>平倉</t>
        </is>
      </c>
      <c r="E712" s="257" t="inlineStr">
        <is>
          <t>賣</t>
        </is>
      </c>
      <c r="F712" s="229" t="inlineStr">
        <is>
          <t>-</t>
        </is>
      </c>
      <c r="G712" s="697" t="n">
        <v>2</v>
      </c>
      <c r="H712" s="698" t="n">
        <v>64</v>
      </c>
      <c r="I712" s="697" t="n">
        <v>6400</v>
      </c>
      <c r="J712" s="585" t="n">
        <v>36</v>
      </c>
      <c r="K712" s="585" t="n">
        <v>6</v>
      </c>
      <c r="L712" s="585">
        <f>IF(B712="TXO",I712-SUM(J712:K712),IF(B712="FITX",IF(D712="新倉",-SUM(J712:K712),IF(E712="賣",(H712-H1410)*G712*200-SUM(J712:K712),(H1410-H712)*G712*200-SUM(J712:K712))),IF(D712="新倉",-SUM(J712:K712),IF(E712="賣",(H712-H1410)*G712*50-SUM(J712:K712),(H1410-H712)*G712*50-SUM(J712:K712)))))</f>
        <v/>
      </c>
      <c r="M712" s="699">
        <f>L712</f>
        <v/>
      </c>
      <c r="N712" s="686">
        <f>M712</f>
        <v/>
      </c>
      <c r="O712" s="249" t="inlineStr">
        <is>
          <t>平倉</t>
        </is>
      </c>
      <c r="P712" s="249" t="inlineStr">
        <is>
          <t>元大期貨</t>
        </is>
      </c>
    </row>
    <row r="713" hidden="1" outlineLevel="1">
      <c r="A713" s="696" t="n">
        <v>45884</v>
      </c>
      <c r="B713" s="234" t="inlineStr">
        <is>
          <t>TXO</t>
        </is>
      </c>
      <c r="C713" s="229" t="inlineStr">
        <is>
          <t>週F3 P 08 24250 P</t>
        </is>
      </c>
      <c r="D713" s="229" t="inlineStr">
        <is>
          <t>新倉</t>
        </is>
      </c>
      <c r="E713" s="257" t="inlineStr">
        <is>
          <t>買</t>
        </is>
      </c>
      <c r="F713" s="229" t="inlineStr">
        <is>
          <t>-</t>
        </is>
      </c>
      <c r="G713" s="697" t="n">
        <v>2</v>
      </c>
      <c r="H713" s="698" t="n">
        <v>47</v>
      </c>
      <c r="I713" s="697" t="n">
        <v>-4700</v>
      </c>
      <c r="J713" s="585" t="n">
        <v>36</v>
      </c>
      <c r="K713" s="585" t="n">
        <v>4</v>
      </c>
      <c r="L713" s="585">
        <f>IF(B713="TXO",I713-SUM(J713:K713),IF(B713="FITX",IF(D713="新倉",-SUM(J713:K713),IF(E713="賣",(H713-H1411)*G713*200-SUM(J713:K713),(H1411-H713)*G713*200-SUM(J713:K713))),IF(D713="新倉",-SUM(J713:K713),IF(E713="賣",(H713-H1411)*G713*50-SUM(J713:K713),(H1411-H713)*G713*50-SUM(J713:K713)))))</f>
        <v/>
      </c>
      <c r="M713" s="699">
        <f>L713</f>
        <v/>
      </c>
      <c r="N713" s="686">
        <f>M713</f>
        <v/>
      </c>
      <c r="O713" s="249" t="inlineStr">
        <is>
          <t>新倉</t>
        </is>
      </c>
      <c r="P713" s="249" t="inlineStr">
        <is>
          <t>元大期貨</t>
        </is>
      </c>
    </row>
    <row r="714" hidden="1" outlineLevel="1">
      <c r="A714" s="696" t="n">
        <v>45884</v>
      </c>
      <c r="B714" s="234" t="inlineStr">
        <is>
          <t>TXO</t>
        </is>
      </c>
      <c r="C714" s="229" t="inlineStr">
        <is>
          <t>週F3 P 08 24250 P</t>
        </is>
      </c>
      <c r="D714" s="229" t="inlineStr">
        <is>
          <t>平倉</t>
        </is>
      </c>
      <c r="E714" s="257" t="inlineStr">
        <is>
          <t>賣</t>
        </is>
      </c>
      <c r="F714" s="229" t="inlineStr">
        <is>
          <t>-</t>
        </is>
      </c>
      <c r="G714" s="697" t="n">
        <v>2</v>
      </c>
      <c r="H714" s="698" t="n">
        <v>49</v>
      </c>
      <c r="I714" s="697" t="n">
        <v>4900</v>
      </c>
      <c r="J714" s="585" t="n">
        <v>36</v>
      </c>
      <c r="K714" s="585" t="n">
        <v>4</v>
      </c>
      <c r="L714" s="585">
        <f>IF(B714="TXO",I714-SUM(J714:K714),IF(B714="FITX",IF(D714="新倉",-SUM(J714:K714),IF(E714="賣",(H714-H1412)*G714*200-SUM(J714:K714),(H1412-H714)*G714*200-SUM(J714:K714))),IF(D714="新倉",-SUM(J714:K714),IF(E714="賣",(H714-H1412)*G714*50-SUM(J714:K714),(H1412-H714)*G714*50-SUM(J714:K714)))))</f>
        <v/>
      </c>
      <c r="M714" s="699">
        <f>L714</f>
        <v/>
      </c>
      <c r="N714" s="686">
        <f>M714</f>
        <v/>
      </c>
      <c r="O714" s="249" t="inlineStr">
        <is>
          <t>平倉</t>
        </is>
      </c>
      <c r="P714" s="249" t="inlineStr">
        <is>
          <t>元大期貨</t>
        </is>
      </c>
    </row>
    <row r="715" hidden="1" outlineLevel="1">
      <c r="A715" s="696" t="n">
        <v>45884</v>
      </c>
      <c r="B715" s="234" t="inlineStr">
        <is>
          <t>TXO</t>
        </is>
      </c>
      <c r="C715" s="229" t="inlineStr">
        <is>
          <t>週F3 C 08 24300 C</t>
        </is>
      </c>
      <c r="D715" s="229" t="inlineStr">
        <is>
          <t>新倉</t>
        </is>
      </c>
      <c r="E715" s="257" t="inlineStr">
        <is>
          <t>買</t>
        </is>
      </c>
      <c r="F715" s="229" t="inlineStr">
        <is>
          <t>-</t>
        </is>
      </c>
      <c r="G715" s="697" t="n">
        <v>1</v>
      </c>
      <c r="H715" s="698" t="n">
        <v>52</v>
      </c>
      <c r="I715" s="697" t="n">
        <v>-2600</v>
      </c>
      <c r="J715" s="585" t="n">
        <v>18</v>
      </c>
      <c r="K715" s="585" t="n">
        <v>3</v>
      </c>
      <c r="L715" s="585">
        <f>IF(B715="TXO",I715-SUM(J715:K715),IF(B715="FITX",IF(D715="新倉",-SUM(J715:K715),IF(E715="賣",(H715-H1413)*G715*200-SUM(J715:K715),(H1413-H715)*G715*200-SUM(J715:K715))),IF(D715="新倉",-SUM(J715:K715),IF(E715="賣",(H715-H1413)*G715*50-SUM(J715:K715),(H1413-H715)*G715*50-SUM(J715:K715)))))</f>
        <v/>
      </c>
      <c r="M715" s="699">
        <f>L715</f>
        <v/>
      </c>
      <c r="N715" s="686">
        <f>M715</f>
        <v/>
      </c>
      <c r="O715" s="249" t="inlineStr">
        <is>
          <t>新倉</t>
        </is>
      </c>
      <c r="P715" s="249" t="inlineStr">
        <is>
          <t>元大期貨</t>
        </is>
      </c>
    </row>
    <row r="716" hidden="1" outlineLevel="1">
      <c r="A716" s="696" t="n">
        <v>45884</v>
      </c>
      <c r="B716" s="234" t="inlineStr">
        <is>
          <t>TXO</t>
        </is>
      </c>
      <c r="C716" s="229" t="inlineStr">
        <is>
          <t>週F3 C 08 24300 C</t>
        </is>
      </c>
      <c r="D716" s="229" t="inlineStr">
        <is>
          <t>平倉</t>
        </is>
      </c>
      <c r="E716" s="257" t="inlineStr">
        <is>
          <t>賣</t>
        </is>
      </c>
      <c r="F716" s="229" t="inlineStr">
        <is>
          <t>-</t>
        </is>
      </c>
      <c r="G716" s="697" t="n">
        <v>1</v>
      </c>
      <c r="H716" s="698" t="n">
        <v>54</v>
      </c>
      <c r="I716" s="697" t="n">
        <v>2700</v>
      </c>
      <c r="J716" s="585" t="n">
        <v>18</v>
      </c>
      <c r="K716" s="585" t="n">
        <v>3</v>
      </c>
      <c r="L716" s="585">
        <f>IF(B716="TXO",I716-SUM(J716:K716),IF(B716="FITX",IF(D716="新倉",-SUM(J716:K716),IF(E716="賣",(H716-H1414)*G716*200-SUM(J716:K716),(H1414-H716)*G716*200-SUM(J716:K716))),IF(D716="新倉",-SUM(J716:K716),IF(E716="賣",(H716-H1414)*G716*50-SUM(J716:K716),(H1414-H716)*G716*50-SUM(J716:K716)))))</f>
        <v/>
      </c>
      <c r="M716" s="699">
        <f>L716</f>
        <v/>
      </c>
      <c r="N716" s="686">
        <f>M716</f>
        <v/>
      </c>
      <c r="O716" s="249" t="inlineStr">
        <is>
          <t>平倉</t>
        </is>
      </c>
      <c r="P716" s="249" t="inlineStr">
        <is>
          <t>元大期貨</t>
        </is>
      </c>
    </row>
    <row r="717" hidden="1" outlineLevel="1">
      <c r="A717" s="696" t="n">
        <v>45884</v>
      </c>
      <c r="B717" s="234" t="inlineStr">
        <is>
          <t>TXO</t>
        </is>
      </c>
      <c r="C717" s="229" t="inlineStr">
        <is>
          <t>週F3 P 08 24250 P</t>
        </is>
      </c>
      <c r="D717" s="229" t="inlineStr">
        <is>
          <t>新倉</t>
        </is>
      </c>
      <c r="E717" s="257" t="inlineStr">
        <is>
          <t>買</t>
        </is>
      </c>
      <c r="F717" s="229" t="inlineStr">
        <is>
          <t>-</t>
        </is>
      </c>
      <c r="G717" s="697" t="n">
        <v>1</v>
      </c>
      <c r="H717" s="698" t="n">
        <v>42</v>
      </c>
      <c r="I717" s="697" t="n">
        <v>-2100</v>
      </c>
      <c r="J717" s="585" t="n">
        <v>18</v>
      </c>
      <c r="K717" s="585" t="n">
        <v>2</v>
      </c>
      <c r="L717" s="585">
        <f>IF(B717="TXO",I717-SUM(J717:K717),IF(B717="FITX",IF(D717="新倉",-SUM(J717:K717),IF(E717="賣",(H717-H1415)*G717*200-SUM(J717:K717),(H1415-H717)*G717*200-SUM(J717:K717))),IF(D717="新倉",-SUM(J717:K717),IF(E717="賣",(H717-H1415)*G717*50-SUM(J717:K717),(H1415-H717)*G717*50-SUM(J717:K717)))))</f>
        <v/>
      </c>
      <c r="M717" s="699">
        <f>L717</f>
        <v/>
      </c>
      <c r="N717" s="686">
        <f>M717</f>
        <v/>
      </c>
      <c r="O717" s="261" t="inlineStr">
        <is>
          <t>放棄</t>
        </is>
      </c>
      <c r="P717" s="249" t="inlineStr">
        <is>
          <t>元大期貨</t>
        </is>
      </c>
    </row>
    <row r="718" hidden="1" outlineLevel="1">
      <c r="A718" s="696" t="n">
        <v>45884</v>
      </c>
      <c r="B718" s="234" t="inlineStr">
        <is>
          <t>TXO</t>
        </is>
      </c>
      <c r="C718" s="229" t="inlineStr">
        <is>
          <t>週F3 P 08 24250 P</t>
        </is>
      </c>
      <c r="D718" s="229" t="inlineStr">
        <is>
          <t>新倉</t>
        </is>
      </c>
      <c r="E718" s="257" t="inlineStr">
        <is>
          <t>買</t>
        </is>
      </c>
      <c r="F718" s="229" t="inlineStr">
        <is>
          <t>-</t>
        </is>
      </c>
      <c r="G718" s="697" t="n">
        <v>1</v>
      </c>
      <c r="H718" s="698" t="n">
        <v>45</v>
      </c>
      <c r="I718" s="697" t="n">
        <v>-2250</v>
      </c>
      <c r="J718" s="585" t="n">
        <v>18</v>
      </c>
      <c r="K718" s="585" t="n">
        <v>2</v>
      </c>
      <c r="L718" s="585">
        <f>IF(B718="TXO",I718-SUM(J718:K718),IF(B718="FITX",IF(D718="新倉",-SUM(J718:K718),IF(E718="賣",(H718-H1416)*G718*200-SUM(J718:K718),(H1416-H718)*G718*200-SUM(J718:K718))),IF(D718="新倉",-SUM(J718:K718),IF(E718="賣",(H718-H1416)*G718*50-SUM(J718:K718),(H1416-H718)*G718*50-SUM(J718:K718)))))</f>
        <v/>
      </c>
      <c r="M718" s="699">
        <f>L718</f>
        <v/>
      </c>
      <c r="N718" s="686">
        <f>M718</f>
        <v/>
      </c>
      <c r="O718" s="261" t="inlineStr">
        <is>
          <t>放棄</t>
        </is>
      </c>
      <c r="P718" s="249" t="inlineStr">
        <is>
          <t>元大期貨</t>
        </is>
      </c>
    </row>
    <row r="719" hidden="1" outlineLevel="1">
      <c r="A719" s="696" t="n">
        <v>45884</v>
      </c>
      <c r="B719" s="234" t="inlineStr">
        <is>
          <t>TXO</t>
        </is>
      </c>
      <c r="C719" s="229" t="inlineStr">
        <is>
          <t>週F3 P 08 24250 P</t>
        </is>
      </c>
      <c r="D719" s="229" t="inlineStr">
        <is>
          <t>新倉</t>
        </is>
      </c>
      <c r="E719" s="257" t="inlineStr">
        <is>
          <t>買</t>
        </is>
      </c>
      <c r="F719" s="229" t="inlineStr">
        <is>
          <t>-</t>
        </is>
      </c>
      <c r="G719" s="697" t="n">
        <v>2</v>
      </c>
      <c r="H719" s="698" t="n">
        <v>39</v>
      </c>
      <c r="I719" s="697" t="n">
        <v>-3900</v>
      </c>
      <c r="J719" s="585" t="n">
        <v>36</v>
      </c>
      <c r="K719" s="585" t="n">
        <v>4</v>
      </c>
      <c r="L719" s="585">
        <f>IF(B719="TXO",I719-SUM(J719:K719),IF(B719="FITX",IF(D719="新倉",-SUM(J719:K719),IF(E719="賣",(H719-H1417)*G719*200-SUM(J719:K719),(H1417-H719)*G719*200-SUM(J719:K719))),IF(D719="新倉",-SUM(J719:K719),IF(E719="賣",(H719-H1417)*G719*50-SUM(J719:K719),(H1417-H719)*G719*50-SUM(J719:K719)))))</f>
        <v/>
      </c>
      <c r="M719" s="699">
        <f>L719</f>
        <v/>
      </c>
      <c r="N719" s="686">
        <f>M719</f>
        <v/>
      </c>
      <c r="O719" s="249" t="inlineStr">
        <is>
          <t>新倉</t>
        </is>
      </c>
      <c r="P719" s="249" t="inlineStr">
        <is>
          <t>元大期貨</t>
        </is>
      </c>
    </row>
    <row r="720" hidden="1" outlineLevel="1">
      <c r="A720" s="696" t="n">
        <v>45884</v>
      </c>
      <c r="B720" s="234" t="inlineStr">
        <is>
          <t>TXO</t>
        </is>
      </c>
      <c r="C720" s="229" t="inlineStr">
        <is>
          <t>週F3 P 08 24250 P</t>
        </is>
      </c>
      <c r="D720" s="229" t="inlineStr">
        <is>
          <t>平倉</t>
        </is>
      </c>
      <c r="E720" s="257" t="inlineStr">
        <is>
          <t>賣</t>
        </is>
      </c>
      <c r="F720" s="229" t="inlineStr">
        <is>
          <t>-</t>
        </is>
      </c>
      <c r="G720" s="697" t="n">
        <v>2</v>
      </c>
      <c r="H720" s="698" t="n">
        <v>53</v>
      </c>
      <c r="I720" s="697" t="n">
        <v>5300</v>
      </c>
      <c r="J720" s="585" t="n">
        <v>36</v>
      </c>
      <c r="K720" s="585" t="n">
        <v>6</v>
      </c>
      <c r="L720" s="585">
        <f>IF(B720="TXO",I720-SUM(J720:K720),IF(B720="FITX",IF(D720="新倉",-SUM(J720:K720),IF(E720="賣",(H720-H1418)*G720*200-SUM(J720:K720),(H1418-H720)*G720*200-SUM(J720:K720))),IF(D720="新倉",-SUM(J720:K720),IF(E720="賣",(H720-H1418)*G720*50-SUM(J720:K720),(H1418-H720)*G720*50-SUM(J720:K720)))))</f>
        <v/>
      </c>
      <c r="M720" s="699">
        <f>L720</f>
        <v/>
      </c>
      <c r="N720" s="686">
        <f>M720</f>
        <v/>
      </c>
      <c r="O720" s="249" t="inlineStr">
        <is>
          <t>平倉</t>
        </is>
      </c>
      <c r="P720" s="249" t="inlineStr">
        <is>
          <t>元大期貨</t>
        </is>
      </c>
    </row>
    <row r="721" hidden="1" outlineLevel="1">
      <c r="A721" s="696" t="n">
        <v>45884</v>
      </c>
      <c r="B721" s="234" t="inlineStr">
        <is>
          <t>TXO</t>
        </is>
      </c>
      <c r="C721" s="229" t="inlineStr">
        <is>
          <t>週F3 C 08 24250 C</t>
        </is>
      </c>
      <c r="D721" s="229" t="inlineStr">
        <is>
          <t>新倉</t>
        </is>
      </c>
      <c r="E721" s="257" t="inlineStr">
        <is>
          <t>買</t>
        </is>
      </c>
      <c r="F721" s="229" t="inlineStr">
        <is>
          <t>-</t>
        </is>
      </c>
      <c r="G721" s="697" t="n">
        <v>1</v>
      </c>
      <c r="H721" s="698" t="n">
        <v>93</v>
      </c>
      <c r="I721" s="697" t="n">
        <v>-4650</v>
      </c>
      <c r="J721" s="585" t="n">
        <v>18</v>
      </c>
      <c r="K721" s="585" t="n">
        <v>5</v>
      </c>
      <c r="L721" s="585">
        <f>IF(B721="TXO",I721-SUM(J721:K721),IF(B721="FITX",IF(D721="新倉",-SUM(J721:K721),IF(E721="賣",(H721-H1419)*G721*200-SUM(J721:K721),(H1419-H721)*G721*200-SUM(J721:K721))),IF(D721="新倉",-SUM(J721:K721),IF(E721="賣",(H721-H1419)*G721*50-SUM(J721:K721),(H1419-H721)*G721*50-SUM(J721:K721)))))</f>
        <v/>
      </c>
      <c r="M721" s="699">
        <f>L721</f>
        <v/>
      </c>
      <c r="N721" s="686">
        <f>M721</f>
        <v/>
      </c>
      <c r="O721" s="249" t="inlineStr">
        <is>
          <t>新倉</t>
        </is>
      </c>
      <c r="P721" s="249" t="inlineStr">
        <is>
          <t>元大期貨</t>
        </is>
      </c>
    </row>
    <row r="722" hidden="1" outlineLevel="1">
      <c r="A722" s="696" t="n">
        <v>45884</v>
      </c>
      <c r="B722" s="234" t="inlineStr">
        <is>
          <t>TXO</t>
        </is>
      </c>
      <c r="C722" s="229" t="inlineStr">
        <is>
          <t>週F3 C 08 24250 C</t>
        </is>
      </c>
      <c r="D722" s="229" t="inlineStr">
        <is>
          <t>平倉</t>
        </is>
      </c>
      <c r="E722" s="257" t="inlineStr">
        <is>
          <t>賣</t>
        </is>
      </c>
      <c r="F722" s="229" t="inlineStr">
        <is>
          <t>-</t>
        </is>
      </c>
      <c r="G722" s="697" t="n">
        <v>1</v>
      </c>
      <c r="H722" s="698" t="n">
        <v>105</v>
      </c>
      <c r="I722" s="697" t="n">
        <v>5250</v>
      </c>
      <c r="J722" s="585" t="n">
        <v>18</v>
      </c>
      <c r="K722" s="585" t="n">
        <v>5</v>
      </c>
      <c r="L722" s="585">
        <f>IF(B722="TXO",I722-SUM(J722:K722),IF(B722="FITX",IF(D722="新倉",-SUM(J722:K722),IF(E722="賣",(H722-H1420)*G722*200-SUM(J722:K722),(H1420-H722)*G722*200-SUM(J722:K722))),IF(D722="新倉",-SUM(J722:K722),IF(E722="賣",(H722-H1420)*G722*50-SUM(J722:K722),(H1420-H722)*G722*50-SUM(J722:K722)))))</f>
        <v/>
      </c>
      <c r="M722" s="699">
        <f>L722</f>
        <v/>
      </c>
      <c r="N722" s="686">
        <f>M722</f>
        <v/>
      </c>
      <c r="O722" s="249" t="inlineStr">
        <is>
          <t>平倉</t>
        </is>
      </c>
      <c r="P722" s="249" t="inlineStr">
        <is>
          <t>元大期貨</t>
        </is>
      </c>
    </row>
    <row r="723" hidden="1" outlineLevel="1">
      <c r="A723" s="696" t="n">
        <v>45887</v>
      </c>
      <c r="B723" s="234" t="inlineStr">
        <is>
          <t>TXO</t>
        </is>
      </c>
      <c r="C723" s="229" t="inlineStr">
        <is>
          <t>台指 C 08 24400 C</t>
        </is>
      </c>
      <c r="D723" s="229" t="inlineStr">
        <is>
          <t>新倉</t>
        </is>
      </c>
      <c r="E723" s="257" t="inlineStr">
        <is>
          <t>買</t>
        </is>
      </c>
      <c r="F723" s="229" t="inlineStr">
        <is>
          <t>-</t>
        </is>
      </c>
      <c r="G723" s="697" t="n">
        <v>3</v>
      </c>
      <c r="H723" s="698" t="n">
        <v>47.5</v>
      </c>
      <c r="I723" s="697" t="n">
        <v>-7125</v>
      </c>
      <c r="J723" s="585" t="n">
        <v>54</v>
      </c>
      <c r="K723" s="585" t="n">
        <v>6</v>
      </c>
      <c r="L723" s="585">
        <f>IF(B723="TXO",I723-SUM(J723:K723),IF(B723="FITX",IF(D723="新倉",-SUM(J723:K723),IF(E723="賣",(H723-H1421)*G723*200-SUM(J723:K723),(H1421-H723)*G723*200-SUM(J723:K723))),IF(D723="新倉",-SUM(J723:K723),IF(E723="賣",(H723-H1421)*G723*50-SUM(J723:K723),(H1421-H723)*G723*50-SUM(J723:K723)))))</f>
        <v/>
      </c>
      <c r="M723" s="699">
        <f>L723</f>
        <v/>
      </c>
      <c r="N723" s="686">
        <f>M723</f>
        <v/>
      </c>
      <c r="O723" s="249" t="inlineStr">
        <is>
          <t>新倉</t>
        </is>
      </c>
      <c r="P723" s="249" t="inlineStr">
        <is>
          <t>元大期貨</t>
        </is>
      </c>
    </row>
    <row r="724" hidden="1" outlineLevel="1">
      <c r="A724" s="696" t="n">
        <v>45887</v>
      </c>
      <c r="B724" s="234" t="inlineStr">
        <is>
          <t>TXO</t>
        </is>
      </c>
      <c r="C724" s="229" t="inlineStr">
        <is>
          <t>台指 C 08 24400 C</t>
        </is>
      </c>
      <c r="D724" s="229" t="inlineStr">
        <is>
          <t>平倉</t>
        </is>
      </c>
      <c r="E724" s="257" t="inlineStr">
        <is>
          <t>賣</t>
        </is>
      </c>
      <c r="F724" s="229" t="inlineStr">
        <is>
          <t>-</t>
        </is>
      </c>
      <c r="G724" s="697" t="n">
        <v>3</v>
      </c>
      <c r="H724" s="698" t="n">
        <v>47.5</v>
      </c>
      <c r="I724" s="697" t="n">
        <v>7125</v>
      </c>
      <c r="J724" s="585" t="n">
        <v>54</v>
      </c>
      <c r="K724" s="585" t="n">
        <v>6</v>
      </c>
      <c r="L724" s="585">
        <f>IF(B724="TXO",I724-SUM(J724:K724),IF(B724="FITX",IF(D724="新倉",-SUM(J724:K724),IF(E724="賣",(H724-H1422)*G724*200-SUM(J724:K724),(H1422-H724)*G724*200-SUM(J724:K724))),IF(D724="新倉",-SUM(J724:K724),IF(E724="賣",(H724-H1422)*G724*50-SUM(J724:K724),(H1422-H724)*G724*50-SUM(J724:K724)))))</f>
        <v/>
      </c>
      <c r="M724" s="699">
        <f>L724</f>
        <v/>
      </c>
      <c r="N724" s="686">
        <f>M724</f>
        <v/>
      </c>
      <c r="O724" s="249" t="inlineStr">
        <is>
          <t>平倉</t>
        </is>
      </c>
      <c r="P724" s="249" t="inlineStr">
        <is>
          <t>元大期貨</t>
        </is>
      </c>
    </row>
    <row r="725" hidden="1" outlineLevel="1">
      <c r="A725" s="696" t="n">
        <v>45887</v>
      </c>
      <c r="B725" s="234" t="inlineStr">
        <is>
          <t>TXO</t>
        </is>
      </c>
      <c r="C725" s="229" t="inlineStr">
        <is>
          <t>台指 P 08 24300 P</t>
        </is>
      </c>
      <c r="D725" s="229" t="inlineStr">
        <is>
          <t>新倉</t>
        </is>
      </c>
      <c r="E725" s="257" t="inlineStr">
        <is>
          <t>買</t>
        </is>
      </c>
      <c r="F725" s="229" t="inlineStr">
        <is>
          <t>-</t>
        </is>
      </c>
      <c r="G725" s="697" t="n">
        <v>1</v>
      </c>
      <c r="H725" s="698" t="n">
        <v>221</v>
      </c>
      <c r="I725" s="697" t="n">
        <v>-11050</v>
      </c>
      <c r="J725" s="585" t="n">
        <v>18</v>
      </c>
      <c r="K725" s="585" t="n">
        <v>11</v>
      </c>
      <c r="L725" s="585">
        <f>IF(B725="TXO",I725-SUM(J725:K725),IF(B725="FITX",IF(D725="新倉",-SUM(J725:K725),IF(E725="賣",(H725-H1423)*G725*200-SUM(J725:K725),(H1423-H725)*G725*200-SUM(J725:K725))),IF(D725="新倉",-SUM(J725:K725),IF(E725="賣",(H725-H1423)*G725*50-SUM(J725:K725),(H1423-H725)*G725*50-SUM(J725:K725)))))</f>
        <v/>
      </c>
      <c r="M725" s="699">
        <f>L725</f>
        <v/>
      </c>
      <c r="N725" s="686">
        <f>M725</f>
        <v/>
      </c>
      <c r="O725" s="249" t="inlineStr">
        <is>
          <t>新倉</t>
        </is>
      </c>
      <c r="P725" s="249" t="inlineStr">
        <is>
          <t>元大期貨</t>
        </is>
      </c>
    </row>
    <row r="726" hidden="1" outlineLevel="1">
      <c r="A726" s="696" t="n">
        <v>45887</v>
      </c>
      <c r="B726" s="234" t="inlineStr">
        <is>
          <t>TXO</t>
        </is>
      </c>
      <c r="C726" s="229" t="inlineStr">
        <is>
          <t>台指 P 08 24300 P</t>
        </is>
      </c>
      <c r="D726" s="229" t="inlineStr">
        <is>
          <t>平倉</t>
        </is>
      </c>
      <c r="E726" s="257" t="inlineStr">
        <is>
          <t>賣</t>
        </is>
      </c>
      <c r="F726" s="229" t="inlineStr">
        <is>
          <t>-</t>
        </is>
      </c>
      <c r="G726" s="697" t="n">
        <v>1</v>
      </c>
      <c r="H726" s="698" t="n">
        <v>198</v>
      </c>
      <c r="I726" s="697" t="n">
        <v>9900</v>
      </c>
      <c r="J726" s="585" t="n">
        <v>18</v>
      </c>
      <c r="K726" s="585" t="n">
        <v>10</v>
      </c>
      <c r="L726" s="585">
        <f>IF(B726="TXO",I726-SUM(J726:K726),IF(B726="FITX",IF(D726="新倉",-SUM(J726:K726),IF(E726="賣",(H726-H1424)*G726*200-SUM(J726:K726),(H1424-H726)*G726*200-SUM(J726:K726))),IF(D726="新倉",-SUM(J726:K726),IF(E726="賣",(H726-H1424)*G726*50-SUM(J726:K726),(H1424-H726)*G726*50-SUM(J726:K726)))))</f>
        <v/>
      </c>
      <c r="M726" s="699">
        <f>L726</f>
        <v/>
      </c>
      <c r="N726" s="686">
        <f>M726</f>
        <v/>
      </c>
      <c r="O726" s="249" t="inlineStr">
        <is>
          <t>平倉</t>
        </is>
      </c>
      <c r="P726" s="249" t="inlineStr">
        <is>
          <t>元大期貨</t>
        </is>
      </c>
    </row>
    <row r="727" hidden="1" outlineLevel="1">
      <c r="A727" s="696" t="n">
        <v>45887</v>
      </c>
      <c r="B727" s="234" t="inlineStr">
        <is>
          <t>TXO</t>
        </is>
      </c>
      <c r="C727" s="229" t="inlineStr">
        <is>
          <t>台指 P 08 24300 P</t>
        </is>
      </c>
      <c r="D727" s="229" t="inlineStr">
        <is>
          <t>新倉</t>
        </is>
      </c>
      <c r="E727" s="257" t="inlineStr">
        <is>
          <t>買</t>
        </is>
      </c>
      <c r="F727" s="229" t="inlineStr">
        <is>
          <t>-</t>
        </is>
      </c>
      <c r="G727" s="697" t="n">
        <v>1</v>
      </c>
      <c r="H727" s="698" t="n">
        <v>206</v>
      </c>
      <c r="I727" s="697" t="n">
        <v>-10300</v>
      </c>
      <c r="J727" s="585" t="n">
        <v>18</v>
      </c>
      <c r="K727" s="585" t="n">
        <v>10</v>
      </c>
      <c r="L727" s="585">
        <f>IF(B727="TXO",I727-SUM(J727:K727),IF(B727="FITX",IF(D727="新倉",-SUM(J727:K727),IF(E727="賣",(H727-H1425)*G727*200-SUM(J727:K727),(H1425-H727)*G727*200-SUM(J727:K727))),IF(D727="新倉",-SUM(J727:K727),IF(E727="賣",(H727-H1425)*G727*50-SUM(J727:K727),(H1425-H727)*G727*50-SUM(J727:K727)))))</f>
        <v/>
      </c>
      <c r="M727" s="699">
        <f>L727</f>
        <v/>
      </c>
      <c r="N727" s="686">
        <f>M727</f>
        <v/>
      </c>
      <c r="O727" s="249" t="inlineStr">
        <is>
          <t>新倉</t>
        </is>
      </c>
      <c r="P727" s="249" t="inlineStr">
        <is>
          <t>元大期貨</t>
        </is>
      </c>
    </row>
    <row r="728" hidden="1" outlineLevel="1">
      <c r="A728" s="696" t="n">
        <v>45887</v>
      </c>
      <c r="B728" s="234" t="inlineStr">
        <is>
          <t>TXO</t>
        </is>
      </c>
      <c r="C728" s="229" t="inlineStr">
        <is>
          <t>台指 P 08 24300 P</t>
        </is>
      </c>
      <c r="D728" s="229" t="inlineStr">
        <is>
          <t>新倉</t>
        </is>
      </c>
      <c r="E728" s="257" t="inlineStr">
        <is>
          <t>買</t>
        </is>
      </c>
      <c r="F728" s="229" t="inlineStr">
        <is>
          <t>-</t>
        </is>
      </c>
      <c r="G728" s="697" t="n">
        <v>1</v>
      </c>
      <c r="H728" s="698" t="n">
        <v>214</v>
      </c>
      <c r="I728" s="697" t="n">
        <v>-10700</v>
      </c>
      <c r="J728" s="585" t="n">
        <v>18</v>
      </c>
      <c r="K728" s="585" t="n">
        <v>11</v>
      </c>
      <c r="L728" s="585">
        <f>IF(B728="TXO",I728-SUM(J728:K728),IF(B728="FITX",IF(D728="新倉",-SUM(J728:K728),IF(E728="賣",(H728-H1426)*G728*200-SUM(J728:K728),(H1426-H728)*G728*200-SUM(J728:K728))),IF(D728="新倉",-SUM(J728:K728),IF(E728="賣",(H728-H1426)*G728*50-SUM(J728:K728),(H1426-H728)*G728*50-SUM(J728:K728)))))</f>
        <v/>
      </c>
      <c r="M728" s="699">
        <f>L728</f>
        <v/>
      </c>
      <c r="N728" s="686">
        <f>M728</f>
        <v/>
      </c>
      <c r="O728" s="249" t="inlineStr">
        <is>
          <t>新倉</t>
        </is>
      </c>
      <c r="P728" s="249" t="inlineStr">
        <is>
          <t>元大期貨</t>
        </is>
      </c>
    </row>
    <row r="729" hidden="1" outlineLevel="1">
      <c r="A729" s="696" t="n">
        <v>45887</v>
      </c>
      <c r="B729" s="234" t="inlineStr">
        <is>
          <t>TXO</t>
        </is>
      </c>
      <c r="C729" s="229" t="inlineStr">
        <is>
          <t>台指 P 08 24300 P</t>
        </is>
      </c>
      <c r="D729" s="229" t="inlineStr">
        <is>
          <t>平倉</t>
        </is>
      </c>
      <c r="E729" s="257" t="inlineStr">
        <is>
          <t>賣</t>
        </is>
      </c>
      <c r="F729" s="229" t="inlineStr">
        <is>
          <t>-</t>
        </is>
      </c>
      <c r="G729" s="697" t="n">
        <v>2</v>
      </c>
      <c r="H729" s="698" t="n">
        <v>224</v>
      </c>
      <c r="I729" s="697" t="n">
        <v>22400</v>
      </c>
      <c r="J729" s="585" t="n">
        <v>36</v>
      </c>
      <c r="K729" s="585" t="n">
        <v>22</v>
      </c>
      <c r="L729" s="585">
        <f>IF(B729="TXO",I729-SUM(J729:K729),IF(B729="FITX",IF(D729="新倉",-SUM(J729:K729),IF(E729="賣",(H729-H1427)*G729*200-SUM(J729:K729),(H1427-H729)*G729*200-SUM(J729:K729))),IF(D729="新倉",-SUM(J729:K729),IF(E729="賣",(H729-H1427)*G729*50-SUM(J729:K729),(H1427-H729)*G729*50-SUM(J729:K729)))))</f>
        <v/>
      </c>
      <c r="M729" s="699">
        <f>L729</f>
        <v/>
      </c>
      <c r="N729" s="686">
        <f>M729</f>
        <v/>
      </c>
      <c r="O729" s="249" t="inlineStr">
        <is>
          <t>平倉</t>
        </is>
      </c>
      <c r="P729" s="249" t="inlineStr">
        <is>
          <t>元大期貨</t>
        </is>
      </c>
    </row>
    <row r="730" hidden="1" outlineLevel="1">
      <c r="A730" s="696" t="n">
        <v>45887</v>
      </c>
      <c r="B730" s="234" t="inlineStr">
        <is>
          <t>TXO</t>
        </is>
      </c>
      <c r="C730" s="229" t="inlineStr">
        <is>
          <t>台指 P 08 24300 P</t>
        </is>
      </c>
      <c r="D730" s="229" t="inlineStr">
        <is>
          <t>新倉</t>
        </is>
      </c>
      <c r="E730" s="257" t="inlineStr">
        <is>
          <t>買</t>
        </is>
      </c>
      <c r="F730" s="229" t="inlineStr">
        <is>
          <t>-</t>
        </is>
      </c>
      <c r="G730" s="697" t="n">
        <v>1</v>
      </c>
      <c r="H730" s="698" t="n">
        <v>192</v>
      </c>
      <c r="I730" s="697" t="n">
        <v>-9600</v>
      </c>
      <c r="J730" s="585" t="n">
        <v>18</v>
      </c>
      <c r="K730" s="585" t="n">
        <v>10</v>
      </c>
      <c r="L730" s="585">
        <f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/>
      </c>
      <c r="M730" s="699">
        <f>L730</f>
        <v/>
      </c>
      <c r="N730" s="686">
        <f>M730</f>
        <v/>
      </c>
      <c r="O730" s="249" t="inlineStr">
        <is>
          <t>新倉</t>
        </is>
      </c>
      <c r="P730" s="249" t="inlineStr">
        <is>
          <t>元大期貨</t>
        </is>
      </c>
    </row>
    <row r="731" hidden="1" outlineLevel="1">
      <c r="A731" s="696" t="n">
        <v>45887</v>
      </c>
      <c r="B731" s="234" t="inlineStr">
        <is>
          <t>TXO</t>
        </is>
      </c>
      <c r="C731" s="229" t="inlineStr">
        <is>
          <t>台指 P 08 24300 P</t>
        </is>
      </c>
      <c r="D731" s="229" t="inlineStr">
        <is>
          <t>平倉</t>
        </is>
      </c>
      <c r="E731" s="257" t="inlineStr">
        <is>
          <t>賣</t>
        </is>
      </c>
      <c r="F731" s="229" t="inlineStr">
        <is>
          <t>-</t>
        </is>
      </c>
      <c r="G731" s="697" t="n">
        <v>1</v>
      </c>
      <c r="H731" s="698" t="n">
        <v>225</v>
      </c>
      <c r="I731" s="697" t="n">
        <v>11250</v>
      </c>
      <c r="J731" s="585" t="n">
        <v>18</v>
      </c>
      <c r="K731" s="585" t="n">
        <v>11</v>
      </c>
      <c r="L731" s="585">
        <f>IF(B731="TXO",I731-SUM(J731:K731),IF(B731="FITX",IF(D731="新倉",-SUM(J731:K731),IF(E731="賣",(H731-H1429)*G731*200-SUM(J731:K731),(H1429-H731)*G731*200-SUM(J731:K731))),IF(D731="新倉",-SUM(J731:K731),IF(E731="賣",(H731-H1429)*G731*50-SUM(J731:K731),(H1429-H731)*G731*50-SUM(J731:K731)))))</f>
        <v/>
      </c>
      <c r="M731" s="699">
        <f>L731</f>
        <v/>
      </c>
      <c r="N731" s="686">
        <f>M731</f>
        <v/>
      </c>
      <c r="O731" s="249" t="inlineStr">
        <is>
          <t>平倉</t>
        </is>
      </c>
      <c r="P731" s="249" t="inlineStr">
        <is>
          <t>元大期貨</t>
        </is>
      </c>
    </row>
    <row r="732" hidden="1" outlineLevel="1">
      <c r="A732" s="696" t="n">
        <v>45887</v>
      </c>
      <c r="B732" s="234" t="inlineStr">
        <is>
          <t>TXO</t>
        </is>
      </c>
      <c r="C732" s="229" t="inlineStr">
        <is>
          <t>台指 P 08 24200 P</t>
        </is>
      </c>
      <c r="D732" s="229" t="inlineStr">
        <is>
          <t>新倉</t>
        </is>
      </c>
      <c r="E732" s="257" t="inlineStr">
        <is>
          <t>買</t>
        </is>
      </c>
      <c r="F732" s="229" t="inlineStr">
        <is>
          <t>-</t>
        </is>
      </c>
      <c r="G732" s="697" t="n">
        <v>2</v>
      </c>
      <c r="H732" s="698" t="n">
        <v>44</v>
      </c>
      <c r="I732" s="697" t="n">
        <v>-4400</v>
      </c>
      <c r="J732" s="585" t="n">
        <v>36</v>
      </c>
      <c r="K732" s="585" t="n">
        <v>4</v>
      </c>
      <c r="L732" s="585">
        <f>IF(B732="TXO",I732-SUM(J732:K732),IF(B732="FITX",IF(D732="新倉",-SUM(J732:K732),IF(E732="賣",(H732-H1430)*G732*200-SUM(J732:K732),(H1430-H732)*G732*200-SUM(J732:K732))),IF(D732="新倉",-SUM(J732:K732),IF(E732="賣",(H732-H1430)*G732*50-SUM(J732:K732),(H1430-H732)*G732*50-SUM(J732:K732)))))</f>
        <v/>
      </c>
      <c r="M732" s="699">
        <f>L732</f>
        <v/>
      </c>
      <c r="N732" s="686">
        <f>M732</f>
        <v/>
      </c>
      <c r="O732" s="249" t="inlineStr">
        <is>
          <t>新倉</t>
        </is>
      </c>
      <c r="P732" s="249" t="inlineStr">
        <is>
          <t>元大期貨</t>
        </is>
      </c>
    </row>
    <row r="733" hidden="1" outlineLevel="1">
      <c r="A733" s="696" t="n">
        <v>45889</v>
      </c>
      <c r="B733" s="234" t="inlineStr">
        <is>
          <t>TXO</t>
        </is>
      </c>
      <c r="C733" s="229" t="inlineStr">
        <is>
          <t>台指 P 08 24200 P</t>
        </is>
      </c>
      <c r="D733" s="229" t="inlineStr">
        <is>
          <t>平倉</t>
        </is>
      </c>
      <c r="E733" s="257" t="inlineStr">
        <is>
          <t>賣</t>
        </is>
      </c>
      <c r="F733" s="229" t="inlineStr">
        <is>
          <t>-</t>
        </is>
      </c>
      <c r="G733" s="697" t="n">
        <v>2</v>
      </c>
      <c r="H733" s="698" t="n">
        <v>52</v>
      </c>
      <c r="I733" s="697" t="n">
        <v>5200</v>
      </c>
      <c r="J733" s="585" t="n">
        <v>36</v>
      </c>
      <c r="K733" s="585" t="n">
        <v>6</v>
      </c>
      <c r="L733" s="585">
        <f>IF(B733="TXO",I733-SUM(J733:K733),IF(B733="FITX",IF(D733="新倉",-SUM(J733:K733),IF(E733="賣",(H733-H1431)*G733*200-SUM(J733:K733),(H1431-H733)*G733*200-SUM(J733:K733))),IF(D733="新倉",-SUM(J733:K733),IF(E733="賣",(H733-H1431)*G733*50-SUM(J733:K733),(H1431-H733)*G733*50-SUM(J733:K733)))))</f>
        <v/>
      </c>
      <c r="M733" s="699">
        <f>L733</f>
        <v/>
      </c>
      <c r="N733" s="686">
        <f>M733</f>
        <v/>
      </c>
      <c r="O733" s="249" t="inlineStr">
        <is>
          <t>平倉</t>
        </is>
      </c>
      <c r="P733" s="249" t="inlineStr">
        <is>
          <t>元大期貨</t>
        </is>
      </c>
    </row>
    <row r="734" hidden="1" outlineLevel="1">
      <c r="A734" s="696" t="n">
        <v>45887</v>
      </c>
      <c r="B734" s="234" t="inlineStr">
        <is>
          <t>TXO</t>
        </is>
      </c>
      <c r="C734" s="229" t="inlineStr">
        <is>
          <t>台指 C 08 24400 C</t>
        </is>
      </c>
      <c r="D734" s="229" t="inlineStr">
        <is>
          <t>新倉</t>
        </is>
      </c>
      <c r="E734" s="257" t="inlineStr">
        <is>
          <t>買</t>
        </is>
      </c>
      <c r="F734" s="229" t="inlineStr">
        <is>
          <t>-</t>
        </is>
      </c>
      <c r="G734" s="697" t="n">
        <v>1</v>
      </c>
      <c r="H734" s="698" t="n">
        <v>98</v>
      </c>
      <c r="I734" s="697" t="n">
        <v>-4900</v>
      </c>
      <c r="J734" s="585" t="n">
        <v>18</v>
      </c>
      <c r="K734" s="585" t="n">
        <v>5</v>
      </c>
      <c r="L734" s="585">
        <f>IF(B734="TXO",I734-SUM(J734:K734),IF(B734="FITX",IF(D734="新倉",-SUM(J734:K734),IF(E734="賣",(H734-H1432)*G734*200-SUM(J734:K734),(H1432-H734)*G734*200-SUM(J734:K734))),IF(D734="新倉",-SUM(J734:K734),IF(E734="賣",(H734-H1432)*G734*50-SUM(J734:K734),(H1432-H734)*G734*50-SUM(J734:K734)))))</f>
        <v/>
      </c>
      <c r="M734" s="699">
        <f>L734</f>
        <v/>
      </c>
      <c r="N734" s="686">
        <f>M734</f>
        <v/>
      </c>
      <c r="O734" s="249" t="inlineStr">
        <is>
          <t>新倉</t>
        </is>
      </c>
      <c r="P734" s="249" t="inlineStr">
        <is>
          <t>元大期貨</t>
        </is>
      </c>
    </row>
    <row r="735" hidden="1" outlineLevel="1">
      <c r="A735" s="696" t="n">
        <v>45887</v>
      </c>
      <c r="B735" s="234" t="inlineStr">
        <is>
          <t>TXO</t>
        </is>
      </c>
      <c r="C735" s="229" t="inlineStr">
        <is>
          <t>台指 C 08 24400 C</t>
        </is>
      </c>
      <c r="D735" s="229" t="inlineStr">
        <is>
          <t>平倉</t>
        </is>
      </c>
      <c r="E735" s="257" t="inlineStr">
        <is>
          <t>賣</t>
        </is>
      </c>
      <c r="F735" s="229" t="inlineStr">
        <is>
          <t>-</t>
        </is>
      </c>
      <c r="G735" s="697" t="n">
        <v>1</v>
      </c>
      <c r="H735" s="698" t="n">
        <v>102</v>
      </c>
      <c r="I735" s="697" t="n">
        <v>5100</v>
      </c>
      <c r="J735" s="585" t="n">
        <v>18</v>
      </c>
      <c r="K735" s="585" t="n">
        <v>5</v>
      </c>
      <c r="L735" s="585">
        <f>IF(B735="TXO",I735-SUM(J735:K735),IF(B735="FITX",IF(D735="新倉",-SUM(J735:K735),IF(E735="賣",(H735-H1433)*G735*200-SUM(J735:K735),(H1433-H735)*G735*200-SUM(J735:K735))),IF(D735="新倉",-SUM(J735:K735),IF(E735="賣",(H735-H1433)*G735*50-SUM(J735:K735),(H1433-H735)*G735*50-SUM(J735:K735)))))</f>
        <v/>
      </c>
      <c r="M735" s="699">
        <f>L735</f>
        <v/>
      </c>
      <c r="N735" s="686">
        <f>M735</f>
        <v/>
      </c>
      <c r="O735" s="249" t="inlineStr">
        <is>
          <t>平倉</t>
        </is>
      </c>
      <c r="P735" s="249" t="inlineStr">
        <is>
          <t>元大期貨</t>
        </is>
      </c>
    </row>
    <row r="736" hidden="1" outlineLevel="1">
      <c r="A736" s="696" t="n">
        <v>45888</v>
      </c>
      <c r="B736" s="234" t="inlineStr">
        <is>
          <t>TXO</t>
        </is>
      </c>
      <c r="C736" s="229" t="inlineStr">
        <is>
          <t>台指 P 08 24450 P</t>
        </is>
      </c>
      <c r="D736" s="229" t="inlineStr">
        <is>
          <t>新倉</t>
        </is>
      </c>
      <c r="E736" s="257" t="inlineStr">
        <is>
          <t>買</t>
        </is>
      </c>
      <c r="F736" s="229" t="inlineStr">
        <is>
          <t>-</t>
        </is>
      </c>
      <c r="G736" s="697" t="n">
        <v>1</v>
      </c>
      <c r="H736" s="698" t="n">
        <v>113</v>
      </c>
      <c r="I736" s="697" t="n">
        <v>-5650</v>
      </c>
      <c r="J736" s="585" t="n">
        <v>18</v>
      </c>
      <c r="K736" s="585" t="n">
        <v>6</v>
      </c>
      <c r="L736" s="585">
        <f>IF(B736="TXO",I736-SUM(J736:K736),IF(B736="FITX",IF(D736="新倉",-SUM(J736:K736),IF(E736="賣",(H736-H1434)*G736*200-SUM(J736:K736),(H1434-H736)*G736*200-SUM(J736:K736))),IF(D736="新倉",-SUM(J736:K736),IF(E736="賣",(H736-H1434)*G736*50-SUM(J736:K736),(H1434-H736)*G736*50-SUM(J736:K736)))))</f>
        <v/>
      </c>
      <c r="M736" s="699">
        <f>L736</f>
        <v/>
      </c>
      <c r="N736" s="686">
        <f>M736</f>
        <v/>
      </c>
      <c r="O736" s="249" t="inlineStr">
        <is>
          <t>新倉</t>
        </is>
      </c>
      <c r="P736" s="249" t="inlineStr">
        <is>
          <t>元大期貨</t>
        </is>
      </c>
    </row>
    <row r="737" hidden="1" outlineLevel="1">
      <c r="A737" s="696" t="n">
        <v>45888</v>
      </c>
      <c r="B737" s="234" t="inlineStr">
        <is>
          <t>TXO</t>
        </is>
      </c>
      <c r="C737" s="229" t="inlineStr">
        <is>
          <t>台指 P 08 24450 P</t>
        </is>
      </c>
      <c r="D737" s="229" t="inlineStr">
        <is>
          <t>新倉</t>
        </is>
      </c>
      <c r="E737" s="257" t="inlineStr">
        <is>
          <t>買</t>
        </is>
      </c>
      <c r="F737" s="229" t="inlineStr">
        <is>
          <t>-</t>
        </is>
      </c>
      <c r="G737" s="697" t="n">
        <v>1</v>
      </c>
      <c r="H737" s="698" t="n">
        <v>119</v>
      </c>
      <c r="I737" s="697" t="n">
        <v>-5950</v>
      </c>
      <c r="J737" s="585" t="n">
        <v>18</v>
      </c>
      <c r="K737" s="585" t="n">
        <v>6</v>
      </c>
      <c r="L737" s="585">
        <f>IF(B737="TXO",I737-SUM(J737:K737),IF(B737="FITX",IF(D737="新倉",-SUM(J737:K737),IF(E737="賣",(H737-H1435)*G737*200-SUM(J737:K737),(H1435-H737)*G737*200-SUM(J737:K737))),IF(D737="新倉",-SUM(J737:K737),IF(E737="賣",(H737-H1435)*G737*50-SUM(J737:K737),(H1435-H737)*G737*50-SUM(J737:K737)))))</f>
        <v/>
      </c>
      <c r="M737" s="699">
        <f>L737</f>
        <v/>
      </c>
      <c r="N737" s="686">
        <f>M737</f>
        <v/>
      </c>
      <c r="O737" s="249" t="inlineStr">
        <is>
          <t>新倉</t>
        </is>
      </c>
      <c r="P737" s="249" t="inlineStr">
        <is>
          <t>元大期貨</t>
        </is>
      </c>
    </row>
    <row r="738" hidden="1" outlineLevel="1">
      <c r="A738" s="696" t="n">
        <v>45888</v>
      </c>
      <c r="B738" s="234" t="inlineStr">
        <is>
          <t>TXO</t>
        </is>
      </c>
      <c r="C738" s="229" t="inlineStr">
        <is>
          <t>台指 P 08 24450 P</t>
        </is>
      </c>
      <c r="D738" s="229" t="inlineStr">
        <is>
          <t>新倉</t>
        </is>
      </c>
      <c r="E738" s="257" t="inlineStr">
        <is>
          <t>買</t>
        </is>
      </c>
      <c r="F738" s="229" t="inlineStr">
        <is>
          <t>-</t>
        </is>
      </c>
      <c r="G738" s="697" t="n">
        <v>1</v>
      </c>
      <c r="H738" s="698" t="n">
        <v>119</v>
      </c>
      <c r="I738" s="697" t="n">
        <v>-5950</v>
      </c>
      <c r="J738" s="585" t="n">
        <v>18</v>
      </c>
      <c r="K738" s="585" t="n">
        <v>6</v>
      </c>
      <c r="L738" s="585">
        <f>IF(B738="TXO",I738-SUM(J738:K738),IF(B738="FITX",IF(D738="新倉",-SUM(J738:K738),IF(E738="賣",(H738-H1436)*G738*200-SUM(J738:K738),(H1436-H738)*G738*200-SUM(J738:K738))),IF(D738="新倉",-SUM(J738:K738),IF(E738="賣",(H738-H1436)*G738*50-SUM(J738:K738),(H1436-H738)*G738*50-SUM(J738:K738)))))</f>
        <v/>
      </c>
      <c r="M738" s="699">
        <f>L738</f>
        <v/>
      </c>
      <c r="N738" s="686">
        <f>M738</f>
        <v/>
      </c>
      <c r="O738" s="249" t="inlineStr">
        <is>
          <t>新倉</t>
        </is>
      </c>
      <c r="P738" s="249" t="inlineStr">
        <is>
          <t>元大期貨</t>
        </is>
      </c>
    </row>
    <row r="739" hidden="1" outlineLevel="1">
      <c r="A739" s="696" t="n">
        <v>45888</v>
      </c>
      <c r="B739" s="234" t="inlineStr">
        <is>
          <t>TXO</t>
        </is>
      </c>
      <c r="C739" s="229" t="inlineStr">
        <is>
          <t>台指 P 08 24450 P</t>
        </is>
      </c>
      <c r="D739" s="229" t="inlineStr">
        <is>
          <t>新倉</t>
        </is>
      </c>
      <c r="E739" s="257" t="inlineStr">
        <is>
          <t>買</t>
        </is>
      </c>
      <c r="F739" s="229" t="inlineStr">
        <is>
          <t>-</t>
        </is>
      </c>
      <c r="G739" s="697" t="n">
        <v>1</v>
      </c>
      <c r="H739" s="698" t="n">
        <v>114</v>
      </c>
      <c r="I739" s="697" t="n">
        <v>-5700</v>
      </c>
      <c r="J739" s="585" t="n">
        <v>18</v>
      </c>
      <c r="K739" s="585" t="n">
        <v>6</v>
      </c>
      <c r="L739" s="585">
        <f>IF(B739="TXO",I739-SUM(J739:K739),IF(B739="FITX",IF(D739="新倉",-SUM(J739:K739),IF(E739="賣",(H739-H1437)*G739*200-SUM(J739:K739),(H1437-H739)*G739*200-SUM(J739:K739))),IF(D739="新倉",-SUM(J739:K739),IF(E739="賣",(H739-H1437)*G739*50-SUM(J739:K739),(H1437-H739)*G739*50-SUM(J739:K739)))))</f>
        <v/>
      </c>
      <c r="M739" s="699">
        <f>L739</f>
        <v/>
      </c>
      <c r="N739" s="686">
        <f>M739</f>
        <v/>
      </c>
      <c r="O739" s="249" t="inlineStr">
        <is>
          <t>新倉</t>
        </is>
      </c>
      <c r="P739" s="249" t="inlineStr">
        <is>
          <t>元大期貨</t>
        </is>
      </c>
    </row>
    <row r="740" hidden="1" outlineLevel="1">
      <c r="A740" s="696" t="n">
        <v>45888</v>
      </c>
      <c r="B740" s="234" t="inlineStr">
        <is>
          <t>TXO</t>
        </is>
      </c>
      <c r="C740" s="229" t="inlineStr">
        <is>
          <t>台指 P 08 24450 P</t>
        </is>
      </c>
      <c r="D740" s="229" t="inlineStr">
        <is>
          <t>平倉</t>
        </is>
      </c>
      <c r="E740" s="257" t="inlineStr">
        <is>
          <t>賣</t>
        </is>
      </c>
      <c r="F740" s="229" t="inlineStr">
        <is>
          <t>-</t>
        </is>
      </c>
      <c r="G740" s="697" t="n">
        <v>3</v>
      </c>
      <c r="H740" s="698" t="n">
        <v>118</v>
      </c>
      <c r="I740" s="697" t="n">
        <v>17700</v>
      </c>
      <c r="J740" s="585" t="n">
        <v>54</v>
      </c>
      <c r="K740" s="585" t="n">
        <v>18</v>
      </c>
      <c r="L740" s="585">
        <f>IF(B740="TXO",I740-SUM(J740:K740),IF(B740="FITX",IF(D740="新倉",-SUM(J740:K740),IF(E740="賣",(H740-H1438)*G740*200-SUM(J740:K740),(H1438-H740)*G740*200-SUM(J740:K740))),IF(D740="新倉",-SUM(J740:K740),IF(E740="賣",(H740-H1438)*G740*50-SUM(J740:K740),(H1438-H740)*G740*50-SUM(J740:K740)))))</f>
        <v/>
      </c>
      <c r="M740" s="699">
        <f>L740</f>
        <v/>
      </c>
      <c r="N740" s="686">
        <f>M740</f>
        <v/>
      </c>
      <c r="O740" s="249" t="inlineStr">
        <is>
          <t>平倉</t>
        </is>
      </c>
      <c r="P740" s="249" t="inlineStr">
        <is>
          <t>元大期貨</t>
        </is>
      </c>
    </row>
    <row r="741" hidden="1" outlineLevel="1">
      <c r="A741" s="696" t="n">
        <v>45888</v>
      </c>
      <c r="B741" s="234" t="inlineStr">
        <is>
          <t>TXO</t>
        </is>
      </c>
      <c r="C741" s="229" t="inlineStr">
        <is>
          <t>台指 P 08 24450 P</t>
        </is>
      </c>
      <c r="D741" s="229" t="inlineStr">
        <is>
          <t>新倉</t>
        </is>
      </c>
      <c r="E741" s="257" t="inlineStr">
        <is>
          <t>買</t>
        </is>
      </c>
      <c r="F741" s="229" t="inlineStr">
        <is>
          <t>-</t>
        </is>
      </c>
      <c r="G741" s="697" t="n">
        <v>1</v>
      </c>
      <c r="H741" s="698" t="n">
        <v>119</v>
      </c>
      <c r="I741" s="697" t="n">
        <v>-5950</v>
      </c>
      <c r="J741" s="585" t="n">
        <v>18</v>
      </c>
      <c r="K741" s="585" t="n">
        <v>6</v>
      </c>
      <c r="L741" s="585">
        <f>IF(B741="TXO",I741-SUM(J741:K741),IF(B741="FITX",IF(D741="新倉",-SUM(J741:K741),IF(E741="賣",(H741-H1439)*G741*200-SUM(J741:K741),(H1439-H741)*G741*200-SUM(J741:K741))),IF(D741="新倉",-SUM(J741:K741),IF(E741="賣",(H741-H1439)*G741*50-SUM(J741:K741),(H1439-H741)*G741*50-SUM(J741:K741)))))</f>
        <v/>
      </c>
      <c r="M741" s="699">
        <f>L741</f>
        <v/>
      </c>
      <c r="N741" s="686">
        <f>M741</f>
        <v/>
      </c>
      <c r="O741" s="249" t="inlineStr">
        <is>
          <t>新倉</t>
        </is>
      </c>
      <c r="P741" s="249" t="inlineStr">
        <is>
          <t>元大期貨</t>
        </is>
      </c>
    </row>
    <row r="742" hidden="1" outlineLevel="1">
      <c r="A742" s="696" t="n">
        <v>45888</v>
      </c>
      <c r="B742" s="234" t="inlineStr">
        <is>
          <t>TXO</t>
        </is>
      </c>
      <c r="C742" s="229" t="inlineStr">
        <is>
          <t>台指 P 08 24450 P</t>
        </is>
      </c>
      <c r="D742" s="229" t="inlineStr">
        <is>
          <t>平倉</t>
        </is>
      </c>
      <c r="E742" s="257" t="inlineStr">
        <is>
          <t>賣</t>
        </is>
      </c>
      <c r="F742" s="229" t="inlineStr">
        <is>
          <t>-</t>
        </is>
      </c>
      <c r="G742" s="697" t="n">
        <v>2</v>
      </c>
      <c r="H742" s="698" t="n">
        <v>121</v>
      </c>
      <c r="I742" s="697" t="n">
        <v>12100</v>
      </c>
      <c r="J742" s="585" t="n">
        <v>36</v>
      </c>
      <c r="K742" s="585" t="n">
        <v>12</v>
      </c>
      <c r="L742" s="585">
        <f>IF(B742="TXO",I742-SUM(J742:K742),IF(B742="FITX",IF(D742="新倉",-SUM(J742:K742),IF(E742="賣",(H742-H1440)*G742*200-SUM(J742:K742),(H1440-H742)*G742*200-SUM(J742:K742))),IF(D742="新倉",-SUM(J742:K742),IF(E742="賣",(H742-H1440)*G742*50-SUM(J742:K742),(H1440-H742)*G742*50-SUM(J742:K742)))))</f>
        <v/>
      </c>
      <c r="M742" s="699">
        <f>L742</f>
        <v/>
      </c>
      <c r="N742" s="686">
        <f>M742</f>
        <v/>
      </c>
      <c r="O742" s="249" t="inlineStr">
        <is>
          <t>平倉</t>
        </is>
      </c>
      <c r="P742" s="249" t="inlineStr">
        <is>
          <t>元大期貨</t>
        </is>
      </c>
    </row>
    <row r="743" hidden="1" outlineLevel="1">
      <c r="A743" s="696" t="n">
        <v>45888</v>
      </c>
      <c r="B743" s="234" t="inlineStr">
        <is>
          <t>TXO</t>
        </is>
      </c>
      <c r="C743" s="229" t="inlineStr">
        <is>
          <t>台指 C 08 24500 C</t>
        </is>
      </c>
      <c r="D743" s="229" t="inlineStr">
        <is>
          <t>新倉</t>
        </is>
      </c>
      <c r="E743" s="257" t="inlineStr">
        <is>
          <t>買</t>
        </is>
      </c>
      <c r="F743" s="229" t="inlineStr">
        <is>
          <t>-</t>
        </is>
      </c>
      <c r="G743" s="697" t="n">
        <v>2</v>
      </c>
      <c r="H743" s="698" t="n">
        <v>41</v>
      </c>
      <c r="I743" s="697" t="n">
        <v>-4100</v>
      </c>
      <c r="J743" s="585" t="n">
        <v>36</v>
      </c>
      <c r="K743" s="585" t="n">
        <v>4</v>
      </c>
      <c r="L743" s="585">
        <f>IF(B743="TXO",I743-SUM(J743:K743),IF(B743="FITX",IF(D743="新倉",-SUM(J743:K743),IF(E743="賣",(H743-H1441)*G743*200-SUM(J743:K743),(H1441-H743)*G743*200-SUM(J743:K743))),IF(D743="新倉",-SUM(J743:K743),IF(E743="賣",(H743-H1441)*G743*50-SUM(J743:K743),(H1441-H743)*G743*50-SUM(J743:K743)))))</f>
        <v/>
      </c>
      <c r="M743" s="699">
        <f>L743</f>
        <v/>
      </c>
      <c r="N743" s="686">
        <f>M743</f>
        <v/>
      </c>
      <c r="O743" s="261" t="inlineStr">
        <is>
          <t>放棄</t>
        </is>
      </c>
      <c r="P743" s="249" t="inlineStr">
        <is>
          <t>元大期貨</t>
        </is>
      </c>
    </row>
    <row r="744" hidden="1" outlineLevel="1">
      <c r="A744" s="696" t="n">
        <v>45889</v>
      </c>
      <c r="B744" s="234" t="inlineStr">
        <is>
          <t>TXO</t>
        </is>
      </c>
      <c r="C744" s="229" t="inlineStr">
        <is>
          <t>台指 P 08 24350 P</t>
        </is>
      </c>
      <c r="D744" s="229" t="inlineStr">
        <is>
          <t>新倉</t>
        </is>
      </c>
      <c r="E744" s="257" t="inlineStr">
        <is>
          <t>買</t>
        </is>
      </c>
      <c r="F744" s="229" t="inlineStr">
        <is>
          <t>-</t>
        </is>
      </c>
      <c r="G744" s="697" t="n">
        <v>1</v>
      </c>
      <c r="H744" s="698" t="n">
        <v>85</v>
      </c>
      <c r="I744" s="697" t="n">
        <v>-4250</v>
      </c>
      <c r="J744" s="585" t="n">
        <v>18</v>
      </c>
      <c r="K744" s="585" t="n">
        <v>4</v>
      </c>
      <c r="L744" s="585">
        <f>IF(B744="TXO",I744-SUM(J744:K744),IF(B744="FITX",IF(D744="新倉",-SUM(J744:K744),IF(E744="賣",(H744-H1442)*G744*200-SUM(J744:K744),(H1442-H744)*G744*200-SUM(J744:K744))),IF(D744="新倉",-SUM(J744:K744),IF(E744="賣",(H744-H1442)*G744*50-SUM(J744:K744),(H1442-H744)*G744*50-SUM(J744:K744)))))</f>
        <v/>
      </c>
      <c r="M744" s="699">
        <f>L744</f>
        <v/>
      </c>
      <c r="N744" s="686">
        <f>M744</f>
        <v/>
      </c>
      <c r="O744" s="249" t="inlineStr">
        <is>
          <t>新倉</t>
        </is>
      </c>
      <c r="P744" s="249" t="inlineStr">
        <is>
          <t>元大期貨</t>
        </is>
      </c>
    </row>
    <row r="745" hidden="1" outlineLevel="1">
      <c r="A745" s="696" t="n">
        <v>45889</v>
      </c>
      <c r="B745" s="234" t="inlineStr">
        <is>
          <t>TXO</t>
        </is>
      </c>
      <c r="C745" s="229" t="inlineStr">
        <is>
          <t>台指 P 08 24350 P</t>
        </is>
      </c>
      <c r="D745" s="229" t="inlineStr">
        <is>
          <t>平倉</t>
        </is>
      </c>
      <c r="E745" s="257" t="inlineStr">
        <is>
          <t>賣</t>
        </is>
      </c>
      <c r="F745" s="229" t="inlineStr">
        <is>
          <t>-</t>
        </is>
      </c>
      <c r="G745" s="697" t="n">
        <v>1</v>
      </c>
      <c r="H745" s="698" t="n">
        <v>92</v>
      </c>
      <c r="I745" s="697" t="n">
        <v>4600</v>
      </c>
      <c r="J745" s="585" t="n">
        <v>18</v>
      </c>
      <c r="K745" s="585" t="n">
        <v>5</v>
      </c>
      <c r="L745" s="585">
        <f>IF(B745="TXO",I745-SUM(J745:K745),IF(B745="FITX",IF(D745="新倉",-SUM(J745:K745),IF(E745="賣",(H745-H1443)*G745*200-SUM(J745:K745),(H1443-H745)*G745*200-SUM(J745:K745))),IF(D745="新倉",-SUM(J745:K745),IF(E745="賣",(H745-H1443)*G745*50-SUM(J745:K745),(H1443-H745)*G745*50-SUM(J745:K745)))))</f>
        <v/>
      </c>
      <c r="M745" s="699">
        <f>L745</f>
        <v/>
      </c>
      <c r="N745" s="686">
        <f>M745</f>
        <v/>
      </c>
      <c r="O745" s="249" t="inlineStr">
        <is>
          <t>平倉</t>
        </is>
      </c>
      <c r="P745" s="249" t="inlineStr">
        <is>
          <t>元大期貨</t>
        </is>
      </c>
    </row>
    <row r="746" hidden="1" outlineLevel="1">
      <c r="A746" s="696" t="n">
        <v>45889</v>
      </c>
      <c r="B746" s="234" t="inlineStr">
        <is>
          <t>TXO</t>
        </is>
      </c>
      <c r="C746" s="229" t="inlineStr">
        <is>
          <t>台指 P 08 24350 P</t>
        </is>
      </c>
      <c r="D746" s="229" t="inlineStr">
        <is>
          <t>新倉</t>
        </is>
      </c>
      <c r="E746" s="257" t="inlineStr">
        <is>
          <t>買</t>
        </is>
      </c>
      <c r="F746" s="229" t="inlineStr">
        <is>
          <t>-</t>
        </is>
      </c>
      <c r="G746" s="697" t="n">
        <v>2</v>
      </c>
      <c r="H746" s="698" t="n">
        <v>88</v>
      </c>
      <c r="I746" s="697" t="n">
        <v>-8800</v>
      </c>
      <c r="J746" s="585" t="n">
        <v>36</v>
      </c>
      <c r="K746" s="585" t="n">
        <v>8</v>
      </c>
      <c r="L746" s="585">
        <f>IF(B746="TXO",I746-SUM(J746:K746),IF(B746="FITX",IF(D746="新倉",-SUM(J746:K746),IF(E746="賣",(H746-H1444)*G746*200-SUM(J746:K746),(H1444-H746)*G746*200-SUM(J746:K746))),IF(D746="新倉",-SUM(J746:K746),IF(E746="賣",(H746-H1444)*G746*50-SUM(J746:K746),(H1444-H746)*G746*50-SUM(J746:K746)))))</f>
        <v/>
      </c>
      <c r="M746" s="699">
        <f>L746</f>
        <v/>
      </c>
      <c r="N746" s="686">
        <f>M746</f>
        <v/>
      </c>
      <c r="O746" s="249" t="inlineStr">
        <is>
          <t>新倉</t>
        </is>
      </c>
      <c r="P746" s="249" t="inlineStr">
        <is>
          <t>元大期貨</t>
        </is>
      </c>
    </row>
    <row r="747" hidden="1" outlineLevel="1">
      <c r="A747" s="696" t="n">
        <v>45889</v>
      </c>
      <c r="B747" s="234" t="inlineStr">
        <is>
          <t>TXO</t>
        </is>
      </c>
      <c r="C747" s="229" t="inlineStr">
        <is>
          <t>台指 P 08 24350 P</t>
        </is>
      </c>
      <c r="D747" s="229" t="inlineStr">
        <is>
          <t>平倉</t>
        </is>
      </c>
      <c r="E747" s="257" t="inlineStr">
        <is>
          <t>賣</t>
        </is>
      </c>
      <c r="F747" s="229" t="inlineStr">
        <is>
          <t>-</t>
        </is>
      </c>
      <c r="G747" s="697" t="n">
        <v>2</v>
      </c>
      <c r="H747" s="698" t="n">
        <v>114</v>
      </c>
      <c r="I747" s="697" t="n">
        <v>11400</v>
      </c>
      <c r="J747" s="585" t="n">
        <v>36</v>
      </c>
      <c r="K747" s="585" t="n">
        <v>12</v>
      </c>
      <c r="L747" s="585">
        <f>IF(B747="TXO",I747-SUM(J747:K747),IF(B747="FITX",IF(D747="新倉",-SUM(J747:K747),IF(E747="賣",(H747-H1445)*G747*200-SUM(J747:K747),(H1445-H747)*G747*200-SUM(J747:K747))),IF(D747="新倉",-SUM(J747:K747),IF(E747="賣",(H747-H1445)*G747*50-SUM(J747:K747),(H1445-H747)*G747*50-SUM(J747:K747)))))</f>
        <v/>
      </c>
      <c r="M747" s="699">
        <f>L747</f>
        <v/>
      </c>
      <c r="N747" s="686">
        <f>M747</f>
        <v/>
      </c>
      <c r="O747" s="249" t="inlineStr">
        <is>
          <t>平倉</t>
        </is>
      </c>
      <c r="P747" s="249" t="inlineStr">
        <is>
          <t>元大期貨</t>
        </is>
      </c>
    </row>
    <row r="748" hidden="1" outlineLevel="1">
      <c r="A748" s="696" t="n">
        <v>45889</v>
      </c>
      <c r="B748" s="234" t="inlineStr">
        <is>
          <t>TXO</t>
        </is>
      </c>
      <c r="C748" s="229" t="inlineStr">
        <is>
          <t>台指 P 08 24350 P</t>
        </is>
      </c>
      <c r="D748" s="229" t="inlineStr">
        <is>
          <t>新倉</t>
        </is>
      </c>
      <c r="E748" s="257" t="inlineStr">
        <is>
          <t>買</t>
        </is>
      </c>
      <c r="F748" s="229" t="inlineStr">
        <is>
          <t>-</t>
        </is>
      </c>
      <c r="G748" s="697" t="n">
        <v>2</v>
      </c>
      <c r="H748" s="698" t="n">
        <v>68</v>
      </c>
      <c r="I748" s="697" t="n">
        <v>-6800</v>
      </c>
      <c r="J748" s="585" t="n">
        <v>36</v>
      </c>
      <c r="K748" s="585" t="n">
        <v>6</v>
      </c>
      <c r="L748" s="585">
        <f>IF(B748="TXO",I748-SUM(J748:K748),IF(B748="FITX",IF(D748="新倉",-SUM(J748:K748),IF(E748="賣",(H748-H1446)*G748*200-SUM(J748:K748),(H1446-H748)*G748*200-SUM(J748:K748))),IF(D748="新倉",-SUM(J748:K748),IF(E748="賣",(H748-H1446)*G748*50-SUM(J748:K748),(H1446-H748)*G748*50-SUM(J748:K748)))))</f>
        <v/>
      </c>
      <c r="M748" s="699">
        <f>L748</f>
        <v/>
      </c>
      <c r="N748" s="686">
        <f>M748</f>
        <v/>
      </c>
      <c r="O748" s="249" t="inlineStr">
        <is>
          <t>新倉</t>
        </is>
      </c>
      <c r="P748" s="249" t="inlineStr">
        <is>
          <t>元大期貨</t>
        </is>
      </c>
    </row>
    <row r="749" hidden="1" outlineLevel="1">
      <c r="A749" s="696" t="n">
        <v>45889</v>
      </c>
      <c r="B749" s="234" t="inlineStr">
        <is>
          <t>TXO</t>
        </is>
      </c>
      <c r="C749" s="229" t="inlineStr">
        <is>
          <t>台指 P 08 24350 P</t>
        </is>
      </c>
      <c r="D749" s="229" t="inlineStr">
        <is>
          <t>平倉</t>
        </is>
      </c>
      <c r="E749" s="257" t="inlineStr">
        <is>
          <t>賣</t>
        </is>
      </c>
      <c r="F749" s="229" t="inlineStr">
        <is>
          <t>-</t>
        </is>
      </c>
      <c r="G749" s="697" t="n">
        <v>2</v>
      </c>
      <c r="H749" s="698" t="n">
        <v>76</v>
      </c>
      <c r="I749" s="697" t="n">
        <v>7600</v>
      </c>
      <c r="J749" s="585" t="n">
        <v>36</v>
      </c>
      <c r="K749" s="585" t="n">
        <v>8</v>
      </c>
      <c r="L749" s="585">
        <f>IF(B749="TXO",I749-SUM(J749:K749),IF(B749="FITX",IF(D749="新倉",-SUM(J749:K749),IF(E749="賣",(H749-H1447)*G749*200-SUM(J749:K749),(H1447-H749)*G749*200-SUM(J749:K749))),IF(D749="新倉",-SUM(J749:K749),IF(E749="賣",(H749-H1447)*G749*50-SUM(J749:K749),(H1447-H749)*G749*50-SUM(J749:K749)))))</f>
        <v/>
      </c>
      <c r="M749" s="699">
        <f>L749</f>
        <v/>
      </c>
      <c r="N749" s="686">
        <f>M749</f>
        <v/>
      </c>
      <c r="O749" s="249" t="inlineStr">
        <is>
          <t>平倉</t>
        </is>
      </c>
      <c r="P749" s="249" t="inlineStr">
        <is>
          <t>元大期貨</t>
        </is>
      </c>
    </row>
    <row r="750" hidden="1" outlineLevel="1">
      <c r="A750" s="696" t="n">
        <v>45889</v>
      </c>
      <c r="B750" s="234" t="inlineStr">
        <is>
          <t>TXO</t>
        </is>
      </c>
      <c r="C750" s="229" t="inlineStr">
        <is>
          <t>台指 P 08 23700 P</t>
        </is>
      </c>
      <c r="D750" s="229" t="inlineStr">
        <is>
          <t>新倉</t>
        </is>
      </c>
      <c r="E750" s="257" t="inlineStr">
        <is>
          <t>買</t>
        </is>
      </c>
      <c r="F750" s="229" t="inlineStr">
        <is>
          <t>-</t>
        </is>
      </c>
      <c r="G750" s="697" t="n">
        <v>2</v>
      </c>
      <c r="H750" s="698" t="n">
        <v>17.5</v>
      </c>
      <c r="I750" s="697" t="n">
        <v>-1750</v>
      </c>
      <c r="J750" s="585" t="n">
        <v>36</v>
      </c>
      <c r="K750" s="585" t="n">
        <v>2</v>
      </c>
      <c r="L750" s="585">
        <f>IF(B750="TXO",I750-SUM(J750:K750),IF(B750="FITX",IF(D750="新倉",-SUM(J750:K750),IF(E750="賣",(H750-H1448)*G750*200-SUM(J750:K750),(H1448-H750)*G750*200-SUM(J750:K750))),IF(D750="新倉",-SUM(J750:K750),IF(E750="賣",(H750-H1448)*G750*50-SUM(J750:K750),(H1448-H750)*G750*50-SUM(J750:K750)))))</f>
        <v/>
      </c>
      <c r="M750" s="699">
        <f>L750</f>
        <v/>
      </c>
      <c r="N750" s="686">
        <f>M750</f>
        <v/>
      </c>
      <c r="O750" s="249" t="inlineStr">
        <is>
          <t>新倉</t>
        </is>
      </c>
      <c r="P750" s="249" t="inlineStr">
        <is>
          <t>元大期貨</t>
        </is>
      </c>
    </row>
    <row r="751" hidden="1" outlineLevel="1">
      <c r="A751" s="696" t="n">
        <v>45889</v>
      </c>
      <c r="B751" s="234" t="inlineStr">
        <is>
          <t>TXO</t>
        </is>
      </c>
      <c r="C751" s="229" t="inlineStr">
        <is>
          <t>台指 P 08 23700 P</t>
        </is>
      </c>
      <c r="D751" s="229" t="inlineStr">
        <is>
          <t>平倉</t>
        </is>
      </c>
      <c r="E751" s="257" t="inlineStr">
        <is>
          <t>賣</t>
        </is>
      </c>
      <c r="F751" s="229" t="inlineStr">
        <is>
          <t>-</t>
        </is>
      </c>
      <c r="G751" s="697" t="n">
        <v>2</v>
      </c>
      <c r="H751" s="698" t="n">
        <v>35</v>
      </c>
      <c r="I751" s="697" t="n">
        <v>3500</v>
      </c>
      <c r="J751" s="585" t="n">
        <v>36</v>
      </c>
      <c r="K751" s="585" t="n">
        <v>4</v>
      </c>
      <c r="L751" s="585">
        <f>IF(B751="TXO",I751-SUM(J751:K751),IF(B751="FITX",IF(D751="新倉",-SUM(J751:K751),IF(E751="賣",(H751-H1449)*G751*200-SUM(J751:K751),(H1449-H751)*G751*200-SUM(J751:K751))),IF(D751="新倉",-SUM(J751:K751),IF(E751="賣",(H751-H1449)*G751*50-SUM(J751:K751),(H1449-H751)*G751*50-SUM(J751:K751)))))</f>
        <v/>
      </c>
      <c r="M751" s="699">
        <f>L751</f>
        <v/>
      </c>
      <c r="N751" s="686">
        <f>M751</f>
        <v/>
      </c>
      <c r="O751" s="249" t="inlineStr">
        <is>
          <t>平倉</t>
        </is>
      </c>
      <c r="P751" s="249" t="inlineStr">
        <is>
          <t>元大期貨</t>
        </is>
      </c>
    </row>
    <row r="752" hidden="1" outlineLevel="1">
      <c r="A752" s="696" t="n">
        <v>45889</v>
      </c>
      <c r="B752" s="234" t="inlineStr">
        <is>
          <t>TXO</t>
        </is>
      </c>
      <c r="C752" s="229" t="inlineStr">
        <is>
          <t>台指 C 08 24150 C</t>
        </is>
      </c>
      <c r="D752" s="229" t="inlineStr">
        <is>
          <t>新倉</t>
        </is>
      </c>
      <c r="E752" s="257" t="inlineStr">
        <is>
          <t>買</t>
        </is>
      </c>
      <c r="F752" s="229" t="inlineStr">
        <is>
          <t>-</t>
        </is>
      </c>
      <c r="G752" s="697" t="n">
        <v>3</v>
      </c>
      <c r="H752" s="698" t="n">
        <v>10</v>
      </c>
      <c r="I752" s="697" t="n">
        <v>-1500</v>
      </c>
      <c r="J752" s="585" t="n">
        <v>54</v>
      </c>
      <c r="K752" s="585" t="n">
        <v>3</v>
      </c>
      <c r="L752" s="585">
        <f>IF(B752="TXO",I752-SUM(J752:K752),IF(B752="FITX",IF(D752="新倉",-SUM(J752:K752),IF(E752="賣",(H752-H1450)*G752*200-SUM(J752:K752),(H1450-H752)*G752*200-SUM(J752:K752))),IF(D752="新倉",-SUM(J752:K752),IF(E752="賣",(H752-H1450)*G752*50-SUM(J752:K752),(H1450-H752)*G752*50-SUM(J752:K752)))))</f>
        <v/>
      </c>
      <c r="M752" s="699">
        <f>L752</f>
        <v/>
      </c>
      <c r="N752" s="686">
        <f>M752</f>
        <v/>
      </c>
      <c r="O752" s="261" t="inlineStr">
        <is>
          <t>放棄</t>
        </is>
      </c>
      <c r="P752" s="249" t="inlineStr">
        <is>
          <t>元大期貨</t>
        </is>
      </c>
    </row>
    <row r="753" hidden="1" outlineLevel="1">
      <c r="A753" s="696" t="n">
        <v>45889</v>
      </c>
      <c r="B753" s="234" t="inlineStr">
        <is>
          <t>TXO</t>
        </is>
      </c>
      <c r="C753" s="229" t="inlineStr">
        <is>
          <t>台指 P 08 23900 P</t>
        </is>
      </c>
      <c r="D753" s="229" t="inlineStr">
        <is>
          <t>新倉</t>
        </is>
      </c>
      <c r="E753" s="257" t="inlineStr">
        <is>
          <t>買</t>
        </is>
      </c>
      <c r="F753" s="229" t="inlineStr">
        <is>
          <t>-</t>
        </is>
      </c>
      <c r="G753" s="697" t="n">
        <v>1</v>
      </c>
      <c r="H753" s="698" t="n">
        <v>38.5</v>
      </c>
      <c r="I753" s="697" t="n">
        <v>-1925</v>
      </c>
      <c r="J753" s="585" t="n">
        <v>18</v>
      </c>
      <c r="K753" s="585" t="n">
        <v>2</v>
      </c>
      <c r="L753" s="585">
        <f>IF(B753="TXO",I753-SUM(J753:K753),IF(B753="FITX",IF(D753="新倉",-SUM(J753:K753),IF(E753="賣",(H753-H1451)*G753*200-SUM(J753:K753),(H1451-H753)*G753*200-SUM(J753:K753))),IF(D753="新倉",-SUM(J753:K753),IF(E753="賣",(H753-H1451)*G753*50-SUM(J753:K753),(H1451-H753)*G753*50-SUM(J753:K753)))))</f>
        <v/>
      </c>
      <c r="M753" s="699">
        <f>L753</f>
        <v/>
      </c>
      <c r="N753" s="686">
        <f>M753</f>
        <v/>
      </c>
      <c r="O753" s="249" t="inlineStr">
        <is>
          <t>新倉</t>
        </is>
      </c>
      <c r="P753" s="249" t="inlineStr">
        <is>
          <t>元大期貨</t>
        </is>
      </c>
    </row>
    <row r="754" hidden="1" outlineLevel="1">
      <c r="A754" s="696" t="n">
        <v>45889</v>
      </c>
      <c r="B754" s="234" t="inlineStr">
        <is>
          <t>TXO</t>
        </is>
      </c>
      <c r="C754" s="229" t="inlineStr">
        <is>
          <t>台指 P 08 23900 P</t>
        </is>
      </c>
      <c r="D754" s="229" t="inlineStr">
        <is>
          <t>平倉</t>
        </is>
      </c>
      <c r="E754" s="257" t="inlineStr">
        <is>
          <t>賣</t>
        </is>
      </c>
      <c r="F754" s="229" t="inlineStr">
        <is>
          <t>-</t>
        </is>
      </c>
      <c r="G754" s="697" t="n">
        <v>1</v>
      </c>
      <c r="H754" s="698" t="n">
        <v>77</v>
      </c>
      <c r="I754" s="697" t="n">
        <v>3850</v>
      </c>
      <c r="J754" s="585" t="n">
        <v>18</v>
      </c>
      <c r="K754" s="585" t="n">
        <v>4</v>
      </c>
      <c r="L754" s="585">
        <f>IF(B754="TXO",I754-SUM(J754:K754),IF(B754="FITX",IF(D754="新倉",-SUM(J754:K754),IF(E754="賣",(H754-H1452)*G754*200-SUM(J754:K754),(H1452-H754)*G754*200-SUM(J754:K754))),IF(D754="新倉",-SUM(J754:K754),IF(E754="賣",(H754-H1452)*G754*50-SUM(J754:K754),(H1452-H754)*G754*50-SUM(J754:K754)))))</f>
        <v/>
      </c>
      <c r="M754" s="699">
        <f>L754</f>
        <v/>
      </c>
      <c r="N754" s="686">
        <f>M754</f>
        <v/>
      </c>
      <c r="O754" s="249" t="inlineStr">
        <is>
          <t>平倉</t>
        </is>
      </c>
      <c r="P754" s="249" t="inlineStr">
        <is>
          <t>元大期貨</t>
        </is>
      </c>
    </row>
    <row r="755" hidden="1" outlineLevel="1">
      <c r="A755" s="696" t="n">
        <v>45889</v>
      </c>
      <c r="B755" s="234" t="inlineStr">
        <is>
          <t>TXO</t>
        </is>
      </c>
      <c r="C755" s="229" t="inlineStr">
        <is>
          <t>台指 C 08 24100 C</t>
        </is>
      </c>
      <c r="D755" s="229" t="inlineStr">
        <is>
          <t>新倉</t>
        </is>
      </c>
      <c r="E755" s="257" t="inlineStr">
        <is>
          <t>買</t>
        </is>
      </c>
      <c r="F755" s="229" t="inlineStr">
        <is>
          <t>-</t>
        </is>
      </c>
      <c r="G755" s="697" t="n">
        <v>1</v>
      </c>
      <c r="H755" s="698" t="n">
        <v>30</v>
      </c>
      <c r="I755" s="697" t="n">
        <v>-1500</v>
      </c>
      <c r="J755" s="585" t="n">
        <v>18</v>
      </c>
      <c r="K755" s="585" t="n">
        <v>2</v>
      </c>
      <c r="L755" s="585">
        <f>IF(B755="TXO",I755-SUM(J755:K755),IF(B755="FITX",IF(D755="新倉",-SUM(J755:K755),IF(E755="賣",(H755-H1453)*G755*200-SUM(J755:K755),(H1453-H755)*G755*200-SUM(J755:K755))),IF(D755="新倉",-SUM(J755:K755),IF(E755="賣",(H755-H1453)*G755*50-SUM(J755:K755),(H1453-H755)*G755*50-SUM(J755:K755)))))</f>
        <v/>
      </c>
      <c r="M755" s="699">
        <f>L755</f>
        <v/>
      </c>
      <c r="N755" s="686">
        <f>M755</f>
        <v/>
      </c>
      <c r="O755" s="261" t="inlineStr">
        <is>
          <t>放棄</t>
        </is>
      </c>
      <c r="P755" s="249" t="inlineStr">
        <is>
          <t>元大期貨</t>
        </is>
      </c>
    </row>
    <row r="756" hidden="1" outlineLevel="1">
      <c r="A756" s="696" t="n">
        <v>45889</v>
      </c>
      <c r="B756" s="234" t="inlineStr">
        <is>
          <t>TXO</t>
        </is>
      </c>
      <c r="C756" s="229" t="inlineStr">
        <is>
          <t>台指 C 08 24200 C</t>
        </is>
      </c>
      <c r="D756" s="229" t="inlineStr">
        <is>
          <t>新倉</t>
        </is>
      </c>
      <c r="E756" s="257" t="inlineStr">
        <is>
          <t>買</t>
        </is>
      </c>
      <c r="F756" s="229" t="inlineStr">
        <is>
          <t>-</t>
        </is>
      </c>
      <c r="G756" s="697" t="n">
        <v>1</v>
      </c>
      <c r="H756" s="698" t="n">
        <v>20</v>
      </c>
      <c r="I756" s="697" t="n">
        <v>-1000</v>
      </c>
      <c r="J756" s="585" t="n">
        <v>18</v>
      </c>
      <c r="K756" s="585" t="n">
        <v>1</v>
      </c>
      <c r="L756" s="585">
        <f>IF(B756="TXO",I756-SUM(J756:K756),IF(B756="FITX",IF(D756="新倉",-SUM(J756:K756),IF(E756="賣",(H756-H1454)*G756*200-SUM(J756:K756),(H1454-H756)*G756*200-SUM(J756:K756))),IF(D756="新倉",-SUM(J756:K756),IF(E756="賣",(H756-H1454)*G756*50-SUM(J756:K756),(H1454-H756)*G756*50-SUM(J756:K756)))))</f>
        <v/>
      </c>
      <c r="M756" s="699">
        <f>L756</f>
        <v/>
      </c>
      <c r="N756" s="686">
        <f>M756</f>
        <v/>
      </c>
      <c r="O756" s="261" t="inlineStr">
        <is>
          <t>放棄</t>
        </is>
      </c>
      <c r="P756" s="249" t="inlineStr">
        <is>
          <t>元大期貨</t>
        </is>
      </c>
    </row>
    <row r="757" hidden="1" outlineLevel="1">
      <c r="A757" s="696" t="n">
        <v>45889</v>
      </c>
      <c r="B757" s="234" t="inlineStr">
        <is>
          <t>TXO</t>
        </is>
      </c>
      <c r="C757" s="229" t="inlineStr">
        <is>
          <t>台指 C 08 24350 C</t>
        </is>
      </c>
      <c r="D757" s="229" t="inlineStr">
        <is>
          <t>新倉</t>
        </is>
      </c>
      <c r="E757" s="257" t="inlineStr">
        <is>
          <t>買</t>
        </is>
      </c>
      <c r="F757" s="229" t="inlineStr">
        <is>
          <t>-</t>
        </is>
      </c>
      <c r="G757" s="697" t="n">
        <v>10</v>
      </c>
      <c r="H757" s="698" t="n">
        <v>6</v>
      </c>
      <c r="I757" s="697" t="n">
        <v>-3000</v>
      </c>
      <c r="J757" s="585" t="n">
        <v>180</v>
      </c>
      <c r="K757" s="585" t="n">
        <v>0</v>
      </c>
      <c r="L757" s="585">
        <f>IF(B757="TXO",I757-SUM(J757:K757),IF(B757="FITX",IF(D757="新倉",-SUM(J757:K757),IF(E757="賣",(H757-H1455)*G757*200-SUM(J757:K757),(H1455-H757)*G757*200-SUM(J757:K757))),IF(D757="新倉",-SUM(J757:K757),IF(E757="賣",(H757-H1455)*G757*50-SUM(J757:K757),(H1455-H757)*G757*50-SUM(J757:K757)))))</f>
        <v/>
      </c>
      <c r="M757" s="699">
        <f>L757</f>
        <v/>
      </c>
      <c r="N757" s="686">
        <f>M757</f>
        <v/>
      </c>
      <c r="O757" s="261" t="inlineStr">
        <is>
          <t>放棄</t>
        </is>
      </c>
      <c r="P757" s="249" t="inlineStr">
        <is>
          <t>元大期貨</t>
        </is>
      </c>
    </row>
    <row r="758" hidden="1" outlineLevel="1">
      <c r="A758" s="696" t="n">
        <v>45890</v>
      </c>
      <c r="B758" s="234" t="inlineStr">
        <is>
          <t>TXO</t>
        </is>
      </c>
      <c r="C758" s="229" t="inlineStr">
        <is>
          <t>週F4 C 08 23700 C</t>
        </is>
      </c>
      <c r="D758" s="229" t="inlineStr">
        <is>
          <t>新倉</t>
        </is>
      </c>
      <c r="E758" s="257" t="inlineStr">
        <is>
          <t>買</t>
        </is>
      </c>
      <c r="F758" s="229" t="inlineStr">
        <is>
          <t>-</t>
        </is>
      </c>
      <c r="G758" s="697" t="n">
        <v>1</v>
      </c>
      <c r="H758" s="698" t="n">
        <v>120</v>
      </c>
      <c r="I758" s="697" t="n">
        <v>-6000</v>
      </c>
      <c r="J758" s="585" t="n">
        <v>18</v>
      </c>
      <c r="K758" s="585" t="n">
        <v>6</v>
      </c>
      <c r="L758" s="585">
        <f>IF(B758="TXO",I758-SUM(J758:K758),IF(B758="FITX",IF(D758="新倉",-SUM(J758:K758),IF(E758="賣",(H758-H1456)*G758*200-SUM(J758:K758),(H1456-H758)*G758*200-SUM(J758:K758))),IF(D758="新倉",-SUM(J758:K758),IF(E758="賣",(H758-H1456)*G758*50-SUM(J758:K758),(H1456-H758)*G758*50-SUM(J758:K758)))))</f>
        <v/>
      </c>
      <c r="M758" s="699">
        <f>L758</f>
        <v/>
      </c>
      <c r="N758" s="686">
        <f>M758</f>
        <v/>
      </c>
      <c r="O758" s="249" t="inlineStr">
        <is>
          <t>新倉</t>
        </is>
      </c>
      <c r="P758" s="249" t="inlineStr">
        <is>
          <t>元大期貨</t>
        </is>
      </c>
    </row>
    <row r="759" hidden="1" outlineLevel="1">
      <c r="A759" s="696" t="n">
        <v>45890</v>
      </c>
      <c r="B759" s="234" t="inlineStr">
        <is>
          <t>TXO</t>
        </is>
      </c>
      <c r="C759" s="229" t="inlineStr">
        <is>
          <t>週F4 C 08 23700 C</t>
        </is>
      </c>
      <c r="D759" s="229" t="inlineStr">
        <is>
          <t>平倉</t>
        </is>
      </c>
      <c r="E759" s="257" t="inlineStr">
        <is>
          <t>賣</t>
        </is>
      </c>
      <c r="F759" s="229" t="inlineStr">
        <is>
          <t>-</t>
        </is>
      </c>
      <c r="G759" s="697" t="n">
        <v>1</v>
      </c>
      <c r="H759" s="698" t="n">
        <v>124</v>
      </c>
      <c r="I759" s="697" t="n">
        <v>6200</v>
      </c>
      <c r="J759" s="585" t="n">
        <v>18</v>
      </c>
      <c r="K759" s="585" t="n">
        <v>6</v>
      </c>
      <c r="L759" s="585">
        <f>IF(B759="TXO",I759-SUM(J759:K759),IF(B759="FITX",IF(D759="新倉",-SUM(J759:K759),IF(E759="賣",(H759-H1457)*G759*200-SUM(J759:K759),(H1457-H759)*G759*200-SUM(J759:K759))),IF(D759="新倉",-SUM(J759:K759),IF(E759="賣",(H759-H1457)*G759*50-SUM(J759:K759),(H1457-H759)*G759*50-SUM(J759:K759)))))</f>
        <v/>
      </c>
      <c r="M759" s="699">
        <f>L759</f>
        <v/>
      </c>
      <c r="N759" s="686">
        <f>M759</f>
        <v/>
      </c>
      <c r="O759" s="249" t="inlineStr">
        <is>
          <t>平倉</t>
        </is>
      </c>
      <c r="P759" s="249" t="inlineStr">
        <is>
          <t>元大期貨</t>
        </is>
      </c>
    </row>
    <row r="760" hidden="1" outlineLevel="1">
      <c r="A760" s="696" t="n">
        <v>45890</v>
      </c>
      <c r="B760" s="234" t="inlineStr">
        <is>
          <t>TXO</t>
        </is>
      </c>
      <c r="C760" s="229" t="inlineStr">
        <is>
          <t>週F4 C 08 23700 C</t>
        </is>
      </c>
      <c r="D760" s="229" t="inlineStr">
        <is>
          <t>新倉</t>
        </is>
      </c>
      <c r="E760" s="257" t="inlineStr">
        <is>
          <t>買</t>
        </is>
      </c>
      <c r="F760" s="229" t="inlineStr">
        <is>
          <t>-</t>
        </is>
      </c>
      <c r="G760" s="697" t="n">
        <v>1</v>
      </c>
      <c r="H760" s="698" t="n">
        <v>120</v>
      </c>
      <c r="I760" s="697" t="n">
        <v>-6000</v>
      </c>
      <c r="J760" s="585" t="n">
        <v>18</v>
      </c>
      <c r="K760" s="585" t="n">
        <v>6</v>
      </c>
      <c r="L760" s="585">
        <f>IF(B760="TXO",I760-SUM(J760:K760),IF(B760="FITX",IF(D760="新倉",-SUM(J760:K760),IF(E760="賣",(H760-H1458)*G760*200-SUM(J760:K760),(H1458-H760)*G760*200-SUM(J760:K760))),IF(D760="新倉",-SUM(J760:K760),IF(E760="賣",(H760-H1458)*G760*50-SUM(J760:K760),(H1458-H760)*G760*50-SUM(J760:K760)))))</f>
        <v/>
      </c>
      <c r="M760" s="699">
        <f>L760</f>
        <v/>
      </c>
      <c r="N760" s="686">
        <f>M760</f>
        <v/>
      </c>
      <c r="O760" s="249" t="inlineStr">
        <is>
          <t>新倉</t>
        </is>
      </c>
      <c r="P760" s="249" t="inlineStr">
        <is>
          <t>元大期貨</t>
        </is>
      </c>
    </row>
    <row r="761" hidden="1" outlineLevel="1">
      <c r="A761" s="696" t="n">
        <v>45890</v>
      </c>
      <c r="B761" s="234" t="inlineStr">
        <is>
          <t>TXO</t>
        </is>
      </c>
      <c r="C761" s="229" t="inlineStr">
        <is>
          <t>週F4 C 08 23700 C</t>
        </is>
      </c>
      <c r="D761" s="229" t="inlineStr">
        <is>
          <t>平倉</t>
        </is>
      </c>
      <c r="E761" s="257" t="inlineStr">
        <is>
          <t>賣</t>
        </is>
      </c>
      <c r="F761" s="229" t="inlineStr">
        <is>
          <t>-</t>
        </is>
      </c>
      <c r="G761" s="697" t="n">
        <v>1</v>
      </c>
      <c r="H761" s="698" t="n">
        <v>121</v>
      </c>
      <c r="I761" s="697" t="n">
        <v>6050</v>
      </c>
      <c r="J761" s="585" t="n">
        <v>18</v>
      </c>
      <c r="K761" s="585" t="n">
        <v>6</v>
      </c>
      <c r="L761" s="585">
        <f>IF(B761="TXO",I761-SUM(J761:K761),IF(B761="FITX",IF(D761="新倉",-SUM(J761:K761),IF(E761="賣",(H761-H1459)*G761*200-SUM(J761:K761),(H1459-H761)*G761*200-SUM(J761:K761))),IF(D761="新倉",-SUM(J761:K761),IF(E761="賣",(H761-H1459)*G761*50-SUM(J761:K761),(H1459-H761)*G761*50-SUM(J761:K761)))))</f>
        <v/>
      </c>
      <c r="M761" s="699">
        <f>L761</f>
        <v/>
      </c>
      <c r="N761" s="686">
        <f>M761</f>
        <v/>
      </c>
      <c r="O761" s="249" t="inlineStr">
        <is>
          <t>平倉</t>
        </is>
      </c>
      <c r="P761" s="249" t="inlineStr">
        <is>
          <t>元大期貨</t>
        </is>
      </c>
    </row>
    <row r="762" hidden="1" outlineLevel="1">
      <c r="A762" s="696" t="n">
        <v>45890</v>
      </c>
      <c r="B762" s="234" t="inlineStr">
        <is>
          <t>TXO</t>
        </is>
      </c>
      <c r="C762" s="229" t="inlineStr">
        <is>
          <t>週F4 C 08 23700 C</t>
        </is>
      </c>
      <c r="D762" s="229" t="inlineStr">
        <is>
          <t>新倉</t>
        </is>
      </c>
      <c r="E762" s="257" t="inlineStr">
        <is>
          <t>買</t>
        </is>
      </c>
      <c r="F762" s="229" t="inlineStr">
        <is>
          <t>-</t>
        </is>
      </c>
      <c r="G762" s="697" t="n">
        <v>1</v>
      </c>
      <c r="H762" s="698" t="n">
        <v>106</v>
      </c>
      <c r="I762" s="697" t="n">
        <v>-5300</v>
      </c>
      <c r="J762" s="585" t="n">
        <v>18</v>
      </c>
      <c r="K762" s="585" t="n">
        <v>5</v>
      </c>
      <c r="L762" s="585">
        <f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/>
      </c>
      <c r="M762" s="699">
        <f>L762</f>
        <v/>
      </c>
      <c r="N762" s="686">
        <f>M762</f>
        <v/>
      </c>
      <c r="O762" s="249" t="inlineStr">
        <is>
          <t>新倉</t>
        </is>
      </c>
      <c r="P762" s="249" t="inlineStr">
        <is>
          <t>元大期貨</t>
        </is>
      </c>
    </row>
    <row r="763" hidden="1" outlineLevel="1">
      <c r="A763" s="696" t="n">
        <v>45890</v>
      </c>
      <c r="B763" s="234" t="inlineStr">
        <is>
          <t>TXO</t>
        </is>
      </c>
      <c r="C763" s="229" t="inlineStr">
        <is>
          <t>週F4 C 08 23700 C</t>
        </is>
      </c>
      <c r="D763" s="229" t="inlineStr">
        <is>
          <t>新倉</t>
        </is>
      </c>
      <c r="E763" s="257" t="inlineStr">
        <is>
          <t>買</t>
        </is>
      </c>
      <c r="F763" s="229" t="inlineStr">
        <is>
          <t>-</t>
        </is>
      </c>
      <c r="G763" s="697" t="n">
        <v>1</v>
      </c>
      <c r="H763" s="698" t="n">
        <v>119</v>
      </c>
      <c r="I763" s="697" t="n">
        <v>-5950</v>
      </c>
      <c r="J763" s="585" t="n">
        <v>18</v>
      </c>
      <c r="K763" s="585" t="n">
        <v>6</v>
      </c>
      <c r="L763" s="585">
        <f>IF(B763="TXO",I763-SUM(J763:K763),IF(B763="FITX",IF(D763="新倉",-SUM(J763:K763),IF(E763="賣",(H763-H1461)*G763*200-SUM(J763:K763),(H1461-H763)*G763*200-SUM(J763:K763))),IF(D763="新倉",-SUM(J763:K763),IF(E763="賣",(H763-H1461)*G763*50-SUM(J763:K763),(H1461-H763)*G763*50-SUM(J763:K763)))))</f>
        <v/>
      </c>
      <c r="M763" s="699">
        <f>L763</f>
        <v/>
      </c>
      <c r="N763" s="686">
        <f>M763</f>
        <v/>
      </c>
      <c r="O763" s="249" t="inlineStr">
        <is>
          <t>新倉</t>
        </is>
      </c>
      <c r="P763" s="249" t="inlineStr">
        <is>
          <t>元大期貨</t>
        </is>
      </c>
    </row>
    <row r="764" hidden="1" outlineLevel="1">
      <c r="A764" s="696" t="n">
        <v>45890</v>
      </c>
      <c r="B764" s="234" t="inlineStr">
        <is>
          <t>TXO</t>
        </is>
      </c>
      <c r="C764" s="229" t="inlineStr">
        <is>
          <t>週F4 C 08 23700 C</t>
        </is>
      </c>
      <c r="D764" s="229" t="inlineStr">
        <is>
          <t>平倉</t>
        </is>
      </c>
      <c r="E764" s="257" t="inlineStr">
        <is>
          <t>賣</t>
        </is>
      </c>
      <c r="F764" s="229" t="inlineStr">
        <is>
          <t>-</t>
        </is>
      </c>
      <c r="G764" s="697" t="n">
        <v>2</v>
      </c>
      <c r="H764" s="698" t="n">
        <v>114</v>
      </c>
      <c r="I764" s="697" t="n">
        <v>11400</v>
      </c>
      <c r="J764" s="585" t="n">
        <v>36</v>
      </c>
      <c r="K764" s="585" t="n">
        <v>12</v>
      </c>
      <c r="L764" s="585">
        <f>IF(B764="TXO",I764-SUM(J764:K764),IF(B764="FITX",IF(D764="新倉",-SUM(J764:K764),IF(E764="賣",(H764-H1462)*G764*200-SUM(J764:K764),(H1462-H764)*G764*200-SUM(J764:K764))),IF(D764="新倉",-SUM(J764:K764),IF(E764="賣",(H764-H1462)*G764*50-SUM(J764:K764),(H1462-H764)*G764*50-SUM(J764:K764)))))</f>
        <v/>
      </c>
      <c r="M764" s="699">
        <f>L764</f>
        <v/>
      </c>
      <c r="N764" s="686">
        <f>M764</f>
        <v/>
      </c>
      <c r="O764" s="249" t="inlineStr">
        <is>
          <t>平倉</t>
        </is>
      </c>
      <c r="P764" s="249" t="inlineStr">
        <is>
          <t>元大期貨</t>
        </is>
      </c>
    </row>
    <row r="765" hidden="1" outlineLevel="1">
      <c r="A765" s="696" t="n">
        <v>45890</v>
      </c>
      <c r="B765" s="234" t="inlineStr">
        <is>
          <t>TXO</t>
        </is>
      </c>
      <c r="C765" s="229" t="inlineStr">
        <is>
          <t>週F4 P 08 23650 P</t>
        </is>
      </c>
      <c r="D765" s="229" t="inlineStr">
        <is>
          <t>新倉</t>
        </is>
      </c>
      <c r="E765" s="257" t="inlineStr">
        <is>
          <t>買</t>
        </is>
      </c>
      <c r="F765" s="229" t="inlineStr">
        <is>
          <t>-</t>
        </is>
      </c>
      <c r="G765" s="697" t="n">
        <v>2</v>
      </c>
      <c r="H765" s="698" t="n">
        <v>122</v>
      </c>
      <c r="I765" s="697" t="n">
        <v>-12200</v>
      </c>
      <c r="J765" s="585" t="n">
        <v>36</v>
      </c>
      <c r="K765" s="585" t="n">
        <v>12</v>
      </c>
      <c r="L765" s="585">
        <f>IF(B765="TXO",I765-SUM(J765:K765),IF(B765="FITX",IF(D765="新倉",-SUM(J765:K765),IF(E765="賣",(H765-H1463)*G765*200-SUM(J765:K765),(H1463-H765)*G765*200-SUM(J765:K765))),IF(D765="新倉",-SUM(J765:K765),IF(E765="賣",(H765-H1463)*G765*50-SUM(J765:K765),(H1463-H765)*G765*50-SUM(J765:K765)))))</f>
        <v/>
      </c>
      <c r="M765" s="699">
        <f>L765</f>
        <v/>
      </c>
      <c r="N765" s="686">
        <f>M765</f>
        <v/>
      </c>
      <c r="O765" s="261" t="inlineStr">
        <is>
          <t>放棄</t>
        </is>
      </c>
      <c r="P765" s="249" t="inlineStr">
        <is>
          <t>元大期貨</t>
        </is>
      </c>
    </row>
    <row r="766" hidden="1" outlineLevel="1">
      <c r="A766" s="696" t="n">
        <v>45890</v>
      </c>
      <c r="B766" s="234" t="inlineStr">
        <is>
          <t>TXO</t>
        </is>
      </c>
      <c r="C766" s="229" t="inlineStr">
        <is>
          <t>週F4 C 08 23800 C</t>
        </is>
      </c>
      <c r="D766" s="229" t="inlineStr">
        <is>
          <t>新倉</t>
        </is>
      </c>
      <c r="E766" s="257" t="inlineStr">
        <is>
          <t>買</t>
        </is>
      </c>
      <c r="F766" s="229" t="inlineStr">
        <is>
          <t>-</t>
        </is>
      </c>
      <c r="G766" s="697" t="n">
        <v>2</v>
      </c>
      <c r="H766" s="698" t="n">
        <v>135</v>
      </c>
      <c r="I766" s="697" t="n">
        <v>-13500</v>
      </c>
      <c r="J766" s="585" t="n">
        <v>36</v>
      </c>
      <c r="K766" s="585" t="n">
        <v>14</v>
      </c>
      <c r="L766" s="585">
        <f>IF(B766="TXO",I766-SUM(J766:K766),IF(B766="FITX",IF(D766="新倉",-SUM(J766:K766),IF(E766="賣",(H766-H1464)*G766*200-SUM(J766:K766),(H1464-H766)*G766*200-SUM(J766:K766))),IF(D766="新倉",-SUM(J766:K766),IF(E766="賣",(H766-H1464)*G766*50-SUM(J766:K766),(H1464-H766)*G766*50-SUM(J766:K766)))))</f>
        <v/>
      </c>
      <c r="M766" s="699">
        <f>L766</f>
        <v/>
      </c>
      <c r="N766" s="686">
        <f>M766</f>
        <v/>
      </c>
      <c r="O766" s="249" t="inlineStr">
        <is>
          <t>新倉</t>
        </is>
      </c>
      <c r="P766" s="249" t="inlineStr">
        <is>
          <t>元大期貨</t>
        </is>
      </c>
    </row>
    <row r="767" hidden="1" outlineLevel="1">
      <c r="A767" s="696" t="n">
        <v>45890</v>
      </c>
      <c r="B767" s="234" t="inlineStr">
        <is>
          <t>TXO</t>
        </is>
      </c>
      <c r="C767" s="229" t="inlineStr">
        <is>
          <t>週F4 C 08 23800 C</t>
        </is>
      </c>
      <c r="D767" s="229" t="inlineStr">
        <is>
          <t>平倉</t>
        </is>
      </c>
      <c r="E767" s="257" t="inlineStr">
        <is>
          <t>賣</t>
        </is>
      </c>
      <c r="F767" s="229" t="inlineStr">
        <is>
          <t>-</t>
        </is>
      </c>
      <c r="G767" s="697" t="n">
        <v>1</v>
      </c>
      <c r="H767" s="698" t="n">
        <v>200</v>
      </c>
      <c r="I767" s="697" t="n">
        <v>10000</v>
      </c>
      <c r="J767" s="585" t="n">
        <v>18</v>
      </c>
      <c r="K767" s="585" t="n">
        <v>10</v>
      </c>
      <c r="L767" s="585">
        <f>IF(B767="TXO",I767-SUM(J767:K767),IF(B767="FITX",IF(D767="新倉",-SUM(J767:K767),IF(E767="賣",(H767-H1465)*G767*200-SUM(J767:K767),(H1465-H767)*G767*200-SUM(J767:K767))),IF(D767="新倉",-SUM(J767:K767),IF(E767="賣",(H767-H1465)*G767*50-SUM(J767:K767),(H1465-H767)*G767*50-SUM(J767:K767)))))</f>
        <v/>
      </c>
      <c r="M767" s="699">
        <f>L767</f>
        <v/>
      </c>
      <c r="N767" s="686">
        <f>M767</f>
        <v/>
      </c>
      <c r="O767" s="249" t="inlineStr">
        <is>
          <t>平倉</t>
        </is>
      </c>
      <c r="P767" s="249" t="inlineStr">
        <is>
          <t>元大期貨</t>
        </is>
      </c>
    </row>
    <row r="768" hidden="1" outlineLevel="1">
      <c r="A768" s="696" t="n">
        <v>45890</v>
      </c>
      <c r="B768" s="234" t="inlineStr">
        <is>
          <t>TXO</t>
        </is>
      </c>
      <c r="C768" s="229" t="inlineStr">
        <is>
          <t>週F4 C 08 23800 C</t>
        </is>
      </c>
      <c r="D768" s="229" t="inlineStr">
        <is>
          <t>平倉</t>
        </is>
      </c>
      <c r="E768" s="257" t="inlineStr">
        <is>
          <t>賣</t>
        </is>
      </c>
      <c r="F768" s="229" t="inlineStr">
        <is>
          <t>-</t>
        </is>
      </c>
      <c r="G768" s="697" t="n">
        <v>1</v>
      </c>
      <c r="H768" s="698" t="n">
        <v>180</v>
      </c>
      <c r="I768" s="697" t="n">
        <v>9000</v>
      </c>
      <c r="J768" s="585" t="n">
        <v>18</v>
      </c>
      <c r="K768" s="585" t="n">
        <v>9</v>
      </c>
      <c r="L768" s="585">
        <f>IF(B768="TXO",I768-SUM(J768:K768),IF(B768="FITX",IF(D768="新倉",-SUM(J768:K768),IF(E768="賣",(H768-H1466)*G768*200-SUM(J768:K768),(H1466-H768)*G768*200-SUM(J768:K768))),IF(D768="新倉",-SUM(J768:K768),IF(E768="賣",(H768-H1466)*G768*50-SUM(J768:K768),(H1466-H768)*G768*50-SUM(J768:K768)))))</f>
        <v/>
      </c>
      <c r="M768" s="699">
        <f>L768</f>
        <v/>
      </c>
      <c r="N768" s="686">
        <f>M768</f>
        <v/>
      </c>
      <c r="O768" s="249" t="inlineStr">
        <is>
          <t>平倉</t>
        </is>
      </c>
      <c r="P768" s="249" t="inlineStr">
        <is>
          <t>元大期貨</t>
        </is>
      </c>
    </row>
    <row r="769" hidden="1" outlineLevel="1">
      <c r="A769" s="696" t="n">
        <v>45891</v>
      </c>
      <c r="B769" s="234" t="inlineStr">
        <is>
          <t>TXO</t>
        </is>
      </c>
      <c r="C769" s="229" t="inlineStr">
        <is>
          <t>週F4 P 08 23850 P</t>
        </is>
      </c>
      <c r="D769" s="229" t="inlineStr">
        <is>
          <t>新倉</t>
        </is>
      </c>
      <c r="E769" s="257" t="inlineStr">
        <is>
          <t>買</t>
        </is>
      </c>
      <c r="F769" s="229" t="inlineStr">
        <is>
          <t>-</t>
        </is>
      </c>
      <c r="G769" s="697" t="n">
        <v>1</v>
      </c>
      <c r="H769" s="698" t="n">
        <v>57</v>
      </c>
      <c r="I769" s="697" t="n">
        <v>-2850</v>
      </c>
      <c r="J769" s="585" t="n">
        <v>18</v>
      </c>
      <c r="K769" s="585" t="n">
        <v>3</v>
      </c>
      <c r="L769" s="585">
        <f>IF(B769="TXO",I769-SUM(J769:K769),IF(B769="FITX",IF(D769="新倉",-SUM(J769:K769),IF(E769="賣",(H769-H1467)*G769*200-SUM(J769:K769),(H1467-H769)*G769*200-SUM(J769:K769))),IF(D769="新倉",-SUM(J769:K769),IF(E769="賣",(H769-H1467)*G769*50-SUM(J769:K769),(H1467-H769)*G769*50-SUM(J769:K769)))))</f>
        <v/>
      </c>
      <c r="M769" s="699">
        <f>L769</f>
        <v/>
      </c>
      <c r="N769" s="686">
        <f>M769</f>
        <v/>
      </c>
      <c r="O769" s="249" t="inlineStr">
        <is>
          <t>新倉</t>
        </is>
      </c>
      <c r="P769" s="249" t="inlineStr">
        <is>
          <t>元大期貨</t>
        </is>
      </c>
    </row>
    <row r="770" hidden="1" outlineLevel="1">
      <c r="A770" s="696" t="n">
        <v>45891</v>
      </c>
      <c r="B770" s="234" t="inlineStr">
        <is>
          <t>TXO</t>
        </is>
      </c>
      <c r="C770" s="229" t="inlineStr">
        <is>
          <t>週F4 P 08 23850 P</t>
        </is>
      </c>
      <c r="D770" s="229" t="inlineStr">
        <is>
          <t>新倉</t>
        </is>
      </c>
      <c r="E770" s="257" t="inlineStr">
        <is>
          <t>買</t>
        </is>
      </c>
      <c r="F770" s="229" t="inlineStr">
        <is>
          <t>-</t>
        </is>
      </c>
      <c r="G770" s="697" t="n">
        <v>1</v>
      </c>
      <c r="H770" s="698" t="n">
        <v>66</v>
      </c>
      <c r="I770" s="697" t="n">
        <v>-3300</v>
      </c>
      <c r="J770" s="585" t="n">
        <v>18</v>
      </c>
      <c r="K770" s="585" t="n">
        <v>3</v>
      </c>
      <c r="L770" s="585">
        <f>IF(B770="TXO",I770-SUM(J770:K770),IF(B770="FITX",IF(D770="新倉",-SUM(J770:K770),IF(E770="賣",(H770-H1468)*G770*200-SUM(J770:K770),(H1468-H770)*G770*200-SUM(J770:K770))),IF(D770="新倉",-SUM(J770:K770),IF(E770="賣",(H770-H1468)*G770*50-SUM(J770:K770),(H1468-H770)*G770*50-SUM(J770:K770)))))</f>
        <v/>
      </c>
      <c r="M770" s="699">
        <f>L770</f>
        <v/>
      </c>
      <c r="N770" s="686">
        <f>M770</f>
        <v/>
      </c>
      <c r="O770" s="249" t="inlineStr">
        <is>
          <t>新倉</t>
        </is>
      </c>
      <c r="P770" s="249" t="inlineStr">
        <is>
          <t>元大期貨</t>
        </is>
      </c>
    </row>
    <row r="771" hidden="1" outlineLevel="1">
      <c r="A771" s="696" t="n">
        <v>45891</v>
      </c>
      <c r="B771" s="234" t="inlineStr">
        <is>
          <t>TXO</t>
        </is>
      </c>
      <c r="C771" s="229" t="inlineStr">
        <is>
          <t>週F4 P 08 23850 P</t>
        </is>
      </c>
      <c r="D771" s="229" t="inlineStr">
        <is>
          <t>新倉</t>
        </is>
      </c>
      <c r="E771" s="257" t="inlineStr">
        <is>
          <t>買</t>
        </is>
      </c>
      <c r="F771" s="229" t="inlineStr">
        <is>
          <t>-</t>
        </is>
      </c>
      <c r="G771" s="697" t="n">
        <v>2</v>
      </c>
      <c r="H771" s="698" t="n">
        <v>72</v>
      </c>
      <c r="I771" s="697" t="n">
        <v>-7200</v>
      </c>
      <c r="J771" s="585" t="n">
        <v>36</v>
      </c>
      <c r="K771" s="585" t="n">
        <v>8</v>
      </c>
      <c r="L771" s="585">
        <f>IF(B771="TXO",I771-SUM(J771:K771),IF(B771="FITX",IF(D771="新倉",-SUM(J771:K771),IF(E771="賣",(H771-H1469)*G771*200-SUM(J771:K771),(H1469-H771)*G771*200-SUM(J771:K771))),IF(D771="新倉",-SUM(J771:K771),IF(E771="賣",(H771-H1469)*G771*50-SUM(J771:K771),(H1469-H771)*G771*50-SUM(J771:K771)))))</f>
        <v/>
      </c>
      <c r="M771" s="699">
        <f>L771</f>
        <v/>
      </c>
      <c r="N771" s="686">
        <f>M771</f>
        <v/>
      </c>
      <c r="O771" s="249" t="inlineStr">
        <is>
          <t>新倉</t>
        </is>
      </c>
      <c r="P771" s="249" t="inlineStr">
        <is>
          <t>元大期貨</t>
        </is>
      </c>
    </row>
    <row r="772" hidden="1" outlineLevel="1">
      <c r="A772" s="696" t="n">
        <v>45891</v>
      </c>
      <c r="B772" s="234" t="inlineStr">
        <is>
          <t>TXO</t>
        </is>
      </c>
      <c r="C772" s="229" t="inlineStr">
        <is>
          <t>週F4 P 08 23850 P</t>
        </is>
      </c>
      <c r="D772" s="229" t="inlineStr">
        <is>
          <t>平倉</t>
        </is>
      </c>
      <c r="E772" s="257" t="inlineStr">
        <is>
          <t>賣</t>
        </is>
      </c>
      <c r="F772" s="229" t="inlineStr">
        <is>
          <t>-</t>
        </is>
      </c>
      <c r="G772" s="697" t="n">
        <v>4</v>
      </c>
      <c r="H772" s="698" t="n">
        <v>46</v>
      </c>
      <c r="I772" s="697" t="n">
        <v>9200</v>
      </c>
      <c r="J772" s="585" t="n">
        <v>72</v>
      </c>
      <c r="K772" s="585" t="n">
        <v>8</v>
      </c>
      <c r="L772" s="585">
        <f>IF(B772="TXO",I772-SUM(J772:K772),IF(B772="FITX",IF(D772="新倉",-SUM(J772:K772),IF(E772="賣",(H772-H1470)*G772*200-SUM(J772:K772),(H1470-H772)*G772*200-SUM(J772:K772))),IF(D772="新倉",-SUM(J772:K772),IF(E772="賣",(H772-H1470)*G772*50-SUM(J772:K772),(H1470-H772)*G772*50-SUM(J772:K772)))))</f>
        <v/>
      </c>
      <c r="M772" s="699">
        <f>L772</f>
        <v/>
      </c>
      <c r="N772" s="686">
        <f>M772</f>
        <v/>
      </c>
      <c r="O772" s="249" t="inlineStr">
        <is>
          <t>平倉</t>
        </is>
      </c>
      <c r="P772" s="249" t="inlineStr">
        <is>
          <t>元大期貨</t>
        </is>
      </c>
    </row>
    <row r="773" hidden="1" outlineLevel="1">
      <c r="A773" s="696" t="n">
        <v>45891</v>
      </c>
      <c r="B773" s="234" t="inlineStr">
        <is>
          <t>TXO</t>
        </is>
      </c>
      <c r="C773" s="229" t="inlineStr">
        <is>
          <t>週F4 P 08 23950 P</t>
        </is>
      </c>
      <c r="D773" s="229" t="inlineStr">
        <is>
          <t>新倉</t>
        </is>
      </c>
      <c r="E773" s="257" t="inlineStr">
        <is>
          <t>買</t>
        </is>
      </c>
      <c r="F773" s="229" t="inlineStr">
        <is>
          <t>-</t>
        </is>
      </c>
      <c r="G773" s="697" t="n">
        <v>1</v>
      </c>
      <c r="H773" s="698" t="n">
        <v>120</v>
      </c>
      <c r="I773" s="697" t="n">
        <v>-6000</v>
      </c>
      <c r="J773" s="585" t="n">
        <v>18</v>
      </c>
      <c r="K773" s="585" t="n">
        <v>6</v>
      </c>
      <c r="L773" s="585">
        <f>IF(B773="TXO",I773-SUM(J773:K773),IF(B773="FITX",IF(D773="新倉",-SUM(J773:K773),IF(E773="賣",(H773-H1471)*G773*200-SUM(J773:K773),(H1471-H773)*G773*200-SUM(J773:K773))),IF(D773="新倉",-SUM(J773:K773),IF(E773="賣",(H773-H1471)*G773*50-SUM(J773:K773),(H1471-H773)*G773*50-SUM(J773:K773)))))</f>
        <v/>
      </c>
      <c r="M773" s="699">
        <f>L773</f>
        <v/>
      </c>
      <c r="N773" s="686">
        <f>M773</f>
        <v/>
      </c>
      <c r="O773" s="249" t="inlineStr">
        <is>
          <t>新倉</t>
        </is>
      </c>
      <c r="P773" s="249" t="inlineStr">
        <is>
          <t>元大期貨</t>
        </is>
      </c>
    </row>
    <row r="774" hidden="1" outlineLevel="1">
      <c r="A774" s="696" t="n">
        <v>45891</v>
      </c>
      <c r="B774" s="234" t="inlineStr">
        <is>
          <t>TXO</t>
        </is>
      </c>
      <c r="C774" s="229" t="inlineStr">
        <is>
          <t>週F4 P 08 23950 P</t>
        </is>
      </c>
      <c r="D774" s="229" t="inlineStr">
        <is>
          <t>平倉</t>
        </is>
      </c>
      <c r="E774" s="257" t="inlineStr">
        <is>
          <t>賣</t>
        </is>
      </c>
      <c r="F774" s="229" t="inlineStr">
        <is>
          <t>-</t>
        </is>
      </c>
      <c r="G774" s="697" t="n">
        <v>1</v>
      </c>
      <c r="H774" s="698" t="n">
        <v>139</v>
      </c>
      <c r="I774" s="697" t="n">
        <v>6950</v>
      </c>
      <c r="J774" s="585" t="n">
        <v>18</v>
      </c>
      <c r="K774" s="585" t="n">
        <v>7</v>
      </c>
      <c r="L774" s="585">
        <f>IF(B774="TXO",I774-SUM(J774:K774),IF(B774="FITX",IF(D774="新倉",-SUM(J774:K774),IF(E774="賣",(H774-H1472)*G774*200-SUM(J774:K774),(H1472-H774)*G774*200-SUM(J774:K774))),IF(D774="新倉",-SUM(J774:K774),IF(E774="賣",(H774-H1472)*G774*50-SUM(J774:K774),(H1472-H774)*G774*50-SUM(J774:K774)))))</f>
        <v/>
      </c>
      <c r="M774" s="699">
        <f>L774</f>
        <v/>
      </c>
      <c r="N774" s="686">
        <f>M774</f>
        <v/>
      </c>
      <c r="O774" s="249" t="inlineStr">
        <is>
          <t>平倉</t>
        </is>
      </c>
      <c r="P774" s="249" t="inlineStr">
        <is>
          <t>元大期貨</t>
        </is>
      </c>
    </row>
    <row r="775" hidden="1" outlineLevel="1">
      <c r="A775" s="696" t="n">
        <v>45891</v>
      </c>
      <c r="B775" s="234" t="inlineStr">
        <is>
          <t>TXO</t>
        </is>
      </c>
      <c r="C775" s="229" t="inlineStr">
        <is>
          <t>週F4 P 08 23950 P</t>
        </is>
      </c>
      <c r="D775" s="229" t="inlineStr">
        <is>
          <t>新倉</t>
        </is>
      </c>
      <c r="E775" s="257" t="inlineStr">
        <is>
          <t>買</t>
        </is>
      </c>
      <c r="F775" s="229" t="inlineStr">
        <is>
          <t>-</t>
        </is>
      </c>
      <c r="G775" s="697" t="n">
        <v>1</v>
      </c>
      <c r="H775" s="698" t="n">
        <v>104</v>
      </c>
      <c r="I775" s="697" t="n">
        <v>-5200</v>
      </c>
      <c r="J775" s="585" t="n">
        <v>18</v>
      </c>
      <c r="K775" s="585" t="n">
        <v>5</v>
      </c>
      <c r="L775" s="585">
        <f>IF(B775="TXO",I775-SUM(J775:K775),IF(B775="FITX",IF(D775="新倉",-SUM(J775:K775),IF(E775="賣",(H775-H1473)*G775*200-SUM(J775:K775),(H1473-H775)*G775*200-SUM(J775:K775))),IF(D775="新倉",-SUM(J775:K775),IF(E775="賣",(H775-H1473)*G775*50-SUM(J775:K775),(H1473-H775)*G775*50-SUM(J775:K775)))))</f>
        <v/>
      </c>
      <c r="M775" s="699">
        <f>L775</f>
        <v/>
      </c>
      <c r="N775" s="686">
        <f>M775</f>
        <v/>
      </c>
      <c r="O775" s="249" t="inlineStr">
        <is>
          <t>新倉</t>
        </is>
      </c>
      <c r="P775" s="249" t="inlineStr">
        <is>
          <t>元大期貨</t>
        </is>
      </c>
    </row>
    <row r="776" hidden="1" outlineLevel="1">
      <c r="A776" s="696" t="n">
        <v>45891</v>
      </c>
      <c r="B776" s="234" t="inlineStr">
        <is>
          <t>TXO</t>
        </is>
      </c>
      <c r="C776" s="229" t="inlineStr">
        <is>
          <t>週F4 P 08 23950 P</t>
        </is>
      </c>
      <c r="D776" s="229" t="inlineStr">
        <is>
          <t>平倉</t>
        </is>
      </c>
      <c r="E776" s="257" t="inlineStr">
        <is>
          <t>賣</t>
        </is>
      </c>
      <c r="F776" s="229" t="inlineStr">
        <is>
          <t>-</t>
        </is>
      </c>
      <c r="G776" s="697" t="n">
        <v>1</v>
      </c>
      <c r="H776" s="698" t="n">
        <v>113</v>
      </c>
      <c r="I776" s="697" t="n">
        <v>5650</v>
      </c>
      <c r="J776" s="585" t="n">
        <v>18</v>
      </c>
      <c r="K776" s="585" t="n">
        <v>6</v>
      </c>
      <c r="L776" s="585">
        <f>IF(B776="TXO",I776-SUM(J776:K776),IF(B776="FITX",IF(D776="新倉",-SUM(J776:K776),IF(E776="賣",(H776-H1474)*G776*200-SUM(J776:K776),(H1474-H776)*G776*200-SUM(J776:K776))),IF(D776="新倉",-SUM(J776:K776),IF(E776="賣",(H776-H1474)*G776*50-SUM(J776:K776),(H1474-H776)*G776*50-SUM(J776:K776)))))</f>
        <v/>
      </c>
      <c r="M776" s="699">
        <f>L776</f>
        <v/>
      </c>
      <c r="N776" s="686">
        <f>M776</f>
        <v/>
      </c>
      <c r="O776" s="249" t="inlineStr">
        <is>
          <t>平倉</t>
        </is>
      </c>
      <c r="P776" s="249" t="inlineStr">
        <is>
          <t>元大期貨</t>
        </is>
      </c>
    </row>
    <row r="777" hidden="1" outlineLevel="1">
      <c r="A777" s="696" t="n">
        <v>45891</v>
      </c>
      <c r="B777" s="234" t="inlineStr">
        <is>
          <t>TXO</t>
        </is>
      </c>
      <c r="C777" s="229" t="inlineStr">
        <is>
          <t>週F4 P 08 23950 P</t>
        </is>
      </c>
      <c r="D777" s="229" t="inlineStr">
        <is>
          <t>新倉</t>
        </is>
      </c>
      <c r="E777" s="257" t="inlineStr">
        <is>
          <t>買</t>
        </is>
      </c>
      <c r="F777" s="229" t="inlineStr">
        <is>
          <t>-</t>
        </is>
      </c>
      <c r="G777" s="697" t="n">
        <v>1</v>
      </c>
      <c r="H777" s="698" t="n">
        <v>93</v>
      </c>
      <c r="I777" s="697" t="n">
        <v>-4650</v>
      </c>
      <c r="J777" s="585" t="n">
        <v>18</v>
      </c>
      <c r="K777" s="585" t="n">
        <v>5</v>
      </c>
      <c r="L777" s="585">
        <f>IF(B777="TXO",I777-SUM(J777:K777),IF(B777="FITX",IF(D777="新倉",-SUM(J777:K777),IF(E777="賣",(H777-H1475)*G777*200-SUM(J777:K777),(H1475-H777)*G777*200-SUM(J777:K777))),IF(D777="新倉",-SUM(J777:K777),IF(E777="賣",(H777-H1475)*G777*50-SUM(J777:K777),(H1475-H777)*G777*50-SUM(J777:K777)))))</f>
        <v/>
      </c>
      <c r="M777" s="699">
        <f>L777</f>
        <v/>
      </c>
      <c r="N777" s="686">
        <f>M777</f>
        <v/>
      </c>
      <c r="O777" s="249" t="inlineStr">
        <is>
          <t>新倉</t>
        </is>
      </c>
      <c r="P777" s="249" t="inlineStr">
        <is>
          <t>元大期貨</t>
        </is>
      </c>
    </row>
    <row r="778" hidden="1" outlineLevel="1">
      <c r="A778" s="696" t="n">
        <v>45891</v>
      </c>
      <c r="B778" s="234" t="inlineStr">
        <is>
          <t>TXO</t>
        </is>
      </c>
      <c r="C778" s="229" t="inlineStr">
        <is>
          <t>週F4 P 08 23950 P</t>
        </is>
      </c>
      <c r="D778" s="229" t="inlineStr">
        <is>
          <t>平倉</t>
        </is>
      </c>
      <c r="E778" s="257" t="inlineStr">
        <is>
          <t>賣</t>
        </is>
      </c>
      <c r="F778" s="229" t="inlineStr">
        <is>
          <t>-</t>
        </is>
      </c>
      <c r="G778" s="697" t="n">
        <v>1</v>
      </c>
      <c r="H778" s="698" t="n">
        <v>105</v>
      </c>
      <c r="I778" s="697" t="n">
        <v>5250</v>
      </c>
      <c r="J778" s="585" t="n">
        <v>18</v>
      </c>
      <c r="K778" s="585" t="n">
        <v>5</v>
      </c>
      <c r="L778" s="585">
        <f>IF(B778="TXO",I778-SUM(J778:K778),IF(B778="FITX",IF(D778="新倉",-SUM(J778:K778),IF(E778="賣",(H778-H1476)*G778*200-SUM(J778:K778),(H1476-H778)*G778*200-SUM(J778:K778))),IF(D778="新倉",-SUM(J778:K778),IF(E778="賣",(H778-H1476)*G778*50-SUM(J778:K778),(H1476-H778)*G778*50-SUM(J778:K778)))))</f>
        <v/>
      </c>
      <c r="M778" s="699">
        <f>L778</f>
        <v/>
      </c>
      <c r="N778" s="686">
        <f>M778</f>
        <v/>
      </c>
      <c r="O778" s="249" t="inlineStr">
        <is>
          <t>平倉</t>
        </is>
      </c>
      <c r="P778" s="249" t="inlineStr">
        <is>
          <t>元大期貨</t>
        </is>
      </c>
    </row>
    <row r="779" hidden="1" outlineLevel="1">
      <c r="A779" s="696" t="n">
        <v>45891</v>
      </c>
      <c r="B779" s="234" t="inlineStr">
        <is>
          <t>TXO</t>
        </is>
      </c>
      <c r="C779" s="229" t="inlineStr">
        <is>
          <t>週F4 C 08 24000 C</t>
        </is>
      </c>
      <c r="D779" s="229" t="inlineStr">
        <is>
          <t>新倉</t>
        </is>
      </c>
      <c r="E779" s="257" t="inlineStr">
        <is>
          <t>買</t>
        </is>
      </c>
      <c r="F779" s="229" t="inlineStr">
        <is>
          <t>-</t>
        </is>
      </c>
      <c r="G779" s="697" t="n">
        <v>5</v>
      </c>
      <c r="H779" s="698" t="n">
        <v>24.5</v>
      </c>
      <c r="I779" s="697" t="n">
        <v>-6125</v>
      </c>
      <c r="J779" s="585" t="n">
        <v>90</v>
      </c>
      <c r="K779" s="585" t="n">
        <v>5</v>
      </c>
      <c r="L779" s="585">
        <f>IF(B779="TXO",I779-SUM(J779:K779),IF(B779="FITX",IF(D779="新倉",-SUM(J779:K779),IF(E779="賣",(H779-H1477)*G779*200-SUM(J779:K779),(H1477-H779)*G779*200-SUM(J779:K779))),IF(D779="新倉",-SUM(J779:K779),IF(E779="賣",(H779-H1477)*G779*50-SUM(J779:K779),(H1477-H779)*G779*50-SUM(J779:K779)))))</f>
        <v/>
      </c>
      <c r="M779" s="699">
        <f>L779</f>
        <v/>
      </c>
      <c r="N779" s="686">
        <f>M779</f>
        <v/>
      </c>
      <c r="O779" s="261" t="inlineStr">
        <is>
          <t>放棄</t>
        </is>
      </c>
      <c r="P779" s="249" t="inlineStr">
        <is>
          <t>元大期貨</t>
        </is>
      </c>
    </row>
    <row r="780" hidden="1" outlineLevel="1">
      <c r="A780" s="696" t="n">
        <v>45891</v>
      </c>
      <c r="B780" s="234" t="inlineStr">
        <is>
          <t>TXO</t>
        </is>
      </c>
      <c r="C780" s="229" t="inlineStr">
        <is>
          <t>週F4 P 08 23950 P</t>
        </is>
      </c>
      <c r="D780" s="229" t="inlineStr">
        <is>
          <t>新倉</t>
        </is>
      </c>
      <c r="E780" s="257" t="inlineStr">
        <is>
          <t>買</t>
        </is>
      </c>
      <c r="F780" s="229" t="inlineStr">
        <is>
          <t>-</t>
        </is>
      </c>
      <c r="G780" s="697" t="n">
        <v>1</v>
      </c>
      <c r="H780" s="698" t="n">
        <v>94</v>
      </c>
      <c r="I780" s="697" t="n">
        <v>-4700</v>
      </c>
      <c r="J780" s="585" t="n">
        <v>18</v>
      </c>
      <c r="K780" s="585" t="n">
        <v>5</v>
      </c>
      <c r="L780" s="585">
        <f>IF(B780="TXO",I780-SUM(J780:K780),IF(B780="FITX",IF(D780="新倉",-SUM(J780:K780),IF(E780="賣",(H780-H1478)*G780*200-SUM(J780:K780),(H1478-H780)*G780*200-SUM(J780:K780))),IF(D780="新倉",-SUM(J780:K780),IF(E780="賣",(H780-H1478)*G780*50-SUM(J780:K780),(H1478-H780)*G780*50-SUM(J780:K780)))))</f>
        <v/>
      </c>
      <c r="M780" s="699">
        <f>L780</f>
        <v/>
      </c>
      <c r="N780" s="686">
        <f>M780</f>
        <v/>
      </c>
      <c r="O780" s="249" t="inlineStr">
        <is>
          <t>新倉</t>
        </is>
      </c>
      <c r="P780" s="249" t="inlineStr">
        <is>
          <t>元大期貨</t>
        </is>
      </c>
    </row>
    <row r="781" hidden="1" outlineLevel="1">
      <c r="A781" s="696" t="n">
        <v>45891</v>
      </c>
      <c r="B781" s="234" t="inlineStr">
        <is>
          <t>TXO</t>
        </is>
      </c>
      <c r="C781" s="229" t="inlineStr">
        <is>
          <t>週F4 P 08 23950 P</t>
        </is>
      </c>
      <c r="D781" s="229" t="inlineStr">
        <is>
          <t>平倉</t>
        </is>
      </c>
      <c r="E781" s="257" t="inlineStr">
        <is>
          <t>賣</t>
        </is>
      </c>
      <c r="F781" s="229" t="inlineStr">
        <is>
          <t>-</t>
        </is>
      </c>
      <c r="G781" s="697" t="n">
        <v>1</v>
      </c>
      <c r="H781" s="698" t="n">
        <v>82</v>
      </c>
      <c r="I781" s="697" t="n">
        <v>4100</v>
      </c>
      <c r="J781" s="585" t="n">
        <v>18</v>
      </c>
      <c r="K781" s="585" t="n">
        <v>4</v>
      </c>
      <c r="L781" s="585">
        <f>IF(B781="TXO",I781-SUM(J781:K781),IF(B781="FITX",IF(D781="新倉",-SUM(J781:K781),IF(E781="賣",(H781-H1479)*G781*200-SUM(J781:K781),(H1479-H781)*G781*200-SUM(J781:K781))),IF(D781="新倉",-SUM(J781:K781),IF(E781="賣",(H781-H1479)*G781*50-SUM(J781:K781),(H1479-H781)*G781*50-SUM(J781:K781)))))</f>
        <v/>
      </c>
      <c r="M781" s="699">
        <f>L781</f>
        <v/>
      </c>
      <c r="N781" s="686">
        <f>M781</f>
        <v/>
      </c>
      <c r="O781" s="249" t="inlineStr">
        <is>
          <t>平倉</t>
        </is>
      </c>
      <c r="P781" s="249" t="inlineStr">
        <is>
          <t>元大期貨</t>
        </is>
      </c>
    </row>
    <row r="782" hidden="1" outlineLevel="1">
      <c r="A782" s="696" t="n">
        <v>45891</v>
      </c>
      <c r="B782" s="234" t="inlineStr">
        <is>
          <t>TXO</t>
        </is>
      </c>
      <c r="C782" s="229" t="inlineStr">
        <is>
          <t>週F4 C 08 24050 C</t>
        </is>
      </c>
      <c r="D782" s="229" t="inlineStr">
        <is>
          <t>新倉</t>
        </is>
      </c>
      <c r="E782" s="257" t="inlineStr">
        <is>
          <t>買</t>
        </is>
      </c>
      <c r="F782" s="229" t="inlineStr">
        <is>
          <t>-</t>
        </is>
      </c>
      <c r="G782" s="697" t="n">
        <v>1</v>
      </c>
      <c r="H782" s="698" t="n">
        <v>13.5</v>
      </c>
      <c r="I782" s="697" t="n">
        <v>-675</v>
      </c>
      <c r="J782" s="585" t="n">
        <v>18</v>
      </c>
      <c r="K782" s="585" t="n">
        <v>1</v>
      </c>
      <c r="L782" s="585">
        <f>IF(B782="TXO",I782-SUM(J782:K782),IF(B782="FITX",IF(D782="新倉",-SUM(J782:K782),IF(E782="賣",(H782-H1480)*G782*200-SUM(J782:K782),(H1480-H782)*G782*200-SUM(J782:K782))),IF(D782="新倉",-SUM(J782:K782),IF(E782="賣",(H782-H1480)*G782*50-SUM(J782:K782),(H1480-H782)*G782*50-SUM(J782:K782)))))</f>
        <v/>
      </c>
      <c r="M782" s="699">
        <f>L782</f>
        <v/>
      </c>
      <c r="N782" s="686">
        <f>M782</f>
        <v/>
      </c>
      <c r="O782" s="261" t="inlineStr">
        <is>
          <t>放棄</t>
        </is>
      </c>
      <c r="P782" s="249" t="inlineStr">
        <is>
          <t>元大期貨</t>
        </is>
      </c>
    </row>
    <row r="783" hidden="1" outlineLevel="1">
      <c r="A783" s="696" t="n">
        <v>45891</v>
      </c>
      <c r="B783" s="234" t="inlineStr">
        <is>
          <t>TXO</t>
        </is>
      </c>
      <c r="C783" s="229" t="inlineStr">
        <is>
          <t>週F4 P 08 23900 P</t>
        </is>
      </c>
      <c r="D783" s="229" t="inlineStr">
        <is>
          <t>新倉</t>
        </is>
      </c>
      <c r="E783" s="257" t="inlineStr">
        <is>
          <t>買</t>
        </is>
      </c>
      <c r="F783" s="229" t="inlineStr">
        <is>
          <t>-</t>
        </is>
      </c>
      <c r="G783" s="697" t="n">
        <v>1</v>
      </c>
      <c r="H783" s="698" t="n">
        <v>57</v>
      </c>
      <c r="I783" s="697" t="n">
        <v>-2850</v>
      </c>
      <c r="J783" s="585" t="n">
        <v>18</v>
      </c>
      <c r="K783" s="585" t="n">
        <v>3</v>
      </c>
      <c r="L783" s="585">
        <f>IF(B783="TXO",I783-SUM(J783:K783),IF(B783="FITX",IF(D783="新倉",-SUM(J783:K783),IF(E783="賣",(H783-H1481)*G783*200-SUM(J783:K783),(H1481-H783)*G783*200-SUM(J783:K783))),IF(D783="新倉",-SUM(J783:K783),IF(E783="賣",(H783-H1481)*G783*50-SUM(J783:K783),(H1481-H783)*G783*50-SUM(J783:K783)))))</f>
        <v/>
      </c>
      <c r="M783" s="699">
        <f>L783</f>
        <v/>
      </c>
      <c r="N783" s="686">
        <f>M783</f>
        <v/>
      </c>
      <c r="O783" s="249" t="inlineStr">
        <is>
          <t>新倉</t>
        </is>
      </c>
      <c r="P783" s="249" t="inlineStr">
        <is>
          <t>元大期貨</t>
        </is>
      </c>
    </row>
    <row r="784" hidden="1" outlineLevel="1">
      <c r="A784" s="696" t="n">
        <v>45891</v>
      </c>
      <c r="B784" s="234" t="inlineStr">
        <is>
          <t>TXO</t>
        </is>
      </c>
      <c r="C784" s="229" t="inlineStr">
        <is>
          <t>週F4 P 08 23900 P</t>
        </is>
      </c>
      <c r="D784" s="229" t="inlineStr">
        <is>
          <t>平倉</t>
        </is>
      </c>
      <c r="E784" s="257" t="inlineStr">
        <is>
          <t>賣</t>
        </is>
      </c>
      <c r="F784" s="229" t="inlineStr">
        <is>
          <t>-</t>
        </is>
      </c>
      <c r="G784" s="697" t="n">
        <v>1</v>
      </c>
      <c r="H784" s="698" t="n">
        <v>64</v>
      </c>
      <c r="I784" s="697" t="n">
        <v>3200</v>
      </c>
      <c r="J784" s="585" t="n">
        <v>18</v>
      </c>
      <c r="K784" s="585" t="n">
        <v>3</v>
      </c>
      <c r="L784" s="585">
        <f>IF(B784="TXO",I784-SUM(J784:K784),IF(B784="FITX",IF(D784="新倉",-SUM(J784:K784),IF(E784="賣",(H784-H1482)*G784*200-SUM(J784:K784),(H1482-H784)*G784*200-SUM(J784:K784))),IF(D784="新倉",-SUM(J784:K784),IF(E784="賣",(H784-H1482)*G784*50-SUM(J784:K784),(H1482-H784)*G784*50-SUM(J784:K784)))))</f>
        <v/>
      </c>
      <c r="M784" s="699">
        <f>L784</f>
        <v/>
      </c>
      <c r="N784" s="686">
        <f>M784</f>
        <v/>
      </c>
      <c r="O784" s="249" t="inlineStr">
        <is>
          <t>平倉</t>
        </is>
      </c>
      <c r="P784" s="249" t="inlineStr">
        <is>
          <t>元大期貨</t>
        </is>
      </c>
    </row>
    <row r="785" hidden="1" outlineLevel="1">
      <c r="A785" s="696" t="n">
        <v>45891</v>
      </c>
      <c r="B785" s="234" t="inlineStr">
        <is>
          <t>TXO</t>
        </is>
      </c>
      <c r="C785" s="229" t="inlineStr">
        <is>
          <t>週F4 C 08 24050 C</t>
        </is>
      </c>
      <c r="D785" s="229" t="inlineStr">
        <is>
          <t>新倉</t>
        </is>
      </c>
      <c r="E785" s="257" t="inlineStr">
        <is>
          <t>買</t>
        </is>
      </c>
      <c r="F785" s="229" t="inlineStr">
        <is>
          <t>-</t>
        </is>
      </c>
      <c r="G785" s="697" t="n">
        <v>2</v>
      </c>
      <c r="H785" s="698" t="n">
        <v>20</v>
      </c>
      <c r="I785" s="697" t="n">
        <v>-2000</v>
      </c>
      <c r="J785" s="585" t="n">
        <v>36</v>
      </c>
      <c r="K785" s="585" t="n">
        <v>2</v>
      </c>
      <c r="L785" s="585">
        <f>IF(B785="TXO",I785-SUM(J785:K785),IF(B785="FITX",IF(D785="新倉",-SUM(J785:K785),IF(E785="賣",(H785-H1483)*G785*200-SUM(J785:K785),(H1483-H785)*G785*200-SUM(J785:K785))),IF(D785="新倉",-SUM(J785:K785),IF(E785="賣",(H785-H1483)*G785*50-SUM(J785:K785),(H1483-H785)*G785*50-SUM(J785:K785)))))</f>
        <v/>
      </c>
      <c r="M785" s="699">
        <f>L785</f>
        <v/>
      </c>
      <c r="N785" s="686">
        <f>M785</f>
        <v/>
      </c>
      <c r="O785" s="261" t="inlineStr">
        <is>
          <t>放棄</t>
        </is>
      </c>
      <c r="P785" s="249" t="inlineStr">
        <is>
          <t>元大期貨</t>
        </is>
      </c>
    </row>
    <row r="786" hidden="1" outlineLevel="1">
      <c r="A786" s="696" t="n">
        <v>45891</v>
      </c>
      <c r="B786" s="234" t="inlineStr">
        <is>
          <t>TXO</t>
        </is>
      </c>
      <c r="C786" s="229" t="inlineStr">
        <is>
          <t>週F4 C 08 24050 C</t>
        </is>
      </c>
      <c r="D786" s="229" t="inlineStr">
        <is>
          <t>新倉</t>
        </is>
      </c>
      <c r="E786" s="257" t="inlineStr">
        <is>
          <t>買</t>
        </is>
      </c>
      <c r="F786" s="229" t="inlineStr">
        <is>
          <t>-</t>
        </is>
      </c>
      <c r="G786" s="697" t="n">
        <v>1</v>
      </c>
      <c r="H786" s="698" t="n">
        <v>27</v>
      </c>
      <c r="I786" s="697" t="n">
        <v>-1350</v>
      </c>
      <c r="J786" s="585" t="n">
        <v>18</v>
      </c>
      <c r="K786" s="585" t="n">
        <v>1</v>
      </c>
      <c r="L786" s="585">
        <f>IF(B786="TXO",I786-SUM(J786:K786),IF(B786="FITX",IF(D786="新倉",-SUM(J786:K786),IF(E786="賣",(H786-H1484)*G786*200-SUM(J786:K786),(H1484-H786)*G786*200-SUM(J786:K786))),IF(D786="新倉",-SUM(J786:K786),IF(E786="賣",(H786-H1484)*G786*50-SUM(J786:K786),(H1484-H786)*G786*50-SUM(J786:K786)))))</f>
        <v/>
      </c>
      <c r="M786" s="699">
        <f>L786</f>
        <v/>
      </c>
      <c r="N786" s="686">
        <f>M786</f>
        <v/>
      </c>
      <c r="O786" s="261" t="inlineStr">
        <is>
          <t>放棄</t>
        </is>
      </c>
      <c r="P786" s="249" t="inlineStr">
        <is>
          <t>元大期貨</t>
        </is>
      </c>
    </row>
    <row r="787" hidden="1" outlineLevel="1">
      <c r="A787" s="696" t="n">
        <v>45891</v>
      </c>
      <c r="B787" s="234" t="inlineStr">
        <is>
          <t>TXO</t>
        </is>
      </c>
      <c r="C787" s="229" t="inlineStr">
        <is>
          <t>週F4 C 08 24050 C</t>
        </is>
      </c>
      <c r="D787" s="229" t="inlineStr">
        <is>
          <t>新倉</t>
        </is>
      </c>
      <c r="E787" s="257" t="inlineStr">
        <is>
          <t>買</t>
        </is>
      </c>
      <c r="F787" s="229" t="inlineStr">
        <is>
          <t>-</t>
        </is>
      </c>
      <c r="G787" s="697" t="n">
        <v>5</v>
      </c>
      <c r="H787" s="698" t="n">
        <v>30</v>
      </c>
      <c r="I787" s="697" t="n">
        <v>-7500</v>
      </c>
      <c r="J787" s="585" t="n">
        <v>90</v>
      </c>
      <c r="K787" s="585" t="n">
        <v>10</v>
      </c>
      <c r="L787" s="585">
        <f>IF(B787="TXO",I787-SUM(J787:K787),IF(B787="FITX",IF(D787="新倉",-SUM(J787:K787),IF(E787="賣",(H787-H1485)*G787*200-SUM(J787:K787),(H1485-H787)*G787*200-SUM(J787:K787))),IF(D787="新倉",-SUM(J787:K787),IF(E787="賣",(H787-H1485)*G787*50-SUM(J787:K787),(H1485-H787)*G787*50-SUM(J787:K787)))))</f>
        <v/>
      </c>
      <c r="M787" s="699">
        <f>L787</f>
        <v/>
      </c>
      <c r="N787" s="686">
        <f>M787</f>
        <v/>
      </c>
      <c r="O787" s="261" t="inlineStr">
        <is>
          <t>放棄</t>
        </is>
      </c>
      <c r="P787" s="249" t="inlineStr">
        <is>
          <t>元大期貨</t>
        </is>
      </c>
    </row>
    <row r="788" hidden="1" outlineLevel="1">
      <c r="A788" s="696" t="n">
        <v>45891</v>
      </c>
      <c r="B788" s="234" t="inlineStr">
        <is>
          <t>TXO</t>
        </is>
      </c>
      <c r="C788" s="229" t="inlineStr">
        <is>
          <t>週F4 P 08 23800 P</t>
        </is>
      </c>
      <c r="D788" s="229" t="inlineStr">
        <is>
          <t>新倉</t>
        </is>
      </c>
      <c r="E788" s="257" t="inlineStr">
        <is>
          <t>買</t>
        </is>
      </c>
      <c r="F788" s="229" t="inlineStr">
        <is>
          <t>-</t>
        </is>
      </c>
      <c r="G788" s="697" t="n">
        <v>2</v>
      </c>
      <c r="H788" s="698" t="n">
        <v>11</v>
      </c>
      <c r="I788" s="697" t="n">
        <v>-1100</v>
      </c>
      <c r="J788" s="585" t="n">
        <v>36</v>
      </c>
      <c r="K788" s="585" t="n">
        <v>2</v>
      </c>
      <c r="L788" s="585">
        <f>IF(B788="TXO",I788-SUM(J788:K788),IF(B788="FITX",IF(D788="新倉",-SUM(J788:K788),IF(E788="賣",(H788-H1486)*G788*200-SUM(J788:K788),(H1486-H788)*G788*200-SUM(J788:K788))),IF(D788="新倉",-SUM(J788:K788),IF(E788="賣",(H788-H1486)*G788*50-SUM(J788:K788),(H1486-H788)*G788*50-SUM(J788:K788)))))</f>
        <v/>
      </c>
      <c r="M788" s="699">
        <f>L788</f>
        <v/>
      </c>
      <c r="N788" s="686">
        <f>M788</f>
        <v/>
      </c>
      <c r="O788" s="249" t="inlineStr">
        <is>
          <t>新倉</t>
        </is>
      </c>
      <c r="P788" s="249" t="inlineStr">
        <is>
          <t>元大期貨</t>
        </is>
      </c>
    </row>
    <row r="789" hidden="1" outlineLevel="1">
      <c r="A789" s="696" t="n">
        <v>45891</v>
      </c>
      <c r="B789" s="234" t="inlineStr">
        <is>
          <t>TXO</t>
        </is>
      </c>
      <c r="C789" s="229" t="inlineStr">
        <is>
          <t>週F4 P 08 23800 P</t>
        </is>
      </c>
      <c r="D789" s="229" t="inlineStr">
        <is>
          <t>平倉</t>
        </is>
      </c>
      <c r="E789" s="257" t="inlineStr">
        <is>
          <t>賣</t>
        </is>
      </c>
      <c r="F789" s="229" t="inlineStr">
        <is>
          <t>-</t>
        </is>
      </c>
      <c r="G789" s="697" t="n">
        <v>1</v>
      </c>
      <c r="H789" s="698" t="n">
        <v>33</v>
      </c>
      <c r="I789" s="697" t="n">
        <v>1650</v>
      </c>
      <c r="J789" s="585" t="n">
        <v>18</v>
      </c>
      <c r="K789" s="585" t="n">
        <v>2</v>
      </c>
      <c r="L789" s="585">
        <f>IF(B789="TXO",I789-SUM(J789:K789),IF(B789="FITX",IF(D789="新倉",-SUM(J789:K789),IF(E789="賣",(H789-H1487)*G789*200-SUM(J789:K789),(H1487-H789)*G789*200-SUM(J789:K789))),IF(D789="新倉",-SUM(J789:K789),IF(E789="賣",(H789-H1487)*G789*50-SUM(J789:K789),(H1487-H789)*G789*50-SUM(J789:K789)))))</f>
        <v/>
      </c>
      <c r="M789" s="699">
        <f>L789</f>
        <v/>
      </c>
      <c r="N789" s="686">
        <f>M789</f>
        <v/>
      </c>
      <c r="O789" s="249" t="inlineStr">
        <is>
          <t>平倉</t>
        </is>
      </c>
      <c r="P789" s="249" t="inlineStr">
        <is>
          <t>元大期貨</t>
        </is>
      </c>
    </row>
    <row r="790" hidden="1" outlineLevel="1">
      <c r="A790" s="696" t="n">
        <v>45891</v>
      </c>
      <c r="B790" s="234" t="inlineStr">
        <is>
          <t>TXO</t>
        </is>
      </c>
      <c r="C790" s="229" t="inlineStr">
        <is>
          <t>週F4 P 08 23800 P</t>
        </is>
      </c>
      <c r="D790" s="229" t="inlineStr">
        <is>
          <t>平倉</t>
        </is>
      </c>
      <c r="E790" s="257" t="inlineStr">
        <is>
          <t>賣</t>
        </is>
      </c>
      <c r="F790" s="229" t="inlineStr">
        <is>
          <t>-</t>
        </is>
      </c>
      <c r="G790" s="697" t="n">
        <v>1</v>
      </c>
      <c r="H790" s="698" t="n">
        <v>22</v>
      </c>
      <c r="I790" s="697" t="n">
        <v>1100</v>
      </c>
      <c r="J790" s="585" t="n">
        <v>18</v>
      </c>
      <c r="K790" s="585" t="n">
        <v>1</v>
      </c>
      <c r="L790" s="585">
        <f>IF(B790="TXO",I790-SUM(J790:K790),IF(B790="FITX",IF(D790="新倉",-SUM(J790:K790),IF(E790="賣",(H790-H1488)*G790*200-SUM(J790:K790),(H1488-H790)*G790*200-SUM(J790:K790))),IF(D790="新倉",-SUM(J790:K790),IF(E790="賣",(H790-H1488)*G790*50-SUM(J790:K790),(H1488-H790)*G790*50-SUM(J790:K790)))))</f>
        <v/>
      </c>
      <c r="M790" s="699">
        <f>L790</f>
        <v/>
      </c>
      <c r="N790" s="686">
        <f>M790</f>
        <v/>
      </c>
      <c r="O790" s="249" t="inlineStr">
        <is>
          <t>平倉</t>
        </is>
      </c>
      <c r="P790" s="249" t="inlineStr">
        <is>
          <t>元大期貨</t>
        </is>
      </c>
    </row>
    <row r="791" hidden="1" outlineLevel="1">
      <c r="A791" s="696" t="n">
        <v>45894</v>
      </c>
      <c r="B791" s="234" t="inlineStr">
        <is>
          <t>TXO</t>
        </is>
      </c>
      <c r="C791" s="229" t="inlineStr">
        <is>
          <t>週W4 C 08 24500 C</t>
        </is>
      </c>
      <c r="D791" s="229" t="inlineStr">
        <is>
          <t>新倉</t>
        </is>
      </c>
      <c r="E791" s="257" t="inlineStr">
        <is>
          <t>買</t>
        </is>
      </c>
      <c r="F791" s="229" t="inlineStr">
        <is>
          <t>-</t>
        </is>
      </c>
      <c r="G791" s="697" t="n">
        <v>2</v>
      </c>
      <c r="H791" s="698" t="n">
        <v>41.5</v>
      </c>
      <c r="I791" s="697" t="n">
        <v>-4150</v>
      </c>
      <c r="J791" s="585" t="n">
        <v>36</v>
      </c>
      <c r="K791" s="585" t="n">
        <v>4</v>
      </c>
      <c r="L791" s="585">
        <f>IF(B791="TXO",I791-SUM(J791:K791),IF(B791="FITX",IF(D791="新倉",-SUM(J791:K791),IF(E791="賣",(H791-H1489)*G791*200-SUM(J791:K791),(H1489-H791)*G791*200-SUM(J791:K791))),IF(D791="新倉",-SUM(J791:K791),IF(E791="賣",(H791-H1489)*G791*50-SUM(J791:K791),(H1489-H791)*G791*50-SUM(J791:K791)))))</f>
        <v/>
      </c>
      <c r="M791" s="699">
        <f>L791</f>
        <v/>
      </c>
      <c r="N791" s="686">
        <f>M791</f>
        <v/>
      </c>
      <c r="O791" s="249" t="inlineStr">
        <is>
          <t>新倉</t>
        </is>
      </c>
      <c r="P791" s="249" t="inlineStr">
        <is>
          <t>元大期貨</t>
        </is>
      </c>
    </row>
    <row r="792" hidden="1" outlineLevel="1">
      <c r="A792" s="696" t="n">
        <v>45896</v>
      </c>
      <c r="B792" s="234" t="inlineStr">
        <is>
          <t>TXO</t>
        </is>
      </c>
      <c r="C792" s="229" t="inlineStr">
        <is>
          <t>週W4 C 08 24500 C</t>
        </is>
      </c>
      <c r="D792" s="229" t="inlineStr">
        <is>
          <t>平倉</t>
        </is>
      </c>
      <c r="E792" s="257" t="inlineStr">
        <is>
          <t>賣</t>
        </is>
      </c>
      <c r="F792" s="229" t="inlineStr">
        <is>
          <t>-</t>
        </is>
      </c>
      <c r="G792" s="697" t="n">
        <v>1</v>
      </c>
      <c r="H792" s="698" t="n">
        <v>20</v>
      </c>
      <c r="I792" s="697" t="n">
        <v>1000</v>
      </c>
      <c r="J792" s="585" t="n">
        <v>18</v>
      </c>
      <c r="K792" s="585" t="n">
        <v>1</v>
      </c>
      <c r="L792" s="585">
        <f>IF(B792="TXO",I792-SUM(J792:K792),IF(B792="FITX",IF(D792="新倉",-SUM(J792:K792),IF(E792="賣",(H792-H1490)*G792*200-SUM(J792:K792),(H1490-H792)*G792*200-SUM(J792:K792))),IF(D792="新倉",-SUM(J792:K792),IF(E792="賣",(H792-H1490)*G792*50-SUM(J792:K792),(H1490-H792)*G792*50-SUM(J792:K792)))))</f>
        <v/>
      </c>
      <c r="M792" s="699">
        <f>L792</f>
        <v/>
      </c>
      <c r="N792" s="686">
        <f>M792</f>
        <v/>
      </c>
      <c r="O792" s="249" t="inlineStr">
        <is>
          <t>平倉</t>
        </is>
      </c>
      <c r="P792" s="249" t="inlineStr">
        <is>
          <t>元大期貨</t>
        </is>
      </c>
    </row>
    <row r="793" hidden="1" outlineLevel="1">
      <c r="A793" s="696" t="n">
        <v>45896</v>
      </c>
      <c r="B793" s="234" t="inlineStr">
        <is>
          <t>TXO</t>
        </is>
      </c>
      <c r="C793" s="229" t="inlineStr">
        <is>
          <t>週W4 C 08 24500 C</t>
        </is>
      </c>
      <c r="D793" s="229" t="inlineStr">
        <is>
          <t>平倉</t>
        </is>
      </c>
      <c r="E793" s="257" t="inlineStr">
        <is>
          <t>賣</t>
        </is>
      </c>
      <c r="F793" s="229" t="inlineStr">
        <is>
          <t>-</t>
        </is>
      </c>
      <c r="G793" s="697" t="n">
        <v>1</v>
      </c>
      <c r="H793" s="698" t="n">
        <v>30.5</v>
      </c>
      <c r="I793" s="697" t="n">
        <v>1525</v>
      </c>
      <c r="J793" s="585" t="n">
        <v>18</v>
      </c>
      <c r="K793" s="585" t="n">
        <v>2</v>
      </c>
      <c r="L793" s="585">
        <f>IF(B793="TXO",I793-SUM(J793:K793),IF(B793="FITX",IF(D793="新倉",-SUM(J793:K793),IF(E793="賣",(H793-H1491)*G793*200-SUM(J793:K793),(H1491-H793)*G793*200-SUM(J793:K793))),IF(D793="新倉",-SUM(J793:K793),IF(E793="賣",(H793-H1491)*G793*50-SUM(J793:K793),(H1491-H793)*G793*50-SUM(J793:K793)))))</f>
        <v/>
      </c>
      <c r="M793" s="699">
        <f>L793</f>
        <v/>
      </c>
      <c r="N793" s="686">
        <f>M793</f>
        <v/>
      </c>
      <c r="O793" s="249" t="inlineStr">
        <is>
          <t>平倉</t>
        </is>
      </c>
      <c r="P793" s="249" t="inlineStr">
        <is>
          <t>元大期貨</t>
        </is>
      </c>
    </row>
    <row r="794" collapsed="1" ht="17.25" customHeight="1" thickBot="1">
      <c r="A794" s="691" t="n">
        <v>45894</v>
      </c>
      <c r="B794" s="251" t="n"/>
      <c r="C794" s="252" t="inlineStr">
        <is>
          <t>入金</t>
        </is>
      </c>
      <c r="D794" s="252" t="n"/>
      <c r="E794" s="252" t="n"/>
      <c r="F794" s="252" t="n"/>
      <c r="G794" s="692" t="n"/>
      <c r="H794" s="692" t="n"/>
      <c r="I794" s="692" t="n"/>
      <c r="J794" s="693" t="n"/>
      <c r="K794" s="693" t="n"/>
      <c r="L794" s="693" t="n">
        <v>100000</v>
      </c>
      <c r="M794" s="694">
        <f>L794</f>
        <v/>
      </c>
      <c r="P794" s="249" t="inlineStr">
        <is>
          <t>元大期貨</t>
        </is>
      </c>
    </row>
    <row r="795" hidden="1" outlineLevel="1">
      <c r="A795" s="696" t="n">
        <v>45894</v>
      </c>
      <c r="B795" s="234" t="inlineStr">
        <is>
          <t>TXO</t>
        </is>
      </c>
      <c r="C795" s="229" t="inlineStr">
        <is>
          <t>週W4 C 08 24400 C</t>
        </is>
      </c>
      <c r="D795" s="229" t="inlineStr">
        <is>
          <t>新倉</t>
        </is>
      </c>
      <c r="E795" s="257" t="inlineStr">
        <is>
          <t>買</t>
        </is>
      </c>
      <c r="F795" s="229" t="inlineStr">
        <is>
          <t>-</t>
        </is>
      </c>
      <c r="G795" s="697" t="n">
        <v>1</v>
      </c>
      <c r="H795" s="698" t="n">
        <v>51</v>
      </c>
      <c r="I795" s="697" t="n">
        <v>-2550</v>
      </c>
      <c r="J795" s="585" t="n">
        <v>18</v>
      </c>
      <c r="K795" s="585" t="n">
        <v>3</v>
      </c>
      <c r="L795" s="585">
        <f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/>
      </c>
      <c r="M795" s="699">
        <f>L795</f>
        <v/>
      </c>
      <c r="N795" s="686">
        <f>M795</f>
        <v/>
      </c>
      <c r="O795" s="249" t="inlineStr">
        <is>
          <t>新倉</t>
        </is>
      </c>
      <c r="P795" s="249" t="inlineStr">
        <is>
          <t>元大期貨</t>
        </is>
      </c>
    </row>
    <row r="796" hidden="1" outlineLevel="1">
      <c r="A796" s="696" t="n">
        <v>45894</v>
      </c>
      <c r="B796" s="234" t="inlineStr">
        <is>
          <t>TXO</t>
        </is>
      </c>
      <c r="C796" s="229" t="inlineStr">
        <is>
          <t>週W4 C 08 24400 C</t>
        </is>
      </c>
      <c r="D796" s="229" t="inlineStr">
        <is>
          <t>平倉</t>
        </is>
      </c>
      <c r="E796" s="257" t="inlineStr">
        <is>
          <t>賣</t>
        </is>
      </c>
      <c r="F796" s="229" t="inlineStr">
        <is>
          <t>-</t>
        </is>
      </c>
      <c r="G796" s="697" t="n">
        <v>1</v>
      </c>
      <c r="H796" s="698" t="n">
        <v>69</v>
      </c>
      <c r="I796" s="697" t="n">
        <v>3450</v>
      </c>
      <c r="J796" s="585" t="n">
        <v>18</v>
      </c>
      <c r="K796" s="585" t="n">
        <v>3</v>
      </c>
      <c r="L796" s="585">
        <f>IF(B796="TXO",I796-SUM(J796:K796),IF(B796="FITX",IF(D796="新倉",-SUM(J796:K796),IF(E796="賣",(H796-H1493)*G796*200-SUM(J796:K796),(H1493-H796)*G796*200-SUM(J796:K796))),IF(D796="新倉",-SUM(J796:K796),IF(E796="賣",(H796-H1493)*G796*50-SUM(J796:K796),(H1493-H796)*G796*50-SUM(J796:K796)))))</f>
        <v/>
      </c>
      <c r="M796" s="699">
        <f>L796</f>
        <v/>
      </c>
      <c r="N796" s="686">
        <f>M796</f>
        <v/>
      </c>
      <c r="O796" s="249" t="inlineStr">
        <is>
          <t>平倉</t>
        </is>
      </c>
      <c r="P796" s="249" t="inlineStr">
        <is>
          <t>元大期貨</t>
        </is>
      </c>
    </row>
    <row r="797" hidden="1" outlineLevel="1">
      <c r="A797" s="696" t="n">
        <v>45894</v>
      </c>
      <c r="B797" s="234" t="inlineStr">
        <is>
          <t>TXO</t>
        </is>
      </c>
      <c r="C797" s="229" t="inlineStr">
        <is>
          <t>週W4 P 08 24050 P</t>
        </is>
      </c>
      <c r="D797" s="229" t="inlineStr">
        <is>
          <t>新倉</t>
        </is>
      </c>
      <c r="E797" s="257" t="inlineStr">
        <is>
          <t>買</t>
        </is>
      </c>
      <c r="F797" s="229" t="inlineStr">
        <is>
          <t>-</t>
        </is>
      </c>
      <c r="G797" s="697" t="n">
        <v>1</v>
      </c>
      <c r="H797" s="698" t="n">
        <v>69</v>
      </c>
      <c r="I797" s="697" t="n">
        <v>-3450</v>
      </c>
      <c r="J797" s="585" t="n">
        <v>18</v>
      </c>
      <c r="K797" s="585" t="n">
        <v>3</v>
      </c>
      <c r="L797" s="585">
        <f>IF(B797="TXO",I797-SUM(J797:K797),IF(B797="FITX",IF(D797="新倉",-SUM(J797:K797),IF(E797="賣",(H797-H1494)*G797*200-SUM(J797:K797),(H1494-H797)*G797*200-SUM(J797:K797))),IF(D797="新倉",-SUM(J797:K797),IF(E797="賣",(H797-H1494)*G797*50-SUM(J797:K797),(H1494-H797)*G797*50-SUM(J797:K797)))))</f>
        <v/>
      </c>
      <c r="M797" s="699">
        <f>L797</f>
        <v/>
      </c>
      <c r="N797" s="686">
        <f>M797</f>
        <v/>
      </c>
      <c r="O797" s="249" t="inlineStr">
        <is>
          <t>新倉</t>
        </is>
      </c>
      <c r="P797" s="249" t="inlineStr">
        <is>
          <t>元大期貨</t>
        </is>
      </c>
    </row>
    <row r="798" hidden="1" outlineLevel="1">
      <c r="A798" s="696" t="n">
        <v>45894</v>
      </c>
      <c r="B798" s="234" t="inlineStr">
        <is>
          <t>TXO</t>
        </is>
      </c>
      <c r="C798" s="229" t="inlineStr">
        <is>
          <t>週W4 P 08 24050 P</t>
        </is>
      </c>
      <c r="D798" s="229" t="inlineStr">
        <is>
          <t>平倉</t>
        </is>
      </c>
      <c r="E798" s="257" t="inlineStr">
        <is>
          <t>賣</t>
        </is>
      </c>
      <c r="F798" s="229" t="inlineStr">
        <is>
          <t>-</t>
        </is>
      </c>
      <c r="G798" s="697" t="n">
        <v>1</v>
      </c>
      <c r="H798" s="698" t="n">
        <v>42.5</v>
      </c>
      <c r="I798" s="697" t="n">
        <v>2125</v>
      </c>
      <c r="J798" s="585" t="n">
        <v>18</v>
      </c>
      <c r="K798" s="585" t="n">
        <v>2</v>
      </c>
      <c r="L798" s="585">
        <f>IF(B798="TXO",I798-SUM(J798:K798),IF(B798="FITX",IF(D798="新倉",-SUM(J798:K798),IF(E798="賣",(H798-H1495)*G798*200-SUM(J798:K798),(H1495-H798)*G798*200-SUM(J798:K798))),IF(D798="新倉",-SUM(J798:K798),IF(E798="賣",(H798-H1495)*G798*50-SUM(J798:K798),(H1495-H798)*G798*50-SUM(J798:K798)))))</f>
        <v/>
      </c>
      <c r="M798" s="699">
        <f>L798</f>
        <v/>
      </c>
      <c r="N798" s="686">
        <f>M798</f>
        <v/>
      </c>
      <c r="O798" s="249" t="inlineStr">
        <is>
          <t>平倉</t>
        </is>
      </c>
      <c r="P798" s="249" t="inlineStr">
        <is>
          <t>元大期貨</t>
        </is>
      </c>
    </row>
    <row r="799" hidden="1" outlineLevel="1">
      <c r="A799" s="696" t="n">
        <v>45894</v>
      </c>
      <c r="B799" s="234" t="inlineStr">
        <is>
          <t>TXO</t>
        </is>
      </c>
      <c r="C799" s="229" t="inlineStr">
        <is>
          <t>週W4 P 08 24000 P</t>
        </is>
      </c>
      <c r="D799" s="229" t="inlineStr">
        <is>
          <t>新倉</t>
        </is>
      </c>
      <c r="E799" s="257" t="inlineStr">
        <is>
          <t>買</t>
        </is>
      </c>
      <c r="F799" s="229" t="inlineStr">
        <is>
          <t>-</t>
        </is>
      </c>
      <c r="G799" s="697" t="n">
        <v>1</v>
      </c>
      <c r="H799" s="698" t="n">
        <v>61</v>
      </c>
      <c r="I799" s="697" t="n">
        <v>-3050</v>
      </c>
      <c r="J799" s="585" t="n">
        <v>18</v>
      </c>
      <c r="K799" s="585" t="n">
        <v>3</v>
      </c>
      <c r="L799" s="585">
        <f>IF(B799="TXO",I799-SUM(J799:K799),IF(B799="FITX",IF(D799="新倉",-SUM(J799:K799),IF(E799="賣",(H799-H1496)*G799*200-SUM(J799:K799),(H1496-H799)*G799*200-SUM(J799:K799))),IF(D799="新倉",-SUM(J799:K799),IF(E799="賣",(H799-H1496)*G799*50-SUM(J799:K799),(H1496-H799)*G799*50-SUM(J799:K799)))))</f>
        <v/>
      </c>
      <c r="M799" s="699">
        <f>L799</f>
        <v/>
      </c>
      <c r="N799" s="686">
        <f>M799</f>
        <v/>
      </c>
      <c r="O799" s="249" t="inlineStr">
        <is>
          <t>新倉</t>
        </is>
      </c>
      <c r="P799" s="249" t="inlineStr">
        <is>
          <t>元大期貨</t>
        </is>
      </c>
    </row>
    <row r="800" hidden="1" outlineLevel="1">
      <c r="A800" s="696" t="n">
        <v>45894</v>
      </c>
      <c r="B800" s="234" t="inlineStr">
        <is>
          <t>TXO</t>
        </is>
      </c>
      <c r="C800" s="229" t="inlineStr">
        <is>
          <t>週W4 P 08 24000 P</t>
        </is>
      </c>
      <c r="D800" s="229" t="inlineStr">
        <is>
          <t>平倉</t>
        </is>
      </c>
      <c r="E800" s="257" t="inlineStr">
        <is>
          <t>賣</t>
        </is>
      </c>
      <c r="F800" s="229" t="inlineStr">
        <is>
          <t>-</t>
        </is>
      </c>
      <c r="G800" s="697" t="n">
        <v>1</v>
      </c>
      <c r="H800" s="698" t="n">
        <v>35</v>
      </c>
      <c r="I800" s="697" t="n">
        <v>1750</v>
      </c>
      <c r="J800" s="585" t="n">
        <v>18</v>
      </c>
      <c r="K800" s="585" t="n">
        <v>2</v>
      </c>
      <c r="L800" s="585">
        <f>IF(B800="TXO",I800-SUM(J800:K800),IF(B800="FITX",IF(D800="新倉",-SUM(J800:K800),IF(E800="賣",(H800-H1497)*G800*200-SUM(J800:K800),(H1497-H800)*G800*200-SUM(J800:K800))),IF(D800="新倉",-SUM(J800:K800),IF(E800="賣",(H800-H1497)*G800*50-SUM(J800:K800),(H1497-H800)*G800*50-SUM(J800:K800)))))</f>
        <v/>
      </c>
      <c r="M800" s="699">
        <f>L800</f>
        <v/>
      </c>
      <c r="N800" s="686">
        <f>M800</f>
        <v/>
      </c>
      <c r="O800" s="249" t="inlineStr">
        <is>
          <t>平倉</t>
        </is>
      </c>
      <c r="P800" s="249" t="inlineStr">
        <is>
          <t>元大期貨</t>
        </is>
      </c>
    </row>
    <row r="801" hidden="1" outlineLevel="1">
      <c r="A801" s="696" t="n">
        <v>45894</v>
      </c>
      <c r="B801" s="234" t="inlineStr">
        <is>
          <t>TXO</t>
        </is>
      </c>
      <c r="C801" s="229" t="inlineStr">
        <is>
          <t>週W4 P 08 24000 P</t>
        </is>
      </c>
      <c r="D801" s="229" t="inlineStr">
        <is>
          <t>新倉</t>
        </is>
      </c>
      <c r="E801" s="257" t="inlineStr">
        <is>
          <t>買</t>
        </is>
      </c>
      <c r="F801" s="229" t="inlineStr">
        <is>
          <t>-</t>
        </is>
      </c>
      <c r="G801" s="697" t="n">
        <v>1</v>
      </c>
      <c r="H801" s="698" t="n">
        <v>61</v>
      </c>
      <c r="I801" s="697" t="n">
        <v>-3050</v>
      </c>
      <c r="J801" s="585" t="n">
        <v>18</v>
      </c>
      <c r="K801" s="585" t="n">
        <v>3</v>
      </c>
      <c r="L801" s="585">
        <f>IF(B801="TXO",I801-SUM(J801:K801),IF(B801="FITX",IF(D801="新倉",-SUM(J801:K801),IF(E801="賣",(H801-H1498)*G801*200-SUM(J801:K801),(H1498-H801)*G801*200-SUM(J801:K801))),IF(D801="新倉",-SUM(J801:K801),IF(E801="賣",(H801-H1498)*G801*50-SUM(J801:K801),(H1498-H801)*G801*50-SUM(J801:K801)))))</f>
        <v/>
      </c>
      <c r="M801" s="699">
        <f>L801</f>
        <v/>
      </c>
      <c r="N801" s="686">
        <f>M801</f>
        <v/>
      </c>
      <c r="O801" s="249" t="inlineStr">
        <is>
          <t>新倉</t>
        </is>
      </c>
      <c r="P801" s="249" t="inlineStr">
        <is>
          <t>元大期貨</t>
        </is>
      </c>
    </row>
    <row r="802" hidden="1" outlineLevel="1">
      <c r="A802" s="696" t="n">
        <v>45894</v>
      </c>
      <c r="B802" s="234" t="inlineStr">
        <is>
          <t>TXO</t>
        </is>
      </c>
      <c r="C802" s="229" t="inlineStr">
        <is>
          <t>週W4 P 08 24000 P</t>
        </is>
      </c>
      <c r="D802" s="229" t="inlineStr">
        <is>
          <t>平倉</t>
        </is>
      </c>
      <c r="E802" s="257" t="inlineStr">
        <is>
          <t>賣</t>
        </is>
      </c>
      <c r="F802" s="229" t="inlineStr">
        <is>
          <t>-</t>
        </is>
      </c>
      <c r="G802" s="697" t="n">
        <v>1</v>
      </c>
      <c r="H802" s="698" t="n">
        <v>35</v>
      </c>
      <c r="I802" s="697" t="n">
        <v>1750</v>
      </c>
      <c r="J802" s="585" t="n">
        <v>18</v>
      </c>
      <c r="K802" s="585" t="n">
        <v>2</v>
      </c>
      <c r="L802" s="585">
        <f>IF(B802="TXO",I802-SUM(J802:K802),IF(B802="FITX",IF(D802="新倉",-SUM(J802:K802),IF(E802="賣",(H802-H1499)*G802*200-SUM(J802:K802),(H1499-H802)*G802*200-SUM(J802:K802))),IF(D802="新倉",-SUM(J802:K802),IF(E802="賣",(H802-H1499)*G802*50-SUM(J802:K802),(H1499-H802)*G802*50-SUM(J802:K802)))))</f>
        <v/>
      </c>
      <c r="M802" s="699">
        <f>L802</f>
        <v/>
      </c>
      <c r="N802" s="686">
        <f>M802</f>
        <v/>
      </c>
      <c r="O802" s="249" t="inlineStr">
        <is>
          <t>平倉</t>
        </is>
      </c>
      <c r="P802" s="249" t="inlineStr">
        <is>
          <t>元大期貨</t>
        </is>
      </c>
    </row>
    <row r="803" hidden="1" outlineLevel="1">
      <c r="A803" s="696" t="n">
        <v>45894</v>
      </c>
      <c r="B803" s="234" t="inlineStr">
        <is>
          <t>TXO</t>
        </is>
      </c>
      <c r="C803" s="229" t="inlineStr">
        <is>
          <t>週W4 C 08 24350 C</t>
        </is>
      </c>
      <c r="D803" s="229" t="inlineStr">
        <is>
          <t>新倉</t>
        </is>
      </c>
      <c r="E803" s="257" t="inlineStr">
        <is>
          <t>買</t>
        </is>
      </c>
      <c r="F803" s="229" t="inlineStr">
        <is>
          <t>-</t>
        </is>
      </c>
      <c r="G803" s="697" t="n">
        <v>1</v>
      </c>
      <c r="H803" s="698" t="n">
        <v>108</v>
      </c>
      <c r="I803" s="697" t="n">
        <v>-5400</v>
      </c>
      <c r="J803" s="585" t="n">
        <v>18</v>
      </c>
      <c r="K803" s="585" t="n">
        <v>5</v>
      </c>
      <c r="L803" s="585">
        <f>IF(B803="TXO",I803-SUM(J803:K803),IF(B803="FITX",IF(D803="新倉",-SUM(J803:K803),IF(E803="賣",(H803-H1500)*G803*200-SUM(J803:K803),(H1500-H803)*G803*200-SUM(J803:K803))),IF(D803="新倉",-SUM(J803:K803),IF(E803="賣",(H803-H1500)*G803*50-SUM(J803:K803),(H1500-H803)*G803*50-SUM(J803:K803)))))</f>
        <v/>
      </c>
      <c r="M803" s="699">
        <f>L803</f>
        <v/>
      </c>
      <c r="N803" s="686">
        <f>M803</f>
        <v/>
      </c>
      <c r="O803" s="249" t="inlineStr">
        <is>
          <t>新倉</t>
        </is>
      </c>
      <c r="P803" s="249" t="inlineStr">
        <is>
          <t>元大期貨</t>
        </is>
      </c>
    </row>
    <row r="804" hidden="1" outlineLevel="1">
      <c r="A804" s="696" t="n">
        <v>45896</v>
      </c>
      <c r="B804" s="234" t="inlineStr">
        <is>
          <t>TXO</t>
        </is>
      </c>
      <c r="C804" s="229" t="inlineStr">
        <is>
          <t>週W4 C 08 24350 C</t>
        </is>
      </c>
      <c r="D804" s="229" t="inlineStr">
        <is>
          <t>新倉</t>
        </is>
      </c>
      <c r="E804" s="257" t="inlineStr">
        <is>
          <t>買</t>
        </is>
      </c>
      <c r="F804" s="229" t="inlineStr">
        <is>
          <t>-</t>
        </is>
      </c>
      <c r="G804" s="697" t="n">
        <v>1</v>
      </c>
      <c r="H804" s="698" t="n">
        <v>72</v>
      </c>
      <c r="I804" s="697" t="n">
        <v>-3600</v>
      </c>
      <c r="J804" s="585" t="n">
        <v>18</v>
      </c>
      <c r="K804" s="585" t="n">
        <v>4</v>
      </c>
      <c r="L804" s="585">
        <f>IF(B804="TXO",I804-SUM(J804:K804),IF(B804="FITX",IF(D804="新倉",-SUM(J804:K804),IF(E804="賣",(H804-H1501)*G804*200-SUM(J804:K804),(H1501-H804)*G804*200-SUM(J804:K804))),IF(D804="新倉",-SUM(J804:K804),IF(E804="賣",(H804-H1501)*G804*50-SUM(J804:K804),(H1501-H804)*G804*50-SUM(J804:K804)))))</f>
        <v/>
      </c>
      <c r="M804" s="699">
        <f>L804</f>
        <v/>
      </c>
      <c r="N804" s="686">
        <f>M804</f>
        <v/>
      </c>
      <c r="O804" s="249" t="inlineStr">
        <is>
          <t>新倉</t>
        </is>
      </c>
      <c r="P804" s="249" t="inlineStr">
        <is>
          <t>元大期貨</t>
        </is>
      </c>
    </row>
    <row r="805" hidden="1" outlineLevel="1">
      <c r="A805" s="696" t="n">
        <v>45896</v>
      </c>
      <c r="B805" s="234" t="inlineStr">
        <is>
          <t>TXO</t>
        </is>
      </c>
      <c r="C805" s="229" t="inlineStr">
        <is>
          <t>週W4 C 08 24350 C</t>
        </is>
      </c>
      <c r="D805" s="229" t="inlineStr">
        <is>
          <t>平倉</t>
        </is>
      </c>
      <c r="E805" s="257" t="inlineStr">
        <is>
          <t>賣</t>
        </is>
      </c>
      <c r="F805" s="229" t="inlineStr">
        <is>
          <t>-</t>
        </is>
      </c>
      <c r="G805" s="697" t="n">
        <v>2</v>
      </c>
      <c r="H805" s="698" t="n">
        <v>48</v>
      </c>
      <c r="I805" s="697" t="n">
        <v>4800</v>
      </c>
      <c r="J805" s="585" t="n">
        <v>36</v>
      </c>
      <c r="K805" s="585" t="n">
        <v>4</v>
      </c>
      <c r="L805" s="585">
        <f>IF(B805="TXO",I805-SUM(J805:K805),IF(B805="FITX",IF(D805="新倉",-SUM(J805:K805),IF(E805="賣",(H805-H1502)*G805*200-SUM(J805:K805),(H1502-H805)*G805*200-SUM(J805:K805))),IF(D805="新倉",-SUM(J805:K805),IF(E805="賣",(H805-H1502)*G805*50-SUM(J805:K805),(H1502-H805)*G805*50-SUM(J805:K805)))))</f>
        <v/>
      </c>
      <c r="M805" s="699">
        <f>L805</f>
        <v/>
      </c>
      <c r="N805" s="686">
        <f>M805</f>
        <v/>
      </c>
      <c r="O805" s="249" t="inlineStr">
        <is>
          <t>平倉</t>
        </is>
      </c>
      <c r="P805" s="249" t="inlineStr">
        <is>
          <t>元大期貨</t>
        </is>
      </c>
    </row>
    <row r="806" hidden="1" outlineLevel="1">
      <c r="A806" s="696" t="n">
        <v>45896</v>
      </c>
      <c r="B806" s="234" t="inlineStr">
        <is>
          <t>TXO</t>
        </is>
      </c>
      <c r="C806" s="229" t="inlineStr">
        <is>
          <t>週W4 P 08 24250 P</t>
        </is>
      </c>
      <c r="D806" s="229" t="inlineStr">
        <is>
          <t>新倉</t>
        </is>
      </c>
      <c r="E806" s="257" t="inlineStr">
        <is>
          <t>買</t>
        </is>
      </c>
      <c r="F806" s="229" t="inlineStr">
        <is>
          <t>-</t>
        </is>
      </c>
      <c r="G806" s="697" t="n">
        <v>2</v>
      </c>
      <c r="H806" s="698" t="n">
        <v>25.5</v>
      </c>
      <c r="I806" s="697" t="n">
        <v>-2550</v>
      </c>
      <c r="J806" s="585" t="n">
        <v>36</v>
      </c>
      <c r="K806" s="585" t="n">
        <v>2</v>
      </c>
      <c r="L806" s="585">
        <f>IF(B806="TXO",I806-SUM(J806:K806),IF(B806="FITX",IF(D806="新倉",-SUM(J806:K806),IF(E806="賣",(H806-H1503)*G806*200-SUM(J806:K806),(H1503-H806)*G806*200-SUM(J806:K806))),IF(D806="新倉",-SUM(J806:K806),IF(E806="賣",(H806-H1503)*G806*50-SUM(J806:K806),(H1503-H806)*G806*50-SUM(J806:K806)))))</f>
        <v/>
      </c>
      <c r="M806" s="699">
        <f>L806</f>
        <v/>
      </c>
      <c r="N806" s="686">
        <f>M806</f>
        <v/>
      </c>
      <c r="O806" s="261" t="inlineStr">
        <is>
          <t>放棄</t>
        </is>
      </c>
      <c r="P806" s="249" t="inlineStr">
        <is>
          <t>元大期貨</t>
        </is>
      </c>
    </row>
    <row r="807" hidden="1" outlineLevel="1">
      <c r="A807" s="696" t="n">
        <v>45896</v>
      </c>
      <c r="B807" s="234" t="inlineStr">
        <is>
          <t>TXO</t>
        </is>
      </c>
      <c r="C807" s="229" t="inlineStr">
        <is>
          <t>週W4 P 08 24250 P</t>
        </is>
      </c>
      <c r="D807" s="229" t="inlineStr">
        <is>
          <t>新倉</t>
        </is>
      </c>
      <c r="E807" s="257" t="inlineStr">
        <is>
          <t>買</t>
        </is>
      </c>
      <c r="F807" s="229" t="inlineStr">
        <is>
          <t>-</t>
        </is>
      </c>
      <c r="G807" s="697" t="n">
        <v>2</v>
      </c>
      <c r="H807" s="698" t="n">
        <v>26</v>
      </c>
      <c r="I807" s="697" t="n">
        <v>-2600</v>
      </c>
      <c r="J807" s="585" t="n">
        <v>36</v>
      </c>
      <c r="K807" s="585" t="n">
        <v>2</v>
      </c>
      <c r="L807" s="585">
        <f>IF(B807="TXO",I807-SUM(J807:K807),IF(B807="FITX",IF(D807="新倉",-SUM(J807:K807),IF(E807="賣",(H807-H1504)*G807*200-SUM(J807:K807),(H1504-H807)*G807*200-SUM(J807:K807))),IF(D807="新倉",-SUM(J807:K807),IF(E807="賣",(H807-H1504)*G807*50-SUM(J807:K807),(H1504-H807)*G807*50-SUM(J807:K807)))))</f>
        <v/>
      </c>
      <c r="M807" s="699">
        <f>L807</f>
        <v/>
      </c>
      <c r="N807" s="686">
        <f>M807</f>
        <v/>
      </c>
      <c r="O807" s="261" t="inlineStr">
        <is>
          <t>放棄</t>
        </is>
      </c>
      <c r="P807" s="249" t="inlineStr">
        <is>
          <t>元大期貨</t>
        </is>
      </c>
    </row>
    <row r="808" hidden="1" outlineLevel="1">
      <c r="A808" s="696" t="n">
        <v>45896</v>
      </c>
      <c r="B808" s="234" t="inlineStr">
        <is>
          <t>TXO</t>
        </is>
      </c>
      <c r="C808" s="229" t="inlineStr">
        <is>
          <t>週W4 P 08 24250 P</t>
        </is>
      </c>
      <c r="D808" s="229" t="inlineStr">
        <is>
          <t>新倉</t>
        </is>
      </c>
      <c r="E808" s="257" t="inlineStr">
        <is>
          <t>買</t>
        </is>
      </c>
      <c r="F808" s="229" t="inlineStr">
        <is>
          <t>-</t>
        </is>
      </c>
      <c r="G808" s="697" t="n">
        <v>4</v>
      </c>
      <c r="H808" s="698" t="n">
        <v>23.5</v>
      </c>
      <c r="I808" s="697" t="n">
        <v>-4700</v>
      </c>
      <c r="J808" s="585" t="n">
        <v>72</v>
      </c>
      <c r="K808" s="585" t="n">
        <v>4</v>
      </c>
      <c r="L808" s="585">
        <f>IF(B808="TXO",I808-SUM(J808:K808),IF(B808="FITX",IF(D808="新倉",-SUM(J808:K808),IF(E808="賣",(H808-H1505)*G808*200-SUM(J808:K808),(H1505-H808)*G808*200-SUM(J808:K808))),IF(D808="新倉",-SUM(J808:K808),IF(E808="賣",(H808-H1505)*G808*50-SUM(J808:K808),(H1505-H808)*G808*50-SUM(J808:K808)))))</f>
        <v/>
      </c>
      <c r="M808" s="699">
        <f>L808</f>
        <v/>
      </c>
      <c r="N808" s="686">
        <f>M808</f>
        <v/>
      </c>
      <c r="O808" s="261" t="inlineStr">
        <is>
          <t>放棄</t>
        </is>
      </c>
      <c r="P808" s="249" t="inlineStr">
        <is>
          <t>元大期貨</t>
        </is>
      </c>
    </row>
    <row r="809" hidden="1" outlineLevel="1">
      <c r="A809" s="696" t="n">
        <v>45896</v>
      </c>
      <c r="B809" s="234" t="inlineStr">
        <is>
          <t>TXO</t>
        </is>
      </c>
      <c r="C809" s="229" t="inlineStr">
        <is>
          <t>週W4 C 08 24450 C</t>
        </is>
      </c>
      <c r="D809" s="229" t="inlineStr">
        <is>
          <t>新倉</t>
        </is>
      </c>
      <c r="E809" s="257" t="inlineStr">
        <is>
          <t>買</t>
        </is>
      </c>
      <c r="F809" s="229" t="inlineStr">
        <is>
          <t>-</t>
        </is>
      </c>
      <c r="G809" s="697" t="n">
        <v>2</v>
      </c>
      <c r="H809" s="698" t="n">
        <v>50</v>
      </c>
      <c r="I809" s="697" t="n">
        <v>-5000</v>
      </c>
      <c r="J809" s="585" t="n">
        <v>36</v>
      </c>
      <c r="K809" s="585" t="n">
        <v>6</v>
      </c>
      <c r="L809" s="585">
        <f>IF(B809="TXO",I809-SUM(J809:K809),IF(B809="FITX",IF(D809="新倉",-SUM(J809:K809),IF(E809="賣",(H809-H1506)*G809*200-SUM(J809:K809),(H1506-H809)*G809*200-SUM(J809:K809))),IF(D809="新倉",-SUM(J809:K809),IF(E809="賣",(H809-H1506)*G809*50-SUM(J809:K809),(H1506-H809)*G809*50-SUM(J809:K809)))))</f>
        <v/>
      </c>
      <c r="M809" s="699">
        <f>L809</f>
        <v/>
      </c>
      <c r="N809" s="686">
        <f>M809</f>
        <v/>
      </c>
      <c r="O809" s="249" t="inlineStr">
        <is>
          <t>新倉</t>
        </is>
      </c>
      <c r="P809" s="249" t="inlineStr">
        <is>
          <t>元大期貨</t>
        </is>
      </c>
    </row>
    <row r="810" hidden="1" outlineLevel="1">
      <c r="A810" s="696" t="n">
        <v>45896</v>
      </c>
      <c r="B810" s="234" t="inlineStr">
        <is>
          <t>TXO</t>
        </is>
      </c>
      <c r="C810" s="229" t="inlineStr">
        <is>
          <t>週W4 C 08 24450 C</t>
        </is>
      </c>
      <c r="D810" s="229" t="inlineStr">
        <is>
          <t>平倉</t>
        </is>
      </c>
      <c r="E810" s="257" t="inlineStr">
        <is>
          <t>賣</t>
        </is>
      </c>
      <c r="F810" s="229" t="inlineStr">
        <is>
          <t>-</t>
        </is>
      </c>
      <c r="G810" s="697" t="n">
        <v>1</v>
      </c>
      <c r="H810" s="698" t="n">
        <v>42.5</v>
      </c>
      <c r="I810" s="697" t="n">
        <v>2125</v>
      </c>
      <c r="J810" s="585" t="n">
        <v>18</v>
      </c>
      <c r="K810" s="585" t="n">
        <v>2</v>
      </c>
      <c r="L810" s="585">
        <f>IF(B810="TXO",I810-SUM(J810:K810),IF(B810="FITX",IF(D810="新倉",-SUM(J810:K810),IF(E810="賣",(H810-H1507)*G810*200-SUM(J810:K810),(H1507-H810)*G810*200-SUM(J810:K810))),IF(D810="新倉",-SUM(J810:K810),IF(E810="賣",(H810-H1507)*G810*50-SUM(J810:K810),(H1507-H810)*G810*50-SUM(J810:K810)))))</f>
        <v/>
      </c>
      <c r="M810" s="699">
        <f>L810</f>
        <v/>
      </c>
      <c r="N810" s="686">
        <f>M810</f>
        <v/>
      </c>
      <c r="O810" s="249" t="inlineStr">
        <is>
          <t>平倉</t>
        </is>
      </c>
      <c r="P810" s="249" t="inlineStr">
        <is>
          <t>元大期貨</t>
        </is>
      </c>
    </row>
    <row r="811" hidden="1" outlineLevel="1">
      <c r="A811" s="696" t="n">
        <v>45896</v>
      </c>
      <c r="B811" s="234" t="inlineStr">
        <is>
          <t>TXO</t>
        </is>
      </c>
      <c r="C811" s="229" t="inlineStr">
        <is>
          <t>週W4 C 08 24450 C</t>
        </is>
      </c>
      <c r="D811" s="229" t="inlineStr">
        <is>
          <t>平倉</t>
        </is>
      </c>
      <c r="E811" s="257" t="inlineStr">
        <is>
          <t>賣</t>
        </is>
      </c>
      <c r="F811" s="229" t="inlineStr">
        <is>
          <t>-</t>
        </is>
      </c>
      <c r="G811" s="697" t="n">
        <v>1</v>
      </c>
      <c r="H811" s="698" t="n">
        <v>56</v>
      </c>
      <c r="I811" s="697" t="n">
        <v>2800</v>
      </c>
      <c r="J811" s="585" t="n">
        <v>18</v>
      </c>
      <c r="K811" s="585" t="n">
        <v>3</v>
      </c>
      <c r="L811" s="585">
        <f>IF(B811="TXO",I811-SUM(J811:K811),IF(B811="FITX",IF(D811="新倉",-SUM(J811:K811),IF(E811="賣",(H811-H1508)*G811*200-SUM(J811:K811),(H1508-H811)*G811*200-SUM(J811:K811))),IF(D811="新倉",-SUM(J811:K811),IF(E811="賣",(H811-H1508)*G811*50-SUM(J811:K811),(H1508-H811)*G811*50-SUM(J811:K811)))))</f>
        <v/>
      </c>
      <c r="M811" s="699">
        <f>L811</f>
        <v/>
      </c>
      <c r="N811" s="686">
        <f>M811</f>
        <v/>
      </c>
      <c r="O811" s="249" t="inlineStr">
        <is>
          <t>平倉</t>
        </is>
      </c>
      <c r="P811" s="249" t="inlineStr">
        <is>
          <t>元大期貨</t>
        </is>
      </c>
    </row>
    <row r="812" hidden="1" outlineLevel="1">
      <c r="A812" s="696" t="n">
        <v>45896</v>
      </c>
      <c r="B812" s="234" t="inlineStr">
        <is>
          <t>TXO</t>
        </is>
      </c>
      <c r="C812" s="229" t="inlineStr">
        <is>
          <t>週W4 P 08 24250 P</t>
        </is>
      </c>
      <c r="D812" s="229" t="inlineStr">
        <is>
          <t>新倉</t>
        </is>
      </c>
      <c r="E812" s="257" t="inlineStr">
        <is>
          <t>買</t>
        </is>
      </c>
      <c r="F812" s="229" t="inlineStr">
        <is>
          <t>-</t>
        </is>
      </c>
      <c r="G812" s="697" t="n">
        <v>10</v>
      </c>
      <c r="H812" s="698" t="n">
        <v>5.7</v>
      </c>
      <c r="I812" s="697" t="n">
        <v>-2850</v>
      </c>
      <c r="J812" s="585" t="n">
        <v>180</v>
      </c>
      <c r="K812" s="585" t="n">
        <v>0</v>
      </c>
      <c r="L812" s="585">
        <f>IF(B812="TXO",I812-SUM(J812:K812),IF(B812="FITX",IF(D812="新倉",-SUM(J812:K812),IF(E812="賣",(H812-H1509)*G812*200-SUM(J812:K812),(H1509-H812)*G812*200-SUM(J812:K812))),IF(D812="新倉",-SUM(J812:K812),IF(E812="賣",(H812-H1509)*G812*50-SUM(J812:K812),(H1509-H812)*G812*50-SUM(J812:K812)))))</f>
        <v/>
      </c>
      <c r="M812" s="699">
        <f>L812</f>
        <v/>
      </c>
      <c r="N812" s="686">
        <f>M812</f>
        <v/>
      </c>
      <c r="O812" s="261" t="inlineStr">
        <is>
          <t>放棄</t>
        </is>
      </c>
      <c r="P812" s="249" t="inlineStr">
        <is>
          <t>元大期貨</t>
        </is>
      </c>
    </row>
    <row r="813" hidden="1" outlineLevel="1">
      <c r="A813" s="696" t="n">
        <v>45898</v>
      </c>
      <c r="B813" s="234" t="inlineStr">
        <is>
          <t>TXO</t>
        </is>
      </c>
      <c r="C813" s="229" t="inlineStr">
        <is>
          <t>週F5 P 08 24350 P</t>
        </is>
      </c>
      <c r="D813" s="229" t="inlineStr">
        <is>
          <t>新倉</t>
        </is>
      </c>
      <c r="E813" s="257" t="inlineStr">
        <is>
          <t>買</t>
        </is>
      </c>
      <c r="F813" s="229" t="inlineStr">
        <is>
          <t>-</t>
        </is>
      </c>
      <c r="G813" s="697" t="n">
        <v>2</v>
      </c>
      <c r="H813" s="698" t="n">
        <v>10.5</v>
      </c>
      <c r="I813" s="697" t="n">
        <v>-1050</v>
      </c>
      <c r="J813" s="585" t="n">
        <v>36</v>
      </c>
      <c r="K813" s="585" t="n">
        <v>2</v>
      </c>
      <c r="L813" s="585">
        <f>IF(B813="TXO",I813-SUM(J813:K813),IF(B813="FITX",IF(D813="新倉",-SUM(J813:K813),IF(E813="賣",(H813-H1510)*G813*200-SUM(J813:K813),(H1510-H813)*G813*200-SUM(J813:K813))),IF(D813="新倉",-SUM(J813:K813),IF(E813="賣",(H813-H1510)*G813*50-SUM(J813:K813),(H1510-H813)*G813*50-SUM(J813:K813)))))</f>
        <v/>
      </c>
      <c r="M813" s="699">
        <f>L813</f>
        <v/>
      </c>
      <c r="N813" s="686">
        <f>M813</f>
        <v/>
      </c>
      <c r="O813" s="249" t="inlineStr">
        <is>
          <t>新倉</t>
        </is>
      </c>
      <c r="P813" s="249" t="inlineStr">
        <is>
          <t>元大期貨</t>
        </is>
      </c>
    </row>
    <row r="814" hidden="1" outlineLevel="1">
      <c r="A814" s="696" t="n">
        <v>45898</v>
      </c>
      <c r="B814" s="234" t="inlineStr">
        <is>
          <t>TXO</t>
        </is>
      </c>
      <c r="C814" s="229" t="inlineStr">
        <is>
          <t>週F5 P 08 24350 P</t>
        </is>
      </c>
      <c r="D814" s="229" t="inlineStr">
        <is>
          <t>平倉</t>
        </is>
      </c>
      <c r="E814" s="257" t="inlineStr">
        <is>
          <t>賣</t>
        </is>
      </c>
      <c r="F814" s="229" t="inlineStr">
        <is>
          <t>-</t>
        </is>
      </c>
      <c r="G814" s="697" t="n">
        <v>2</v>
      </c>
      <c r="H814" s="698" t="n">
        <v>21.5</v>
      </c>
      <c r="I814" s="697" t="n">
        <v>2150</v>
      </c>
      <c r="J814" s="585" t="n">
        <v>36</v>
      </c>
      <c r="K814" s="585" t="n">
        <v>2</v>
      </c>
      <c r="L814" s="585">
        <f>IF(B814="TXO",I814-SUM(J814:K814),IF(B814="FITX",IF(D814="新倉",-SUM(J814:K814),IF(E814="賣",(H814-H1511)*G814*200-SUM(J814:K814),(H1511-H814)*G814*200-SUM(J814:K814))),IF(D814="新倉",-SUM(J814:K814),IF(E814="賣",(H814-H1511)*G814*50-SUM(J814:K814),(H1511-H814)*G814*50-SUM(J814:K814)))))</f>
        <v/>
      </c>
      <c r="M814" s="699">
        <f>L814</f>
        <v/>
      </c>
      <c r="N814" s="686">
        <f>M814</f>
        <v/>
      </c>
      <c r="O814" s="249" t="inlineStr">
        <is>
          <t>平倉</t>
        </is>
      </c>
      <c r="P814" s="249" t="inlineStr">
        <is>
          <t>元大期貨</t>
        </is>
      </c>
    </row>
    <row r="815" hidden="1" outlineLevel="1">
      <c r="A815" s="696" t="n">
        <v>45898</v>
      </c>
      <c r="B815" s="234" t="inlineStr">
        <is>
          <t>TXO</t>
        </is>
      </c>
      <c r="C815" s="229" t="inlineStr">
        <is>
          <t>週F5 P 08 24400 P</t>
        </is>
      </c>
      <c r="D815" s="229" t="inlineStr">
        <is>
          <t>新倉</t>
        </is>
      </c>
      <c r="E815" s="257" t="inlineStr">
        <is>
          <t>買</t>
        </is>
      </c>
      <c r="F815" s="229" t="inlineStr">
        <is>
          <t>-</t>
        </is>
      </c>
      <c r="G815" s="697" t="n">
        <v>2</v>
      </c>
      <c r="H815" s="698" t="n">
        <v>9.4</v>
      </c>
      <c r="I815" s="697" t="n">
        <v>-940</v>
      </c>
      <c r="J815" s="585" t="n">
        <v>36</v>
      </c>
      <c r="K815" s="585" t="n">
        <v>0</v>
      </c>
      <c r="L815" s="585">
        <f>IF(B815="TXO",I815-SUM(J815:K815),IF(B815="FITX",IF(D815="新倉",-SUM(J815:K815),IF(E815="賣",(H815-H1512)*G815*200-SUM(J815:K815),(H1512-H815)*G815*200-SUM(J815:K815))),IF(D815="新倉",-SUM(J815:K815),IF(E815="賣",(H815-H1512)*G815*50-SUM(J815:K815),(H1512-H815)*G815*50-SUM(J815:K815)))))</f>
        <v/>
      </c>
      <c r="M815" s="699">
        <f>L815</f>
        <v/>
      </c>
      <c r="N815" s="686">
        <f>M815</f>
        <v/>
      </c>
      <c r="O815" s="249" t="inlineStr">
        <is>
          <t>新倉</t>
        </is>
      </c>
      <c r="P815" s="249" t="inlineStr">
        <is>
          <t>元大期貨</t>
        </is>
      </c>
    </row>
    <row r="816" hidden="1" outlineLevel="1">
      <c r="A816" s="696" t="n">
        <v>45898</v>
      </c>
      <c r="B816" s="234" t="inlineStr">
        <is>
          <t>TXO</t>
        </is>
      </c>
      <c r="C816" s="229" t="inlineStr">
        <is>
          <t>週F5 P 08 24400 P</t>
        </is>
      </c>
      <c r="D816" s="229" t="inlineStr">
        <is>
          <t>新倉</t>
        </is>
      </c>
      <c r="E816" s="257" t="inlineStr">
        <is>
          <t>買</t>
        </is>
      </c>
      <c r="F816" s="229" t="inlineStr">
        <is>
          <t>-</t>
        </is>
      </c>
      <c r="G816" s="697" t="n">
        <v>3</v>
      </c>
      <c r="H816" s="698" t="n">
        <v>11</v>
      </c>
      <c r="I816" s="697" t="n">
        <v>-1650</v>
      </c>
      <c r="J816" s="585" t="n">
        <v>54</v>
      </c>
      <c r="K816" s="585" t="n">
        <v>3</v>
      </c>
      <c r="L816" s="585">
        <f>IF(B816="TXO",I816-SUM(J816:K816),IF(B816="FITX",IF(D816="新倉",-SUM(J816:K816),IF(E816="賣",(H816-H1513)*G816*200-SUM(J816:K816),(H1513-H816)*G816*200-SUM(J816:K816))),IF(D816="新倉",-SUM(J816:K816),IF(E816="賣",(H816-H1513)*G816*50-SUM(J816:K816),(H1513-H816)*G816*50-SUM(J816:K816)))))</f>
        <v/>
      </c>
      <c r="M816" s="699">
        <f>L816</f>
        <v/>
      </c>
      <c r="N816" s="686">
        <f>M816</f>
        <v/>
      </c>
      <c r="O816" s="249" t="inlineStr">
        <is>
          <t>新倉</t>
        </is>
      </c>
      <c r="P816" s="249" t="inlineStr">
        <is>
          <t>元大期貨</t>
        </is>
      </c>
    </row>
    <row r="817" hidden="1" outlineLevel="1">
      <c r="A817" s="696" t="n">
        <v>45898</v>
      </c>
      <c r="B817" s="234" t="inlineStr">
        <is>
          <t>TXO</t>
        </is>
      </c>
      <c r="C817" s="229" t="inlineStr">
        <is>
          <t>週F5 P 08 24400 P</t>
        </is>
      </c>
      <c r="D817" s="229" t="inlineStr">
        <is>
          <t>新倉</t>
        </is>
      </c>
      <c r="E817" s="257" t="inlineStr">
        <is>
          <t>買</t>
        </is>
      </c>
      <c r="F817" s="229" t="inlineStr">
        <is>
          <t>-</t>
        </is>
      </c>
      <c r="G817" s="697" t="n">
        <v>2</v>
      </c>
      <c r="H817" s="698" t="n">
        <v>12.5</v>
      </c>
      <c r="I817" s="697" t="n">
        <v>-1250</v>
      </c>
      <c r="J817" s="585" t="n">
        <v>36</v>
      </c>
      <c r="K817" s="585" t="n">
        <v>2</v>
      </c>
      <c r="L817" s="585">
        <f>IF(B817="TXO",I817-SUM(J817:K817),IF(B817="FITX",IF(D817="新倉",-SUM(J817:K817),IF(E817="賣",(H817-H1514)*G817*200-SUM(J817:K817),(H1514-H817)*G817*200-SUM(J817:K817))),IF(D817="新倉",-SUM(J817:K817),IF(E817="賣",(H817-H1514)*G817*50-SUM(J817:K817),(H1514-H817)*G817*50-SUM(J817:K817)))))</f>
        <v/>
      </c>
      <c r="M817" s="699">
        <f>L817</f>
        <v/>
      </c>
      <c r="N817" s="686">
        <f>M817</f>
        <v/>
      </c>
      <c r="O817" s="249" t="inlineStr">
        <is>
          <t>新倉</t>
        </is>
      </c>
      <c r="P817" s="249" t="inlineStr">
        <is>
          <t>元大期貨</t>
        </is>
      </c>
    </row>
    <row r="818" hidden="1" outlineLevel="1" ht="17.25" customHeight="1" thickBot="1">
      <c r="A818" s="696" t="n">
        <v>45898</v>
      </c>
      <c r="B818" s="234" t="inlineStr">
        <is>
          <t>TXO</t>
        </is>
      </c>
      <c r="C818" s="229" t="inlineStr">
        <is>
          <t>週F5 P 08 24400 P</t>
        </is>
      </c>
      <c r="D818" s="229" t="inlineStr">
        <is>
          <t>平倉</t>
        </is>
      </c>
      <c r="E818" s="257" t="inlineStr">
        <is>
          <t>賣</t>
        </is>
      </c>
      <c r="F818" s="229" t="inlineStr">
        <is>
          <t>-</t>
        </is>
      </c>
      <c r="G818" s="697" t="n">
        <v>7</v>
      </c>
      <c r="H818" s="698" t="n">
        <v>17</v>
      </c>
      <c r="I818" s="697" t="n">
        <v>5950</v>
      </c>
      <c r="J818" s="585" t="n">
        <v>126</v>
      </c>
      <c r="K818" s="585" t="n">
        <v>7</v>
      </c>
      <c r="L818" s="585">
        <f>IF(B818="TXO",I818-SUM(J818:K818),IF(B818="FITX",IF(D818="新倉",-SUM(J818:K818),IF(E818="賣",(H818-H1515)*G818*200-SUM(J818:K818),(H1515-H818)*G818*200-SUM(J818:K818))),IF(D818="新倉",-SUM(J818:K818),IF(E818="賣",(H818-H1515)*G818*50-SUM(J818:K818),(H1515-H818)*G818*50-SUM(J818:K818)))))</f>
        <v/>
      </c>
      <c r="M818" s="699">
        <f>L818</f>
        <v/>
      </c>
      <c r="N818" s="686">
        <f>M818</f>
        <v/>
      </c>
      <c r="O818" s="249" t="inlineStr">
        <is>
          <t>平倉</t>
        </is>
      </c>
      <c r="P818" s="249" t="inlineStr">
        <is>
          <t>元大期貨</t>
        </is>
      </c>
    </row>
    <row r="819" collapsed="1" ht="17.25" customHeight="1" thickBot="1">
      <c r="A819" s="465" t="inlineStr">
        <is>
          <t>8月總計</t>
        </is>
      </c>
      <c r="B819" s="274" t="n"/>
      <c r="C819" s="274" t="n"/>
      <c r="D819" s="274" t="n"/>
      <c r="E819" s="274" t="n"/>
      <c r="F819" s="274" t="n"/>
      <c r="G819" s="715" t="n"/>
      <c r="H819" s="715" t="n"/>
      <c r="I819" s="715" t="n"/>
      <c r="J819" s="716" t="n"/>
      <c r="K819" s="715" t="n"/>
      <c r="L819" s="717">
        <f>SUM(L607:L793,L795:L818)</f>
        <v/>
      </c>
      <c r="M819" s="717">
        <f>SUM(M607:M793,M795:M818)</f>
        <v/>
      </c>
      <c r="N819" s="666" t="n"/>
      <c r="P819" s="249" t="inlineStr">
        <is>
          <t>元大期貨</t>
        </is>
      </c>
    </row>
    <row r="820" hidden="1" outlineLevel="1">
      <c r="A820" s="696" t="n">
        <v>45909</v>
      </c>
      <c r="B820" s="234" t="inlineStr">
        <is>
          <t>TXO</t>
        </is>
      </c>
      <c r="C820" s="229" t="inlineStr">
        <is>
          <t>週W2 P 09 24550 P</t>
        </is>
      </c>
      <c r="D820" s="229" t="inlineStr">
        <is>
          <t>新倉</t>
        </is>
      </c>
      <c r="E820" s="257" t="inlineStr">
        <is>
          <t>買</t>
        </is>
      </c>
      <c r="F820" s="229" t="inlineStr">
        <is>
          <t>-</t>
        </is>
      </c>
      <c r="G820" s="697" t="n">
        <v>2</v>
      </c>
      <c r="H820" s="698" t="n">
        <v>15</v>
      </c>
      <c r="I820" s="697" t="n">
        <v>-1500</v>
      </c>
      <c r="J820" s="585" t="n">
        <v>36</v>
      </c>
      <c r="K820" s="585" t="n">
        <v>2</v>
      </c>
      <c r="L820" s="585">
        <f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/>
      </c>
      <c r="M820" s="699">
        <f>L820</f>
        <v/>
      </c>
      <c r="N820" s="686">
        <f>M820</f>
        <v/>
      </c>
      <c r="O820" s="261" t="inlineStr">
        <is>
          <t>放棄</t>
        </is>
      </c>
      <c r="P820" s="249" t="inlineStr">
        <is>
          <t>元大期貨</t>
        </is>
      </c>
    </row>
    <row r="821" hidden="1" outlineLevel="1">
      <c r="A821" s="696" t="n">
        <v>45910</v>
      </c>
      <c r="B821" s="234" t="inlineStr">
        <is>
          <t>TXO</t>
        </is>
      </c>
      <c r="C821" s="229" t="inlineStr">
        <is>
          <t>週W2 C 09 24900 C</t>
        </is>
      </c>
      <c r="D821" s="229" t="inlineStr">
        <is>
          <t>新倉</t>
        </is>
      </c>
      <c r="E821" s="257" t="inlineStr">
        <is>
          <t>買</t>
        </is>
      </c>
      <c r="F821" s="229" t="inlineStr">
        <is>
          <t>-</t>
        </is>
      </c>
      <c r="G821" s="697" t="n">
        <v>2</v>
      </c>
      <c r="H821" s="698" t="n">
        <v>52</v>
      </c>
      <c r="I821" s="697" t="n">
        <v>-5200</v>
      </c>
      <c r="J821" s="585" t="n">
        <v>36</v>
      </c>
      <c r="K821" s="585" t="n">
        <v>6</v>
      </c>
      <c r="L821" s="585">
        <f>IF(B821="TXO",I821-SUM(J821:K821),IF(B821="FITX",IF(D821="新倉",-SUM(J821:K821),IF(E821="賣",(H821-H1518)*G821*200-SUM(J821:K821),(H1518-H821)*G821*200-SUM(J821:K821))),IF(D821="新倉",-SUM(J821:K821),IF(E821="賣",(H821-H1518)*G821*50-SUM(J821:K821),(H1518-H821)*G821*50-SUM(J821:K821)))))</f>
        <v/>
      </c>
      <c r="M821" s="699">
        <f>L821</f>
        <v/>
      </c>
      <c r="N821" s="686">
        <f>M821</f>
        <v/>
      </c>
      <c r="O821" s="249" t="inlineStr">
        <is>
          <t>新倉</t>
        </is>
      </c>
      <c r="P821" s="249" t="inlineStr">
        <is>
          <t>元大期貨</t>
        </is>
      </c>
    </row>
    <row r="822" hidden="1" outlineLevel="1">
      <c r="A822" s="696" t="n">
        <v>45910</v>
      </c>
      <c r="B822" s="234" t="inlineStr">
        <is>
          <t>TXO</t>
        </is>
      </c>
      <c r="C822" s="229" t="inlineStr">
        <is>
          <t>週W2 C 09 24900 C</t>
        </is>
      </c>
      <c r="D822" s="229" t="inlineStr">
        <is>
          <t>平倉</t>
        </is>
      </c>
      <c r="E822" s="257" t="inlineStr">
        <is>
          <t>賣</t>
        </is>
      </c>
      <c r="F822" s="229" t="inlineStr">
        <is>
          <t>-</t>
        </is>
      </c>
      <c r="G822" s="697" t="n">
        <v>2</v>
      </c>
      <c r="H822" s="698" t="n">
        <v>80</v>
      </c>
      <c r="I822" s="697" t="n">
        <v>8000</v>
      </c>
      <c r="J822" s="585" t="n">
        <v>36</v>
      </c>
      <c r="K822" s="585" t="n">
        <v>8</v>
      </c>
      <c r="L822" s="585">
        <f>IF(B822="TXO",I822-SUM(J822:K822),IF(B822="FITX",IF(D822="新倉",-SUM(J822:K822),IF(E822="賣",(H822-H1519)*G822*200-SUM(J822:K822),(H1519-H822)*G822*200-SUM(J822:K822))),IF(D822="新倉",-SUM(J822:K822),IF(E822="賣",(H822-H1519)*G822*50-SUM(J822:K822),(H1519-H822)*G822*50-SUM(J822:K822)))))</f>
        <v/>
      </c>
      <c r="M822" s="699">
        <f>L822</f>
        <v/>
      </c>
      <c r="N822" s="686">
        <f>M822</f>
        <v/>
      </c>
      <c r="O822" s="249" t="inlineStr">
        <is>
          <t>平倉</t>
        </is>
      </c>
      <c r="P822" s="249" t="inlineStr">
        <is>
          <t>元大期貨</t>
        </is>
      </c>
    </row>
    <row r="823" hidden="1" outlineLevel="1">
      <c r="A823" s="696" t="n">
        <v>45910</v>
      </c>
      <c r="B823" s="234" t="inlineStr">
        <is>
          <t>TXO</t>
        </is>
      </c>
      <c r="C823" s="229" t="inlineStr">
        <is>
          <t>週W2 C 09 25100 C</t>
        </is>
      </c>
      <c r="D823" s="229" t="inlineStr">
        <is>
          <t>新倉</t>
        </is>
      </c>
      <c r="E823" s="257" t="inlineStr">
        <is>
          <t>買</t>
        </is>
      </c>
      <c r="F823" s="229" t="inlineStr">
        <is>
          <t>-</t>
        </is>
      </c>
      <c r="G823" s="697" t="n">
        <v>2</v>
      </c>
      <c r="H823" s="698" t="n">
        <v>49</v>
      </c>
      <c r="I823" s="697" t="n">
        <v>-4900</v>
      </c>
      <c r="J823" s="585" t="n">
        <v>36</v>
      </c>
      <c r="K823" s="585" t="n">
        <v>4</v>
      </c>
      <c r="L823" s="585">
        <f>IF(B823="TXO",I823-SUM(J823:K823),IF(B823="FITX",IF(D823="新倉",-SUM(J823:K823),IF(E823="賣",(H823-H1520)*G823*200-SUM(J823:K823),(H1520-H823)*G823*200-SUM(J823:K823))),IF(D823="新倉",-SUM(J823:K823),IF(E823="賣",(H823-H1520)*G823*50-SUM(J823:K823),(H1520-H823)*G823*50-SUM(J823:K823)))))</f>
        <v/>
      </c>
      <c r="M823" s="699">
        <f>L823</f>
        <v/>
      </c>
      <c r="N823" s="686">
        <f>M823</f>
        <v/>
      </c>
      <c r="O823" s="249" t="inlineStr">
        <is>
          <t>新倉</t>
        </is>
      </c>
      <c r="P823" s="249" t="inlineStr">
        <is>
          <t>元大期貨</t>
        </is>
      </c>
    </row>
    <row r="824" hidden="1" outlineLevel="1">
      <c r="A824" s="696" t="n">
        <v>45910</v>
      </c>
      <c r="B824" s="234" t="inlineStr">
        <is>
          <t>TXO</t>
        </is>
      </c>
      <c r="C824" s="229" t="inlineStr">
        <is>
          <t>週W2 C 09 25100 C</t>
        </is>
      </c>
      <c r="D824" s="229" t="inlineStr">
        <is>
          <t>平倉</t>
        </is>
      </c>
      <c r="E824" s="257" t="inlineStr">
        <is>
          <t>賣</t>
        </is>
      </c>
      <c r="F824" s="229" t="inlineStr">
        <is>
          <t>-</t>
        </is>
      </c>
      <c r="G824" s="697" t="n">
        <v>1</v>
      </c>
      <c r="H824" s="698" t="n">
        <v>70</v>
      </c>
      <c r="I824" s="697" t="n">
        <v>3500</v>
      </c>
      <c r="J824" s="585" t="n">
        <v>18</v>
      </c>
      <c r="K824" s="585" t="n">
        <v>4</v>
      </c>
      <c r="L824" s="585">
        <f>IF(B824="TXO",I824-SUM(J824:K824),IF(B824="FITX",IF(D824="新倉",-SUM(J824:K824),IF(E824="賣",(H824-H1521)*G824*200-SUM(J824:K824),(H1521-H824)*G824*200-SUM(J824:K824))),IF(D824="新倉",-SUM(J824:K824),IF(E824="賣",(H824-H1521)*G824*50-SUM(J824:K824),(H1521-H824)*G824*50-SUM(J824:K824)))))</f>
        <v/>
      </c>
      <c r="M824" s="699">
        <f>L824</f>
        <v/>
      </c>
      <c r="N824" s="686">
        <f>M824</f>
        <v/>
      </c>
      <c r="O824" s="249" t="inlineStr">
        <is>
          <t>平倉</t>
        </is>
      </c>
      <c r="P824" s="249" t="inlineStr">
        <is>
          <t>元大期貨</t>
        </is>
      </c>
    </row>
    <row r="825" hidden="1" outlineLevel="1">
      <c r="A825" s="696" t="n">
        <v>45910</v>
      </c>
      <c r="B825" s="234" t="inlineStr">
        <is>
          <t>TXO</t>
        </is>
      </c>
      <c r="C825" s="229" t="inlineStr">
        <is>
          <t>週W2 C 09 25100 C</t>
        </is>
      </c>
      <c r="D825" s="229" t="inlineStr">
        <is>
          <t>平倉</t>
        </is>
      </c>
      <c r="E825" s="257" t="inlineStr">
        <is>
          <t>賣</t>
        </is>
      </c>
      <c r="F825" s="229" t="inlineStr">
        <is>
          <t>-</t>
        </is>
      </c>
      <c r="G825" s="697" t="n">
        <v>1</v>
      </c>
      <c r="H825" s="698" t="n">
        <v>70</v>
      </c>
      <c r="I825" s="697" t="n">
        <v>3500</v>
      </c>
      <c r="J825" s="585" t="n">
        <v>18</v>
      </c>
      <c r="K825" s="585" t="n">
        <v>4</v>
      </c>
      <c r="L825" s="585">
        <f>IF(B825="TXO",I825-SUM(J825:K825),IF(B825="FITX",IF(D825="新倉",-SUM(J825:K825),IF(E825="賣",(H825-H1522)*G825*200-SUM(J825:K825),(H1522-H825)*G825*200-SUM(J825:K825))),IF(D825="新倉",-SUM(J825:K825),IF(E825="賣",(H825-H1522)*G825*50-SUM(J825:K825),(H1522-H825)*G825*50-SUM(J825:K825)))))</f>
        <v/>
      </c>
      <c r="M825" s="699">
        <f>L825</f>
        <v/>
      </c>
      <c r="N825" s="686">
        <f>M825</f>
        <v/>
      </c>
      <c r="O825" s="249" t="inlineStr">
        <is>
          <t>平倉</t>
        </is>
      </c>
      <c r="P825" s="249" t="inlineStr">
        <is>
          <t>元大期貨</t>
        </is>
      </c>
    </row>
    <row r="826" hidden="1" outlineLevel="1">
      <c r="A826" s="696" t="n">
        <v>45911</v>
      </c>
      <c r="B826" s="234" t="inlineStr">
        <is>
          <t>TXO</t>
        </is>
      </c>
      <c r="C826" s="229" t="inlineStr">
        <is>
          <t>週F2 C 09 25700 C</t>
        </is>
      </c>
      <c r="D826" s="229" t="inlineStr">
        <is>
          <t>新倉</t>
        </is>
      </c>
      <c r="E826" s="257" t="inlineStr">
        <is>
          <t>買</t>
        </is>
      </c>
      <c r="F826" s="229" t="inlineStr">
        <is>
          <t>-</t>
        </is>
      </c>
      <c r="G826" s="697" t="n">
        <v>2</v>
      </c>
      <c r="H826" s="698" t="n">
        <v>18</v>
      </c>
      <c r="I826" s="697" t="n">
        <v>-1800</v>
      </c>
      <c r="J826" s="585" t="n">
        <v>36</v>
      </c>
      <c r="K826" s="585" t="n">
        <v>2</v>
      </c>
      <c r="L826" s="585">
        <f>IF(B826="TXO",I826-SUM(J826:K826),IF(B826="FITX",IF(D826="新倉",-SUM(J826:K826),IF(E826="賣",(H826-H1523)*G826*200-SUM(J826:K826),(H1523-H826)*G826*200-SUM(J826:K826))),IF(D826="新倉",-SUM(J826:K826),IF(E826="賣",(H826-H1523)*G826*50-SUM(J826:K826),(H1523-H826)*G826*50-SUM(J826:K826)))))</f>
        <v/>
      </c>
      <c r="M826" s="699">
        <f>L826</f>
        <v/>
      </c>
      <c r="N826" s="686">
        <f>M826</f>
        <v/>
      </c>
      <c r="O826" s="249" t="inlineStr">
        <is>
          <t>新倉</t>
        </is>
      </c>
      <c r="P826" s="249" t="inlineStr">
        <is>
          <t>元大期貨</t>
        </is>
      </c>
    </row>
    <row r="827" hidden="1" outlineLevel="1">
      <c r="A827" s="696" t="n">
        <v>45911</v>
      </c>
      <c r="B827" s="234" t="inlineStr">
        <is>
          <t>TXO</t>
        </is>
      </c>
      <c r="C827" s="229" t="inlineStr">
        <is>
          <t>週F2 C 09 25700 C</t>
        </is>
      </c>
      <c r="D827" s="229" t="inlineStr">
        <is>
          <t>新倉</t>
        </is>
      </c>
      <c r="E827" s="257" t="inlineStr">
        <is>
          <t>買</t>
        </is>
      </c>
      <c r="F827" s="229" t="inlineStr">
        <is>
          <t>-</t>
        </is>
      </c>
      <c r="G827" s="697" t="n">
        <v>4</v>
      </c>
      <c r="H827" s="698" t="n">
        <v>20</v>
      </c>
      <c r="I827" s="697" t="n">
        <v>-4000</v>
      </c>
      <c r="J827" s="585" t="n">
        <v>72</v>
      </c>
      <c r="K827" s="585" t="n">
        <v>4</v>
      </c>
      <c r="L827" s="585">
        <f>IF(B827="TXO",I827-SUM(J827:K827),IF(B827="FITX",IF(D827="新倉",-SUM(J827:K827),IF(E827="賣",(H827-H1524)*G827*200-SUM(J827:K827),(H1524-H827)*G827*200-SUM(J827:K827))),IF(D827="新倉",-SUM(J827:K827),IF(E827="賣",(H827-H1524)*G827*50-SUM(J827:K827),(H1524-H827)*G827*50-SUM(J827:K827)))))</f>
        <v/>
      </c>
      <c r="M827" s="699">
        <f>L827</f>
        <v/>
      </c>
      <c r="N827" s="686">
        <f>M827</f>
        <v/>
      </c>
      <c r="O827" s="249" t="inlineStr">
        <is>
          <t>新倉</t>
        </is>
      </c>
      <c r="P827" s="249" t="inlineStr">
        <is>
          <t>元大期貨</t>
        </is>
      </c>
    </row>
    <row r="828" hidden="1" outlineLevel="1">
      <c r="A828" s="696" t="n">
        <v>45911</v>
      </c>
      <c r="B828" s="234" t="inlineStr">
        <is>
          <t>TXO</t>
        </is>
      </c>
      <c r="C828" s="229" t="inlineStr">
        <is>
          <t>週F2 C 09 25700 C</t>
        </is>
      </c>
      <c r="D828" s="229" t="inlineStr">
        <is>
          <t>平倉</t>
        </is>
      </c>
      <c r="E828" s="257" t="inlineStr">
        <is>
          <t>賣</t>
        </is>
      </c>
      <c r="F828" s="229" t="inlineStr">
        <is>
          <t>-</t>
        </is>
      </c>
      <c r="G828" s="697" t="n">
        <v>3</v>
      </c>
      <c r="H828" s="698" t="n">
        <v>49</v>
      </c>
      <c r="I828" s="697" t="n">
        <v>7350</v>
      </c>
      <c r="J828" s="585" t="n">
        <v>54</v>
      </c>
      <c r="K828" s="585" t="n">
        <v>6</v>
      </c>
      <c r="L828" s="585">
        <f>IF(B828="TXO",I828-SUM(J828:K828),IF(B828="FITX",IF(D828="新倉",-SUM(J828:K828),IF(E828="賣",(H828-H1525)*G828*200-SUM(J828:K828),(H1525-H828)*G828*200-SUM(J828:K828))),IF(D828="新倉",-SUM(J828:K828),IF(E828="賣",(H828-H1525)*G828*50-SUM(J828:K828),(H1525-H828)*G828*50-SUM(J828:K828)))))</f>
        <v/>
      </c>
      <c r="M828" s="699">
        <f>L828</f>
        <v/>
      </c>
      <c r="N828" s="686">
        <f>M828</f>
        <v/>
      </c>
      <c r="O828" s="249" t="inlineStr">
        <is>
          <t>平倉</t>
        </is>
      </c>
      <c r="P828" s="249" t="inlineStr">
        <is>
          <t>元大期貨</t>
        </is>
      </c>
    </row>
    <row r="829" hidden="1" outlineLevel="1">
      <c r="A829" s="696" t="n">
        <v>45911</v>
      </c>
      <c r="B829" s="234" t="inlineStr">
        <is>
          <t>TXO</t>
        </is>
      </c>
      <c r="C829" s="229" t="inlineStr">
        <is>
          <t>週F2 C 09 25700 C</t>
        </is>
      </c>
      <c r="D829" s="229" t="inlineStr">
        <is>
          <t>平倉</t>
        </is>
      </c>
      <c r="E829" s="257" t="inlineStr">
        <is>
          <t>賣</t>
        </is>
      </c>
      <c r="F829" s="229" t="inlineStr">
        <is>
          <t>-</t>
        </is>
      </c>
      <c r="G829" s="697" t="n">
        <v>3</v>
      </c>
      <c r="H829" s="698" t="n">
        <v>32.5</v>
      </c>
      <c r="I829" s="697" t="n">
        <v>4875</v>
      </c>
      <c r="J829" s="585" t="n">
        <v>54</v>
      </c>
      <c r="K829" s="585" t="n">
        <v>6</v>
      </c>
      <c r="L829" s="585">
        <f>IF(B829="TXO",I829-SUM(J829:K829),IF(B829="FITX",IF(D829="新倉",-SUM(J829:K829),IF(E829="賣",(H829-H1526)*G829*200-SUM(J829:K829),(H1526-H829)*G829*200-SUM(J829:K829))),IF(D829="新倉",-SUM(J829:K829),IF(E829="賣",(H829-H1526)*G829*50-SUM(J829:K829),(H1526-H829)*G829*50-SUM(J829:K829)))))</f>
        <v/>
      </c>
      <c r="M829" s="699">
        <f>L829</f>
        <v/>
      </c>
      <c r="N829" s="686">
        <f>M829</f>
        <v/>
      </c>
      <c r="O829" s="249" t="inlineStr">
        <is>
          <t>平倉</t>
        </is>
      </c>
      <c r="P829" s="249" t="inlineStr">
        <is>
          <t>元大期貨</t>
        </is>
      </c>
    </row>
    <row r="830" hidden="1" outlineLevel="1">
      <c r="A830" s="696" t="n">
        <v>45911</v>
      </c>
      <c r="B830" s="234" t="inlineStr">
        <is>
          <t>TXO</t>
        </is>
      </c>
      <c r="C830" s="229" t="inlineStr">
        <is>
          <t>週F2 C 09 25550 C</t>
        </is>
      </c>
      <c r="D830" s="229" t="inlineStr">
        <is>
          <t>新倉</t>
        </is>
      </c>
      <c r="E830" s="257" t="inlineStr">
        <is>
          <t>買</t>
        </is>
      </c>
      <c r="F830" s="229" t="inlineStr">
        <is>
          <t>-</t>
        </is>
      </c>
      <c r="G830" s="697" t="n">
        <v>2</v>
      </c>
      <c r="H830" s="698" t="n">
        <v>48.5</v>
      </c>
      <c r="I830" s="697" t="n">
        <v>-4850</v>
      </c>
      <c r="J830" s="585" t="n">
        <v>36</v>
      </c>
      <c r="K830" s="585" t="n">
        <v>4</v>
      </c>
      <c r="L830" s="585">
        <f>IF(B830="TXO",I830-SUM(J830:K830),IF(B830="FITX",IF(D830="新倉",-SUM(J830:K830),IF(E830="賣",(H830-H1527)*G830*200-SUM(J830:K830),(H1527-H830)*G830*200-SUM(J830:K830))),IF(D830="新倉",-SUM(J830:K830),IF(E830="賣",(H830-H1527)*G830*50-SUM(J830:K830),(H1527-H830)*G830*50-SUM(J830:K830)))))</f>
        <v/>
      </c>
      <c r="M830" s="699">
        <f>L830</f>
        <v/>
      </c>
      <c r="N830" s="686">
        <f>M830</f>
        <v/>
      </c>
      <c r="O830" s="249" t="inlineStr">
        <is>
          <t>新倉</t>
        </is>
      </c>
      <c r="P830" s="249" t="inlineStr">
        <is>
          <t>元大期貨</t>
        </is>
      </c>
    </row>
    <row r="831" hidden="1" outlineLevel="1">
      <c r="A831" s="696" t="n">
        <v>45911</v>
      </c>
      <c r="B831" s="234" t="inlineStr">
        <is>
          <t>TXO</t>
        </is>
      </c>
      <c r="C831" s="229" t="inlineStr">
        <is>
          <t>週F2 C 09 25550 C</t>
        </is>
      </c>
      <c r="D831" s="229" t="inlineStr">
        <is>
          <t>平倉</t>
        </is>
      </c>
      <c r="E831" s="257" t="inlineStr">
        <is>
          <t>賣</t>
        </is>
      </c>
      <c r="F831" s="229" t="inlineStr">
        <is>
          <t>-</t>
        </is>
      </c>
      <c r="G831" s="697" t="n">
        <v>2</v>
      </c>
      <c r="H831" s="698" t="n">
        <v>19</v>
      </c>
      <c r="I831" s="697" t="n">
        <v>1900</v>
      </c>
      <c r="J831" s="585" t="n">
        <v>36</v>
      </c>
      <c r="K831" s="585" t="n">
        <v>2</v>
      </c>
      <c r="L831" s="585">
        <f>IF(B831="TXO",I831-SUM(J831:K831),IF(B831="FITX",IF(D831="新倉",-SUM(J831:K831),IF(E831="賣",(H831-H1528)*G831*200-SUM(J831:K831),(H1528-H831)*G831*200-SUM(J831:K831))),IF(D831="新倉",-SUM(J831:K831),IF(E831="賣",(H831-H1528)*G831*50-SUM(J831:K831),(H1528-H831)*G831*50-SUM(J831:K831)))))</f>
        <v/>
      </c>
      <c r="M831" s="699">
        <f>L831</f>
        <v/>
      </c>
      <c r="N831" s="686">
        <f>M831</f>
        <v/>
      </c>
      <c r="O831" s="249" t="inlineStr">
        <is>
          <t>平倉</t>
        </is>
      </c>
      <c r="P831" s="249" t="inlineStr">
        <is>
          <t>元大期貨</t>
        </is>
      </c>
    </row>
    <row r="832" hidden="1" outlineLevel="1">
      <c r="A832" s="696" t="n">
        <v>45912</v>
      </c>
      <c r="B832" s="234" t="inlineStr">
        <is>
          <t>TXO</t>
        </is>
      </c>
      <c r="C832" s="229" t="inlineStr">
        <is>
          <t>週F2 C 09 25550 C</t>
        </is>
      </c>
      <c r="D832" s="229" t="inlineStr">
        <is>
          <t>新倉</t>
        </is>
      </c>
      <c r="E832" s="257" t="inlineStr">
        <is>
          <t>買</t>
        </is>
      </c>
      <c r="F832" s="229" t="inlineStr">
        <is>
          <t>-</t>
        </is>
      </c>
      <c r="G832" s="697" t="n">
        <v>1</v>
      </c>
      <c r="H832" s="698" t="n">
        <v>12</v>
      </c>
      <c r="I832" s="697" t="n">
        <v>-600</v>
      </c>
      <c r="J832" s="585" t="n">
        <v>18</v>
      </c>
      <c r="K832" s="585" t="n">
        <v>1</v>
      </c>
      <c r="L832" s="585">
        <f>IF(B832="TXO",I832-SUM(J832:K832),IF(B832="FITX",IF(D832="新倉",-SUM(J832:K832),IF(E832="賣",(H832-H1529)*G832*200-SUM(J832:K832),(H1529-H832)*G832*200-SUM(J832:K832))),IF(D832="新倉",-SUM(J832:K832),IF(E832="賣",(H832-H1529)*G832*50-SUM(J832:K832),(H1529-H832)*G832*50-SUM(J832:K832)))))</f>
        <v/>
      </c>
      <c r="M832" s="699">
        <f>L832</f>
        <v/>
      </c>
      <c r="N832" s="686">
        <f>M832</f>
        <v/>
      </c>
      <c r="O832" s="261" t="inlineStr">
        <is>
          <t>放棄</t>
        </is>
      </c>
      <c r="P832" s="249" t="inlineStr">
        <is>
          <t>元大期貨</t>
        </is>
      </c>
    </row>
    <row r="833" hidden="1" outlineLevel="1">
      <c r="A833" s="696" t="n">
        <v>45912</v>
      </c>
      <c r="B833" s="234" t="inlineStr">
        <is>
          <t>TXO</t>
        </is>
      </c>
      <c r="C833" s="229" t="inlineStr">
        <is>
          <t>週F2 C 09 25550 C</t>
        </is>
      </c>
      <c r="D833" s="229" t="inlineStr">
        <is>
          <t>新倉</t>
        </is>
      </c>
      <c r="E833" s="257" t="inlineStr">
        <is>
          <t>買</t>
        </is>
      </c>
      <c r="F833" s="229" t="inlineStr">
        <is>
          <t>-</t>
        </is>
      </c>
      <c r="G833" s="697" t="n">
        <v>1</v>
      </c>
      <c r="H833" s="698" t="n">
        <v>13.5</v>
      </c>
      <c r="I833" s="697" t="n">
        <v>-675</v>
      </c>
      <c r="J833" s="585" t="n">
        <v>18</v>
      </c>
      <c r="K833" s="585" t="n">
        <v>1</v>
      </c>
      <c r="L833" s="585">
        <f>IF(B833="TXO",I833-SUM(J833:K833),IF(B833="FITX",IF(D833="新倉",-SUM(J833:K833),IF(E833="賣",(H833-H1530)*G833*200-SUM(J833:K833),(H1530-H833)*G833*200-SUM(J833:K833))),IF(D833="新倉",-SUM(J833:K833),IF(E833="賣",(H833-H1530)*G833*50-SUM(J833:K833),(H1530-H833)*G833*50-SUM(J833:K833)))))</f>
        <v/>
      </c>
      <c r="M833" s="699">
        <f>L833</f>
        <v/>
      </c>
      <c r="N833" s="686">
        <f>M833</f>
        <v/>
      </c>
      <c r="O833" s="261" t="inlineStr">
        <is>
          <t>放棄</t>
        </is>
      </c>
      <c r="P833" s="249" t="inlineStr">
        <is>
          <t>元大期貨</t>
        </is>
      </c>
    </row>
    <row r="834" hidden="1" outlineLevel="1">
      <c r="A834" s="696" t="n">
        <v>45912</v>
      </c>
      <c r="B834" s="234" t="inlineStr">
        <is>
          <t>TXO</t>
        </is>
      </c>
      <c r="C834" s="229" t="inlineStr">
        <is>
          <t>週F2 C 09 25550 C</t>
        </is>
      </c>
      <c r="D834" s="229" t="inlineStr">
        <is>
          <t>新倉</t>
        </is>
      </c>
      <c r="E834" s="257" t="inlineStr">
        <is>
          <t>買</t>
        </is>
      </c>
      <c r="F834" s="229" t="inlineStr">
        <is>
          <t>-</t>
        </is>
      </c>
      <c r="G834" s="697" t="n">
        <v>1</v>
      </c>
      <c r="H834" s="698" t="n">
        <v>16.5</v>
      </c>
      <c r="I834" s="697" t="n">
        <v>-825</v>
      </c>
      <c r="J834" s="585" t="n">
        <v>18</v>
      </c>
      <c r="K834" s="585" t="n">
        <v>1</v>
      </c>
      <c r="L834" s="585">
        <f>IF(B834="TXO",I834-SUM(J834:K834),IF(B834="FITX",IF(D834="新倉",-SUM(J834:K834),IF(E834="賣",(H834-H1531)*G834*200-SUM(J834:K834),(H1531-H834)*G834*200-SUM(J834:K834))),IF(D834="新倉",-SUM(J834:K834),IF(E834="賣",(H834-H1531)*G834*50-SUM(J834:K834),(H1531-H834)*G834*50-SUM(J834:K834)))))</f>
        <v/>
      </c>
      <c r="M834" s="699">
        <f>L834</f>
        <v/>
      </c>
      <c r="N834" s="686">
        <f>M834</f>
        <v/>
      </c>
      <c r="O834" s="261" t="inlineStr">
        <is>
          <t>放棄</t>
        </is>
      </c>
      <c r="P834" s="249" t="inlineStr">
        <is>
          <t>元大期貨</t>
        </is>
      </c>
    </row>
    <row r="835" hidden="1" outlineLevel="1">
      <c r="A835" s="696" t="n">
        <v>45912</v>
      </c>
      <c r="B835" s="234" t="inlineStr">
        <is>
          <t>TXO</t>
        </is>
      </c>
      <c r="C835" s="229" t="inlineStr">
        <is>
          <t>週F2 C 09 25550 C</t>
        </is>
      </c>
      <c r="D835" s="229" t="inlineStr">
        <is>
          <t>新倉</t>
        </is>
      </c>
      <c r="E835" s="257" t="inlineStr">
        <is>
          <t>買</t>
        </is>
      </c>
      <c r="F835" s="229" t="inlineStr">
        <is>
          <t>-</t>
        </is>
      </c>
      <c r="G835" s="697" t="n">
        <v>1</v>
      </c>
      <c r="H835" s="698" t="n">
        <v>14.5</v>
      </c>
      <c r="I835" s="697" t="n">
        <v>-725</v>
      </c>
      <c r="J835" s="585" t="n">
        <v>18</v>
      </c>
      <c r="K835" s="585" t="n">
        <v>1</v>
      </c>
      <c r="L835" s="585">
        <f>IF(B835="TXO",I835-SUM(J835:K835),IF(B835="FITX",IF(D835="新倉",-SUM(J835:K835),IF(E835="賣",(H835-H1532)*G835*200-SUM(J835:K835),(H1532-H835)*G835*200-SUM(J835:K835))),IF(D835="新倉",-SUM(J835:K835),IF(E835="賣",(H835-H1532)*G835*50-SUM(J835:K835),(H1532-H835)*G835*50-SUM(J835:K835)))))</f>
        <v/>
      </c>
      <c r="M835" s="699">
        <f>L835</f>
        <v/>
      </c>
      <c r="N835" s="686">
        <f>M835</f>
        <v/>
      </c>
      <c r="O835" s="261" t="inlineStr">
        <is>
          <t>放棄</t>
        </is>
      </c>
      <c r="P835" s="249" t="inlineStr">
        <is>
          <t>元大期貨</t>
        </is>
      </c>
    </row>
    <row r="836" hidden="1" outlineLevel="1">
      <c r="A836" s="696" t="n">
        <v>45912</v>
      </c>
      <c r="B836" s="234" t="inlineStr">
        <is>
          <t>TXO</t>
        </is>
      </c>
      <c r="C836" s="229" t="inlineStr">
        <is>
          <t>週F2 C 09 25550 C</t>
        </is>
      </c>
      <c r="D836" s="229" t="inlineStr">
        <is>
          <t>新倉</t>
        </is>
      </c>
      <c r="E836" s="257" t="inlineStr">
        <is>
          <t>買</t>
        </is>
      </c>
      <c r="F836" s="229" t="inlineStr">
        <is>
          <t>-</t>
        </is>
      </c>
      <c r="G836" s="697" t="n">
        <v>1</v>
      </c>
      <c r="H836" s="698" t="n">
        <v>16.5</v>
      </c>
      <c r="I836" s="697" t="n">
        <v>-825</v>
      </c>
      <c r="J836" s="585" t="n">
        <v>18</v>
      </c>
      <c r="K836" s="585" t="n">
        <v>1</v>
      </c>
      <c r="L836" s="585">
        <f>IF(B836="TXO",I836-SUM(J836:K836),IF(B836="FITX",IF(D836="新倉",-SUM(J836:K836),IF(E836="賣",(H836-H1533)*G836*200-SUM(J836:K836),(H1533-H836)*G836*200-SUM(J836:K836))),IF(D836="新倉",-SUM(J836:K836),IF(E836="賣",(H836-H1533)*G836*50-SUM(J836:K836),(H1533-H836)*G836*50-SUM(J836:K836)))))</f>
        <v/>
      </c>
      <c r="M836" s="699">
        <f>L836</f>
        <v/>
      </c>
      <c r="N836" s="686">
        <f>M836</f>
        <v/>
      </c>
      <c r="O836" s="261" t="inlineStr">
        <is>
          <t>放棄</t>
        </is>
      </c>
      <c r="P836" s="249" t="inlineStr">
        <is>
          <t>元大期貨</t>
        </is>
      </c>
    </row>
    <row r="837" hidden="1" outlineLevel="1">
      <c r="A837" s="696" t="n">
        <v>45912</v>
      </c>
      <c r="B837" s="234" t="inlineStr">
        <is>
          <t>TXO</t>
        </is>
      </c>
      <c r="C837" s="229" t="inlineStr">
        <is>
          <t>週F2 C 09 25550 C</t>
        </is>
      </c>
      <c r="D837" s="229" t="inlineStr">
        <is>
          <t>新倉</t>
        </is>
      </c>
      <c r="E837" s="257" t="inlineStr">
        <is>
          <t>買</t>
        </is>
      </c>
      <c r="F837" s="229" t="inlineStr">
        <is>
          <t>-</t>
        </is>
      </c>
      <c r="G837" s="697" t="n">
        <v>1</v>
      </c>
      <c r="H837" s="698" t="n">
        <v>17.5</v>
      </c>
      <c r="I837" s="697" t="n">
        <v>-875</v>
      </c>
      <c r="J837" s="585" t="n">
        <v>18</v>
      </c>
      <c r="K837" s="585" t="n">
        <v>1</v>
      </c>
      <c r="L837" s="585">
        <f>IF(B837="TXO",I837-SUM(J837:K837),IF(B837="FITX",IF(D837="新倉",-SUM(J837:K837),IF(E837="賣",(H837-H1534)*G837*200-SUM(J837:K837),(H1534-H837)*G837*200-SUM(J837:K837))),IF(D837="新倉",-SUM(J837:K837),IF(E837="賣",(H837-H1534)*G837*50-SUM(J837:K837),(H1534-H837)*G837*50-SUM(J837:K837)))))</f>
        <v/>
      </c>
      <c r="M837" s="699">
        <f>L837</f>
        <v/>
      </c>
      <c r="N837" s="686">
        <f>M837</f>
        <v/>
      </c>
      <c r="O837" s="261" t="inlineStr">
        <is>
          <t>放棄</t>
        </is>
      </c>
      <c r="P837" s="249" t="inlineStr">
        <is>
          <t>元大期貨</t>
        </is>
      </c>
    </row>
    <row r="838" hidden="1" outlineLevel="1">
      <c r="A838" s="696" t="n">
        <v>45912</v>
      </c>
      <c r="B838" s="234" t="inlineStr">
        <is>
          <t>TXO</t>
        </is>
      </c>
      <c r="C838" s="229" t="inlineStr">
        <is>
          <t>週F2 C 09 25550 C</t>
        </is>
      </c>
      <c r="D838" s="229" t="inlineStr">
        <is>
          <t>新倉</t>
        </is>
      </c>
      <c r="E838" s="257" t="inlineStr">
        <is>
          <t>買</t>
        </is>
      </c>
      <c r="F838" s="229" t="inlineStr">
        <is>
          <t>-</t>
        </is>
      </c>
      <c r="G838" s="697" t="n">
        <v>5</v>
      </c>
      <c r="H838" s="698" t="n">
        <v>20</v>
      </c>
      <c r="I838" s="697" t="n">
        <v>-5000</v>
      </c>
      <c r="J838" s="585" t="n">
        <v>90</v>
      </c>
      <c r="K838" s="585" t="n">
        <v>5</v>
      </c>
      <c r="L838" s="585">
        <f>IF(B838="TXO",I838-SUM(J838:K838),IF(B838="FITX",IF(D838="新倉",-SUM(J838:K838),IF(E838="賣",(H838-H1535)*G838*200-SUM(J838:K838),(H1535-H838)*G838*200-SUM(J838:K838))),IF(D838="新倉",-SUM(J838:K838),IF(E838="賣",(H838-H1535)*G838*50-SUM(J838:K838),(H1535-H838)*G838*50-SUM(J838:K838)))))</f>
        <v/>
      </c>
      <c r="M838" s="699">
        <f>L838</f>
        <v/>
      </c>
      <c r="N838" s="686">
        <f>M838</f>
        <v/>
      </c>
      <c r="O838" s="261" t="inlineStr">
        <is>
          <t>放棄</t>
        </is>
      </c>
      <c r="P838" s="249" t="inlineStr">
        <is>
          <t>元大期貨</t>
        </is>
      </c>
    </row>
    <row r="839" hidden="1" outlineLevel="1">
      <c r="A839" s="696" t="n">
        <v>45912</v>
      </c>
      <c r="B839" s="234" t="inlineStr">
        <is>
          <t>TXO</t>
        </is>
      </c>
      <c r="C839" s="229" t="inlineStr">
        <is>
          <t>週F2 C 09 25500 C</t>
        </is>
      </c>
      <c r="D839" s="229" t="inlineStr">
        <is>
          <t>新倉</t>
        </is>
      </c>
      <c r="E839" s="257" t="inlineStr">
        <is>
          <t>買</t>
        </is>
      </c>
      <c r="F839" s="229" t="inlineStr">
        <is>
          <t>-</t>
        </is>
      </c>
      <c r="G839" s="697" t="n">
        <v>2</v>
      </c>
      <c r="H839" s="698" t="n">
        <v>4.6</v>
      </c>
      <c r="I839" s="697" t="n">
        <v>-460</v>
      </c>
      <c r="J839" s="585" t="n">
        <v>36</v>
      </c>
      <c r="K839" s="585" t="n">
        <v>0</v>
      </c>
      <c r="L839" s="585">
        <f>IF(B839="TXO",I839-SUM(J839:K839),IF(B839="FITX",IF(D839="新倉",-SUM(J839:K839),IF(E839="賣",(H839-H1536)*G839*200-SUM(J839:K839),(H1536-H839)*G839*200-SUM(J839:K839))),IF(D839="新倉",-SUM(J839:K839),IF(E839="賣",(H839-H1536)*G839*50-SUM(J839:K839),(H1536-H839)*G839*50-SUM(J839:K839)))))</f>
        <v/>
      </c>
      <c r="M839" s="699">
        <f>L839</f>
        <v/>
      </c>
      <c r="N839" s="686">
        <f>M839</f>
        <v/>
      </c>
      <c r="O839" s="261" t="inlineStr">
        <is>
          <t>放棄</t>
        </is>
      </c>
      <c r="P839" s="249" t="inlineStr">
        <is>
          <t>元大期貨</t>
        </is>
      </c>
    </row>
    <row r="840" hidden="1" outlineLevel="1">
      <c r="A840" s="696" t="n">
        <v>45912</v>
      </c>
      <c r="B840" s="234" t="inlineStr">
        <is>
          <t>TXO</t>
        </is>
      </c>
      <c r="C840" s="229" t="inlineStr">
        <is>
          <t>週F2 C 09 25550 C</t>
        </is>
      </c>
      <c r="D840" s="229" t="inlineStr">
        <is>
          <t>新倉</t>
        </is>
      </c>
      <c r="E840" s="257" t="inlineStr">
        <is>
          <t>買</t>
        </is>
      </c>
      <c r="F840" s="229" t="inlineStr">
        <is>
          <t>-</t>
        </is>
      </c>
      <c r="G840" s="697" t="n">
        <v>2</v>
      </c>
      <c r="H840" s="698" t="n">
        <v>7.5</v>
      </c>
      <c r="I840" s="697" t="n">
        <v>-750</v>
      </c>
      <c r="J840" s="585" t="n">
        <v>36</v>
      </c>
      <c r="K840" s="585" t="n">
        <v>0</v>
      </c>
      <c r="L840" s="585">
        <f>IF(B840="TXO",I840-SUM(J840:K840),IF(B840="FITX",IF(D840="新倉",-SUM(J840:K840),IF(E840="賣",(H840-H1537)*G840*200-SUM(J840:K840),(H1537-H840)*G840*200-SUM(J840:K840))),IF(D840="新倉",-SUM(J840:K840),IF(E840="賣",(H840-H1537)*G840*50-SUM(J840:K840),(H1537-H840)*G840*50-SUM(J840:K840)))))</f>
        <v/>
      </c>
      <c r="M840" s="699">
        <f>L840</f>
        <v/>
      </c>
      <c r="N840" s="686">
        <f>M840</f>
        <v/>
      </c>
      <c r="O840" s="261" t="inlineStr">
        <is>
          <t>放棄</t>
        </is>
      </c>
      <c r="P840" s="249" t="inlineStr">
        <is>
          <t>元大期貨</t>
        </is>
      </c>
    </row>
    <row r="841" hidden="1" outlineLevel="1">
      <c r="A841" s="696" t="n">
        <v>45912</v>
      </c>
      <c r="B841" s="234" t="inlineStr">
        <is>
          <t>TXO</t>
        </is>
      </c>
      <c r="C841" s="229" t="inlineStr">
        <is>
          <t>週F2 C 09 25550 C</t>
        </is>
      </c>
      <c r="D841" s="229" t="inlineStr">
        <is>
          <t>新倉</t>
        </is>
      </c>
      <c r="E841" s="257" t="inlineStr">
        <is>
          <t>買</t>
        </is>
      </c>
      <c r="F841" s="229" t="inlineStr">
        <is>
          <t>-</t>
        </is>
      </c>
      <c r="G841" s="697" t="n">
        <v>1</v>
      </c>
      <c r="H841" s="698" t="n">
        <v>8.300000000000001</v>
      </c>
      <c r="I841" s="697" t="n">
        <v>-415</v>
      </c>
      <c r="J841" s="585" t="n">
        <v>18</v>
      </c>
      <c r="K841" s="585" t="n">
        <v>0</v>
      </c>
      <c r="L841" s="585">
        <f>IF(B841="TXO",I841-SUM(J841:K841),IF(B841="FITX",IF(D841="新倉",-SUM(J841:K841),IF(E841="賣",(H841-H1538)*G841*200-SUM(J841:K841),(H1538-H841)*G841*200-SUM(J841:K841))),IF(D841="新倉",-SUM(J841:K841),IF(E841="賣",(H841-H1538)*G841*50-SUM(J841:K841),(H1538-H841)*G841*50-SUM(J841:K841)))))</f>
        <v/>
      </c>
      <c r="M841" s="699">
        <f>L841</f>
        <v/>
      </c>
      <c r="N841" s="686">
        <f>M841</f>
        <v/>
      </c>
      <c r="O841" s="261" t="inlineStr">
        <is>
          <t>放棄</t>
        </is>
      </c>
      <c r="P841" s="249" t="inlineStr">
        <is>
          <t>元大期貨</t>
        </is>
      </c>
    </row>
    <row r="842" hidden="1" outlineLevel="1">
      <c r="A842" s="696" t="n">
        <v>45915</v>
      </c>
      <c r="B842" s="234" t="inlineStr">
        <is>
          <t>TXO</t>
        </is>
      </c>
      <c r="C842" s="229" t="inlineStr">
        <is>
          <t>台指 P 09 25300 P</t>
        </is>
      </c>
      <c r="D842" s="229" t="inlineStr">
        <is>
          <t>新倉</t>
        </is>
      </c>
      <c r="E842" s="257" t="inlineStr">
        <is>
          <t>買</t>
        </is>
      </c>
      <c r="F842" s="229" t="inlineStr">
        <is>
          <t>-</t>
        </is>
      </c>
      <c r="G842" s="697" t="n">
        <v>1</v>
      </c>
      <c r="H842" s="698" t="n">
        <v>104</v>
      </c>
      <c r="I842" s="697" t="n">
        <v>-5200</v>
      </c>
      <c r="J842" s="585" t="n">
        <v>18</v>
      </c>
      <c r="K842" s="585" t="n">
        <v>5</v>
      </c>
      <c r="L842" s="585">
        <f>IF(B842="TXO",I842-SUM(J842:K842),IF(B842="FITX",IF(D842="新倉",-SUM(J842:K842),IF(E842="賣",(H842-H1539)*G842*200-SUM(J842:K842),(H1539-H842)*G842*200-SUM(J842:K842))),IF(D842="新倉",-SUM(J842:K842),IF(E842="賣",(H842-H1539)*G842*50-SUM(J842:K842),(H1539-H842)*G842*50-SUM(J842:K842)))))</f>
        <v/>
      </c>
      <c r="M842" s="699">
        <f>L842</f>
        <v/>
      </c>
      <c r="N842" s="686">
        <f>M842</f>
        <v/>
      </c>
      <c r="O842" s="261" t="inlineStr">
        <is>
          <t>放棄</t>
        </is>
      </c>
      <c r="P842" s="249" t="inlineStr">
        <is>
          <t>元大期貨</t>
        </is>
      </c>
    </row>
    <row r="843" hidden="1" outlineLevel="1">
      <c r="A843" s="696" t="n">
        <v>45915</v>
      </c>
      <c r="B843" s="234" t="inlineStr">
        <is>
          <t>TXO</t>
        </is>
      </c>
      <c r="C843" s="229" t="inlineStr">
        <is>
          <t>台指 C 09 25400 C</t>
        </is>
      </c>
      <c r="D843" s="229" t="inlineStr">
        <is>
          <t>新倉</t>
        </is>
      </c>
      <c r="E843" s="257" t="inlineStr">
        <is>
          <t>買</t>
        </is>
      </c>
      <c r="F843" s="229" t="inlineStr">
        <is>
          <t>-</t>
        </is>
      </c>
      <c r="G843" s="697" t="n">
        <v>1</v>
      </c>
      <c r="H843" s="698" t="n">
        <v>118</v>
      </c>
      <c r="I843" s="697" t="n">
        <v>-5900</v>
      </c>
      <c r="J843" s="585" t="n">
        <v>18</v>
      </c>
      <c r="K843" s="585" t="n">
        <v>6</v>
      </c>
      <c r="L843" s="585">
        <f>IF(B843="TXO",I843-SUM(J843:K843),IF(B843="FITX",IF(D843="新倉",-SUM(J843:K843),IF(E843="賣",(H843-H1540)*G843*200-SUM(J843:K843),(H1540-H843)*G843*200-SUM(J843:K843))),IF(D843="新倉",-SUM(J843:K843),IF(E843="賣",(H843-H1540)*G843*50-SUM(J843:K843),(H1540-H843)*G843*50-SUM(J843:K843)))))</f>
        <v/>
      </c>
      <c r="M843" s="699">
        <f>L843</f>
        <v/>
      </c>
      <c r="N843" s="686">
        <f>M843</f>
        <v/>
      </c>
      <c r="O843" s="249" t="inlineStr">
        <is>
          <t>新倉</t>
        </is>
      </c>
      <c r="P843" s="249" t="inlineStr">
        <is>
          <t>元大期貨</t>
        </is>
      </c>
    </row>
    <row r="844" hidden="1" outlineLevel="1">
      <c r="A844" s="696" t="n">
        <v>45916</v>
      </c>
      <c r="B844" s="234" t="inlineStr">
        <is>
          <t>TXO</t>
        </is>
      </c>
      <c r="C844" s="229" t="inlineStr">
        <is>
          <t>台指 C 09 25400 C</t>
        </is>
      </c>
      <c r="D844" s="229" t="inlineStr">
        <is>
          <t>平倉</t>
        </is>
      </c>
      <c r="E844" s="257" t="inlineStr">
        <is>
          <t>賣</t>
        </is>
      </c>
      <c r="F844" s="229" t="inlineStr">
        <is>
          <t>-</t>
        </is>
      </c>
      <c r="G844" s="697" t="n">
        <v>1</v>
      </c>
      <c r="H844" s="698" t="n">
        <v>156</v>
      </c>
      <c r="I844" s="697" t="n">
        <v>7800</v>
      </c>
      <c r="J844" s="585" t="n">
        <v>18</v>
      </c>
      <c r="K844" s="585" t="n">
        <v>8</v>
      </c>
      <c r="L844" s="585">
        <f>IF(B844="TXO",I844-SUM(J844:K844),IF(B844="FITX",IF(D844="新倉",-SUM(J844:K844),IF(E844="賣",(H844-H1541)*G844*200-SUM(J844:K844),(H1541-H844)*G844*200-SUM(J844:K844))),IF(D844="新倉",-SUM(J844:K844),IF(E844="賣",(H844-H1541)*G844*50-SUM(J844:K844),(H1541-H844)*G844*50-SUM(J844:K844)))))</f>
        <v/>
      </c>
      <c r="M844" s="699">
        <f>L844</f>
        <v/>
      </c>
      <c r="N844" s="686">
        <f>M844</f>
        <v/>
      </c>
      <c r="O844" s="249" t="inlineStr">
        <is>
          <t>平倉</t>
        </is>
      </c>
      <c r="P844" s="249" t="inlineStr">
        <is>
          <t>元大期貨</t>
        </is>
      </c>
    </row>
    <row r="845" hidden="1" outlineLevel="1">
      <c r="A845" s="696" t="n">
        <v>45915</v>
      </c>
      <c r="B845" s="234" t="inlineStr">
        <is>
          <t>TXO</t>
        </is>
      </c>
      <c r="C845" s="229" t="inlineStr">
        <is>
          <t>台指 P 09 25250 P</t>
        </is>
      </c>
      <c r="D845" s="229" t="inlineStr">
        <is>
          <t>新倉</t>
        </is>
      </c>
      <c r="E845" s="257" t="inlineStr">
        <is>
          <t>買</t>
        </is>
      </c>
      <c r="F845" s="229" t="inlineStr">
        <is>
          <t>-</t>
        </is>
      </c>
      <c r="G845" s="697" t="n">
        <v>1</v>
      </c>
      <c r="H845" s="698" t="n">
        <v>117</v>
      </c>
      <c r="I845" s="697" t="n">
        <v>-5850</v>
      </c>
      <c r="J845" s="585" t="n">
        <v>18</v>
      </c>
      <c r="K845" s="585" t="n">
        <v>6</v>
      </c>
      <c r="L845" s="585">
        <f>IF(B845="TXO",I845-SUM(J845:K845),IF(B845="FITX",IF(D845="新倉",-SUM(J845:K845),IF(E845="賣",(H845-H1542)*G845*200-SUM(J845:K845),(H1542-H845)*G845*200-SUM(J845:K845))),IF(D845="新倉",-SUM(J845:K845),IF(E845="賣",(H845-H1542)*G845*50-SUM(J845:K845),(H1542-H845)*G845*50-SUM(J845:K845)))))</f>
        <v/>
      </c>
      <c r="M845" s="699">
        <f>L845</f>
        <v/>
      </c>
      <c r="N845" s="686">
        <f>M845</f>
        <v/>
      </c>
      <c r="O845" s="249" t="inlineStr">
        <is>
          <t>新倉</t>
        </is>
      </c>
      <c r="P845" s="249" t="inlineStr">
        <is>
          <t>元大期貨</t>
        </is>
      </c>
    </row>
    <row r="846" hidden="1" outlineLevel="1">
      <c r="A846" s="696" t="n">
        <v>45915</v>
      </c>
      <c r="B846" s="234" t="inlineStr">
        <is>
          <t>TXO</t>
        </is>
      </c>
      <c r="C846" s="229" t="inlineStr">
        <is>
          <t>台指 P 09 25250 P</t>
        </is>
      </c>
      <c r="D846" s="229" t="inlineStr">
        <is>
          <t>平倉</t>
        </is>
      </c>
      <c r="E846" s="257" t="inlineStr">
        <is>
          <t>賣</t>
        </is>
      </c>
      <c r="F846" s="229" t="inlineStr">
        <is>
          <t>-</t>
        </is>
      </c>
      <c r="G846" s="697" t="n">
        <v>1</v>
      </c>
      <c r="H846" s="698" t="n">
        <v>77</v>
      </c>
      <c r="I846" s="697" t="n">
        <v>3850</v>
      </c>
      <c r="J846" s="585" t="n">
        <v>18</v>
      </c>
      <c r="K846" s="585" t="n">
        <v>4</v>
      </c>
      <c r="L846" s="585">
        <f>IF(B846="TXO",I846-SUM(J846:K846),IF(B846="FITX",IF(D846="新倉",-SUM(J846:K846),IF(E846="賣",(H846-H1543)*G846*200-SUM(J846:K846),(H1543-H846)*G846*200-SUM(J846:K846))),IF(D846="新倉",-SUM(J846:K846),IF(E846="賣",(H846-H1543)*G846*50-SUM(J846:K846),(H1543-H846)*G846*50-SUM(J846:K846)))))</f>
        <v/>
      </c>
      <c r="M846" s="699">
        <f>L846</f>
        <v/>
      </c>
      <c r="N846" s="686">
        <f>M846</f>
        <v/>
      </c>
      <c r="O846" s="249" t="inlineStr">
        <is>
          <t>平倉</t>
        </is>
      </c>
      <c r="P846" s="249" t="inlineStr">
        <is>
          <t>元大期貨</t>
        </is>
      </c>
    </row>
    <row r="847" hidden="1" outlineLevel="1">
      <c r="A847" s="696" t="n">
        <v>45915</v>
      </c>
      <c r="B847" s="234" t="inlineStr">
        <is>
          <t>TXO</t>
        </is>
      </c>
      <c r="C847" s="229" t="inlineStr">
        <is>
          <t>台指 C 09 25350 C</t>
        </is>
      </c>
      <c r="D847" s="229" t="inlineStr">
        <is>
          <t>新倉</t>
        </is>
      </c>
      <c r="E847" s="257" t="inlineStr">
        <is>
          <t>買</t>
        </is>
      </c>
      <c r="F847" s="229" t="inlineStr">
        <is>
          <t>-</t>
        </is>
      </c>
      <c r="G847" s="697" t="n">
        <v>1</v>
      </c>
      <c r="H847" s="698" t="n">
        <v>106</v>
      </c>
      <c r="I847" s="697" t="n">
        <v>-5300</v>
      </c>
      <c r="J847" s="585" t="n">
        <v>18</v>
      </c>
      <c r="K847" s="585" t="n">
        <v>5</v>
      </c>
      <c r="L847" s="585">
        <f>IF(B847="TXO",I847-SUM(J847:K847),IF(B847="FITX",IF(D847="新倉",-SUM(J847:K847),IF(E847="賣",(H847-H1544)*G847*200-SUM(J847:K847),(H1544-H847)*G847*200-SUM(J847:K847))),IF(D847="新倉",-SUM(J847:K847),IF(E847="賣",(H847-H1544)*G847*50-SUM(J847:K847),(H1544-H847)*G847*50-SUM(J847:K847)))))</f>
        <v/>
      </c>
      <c r="M847" s="699">
        <f>L847</f>
        <v/>
      </c>
      <c r="N847" s="686">
        <f>M847</f>
        <v/>
      </c>
      <c r="O847" s="249" t="inlineStr">
        <is>
          <t>新倉</t>
        </is>
      </c>
      <c r="P847" s="249" t="inlineStr">
        <is>
          <t>元大期貨</t>
        </is>
      </c>
    </row>
    <row r="848" hidden="1" outlineLevel="1">
      <c r="A848" s="696" t="n">
        <v>45915</v>
      </c>
      <c r="B848" s="234" t="inlineStr">
        <is>
          <t>TXO</t>
        </is>
      </c>
      <c r="C848" s="229" t="inlineStr">
        <is>
          <t>台指 C 09 25350 C</t>
        </is>
      </c>
      <c r="D848" s="229" t="inlineStr">
        <is>
          <t>平倉</t>
        </is>
      </c>
      <c r="E848" s="257" t="inlineStr">
        <is>
          <t>賣</t>
        </is>
      </c>
      <c r="F848" s="229" t="inlineStr">
        <is>
          <t>-</t>
        </is>
      </c>
      <c r="G848" s="697" t="n">
        <v>1</v>
      </c>
      <c r="H848" s="698" t="n">
        <v>106</v>
      </c>
      <c r="I848" s="697" t="n">
        <v>5300</v>
      </c>
      <c r="J848" s="585" t="n">
        <v>18</v>
      </c>
      <c r="K848" s="585" t="n">
        <v>5</v>
      </c>
      <c r="L848" s="585">
        <f>IF(B848="TXO",I848-SUM(J848:K848),IF(B848="FITX",IF(D848="新倉",-SUM(J848:K848),IF(E848="賣",(H848-H1545)*G848*200-SUM(J848:K848),(H1545-H848)*G848*200-SUM(J848:K848))),IF(D848="新倉",-SUM(J848:K848),IF(E848="賣",(H848-H1545)*G848*50-SUM(J848:K848),(H1545-H848)*G848*50-SUM(J848:K848)))))</f>
        <v/>
      </c>
      <c r="M848" s="699">
        <f>L848</f>
        <v/>
      </c>
      <c r="N848" s="686">
        <f>M848</f>
        <v/>
      </c>
      <c r="O848" s="249" t="inlineStr">
        <is>
          <t>平倉</t>
        </is>
      </c>
      <c r="P848" s="249" t="inlineStr">
        <is>
          <t>元大期貨</t>
        </is>
      </c>
    </row>
    <row r="849" hidden="1" outlineLevel="1">
      <c r="A849" s="696" t="n">
        <v>45915</v>
      </c>
      <c r="B849" s="234" t="inlineStr">
        <is>
          <t>TXO</t>
        </is>
      </c>
      <c r="C849" s="229" t="inlineStr">
        <is>
          <t>台指 P 09 25300 P</t>
        </is>
      </c>
      <c r="D849" s="229" t="inlineStr">
        <is>
          <t>新倉</t>
        </is>
      </c>
      <c r="E849" s="257" t="inlineStr">
        <is>
          <t>買</t>
        </is>
      </c>
      <c r="F849" s="229" t="inlineStr">
        <is>
          <t>-</t>
        </is>
      </c>
      <c r="G849" s="697" t="n">
        <v>1</v>
      </c>
      <c r="H849" s="698" t="n">
        <v>96</v>
      </c>
      <c r="I849" s="697" t="n">
        <v>-4800</v>
      </c>
      <c r="J849" s="585" t="n">
        <v>18</v>
      </c>
      <c r="K849" s="585" t="n">
        <v>5</v>
      </c>
      <c r="L849" s="585">
        <f>IF(B849="TXO",I849-SUM(J849:K849),IF(B849="FITX",IF(D849="新倉",-SUM(J849:K849),IF(E849="賣",(H849-H1546)*G849*200-SUM(J849:K849),(H1546-H849)*G849*200-SUM(J849:K849))),IF(D849="新倉",-SUM(J849:K849),IF(E849="賣",(H849-H1546)*G849*50-SUM(J849:K849),(H1546-H849)*G849*50-SUM(J849:K849)))))</f>
        <v/>
      </c>
      <c r="M849" s="699">
        <f>L849</f>
        <v/>
      </c>
      <c r="N849" s="686">
        <f>M849</f>
        <v/>
      </c>
      <c r="O849" s="249" t="inlineStr">
        <is>
          <t>新倉</t>
        </is>
      </c>
      <c r="P849" s="249" t="inlineStr">
        <is>
          <t>元大期貨</t>
        </is>
      </c>
    </row>
    <row r="850" hidden="1" outlineLevel="1">
      <c r="A850" s="696" t="n">
        <v>45915</v>
      </c>
      <c r="B850" s="234" t="inlineStr">
        <is>
          <t>TXO</t>
        </is>
      </c>
      <c r="C850" s="229" t="inlineStr">
        <is>
          <t>台指 P 09 25300 P</t>
        </is>
      </c>
      <c r="D850" s="229" t="inlineStr">
        <is>
          <t>平倉</t>
        </is>
      </c>
      <c r="E850" s="257" t="inlineStr">
        <is>
          <t>賣</t>
        </is>
      </c>
      <c r="F850" s="229" t="inlineStr">
        <is>
          <t>-</t>
        </is>
      </c>
      <c r="G850" s="697" t="n">
        <v>1</v>
      </c>
      <c r="H850" s="698" t="n">
        <v>145</v>
      </c>
      <c r="I850" s="697" t="n">
        <v>7250</v>
      </c>
      <c r="J850" s="585" t="n">
        <v>18</v>
      </c>
      <c r="K850" s="585" t="n">
        <v>7</v>
      </c>
      <c r="L850" s="585">
        <f>IF(B850="TXO",I850-SUM(J850:K850),IF(B850="FITX",IF(D850="新倉",-SUM(J850:K850),IF(E850="賣",(H850-H1547)*G850*200-SUM(J850:K850),(H1547-H850)*G850*200-SUM(J850:K850))),IF(D850="新倉",-SUM(J850:K850),IF(E850="賣",(H850-H1547)*G850*50-SUM(J850:K850),(H1547-H850)*G850*50-SUM(J850:K850)))))</f>
        <v/>
      </c>
      <c r="M850" s="699">
        <f>L850</f>
        <v/>
      </c>
      <c r="N850" s="686">
        <f>M850</f>
        <v/>
      </c>
      <c r="O850" s="249" t="inlineStr">
        <is>
          <t>平倉</t>
        </is>
      </c>
      <c r="P850" s="249" t="inlineStr">
        <is>
          <t>元大期貨</t>
        </is>
      </c>
    </row>
    <row r="851" hidden="1" outlineLevel="1">
      <c r="A851" s="696" t="n">
        <v>45916</v>
      </c>
      <c r="B851" s="234" t="inlineStr">
        <is>
          <t>TXO</t>
        </is>
      </c>
      <c r="C851" s="229" t="inlineStr">
        <is>
          <t>台指 C 09 25600 C</t>
        </is>
      </c>
      <c r="D851" s="229" t="inlineStr">
        <is>
          <t>新倉</t>
        </is>
      </c>
      <c r="E851" s="257" t="inlineStr">
        <is>
          <t>買</t>
        </is>
      </c>
      <c r="F851" s="229" t="inlineStr">
        <is>
          <t>-</t>
        </is>
      </c>
      <c r="G851" s="697" t="n">
        <v>1</v>
      </c>
      <c r="H851" s="698" t="n">
        <v>71</v>
      </c>
      <c r="I851" s="697" t="n">
        <v>-3550</v>
      </c>
      <c r="J851" s="585" t="n">
        <v>18</v>
      </c>
      <c r="K851" s="585" t="n">
        <v>4</v>
      </c>
      <c r="L851" s="585">
        <f>IF(B851="TXO",I851-SUM(J851:K851),IF(B851="FITX",IF(D851="新倉",-SUM(J851:K851),IF(E851="賣",(H851-H1548)*G851*200-SUM(J851:K851),(H1548-H851)*G851*200-SUM(J851:K851))),IF(D851="新倉",-SUM(J851:K851),IF(E851="賣",(H851-H1548)*G851*50-SUM(J851:K851),(H1548-H851)*G851*50-SUM(J851:K851)))))</f>
        <v/>
      </c>
      <c r="M851" s="699">
        <f>L851</f>
        <v/>
      </c>
      <c r="N851" s="686">
        <f>M851</f>
        <v/>
      </c>
      <c r="O851" s="249" t="inlineStr">
        <is>
          <t>新倉</t>
        </is>
      </c>
      <c r="P851" s="249" t="inlineStr">
        <is>
          <t>元大期貨</t>
        </is>
      </c>
    </row>
    <row r="852" hidden="1" outlineLevel="1">
      <c r="A852" s="696" t="n">
        <v>45916</v>
      </c>
      <c r="B852" s="234" t="inlineStr">
        <is>
          <t>TXO</t>
        </is>
      </c>
      <c r="C852" s="229" t="inlineStr">
        <is>
          <t>台指 C 09 25600 C</t>
        </is>
      </c>
      <c r="D852" s="229" t="inlineStr">
        <is>
          <t>平倉</t>
        </is>
      </c>
      <c r="E852" s="257" t="inlineStr">
        <is>
          <t>賣</t>
        </is>
      </c>
      <c r="F852" s="229" t="inlineStr">
        <is>
          <t>-</t>
        </is>
      </c>
      <c r="G852" s="697" t="n">
        <v>1</v>
      </c>
      <c r="H852" s="698" t="n">
        <v>86</v>
      </c>
      <c r="I852" s="697" t="n">
        <v>4300</v>
      </c>
      <c r="J852" s="585" t="n">
        <v>18</v>
      </c>
      <c r="K852" s="585" t="n">
        <v>4</v>
      </c>
      <c r="L852" s="585">
        <f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/>
      </c>
      <c r="M852" s="699">
        <f>L852</f>
        <v/>
      </c>
      <c r="N852" s="686">
        <f>M852</f>
        <v/>
      </c>
      <c r="O852" s="249" t="inlineStr">
        <is>
          <t>平倉</t>
        </is>
      </c>
      <c r="P852" s="249" t="inlineStr">
        <is>
          <t>元大期貨</t>
        </is>
      </c>
    </row>
    <row r="853" hidden="1" outlineLevel="1">
      <c r="A853" s="696" t="n">
        <v>45917</v>
      </c>
      <c r="B853" s="234" t="inlineStr">
        <is>
          <t>TXO</t>
        </is>
      </c>
      <c r="C853" s="229" t="inlineStr">
        <is>
          <t>台指 P 09 25550 P</t>
        </is>
      </c>
      <c r="D853" s="229" t="inlineStr">
        <is>
          <t>新倉</t>
        </is>
      </c>
      <c r="E853" s="257" t="inlineStr">
        <is>
          <t>買</t>
        </is>
      </c>
      <c r="F853" s="229" t="inlineStr">
        <is>
          <t>-</t>
        </is>
      </c>
      <c r="G853" s="697" t="n">
        <v>1</v>
      </c>
      <c r="H853" s="698" t="n">
        <v>88</v>
      </c>
      <c r="I853" s="697" t="n">
        <v>-4400</v>
      </c>
      <c r="J853" s="585" t="n">
        <v>18</v>
      </c>
      <c r="K853" s="585" t="n">
        <v>4</v>
      </c>
      <c r="L853" s="585">
        <f>IF(B853="TXO",I853-SUM(J853:K853),IF(B853="FITX",IF(D853="新倉",-SUM(J853:K853),IF(E853="賣",(H853-H1550)*G853*200-SUM(J853:K853),(H1550-H853)*G853*200-SUM(J853:K853))),IF(D853="新倉",-SUM(J853:K853),IF(E853="賣",(H853-H1550)*G853*50-SUM(J853:K853),(H1550-H853)*G853*50-SUM(J853:K853)))))</f>
        <v/>
      </c>
      <c r="M853" s="699">
        <f>L853</f>
        <v/>
      </c>
      <c r="N853" s="686">
        <f>M853</f>
        <v/>
      </c>
      <c r="O853" s="249" t="inlineStr">
        <is>
          <t>新倉</t>
        </is>
      </c>
      <c r="P853" s="249" t="inlineStr">
        <is>
          <t>元大期貨</t>
        </is>
      </c>
    </row>
    <row r="854" hidden="1" outlineLevel="1">
      <c r="A854" s="696" t="n">
        <v>45917</v>
      </c>
      <c r="B854" s="234" t="inlineStr">
        <is>
          <t>TXO</t>
        </is>
      </c>
      <c r="C854" s="229" t="inlineStr">
        <is>
          <t>台指 P 09 25550 P</t>
        </is>
      </c>
      <c r="D854" s="229" t="inlineStr">
        <is>
          <t>平倉</t>
        </is>
      </c>
      <c r="E854" s="257" t="inlineStr">
        <is>
          <t>賣</t>
        </is>
      </c>
      <c r="F854" s="229" t="inlineStr">
        <is>
          <t>-</t>
        </is>
      </c>
      <c r="G854" s="697" t="n">
        <v>1</v>
      </c>
      <c r="H854" s="698" t="n">
        <v>73</v>
      </c>
      <c r="I854" s="697" t="n">
        <v>3650</v>
      </c>
      <c r="J854" s="585" t="n">
        <v>18</v>
      </c>
      <c r="K854" s="585" t="n">
        <v>4</v>
      </c>
      <c r="L854" s="585">
        <f>IF(B854="TXO",I854-SUM(J854:K854),IF(B854="FITX",IF(D854="新倉",-SUM(J854:K854),IF(E854="賣",(H854-H1551)*G854*200-SUM(J854:K854),(H1551-H854)*G854*200-SUM(J854:K854))),IF(D854="新倉",-SUM(J854:K854),IF(E854="賣",(H854-H1551)*G854*50-SUM(J854:K854),(H1551-H854)*G854*50-SUM(J854:K854)))))</f>
        <v/>
      </c>
      <c r="M854" s="699">
        <f>L854</f>
        <v/>
      </c>
      <c r="N854" s="686">
        <f>M854</f>
        <v/>
      </c>
      <c r="O854" s="249" t="inlineStr">
        <is>
          <t>平倉</t>
        </is>
      </c>
      <c r="P854" s="249" t="inlineStr">
        <is>
          <t>元大期貨</t>
        </is>
      </c>
    </row>
    <row r="855" hidden="1" outlineLevel="1">
      <c r="A855" s="696" t="n">
        <v>45917</v>
      </c>
      <c r="B855" s="234" t="inlineStr">
        <is>
          <t>TXO</t>
        </is>
      </c>
      <c r="C855" s="229" t="inlineStr">
        <is>
          <t>台指 C 09 25700 C</t>
        </is>
      </c>
      <c r="D855" s="229" t="inlineStr">
        <is>
          <t>新倉</t>
        </is>
      </c>
      <c r="E855" s="257" t="inlineStr">
        <is>
          <t>買</t>
        </is>
      </c>
      <c r="F855" s="229" t="inlineStr">
        <is>
          <t>-</t>
        </is>
      </c>
      <c r="G855" s="697" t="n">
        <v>2</v>
      </c>
      <c r="H855" s="698" t="n">
        <v>20</v>
      </c>
      <c r="I855" s="697" t="n">
        <v>-2000</v>
      </c>
      <c r="J855" s="585" t="n">
        <v>36</v>
      </c>
      <c r="K855" s="585" t="n">
        <v>2</v>
      </c>
      <c r="L855" s="585">
        <f>IF(B855="TXO",I855-SUM(J855:K855),IF(B855="FITX",IF(D855="新倉",-SUM(J855:K855),IF(E855="賣",(H855-H1552)*G855*200-SUM(J855:K855),(H1552-H855)*G855*200-SUM(J855:K855))),IF(D855="新倉",-SUM(J855:K855),IF(E855="賣",(H855-H1552)*G855*50-SUM(J855:K855),(H1552-H855)*G855*50-SUM(J855:K855)))))</f>
        <v/>
      </c>
      <c r="M855" s="699">
        <f>L855</f>
        <v/>
      </c>
      <c r="N855" s="686">
        <f>M855</f>
        <v/>
      </c>
      <c r="O855" s="261" t="inlineStr">
        <is>
          <t>放棄</t>
        </is>
      </c>
      <c r="P855" s="249" t="inlineStr">
        <is>
          <t>元大期貨</t>
        </is>
      </c>
    </row>
    <row r="856" hidden="1" outlineLevel="1">
      <c r="A856" s="696" t="n">
        <v>45917</v>
      </c>
      <c r="B856" s="234" t="inlineStr">
        <is>
          <t>TXO</t>
        </is>
      </c>
      <c r="C856" s="229" t="inlineStr">
        <is>
          <t>台指 P 09 25600 P</t>
        </is>
      </c>
      <c r="D856" s="229" t="inlineStr">
        <is>
          <t>新倉</t>
        </is>
      </c>
      <c r="E856" s="257" t="inlineStr">
        <is>
          <t>買</t>
        </is>
      </c>
      <c r="F856" s="229" t="inlineStr">
        <is>
          <t>-</t>
        </is>
      </c>
      <c r="G856" s="697" t="n">
        <v>1</v>
      </c>
      <c r="H856" s="698" t="n">
        <v>97</v>
      </c>
      <c r="I856" s="697" t="n">
        <v>-4850</v>
      </c>
      <c r="J856" s="585" t="n">
        <v>18</v>
      </c>
      <c r="K856" s="585" t="n">
        <v>5</v>
      </c>
      <c r="L856" s="585">
        <f>IF(B856="TXO",I856-SUM(J856:K856),IF(B856="FITX",IF(D856="新倉",-SUM(J856:K856),IF(E856="賣",(H856-H1553)*G856*200-SUM(J856:K856),(H1553-H856)*G856*200-SUM(J856:K856))),IF(D856="新倉",-SUM(J856:K856),IF(E856="賣",(H856-H1553)*G856*50-SUM(J856:K856),(H1553-H856)*G856*50-SUM(J856:K856)))))</f>
        <v/>
      </c>
      <c r="M856" s="699">
        <f>L856</f>
        <v/>
      </c>
      <c r="N856" s="686">
        <f>M856</f>
        <v/>
      </c>
      <c r="O856" s="249" t="inlineStr">
        <is>
          <t>新倉</t>
        </is>
      </c>
      <c r="P856" s="249" t="inlineStr">
        <is>
          <t>元大期貨</t>
        </is>
      </c>
    </row>
    <row r="857" hidden="1" outlineLevel="1">
      <c r="A857" s="696" t="n">
        <v>45917</v>
      </c>
      <c r="B857" s="234" t="inlineStr">
        <is>
          <t>TXO</t>
        </is>
      </c>
      <c r="C857" s="229" t="inlineStr">
        <is>
          <t>台指 P 09 25600 P</t>
        </is>
      </c>
      <c r="D857" s="229" t="inlineStr">
        <is>
          <t>平倉</t>
        </is>
      </c>
      <c r="E857" s="257" t="inlineStr">
        <is>
          <t>賣</t>
        </is>
      </c>
      <c r="F857" s="229" t="inlineStr">
        <is>
          <t>-</t>
        </is>
      </c>
      <c r="G857" s="697" t="n">
        <v>1</v>
      </c>
      <c r="H857" s="698" t="n">
        <v>106</v>
      </c>
      <c r="I857" s="697" t="n">
        <v>5300</v>
      </c>
      <c r="J857" s="585" t="n">
        <v>18</v>
      </c>
      <c r="K857" s="585" t="n">
        <v>5</v>
      </c>
      <c r="L857" s="585">
        <f>IF(B857="TXO",I857-SUM(J857:K857),IF(B857="FITX",IF(D857="新倉",-SUM(J857:K857),IF(E857="賣",(H857-H1554)*G857*200-SUM(J857:K857),(H1554-H857)*G857*200-SUM(J857:K857))),IF(D857="新倉",-SUM(J857:K857),IF(E857="賣",(H857-H1554)*G857*50-SUM(J857:K857),(H1554-H857)*G857*50-SUM(J857:K857)))))</f>
        <v/>
      </c>
      <c r="M857" s="699">
        <f>L857</f>
        <v/>
      </c>
      <c r="N857" s="686">
        <f>M857</f>
        <v/>
      </c>
      <c r="O857" s="249" t="inlineStr">
        <is>
          <t>平倉</t>
        </is>
      </c>
      <c r="P857" s="249" t="inlineStr">
        <is>
          <t>元大期貨</t>
        </is>
      </c>
    </row>
    <row r="858" hidden="1" outlineLevel="1">
      <c r="A858" s="696" t="n">
        <v>45917</v>
      </c>
      <c r="B858" s="234" t="inlineStr">
        <is>
          <t>TXO</t>
        </is>
      </c>
      <c r="C858" s="229" t="inlineStr">
        <is>
          <t>台指 P 09 25550 P</t>
        </is>
      </c>
      <c r="D858" s="229" t="inlineStr">
        <is>
          <t>新倉</t>
        </is>
      </c>
      <c r="E858" s="257" t="inlineStr">
        <is>
          <t>買</t>
        </is>
      </c>
      <c r="F858" s="229" t="inlineStr">
        <is>
          <t>-</t>
        </is>
      </c>
      <c r="G858" s="697" t="n">
        <v>2</v>
      </c>
      <c r="H858" s="698" t="n">
        <v>74</v>
      </c>
      <c r="I858" s="697" t="n">
        <v>-7400</v>
      </c>
      <c r="J858" s="585" t="n">
        <v>36</v>
      </c>
      <c r="K858" s="585" t="n">
        <v>8</v>
      </c>
      <c r="L858" s="585">
        <f>IF(B858="TXO",I858-SUM(J858:K858),IF(B858="FITX",IF(D858="新倉",-SUM(J858:K858),IF(E858="賣",(H858-H1555)*G858*200-SUM(J858:K858),(H1555-H858)*G858*200-SUM(J858:K858))),IF(D858="新倉",-SUM(J858:K858),IF(E858="賣",(H858-H1555)*G858*50-SUM(J858:K858),(H1555-H858)*G858*50-SUM(J858:K858)))))</f>
        <v/>
      </c>
      <c r="M858" s="699">
        <f>L858</f>
        <v/>
      </c>
      <c r="N858" s="686">
        <f>M858</f>
        <v/>
      </c>
      <c r="O858" s="249" t="inlineStr">
        <is>
          <t>新倉</t>
        </is>
      </c>
      <c r="P858" s="249" t="inlineStr">
        <is>
          <t>元大期貨</t>
        </is>
      </c>
    </row>
    <row r="859" hidden="1" outlineLevel="1">
      <c r="A859" s="696" t="n">
        <v>45917</v>
      </c>
      <c r="B859" s="234" t="inlineStr">
        <is>
          <t>TXO</t>
        </is>
      </c>
      <c r="C859" s="229" t="inlineStr">
        <is>
          <t>台指 P 09 25550 P</t>
        </is>
      </c>
      <c r="D859" s="229" t="inlineStr">
        <is>
          <t>平倉</t>
        </is>
      </c>
      <c r="E859" s="257" t="inlineStr">
        <is>
          <t>賣</t>
        </is>
      </c>
      <c r="F859" s="229" t="inlineStr">
        <is>
          <t>-</t>
        </is>
      </c>
      <c r="G859" s="697" t="n">
        <v>2</v>
      </c>
      <c r="H859" s="698" t="n">
        <v>62</v>
      </c>
      <c r="I859" s="697" t="n">
        <v>6200</v>
      </c>
      <c r="J859" s="585" t="n">
        <v>36</v>
      </c>
      <c r="K859" s="585" t="n">
        <v>6</v>
      </c>
      <c r="L859" s="585">
        <f>IF(B859="TXO",I859-SUM(J859:K859),IF(B859="FITX",IF(D859="新倉",-SUM(J859:K859),IF(E859="賣",(H859-H1556)*G859*200-SUM(J859:K859),(H1556-H859)*G859*200-SUM(J859:K859))),IF(D859="新倉",-SUM(J859:K859),IF(E859="賣",(H859-H1556)*G859*50-SUM(J859:K859),(H1556-H859)*G859*50-SUM(J859:K859)))))</f>
        <v/>
      </c>
      <c r="M859" s="699">
        <f>L859</f>
        <v/>
      </c>
      <c r="N859" s="686">
        <f>M859</f>
        <v/>
      </c>
      <c r="O859" s="249" t="inlineStr">
        <is>
          <t>平倉</t>
        </is>
      </c>
      <c r="P859" s="249" t="inlineStr">
        <is>
          <t>元大期貨</t>
        </is>
      </c>
    </row>
    <row r="860" hidden="1" outlineLevel="1">
      <c r="A860" s="696" t="n">
        <v>45917</v>
      </c>
      <c r="B860" s="234" t="inlineStr">
        <is>
          <t>TXO</t>
        </is>
      </c>
      <c r="C860" s="229" t="inlineStr">
        <is>
          <t>台指 C 09 25700 C</t>
        </is>
      </c>
      <c r="D860" s="229" t="inlineStr">
        <is>
          <t>新倉</t>
        </is>
      </c>
      <c r="E860" s="257" t="inlineStr">
        <is>
          <t>買</t>
        </is>
      </c>
      <c r="F860" s="229" t="inlineStr">
        <is>
          <t>-</t>
        </is>
      </c>
      <c r="G860" s="697" t="n">
        <v>1</v>
      </c>
      <c r="H860" s="698" t="n">
        <v>28</v>
      </c>
      <c r="I860" s="697" t="n">
        <v>-1400</v>
      </c>
      <c r="J860" s="585" t="n">
        <v>18</v>
      </c>
      <c r="K860" s="585" t="n">
        <v>1</v>
      </c>
      <c r="L860" s="585">
        <f>IF(B860="TXO",I860-SUM(J860:K860),IF(B860="FITX",IF(D860="新倉",-SUM(J860:K860),IF(E860="賣",(H860-H1557)*G860*200-SUM(J860:K860),(H1557-H860)*G860*200-SUM(J860:K860))),IF(D860="新倉",-SUM(J860:K860),IF(E860="賣",(H860-H1557)*G860*50-SUM(J860:K860),(H1557-H860)*G860*50-SUM(J860:K860)))))</f>
        <v/>
      </c>
      <c r="M860" s="699">
        <f>L860</f>
        <v/>
      </c>
      <c r="N860" s="686">
        <f>M860</f>
        <v/>
      </c>
      <c r="O860" s="261" t="inlineStr">
        <is>
          <t>放棄</t>
        </is>
      </c>
      <c r="P860" s="249" t="inlineStr">
        <is>
          <t>元大期貨</t>
        </is>
      </c>
    </row>
    <row r="861" hidden="1" outlineLevel="1">
      <c r="A861" s="696" t="n">
        <v>45917</v>
      </c>
      <c r="B861" s="234" t="inlineStr">
        <is>
          <t>TXO</t>
        </is>
      </c>
      <c r="C861" s="229" t="inlineStr">
        <is>
          <t>台指 P 09 25550 P</t>
        </is>
      </c>
      <c r="D861" s="229" t="inlineStr">
        <is>
          <t>新倉</t>
        </is>
      </c>
      <c r="E861" s="257" t="inlineStr">
        <is>
          <t>買</t>
        </is>
      </c>
      <c r="F861" s="229" t="inlineStr">
        <is>
          <t>-</t>
        </is>
      </c>
      <c r="G861" s="697" t="n">
        <v>2</v>
      </c>
      <c r="H861" s="698" t="n">
        <v>74</v>
      </c>
      <c r="I861" s="697" t="n">
        <v>-7400</v>
      </c>
      <c r="J861" s="585" t="n">
        <v>36</v>
      </c>
      <c r="K861" s="585" t="n">
        <v>8</v>
      </c>
      <c r="L861" s="585">
        <f>IF(B861="TXO",I861-SUM(J861:K861),IF(B861="FITX",IF(D861="新倉",-SUM(J861:K861),IF(E861="賣",(H861-H1558)*G861*200-SUM(J861:K861),(H1558-H861)*G861*200-SUM(J861:K861))),IF(D861="新倉",-SUM(J861:K861),IF(E861="賣",(H861-H1558)*G861*50-SUM(J861:K861),(H1558-H861)*G861*50-SUM(J861:K861)))))</f>
        <v/>
      </c>
      <c r="M861" s="699">
        <f>L861</f>
        <v/>
      </c>
      <c r="N861" s="686">
        <f>M861</f>
        <v/>
      </c>
      <c r="O861" s="249" t="inlineStr">
        <is>
          <t>新倉</t>
        </is>
      </c>
      <c r="P861" s="249" t="inlineStr">
        <is>
          <t>元大期貨</t>
        </is>
      </c>
    </row>
    <row r="862" hidden="1" outlineLevel="1">
      <c r="A862" s="696" t="n">
        <v>45917</v>
      </c>
      <c r="B862" s="234" t="inlineStr">
        <is>
          <t>TXO</t>
        </is>
      </c>
      <c r="C862" s="229" t="inlineStr">
        <is>
          <t>台指 P 09 25550 P</t>
        </is>
      </c>
      <c r="D862" s="229" t="inlineStr">
        <is>
          <t>平倉</t>
        </is>
      </c>
      <c r="E862" s="257" t="inlineStr">
        <is>
          <t>賣</t>
        </is>
      </c>
      <c r="F862" s="229" t="inlineStr">
        <is>
          <t>-</t>
        </is>
      </c>
      <c r="G862" s="697" t="n">
        <v>2</v>
      </c>
      <c r="H862" s="698" t="n">
        <v>70</v>
      </c>
      <c r="I862" s="697" t="n">
        <v>7000</v>
      </c>
      <c r="J862" s="585" t="n">
        <v>36</v>
      </c>
      <c r="K862" s="585" t="n">
        <v>8</v>
      </c>
      <c r="L862" s="585">
        <f>IF(B862="TXO",I862-SUM(J862:K862),IF(B862="FITX",IF(D862="新倉",-SUM(J862:K862),IF(E862="賣",(H862-H1559)*G862*200-SUM(J862:K862),(H1559-H862)*G862*200-SUM(J862:K862))),IF(D862="新倉",-SUM(J862:K862),IF(E862="賣",(H862-H1559)*G862*50-SUM(J862:K862),(H1559-H862)*G862*50-SUM(J862:K862)))))</f>
        <v/>
      </c>
      <c r="M862" s="699">
        <f>L862</f>
        <v/>
      </c>
      <c r="N862" s="686">
        <f>M862</f>
        <v/>
      </c>
      <c r="O862" s="249" t="inlineStr">
        <is>
          <t>平倉</t>
        </is>
      </c>
      <c r="P862" s="249" t="inlineStr">
        <is>
          <t>元大期貨</t>
        </is>
      </c>
    </row>
    <row r="863" hidden="1" outlineLevel="1">
      <c r="A863" s="696" t="n">
        <v>45917</v>
      </c>
      <c r="B863" s="234" t="inlineStr">
        <is>
          <t>TXO</t>
        </is>
      </c>
      <c r="C863" s="229" t="inlineStr">
        <is>
          <t>台指 C 09 25650 C</t>
        </is>
      </c>
      <c r="D863" s="229" t="inlineStr">
        <is>
          <t>新倉</t>
        </is>
      </c>
      <c r="E863" s="257" t="inlineStr">
        <is>
          <t>買</t>
        </is>
      </c>
      <c r="F863" s="229" t="inlineStr">
        <is>
          <t>-</t>
        </is>
      </c>
      <c r="G863" s="697" t="n">
        <v>2</v>
      </c>
      <c r="H863" s="698" t="n">
        <v>65</v>
      </c>
      <c r="I863" s="697" t="n">
        <v>-6500</v>
      </c>
      <c r="J863" s="585" t="n">
        <v>36</v>
      </c>
      <c r="K863" s="585" t="n">
        <v>6</v>
      </c>
      <c r="L863" s="585">
        <f>IF(B863="TXO",I863-SUM(J863:K863),IF(B863="FITX",IF(D863="新倉",-SUM(J863:K863),IF(E863="賣",(H863-H1560)*G863*200-SUM(J863:K863),(H1560-H863)*G863*200-SUM(J863:K863))),IF(D863="新倉",-SUM(J863:K863),IF(E863="賣",(H863-H1560)*G863*50-SUM(J863:K863),(H1560-H863)*G863*50-SUM(J863:K863)))))</f>
        <v/>
      </c>
      <c r="M863" s="699">
        <f>L863</f>
        <v/>
      </c>
      <c r="N863" s="686">
        <f>M863</f>
        <v/>
      </c>
      <c r="O863" s="249" t="inlineStr">
        <is>
          <t>新倉</t>
        </is>
      </c>
      <c r="P863" s="249" t="inlineStr">
        <is>
          <t>元大期貨</t>
        </is>
      </c>
    </row>
    <row r="864" hidden="1" outlineLevel="1">
      <c r="A864" s="696" t="n">
        <v>45917</v>
      </c>
      <c r="B864" s="234" t="inlineStr">
        <is>
          <t>TXO</t>
        </is>
      </c>
      <c r="C864" s="229" t="inlineStr">
        <is>
          <t>台指 C 09 25650 C</t>
        </is>
      </c>
      <c r="D864" s="229" t="inlineStr">
        <is>
          <t>平倉</t>
        </is>
      </c>
      <c r="E864" s="257" t="inlineStr">
        <is>
          <t>賣</t>
        </is>
      </c>
      <c r="F864" s="229" t="inlineStr">
        <is>
          <t>-</t>
        </is>
      </c>
      <c r="G864" s="697" t="n">
        <v>1</v>
      </c>
      <c r="H864" s="698" t="n">
        <v>35.5</v>
      </c>
      <c r="I864" s="697" t="n">
        <v>1775</v>
      </c>
      <c r="J864" s="585" t="n">
        <v>18</v>
      </c>
      <c r="K864" s="585" t="n">
        <v>2</v>
      </c>
      <c r="L864" s="585">
        <f>IF(B864="TXO",I864-SUM(J864:K864),IF(B864="FITX",IF(D864="新倉",-SUM(J864:K864),IF(E864="賣",(H864-H1561)*G864*200-SUM(J864:K864),(H1561-H864)*G864*200-SUM(J864:K864))),IF(D864="新倉",-SUM(J864:K864),IF(E864="賣",(H864-H1561)*G864*50-SUM(J864:K864),(H1561-H864)*G864*50-SUM(J864:K864)))))</f>
        <v/>
      </c>
      <c r="M864" s="699">
        <f>L864</f>
        <v/>
      </c>
      <c r="N864" s="686">
        <f>M864</f>
        <v/>
      </c>
      <c r="O864" s="249" t="inlineStr">
        <is>
          <t>平倉</t>
        </is>
      </c>
      <c r="P864" s="249" t="inlineStr">
        <is>
          <t>元大期貨</t>
        </is>
      </c>
    </row>
    <row r="865" hidden="1" outlineLevel="1">
      <c r="A865" s="696" t="n">
        <v>45917</v>
      </c>
      <c r="B865" s="234" t="inlineStr">
        <is>
          <t>TXO</t>
        </is>
      </c>
      <c r="C865" s="229" t="inlineStr">
        <is>
          <t>台指 P 09 25550 P</t>
        </is>
      </c>
      <c r="D865" s="229" t="inlineStr">
        <is>
          <t>新倉</t>
        </is>
      </c>
      <c r="E865" s="257" t="inlineStr">
        <is>
          <t>買</t>
        </is>
      </c>
      <c r="F865" s="229" t="inlineStr">
        <is>
          <t>-</t>
        </is>
      </c>
      <c r="G865" s="697" t="n">
        <v>1</v>
      </c>
      <c r="H865" s="698" t="n">
        <v>66</v>
      </c>
      <c r="I865" s="697" t="n">
        <v>-3300</v>
      </c>
      <c r="J865" s="585" t="n">
        <v>18</v>
      </c>
      <c r="K865" s="585" t="n">
        <v>3</v>
      </c>
      <c r="L865" s="585">
        <f>IF(B865="TXO",I865-SUM(J865:K865),IF(B865="FITX",IF(D865="新倉",-SUM(J865:K865),IF(E865="賣",(H865-H1562)*G865*200-SUM(J865:K865),(H1562-H865)*G865*200-SUM(J865:K865))),IF(D865="新倉",-SUM(J865:K865),IF(E865="賣",(H865-H1562)*G865*50-SUM(J865:K865),(H1562-H865)*G865*50-SUM(J865:K865)))))</f>
        <v/>
      </c>
      <c r="M865" s="699">
        <f>L865</f>
        <v/>
      </c>
      <c r="N865" s="686">
        <f>M865</f>
        <v/>
      </c>
      <c r="O865" s="249" t="inlineStr">
        <is>
          <t>新倉</t>
        </is>
      </c>
      <c r="P865" s="249" t="inlineStr">
        <is>
          <t>元大期貨</t>
        </is>
      </c>
    </row>
    <row r="866" hidden="1" outlineLevel="1">
      <c r="A866" s="696" t="n">
        <v>45917</v>
      </c>
      <c r="B866" s="234" t="inlineStr">
        <is>
          <t>TXO</t>
        </is>
      </c>
      <c r="C866" s="229" t="inlineStr">
        <is>
          <t>台指 P 09 25550 P</t>
        </is>
      </c>
      <c r="D866" s="229" t="inlineStr">
        <is>
          <t>新倉</t>
        </is>
      </c>
      <c r="E866" s="257" t="inlineStr">
        <is>
          <t>買</t>
        </is>
      </c>
      <c r="F866" s="229" t="inlineStr">
        <is>
          <t>-</t>
        </is>
      </c>
      <c r="G866" s="697" t="n">
        <v>2</v>
      </c>
      <c r="H866" s="698" t="n">
        <v>69</v>
      </c>
      <c r="I866" s="697" t="n">
        <v>-6900</v>
      </c>
      <c r="J866" s="585" t="n">
        <v>36</v>
      </c>
      <c r="K866" s="585" t="n">
        <v>6</v>
      </c>
      <c r="L866" s="585">
        <f>IF(B866="TXO",I866-SUM(J866:K866),IF(B866="FITX",IF(D866="新倉",-SUM(J866:K866),IF(E866="賣",(H866-H1563)*G866*200-SUM(J866:K866),(H1563-H866)*G866*200-SUM(J866:K866))),IF(D866="新倉",-SUM(J866:K866),IF(E866="賣",(H866-H1563)*G866*50-SUM(J866:K866),(H1563-H866)*G866*50-SUM(J866:K866)))))</f>
        <v/>
      </c>
      <c r="M866" s="699">
        <f>L866</f>
        <v/>
      </c>
      <c r="N866" s="686">
        <f>M866</f>
        <v/>
      </c>
      <c r="O866" s="249" t="inlineStr">
        <is>
          <t>新倉</t>
        </is>
      </c>
      <c r="P866" s="249" t="inlineStr">
        <is>
          <t>元大期貨</t>
        </is>
      </c>
    </row>
    <row r="867" hidden="1" outlineLevel="1">
      <c r="A867" s="696" t="n">
        <v>45917</v>
      </c>
      <c r="B867" s="234" t="inlineStr">
        <is>
          <t>TXO</t>
        </is>
      </c>
      <c r="C867" s="229" t="inlineStr">
        <is>
          <t>台指 P 09 25550 P</t>
        </is>
      </c>
      <c r="D867" s="229" t="inlineStr">
        <is>
          <t>平倉</t>
        </is>
      </c>
      <c r="E867" s="257" t="inlineStr">
        <is>
          <t>賣</t>
        </is>
      </c>
      <c r="F867" s="229" t="inlineStr">
        <is>
          <t>-</t>
        </is>
      </c>
      <c r="G867" s="697" t="n">
        <v>3</v>
      </c>
      <c r="H867" s="698" t="n">
        <v>76</v>
      </c>
      <c r="I867" s="697" t="n">
        <v>11400</v>
      </c>
      <c r="J867" s="585" t="n">
        <v>54</v>
      </c>
      <c r="K867" s="585" t="n">
        <v>12</v>
      </c>
      <c r="L867" s="585">
        <f>IF(B867="TXO",I867-SUM(J867:K867),IF(B867="FITX",IF(D867="新倉",-SUM(J867:K867),IF(E867="賣",(H867-H1564)*G867*200-SUM(J867:K867),(H1564-H867)*G867*200-SUM(J867:K867))),IF(D867="新倉",-SUM(J867:K867),IF(E867="賣",(H867-H1564)*G867*50-SUM(J867:K867),(H1564-H867)*G867*50-SUM(J867:K867)))))</f>
        <v/>
      </c>
      <c r="M867" s="699">
        <f>L867</f>
        <v/>
      </c>
      <c r="N867" s="686">
        <f>M867</f>
        <v/>
      </c>
      <c r="O867" s="249" t="inlineStr">
        <is>
          <t>平倉</t>
        </is>
      </c>
      <c r="P867" s="249" t="inlineStr">
        <is>
          <t>元大期貨</t>
        </is>
      </c>
    </row>
    <row r="868" hidden="1" outlineLevel="1">
      <c r="A868" s="696" t="n">
        <v>45917</v>
      </c>
      <c r="B868" s="234" t="inlineStr">
        <is>
          <t>TXO</t>
        </is>
      </c>
      <c r="C868" s="229" t="inlineStr">
        <is>
          <t>台指 P 09 25500 P</t>
        </is>
      </c>
      <c r="D868" s="229" t="inlineStr">
        <is>
          <t>新倉</t>
        </is>
      </c>
      <c r="E868" s="257" t="inlineStr">
        <is>
          <t>買</t>
        </is>
      </c>
      <c r="F868" s="229" t="inlineStr">
        <is>
          <t>-</t>
        </is>
      </c>
      <c r="G868" s="697" t="n">
        <v>1</v>
      </c>
      <c r="H868" s="698" t="n">
        <v>41</v>
      </c>
      <c r="I868" s="697" t="n">
        <v>-2050</v>
      </c>
      <c r="J868" s="585" t="n">
        <v>18</v>
      </c>
      <c r="K868" s="585" t="n">
        <v>2</v>
      </c>
      <c r="L868" s="585">
        <f>IF(B868="TXO",I868-SUM(J868:K868),IF(B868="FITX",IF(D868="新倉",-SUM(J868:K868),IF(E868="賣",(H868-H1565)*G868*200-SUM(J868:K868),(H1565-H868)*G868*200-SUM(J868:K868))),IF(D868="新倉",-SUM(J868:K868),IF(E868="賣",(H868-H1565)*G868*50-SUM(J868:K868),(H1565-H868)*G868*50-SUM(J868:K868)))))</f>
        <v/>
      </c>
      <c r="M868" s="699">
        <f>L868</f>
        <v/>
      </c>
      <c r="N868" s="686">
        <f>M868</f>
        <v/>
      </c>
      <c r="O868" s="249" t="inlineStr">
        <is>
          <t>新倉</t>
        </is>
      </c>
      <c r="P868" s="249" t="inlineStr">
        <is>
          <t>元大期貨</t>
        </is>
      </c>
    </row>
    <row r="869" hidden="1" outlineLevel="1">
      <c r="A869" s="696" t="n">
        <v>45917</v>
      </c>
      <c r="B869" s="234" t="inlineStr">
        <is>
          <t>TXO</t>
        </is>
      </c>
      <c r="C869" s="229" t="inlineStr">
        <is>
          <t>台指 P 09 25500 P</t>
        </is>
      </c>
      <c r="D869" s="229" t="inlineStr">
        <is>
          <t>平倉</t>
        </is>
      </c>
      <c r="E869" s="257" t="inlineStr">
        <is>
          <t>賣</t>
        </is>
      </c>
      <c r="F869" s="229" t="inlineStr">
        <is>
          <t>-</t>
        </is>
      </c>
      <c r="G869" s="697" t="n">
        <v>1</v>
      </c>
      <c r="H869" s="698" t="n">
        <v>47</v>
      </c>
      <c r="I869" s="697" t="n">
        <v>2350</v>
      </c>
      <c r="J869" s="585" t="n">
        <v>18</v>
      </c>
      <c r="K869" s="585" t="n">
        <v>2</v>
      </c>
      <c r="L869" s="585">
        <f>IF(B869="TXO",I869-SUM(J869:K869),IF(B869="FITX",IF(D869="新倉",-SUM(J869:K869),IF(E869="賣",(H869-H1566)*G869*200-SUM(J869:K869),(H1566-H869)*G869*200-SUM(J869:K869))),IF(D869="新倉",-SUM(J869:K869),IF(E869="賣",(H869-H1566)*G869*50-SUM(J869:K869),(H1566-H869)*G869*50-SUM(J869:K869)))))</f>
        <v/>
      </c>
      <c r="M869" s="699">
        <f>L869</f>
        <v/>
      </c>
      <c r="N869" s="686">
        <f>M869</f>
        <v/>
      </c>
      <c r="O869" s="249" t="inlineStr">
        <is>
          <t>平倉</t>
        </is>
      </c>
      <c r="P869" s="249" t="inlineStr">
        <is>
          <t>元大期貨</t>
        </is>
      </c>
    </row>
    <row r="870" hidden="1" outlineLevel="1">
      <c r="A870" s="696" t="n">
        <v>45917</v>
      </c>
      <c r="B870" s="234" t="inlineStr">
        <is>
          <t>TXO</t>
        </is>
      </c>
      <c r="C870" s="229" t="inlineStr">
        <is>
          <t>台指 P 09 25550 P</t>
        </is>
      </c>
      <c r="D870" s="229" t="inlineStr">
        <is>
          <t>新倉</t>
        </is>
      </c>
      <c r="E870" s="257" t="inlineStr">
        <is>
          <t>買</t>
        </is>
      </c>
      <c r="F870" s="229" t="inlineStr">
        <is>
          <t>-</t>
        </is>
      </c>
      <c r="G870" s="697" t="n">
        <v>3</v>
      </c>
      <c r="H870" s="698" t="n">
        <v>59</v>
      </c>
      <c r="I870" s="697" t="n">
        <v>-8850</v>
      </c>
      <c r="J870" s="585" t="n">
        <v>54</v>
      </c>
      <c r="K870" s="585" t="n">
        <v>9</v>
      </c>
      <c r="L870" s="585">
        <f>IF(B870="TXO",I870-SUM(J870:K870),IF(B870="FITX",IF(D870="新倉",-SUM(J870:K870),IF(E870="賣",(H870-H1567)*G870*200-SUM(J870:K870),(H1567-H870)*G870*200-SUM(J870:K870))),IF(D870="新倉",-SUM(J870:K870),IF(E870="賣",(H870-H1567)*G870*50-SUM(J870:K870),(H1567-H870)*G870*50-SUM(J870:K870)))))</f>
        <v/>
      </c>
      <c r="M870" s="699">
        <f>L870</f>
        <v/>
      </c>
      <c r="N870" s="686">
        <f>M870</f>
        <v/>
      </c>
      <c r="O870" s="249" t="inlineStr">
        <is>
          <t>新倉</t>
        </is>
      </c>
      <c r="P870" s="249" t="inlineStr">
        <is>
          <t>元大期貨</t>
        </is>
      </c>
    </row>
    <row r="871" hidden="1" outlineLevel="1">
      <c r="A871" s="696" t="n">
        <v>45917</v>
      </c>
      <c r="B871" s="234" t="inlineStr">
        <is>
          <t>TXO</t>
        </is>
      </c>
      <c r="C871" s="229" t="inlineStr">
        <is>
          <t>台指 P 09 25550 P</t>
        </is>
      </c>
      <c r="D871" s="229" t="inlineStr">
        <is>
          <t>平倉</t>
        </is>
      </c>
      <c r="E871" s="257" t="inlineStr">
        <is>
          <t>賣</t>
        </is>
      </c>
      <c r="F871" s="229" t="inlineStr">
        <is>
          <t>-</t>
        </is>
      </c>
      <c r="G871" s="697" t="n">
        <v>3</v>
      </c>
      <c r="H871" s="698" t="n">
        <v>69</v>
      </c>
      <c r="I871" s="697" t="n">
        <v>10350</v>
      </c>
      <c r="J871" s="585" t="n">
        <v>54</v>
      </c>
      <c r="K871" s="585" t="n">
        <v>9</v>
      </c>
      <c r="L871" s="585">
        <f>IF(B871="TXO",I871-SUM(J871:K871),IF(B871="FITX",IF(D871="新倉",-SUM(J871:K871),IF(E871="賣",(H871-H1568)*G871*200-SUM(J871:K871),(H1568-H871)*G871*200-SUM(J871:K871))),IF(D871="新倉",-SUM(J871:K871),IF(E871="賣",(H871-H1568)*G871*50-SUM(J871:K871),(H1568-H871)*G871*50-SUM(J871:K871)))))</f>
        <v/>
      </c>
      <c r="M871" s="699">
        <f>L871</f>
        <v/>
      </c>
      <c r="N871" s="686">
        <f>M871</f>
        <v/>
      </c>
      <c r="O871" s="249" t="inlineStr">
        <is>
          <t>平倉</t>
        </is>
      </c>
      <c r="P871" s="249" t="inlineStr">
        <is>
          <t>元大期貨</t>
        </is>
      </c>
    </row>
    <row r="872" hidden="1" outlineLevel="1">
      <c r="A872" s="696" t="n">
        <v>45917</v>
      </c>
      <c r="B872" s="234" t="inlineStr">
        <is>
          <t>TXO</t>
        </is>
      </c>
      <c r="C872" s="229" t="inlineStr">
        <is>
          <t>台指 P 09 25550 P</t>
        </is>
      </c>
      <c r="D872" s="229" t="inlineStr">
        <is>
          <t>新倉</t>
        </is>
      </c>
      <c r="E872" s="257" t="inlineStr">
        <is>
          <t>買</t>
        </is>
      </c>
      <c r="F872" s="229" t="inlineStr">
        <is>
          <t>-</t>
        </is>
      </c>
      <c r="G872" s="697" t="n">
        <v>3</v>
      </c>
      <c r="H872" s="698" t="n">
        <v>47</v>
      </c>
      <c r="I872" s="697" t="n">
        <v>-7050</v>
      </c>
      <c r="J872" s="585" t="n">
        <v>54</v>
      </c>
      <c r="K872" s="585" t="n">
        <v>6</v>
      </c>
      <c r="L872" s="585">
        <f>IF(B872="TXO",I872-SUM(J872:K872),IF(B872="FITX",IF(D872="新倉",-SUM(J872:K872),IF(E872="賣",(H872-H1569)*G872*200-SUM(J872:K872),(H1569-H872)*G872*200-SUM(J872:K872))),IF(D872="新倉",-SUM(J872:K872),IF(E872="賣",(H872-H1569)*G872*50-SUM(J872:K872),(H1569-H872)*G872*50-SUM(J872:K872)))))</f>
        <v/>
      </c>
      <c r="M872" s="699">
        <f>L872</f>
        <v/>
      </c>
      <c r="N872" s="686">
        <f>M872</f>
        <v/>
      </c>
      <c r="O872" s="249" t="inlineStr">
        <is>
          <t>新倉</t>
        </is>
      </c>
      <c r="P872" s="249" t="inlineStr">
        <is>
          <t>元大期貨</t>
        </is>
      </c>
    </row>
    <row r="873" hidden="1" outlineLevel="1">
      <c r="A873" s="696" t="n">
        <v>45917</v>
      </c>
      <c r="B873" s="234" t="inlineStr">
        <is>
          <t>TXO</t>
        </is>
      </c>
      <c r="C873" s="229" t="inlineStr">
        <is>
          <t>台指 P 09 25550 P</t>
        </is>
      </c>
      <c r="D873" s="229" t="inlineStr">
        <is>
          <t>新倉</t>
        </is>
      </c>
      <c r="E873" s="257" t="inlineStr">
        <is>
          <t>買</t>
        </is>
      </c>
      <c r="F873" s="229" t="inlineStr">
        <is>
          <t>-</t>
        </is>
      </c>
      <c r="G873" s="697" t="n">
        <v>3</v>
      </c>
      <c r="H873" s="698" t="n">
        <v>48.5</v>
      </c>
      <c r="I873" s="697" t="n">
        <v>-7275</v>
      </c>
      <c r="J873" s="585" t="n">
        <v>54</v>
      </c>
      <c r="K873" s="585" t="n">
        <v>6</v>
      </c>
      <c r="L873" s="585">
        <f>IF(B873="TXO",I873-SUM(J873:K873),IF(B873="FITX",IF(D873="新倉",-SUM(J873:K873),IF(E873="賣",(H873-H1570)*G873*200-SUM(J873:K873),(H1570-H873)*G873*200-SUM(J873:K873))),IF(D873="新倉",-SUM(J873:K873),IF(E873="賣",(H873-H1570)*G873*50-SUM(J873:K873),(H1570-H873)*G873*50-SUM(J873:K873)))))</f>
        <v/>
      </c>
      <c r="M873" s="699">
        <f>L873</f>
        <v/>
      </c>
      <c r="N873" s="686">
        <f>M873</f>
        <v/>
      </c>
      <c r="O873" s="249" t="inlineStr">
        <is>
          <t>新倉</t>
        </is>
      </c>
      <c r="P873" s="249" t="inlineStr">
        <is>
          <t>元大期貨</t>
        </is>
      </c>
    </row>
    <row r="874" hidden="1" outlineLevel="1">
      <c r="A874" s="696" t="n">
        <v>45917</v>
      </c>
      <c r="B874" s="234" t="inlineStr">
        <is>
          <t>TXO</t>
        </is>
      </c>
      <c r="C874" s="229" t="inlineStr">
        <is>
          <t>台指 P 09 25550 P</t>
        </is>
      </c>
      <c r="D874" s="229" t="inlineStr">
        <is>
          <t>平倉</t>
        </is>
      </c>
      <c r="E874" s="257" t="inlineStr">
        <is>
          <t>賣</t>
        </is>
      </c>
      <c r="F874" s="229" t="inlineStr">
        <is>
          <t>-</t>
        </is>
      </c>
      <c r="G874" s="697" t="n">
        <v>6</v>
      </c>
      <c r="H874" s="698" t="n">
        <v>60</v>
      </c>
      <c r="I874" s="697" t="n">
        <v>18000</v>
      </c>
      <c r="J874" s="585" t="n">
        <v>108</v>
      </c>
      <c r="K874" s="585" t="n">
        <v>18</v>
      </c>
      <c r="L874" s="585">
        <f>IF(B874="TXO",I874-SUM(J874:K874),IF(B874="FITX",IF(D874="新倉",-SUM(J874:K874),IF(E874="賣",(H874-H1571)*G874*200-SUM(J874:K874),(H1571-H874)*G874*200-SUM(J874:K874))),IF(D874="新倉",-SUM(J874:K874),IF(E874="賣",(H874-H1571)*G874*50-SUM(J874:K874),(H1571-H874)*G874*50-SUM(J874:K874)))))</f>
        <v/>
      </c>
      <c r="M874" s="699">
        <f>L874</f>
        <v/>
      </c>
      <c r="N874" s="686">
        <f>M874</f>
        <v/>
      </c>
      <c r="O874" s="249" t="inlineStr">
        <is>
          <t>平倉</t>
        </is>
      </c>
      <c r="P874" s="249" t="inlineStr">
        <is>
          <t>元大期貨</t>
        </is>
      </c>
    </row>
    <row r="875" hidden="1" outlineLevel="1">
      <c r="A875" s="696" t="n">
        <v>45917</v>
      </c>
      <c r="B875" s="234" t="inlineStr">
        <is>
          <t>TXO</t>
        </is>
      </c>
      <c r="C875" s="229" t="inlineStr">
        <is>
          <t>台指 P 09 25600 P</t>
        </is>
      </c>
      <c r="D875" s="229" t="inlineStr">
        <is>
          <t>新倉</t>
        </is>
      </c>
      <c r="E875" s="257" t="inlineStr">
        <is>
          <t>買</t>
        </is>
      </c>
      <c r="F875" s="229" t="inlineStr">
        <is>
          <t>-</t>
        </is>
      </c>
      <c r="G875" s="697" t="n">
        <v>2</v>
      </c>
      <c r="H875" s="698" t="n">
        <v>72</v>
      </c>
      <c r="I875" s="697" t="n">
        <v>-7200</v>
      </c>
      <c r="J875" s="585" t="n">
        <v>36</v>
      </c>
      <c r="K875" s="585" t="n">
        <v>8</v>
      </c>
      <c r="L875" s="585">
        <f>IF(B875="TXO",I875-SUM(J875:K875),IF(B875="FITX",IF(D875="新倉",-SUM(J875:K875),IF(E875="賣",(H875-H1572)*G875*200-SUM(J875:K875),(H1572-H875)*G875*200-SUM(J875:K875))),IF(D875="新倉",-SUM(J875:K875),IF(E875="賣",(H875-H1572)*G875*50-SUM(J875:K875),(H1572-H875)*G875*50-SUM(J875:K875)))))</f>
        <v/>
      </c>
      <c r="M875" s="699">
        <f>L875</f>
        <v/>
      </c>
      <c r="N875" s="686">
        <f>M875</f>
        <v/>
      </c>
      <c r="O875" s="249" t="inlineStr">
        <is>
          <t>新倉</t>
        </is>
      </c>
      <c r="P875" s="249" t="inlineStr">
        <is>
          <t>元大期貨</t>
        </is>
      </c>
    </row>
    <row r="876" hidden="1" outlineLevel="1">
      <c r="A876" s="696" t="n">
        <v>45917</v>
      </c>
      <c r="B876" s="234" t="inlineStr">
        <is>
          <t>TXO</t>
        </is>
      </c>
      <c r="C876" s="229" t="inlineStr">
        <is>
          <t>台指 P 09 25600 P</t>
        </is>
      </c>
      <c r="D876" s="229" t="inlineStr">
        <is>
          <t>平倉</t>
        </is>
      </c>
      <c r="E876" s="257" t="inlineStr">
        <is>
          <t>賣</t>
        </is>
      </c>
      <c r="F876" s="229" t="inlineStr">
        <is>
          <t>-</t>
        </is>
      </c>
      <c r="G876" s="697" t="n">
        <v>2</v>
      </c>
      <c r="H876" s="698" t="n">
        <v>87</v>
      </c>
      <c r="I876" s="697" t="n">
        <v>8700</v>
      </c>
      <c r="J876" s="585" t="n">
        <v>36</v>
      </c>
      <c r="K876" s="585" t="n">
        <v>8</v>
      </c>
      <c r="L876" s="585">
        <f>IF(B876="TXO",I876-SUM(J876:K876),IF(B876="FITX",IF(D876="新倉",-SUM(J876:K876),IF(E876="賣",(H876-H1573)*G876*200-SUM(J876:K876),(H1573-H876)*G876*200-SUM(J876:K876))),IF(D876="新倉",-SUM(J876:K876),IF(E876="賣",(H876-H1573)*G876*50-SUM(J876:K876),(H1573-H876)*G876*50-SUM(J876:K876)))))</f>
        <v/>
      </c>
      <c r="M876" s="699">
        <f>L876</f>
        <v/>
      </c>
      <c r="N876" s="686">
        <f>M876</f>
        <v/>
      </c>
      <c r="O876" s="249" t="inlineStr">
        <is>
          <t>平倉</t>
        </is>
      </c>
      <c r="P876" s="249" t="inlineStr">
        <is>
          <t>元大期貨</t>
        </is>
      </c>
    </row>
    <row r="877" hidden="1" outlineLevel="1">
      <c r="A877" s="696" t="n">
        <v>45918</v>
      </c>
      <c r="B877" s="234" t="inlineStr">
        <is>
          <t>TXO</t>
        </is>
      </c>
      <c r="C877" s="229" t="inlineStr">
        <is>
          <t>週F3 C 09 25500 C</t>
        </is>
      </c>
      <c r="D877" s="229" t="inlineStr">
        <is>
          <t>新倉</t>
        </is>
      </c>
      <c r="E877" s="257" t="inlineStr">
        <is>
          <t>買</t>
        </is>
      </c>
      <c r="F877" s="229" t="inlineStr">
        <is>
          <t>-</t>
        </is>
      </c>
      <c r="G877" s="697" t="n">
        <v>1</v>
      </c>
      <c r="H877" s="698" t="n">
        <v>175</v>
      </c>
      <c r="I877" s="697" t="n">
        <v>-8750</v>
      </c>
      <c r="J877" s="585" t="n">
        <v>18</v>
      </c>
      <c r="K877" s="585" t="n">
        <v>9</v>
      </c>
      <c r="L877" s="585">
        <f>IF(B877="TXO",I877-SUM(J877:K877),IF(B877="FITX",IF(D877="新倉",-SUM(J877:K877),IF(E877="賣",(H877-H1574)*G877*200-SUM(J877:K877),(H1574-H877)*G877*200-SUM(J877:K877))),IF(D877="新倉",-SUM(J877:K877),IF(E877="賣",(H877-H1574)*G877*50-SUM(J877:K877),(H1574-H877)*G877*50-SUM(J877:K877)))))</f>
        <v/>
      </c>
      <c r="M877" s="699">
        <f>L877</f>
        <v/>
      </c>
      <c r="N877" s="686">
        <f>M877</f>
        <v/>
      </c>
      <c r="O877" s="249" t="inlineStr">
        <is>
          <t>新倉</t>
        </is>
      </c>
      <c r="P877" s="249" t="inlineStr">
        <is>
          <t>元大期貨</t>
        </is>
      </c>
    </row>
    <row r="878" hidden="1" outlineLevel="1">
      <c r="A878" s="696" t="n">
        <v>45918</v>
      </c>
      <c r="B878" s="234" t="inlineStr">
        <is>
          <t>TXO</t>
        </is>
      </c>
      <c r="C878" s="229" t="inlineStr">
        <is>
          <t>週F3 C 09 25500 C</t>
        </is>
      </c>
      <c r="D878" s="229" t="inlineStr">
        <is>
          <t>平倉</t>
        </is>
      </c>
      <c r="E878" s="257" t="inlineStr">
        <is>
          <t>賣</t>
        </is>
      </c>
      <c r="F878" s="229" t="inlineStr">
        <is>
          <t>-</t>
        </is>
      </c>
      <c r="G878" s="697" t="n">
        <v>1</v>
      </c>
      <c r="H878" s="698" t="n">
        <v>178</v>
      </c>
      <c r="I878" s="697" t="n">
        <v>8900</v>
      </c>
      <c r="J878" s="585" t="n">
        <v>18</v>
      </c>
      <c r="K878" s="585" t="n">
        <v>9</v>
      </c>
      <c r="L878" s="585">
        <f>IF(B878="TXO",I878-SUM(J878:K878),IF(B878="FITX",IF(D878="新倉",-SUM(J878:K878),IF(E878="賣",(H878-H1575)*G878*200-SUM(J878:K878),(H1575-H878)*G878*200-SUM(J878:K878))),IF(D878="新倉",-SUM(J878:K878),IF(E878="賣",(H878-H1575)*G878*50-SUM(J878:K878),(H1575-H878)*G878*50-SUM(J878:K878)))))</f>
        <v/>
      </c>
      <c r="M878" s="699">
        <f>L878</f>
        <v/>
      </c>
      <c r="N878" s="686">
        <f>M878</f>
        <v/>
      </c>
      <c r="O878" s="249" t="inlineStr">
        <is>
          <t>平倉</t>
        </is>
      </c>
      <c r="P878" s="249" t="inlineStr">
        <is>
          <t>元大期貨</t>
        </is>
      </c>
    </row>
    <row r="879" hidden="1" outlineLevel="1">
      <c r="A879" s="696" t="n">
        <v>45918</v>
      </c>
      <c r="B879" s="234" t="inlineStr">
        <is>
          <t>TXO</t>
        </is>
      </c>
      <c r="C879" s="229" t="inlineStr">
        <is>
          <t>週F3 P 09 25400 P</t>
        </is>
      </c>
      <c r="D879" s="229" t="inlineStr">
        <is>
          <t>新倉</t>
        </is>
      </c>
      <c r="E879" s="257" t="inlineStr">
        <is>
          <t>買</t>
        </is>
      </c>
      <c r="F879" s="229" t="inlineStr">
        <is>
          <t>-</t>
        </is>
      </c>
      <c r="G879" s="697" t="n">
        <v>1</v>
      </c>
      <c r="H879" s="698" t="n">
        <v>111</v>
      </c>
      <c r="I879" s="697" t="n">
        <v>-5550</v>
      </c>
      <c r="J879" s="585" t="n">
        <v>18</v>
      </c>
      <c r="K879" s="585" t="n">
        <v>6</v>
      </c>
      <c r="L879" s="585">
        <f>IF(B879="TXO",I879-SUM(J879:K879),IF(B879="FITX",IF(D879="新倉",-SUM(J879:K879),IF(E879="賣",(H879-H1576)*G879*200-SUM(J879:K879),(H1576-H879)*G879*200-SUM(J879:K879))),IF(D879="新倉",-SUM(J879:K879),IF(E879="賣",(H879-H1576)*G879*50-SUM(J879:K879),(H1576-H879)*G879*50-SUM(J879:K879)))))</f>
        <v/>
      </c>
      <c r="M879" s="699">
        <f>L879</f>
        <v/>
      </c>
      <c r="N879" s="686">
        <f>M879</f>
        <v/>
      </c>
      <c r="O879" s="249" t="inlineStr">
        <is>
          <t>新倉</t>
        </is>
      </c>
      <c r="P879" s="249" t="inlineStr">
        <is>
          <t>元大期貨</t>
        </is>
      </c>
    </row>
    <row r="880" hidden="1" outlineLevel="1">
      <c r="A880" s="696" t="n">
        <v>45918</v>
      </c>
      <c r="B880" s="234" t="inlineStr">
        <is>
          <t>TXO</t>
        </is>
      </c>
      <c r="C880" s="229" t="inlineStr">
        <is>
          <t>週F3 P 09 25400 P</t>
        </is>
      </c>
      <c r="D880" s="229" t="inlineStr">
        <is>
          <t>平倉</t>
        </is>
      </c>
      <c r="E880" s="257" t="inlineStr">
        <is>
          <t>賣</t>
        </is>
      </c>
      <c r="F880" s="229" t="inlineStr">
        <is>
          <t>-</t>
        </is>
      </c>
      <c r="G880" s="697" t="n">
        <v>1</v>
      </c>
      <c r="H880" s="698" t="n">
        <v>114</v>
      </c>
      <c r="I880" s="697" t="n">
        <v>5700</v>
      </c>
      <c r="J880" s="585" t="n">
        <v>18</v>
      </c>
      <c r="K880" s="585" t="n">
        <v>6</v>
      </c>
      <c r="L880" s="585">
        <f>IF(B880="TXO",I880-SUM(J880:K880),IF(B880="FITX",IF(D880="新倉",-SUM(J880:K880),IF(E880="賣",(H880-H1577)*G880*200-SUM(J880:K880),(H1577-H880)*G880*200-SUM(J880:K880))),IF(D880="新倉",-SUM(J880:K880),IF(E880="賣",(H880-H1577)*G880*50-SUM(J880:K880),(H1577-H880)*G880*50-SUM(J880:K880)))))</f>
        <v/>
      </c>
      <c r="M880" s="699">
        <f>L880</f>
        <v/>
      </c>
      <c r="N880" s="686">
        <f>M880</f>
        <v/>
      </c>
      <c r="O880" s="249" t="inlineStr">
        <is>
          <t>平倉</t>
        </is>
      </c>
      <c r="P880" s="249" t="inlineStr">
        <is>
          <t>元大期貨</t>
        </is>
      </c>
    </row>
    <row r="881" hidden="1" outlineLevel="1">
      <c r="A881" s="696" t="n">
        <v>45923</v>
      </c>
      <c r="B881" s="234" t="inlineStr">
        <is>
          <t>TXO</t>
        </is>
      </c>
      <c r="C881" s="229" t="inlineStr">
        <is>
          <t>TXOW4 09 26250 C</t>
        </is>
      </c>
      <c r="D881" s="229" t="inlineStr">
        <is>
          <t>新倉</t>
        </is>
      </c>
      <c r="E881" s="257" t="inlineStr">
        <is>
          <t>買</t>
        </is>
      </c>
      <c r="F881" s="229" t="inlineStr">
        <is>
          <t>-</t>
        </is>
      </c>
      <c r="G881" s="697" t="n">
        <v>10</v>
      </c>
      <c r="H881" s="698" t="n">
        <v>12</v>
      </c>
      <c r="I881" s="697" t="n">
        <v>-6000</v>
      </c>
      <c r="J881" s="585" t="n">
        <v>180</v>
      </c>
      <c r="K881" s="585" t="n">
        <v>10</v>
      </c>
      <c r="L881" s="585">
        <f>IF(B881="TXO",I881-SUM(J881:K881),IF(B881="FITX",IF(D881="新倉",-SUM(J881:K881),IF(E881="賣",(H881-H1578)*G881*200-SUM(J881:K881),(H1578-H881)*G881*200-SUM(J881:K881))),IF(D881="新倉",-SUM(J881:K881),IF(E881="賣",(H881-H1578)*G881*50-SUM(J881:K881),(H1578-H881)*G881*50-SUM(J881:K881)))))</f>
        <v/>
      </c>
      <c r="M881" s="699">
        <f>L881</f>
        <v/>
      </c>
      <c r="N881" s="686">
        <f>M881</f>
        <v/>
      </c>
      <c r="O881" s="249" t="inlineStr">
        <is>
          <t>新倉</t>
        </is>
      </c>
      <c r="P881" s="249" t="inlineStr">
        <is>
          <t>元大期貨</t>
        </is>
      </c>
    </row>
    <row r="882" hidden="1" outlineLevel="1">
      <c r="A882" s="696" t="n">
        <v>45923</v>
      </c>
      <c r="B882" s="234" t="inlineStr">
        <is>
          <t>TXO</t>
        </is>
      </c>
      <c r="C882" s="229" t="inlineStr">
        <is>
          <t>TXOW4 09 26250 C</t>
        </is>
      </c>
      <c r="D882" s="229" t="inlineStr">
        <is>
          <t>平倉</t>
        </is>
      </c>
      <c r="E882" s="257" t="inlineStr">
        <is>
          <t>賣</t>
        </is>
      </c>
      <c r="F882" s="229" t="inlineStr">
        <is>
          <t>-</t>
        </is>
      </c>
      <c r="G882" s="697" t="n">
        <v>7</v>
      </c>
      <c r="H882" s="698" t="n">
        <v>24</v>
      </c>
      <c r="I882" s="697" t="n">
        <v>8400</v>
      </c>
      <c r="J882" s="585" t="n">
        <v>126</v>
      </c>
      <c r="K882" s="585" t="n">
        <v>7</v>
      </c>
      <c r="L882" s="585">
        <f>IF(B882="TXO",I882-SUM(J882:K882),IF(B882="FITX",IF(D882="新倉",-SUM(J882:K882),IF(E882="賣",(H882-H1579)*G882*200-SUM(J882:K882),(H1579-H882)*G882*200-SUM(J882:K882))),IF(D882="新倉",-SUM(J882:K882),IF(E882="賣",(H882-H1579)*G882*50-SUM(J882:K882),(H1579-H882)*G882*50-SUM(J882:K882)))))</f>
        <v/>
      </c>
      <c r="M882" s="699">
        <f>L882</f>
        <v/>
      </c>
      <c r="N882" s="686">
        <f>M882</f>
        <v/>
      </c>
      <c r="O882" s="249" t="inlineStr">
        <is>
          <t>平倉</t>
        </is>
      </c>
      <c r="P882" s="249" t="inlineStr">
        <is>
          <t>元大期貨</t>
        </is>
      </c>
    </row>
    <row r="883" hidden="1" outlineLevel="1">
      <c r="A883" s="696" t="n">
        <v>45923</v>
      </c>
      <c r="B883" s="234" t="inlineStr">
        <is>
          <t>TXO</t>
        </is>
      </c>
      <c r="C883" s="229" t="inlineStr">
        <is>
          <t>TXOW4 09 26250 C</t>
        </is>
      </c>
      <c r="D883" s="229" t="inlineStr">
        <is>
          <t>平倉</t>
        </is>
      </c>
      <c r="E883" s="257" t="inlineStr">
        <is>
          <t>賣</t>
        </is>
      </c>
      <c r="F883" s="229" t="inlineStr">
        <is>
          <t>-</t>
        </is>
      </c>
      <c r="G883" s="697" t="n">
        <v>3</v>
      </c>
      <c r="H883" s="698" t="n">
        <v>27.5</v>
      </c>
      <c r="I883" s="697" t="n">
        <v>4125</v>
      </c>
      <c r="J883" s="585" t="n">
        <v>54</v>
      </c>
      <c r="K883" s="585" t="n">
        <v>3</v>
      </c>
      <c r="L883" s="585">
        <f>IF(B883="TXO",I883-SUM(J883:K883),IF(B883="FITX",IF(D883="新倉",-SUM(J883:K883),IF(E883="賣",(H883-H1580)*G883*200-SUM(J883:K883),(H1580-H883)*G883*200-SUM(J883:K883))),IF(D883="新倉",-SUM(J883:K883),IF(E883="賣",(H883-H1580)*G883*50-SUM(J883:K883),(H1580-H883)*G883*50-SUM(J883:K883)))))</f>
        <v/>
      </c>
      <c r="M883" s="699">
        <f>L883</f>
        <v/>
      </c>
      <c r="N883" s="686">
        <f>M883</f>
        <v/>
      </c>
      <c r="O883" s="249" t="inlineStr">
        <is>
          <t>平倉</t>
        </is>
      </c>
      <c r="P883" s="249" t="inlineStr">
        <is>
          <t>元大期貨</t>
        </is>
      </c>
    </row>
    <row r="884" hidden="1" outlineLevel="1">
      <c r="A884" s="696" t="n">
        <v>45923</v>
      </c>
      <c r="B884" s="234" t="inlineStr">
        <is>
          <t>TXO</t>
        </is>
      </c>
      <c r="C884" s="229" t="inlineStr">
        <is>
          <t>TXOW4 09 25850 P</t>
        </is>
      </c>
      <c r="D884" s="229" t="inlineStr">
        <is>
          <t>新倉</t>
        </is>
      </c>
      <c r="E884" s="257" t="inlineStr">
        <is>
          <t>買</t>
        </is>
      </c>
      <c r="F884" s="229" t="inlineStr">
        <is>
          <t>-</t>
        </is>
      </c>
      <c r="G884" s="697" t="n">
        <v>1</v>
      </c>
      <c r="H884" s="698" t="n">
        <v>80</v>
      </c>
      <c r="I884" s="697" t="n">
        <v>-4000</v>
      </c>
      <c r="J884" s="585" t="n">
        <v>18</v>
      </c>
      <c r="K884" s="585" t="n">
        <v>4</v>
      </c>
      <c r="L884" s="585">
        <f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/>
      </c>
      <c r="M884" s="699">
        <f>L884</f>
        <v/>
      </c>
      <c r="N884" s="686">
        <f>M884</f>
        <v/>
      </c>
      <c r="O884" s="249" t="inlineStr">
        <is>
          <t>新倉</t>
        </is>
      </c>
      <c r="P884" s="249" t="inlineStr">
        <is>
          <t>元大期貨</t>
        </is>
      </c>
    </row>
    <row r="885" hidden="1" outlineLevel="1">
      <c r="A885" s="696" t="n">
        <v>45923</v>
      </c>
      <c r="B885" s="234" t="inlineStr">
        <is>
          <t>TXO</t>
        </is>
      </c>
      <c r="C885" s="229" t="inlineStr">
        <is>
          <t>TXOW4 09 25850 P</t>
        </is>
      </c>
      <c r="D885" s="229" t="inlineStr">
        <is>
          <t>平倉</t>
        </is>
      </c>
      <c r="E885" s="257" t="inlineStr">
        <is>
          <t>賣</t>
        </is>
      </c>
      <c r="F885" s="229" t="inlineStr">
        <is>
          <t>-</t>
        </is>
      </c>
      <c r="G885" s="697" t="n">
        <v>1</v>
      </c>
      <c r="H885" s="698" t="n">
        <v>141</v>
      </c>
      <c r="I885" s="697" t="n">
        <v>7050</v>
      </c>
      <c r="J885" s="585" t="n">
        <v>18</v>
      </c>
      <c r="K885" s="585" t="n">
        <v>7</v>
      </c>
      <c r="L885" s="585">
        <f>IF(B885="TXO",I885-SUM(J885:K885),IF(B885="FITX",IF(D885="新倉",-SUM(J885:K885),IF(E885="賣",(H885-H1582)*G885*200-SUM(J885:K885),(H1582-H885)*G885*200-SUM(J885:K885))),IF(D885="新倉",-SUM(J885:K885),IF(E885="賣",(H885-H1582)*G885*50-SUM(J885:K885),(H1582-H885)*G885*50-SUM(J885:K885)))))</f>
        <v/>
      </c>
      <c r="M885" s="699">
        <f>L885</f>
        <v/>
      </c>
      <c r="N885" s="686">
        <f>M885</f>
        <v/>
      </c>
      <c r="O885" s="249" t="inlineStr">
        <is>
          <t>平倉</t>
        </is>
      </c>
      <c r="P885" s="249" t="inlineStr">
        <is>
          <t>元大期貨</t>
        </is>
      </c>
    </row>
    <row r="886" hidden="1" outlineLevel="1">
      <c r="A886" s="696" t="n">
        <v>45923</v>
      </c>
      <c r="B886" s="234" t="inlineStr">
        <is>
          <t>TXO</t>
        </is>
      </c>
      <c r="C886" s="229" t="inlineStr">
        <is>
          <t>TXOW4 09 25950 C</t>
        </is>
      </c>
      <c r="D886" s="229" t="inlineStr">
        <is>
          <t>新倉</t>
        </is>
      </c>
      <c r="E886" s="257" t="inlineStr">
        <is>
          <t>買</t>
        </is>
      </c>
      <c r="F886" s="229" t="inlineStr">
        <is>
          <t>-</t>
        </is>
      </c>
      <c r="G886" s="697" t="n">
        <v>3</v>
      </c>
      <c r="H886" s="698" t="n">
        <v>78</v>
      </c>
      <c r="I886" s="697" t="n">
        <v>-11700</v>
      </c>
      <c r="J886" s="585" t="n">
        <v>54</v>
      </c>
      <c r="K886" s="585" t="n">
        <v>12</v>
      </c>
      <c r="L886" s="585">
        <f>IF(B886="TXO",I886-SUM(J886:K886),IF(B886="FITX",IF(D886="新倉",-SUM(J886:K886),IF(E886="賣",(H886-H1583)*G886*200-SUM(J886:K886),(H1583-H886)*G886*200-SUM(J886:K886))),IF(D886="新倉",-SUM(J886:K886),IF(E886="賣",(H886-H1583)*G886*50-SUM(J886:K886),(H1583-H886)*G886*50-SUM(J886:K886)))))</f>
        <v/>
      </c>
      <c r="M886" s="699">
        <f>L886</f>
        <v/>
      </c>
      <c r="N886" s="686">
        <f>M886</f>
        <v/>
      </c>
      <c r="O886" s="249" t="inlineStr">
        <is>
          <t>新倉</t>
        </is>
      </c>
      <c r="P886" s="249" t="inlineStr">
        <is>
          <t>元大期貨</t>
        </is>
      </c>
    </row>
    <row r="887" hidden="1" outlineLevel="1">
      <c r="A887" s="696" t="n">
        <v>45923</v>
      </c>
      <c r="B887" s="234" t="inlineStr">
        <is>
          <t>TXO</t>
        </is>
      </c>
      <c r="C887" s="229" t="inlineStr">
        <is>
          <t>TXOW4 09 25950 C</t>
        </is>
      </c>
      <c r="D887" s="229" t="inlineStr">
        <is>
          <t>平倉</t>
        </is>
      </c>
      <c r="E887" s="257" t="inlineStr">
        <is>
          <t>賣</t>
        </is>
      </c>
      <c r="F887" s="229" t="inlineStr">
        <is>
          <t>-</t>
        </is>
      </c>
      <c r="G887" s="697" t="n">
        <v>3</v>
      </c>
      <c r="H887" s="698" t="n">
        <v>79</v>
      </c>
      <c r="I887" s="697" t="n">
        <v>11850</v>
      </c>
      <c r="J887" s="585" t="n">
        <v>54</v>
      </c>
      <c r="K887" s="585" t="n">
        <v>12</v>
      </c>
      <c r="L887" s="585">
        <f>IF(B887="TXO",I887-SUM(J887:K887),IF(B887="FITX",IF(D887="新倉",-SUM(J887:K887),IF(E887="賣",(H887-H1584)*G887*200-SUM(J887:K887),(H1584-H887)*G887*200-SUM(J887:K887))),IF(D887="新倉",-SUM(J887:K887),IF(E887="賣",(H887-H1584)*G887*50-SUM(J887:K887),(H1584-H887)*G887*50-SUM(J887:K887)))))</f>
        <v/>
      </c>
      <c r="M887" s="699">
        <f>L887</f>
        <v/>
      </c>
      <c r="N887" s="686">
        <f>M887</f>
        <v/>
      </c>
      <c r="O887" s="249" t="inlineStr">
        <is>
          <t>平倉</t>
        </is>
      </c>
      <c r="P887" s="249" t="inlineStr">
        <is>
          <t>元大期貨</t>
        </is>
      </c>
    </row>
    <row r="888" hidden="1" outlineLevel="1">
      <c r="A888" s="696" t="n">
        <v>45923</v>
      </c>
      <c r="B888" s="234" t="inlineStr">
        <is>
          <t>TXO</t>
        </is>
      </c>
      <c r="C888" s="229" t="inlineStr">
        <is>
          <t>TXOW4 09 25950 C</t>
        </is>
      </c>
      <c r="D888" s="229" t="inlineStr">
        <is>
          <t>新倉</t>
        </is>
      </c>
      <c r="E888" s="257" t="inlineStr">
        <is>
          <t>買</t>
        </is>
      </c>
      <c r="F888" s="229" t="inlineStr">
        <is>
          <t>-</t>
        </is>
      </c>
      <c r="G888" s="697" t="n">
        <v>3</v>
      </c>
      <c r="H888" s="698" t="n">
        <v>70</v>
      </c>
      <c r="I888" s="697" t="n">
        <v>-10500</v>
      </c>
      <c r="J888" s="585" t="n">
        <v>54</v>
      </c>
      <c r="K888" s="585" t="n">
        <v>12</v>
      </c>
      <c r="L888" s="585">
        <f>IF(B888="TXO",I888-SUM(J888:K888),IF(B888="FITX",IF(D888="新倉",-SUM(J888:K888),IF(E888="賣",(H888-H1585)*G888*200-SUM(J888:K888),(H1585-H888)*G888*200-SUM(J888:K888))),IF(D888="新倉",-SUM(J888:K888),IF(E888="賣",(H888-H1585)*G888*50-SUM(J888:K888),(H1585-H888)*G888*50-SUM(J888:K888)))))</f>
        <v/>
      </c>
      <c r="M888" s="699">
        <f>L888</f>
        <v/>
      </c>
      <c r="N888" s="686">
        <f>M888</f>
        <v/>
      </c>
      <c r="O888" s="249" t="inlineStr">
        <is>
          <t>新倉</t>
        </is>
      </c>
      <c r="P888" s="249" t="inlineStr">
        <is>
          <t>元大期貨</t>
        </is>
      </c>
    </row>
    <row r="889" hidden="1" outlineLevel="1">
      <c r="A889" s="696" t="n">
        <v>45923</v>
      </c>
      <c r="B889" s="234" t="inlineStr">
        <is>
          <t>TXO</t>
        </is>
      </c>
      <c r="C889" s="229" t="inlineStr">
        <is>
          <t>TXOW4 09 25950 C</t>
        </is>
      </c>
      <c r="D889" s="229" t="inlineStr">
        <is>
          <t>平倉</t>
        </is>
      </c>
      <c r="E889" s="257" t="inlineStr">
        <is>
          <t>賣</t>
        </is>
      </c>
      <c r="F889" s="229" t="inlineStr">
        <is>
          <t>-</t>
        </is>
      </c>
      <c r="G889" s="697" t="n">
        <v>3</v>
      </c>
      <c r="H889" s="698" t="n">
        <v>76</v>
      </c>
      <c r="I889" s="697" t="n">
        <v>11400</v>
      </c>
      <c r="J889" s="585" t="n">
        <v>54</v>
      </c>
      <c r="K889" s="585" t="n">
        <v>12</v>
      </c>
      <c r="L889" s="585">
        <f>IF(B889="TXO",I889-SUM(J889:K889),IF(B889="FITX",IF(D889="新倉",-SUM(J889:K889),IF(E889="賣",(H889-H1586)*G889*200-SUM(J889:K889),(H1586-H889)*G889*200-SUM(J889:K889))),IF(D889="新倉",-SUM(J889:K889),IF(E889="賣",(H889-H1586)*G889*50-SUM(J889:K889),(H1586-H889)*G889*50-SUM(J889:K889)))))</f>
        <v/>
      </c>
      <c r="M889" s="699">
        <f>L889</f>
        <v/>
      </c>
      <c r="N889" s="686">
        <f>M889</f>
        <v/>
      </c>
      <c r="O889" s="249" t="inlineStr">
        <is>
          <t>平倉</t>
        </is>
      </c>
      <c r="P889" s="249" t="inlineStr">
        <is>
          <t>元大期貨</t>
        </is>
      </c>
    </row>
    <row r="890" hidden="1" outlineLevel="1">
      <c r="A890" s="696" t="n">
        <v>45923</v>
      </c>
      <c r="B890" s="234" t="inlineStr">
        <is>
          <t>TXO</t>
        </is>
      </c>
      <c r="C890" s="229" t="inlineStr">
        <is>
          <t>TXOW4 09 25950 C</t>
        </is>
      </c>
      <c r="D890" s="229" t="inlineStr">
        <is>
          <t>新倉</t>
        </is>
      </c>
      <c r="E890" s="257" t="inlineStr">
        <is>
          <t>買</t>
        </is>
      </c>
      <c r="F890" s="229" t="inlineStr">
        <is>
          <t>-</t>
        </is>
      </c>
      <c r="G890" s="697" t="n">
        <v>1</v>
      </c>
      <c r="H890" s="698" t="n">
        <v>59</v>
      </c>
      <c r="I890" s="697" t="n">
        <v>-2950</v>
      </c>
      <c r="J890" s="585" t="n">
        <v>18</v>
      </c>
      <c r="K890" s="585" t="n">
        <v>3</v>
      </c>
      <c r="L890" s="585">
        <f>IF(B890="TXO",I890-SUM(J890:K890),IF(B890="FITX",IF(D890="新倉",-SUM(J890:K890),IF(E890="賣",(H890-H1587)*G890*200-SUM(J890:K890),(H1587-H890)*G890*200-SUM(J890:K890))),IF(D890="新倉",-SUM(J890:K890),IF(E890="賣",(H890-H1587)*G890*50-SUM(J890:K890),(H1587-H890)*G890*50-SUM(J890:K890)))))</f>
        <v/>
      </c>
      <c r="M890" s="699">
        <f>L890</f>
        <v/>
      </c>
      <c r="N890" s="686">
        <f>M890</f>
        <v/>
      </c>
      <c r="O890" s="249" t="inlineStr">
        <is>
          <t>新倉</t>
        </is>
      </c>
      <c r="P890" s="249" t="inlineStr">
        <is>
          <t>元大期貨</t>
        </is>
      </c>
    </row>
    <row r="891" hidden="1" outlineLevel="1">
      <c r="A891" s="696" t="n">
        <v>45923</v>
      </c>
      <c r="B891" s="234" t="inlineStr">
        <is>
          <t>TXO</t>
        </is>
      </c>
      <c r="C891" s="229" t="inlineStr">
        <is>
          <t>TXOW4 09 25950 C</t>
        </is>
      </c>
      <c r="D891" s="229" t="inlineStr">
        <is>
          <t>平倉</t>
        </is>
      </c>
      <c r="E891" s="257" t="inlineStr">
        <is>
          <t>賣</t>
        </is>
      </c>
      <c r="F891" s="229" t="inlineStr">
        <is>
          <t>-</t>
        </is>
      </c>
      <c r="G891" s="697" t="n">
        <v>1</v>
      </c>
      <c r="H891" s="698" t="n">
        <v>66</v>
      </c>
      <c r="I891" s="697" t="n">
        <v>3300</v>
      </c>
      <c r="J891" s="585" t="n">
        <v>18</v>
      </c>
      <c r="K891" s="585" t="n">
        <v>3</v>
      </c>
      <c r="L891" s="585">
        <f>IF(B891="TXO",I891-SUM(J891:K891),IF(B891="FITX",IF(D891="新倉",-SUM(J891:K891),IF(E891="賣",(H891-H1588)*G891*200-SUM(J891:K891),(H1588-H891)*G891*200-SUM(J891:K891))),IF(D891="新倉",-SUM(J891:K891),IF(E891="賣",(H891-H1588)*G891*50-SUM(J891:K891),(H1588-H891)*G891*50-SUM(J891:K891)))))</f>
        <v/>
      </c>
      <c r="M891" s="699">
        <f>L891</f>
        <v/>
      </c>
      <c r="N891" s="686">
        <f>M891</f>
        <v/>
      </c>
      <c r="O891" s="249" t="inlineStr">
        <is>
          <t>平倉</t>
        </is>
      </c>
      <c r="P891" s="249" t="inlineStr">
        <is>
          <t>元大期貨</t>
        </is>
      </c>
    </row>
    <row r="892" hidden="1" outlineLevel="1">
      <c r="A892" s="696" t="n">
        <v>45923</v>
      </c>
      <c r="B892" s="234" t="inlineStr">
        <is>
          <t>TXO</t>
        </is>
      </c>
      <c r="C892" s="229" t="inlineStr">
        <is>
          <t>TXOW4 09 26000 C</t>
        </is>
      </c>
      <c r="D892" s="229" t="inlineStr">
        <is>
          <t>新倉</t>
        </is>
      </c>
      <c r="E892" s="257" t="inlineStr">
        <is>
          <t>買</t>
        </is>
      </c>
      <c r="F892" s="229" t="inlineStr">
        <is>
          <t>-</t>
        </is>
      </c>
      <c r="G892" s="697" t="n">
        <v>3</v>
      </c>
      <c r="H892" s="698" t="n">
        <v>44.5</v>
      </c>
      <c r="I892" s="697" t="n">
        <v>-6675</v>
      </c>
      <c r="J892" s="585" t="n">
        <v>54</v>
      </c>
      <c r="K892" s="585" t="n">
        <v>6</v>
      </c>
      <c r="L892" s="585">
        <f>IF(B892="TXO",I892-SUM(J892:K892),IF(B892="FITX",IF(D892="新倉",-SUM(J892:K892),IF(E892="賣",(H892-H1589)*G892*200-SUM(J892:K892),(H1589-H892)*G892*200-SUM(J892:K892))),IF(D892="新倉",-SUM(J892:K892),IF(E892="賣",(H892-H1589)*G892*50-SUM(J892:K892),(H1589-H892)*G892*50-SUM(J892:K892)))))</f>
        <v/>
      </c>
      <c r="M892" s="699">
        <f>L892</f>
        <v/>
      </c>
      <c r="N892" s="686">
        <f>M892</f>
        <v/>
      </c>
      <c r="O892" s="249" t="inlineStr">
        <is>
          <t>新倉</t>
        </is>
      </c>
      <c r="P892" s="249" t="inlineStr">
        <is>
          <t>元大期貨</t>
        </is>
      </c>
    </row>
    <row r="893" hidden="1" outlineLevel="1">
      <c r="A893" s="696" t="n">
        <v>45923</v>
      </c>
      <c r="B893" s="234" t="inlineStr">
        <is>
          <t>TXO</t>
        </is>
      </c>
      <c r="C893" s="229" t="inlineStr">
        <is>
          <t>TXOW4 09 26000 C</t>
        </is>
      </c>
      <c r="D893" s="229" t="inlineStr">
        <is>
          <t>平倉</t>
        </is>
      </c>
      <c r="E893" s="257" t="inlineStr">
        <is>
          <t>賣</t>
        </is>
      </c>
      <c r="F893" s="229" t="inlineStr">
        <is>
          <t>-</t>
        </is>
      </c>
      <c r="G893" s="697" t="n">
        <v>2</v>
      </c>
      <c r="H893" s="698" t="n">
        <v>48</v>
      </c>
      <c r="I893" s="697" t="n">
        <v>4800</v>
      </c>
      <c r="J893" s="585" t="n">
        <v>36</v>
      </c>
      <c r="K893" s="585" t="n">
        <v>4</v>
      </c>
      <c r="L893" s="585">
        <f>IF(B893="TXO",I893-SUM(J893:K893),IF(B893="FITX",IF(D893="新倉",-SUM(J893:K893),IF(E893="賣",(H893-H1590)*G893*200-SUM(J893:K893),(H1590-H893)*G893*200-SUM(J893:K893))),IF(D893="新倉",-SUM(J893:K893),IF(E893="賣",(H893-H1590)*G893*50-SUM(J893:K893),(H1590-H893)*G893*50-SUM(J893:K893)))))</f>
        <v/>
      </c>
      <c r="M893" s="699">
        <f>L893</f>
        <v/>
      </c>
      <c r="N893" s="686">
        <f>M893</f>
        <v/>
      </c>
      <c r="O893" s="249" t="inlineStr">
        <is>
          <t>平倉</t>
        </is>
      </c>
      <c r="P893" s="249" t="inlineStr">
        <is>
          <t>元大期貨</t>
        </is>
      </c>
    </row>
    <row r="894" hidden="1" outlineLevel="1">
      <c r="A894" s="696" t="n">
        <v>45923</v>
      </c>
      <c r="B894" s="234" t="inlineStr">
        <is>
          <t>TXO</t>
        </is>
      </c>
      <c r="C894" s="229" t="inlineStr">
        <is>
          <t>TXOW4 09 26000 C</t>
        </is>
      </c>
      <c r="D894" s="229" t="inlineStr">
        <is>
          <t>平倉</t>
        </is>
      </c>
      <c r="E894" s="257" t="inlineStr">
        <is>
          <t>賣</t>
        </is>
      </c>
      <c r="F894" s="229" t="inlineStr">
        <is>
          <t>-</t>
        </is>
      </c>
      <c r="G894" s="697" t="n">
        <v>1</v>
      </c>
      <c r="H894" s="698" t="n">
        <v>37</v>
      </c>
      <c r="I894" s="697" t="n">
        <v>1850</v>
      </c>
      <c r="J894" s="585" t="n">
        <v>18</v>
      </c>
      <c r="K894" s="585" t="n">
        <v>2</v>
      </c>
      <c r="L894" s="585">
        <f>IF(B894="TXO",I894-SUM(J894:K894),IF(B894="FITX",IF(D894="新倉",-SUM(J894:K894),IF(E894="賣",(H894-H1591)*G894*200-SUM(J894:K894),(H1591-H894)*G894*200-SUM(J894:K894))),IF(D894="新倉",-SUM(J894:K894),IF(E894="賣",(H894-H1591)*G894*50-SUM(J894:K894),(H1591-H894)*G894*50-SUM(J894:K894)))))</f>
        <v/>
      </c>
      <c r="M894" s="699">
        <f>L894</f>
        <v/>
      </c>
      <c r="N894" s="686">
        <f>M894</f>
        <v/>
      </c>
      <c r="O894" s="249" t="inlineStr">
        <is>
          <t>平倉</t>
        </is>
      </c>
      <c r="P894" s="249" t="inlineStr">
        <is>
          <t>元大期貨</t>
        </is>
      </c>
    </row>
    <row r="895" hidden="1" outlineLevel="1">
      <c r="A895" s="696" t="n">
        <v>45923</v>
      </c>
      <c r="B895" s="234" t="inlineStr">
        <is>
          <t>TXO</t>
        </is>
      </c>
      <c r="C895" s="229" t="inlineStr">
        <is>
          <t>TXOW4 09 25850 P</t>
        </is>
      </c>
      <c r="D895" s="229" t="inlineStr">
        <is>
          <t>新倉</t>
        </is>
      </c>
      <c r="E895" s="257" t="inlineStr">
        <is>
          <t>買</t>
        </is>
      </c>
      <c r="F895" s="229" t="inlineStr">
        <is>
          <t>-</t>
        </is>
      </c>
      <c r="G895" s="697" t="n">
        <v>1</v>
      </c>
      <c r="H895" s="698" t="n">
        <v>106</v>
      </c>
      <c r="I895" s="697" t="n">
        <v>-5300</v>
      </c>
      <c r="J895" s="585" t="n">
        <v>18</v>
      </c>
      <c r="K895" s="585" t="n">
        <v>5</v>
      </c>
      <c r="L895" s="585">
        <f>IF(B895="TXO",I895-SUM(J895:K895),IF(B895="FITX",IF(D895="新倉",-SUM(J895:K895),IF(E895="賣",(H895-H1592)*G895*200-SUM(J895:K895),(H1592-H895)*G895*200-SUM(J895:K895))),IF(D895="新倉",-SUM(J895:K895),IF(E895="賣",(H895-H1592)*G895*50-SUM(J895:K895),(H1592-H895)*G895*50-SUM(J895:K895)))))</f>
        <v/>
      </c>
      <c r="M895" s="699">
        <f>L895</f>
        <v/>
      </c>
      <c r="N895" s="686">
        <f>M895</f>
        <v/>
      </c>
      <c r="O895" s="249" t="inlineStr">
        <is>
          <t>新倉</t>
        </is>
      </c>
      <c r="P895" s="249" t="inlineStr">
        <is>
          <t>元大期貨</t>
        </is>
      </c>
    </row>
    <row r="896" hidden="1" outlineLevel="1">
      <c r="A896" s="696" t="n">
        <v>45923</v>
      </c>
      <c r="B896" s="234" t="inlineStr">
        <is>
          <t>TXO</t>
        </is>
      </c>
      <c r="C896" s="229" t="inlineStr">
        <is>
          <t>TXOW4 09 25850 P</t>
        </is>
      </c>
      <c r="D896" s="229" t="inlineStr">
        <is>
          <t>新倉</t>
        </is>
      </c>
      <c r="E896" s="257" t="inlineStr">
        <is>
          <t>買</t>
        </is>
      </c>
      <c r="F896" s="229" t="inlineStr">
        <is>
          <t>-</t>
        </is>
      </c>
      <c r="G896" s="697" t="n">
        <v>1</v>
      </c>
      <c r="H896" s="698" t="n">
        <v>108</v>
      </c>
      <c r="I896" s="697" t="n">
        <v>-5400</v>
      </c>
      <c r="J896" s="585" t="n">
        <v>18</v>
      </c>
      <c r="K896" s="585" t="n">
        <v>5</v>
      </c>
      <c r="L896" s="585">
        <f>IF(B896="TXO",I896-SUM(J896:K896),IF(B896="FITX",IF(D896="新倉",-SUM(J896:K896),IF(E896="賣",(H896-H1593)*G896*200-SUM(J896:K896),(H1593-H896)*G896*200-SUM(J896:K896))),IF(D896="新倉",-SUM(J896:K896),IF(E896="賣",(H896-H1593)*G896*50-SUM(J896:K896),(H1593-H896)*G896*50-SUM(J896:K896)))))</f>
        <v/>
      </c>
      <c r="M896" s="699">
        <f>L896</f>
        <v/>
      </c>
      <c r="N896" s="686">
        <f>M896</f>
        <v/>
      </c>
      <c r="O896" s="249" t="inlineStr">
        <is>
          <t>新倉</t>
        </is>
      </c>
      <c r="P896" s="249" t="inlineStr">
        <is>
          <t>元大期貨</t>
        </is>
      </c>
    </row>
    <row r="897" hidden="1" outlineLevel="1">
      <c r="A897" s="696" t="n">
        <v>45923</v>
      </c>
      <c r="B897" s="234" t="inlineStr">
        <is>
          <t>TXO</t>
        </is>
      </c>
      <c r="C897" s="229" t="inlineStr">
        <is>
          <t>TXOW4 09 25850 P</t>
        </is>
      </c>
      <c r="D897" s="229" t="inlineStr">
        <is>
          <t>新倉</t>
        </is>
      </c>
      <c r="E897" s="257" t="inlineStr">
        <is>
          <t>買</t>
        </is>
      </c>
      <c r="F897" s="229" t="inlineStr">
        <is>
          <t>-</t>
        </is>
      </c>
      <c r="G897" s="697" t="n">
        <v>1</v>
      </c>
      <c r="H897" s="698" t="n">
        <v>110</v>
      </c>
      <c r="I897" s="697" t="n">
        <v>-5500</v>
      </c>
      <c r="J897" s="585" t="n">
        <v>18</v>
      </c>
      <c r="K897" s="585" t="n">
        <v>6</v>
      </c>
      <c r="L897" s="585">
        <f>IF(B897="TXO",I897-SUM(J897:K897),IF(B897="FITX",IF(D897="新倉",-SUM(J897:K897),IF(E897="賣",(H897-H1594)*G897*200-SUM(J897:K897),(H1594-H897)*G897*200-SUM(J897:K897))),IF(D897="新倉",-SUM(J897:K897),IF(E897="賣",(H897-H1594)*G897*50-SUM(J897:K897),(H1594-H897)*G897*50-SUM(J897:K897)))))</f>
        <v/>
      </c>
      <c r="M897" s="699">
        <f>L897</f>
        <v/>
      </c>
      <c r="N897" s="686">
        <f>M897</f>
        <v/>
      </c>
      <c r="O897" s="249" t="inlineStr">
        <is>
          <t>新倉</t>
        </is>
      </c>
      <c r="P897" s="249" t="inlineStr">
        <is>
          <t>元大期貨</t>
        </is>
      </c>
    </row>
    <row r="898" hidden="1" outlineLevel="1">
      <c r="A898" s="696" t="n">
        <v>45923</v>
      </c>
      <c r="B898" s="234" t="inlineStr">
        <is>
          <t>TXO</t>
        </is>
      </c>
      <c r="C898" s="229" t="inlineStr">
        <is>
          <t>TXOW4 09 25850 P</t>
        </is>
      </c>
      <c r="D898" s="229" t="inlineStr">
        <is>
          <t>新倉</t>
        </is>
      </c>
      <c r="E898" s="257" t="inlineStr">
        <is>
          <t>買</t>
        </is>
      </c>
      <c r="F898" s="229" t="inlineStr">
        <is>
          <t>-</t>
        </is>
      </c>
      <c r="G898" s="697" t="n">
        <v>1</v>
      </c>
      <c r="H898" s="698" t="n">
        <v>112</v>
      </c>
      <c r="I898" s="697" t="n">
        <v>-5600</v>
      </c>
      <c r="J898" s="585" t="n">
        <v>18</v>
      </c>
      <c r="K898" s="585" t="n">
        <v>6</v>
      </c>
      <c r="L898" s="585">
        <f>IF(B898="TXO",I898-SUM(J898:K898),IF(B898="FITX",IF(D898="新倉",-SUM(J898:K898),IF(E898="賣",(H898-H1595)*G898*200-SUM(J898:K898),(H1595-H898)*G898*200-SUM(J898:K898))),IF(D898="新倉",-SUM(J898:K898),IF(E898="賣",(H898-H1595)*G898*50-SUM(J898:K898),(H1595-H898)*G898*50-SUM(J898:K898)))))</f>
        <v/>
      </c>
      <c r="M898" s="699">
        <f>L898</f>
        <v/>
      </c>
      <c r="N898" s="686">
        <f>M898</f>
        <v/>
      </c>
      <c r="O898" s="249" t="inlineStr">
        <is>
          <t>新倉</t>
        </is>
      </c>
      <c r="P898" s="249" t="inlineStr">
        <is>
          <t>元大期貨</t>
        </is>
      </c>
    </row>
    <row r="899" hidden="1" outlineLevel="1">
      <c r="A899" s="696" t="n">
        <v>45923</v>
      </c>
      <c r="B899" s="234" t="inlineStr">
        <is>
          <t>TXO</t>
        </is>
      </c>
      <c r="C899" s="229" t="inlineStr">
        <is>
          <t>TXOW4 09 25850 P</t>
        </is>
      </c>
      <c r="D899" s="229" t="inlineStr">
        <is>
          <t>新倉</t>
        </is>
      </c>
      <c r="E899" s="257" t="inlineStr">
        <is>
          <t>買</t>
        </is>
      </c>
      <c r="F899" s="229" t="inlineStr">
        <is>
          <t>-</t>
        </is>
      </c>
      <c r="G899" s="697" t="n">
        <v>1</v>
      </c>
      <c r="H899" s="698" t="n">
        <v>126</v>
      </c>
      <c r="I899" s="697" t="n">
        <v>-6300</v>
      </c>
      <c r="J899" s="585" t="n">
        <v>18</v>
      </c>
      <c r="K899" s="585" t="n">
        <v>6</v>
      </c>
      <c r="L899" s="585">
        <f>IF(B899="TXO",I899-SUM(J899:K899),IF(B899="FITX",IF(D899="新倉",-SUM(J899:K899),IF(E899="賣",(H899-H1596)*G899*200-SUM(J899:K899),(H1596-H899)*G899*200-SUM(J899:K899))),IF(D899="新倉",-SUM(J899:K899),IF(E899="賣",(H899-H1596)*G899*50-SUM(J899:K899),(H1596-H899)*G899*50-SUM(J899:K899)))))</f>
        <v/>
      </c>
      <c r="M899" s="699">
        <f>L899</f>
        <v/>
      </c>
      <c r="N899" s="686">
        <f>M899</f>
        <v/>
      </c>
      <c r="O899" s="249" t="inlineStr">
        <is>
          <t>新倉</t>
        </is>
      </c>
      <c r="P899" s="249" t="inlineStr">
        <is>
          <t>元大期貨</t>
        </is>
      </c>
    </row>
    <row r="900" hidden="1" outlineLevel="1">
      <c r="A900" s="696" t="n">
        <v>45923</v>
      </c>
      <c r="B900" s="234" t="inlineStr">
        <is>
          <t>TXO</t>
        </is>
      </c>
      <c r="C900" s="229" t="inlineStr">
        <is>
          <t>TXOW4 09 25850 P</t>
        </is>
      </c>
      <c r="D900" s="229" t="inlineStr">
        <is>
          <t>新倉</t>
        </is>
      </c>
      <c r="E900" s="257" t="inlineStr">
        <is>
          <t>買</t>
        </is>
      </c>
      <c r="F900" s="229" t="inlineStr">
        <is>
          <t>-</t>
        </is>
      </c>
      <c r="G900" s="697" t="n">
        <v>1</v>
      </c>
      <c r="H900" s="698" t="n">
        <v>131</v>
      </c>
      <c r="I900" s="697" t="n">
        <v>-6550</v>
      </c>
      <c r="J900" s="585" t="n">
        <v>18</v>
      </c>
      <c r="K900" s="585" t="n">
        <v>7</v>
      </c>
      <c r="L900" s="585">
        <f>IF(B900="TXO",I900-SUM(J900:K900),IF(B900="FITX",IF(D900="新倉",-SUM(J900:K900),IF(E900="賣",(H900-H1597)*G900*200-SUM(J900:K900),(H1597-H900)*G900*200-SUM(J900:K900))),IF(D900="新倉",-SUM(J900:K900),IF(E900="賣",(H900-H1597)*G900*50-SUM(J900:K900),(H1597-H900)*G900*50-SUM(J900:K900)))))</f>
        <v/>
      </c>
      <c r="M900" s="699">
        <f>L900</f>
        <v/>
      </c>
      <c r="N900" s="686">
        <f>M900</f>
        <v/>
      </c>
      <c r="O900" s="249" t="inlineStr">
        <is>
          <t>新倉</t>
        </is>
      </c>
      <c r="P900" s="249" t="inlineStr">
        <is>
          <t>元大期貨</t>
        </is>
      </c>
    </row>
    <row r="901" hidden="1" outlineLevel="1">
      <c r="A901" s="696" t="n">
        <v>45923</v>
      </c>
      <c r="B901" s="234" t="inlineStr">
        <is>
          <t>TXO</t>
        </is>
      </c>
      <c r="C901" s="229" t="inlineStr">
        <is>
          <t>TXOW4 09 25850 P</t>
        </is>
      </c>
      <c r="D901" s="229" t="inlineStr">
        <is>
          <t>新倉</t>
        </is>
      </c>
      <c r="E901" s="257" t="inlineStr">
        <is>
          <t>買</t>
        </is>
      </c>
      <c r="F901" s="229" t="inlineStr">
        <is>
          <t>-</t>
        </is>
      </c>
      <c r="G901" s="697" t="n">
        <v>1</v>
      </c>
      <c r="H901" s="698" t="n">
        <v>125</v>
      </c>
      <c r="I901" s="697" t="n">
        <v>-6250</v>
      </c>
      <c r="J901" s="585" t="n">
        <v>18</v>
      </c>
      <c r="K901" s="585" t="n">
        <v>6</v>
      </c>
      <c r="L901" s="585">
        <f>IF(B901="TXO",I901-SUM(J901:K901),IF(B901="FITX",IF(D901="新倉",-SUM(J901:K901),IF(E901="賣",(H901-H1598)*G901*200-SUM(J901:K901),(H1598-H901)*G901*200-SUM(J901:K901))),IF(D901="新倉",-SUM(J901:K901),IF(E901="賣",(H901-H1598)*G901*50-SUM(J901:K901),(H1598-H901)*G901*50-SUM(J901:K901)))))</f>
        <v/>
      </c>
      <c r="M901" s="699">
        <f>L901</f>
        <v/>
      </c>
      <c r="N901" s="686">
        <f>M901</f>
        <v/>
      </c>
      <c r="O901" s="249" t="inlineStr">
        <is>
          <t>新倉</t>
        </is>
      </c>
      <c r="P901" s="249" t="inlineStr">
        <is>
          <t>元大期貨</t>
        </is>
      </c>
    </row>
    <row r="902" hidden="1" outlineLevel="1">
      <c r="A902" s="696" t="n">
        <v>45923</v>
      </c>
      <c r="B902" s="234" t="inlineStr">
        <is>
          <t>TXO</t>
        </is>
      </c>
      <c r="C902" s="229" t="inlineStr">
        <is>
          <t>TXOW4 09 25850 P</t>
        </is>
      </c>
      <c r="D902" s="229" t="inlineStr">
        <is>
          <t>平倉</t>
        </is>
      </c>
      <c r="E902" s="257" t="inlineStr">
        <is>
          <t>賣</t>
        </is>
      </c>
      <c r="F902" s="229" t="inlineStr">
        <is>
          <t>-</t>
        </is>
      </c>
      <c r="G902" s="697" t="n">
        <v>7</v>
      </c>
      <c r="H902" s="698" t="n">
        <v>30.5</v>
      </c>
      <c r="I902" s="697" t="n">
        <v>10675</v>
      </c>
      <c r="J902" s="585" t="n">
        <v>126</v>
      </c>
      <c r="K902" s="585" t="n">
        <v>14</v>
      </c>
      <c r="L902" s="585">
        <f>IF(B902="TXO",I902-SUM(J902:K902),IF(B902="FITX",IF(D902="新倉",-SUM(J902:K902),IF(E902="賣",(H902-H1599)*G902*200-SUM(J902:K902),(H1599-H902)*G902*200-SUM(J902:K902))),IF(D902="新倉",-SUM(J902:K902),IF(E902="賣",(H902-H1599)*G902*50-SUM(J902:K902),(H1599-H902)*G902*50-SUM(J902:K902)))))</f>
        <v/>
      </c>
      <c r="M902" s="699">
        <f>L902</f>
        <v/>
      </c>
      <c r="N902" s="686">
        <f>M902</f>
        <v/>
      </c>
      <c r="O902" s="249" t="inlineStr">
        <is>
          <t>平倉</t>
        </is>
      </c>
      <c r="P902" s="249" t="inlineStr">
        <is>
          <t>元大期貨</t>
        </is>
      </c>
    </row>
    <row r="903" hidden="1" outlineLevel="1">
      <c r="A903" s="696" t="n">
        <v>45923</v>
      </c>
      <c r="B903" s="234" t="inlineStr">
        <is>
          <t>TXO</t>
        </is>
      </c>
      <c r="C903" s="229" t="inlineStr">
        <is>
          <t>TXOW4 09 26500 C</t>
        </is>
      </c>
      <c r="D903" s="229" t="inlineStr">
        <is>
          <t>新倉</t>
        </is>
      </c>
      <c r="E903" s="257" t="inlineStr">
        <is>
          <t>買</t>
        </is>
      </c>
      <c r="F903" s="229" t="inlineStr">
        <is>
          <t>-</t>
        </is>
      </c>
      <c r="G903" s="697" t="n">
        <v>10</v>
      </c>
      <c r="H903" s="698" t="n">
        <v>9</v>
      </c>
      <c r="I903" s="697" t="n">
        <v>-4500</v>
      </c>
      <c r="J903" s="585" t="n">
        <v>180</v>
      </c>
      <c r="K903" s="585" t="n">
        <v>0</v>
      </c>
      <c r="L903" s="585">
        <f>IF(B903="TXO",I903-SUM(J903:K903),IF(B903="FITX",IF(D903="新倉",-SUM(J903:K903),IF(E903="賣",(H903-H1600)*G903*200-SUM(J903:K903),(H1600-H903)*G903*200-SUM(J903:K903))),IF(D903="新倉",-SUM(J903:K903),IF(E903="賣",(H903-H1600)*G903*50-SUM(J903:K903),(H1600-H903)*G903*50-SUM(J903:K903)))))</f>
        <v/>
      </c>
      <c r="M903" s="699">
        <f>L903</f>
        <v/>
      </c>
      <c r="N903" s="686">
        <f>M903</f>
        <v/>
      </c>
      <c r="O903" s="249" t="inlineStr">
        <is>
          <t>新倉</t>
        </is>
      </c>
      <c r="P903" s="249" t="inlineStr">
        <is>
          <t>元大期貨</t>
        </is>
      </c>
    </row>
    <row r="904" hidden="1" outlineLevel="1">
      <c r="A904" s="696" t="n">
        <v>45923</v>
      </c>
      <c r="B904" s="234" t="inlineStr">
        <is>
          <t>TXO</t>
        </is>
      </c>
      <c r="C904" s="229" t="inlineStr">
        <is>
          <t>TXOW4 09 26500 C</t>
        </is>
      </c>
      <c r="D904" s="229" t="inlineStr">
        <is>
          <t>平倉</t>
        </is>
      </c>
      <c r="E904" s="257" t="inlineStr">
        <is>
          <t>賣</t>
        </is>
      </c>
      <c r="F904" s="229" t="inlineStr">
        <is>
          <t>-</t>
        </is>
      </c>
      <c r="G904" s="697" t="n">
        <v>8</v>
      </c>
      <c r="H904" s="698" t="n">
        <v>18</v>
      </c>
      <c r="I904" s="697" t="n">
        <v>7200</v>
      </c>
      <c r="J904" s="585" t="n">
        <v>144</v>
      </c>
      <c r="K904" s="585" t="n">
        <v>8</v>
      </c>
      <c r="L904" s="585">
        <f>IF(B904="TXO",I904-SUM(J904:K904),IF(B904="FITX",IF(D904="新倉",-SUM(J904:K904),IF(E904="賣",(H904-H1601)*G904*200-SUM(J904:K904),(H1601-H904)*G904*200-SUM(J904:K904))),IF(D904="新倉",-SUM(J904:K904),IF(E904="賣",(H904-H1601)*G904*50-SUM(J904:K904),(H1601-H904)*G904*50-SUM(J904:K904)))))</f>
        <v/>
      </c>
      <c r="M904" s="699">
        <f>L904</f>
        <v/>
      </c>
      <c r="N904" s="686">
        <f>M904</f>
        <v/>
      </c>
      <c r="O904" s="249" t="inlineStr">
        <is>
          <t>平倉</t>
        </is>
      </c>
      <c r="P904" s="249" t="inlineStr">
        <is>
          <t>元大期貨</t>
        </is>
      </c>
    </row>
    <row r="905" hidden="1" outlineLevel="1">
      <c r="A905" s="696" t="n">
        <v>45924</v>
      </c>
      <c r="B905" s="234" t="inlineStr">
        <is>
          <t>TXO</t>
        </is>
      </c>
      <c r="C905" s="229" t="inlineStr">
        <is>
          <t>TXOW4 09 26500 C</t>
        </is>
      </c>
      <c r="D905" s="229" t="inlineStr">
        <is>
          <t>平倉</t>
        </is>
      </c>
      <c r="E905" s="257" t="inlineStr">
        <is>
          <t>賣</t>
        </is>
      </c>
      <c r="F905" s="229" t="inlineStr">
        <is>
          <t>-</t>
        </is>
      </c>
      <c r="G905" s="697" t="n">
        <v>2</v>
      </c>
      <c r="H905" s="698" t="n">
        <v>23</v>
      </c>
      <c r="I905" s="697" t="n">
        <v>2300</v>
      </c>
      <c r="J905" s="585" t="n">
        <v>36</v>
      </c>
      <c r="K905" s="585" t="n">
        <v>2</v>
      </c>
      <c r="L905" s="585">
        <f>IF(B905="TXO",I905-SUM(J905:K905),IF(B905="FITX",IF(D905="新倉",-SUM(J905:K905),IF(E905="賣",(H905-H1602)*G905*200-SUM(J905:K905),(H1602-H905)*G905*200-SUM(J905:K905))),IF(D905="新倉",-SUM(J905:K905),IF(E905="賣",(H905-H1602)*G905*50-SUM(J905:K905),(H1602-H905)*G905*50-SUM(J905:K905)))))</f>
        <v/>
      </c>
      <c r="M905" s="699">
        <f>L905</f>
        <v/>
      </c>
      <c r="N905" s="686">
        <f>M905</f>
        <v/>
      </c>
      <c r="O905" s="249" t="inlineStr">
        <is>
          <t>平倉</t>
        </is>
      </c>
      <c r="P905" s="249" t="inlineStr">
        <is>
          <t>元大期貨</t>
        </is>
      </c>
    </row>
    <row r="906" hidden="1" outlineLevel="1">
      <c r="A906" s="696" t="n">
        <v>45923</v>
      </c>
      <c r="B906" s="234" t="inlineStr">
        <is>
          <t>TXO</t>
        </is>
      </c>
      <c r="C906" s="229" t="inlineStr">
        <is>
          <t>TXOW4 09 26350 C</t>
        </is>
      </c>
      <c r="D906" s="229" t="inlineStr">
        <is>
          <t>新倉</t>
        </is>
      </c>
      <c r="E906" s="257" t="inlineStr">
        <is>
          <t>買</t>
        </is>
      </c>
      <c r="F906" s="229" t="inlineStr">
        <is>
          <t>-</t>
        </is>
      </c>
      <c r="G906" s="697" t="n">
        <v>5</v>
      </c>
      <c r="H906" s="698" t="n">
        <v>13.5</v>
      </c>
      <c r="I906" s="697" t="n">
        <v>-3375</v>
      </c>
      <c r="J906" s="585" t="n">
        <v>90</v>
      </c>
      <c r="K906" s="585" t="n">
        <v>5</v>
      </c>
      <c r="L906" s="585">
        <f>IF(B906="TXO",I906-SUM(J906:K906),IF(B906="FITX",IF(D906="新倉",-SUM(J906:K906),IF(E906="賣",(H906-H1603)*G906*200-SUM(J906:K906),(H1603-H906)*G906*200-SUM(J906:K906))),IF(D906="新倉",-SUM(J906:K906),IF(E906="賣",(H906-H1603)*G906*50-SUM(J906:K906),(H1603-H906)*G906*50-SUM(J906:K906)))))</f>
        <v/>
      </c>
      <c r="M906" s="699">
        <f>L906</f>
        <v/>
      </c>
      <c r="N906" s="686">
        <f>M906</f>
        <v/>
      </c>
      <c r="O906" s="249" t="inlineStr">
        <is>
          <t>新倉</t>
        </is>
      </c>
      <c r="P906" s="249" t="inlineStr">
        <is>
          <t>元大期貨</t>
        </is>
      </c>
    </row>
    <row r="907" hidden="1" outlineLevel="1">
      <c r="A907" s="696" t="n">
        <v>45923</v>
      </c>
      <c r="B907" s="234" t="inlineStr">
        <is>
          <t>TXO</t>
        </is>
      </c>
      <c r="C907" s="229" t="inlineStr">
        <is>
          <t>TXOW4 09 26350 C</t>
        </is>
      </c>
      <c r="D907" s="229" t="inlineStr">
        <is>
          <t>平倉</t>
        </is>
      </c>
      <c r="E907" s="257" t="inlineStr">
        <is>
          <t>賣</t>
        </is>
      </c>
      <c r="F907" s="229" t="inlineStr">
        <is>
          <t>-</t>
        </is>
      </c>
      <c r="G907" s="697" t="n">
        <v>2</v>
      </c>
      <c r="H907" s="698" t="n">
        <v>40</v>
      </c>
      <c r="I907" s="697" t="n">
        <v>4000</v>
      </c>
      <c r="J907" s="585" t="n">
        <v>36</v>
      </c>
      <c r="K907" s="585" t="n">
        <v>4</v>
      </c>
      <c r="L907" s="585">
        <f>IF(B907="TXO",I907-SUM(J907:K907),IF(B907="FITX",IF(D907="新倉",-SUM(J907:K907),IF(E907="賣",(H907-H1604)*G907*200-SUM(J907:K907),(H1604-H907)*G907*200-SUM(J907:K907))),IF(D907="新倉",-SUM(J907:K907),IF(E907="賣",(H907-H1604)*G907*50-SUM(J907:K907),(H1604-H907)*G907*50-SUM(J907:K907)))))</f>
        <v/>
      </c>
      <c r="M907" s="699">
        <f>L907</f>
        <v/>
      </c>
      <c r="N907" s="686">
        <f>M907</f>
        <v/>
      </c>
      <c r="O907" s="249" t="inlineStr">
        <is>
          <t>平倉</t>
        </is>
      </c>
      <c r="P907" s="249" t="inlineStr">
        <is>
          <t>元大期貨</t>
        </is>
      </c>
    </row>
    <row r="908" hidden="1" outlineLevel="1">
      <c r="A908" s="696" t="n">
        <v>45923</v>
      </c>
      <c r="B908" s="234" t="inlineStr">
        <is>
          <t>TXO</t>
        </is>
      </c>
      <c r="C908" s="229" t="inlineStr">
        <is>
          <t>TXOW4 09 26350 C</t>
        </is>
      </c>
      <c r="D908" s="229" t="inlineStr">
        <is>
          <t>平倉</t>
        </is>
      </c>
      <c r="E908" s="257" t="inlineStr">
        <is>
          <t>賣</t>
        </is>
      </c>
      <c r="F908" s="229" t="inlineStr">
        <is>
          <t>-</t>
        </is>
      </c>
      <c r="G908" s="697" t="n">
        <v>3</v>
      </c>
      <c r="H908" s="698" t="n">
        <v>26</v>
      </c>
      <c r="I908" s="697" t="n">
        <v>3900</v>
      </c>
      <c r="J908" s="585" t="n">
        <v>54</v>
      </c>
      <c r="K908" s="585" t="n">
        <v>3</v>
      </c>
      <c r="L908" s="585">
        <f>IF(B908="TXO",I908-SUM(J908:K908),IF(B908="FITX",IF(D908="新倉",-SUM(J908:K908),IF(E908="賣",(H908-H1605)*G908*200-SUM(J908:K908),(H1605-H908)*G908*200-SUM(J908:K908))),IF(D908="新倉",-SUM(J908:K908),IF(E908="賣",(H908-H1605)*G908*50-SUM(J908:K908),(H1605-H908)*G908*50-SUM(J908:K908)))))</f>
        <v/>
      </c>
      <c r="M908" s="699">
        <f>L908</f>
        <v/>
      </c>
      <c r="N908" s="686">
        <f>M908</f>
        <v/>
      </c>
      <c r="O908" s="249" t="inlineStr">
        <is>
          <t>平倉</t>
        </is>
      </c>
      <c r="P908" s="249" t="inlineStr">
        <is>
          <t>元大期貨</t>
        </is>
      </c>
    </row>
    <row r="909" hidden="1" outlineLevel="1">
      <c r="A909" s="696" t="n">
        <v>45923</v>
      </c>
      <c r="B909" s="234" t="inlineStr">
        <is>
          <t>TXO</t>
        </is>
      </c>
      <c r="C909" s="229" t="inlineStr">
        <is>
          <t>TXOW4 09 26300 C</t>
        </is>
      </c>
      <c r="D909" s="229" t="inlineStr">
        <is>
          <t>新倉</t>
        </is>
      </c>
      <c r="E909" s="257" t="inlineStr">
        <is>
          <t>買</t>
        </is>
      </c>
      <c r="F909" s="229" t="inlineStr">
        <is>
          <t>-</t>
        </is>
      </c>
      <c r="G909" s="697" t="n">
        <v>5</v>
      </c>
      <c r="H909" s="698" t="n">
        <v>15</v>
      </c>
      <c r="I909" s="697" t="n">
        <v>-3750</v>
      </c>
      <c r="J909" s="585" t="n">
        <v>90</v>
      </c>
      <c r="K909" s="585" t="n">
        <v>5</v>
      </c>
      <c r="L909" s="585">
        <f>IF(B909="TXO",I909-SUM(J909:K909),IF(B909="FITX",IF(D909="新倉",-SUM(J909:K909),IF(E909="賣",(H909-H1606)*G909*200-SUM(J909:K909),(H1606-H909)*G909*200-SUM(J909:K909))),IF(D909="新倉",-SUM(J909:K909),IF(E909="賣",(H909-H1606)*G909*50-SUM(J909:K909),(H1606-H909)*G909*50-SUM(J909:K909)))))</f>
        <v/>
      </c>
      <c r="M909" s="699">
        <f>L909</f>
        <v/>
      </c>
      <c r="N909" s="686">
        <f>M909</f>
        <v/>
      </c>
      <c r="O909" s="249" t="inlineStr">
        <is>
          <t>新倉</t>
        </is>
      </c>
      <c r="P909" s="249" t="inlineStr">
        <is>
          <t>元大期貨</t>
        </is>
      </c>
    </row>
    <row r="910" hidden="1" outlineLevel="1">
      <c r="A910" s="696" t="n">
        <v>45923</v>
      </c>
      <c r="B910" s="234" t="inlineStr">
        <is>
          <t>TXO</t>
        </is>
      </c>
      <c r="C910" s="229" t="inlineStr">
        <is>
          <t>TXOW4 09 26300 C</t>
        </is>
      </c>
      <c r="D910" s="229" t="inlineStr">
        <is>
          <t>平倉</t>
        </is>
      </c>
      <c r="E910" s="257" t="inlineStr">
        <is>
          <t>賣</t>
        </is>
      </c>
      <c r="F910" s="229" t="inlineStr">
        <is>
          <t>-</t>
        </is>
      </c>
      <c r="G910" s="697" t="n">
        <v>2</v>
      </c>
      <c r="H910" s="698" t="n">
        <v>31.5</v>
      </c>
      <c r="I910" s="697" t="n">
        <v>3150</v>
      </c>
      <c r="J910" s="585" t="n">
        <v>36</v>
      </c>
      <c r="K910" s="585" t="n">
        <v>4</v>
      </c>
      <c r="L910" s="585">
        <f>IF(B910="TXO",I910-SUM(J910:K910),IF(B910="FITX",IF(D910="新倉",-SUM(J910:K910),IF(E910="賣",(H910-H1607)*G910*200-SUM(J910:K910),(H1607-H910)*G910*200-SUM(J910:K910))),IF(D910="新倉",-SUM(J910:K910),IF(E910="賣",(H910-H1607)*G910*50-SUM(J910:K910),(H1607-H910)*G910*50-SUM(J910:K910)))))</f>
        <v/>
      </c>
      <c r="M910" s="699">
        <f>L910</f>
        <v/>
      </c>
      <c r="N910" s="686">
        <f>M910</f>
        <v/>
      </c>
      <c r="O910" s="249" t="inlineStr">
        <is>
          <t>平倉</t>
        </is>
      </c>
      <c r="P910" s="249" t="inlineStr">
        <is>
          <t>元大期貨</t>
        </is>
      </c>
    </row>
    <row r="911" hidden="1" outlineLevel="1">
      <c r="A911" s="696" t="n">
        <v>45923</v>
      </c>
      <c r="B911" s="234" t="inlineStr">
        <is>
          <t>TXO</t>
        </is>
      </c>
      <c r="C911" s="229" t="inlineStr">
        <is>
          <t>TXOW4 09 26300 C</t>
        </is>
      </c>
      <c r="D911" s="229" t="inlineStr">
        <is>
          <t>平倉</t>
        </is>
      </c>
      <c r="E911" s="257" t="inlineStr">
        <is>
          <t>賣</t>
        </is>
      </c>
      <c r="F911" s="229" t="inlineStr">
        <is>
          <t>-</t>
        </is>
      </c>
      <c r="G911" s="697" t="n">
        <v>3</v>
      </c>
      <c r="H911" s="698" t="n">
        <v>30</v>
      </c>
      <c r="I911" s="697" t="n">
        <v>4500</v>
      </c>
      <c r="J911" s="585" t="n">
        <v>54</v>
      </c>
      <c r="K911" s="585" t="n">
        <v>6</v>
      </c>
      <c r="L911" s="585">
        <f>IF(B911="TXO",I911-SUM(J911:K911),IF(B911="FITX",IF(D911="新倉",-SUM(J911:K911),IF(E911="賣",(H911-H1608)*G911*200-SUM(J911:K911),(H1608-H911)*G911*200-SUM(J911:K911))),IF(D911="新倉",-SUM(J911:K911),IF(E911="賣",(H911-H1608)*G911*50-SUM(J911:K911),(H1608-H911)*G911*50-SUM(J911:K911)))))</f>
        <v/>
      </c>
      <c r="M911" s="699">
        <f>L911</f>
        <v/>
      </c>
      <c r="N911" s="686">
        <f>M911</f>
        <v/>
      </c>
      <c r="O911" s="249" t="inlineStr">
        <is>
          <t>平倉</t>
        </is>
      </c>
      <c r="P911" s="249" t="inlineStr">
        <is>
          <t>元大期貨</t>
        </is>
      </c>
    </row>
    <row r="912" hidden="1" outlineLevel="1">
      <c r="A912" s="696" t="n">
        <v>45924</v>
      </c>
      <c r="B912" s="234" t="inlineStr">
        <is>
          <t>TXO</t>
        </is>
      </c>
      <c r="C912" s="229" t="inlineStr">
        <is>
          <t>週W4 C 09 26700 C</t>
        </is>
      </c>
      <c r="D912" s="229" t="inlineStr">
        <is>
          <t>新倉</t>
        </is>
      </c>
      <c r="E912" s="257" t="inlineStr">
        <is>
          <t>買</t>
        </is>
      </c>
      <c r="F912" s="229" t="inlineStr">
        <is>
          <t>-</t>
        </is>
      </c>
      <c r="G912" s="697" t="n">
        <v>10</v>
      </c>
      <c r="H912" s="698" t="n">
        <v>12</v>
      </c>
      <c r="I912" s="697" t="n">
        <v>-6000</v>
      </c>
      <c r="J912" s="585" t="n">
        <v>180</v>
      </c>
      <c r="K912" s="585" t="n">
        <v>10</v>
      </c>
      <c r="L912" s="585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/>
      </c>
      <c r="M912" s="699">
        <f>L912</f>
        <v/>
      </c>
      <c r="N912" s="686">
        <f>M912</f>
        <v/>
      </c>
      <c r="O912" s="249" t="inlineStr">
        <is>
          <t>新倉</t>
        </is>
      </c>
      <c r="P912" s="249" t="inlineStr">
        <is>
          <t>元大期貨</t>
        </is>
      </c>
    </row>
    <row r="913" hidden="1" outlineLevel="1">
      <c r="A913" s="696" t="n">
        <v>45924</v>
      </c>
      <c r="B913" s="234" t="inlineStr">
        <is>
          <t>TXO</t>
        </is>
      </c>
      <c r="C913" s="229" t="inlineStr">
        <is>
          <t>週W4 C 09 26700 C</t>
        </is>
      </c>
      <c r="D913" s="229" t="inlineStr">
        <is>
          <t>平倉</t>
        </is>
      </c>
      <c r="E913" s="257" t="inlineStr">
        <is>
          <t>賣</t>
        </is>
      </c>
      <c r="F913" s="229" t="inlineStr">
        <is>
          <t>-</t>
        </is>
      </c>
      <c r="G913" s="697" t="n">
        <v>10</v>
      </c>
      <c r="H913" s="698" t="n">
        <v>20</v>
      </c>
      <c r="I913" s="697" t="n">
        <v>10000</v>
      </c>
      <c r="J913" s="585" t="n">
        <v>180</v>
      </c>
      <c r="K913" s="585" t="n">
        <v>10</v>
      </c>
      <c r="L913" s="585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/>
      </c>
      <c r="M913" s="699">
        <f>L913</f>
        <v/>
      </c>
      <c r="N913" s="686">
        <f>M913</f>
        <v/>
      </c>
      <c r="O913" s="249" t="inlineStr">
        <is>
          <t>平倉</t>
        </is>
      </c>
      <c r="P913" s="249" t="inlineStr">
        <is>
          <t>元大期貨</t>
        </is>
      </c>
    </row>
    <row r="914" hidden="1" outlineLevel="1">
      <c r="A914" s="696" t="n">
        <v>45924</v>
      </c>
      <c r="B914" s="234" t="inlineStr">
        <is>
          <t>TXO</t>
        </is>
      </c>
      <c r="C914" s="229" t="inlineStr">
        <is>
          <t>週W4 C 09 26900 C</t>
        </is>
      </c>
      <c r="D914" s="229" t="inlineStr">
        <is>
          <t>新倉</t>
        </is>
      </c>
      <c r="E914" s="257" t="inlineStr">
        <is>
          <t>買</t>
        </is>
      </c>
      <c r="F914" s="229" t="inlineStr">
        <is>
          <t>-</t>
        </is>
      </c>
      <c r="G914" s="697" t="n">
        <v>4</v>
      </c>
      <c r="H914" s="698" t="n">
        <v>9.1</v>
      </c>
      <c r="I914" s="697" t="n">
        <v>-1820</v>
      </c>
      <c r="J914" s="585" t="n">
        <v>72</v>
      </c>
      <c r="K914" s="585" t="n">
        <v>0</v>
      </c>
      <c r="L914" s="585">
        <f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/>
      </c>
      <c r="M914" s="699">
        <f>L914</f>
        <v/>
      </c>
      <c r="N914" s="686">
        <f>M914</f>
        <v/>
      </c>
      <c r="O914" s="249" t="inlineStr">
        <is>
          <t>新倉</t>
        </is>
      </c>
      <c r="P914" s="249" t="inlineStr">
        <is>
          <t>元大期貨</t>
        </is>
      </c>
    </row>
    <row r="915" hidden="1" outlineLevel="1">
      <c r="A915" s="696" t="n">
        <v>45924</v>
      </c>
      <c r="B915" s="234" t="inlineStr">
        <is>
          <t>TXO</t>
        </is>
      </c>
      <c r="C915" s="229" t="inlineStr">
        <is>
          <t>週W4 C 09 26900 C</t>
        </is>
      </c>
      <c r="D915" s="229" t="inlineStr">
        <is>
          <t>新倉</t>
        </is>
      </c>
      <c r="E915" s="257" t="inlineStr">
        <is>
          <t>買</t>
        </is>
      </c>
      <c r="F915" s="229" t="inlineStr">
        <is>
          <t>-</t>
        </is>
      </c>
      <c r="G915" s="697" t="n">
        <v>1</v>
      </c>
      <c r="H915" s="698" t="n">
        <v>9.5</v>
      </c>
      <c r="I915" s="697" t="n">
        <v>-475</v>
      </c>
      <c r="J915" s="585" t="n">
        <v>18</v>
      </c>
      <c r="K915" s="585" t="n">
        <v>0</v>
      </c>
      <c r="L915" s="585">
        <f>IF(B915="TXO",I915-SUM(J915:K915),IF(B915="FITX",IF(D915="新倉",-SUM(J915:K915),IF(E915="賣",(H915-H1620)*G915*200-SUM(J915:K915),(H1620-H915)*G915*200-SUM(J915:K915))),IF(D915="新倉",-SUM(J915:K915),IF(E915="賣",(H915-H1620)*G915*50-SUM(J915:K915),(H1620-H915)*G915*50-SUM(J915:K915)))))</f>
        <v/>
      </c>
      <c r="M915" s="699">
        <f>L915</f>
        <v/>
      </c>
      <c r="N915" s="686">
        <f>M915</f>
        <v/>
      </c>
      <c r="O915" s="249" t="inlineStr">
        <is>
          <t>新倉</t>
        </is>
      </c>
      <c r="P915" s="249" t="inlineStr">
        <is>
          <t>元大期貨</t>
        </is>
      </c>
    </row>
    <row r="916" hidden="1" outlineLevel="1">
      <c r="A916" s="696" t="n">
        <v>45924</v>
      </c>
      <c r="B916" s="234" t="inlineStr">
        <is>
          <t>TXO</t>
        </is>
      </c>
      <c r="C916" s="229" t="inlineStr">
        <is>
          <t>週W4 C 09 26900 C</t>
        </is>
      </c>
      <c r="D916" s="229" t="inlineStr">
        <is>
          <t>平倉</t>
        </is>
      </c>
      <c r="E916" s="257" t="inlineStr">
        <is>
          <t>賣</t>
        </is>
      </c>
      <c r="F916" s="229" t="inlineStr">
        <is>
          <t>-</t>
        </is>
      </c>
      <c r="G916" s="697" t="n">
        <v>5</v>
      </c>
      <c r="H916" s="698" t="n">
        <v>14</v>
      </c>
      <c r="I916" s="697" t="n">
        <v>3500</v>
      </c>
      <c r="J916" s="585" t="n">
        <v>90</v>
      </c>
      <c r="K916" s="585" t="n">
        <v>5</v>
      </c>
      <c r="L916" s="585">
        <f>IF(B916="TXO",I916-SUM(J916:K916),IF(B916="FITX",IF(D916="新倉",-SUM(J916:K916),IF(E916="賣",(H916-H1621)*G916*200-SUM(J916:K916),(H1621-H916)*G916*200-SUM(J916:K916))),IF(D916="新倉",-SUM(J916:K916),IF(E916="賣",(H916-H1621)*G916*50-SUM(J916:K916),(H1621-H916)*G916*50-SUM(J916:K916)))))</f>
        <v/>
      </c>
      <c r="M916" s="699">
        <f>L916</f>
        <v/>
      </c>
      <c r="N916" s="686">
        <f>M916</f>
        <v/>
      </c>
      <c r="O916" s="249" t="inlineStr">
        <is>
          <t>平倉</t>
        </is>
      </c>
      <c r="P916" s="249" t="inlineStr">
        <is>
          <t>元大期貨</t>
        </is>
      </c>
    </row>
    <row r="917" hidden="1" outlineLevel="1">
      <c r="A917" s="696" t="n">
        <v>45924</v>
      </c>
      <c r="B917" s="234" t="inlineStr">
        <is>
          <t>TXO</t>
        </is>
      </c>
      <c r="C917" s="229" t="inlineStr">
        <is>
          <t>週W4 P 09 26200 P</t>
        </is>
      </c>
      <c r="D917" s="229" t="inlineStr">
        <is>
          <t>新倉</t>
        </is>
      </c>
      <c r="E917" s="257" t="inlineStr">
        <is>
          <t>買</t>
        </is>
      </c>
      <c r="F917" s="229" t="inlineStr">
        <is>
          <t>-</t>
        </is>
      </c>
      <c r="G917" s="697" t="n">
        <v>2</v>
      </c>
      <c r="H917" s="698" t="n">
        <v>21</v>
      </c>
      <c r="I917" s="697" t="n">
        <v>-2100</v>
      </c>
      <c r="J917" s="585" t="n">
        <v>36</v>
      </c>
      <c r="K917" s="585" t="n">
        <v>2</v>
      </c>
      <c r="L917" s="585">
        <f>IF(B917="TXO",I917-SUM(J917:K917),IF(B917="FITX",IF(D917="新倉",-SUM(J917:K917),IF(E917="賣",(H917-H1622)*G917*200-SUM(J917:K917),(H1622-H917)*G917*200-SUM(J917:K917))),IF(D917="新倉",-SUM(J917:K917),IF(E917="賣",(H917-H1622)*G917*50-SUM(J917:K917),(H1622-H917)*G917*50-SUM(J917:K917)))))</f>
        <v/>
      </c>
      <c r="M917" s="699">
        <f>L917</f>
        <v/>
      </c>
      <c r="N917" s="686">
        <f>M917</f>
        <v/>
      </c>
      <c r="O917" s="249" t="inlineStr">
        <is>
          <t>新倉</t>
        </is>
      </c>
      <c r="P917" s="249" t="inlineStr">
        <is>
          <t>元大期貨</t>
        </is>
      </c>
    </row>
    <row r="918" hidden="1" outlineLevel="1">
      <c r="A918" s="696" t="n">
        <v>45924</v>
      </c>
      <c r="B918" s="234" t="inlineStr">
        <is>
          <t>TXO</t>
        </is>
      </c>
      <c r="C918" s="229" t="inlineStr">
        <is>
          <t>週W4 P 09 26200 P</t>
        </is>
      </c>
      <c r="D918" s="229" t="inlineStr">
        <is>
          <t>平倉</t>
        </is>
      </c>
      <c r="E918" s="257" t="inlineStr">
        <is>
          <t>賣</t>
        </is>
      </c>
      <c r="F918" s="229" t="inlineStr">
        <is>
          <t>-</t>
        </is>
      </c>
      <c r="G918" s="697" t="n">
        <v>2</v>
      </c>
      <c r="H918" s="698" t="n">
        <v>24</v>
      </c>
      <c r="I918" s="697" t="n">
        <v>2400</v>
      </c>
      <c r="J918" s="585" t="n">
        <v>36</v>
      </c>
      <c r="K918" s="585" t="n">
        <v>2</v>
      </c>
      <c r="L918" s="585">
        <f>IF(B918="TXO",I918-SUM(J918:K918),IF(B918="FITX",IF(D918="新倉",-SUM(J918:K918),IF(E918="賣",(H918-H1623)*G918*200-SUM(J918:K918),(H1623-H918)*G918*200-SUM(J918:K918))),IF(D918="新倉",-SUM(J918:K918),IF(E918="賣",(H918-H1623)*G918*50-SUM(J918:K918),(H1623-H918)*G918*50-SUM(J918:K918)))))</f>
        <v/>
      </c>
      <c r="M918" s="699">
        <f>L918</f>
        <v/>
      </c>
      <c r="N918" s="686">
        <f>M918</f>
        <v/>
      </c>
      <c r="O918" s="249" t="inlineStr">
        <is>
          <t>平倉</t>
        </is>
      </c>
      <c r="P918" s="249" t="inlineStr">
        <is>
          <t>元大期貨</t>
        </is>
      </c>
    </row>
    <row r="919" hidden="1" outlineLevel="1">
      <c r="A919" s="696" t="n">
        <v>45924</v>
      </c>
      <c r="B919" s="234" t="inlineStr">
        <is>
          <t>TXO</t>
        </is>
      </c>
      <c r="C919" s="229" t="inlineStr">
        <is>
          <t>週W4 C 09 26900 C</t>
        </is>
      </c>
      <c r="D919" s="229" t="inlineStr">
        <is>
          <t>新倉</t>
        </is>
      </c>
      <c r="E919" s="257" t="inlineStr">
        <is>
          <t>買</t>
        </is>
      </c>
      <c r="F919" s="229" t="inlineStr">
        <is>
          <t>-</t>
        </is>
      </c>
      <c r="G919" s="697" t="n">
        <v>5</v>
      </c>
      <c r="H919" s="698" t="n">
        <v>9.6</v>
      </c>
      <c r="I919" s="697" t="n">
        <v>-2400</v>
      </c>
      <c r="J919" s="585" t="n">
        <v>90</v>
      </c>
      <c r="K919" s="585" t="n">
        <v>0</v>
      </c>
      <c r="L919" s="585">
        <f>IF(B919="TXO",I919-SUM(J919:K919),IF(B919="FITX",IF(D919="新倉",-SUM(J919:K919),IF(E919="賣",(H919-H1624)*G919*200-SUM(J919:K919),(H1624-H919)*G919*200-SUM(J919:K919))),IF(D919="新倉",-SUM(J919:K919),IF(E919="賣",(H919-H1624)*G919*50-SUM(J919:K919),(H1624-H919)*G919*50-SUM(J919:K919)))))</f>
        <v/>
      </c>
      <c r="M919" s="699">
        <f>L919</f>
        <v/>
      </c>
      <c r="N919" s="686">
        <f>M919</f>
        <v/>
      </c>
      <c r="O919" s="249" t="inlineStr">
        <is>
          <t>新倉</t>
        </is>
      </c>
      <c r="P919" s="249" t="inlineStr">
        <is>
          <t>元大期貨</t>
        </is>
      </c>
    </row>
    <row r="920" hidden="1" outlineLevel="1">
      <c r="A920" s="696" t="n">
        <v>45924</v>
      </c>
      <c r="B920" s="234" t="inlineStr">
        <is>
          <t>TXO</t>
        </is>
      </c>
      <c r="C920" s="229" t="inlineStr">
        <is>
          <t>週W4 C 09 26900 C</t>
        </is>
      </c>
      <c r="D920" s="229" t="inlineStr">
        <is>
          <t>平倉</t>
        </is>
      </c>
      <c r="E920" s="257" t="inlineStr">
        <is>
          <t>賣</t>
        </is>
      </c>
      <c r="F920" s="229" t="inlineStr">
        <is>
          <t>-</t>
        </is>
      </c>
      <c r="G920" s="697" t="n">
        <v>5</v>
      </c>
      <c r="H920" s="698" t="n">
        <v>7.4</v>
      </c>
      <c r="I920" s="697" t="n">
        <v>1850</v>
      </c>
      <c r="J920" s="585" t="n">
        <v>90</v>
      </c>
      <c r="K920" s="585" t="n">
        <v>0</v>
      </c>
      <c r="L920" s="585">
        <f>IF(B920="TXO",I920-SUM(J920:K920),IF(B920="FITX",IF(D920="新倉",-SUM(J920:K920),IF(E920="賣",(H920-H1625)*G920*200-SUM(J920:K920),(H1625-H920)*G920*200-SUM(J920:K920))),IF(D920="新倉",-SUM(J920:K920),IF(E920="賣",(H920-H1625)*G920*50-SUM(J920:K920),(H1625-H920)*G920*50-SUM(J920:K920)))))</f>
        <v/>
      </c>
      <c r="M920" s="699">
        <f>L920</f>
        <v/>
      </c>
      <c r="N920" s="686">
        <f>M920</f>
        <v/>
      </c>
      <c r="O920" s="249" t="inlineStr">
        <is>
          <t>平倉</t>
        </is>
      </c>
      <c r="P920" s="249" t="inlineStr">
        <is>
          <t>元大期貨</t>
        </is>
      </c>
    </row>
    <row r="921" hidden="1" outlineLevel="1">
      <c r="A921" s="696" t="n">
        <v>45924</v>
      </c>
      <c r="B921" s="234" t="inlineStr">
        <is>
          <t>TXO</t>
        </is>
      </c>
      <c r="C921" s="229" t="inlineStr">
        <is>
          <t>週W4 C 09 26900 C</t>
        </is>
      </c>
      <c r="D921" s="229" t="inlineStr">
        <is>
          <t>新倉</t>
        </is>
      </c>
      <c r="E921" s="257" t="inlineStr">
        <is>
          <t>買</t>
        </is>
      </c>
      <c r="F921" s="229" t="inlineStr">
        <is>
          <t>-</t>
        </is>
      </c>
      <c r="G921" s="697" t="n">
        <v>1</v>
      </c>
      <c r="H921" s="698" t="n">
        <v>2.3</v>
      </c>
      <c r="I921" s="697" t="n">
        <v>-115</v>
      </c>
      <c r="J921" s="585" t="n">
        <v>18</v>
      </c>
      <c r="K921" s="585" t="n">
        <v>0</v>
      </c>
      <c r="L921" s="585">
        <f>IF(B921="TXO",I921-SUM(J921:K921),IF(B921="FITX",IF(D921="新倉",-SUM(J921:K921),IF(E921="賣",(H921-H1626)*G921*200-SUM(J921:K921),(H1626-H921)*G921*200-SUM(J921:K921))),IF(D921="新倉",-SUM(J921:K921),IF(E921="賣",(H921-H1626)*G921*50-SUM(J921:K921),(H1626-H921)*G921*50-SUM(J921:K921)))))</f>
        <v/>
      </c>
      <c r="M921" s="699">
        <f>L921</f>
        <v/>
      </c>
      <c r="N921" s="686">
        <f>M921</f>
        <v/>
      </c>
      <c r="O921" s="261" t="inlineStr">
        <is>
          <t>放棄</t>
        </is>
      </c>
      <c r="P921" s="249" t="inlineStr">
        <is>
          <t>元大期貨</t>
        </is>
      </c>
    </row>
    <row r="922" hidden="1" outlineLevel="1">
      <c r="A922" s="696" t="n">
        <v>45924</v>
      </c>
      <c r="B922" s="234" t="inlineStr">
        <is>
          <t>TXO</t>
        </is>
      </c>
      <c r="C922" s="229" t="inlineStr">
        <is>
          <t>週W4 C 09 26900 C</t>
        </is>
      </c>
      <c r="D922" s="229" t="inlineStr">
        <is>
          <t>新倉</t>
        </is>
      </c>
      <c r="E922" s="257" t="inlineStr">
        <is>
          <t>買</t>
        </is>
      </c>
      <c r="F922" s="229" t="inlineStr">
        <is>
          <t>-</t>
        </is>
      </c>
      <c r="G922" s="697" t="n">
        <v>1</v>
      </c>
      <c r="H922" s="698" t="n">
        <v>2.5</v>
      </c>
      <c r="I922" s="697" t="n">
        <v>-125</v>
      </c>
      <c r="J922" s="585" t="n">
        <v>18</v>
      </c>
      <c r="K922" s="585" t="n">
        <v>0</v>
      </c>
      <c r="L922" s="585">
        <f>IF(B922="TXO",I922-SUM(J922:K922),IF(B922="FITX",IF(D922="新倉",-SUM(J922:K922),IF(E922="賣",(H922-H1627)*G922*200-SUM(J922:K922),(H1627-H922)*G922*200-SUM(J922:K922))),IF(D922="新倉",-SUM(J922:K922),IF(E922="賣",(H922-H1627)*G922*50-SUM(J922:K922),(H1627-H922)*G922*50-SUM(J922:K922)))))</f>
        <v/>
      </c>
      <c r="M922" s="699">
        <f>L922</f>
        <v/>
      </c>
      <c r="N922" s="686">
        <f>M922</f>
        <v/>
      </c>
      <c r="O922" s="261" t="inlineStr">
        <is>
          <t>放棄</t>
        </is>
      </c>
      <c r="P922" s="249" t="inlineStr">
        <is>
          <t>元大期貨</t>
        </is>
      </c>
    </row>
    <row r="923" hidden="1" outlineLevel="1">
      <c r="A923" s="696" t="n">
        <v>45924</v>
      </c>
      <c r="B923" s="234" t="inlineStr">
        <is>
          <t>TXO</t>
        </is>
      </c>
      <c r="C923" s="229" t="inlineStr">
        <is>
          <t>週W4 C 09 26800 C</t>
        </is>
      </c>
      <c r="D923" s="229" t="inlineStr">
        <is>
          <t>新倉</t>
        </is>
      </c>
      <c r="E923" s="257" t="inlineStr">
        <is>
          <t>買</t>
        </is>
      </c>
      <c r="F923" s="229" t="inlineStr">
        <is>
          <t>-</t>
        </is>
      </c>
      <c r="G923" s="697" t="n">
        <v>1</v>
      </c>
      <c r="H923" s="698" t="n">
        <v>5.3</v>
      </c>
      <c r="I923" s="697" t="n">
        <v>-265</v>
      </c>
      <c r="J923" s="585" t="n">
        <v>18</v>
      </c>
      <c r="K923" s="585" t="n">
        <v>0</v>
      </c>
      <c r="L923" s="585">
        <f>IF(B923="TXO",I923-SUM(J923:K923),IF(B923="FITX",IF(D923="新倉",-SUM(J923:K923),IF(E923="賣",(H923-H1628)*G923*200-SUM(J923:K923),(H1628-H923)*G923*200-SUM(J923:K923))),IF(D923="新倉",-SUM(J923:K923),IF(E923="賣",(H923-H1628)*G923*50-SUM(J923:K923),(H1628-H923)*G923*50-SUM(J923:K923)))))</f>
        <v/>
      </c>
      <c r="M923" s="699">
        <f>L923</f>
        <v/>
      </c>
      <c r="N923" s="686">
        <f>M923</f>
        <v/>
      </c>
      <c r="O923" s="261" t="inlineStr">
        <is>
          <t>放棄</t>
        </is>
      </c>
      <c r="P923" s="249" t="inlineStr">
        <is>
          <t>元大期貨</t>
        </is>
      </c>
    </row>
    <row r="924" hidden="1" outlineLevel="1">
      <c r="A924" s="696" t="n">
        <v>45924</v>
      </c>
      <c r="B924" s="234" t="inlineStr">
        <is>
          <t>TXO</t>
        </is>
      </c>
      <c r="C924" s="229" t="inlineStr">
        <is>
          <t>週W4 C 09 26900 C</t>
        </is>
      </c>
      <c r="D924" s="229" t="inlineStr">
        <is>
          <t>新倉</t>
        </is>
      </c>
      <c r="E924" s="257" t="inlineStr">
        <is>
          <t>買</t>
        </is>
      </c>
      <c r="F924" s="229" t="inlineStr">
        <is>
          <t>-</t>
        </is>
      </c>
      <c r="G924" s="697" t="n">
        <v>1</v>
      </c>
      <c r="H924" s="698" t="n">
        <v>5.7</v>
      </c>
      <c r="I924" s="697" t="n">
        <v>-285</v>
      </c>
      <c r="J924" s="585" t="n">
        <v>18</v>
      </c>
      <c r="K924" s="585" t="n">
        <v>0</v>
      </c>
      <c r="L924" s="585">
        <f>IF(B924="TXO",I924-SUM(J924:K924),IF(B924="FITX",IF(D924="新倉",-SUM(J924:K924),IF(E924="賣",(H924-H1629)*G924*200-SUM(J924:K924),(H1629-H924)*G924*200-SUM(J924:K924))),IF(D924="新倉",-SUM(J924:K924),IF(E924="賣",(H924-H1629)*G924*50-SUM(J924:K924),(H1629-H924)*G924*50-SUM(J924:K924)))))</f>
        <v/>
      </c>
      <c r="M924" s="699">
        <f>L924</f>
        <v/>
      </c>
      <c r="N924" s="686">
        <f>M924</f>
        <v/>
      </c>
      <c r="O924" s="261" t="inlineStr">
        <is>
          <t>放棄</t>
        </is>
      </c>
      <c r="P924" s="249" t="inlineStr">
        <is>
          <t>元大期貨</t>
        </is>
      </c>
    </row>
    <row r="925" hidden="1" outlineLevel="1">
      <c r="A925" s="696" t="n">
        <v>45924</v>
      </c>
      <c r="B925" s="234" t="inlineStr">
        <is>
          <t>TXO</t>
        </is>
      </c>
      <c r="C925" s="229" t="inlineStr">
        <is>
          <t>週W4 C 09 26900 C</t>
        </is>
      </c>
      <c r="D925" s="229" t="inlineStr">
        <is>
          <t>新倉</t>
        </is>
      </c>
      <c r="E925" s="257" t="inlineStr">
        <is>
          <t>買</t>
        </is>
      </c>
      <c r="F925" s="229" t="inlineStr">
        <is>
          <t>-</t>
        </is>
      </c>
      <c r="G925" s="697" t="n">
        <v>1</v>
      </c>
      <c r="H925" s="698" t="n">
        <v>7.5</v>
      </c>
      <c r="I925" s="697" t="n">
        <v>-375</v>
      </c>
      <c r="J925" s="585" t="n">
        <v>18</v>
      </c>
      <c r="K925" s="585" t="n">
        <v>0</v>
      </c>
      <c r="L925" s="585">
        <f>IF(B925="TXO",I925-SUM(J925:K925),IF(B925="FITX",IF(D925="新倉",-SUM(J925:K925),IF(E925="賣",(H925-H1630)*G925*200-SUM(J925:K925),(H1630-H925)*G925*200-SUM(J925:K925))),IF(D925="新倉",-SUM(J925:K925),IF(E925="賣",(H925-H1630)*G925*50-SUM(J925:K925),(H1630-H925)*G925*50-SUM(J925:K925)))))</f>
        <v/>
      </c>
      <c r="M925" s="699">
        <f>L925</f>
        <v/>
      </c>
      <c r="N925" s="686">
        <f>M925</f>
        <v/>
      </c>
      <c r="O925" s="261" t="inlineStr">
        <is>
          <t>放棄</t>
        </is>
      </c>
      <c r="P925" s="249" t="inlineStr">
        <is>
          <t>元大期貨</t>
        </is>
      </c>
    </row>
    <row r="926" hidden="1" outlineLevel="1">
      <c r="A926" s="696" t="n">
        <v>45924</v>
      </c>
      <c r="B926" s="234" t="inlineStr">
        <is>
          <t>TXO</t>
        </is>
      </c>
      <c r="C926" s="229" t="inlineStr">
        <is>
          <t>週W4 C 09 26900 C</t>
        </is>
      </c>
      <c r="D926" s="229" t="inlineStr">
        <is>
          <t>新倉</t>
        </is>
      </c>
      <c r="E926" s="257" t="inlineStr">
        <is>
          <t>買</t>
        </is>
      </c>
      <c r="F926" s="229" t="inlineStr">
        <is>
          <t>-</t>
        </is>
      </c>
      <c r="G926" s="697" t="n">
        <v>9</v>
      </c>
      <c r="H926" s="698" t="n">
        <v>7.6</v>
      </c>
      <c r="I926" s="697" t="n">
        <v>-3420</v>
      </c>
      <c r="J926" s="585" t="n">
        <v>162</v>
      </c>
      <c r="K926" s="585" t="n">
        <v>0</v>
      </c>
      <c r="L926" s="585">
        <f>IF(B926="TXO",I926-SUM(J926:K926),IF(B926="FITX",IF(D926="新倉",-SUM(J926:K926),IF(E926="賣",(H926-H1631)*G926*200-SUM(J926:K926),(H1631-H926)*G926*200-SUM(J926:K926))),IF(D926="新倉",-SUM(J926:K926),IF(E926="賣",(H926-H1631)*G926*50-SUM(J926:K926),(H1631-H926)*G926*50-SUM(J926:K926)))))</f>
        <v/>
      </c>
      <c r="M926" s="699">
        <f>L926</f>
        <v/>
      </c>
      <c r="N926" s="686">
        <f>M926</f>
        <v/>
      </c>
      <c r="O926" s="261" t="inlineStr">
        <is>
          <t>放棄</t>
        </is>
      </c>
      <c r="P926" s="249" t="inlineStr">
        <is>
          <t>元大期貨</t>
        </is>
      </c>
    </row>
    <row r="927" hidden="1" outlineLevel="1">
      <c r="A927" s="696" t="n">
        <v>45926</v>
      </c>
      <c r="B927" s="234" t="inlineStr">
        <is>
          <t>TXO</t>
        </is>
      </c>
      <c r="C927" s="229" t="inlineStr">
        <is>
          <t>TXOF4 09 26050 C</t>
        </is>
      </c>
      <c r="D927" s="229" t="inlineStr">
        <is>
          <t>新倉</t>
        </is>
      </c>
      <c r="E927" s="257" t="inlineStr">
        <is>
          <t>買</t>
        </is>
      </c>
      <c r="F927" s="229" t="inlineStr">
        <is>
          <t>-</t>
        </is>
      </c>
      <c r="G927" s="697" t="n">
        <v>2</v>
      </c>
      <c r="H927" s="698" t="n">
        <v>43</v>
      </c>
      <c r="I927" s="697" t="n">
        <v>-4300</v>
      </c>
      <c r="J927" s="585" t="n">
        <v>36</v>
      </c>
      <c r="K927" s="585" t="n">
        <v>4</v>
      </c>
      <c r="L927" s="585">
        <f>IF(B927="TXO",I927-SUM(J927:K927),IF(B927="FITX",IF(D927="新倉",-SUM(J927:K927),IF(E927="賣",(H927-H1632)*G927*200-SUM(J927:K927),(H1632-H927)*G927*200-SUM(J927:K927))),IF(D927="新倉",-SUM(J927:K927),IF(E927="賣",(H927-H1632)*G927*50-SUM(J927:K927),(H1632-H927)*G927*50-SUM(J927:K927)))))</f>
        <v/>
      </c>
      <c r="M927" s="699">
        <f>L927</f>
        <v/>
      </c>
      <c r="N927" s="686">
        <f>M927</f>
        <v/>
      </c>
      <c r="O927" s="249" t="inlineStr">
        <is>
          <t>新倉</t>
        </is>
      </c>
      <c r="P927" s="249" t="inlineStr">
        <is>
          <t>元大期貨</t>
        </is>
      </c>
    </row>
    <row r="928" hidden="1" outlineLevel="1">
      <c r="A928" s="696" t="n">
        <v>45926</v>
      </c>
      <c r="B928" s="234" t="inlineStr">
        <is>
          <t>TXO</t>
        </is>
      </c>
      <c r="C928" s="229" t="inlineStr">
        <is>
          <t>TXOF4 09 26050 C</t>
        </is>
      </c>
      <c r="D928" s="229" t="inlineStr">
        <is>
          <t>平倉</t>
        </is>
      </c>
      <c r="E928" s="257" t="inlineStr">
        <is>
          <t>賣</t>
        </is>
      </c>
      <c r="F928" s="229" t="inlineStr">
        <is>
          <t>-</t>
        </is>
      </c>
      <c r="G928" s="697" t="n">
        <v>2</v>
      </c>
      <c r="H928" s="698" t="n">
        <v>45</v>
      </c>
      <c r="I928" s="697" t="n">
        <v>4500</v>
      </c>
      <c r="J928" s="585" t="n">
        <v>36</v>
      </c>
      <c r="K928" s="585" t="n">
        <v>4</v>
      </c>
      <c r="L928" s="585">
        <f>IF(B928="TXO",I928-SUM(J928:K928),IF(B928="FITX",IF(D928="新倉",-SUM(J928:K928),IF(E928="賣",(H928-H1633)*G928*200-SUM(J928:K928),(H1633-H928)*G928*200-SUM(J928:K928))),IF(D928="新倉",-SUM(J928:K928),IF(E928="賣",(H928-H1633)*G928*50-SUM(J928:K928),(H1633-H928)*G928*50-SUM(J928:K928)))))</f>
        <v/>
      </c>
      <c r="M928" s="699">
        <f>L928</f>
        <v/>
      </c>
      <c r="N928" s="686">
        <f>M928</f>
        <v/>
      </c>
      <c r="O928" s="249" t="inlineStr">
        <is>
          <t>平倉</t>
        </is>
      </c>
      <c r="P928" s="249" t="inlineStr">
        <is>
          <t>元大期貨</t>
        </is>
      </c>
    </row>
    <row r="929" hidden="1" outlineLevel="1">
      <c r="A929" s="696" t="n">
        <v>45926</v>
      </c>
      <c r="B929" s="234" t="inlineStr">
        <is>
          <t>TXO</t>
        </is>
      </c>
      <c r="C929" s="229" t="inlineStr">
        <is>
          <t>TXOF4 09 25550 P</t>
        </is>
      </c>
      <c r="D929" s="229" t="inlineStr">
        <is>
          <t>新倉</t>
        </is>
      </c>
      <c r="E929" s="257" t="inlineStr">
        <is>
          <t>買</t>
        </is>
      </c>
      <c r="F929" s="229" t="inlineStr">
        <is>
          <t>-</t>
        </is>
      </c>
      <c r="G929" s="697" t="n">
        <v>5</v>
      </c>
      <c r="H929" s="698" t="n">
        <v>14.5</v>
      </c>
      <c r="I929" s="697" t="n">
        <v>-3625</v>
      </c>
      <c r="J929" s="585" t="n">
        <v>90</v>
      </c>
      <c r="K929" s="585" t="n">
        <v>5</v>
      </c>
      <c r="L929" s="585">
        <f>IF(B929="TXO",I929-SUM(J929:K929),IF(B929="FITX",IF(D929="新倉",-SUM(J929:K929),IF(E929="賣",(H929-H1634)*G929*200-SUM(J929:K929),(H1634-H929)*G929*200-SUM(J929:K929))),IF(D929="新倉",-SUM(J929:K929),IF(E929="賣",(H929-H1634)*G929*50-SUM(J929:K929),(H1634-H929)*G929*50-SUM(J929:K929)))))</f>
        <v/>
      </c>
      <c r="M929" s="699">
        <f>L929</f>
        <v/>
      </c>
      <c r="N929" s="686">
        <f>M929</f>
        <v/>
      </c>
      <c r="O929" s="249" t="inlineStr">
        <is>
          <t>新倉</t>
        </is>
      </c>
      <c r="P929" s="249" t="inlineStr">
        <is>
          <t>元大期貨</t>
        </is>
      </c>
    </row>
    <row r="930" hidden="1" outlineLevel="1">
      <c r="A930" s="696" t="n">
        <v>45926</v>
      </c>
      <c r="B930" s="234" t="inlineStr">
        <is>
          <t>TXO</t>
        </is>
      </c>
      <c r="C930" s="229" t="inlineStr">
        <is>
          <t>TXOF4 09 25550 P</t>
        </is>
      </c>
      <c r="D930" s="229" t="inlineStr">
        <is>
          <t>平倉</t>
        </is>
      </c>
      <c r="E930" s="257" t="inlineStr">
        <is>
          <t>賣</t>
        </is>
      </c>
      <c r="F930" s="229" t="inlineStr">
        <is>
          <t>-</t>
        </is>
      </c>
      <c r="G930" s="697" t="n">
        <v>5</v>
      </c>
      <c r="H930" s="698" t="n">
        <v>21</v>
      </c>
      <c r="I930" s="697" t="n">
        <v>5250</v>
      </c>
      <c r="J930" s="585" t="n">
        <v>90</v>
      </c>
      <c r="K930" s="585" t="n">
        <v>5</v>
      </c>
      <c r="L930" s="585">
        <f>IF(B930="TXO",I930-SUM(J930:K930),IF(B930="FITX",IF(D930="新倉",-SUM(J930:K930),IF(E930="賣",(H930-H1635)*G930*200-SUM(J930:K930),(H1635-H930)*G930*200-SUM(J930:K930))),IF(D930="新倉",-SUM(J930:K930),IF(E930="賣",(H930-H1635)*G930*50-SUM(J930:K930),(H1635-H930)*G930*50-SUM(J930:K930)))))</f>
        <v/>
      </c>
      <c r="M930" s="699">
        <f>L930</f>
        <v/>
      </c>
      <c r="N930" s="686">
        <f>M930</f>
        <v/>
      </c>
      <c r="O930" s="249" t="inlineStr">
        <is>
          <t>平倉</t>
        </is>
      </c>
      <c r="P930" s="249" t="inlineStr">
        <is>
          <t>元大期貨</t>
        </is>
      </c>
    </row>
    <row r="931" hidden="1" outlineLevel="1">
      <c r="A931" s="696" t="n">
        <v>45926</v>
      </c>
      <c r="B931" s="234" t="inlineStr">
        <is>
          <t>TXO</t>
        </is>
      </c>
      <c r="C931" s="229" t="inlineStr">
        <is>
          <t>TXOF4 09 25550 P</t>
        </is>
      </c>
      <c r="D931" s="229" t="inlineStr">
        <is>
          <t>新倉</t>
        </is>
      </c>
      <c r="E931" s="257" t="inlineStr">
        <is>
          <t>買</t>
        </is>
      </c>
      <c r="F931" s="229" t="inlineStr">
        <is>
          <t>-</t>
        </is>
      </c>
      <c r="G931" s="697" t="n">
        <v>1</v>
      </c>
      <c r="H931" s="698" t="n">
        <v>23</v>
      </c>
      <c r="I931" s="697" t="n">
        <v>-1150</v>
      </c>
      <c r="J931" s="585" t="n">
        <v>18</v>
      </c>
      <c r="K931" s="585" t="n">
        <v>1</v>
      </c>
      <c r="L931" s="585">
        <f>IF(B931="TXO",I931-SUM(J931:K931),IF(B931="FITX",IF(D931="新倉",-SUM(J931:K931),IF(E931="賣",(H931-H1636)*G931*200-SUM(J931:K931),(H1636-H931)*G931*200-SUM(J931:K931))),IF(D931="新倉",-SUM(J931:K931),IF(E931="賣",(H931-H1636)*G931*50-SUM(J931:K931),(H1636-H931)*G931*50-SUM(J931:K931)))))</f>
        <v/>
      </c>
      <c r="M931" s="699">
        <f>L931</f>
        <v/>
      </c>
      <c r="N931" s="686">
        <f>M931</f>
        <v/>
      </c>
      <c r="O931" s="249" t="inlineStr">
        <is>
          <t>新倉</t>
        </is>
      </c>
      <c r="P931" s="249" t="inlineStr">
        <is>
          <t>元大期貨</t>
        </is>
      </c>
    </row>
    <row r="932" hidden="1" outlineLevel="1">
      <c r="A932" s="696" t="n">
        <v>45926</v>
      </c>
      <c r="B932" s="234" t="inlineStr">
        <is>
          <t>TXO</t>
        </is>
      </c>
      <c r="C932" s="229" t="inlineStr">
        <is>
          <t>TXOF4 09 25550 P</t>
        </is>
      </c>
      <c r="D932" s="229" t="inlineStr">
        <is>
          <t>平倉</t>
        </is>
      </c>
      <c r="E932" s="257" t="inlineStr">
        <is>
          <t>賣</t>
        </is>
      </c>
      <c r="F932" s="229" t="inlineStr">
        <is>
          <t>-</t>
        </is>
      </c>
      <c r="G932" s="697" t="n">
        <v>1</v>
      </c>
      <c r="H932" s="698" t="n">
        <v>50</v>
      </c>
      <c r="I932" s="697" t="n">
        <v>2500</v>
      </c>
      <c r="J932" s="585" t="n">
        <v>18</v>
      </c>
      <c r="K932" s="585" t="n">
        <v>3</v>
      </c>
      <c r="L932" s="585">
        <f>IF(B932="TXO",I932-SUM(J932:K932),IF(B932="FITX",IF(D932="新倉",-SUM(J932:K932),IF(E932="賣",(H932-H1637)*G932*200-SUM(J932:K932),(H1637-H932)*G932*200-SUM(J932:K932))),IF(D932="新倉",-SUM(J932:K932),IF(E932="賣",(H932-H1637)*G932*50-SUM(J932:K932),(H1637-H932)*G932*50-SUM(J932:K932)))))</f>
        <v/>
      </c>
      <c r="M932" s="699">
        <f>L932</f>
        <v/>
      </c>
      <c r="N932" s="686">
        <f>M932</f>
        <v/>
      </c>
      <c r="O932" s="249" t="inlineStr">
        <is>
          <t>平倉</t>
        </is>
      </c>
      <c r="P932" s="249" t="inlineStr">
        <is>
          <t>元大期貨</t>
        </is>
      </c>
    </row>
    <row r="933" hidden="1" outlineLevel="1">
      <c r="A933" s="696" t="n">
        <v>45926</v>
      </c>
      <c r="B933" s="234" t="inlineStr">
        <is>
          <t>TXO</t>
        </is>
      </c>
      <c r="C933" s="229" t="inlineStr">
        <is>
          <t>TXOF4 09 25500 P</t>
        </is>
      </c>
      <c r="D933" s="229" t="inlineStr">
        <is>
          <t>新倉</t>
        </is>
      </c>
      <c r="E933" s="257" t="inlineStr">
        <is>
          <t>買</t>
        </is>
      </c>
      <c r="F933" s="229" t="inlineStr">
        <is>
          <t>-</t>
        </is>
      </c>
      <c r="G933" s="697" t="n">
        <v>1</v>
      </c>
      <c r="H933" s="698" t="n">
        <v>5</v>
      </c>
      <c r="I933" s="697" t="n">
        <v>-250</v>
      </c>
      <c r="J933" s="585" t="n">
        <v>18</v>
      </c>
      <c r="K933" s="585" t="n">
        <v>0</v>
      </c>
      <c r="L933" s="585">
        <f>IF(B933="TXO",I933-SUM(J933:K933),IF(B933="FITX",IF(D933="新倉",-SUM(J933:K933),IF(E933="賣",(H933-H1638)*G933*200-SUM(J933:K933),(H1638-H933)*G933*200-SUM(J933:K933))),IF(D933="新倉",-SUM(J933:K933),IF(E933="賣",(H933-H1638)*G933*50-SUM(J933:K933),(H1638-H933)*G933*50-SUM(J933:K933)))))</f>
        <v/>
      </c>
      <c r="M933" s="699">
        <f>L933</f>
        <v/>
      </c>
      <c r="N933" s="686">
        <f>M933</f>
        <v/>
      </c>
      <c r="O933" s="249" t="inlineStr">
        <is>
          <t>新倉</t>
        </is>
      </c>
      <c r="P933" s="249" t="inlineStr">
        <is>
          <t>元大期貨</t>
        </is>
      </c>
    </row>
    <row r="934" hidden="1" outlineLevel="1">
      <c r="A934" s="696" t="n">
        <v>45926</v>
      </c>
      <c r="B934" s="234" t="inlineStr">
        <is>
          <t>TXO</t>
        </is>
      </c>
      <c r="C934" s="229" t="inlineStr">
        <is>
          <t>TXOF4 09 25500 P</t>
        </is>
      </c>
      <c r="D934" s="229" t="inlineStr">
        <is>
          <t>平倉</t>
        </is>
      </c>
      <c r="E934" s="257" t="inlineStr">
        <is>
          <t>賣</t>
        </is>
      </c>
      <c r="F934" s="229" t="inlineStr">
        <is>
          <t>-</t>
        </is>
      </c>
      <c r="G934" s="697" t="n">
        <v>1</v>
      </c>
      <c r="H934" s="698" t="n">
        <v>75</v>
      </c>
      <c r="I934" s="697" t="n">
        <v>3750</v>
      </c>
      <c r="J934" s="585" t="n">
        <v>18</v>
      </c>
      <c r="K934" s="585" t="n">
        <v>4</v>
      </c>
      <c r="L934" s="585">
        <f>IF(B934="TXO",I934-SUM(J934:K934),IF(B934="FITX",IF(D934="新倉",-SUM(J934:K934),IF(E934="賣",(H934-H1639)*G934*200-SUM(J934:K934),(H1639-H934)*G934*200-SUM(J934:K934))),IF(D934="新倉",-SUM(J934:K934),IF(E934="賣",(H934-H1639)*G934*50-SUM(J934:K934),(H1639-H934)*G934*50-SUM(J934:K934)))))</f>
        <v/>
      </c>
      <c r="M934" s="699">
        <f>L934</f>
        <v/>
      </c>
      <c r="N934" s="686">
        <f>M934</f>
        <v/>
      </c>
      <c r="O934" s="249" t="inlineStr">
        <is>
          <t>平倉</t>
        </is>
      </c>
      <c r="P934" s="249" t="inlineStr">
        <is>
          <t>元大期貨</t>
        </is>
      </c>
    </row>
    <row r="935" hidden="1" outlineLevel="1">
      <c r="A935" s="696" t="n">
        <v>45926</v>
      </c>
      <c r="B935" s="234" t="inlineStr">
        <is>
          <t>TXO</t>
        </is>
      </c>
      <c r="C935" s="229" t="inlineStr">
        <is>
          <t>TXOF4 09 25500 P</t>
        </is>
      </c>
      <c r="D935" s="229" t="inlineStr">
        <is>
          <t>新倉</t>
        </is>
      </c>
      <c r="E935" s="257" t="inlineStr">
        <is>
          <t>買</t>
        </is>
      </c>
      <c r="F935" s="229" t="inlineStr">
        <is>
          <t>-</t>
        </is>
      </c>
      <c r="G935" s="697" t="n">
        <v>1</v>
      </c>
      <c r="H935" s="698" t="n">
        <v>37.5</v>
      </c>
      <c r="I935" s="697" t="n">
        <v>-1875</v>
      </c>
      <c r="J935" s="585" t="n">
        <v>18</v>
      </c>
      <c r="K935" s="585" t="n">
        <v>2</v>
      </c>
      <c r="L935" s="585">
        <f>IF(B935="TXO",I935-SUM(J935:K935),IF(B935="FITX",IF(D935="新倉",-SUM(J935:K935),IF(E935="賣",(H935-H1640)*G935*200-SUM(J935:K935),(H1640-H935)*G935*200-SUM(J935:K935))),IF(D935="新倉",-SUM(J935:K935),IF(E935="賣",(H935-H1640)*G935*50-SUM(J935:K935),(H1640-H935)*G935*50-SUM(J935:K935)))))</f>
        <v/>
      </c>
      <c r="M935" s="699">
        <f>L935</f>
        <v/>
      </c>
      <c r="N935" s="686">
        <f>M935</f>
        <v/>
      </c>
      <c r="O935" s="261" t="inlineStr">
        <is>
          <t>放棄</t>
        </is>
      </c>
      <c r="P935" s="249" t="inlineStr">
        <is>
          <t>元大期貨</t>
        </is>
      </c>
    </row>
    <row r="936" hidden="1" outlineLevel="1">
      <c r="A936" s="696" t="n">
        <v>45926</v>
      </c>
      <c r="B936" s="234" t="inlineStr">
        <is>
          <t>TXO</t>
        </is>
      </c>
      <c r="C936" s="229" t="inlineStr">
        <is>
          <t>TXOF4 09 25500 P</t>
        </is>
      </c>
      <c r="D936" s="229" t="inlineStr">
        <is>
          <t>新倉</t>
        </is>
      </c>
      <c r="E936" s="257" t="inlineStr">
        <is>
          <t>買</t>
        </is>
      </c>
      <c r="F936" s="229" t="inlineStr">
        <is>
          <t>-</t>
        </is>
      </c>
      <c r="G936" s="697" t="n">
        <v>5</v>
      </c>
      <c r="H936" s="698" t="n">
        <v>17</v>
      </c>
      <c r="I936" s="697" t="n">
        <v>-4250</v>
      </c>
      <c r="J936" s="585" t="n">
        <v>90</v>
      </c>
      <c r="K936" s="585" t="n">
        <v>5</v>
      </c>
      <c r="L936" s="585">
        <f>IF(B936="TXO",I936-SUM(J936:K936),IF(B936="FITX",IF(D936="新倉",-SUM(J936:K936),IF(E936="賣",(H936-H1641)*G936*200-SUM(J936:K936),(H1641-H936)*G936*200-SUM(J936:K936))),IF(D936="新倉",-SUM(J936:K936),IF(E936="賣",(H936-H1641)*G936*50-SUM(J936:K936),(H1641-H936)*G936*50-SUM(J936:K936)))))</f>
        <v/>
      </c>
      <c r="M936" s="699">
        <f>L936</f>
        <v/>
      </c>
      <c r="N936" s="686">
        <f>M936</f>
        <v/>
      </c>
      <c r="O936" s="249" t="inlineStr">
        <is>
          <t>新倉</t>
        </is>
      </c>
      <c r="P936" s="249" t="inlineStr">
        <is>
          <t>元大期貨</t>
        </is>
      </c>
    </row>
    <row r="937" hidden="1" outlineLevel="1">
      <c r="A937" s="696" t="n">
        <v>45926</v>
      </c>
      <c r="B937" s="234" t="inlineStr">
        <is>
          <t>TXO</t>
        </is>
      </c>
      <c r="C937" s="229" t="inlineStr">
        <is>
          <t>TXOF4 09 25500 P</t>
        </is>
      </c>
      <c r="D937" s="229" t="inlineStr">
        <is>
          <t>新倉</t>
        </is>
      </c>
      <c r="E937" s="257" t="inlineStr">
        <is>
          <t>買</t>
        </is>
      </c>
      <c r="F937" s="229" t="inlineStr">
        <is>
          <t>-</t>
        </is>
      </c>
      <c r="G937" s="697" t="n">
        <v>1</v>
      </c>
      <c r="H937" s="698" t="n">
        <v>4.5</v>
      </c>
      <c r="I937" s="697" t="n">
        <v>-225</v>
      </c>
      <c r="J937" s="585" t="n">
        <v>18</v>
      </c>
      <c r="K937" s="585" t="n">
        <v>0</v>
      </c>
      <c r="L937" s="585">
        <f>IF(B937="TXO",I937-SUM(J937:K937),IF(B937="FITX",IF(D937="新倉",-SUM(J937:K937),IF(E937="賣",(H937-H1642)*G937*200-SUM(J937:K937),(H1642-H937)*G937*200-SUM(J937:K937))),IF(D937="新倉",-SUM(J937:K937),IF(E937="賣",(H937-H1642)*G937*50-SUM(J937:K937),(H1642-H937)*G937*50-SUM(J937:K937)))))</f>
        <v/>
      </c>
      <c r="M937" s="699">
        <f>L937</f>
        <v/>
      </c>
      <c r="N937" s="686">
        <f>M937</f>
        <v/>
      </c>
      <c r="O937" s="249" t="inlineStr">
        <is>
          <t>新倉</t>
        </is>
      </c>
      <c r="P937" s="249" t="inlineStr">
        <is>
          <t>元大期貨</t>
        </is>
      </c>
    </row>
    <row r="938" hidden="1" outlineLevel="1">
      <c r="A938" s="696" t="n">
        <v>45926</v>
      </c>
      <c r="B938" s="234" t="inlineStr">
        <is>
          <t>TXO</t>
        </is>
      </c>
      <c r="C938" s="229" t="inlineStr">
        <is>
          <t>TXOF4 09 25500 P</t>
        </is>
      </c>
      <c r="D938" s="229" t="inlineStr">
        <is>
          <t>新倉</t>
        </is>
      </c>
      <c r="E938" s="257" t="inlineStr">
        <is>
          <t>買</t>
        </is>
      </c>
      <c r="F938" s="229" t="inlineStr">
        <is>
          <t>-</t>
        </is>
      </c>
      <c r="G938" s="697" t="n">
        <v>2</v>
      </c>
      <c r="H938" s="698" t="n">
        <v>6.8</v>
      </c>
      <c r="I938" s="697" t="n">
        <v>-680</v>
      </c>
      <c r="J938" s="585" t="n">
        <v>36</v>
      </c>
      <c r="K938" s="585" t="n">
        <v>0</v>
      </c>
      <c r="L938" s="585">
        <f>IF(B938="TXO",I938-SUM(J938:K938),IF(B938="FITX",IF(D938="新倉",-SUM(J938:K938),IF(E938="賣",(H938-H1643)*G938*200-SUM(J938:K938),(H1643-H938)*G938*200-SUM(J938:K938))),IF(D938="新倉",-SUM(J938:K938),IF(E938="賣",(H938-H1643)*G938*50-SUM(J938:K938),(H1643-H938)*G938*50-SUM(J938:K938)))))</f>
        <v/>
      </c>
      <c r="M938" s="699">
        <f>L938</f>
        <v/>
      </c>
      <c r="N938" s="686">
        <f>M938</f>
        <v/>
      </c>
      <c r="O938" s="249" t="inlineStr">
        <is>
          <t>新倉</t>
        </is>
      </c>
      <c r="P938" s="249" t="inlineStr">
        <is>
          <t>元大期貨</t>
        </is>
      </c>
    </row>
    <row r="939" hidden="1" outlineLevel="1">
      <c r="A939" s="696" t="n">
        <v>45926</v>
      </c>
      <c r="B939" s="234" t="inlineStr">
        <is>
          <t>TXO</t>
        </is>
      </c>
      <c r="C939" s="229" t="inlineStr">
        <is>
          <t>TXOF4 09 25500 P</t>
        </is>
      </c>
      <c r="D939" s="229" t="inlineStr">
        <is>
          <t>新倉</t>
        </is>
      </c>
      <c r="E939" s="257" t="inlineStr">
        <is>
          <t>買</t>
        </is>
      </c>
      <c r="F939" s="229" t="inlineStr">
        <is>
          <t>-</t>
        </is>
      </c>
      <c r="G939" s="697" t="n">
        <v>1</v>
      </c>
      <c r="H939" s="698" t="n">
        <v>12</v>
      </c>
      <c r="I939" s="697" t="n">
        <v>-600</v>
      </c>
      <c r="J939" s="585" t="n">
        <v>18</v>
      </c>
      <c r="K939" s="585" t="n">
        <v>1</v>
      </c>
      <c r="L939" s="585">
        <f>IF(B939="TXO",I939-SUM(J939:K939),IF(B939="FITX",IF(D939="新倉",-SUM(J939:K939),IF(E939="賣",(H939-H1644)*G939*200-SUM(J939:K939),(H1644-H939)*G939*200-SUM(J939:K939))),IF(D939="新倉",-SUM(J939:K939),IF(E939="賣",(H939-H1644)*G939*50-SUM(J939:K939),(H1644-H939)*G939*50-SUM(J939:K939)))))</f>
        <v/>
      </c>
      <c r="M939" s="699">
        <f>L939</f>
        <v/>
      </c>
      <c r="N939" s="686">
        <f>M939</f>
        <v/>
      </c>
      <c r="O939" s="249" t="inlineStr">
        <is>
          <t>新倉</t>
        </is>
      </c>
      <c r="P939" s="249" t="inlineStr">
        <is>
          <t>元大期貨</t>
        </is>
      </c>
    </row>
    <row r="940" hidden="1" outlineLevel="1">
      <c r="A940" s="696" t="n">
        <v>45926</v>
      </c>
      <c r="B940" s="234" t="inlineStr">
        <is>
          <t>TXO</t>
        </is>
      </c>
      <c r="C940" s="229" t="inlineStr">
        <is>
          <t>TXOF4 09 25500 P</t>
        </is>
      </c>
      <c r="D940" s="229" t="inlineStr">
        <is>
          <t>平倉</t>
        </is>
      </c>
      <c r="E940" s="257" t="inlineStr">
        <is>
          <t>賣</t>
        </is>
      </c>
      <c r="F940" s="229" t="inlineStr">
        <is>
          <t>-</t>
        </is>
      </c>
      <c r="G940" s="697" t="n">
        <v>2</v>
      </c>
      <c r="H940" s="698" t="n">
        <v>42</v>
      </c>
      <c r="I940" s="697" t="n">
        <v>4200</v>
      </c>
      <c r="J940" s="585" t="n">
        <v>36</v>
      </c>
      <c r="K940" s="585" t="n">
        <v>4</v>
      </c>
      <c r="L940" s="585">
        <f>IF(B940="TXO",I940-SUM(J940:K940),IF(B940="FITX",IF(D940="新倉",-SUM(J940:K940),IF(E940="賣",(H940-H1645)*G940*200-SUM(J940:K940),(H1645-H940)*G940*200-SUM(J940:K940))),IF(D940="新倉",-SUM(J940:K940),IF(E940="賣",(H940-H1645)*G940*50-SUM(J940:K940),(H1645-H940)*G940*50-SUM(J940:K940)))))</f>
        <v/>
      </c>
      <c r="M940" s="699">
        <f>L940</f>
        <v/>
      </c>
      <c r="N940" s="686">
        <f>M940</f>
        <v/>
      </c>
      <c r="O940" s="249" t="inlineStr">
        <is>
          <t>平倉</t>
        </is>
      </c>
      <c r="P940" s="249" t="inlineStr">
        <is>
          <t>元大期貨</t>
        </is>
      </c>
    </row>
    <row r="941" hidden="1" outlineLevel="1">
      <c r="A941" s="696" t="n">
        <v>45926</v>
      </c>
      <c r="B941" s="234" t="inlineStr">
        <is>
          <t>TXO</t>
        </is>
      </c>
      <c r="C941" s="229" t="inlineStr">
        <is>
          <t>TXOF4 09 25500 P</t>
        </is>
      </c>
      <c r="D941" s="229" t="inlineStr">
        <is>
          <t>平倉</t>
        </is>
      </c>
      <c r="E941" s="257" t="inlineStr">
        <is>
          <t>賣</t>
        </is>
      </c>
      <c r="F941" s="229" t="inlineStr">
        <is>
          <t>-</t>
        </is>
      </c>
      <c r="G941" s="697" t="n">
        <v>2</v>
      </c>
      <c r="H941" s="698" t="n">
        <v>30.5</v>
      </c>
      <c r="I941" s="697" t="n">
        <v>3050</v>
      </c>
      <c r="J941" s="585" t="n">
        <v>36</v>
      </c>
      <c r="K941" s="585" t="n">
        <v>4</v>
      </c>
      <c r="L941" s="585">
        <f>IF(B941="TXO",I941-SUM(J941:K941),IF(B941="FITX",IF(D941="新倉",-SUM(J941:K941),IF(E941="賣",(H941-H1646)*G941*200-SUM(J941:K941),(H1646-H941)*G941*200-SUM(J941:K941))),IF(D941="新倉",-SUM(J941:K941),IF(E941="賣",(H941-H1646)*G941*50-SUM(J941:K941),(H1646-H941)*G941*50-SUM(J941:K941)))))</f>
        <v/>
      </c>
      <c r="M941" s="699">
        <f>L941</f>
        <v/>
      </c>
      <c r="N941" s="686">
        <f>M941</f>
        <v/>
      </c>
      <c r="O941" s="249" t="inlineStr">
        <is>
          <t>平倉</t>
        </is>
      </c>
      <c r="P941" s="249" t="inlineStr">
        <is>
          <t>元大期貨</t>
        </is>
      </c>
    </row>
    <row r="942" hidden="1" outlineLevel="1">
      <c r="A942" s="696" t="n">
        <v>45926</v>
      </c>
      <c r="B942" s="234" t="inlineStr">
        <is>
          <t>TXO</t>
        </is>
      </c>
      <c r="C942" s="229" t="inlineStr">
        <is>
          <t>TXOF4 09 25500 P</t>
        </is>
      </c>
      <c r="D942" s="229" t="inlineStr">
        <is>
          <t>平倉</t>
        </is>
      </c>
      <c r="E942" s="257" t="inlineStr">
        <is>
          <t>賣</t>
        </is>
      </c>
      <c r="F942" s="229" t="inlineStr">
        <is>
          <t>-</t>
        </is>
      </c>
      <c r="G942" s="697" t="n">
        <v>2</v>
      </c>
      <c r="H942" s="698" t="n">
        <v>40</v>
      </c>
      <c r="I942" s="697" t="n">
        <v>4000</v>
      </c>
      <c r="J942" s="585" t="n">
        <v>36</v>
      </c>
      <c r="K942" s="585" t="n">
        <v>4</v>
      </c>
      <c r="L942" s="585">
        <f>IF(B942="TXO",I942-SUM(J942:K942),IF(B942="FITX",IF(D942="新倉",-SUM(J942:K942),IF(E942="賣",(H942-H1647)*G942*200-SUM(J942:K942),(H1647-H942)*G942*200-SUM(J942:K942))),IF(D942="新倉",-SUM(J942:K942),IF(E942="賣",(H942-H1647)*G942*50-SUM(J942:K942),(H1647-H942)*G942*50-SUM(J942:K942)))))</f>
        <v/>
      </c>
      <c r="M942" s="699">
        <f>L942</f>
        <v/>
      </c>
      <c r="N942" s="686">
        <f>M942</f>
        <v/>
      </c>
      <c r="O942" s="249" t="inlineStr">
        <is>
          <t>平倉</t>
        </is>
      </c>
      <c r="P942" s="249" t="inlineStr">
        <is>
          <t>元大期貨</t>
        </is>
      </c>
    </row>
    <row r="943" hidden="1" outlineLevel="1">
      <c r="A943" s="696" t="n">
        <v>45926</v>
      </c>
      <c r="B943" s="234" t="inlineStr">
        <is>
          <t>TXO</t>
        </is>
      </c>
      <c r="C943" s="229" t="inlineStr">
        <is>
          <t>TXOF4 09 25500 P</t>
        </is>
      </c>
      <c r="D943" s="229" t="inlineStr">
        <is>
          <t>平倉</t>
        </is>
      </c>
      <c r="E943" s="257" t="inlineStr">
        <is>
          <t>賣</t>
        </is>
      </c>
      <c r="F943" s="229" t="inlineStr">
        <is>
          <t>-</t>
        </is>
      </c>
      <c r="G943" s="697" t="n">
        <v>4</v>
      </c>
      <c r="H943" s="698" t="n">
        <v>39.5</v>
      </c>
      <c r="I943" s="697" t="n">
        <v>7900</v>
      </c>
      <c r="J943" s="585" t="n">
        <v>72</v>
      </c>
      <c r="K943" s="585" t="n">
        <v>8</v>
      </c>
      <c r="L943" s="585">
        <f>IF(B943="TXO",I943-SUM(J943:K943),IF(B943="FITX",IF(D943="新倉",-SUM(J943:K943),IF(E943="賣",(H943-H1648)*G943*200-SUM(J943:K943),(H1648-H943)*G943*200-SUM(J943:K943))),IF(D943="新倉",-SUM(J943:K943),IF(E943="賣",(H943-H1648)*G943*50-SUM(J943:K943),(H1648-H943)*G943*50-SUM(J943:K943)))))</f>
        <v/>
      </c>
      <c r="M943" s="699">
        <f>L943</f>
        <v/>
      </c>
      <c r="N943" s="686">
        <f>M943</f>
        <v/>
      </c>
      <c r="O943" s="249" t="inlineStr">
        <is>
          <t>平倉</t>
        </is>
      </c>
      <c r="P943" s="249" t="inlineStr">
        <is>
          <t>元大期貨</t>
        </is>
      </c>
    </row>
    <row r="944" hidden="1" outlineLevel="1">
      <c r="A944" s="696" t="n">
        <v>45926</v>
      </c>
      <c r="B944" s="234" t="inlineStr">
        <is>
          <t>TXO</t>
        </is>
      </c>
      <c r="C944" s="229" t="inlineStr">
        <is>
          <t>TXOF4 09 25550 P</t>
        </is>
      </c>
      <c r="D944" s="229" t="inlineStr">
        <is>
          <t>新倉</t>
        </is>
      </c>
      <c r="E944" s="257" t="inlineStr">
        <is>
          <t>買</t>
        </is>
      </c>
      <c r="F944" s="229" t="inlineStr">
        <is>
          <t>-</t>
        </is>
      </c>
      <c r="G944" s="697" t="n">
        <v>1</v>
      </c>
      <c r="H944" s="698" t="n">
        <v>6.7</v>
      </c>
      <c r="I944" s="697" t="n">
        <v>-335</v>
      </c>
      <c r="J944" s="585" t="n">
        <v>18</v>
      </c>
      <c r="K944" s="585" t="n">
        <v>0</v>
      </c>
      <c r="L944" s="585">
        <f>IF(B944="TXO",I944-SUM(J944:K944),IF(B944="FITX",IF(D944="新倉",-SUM(J944:K944),IF(E944="賣",(H944-H1649)*G944*200-SUM(J944:K944),(H1649-H944)*G944*200-SUM(J944:K944))),IF(D944="新倉",-SUM(J944:K944),IF(E944="賣",(H944-H1649)*G944*50-SUM(J944:K944),(H1649-H944)*G944*50-SUM(J944:K944)))))</f>
        <v/>
      </c>
      <c r="M944" s="699">
        <f>L944</f>
        <v/>
      </c>
      <c r="N944" s="686">
        <f>M944</f>
        <v/>
      </c>
      <c r="O944" s="261" t="inlineStr">
        <is>
          <t>放棄</t>
        </is>
      </c>
      <c r="P944" s="249" t="inlineStr">
        <is>
          <t>元大期貨</t>
        </is>
      </c>
    </row>
    <row r="945" hidden="1" outlineLevel="1">
      <c r="A945" s="696" t="n">
        <v>45926</v>
      </c>
      <c r="B945" s="234" t="inlineStr">
        <is>
          <t>TXO</t>
        </is>
      </c>
      <c r="C945" s="229" t="inlineStr">
        <is>
          <t>TXOF4 09 25550 P</t>
        </is>
      </c>
      <c r="D945" s="229" t="inlineStr">
        <is>
          <t>新倉</t>
        </is>
      </c>
      <c r="E945" s="257" t="inlineStr">
        <is>
          <t>買</t>
        </is>
      </c>
      <c r="F945" s="229" t="inlineStr">
        <is>
          <t>-</t>
        </is>
      </c>
      <c r="G945" s="697" t="n">
        <v>1</v>
      </c>
      <c r="H945" s="698" t="n">
        <v>28</v>
      </c>
      <c r="I945" s="697" t="n">
        <v>-1400</v>
      </c>
      <c r="J945" s="585" t="n">
        <v>18</v>
      </c>
      <c r="K945" s="585" t="n">
        <v>1</v>
      </c>
      <c r="L945" s="585">
        <f>IF(B945="TXO",I945-SUM(J945:K945),IF(B945="FITX",IF(D945="新倉",-SUM(J945:K945),IF(E945="賣",(H945-H1650)*G945*200-SUM(J945:K945),(H1650-H945)*G945*200-SUM(J945:K945))),IF(D945="新倉",-SUM(J945:K945),IF(E945="賣",(H945-H1650)*G945*50-SUM(J945:K945),(H1650-H945)*G945*50-SUM(J945:K945)))))</f>
        <v/>
      </c>
      <c r="M945" s="699">
        <f>L945</f>
        <v/>
      </c>
      <c r="N945" s="686">
        <f>M945</f>
        <v/>
      </c>
      <c r="O945" s="261" t="inlineStr">
        <is>
          <t>放棄</t>
        </is>
      </c>
      <c r="P945" s="249" t="inlineStr">
        <is>
          <t>元大期貨</t>
        </is>
      </c>
    </row>
    <row r="946" hidden="1" outlineLevel="1">
      <c r="A946" s="696" t="n">
        <v>45926</v>
      </c>
      <c r="B946" s="234" t="inlineStr">
        <is>
          <t>TXO</t>
        </is>
      </c>
      <c r="C946" s="229" t="inlineStr">
        <is>
          <t>TXOF4 09 25350 P</t>
        </is>
      </c>
      <c r="D946" s="229" t="inlineStr">
        <is>
          <t>新倉</t>
        </is>
      </c>
      <c r="E946" s="257" t="inlineStr">
        <is>
          <t>買</t>
        </is>
      </c>
      <c r="F946" s="229" t="inlineStr">
        <is>
          <t>-</t>
        </is>
      </c>
      <c r="G946" s="697" t="n">
        <v>1</v>
      </c>
      <c r="H946" s="698" t="n">
        <v>2</v>
      </c>
      <c r="I946" s="697" t="n">
        <v>-100</v>
      </c>
      <c r="J946" s="585" t="n">
        <v>18</v>
      </c>
      <c r="K946" s="585" t="n">
        <v>0</v>
      </c>
      <c r="L946" s="585">
        <f>IF(B946="TXO",I946-SUM(J946:K946),IF(B946="FITX",IF(D946="新倉",-SUM(J946:K946),IF(E946="賣",(H946-H1651)*G946*200-SUM(J946:K946),(H1651-H946)*G946*200-SUM(J946:K946))),IF(D946="新倉",-SUM(J946:K946),IF(E946="賣",(H946-H1651)*G946*50-SUM(J946:K946),(H1651-H946)*G946*50-SUM(J946:K946)))))</f>
        <v/>
      </c>
      <c r="M946" s="699">
        <f>L946</f>
        <v/>
      </c>
      <c r="N946" s="686">
        <f>M946</f>
        <v/>
      </c>
      <c r="O946" s="261" t="inlineStr">
        <is>
          <t>放棄</t>
        </is>
      </c>
      <c r="P946" s="249" t="inlineStr">
        <is>
          <t>元大期貨</t>
        </is>
      </c>
    </row>
    <row r="947" hidden="1" outlineLevel="1">
      <c r="A947" s="696" t="n">
        <v>45926</v>
      </c>
      <c r="B947" s="234" t="inlineStr">
        <is>
          <t>TXO</t>
        </is>
      </c>
      <c r="C947" s="229" t="inlineStr">
        <is>
          <t>TXOF4 09 25350 P</t>
        </is>
      </c>
      <c r="D947" s="229" t="inlineStr">
        <is>
          <t>新倉</t>
        </is>
      </c>
      <c r="E947" s="257" t="inlineStr">
        <is>
          <t>買</t>
        </is>
      </c>
      <c r="F947" s="229" t="inlineStr">
        <is>
          <t>-</t>
        </is>
      </c>
      <c r="G947" s="697" t="n">
        <v>1</v>
      </c>
      <c r="H947" s="698" t="n">
        <v>13</v>
      </c>
      <c r="I947" s="697" t="n">
        <v>-650</v>
      </c>
      <c r="J947" s="585" t="n">
        <v>18</v>
      </c>
      <c r="K947" s="585" t="n">
        <v>1</v>
      </c>
      <c r="L947" s="585">
        <f>IF(B947="TXO",I947-SUM(J947:K947),IF(B947="FITX",IF(D947="新倉",-SUM(J947:K947),IF(E947="賣",(H947-H1652)*G947*200-SUM(J947:K947),(H1652-H947)*G947*200-SUM(J947:K947))),IF(D947="新倉",-SUM(J947:K947),IF(E947="賣",(H947-H1652)*G947*50-SUM(J947:K947),(H1652-H947)*G947*50-SUM(J947:K947)))))</f>
        <v/>
      </c>
      <c r="M947" s="699">
        <f>L947</f>
        <v/>
      </c>
      <c r="N947" s="686">
        <f>M947</f>
        <v/>
      </c>
      <c r="O947" s="261" t="inlineStr">
        <is>
          <t>放棄</t>
        </is>
      </c>
      <c r="P947" s="249" t="inlineStr">
        <is>
          <t>元大期貨</t>
        </is>
      </c>
    </row>
    <row r="948" hidden="1" outlineLevel="1">
      <c r="A948" s="696" t="n">
        <v>45926</v>
      </c>
      <c r="B948" s="234" t="inlineStr">
        <is>
          <t>TXO</t>
        </is>
      </c>
      <c r="C948" s="229" t="inlineStr">
        <is>
          <t>TXOF4 09 25350 P</t>
        </is>
      </c>
      <c r="D948" s="229" t="inlineStr">
        <is>
          <t>新倉</t>
        </is>
      </c>
      <c r="E948" s="257" t="inlineStr">
        <is>
          <t>買</t>
        </is>
      </c>
      <c r="F948" s="229" t="inlineStr">
        <is>
          <t>-</t>
        </is>
      </c>
      <c r="G948" s="697" t="n">
        <v>1</v>
      </c>
      <c r="H948" s="698" t="n">
        <v>18</v>
      </c>
      <c r="I948" s="697" t="n">
        <v>-900</v>
      </c>
      <c r="J948" s="585" t="n">
        <v>18</v>
      </c>
      <c r="K948" s="585" t="n">
        <v>1</v>
      </c>
      <c r="L948" s="585">
        <f>IF(B948="TXO",I948-SUM(J948:K948),IF(B948="FITX",IF(D948="新倉",-SUM(J948:K948),IF(E948="賣",(H948-H1653)*G948*200-SUM(J948:K948),(H1653-H948)*G948*200-SUM(J948:K948))),IF(D948="新倉",-SUM(J948:K948),IF(E948="賣",(H948-H1653)*G948*50-SUM(J948:K948),(H1653-H948)*G948*50-SUM(J948:K948)))))</f>
        <v/>
      </c>
      <c r="M948" s="699">
        <f>L948</f>
        <v/>
      </c>
      <c r="N948" s="686">
        <f>M948</f>
        <v/>
      </c>
      <c r="O948" s="261" t="inlineStr">
        <is>
          <t>放棄</t>
        </is>
      </c>
      <c r="P948" s="249" t="inlineStr">
        <is>
          <t>元大期貨</t>
        </is>
      </c>
    </row>
    <row r="949" hidden="1" outlineLevel="1">
      <c r="A949" s="696" t="n">
        <v>45926</v>
      </c>
      <c r="B949" s="234" t="inlineStr">
        <is>
          <t>TXO</t>
        </is>
      </c>
      <c r="C949" s="229" t="inlineStr">
        <is>
          <t>TXOF4 09 25450 P</t>
        </is>
      </c>
      <c r="D949" s="229" t="inlineStr">
        <is>
          <t>新倉</t>
        </is>
      </c>
      <c r="E949" s="257" t="inlineStr">
        <is>
          <t>買</t>
        </is>
      </c>
      <c r="F949" s="229" t="inlineStr">
        <is>
          <t>-</t>
        </is>
      </c>
      <c r="G949" s="697" t="n">
        <v>1</v>
      </c>
      <c r="H949" s="698" t="n">
        <v>6</v>
      </c>
      <c r="I949" s="697" t="n">
        <v>-300</v>
      </c>
      <c r="J949" s="585" t="n">
        <v>18</v>
      </c>
      <c r="K949" s="585" t="n">
        <v>0</v>
      </c>
      <c r="L949" s="585">
        <f>IF(B949="TXO",I949-SUM(J949:K949),IF(B949="FITX",IF(D949="新倉",-SUM(J949:K949),IF(E949="賣",(H949-H1654)*G949*200-SUM(J949:K949),(H1654-H949)*G949*200-SUM(J949:K949))),IF(D949="新倉",-SUM(J949:K949),IF(E949="賣",(H949-H1654)*G949*50-SUM(J949:K949),(H1654-H949)*G949*50-SUM(J949:K949)))))</f>
        <v/>
      </c>
      <c r="M949" s="699">
        <f>L949</f>
        <v/>
      </c>
      <c r="N949" s="686">
        <f>M949</f>
        <v/>
      </c>
      <c r="O949" s="261" t="inlineStr">
        <is>
          <t>放棄</t>
        </is>
      </c>
      <c r="P949" s="249" t="inlineStr">
        <is>
          <t>元大期貨</t>
        </is>
      </c>
    </row>
    <row r="950" hidden="1" outlineLevel="1">
      <c r="A950" s="696" t="n">
        <v>45926</v>
      </c>
      <c r="B950" s="234" t="inlineStr">
        <is>
          <t>TXO</t>
        </is>
      </c>
      <c r="C950" s="229" t="inlineStr">
        <is>
          <t>TXOF4 09 25450 P</t>
        </is>
      </c>
      <c r="D950" s="229" t="inlineStr">
        <is>
          <t>新倉</t>
        </is>
      </c>
      <c r="E950" s="257" t="inlineStr">
        <is>
          <t>買</t>
        </is>
      </c>
      <c r="F950" s="229" t="inlineStr">
        <is>
          <t>-</t>
        </is>
      </c>
      <c r="G950" s="697" t="n">
        <v>1</v>
      </c>
      <c r="H950" s="698" t="n">
        <v>4</v>
      </c>
      <c r="I950" s="697" t="n">
        <v>-200</v>
      </c>
      <c r="J950" s="585" t="n">
        <v>18</v>
      </c>
      <c r="K950" s="585" t="n">
        <v>0</v>
      </c>
      <c r="L950" s="585">
        <f>IF(B950="TXO",I950-SUM(J950:K950),IF(B950="FITX",IF(D950="新倉",-SUM(J950:K950),IF(E950="賣",(H950-H1655)*G950*200-SUM(J950:K950),(H1655-H950)*G950*200-SUM(J950:K950))),IF(D950="新倉",-SUM(J950:K950),IF(E950="賣",(H950-H1655)*G950*50-SUM(J950:K950),(H1655-H950)*G950*50-SUM(J950:K950)))))</f>
        <v/>
      </c>
      <c r="M950" s="699">
        <f>L950</f>
        <v/>
      </c>
      <c r="N950" s="686">
        <f>M950</f>
        <v/>
      </c>
      <c r="O950" s="261" t="inlineStr">
        <is>
          <t>放棄</t>
        </is>
      </c>
      <c r="P950" s="249" t="inlineStr">
        <is>
          <t>元大期貨</t>
        </is>
      </c>
    </row>
    <row r="951" hidden="1" outlineLevel="1">
      <c r="A951" s="696" t="n">
        <v>45926</v>
      </c>
      <c r="B951" s="234" t="inlineStr">
        <is>
          <t>TXO</t>
        </is>
      </c>
      <c r="C951" s="229" t="inlineStr">
        <is>
          <t>TXOF4 09 25450 P</t>
        </is>
      </c>
      <c r="D951" s="229" t="inlineStr">
        <is>
          <t>新倉</t>
        </is>
      </c>
      <c r="E951" s="257" t="inlineStr">
        <is>
          <t>買</t>
        </is>
      </c>
      <c r="F951" s="229" t="inlineStr">
        <is>
          <t>-</t>
        </is>
      </c>
      <c r="G951" s="697" t="n">
        <v>1</v>
      </c>
      <c r="H951" s="698" t="n">
        <v>43.5</v>
      </c>
      <c r="I951" s="697" t="n">
        <v>-2175</v>
      </c>
      <c r="J951" s="585" t="n">
        <v>18</v>
      </c>
      <c r="K951" s="585" t="n">
        <v>2</v>
      </c>
      <c r="L951" s="585">
        <f>IF(B951="TXO",I951-SUM(J951:K951),IF(B951="FITX",IF(D951="新倉",-SUM(J951:K951),IF(E951="賣",(H951-H1656)*G951*200-SUM(J951:K951),(H1656-H951)*G951*200-SUM(J951:K951))),IF(D951="新倉",-SUM(J951:K951),IF(E951="賣",(H951-H1656)*G951*50-SUM(J951:K951),(H1656-H951)*G951*50-SUM(J951:K951)))))</f>
        <v/>
      </c>
      <c r="M951" s="699">
        <f>L951</f>
        <v/>
      </c>
      <c r="N951" s="686">
        <f>M951</f>
        <v/>
      </c>
      <c r="O951" s="261" t="inlineStr">
        <is>
          <t>放棄</t>
        </is>
      </c>
      <c r="P951" s="249" t="inlineStr">
        <is>
          <t>元大期貨</t>
        </is>
      </c>
    </row>
    <row r="952" hidden="1" outlineLevel="1">
      <c r="A952" s="696" t="n">
        <v>45926</v>
      </c>
      <c r="B952" s="234" t="inlineStr">
        <is>
          <t>TXO</t>
        </is>
      </c>
      <c r="C952" s="229" t="inlineStr">
        <is>
          <t>TXOW1 10 23500 P</t>
        </is>
      </c>
      <c r="D952" s="229" t="inlineStr">
        <is>
          <t>新倉</t>
        </is>
      </c>
      <c r="E952" s="257" t="inlineStr">
        <is>
          <t>買</t>
        </is>
      </c>
      <c r="F952" s="229" t="inlineStr">
        <is>
          <t>-</t>
        </is>
      </c>
      <c r="G952" s="697" t="n">
        <v>10</v>
      </c>
      <c r="H952" s="698" t="n">
        <v>3.5</v>
      </c>
      <c r="I952" s="697" t="n">
        <v>-1750</v>
      </c>
      <c r="J952" s="585" t="n">
        <v>180</v>
      </c>
      <c r="K952" s="585" t="n">
        <v>0</v>
      </c>
      <c r="L952" s="585">
        <f>IF(B952="TXO",I952-SUM(J952:K952),IF(B952="FITX",IF(D952="新倉",-SUM(J952:K952),IF(E952="賣",(H952-H1657)*G952*200-SUM(J952:K952),(H1657-H952)*G952*200-SUM(J952:K952))),IF(D952="新倉",-SUM(J952:K952),IF(E952="賣",(H952-H1657)*G952*50-SUM(J952:K952),(H1657-H952)*G952*50-SUM(J952:K952)))))</f>
        <v/>
      </c>
      <c r="M952" s="699">
        <f>L952</f>
        <v/>
      </c>
      <c r="N952" s="686">
        <f>M952</f>
        <v/>
      </c>
      <c r="O952" s="261" t="inlineStr">
        <is>
          <t>放棄</t>
        </is>
      </c>
      <c r="P952" s="249" t="inlineStr">
        <is>
          <t>元大期貨</t>
        </is>
      </c>
    </row>
    <row r="953" hidden="1" outlineLevel="1" ht="17.25" customHeight="1" thickBot="1">
      <c r="A953" s="696" t="n">
        <v>45926</v>
      </c>
      <c r="B953" s="234" t="inlineStr">
        <is>
          <t>TXO</t>
        </is>
      </c>
      <c r="C953" s="229" t="inlineStr">
        <is>
          <t>TXOW1 10 24700 P</t>
        </is>
      </c>
      <c r="D953" s="229" t="inlineStr">
        <is>
          <t>新倉</t>
        </is>
      </c>
      <c r="E953" s="257" t="inlineStr">
        <is>
          <t>買</t>
        </is>
      </c>
      <c r="F953" s="229" t="inlineStr">
        <is>
          <t>-</t>
        </is>
      </c>
      <c r="G953" s="697" t="n">
        <v>1</v>
      </c>
      <c r="H953" s="698" t="n">
        <v>31</v>
      </c>
      <c r="I953" s="697" t="n">
        <v>-1550</v>
      </c>
      <c r="J953" s="585" t="n">
        <v>18</v>
      </c>
      <c r="K953" s="585" t="n">
        <v>2</v>
      </c>
      <c r="L953" s="585">
        <f>IF(B953="TXO",I953-SUM(J953:K953),IF(B953="FITX",IF(D953="新倉",-SUM(J953:K953),IF(E953="賣",(H953-H1658)*G953*200-SUM(J953:K953),(H1658-H953)*G953*200-SUM(J953:K953))),IF(D953="新倉",-SUM(J953:K953),IF(E953="賣",(H953-H1658)*G953*50-SUM(J953:K953),(H1658-H953)*G953*50-SUM(J953:K953)))))</f>
        <v/>
      </c>
      <c r="M953" s="699">
        <f>L953</f>
        <v/>
      </c>
      <c r="N953" s="686">
        <f>M953</f>
        <v/>
      </c>
      <c r="O953" s="261" t="inlineStr">
        <is>
          <t>放棄</t>
        </is>
      </c>
      <c r="P953" s="249" t="inlineStr">
        <is>
          <t>元大期貨</t>
        </is>
      </c>
    </row>
    <row r="954" collapsed="1" ht="17.25" customHeight="1" thickBot="1">
      <c r="A954" s="466" t="inlineStr">
        <is>
          <t>9月總計</t>
        </is>
      </c>
      <c r="B954" s="274" t="n"/>
      <c r="C954" s="274" t="n"/>
      <c r="D954" s="274" t="n"/>
      <c r="E954" s="274" t="n"/>
      <c r="F954" s="274" t="n"/>
      <c r="G954" s="715" t="n"/>
      <c r="H954" s="715" t="n"/>
      <c r="I954" s="715" t="n"/>
      <c r="J954" s="716" t="n"/>
      <c r="K954" s="715" t="n"/>
      <c r="L954" s="717">
        <f>SUM(L820:L953)</f>
        <v/>
      </c>
      <c r="M954" s="717">
        <f>SUM(M820:M953)</f>
        <v/>
      </c>
      <c r="N954" s="666" t="n"/>
      <c r="P954" s="249" t="inlineStr">
        <is>
          <t>元大期貨</t>
        </is>
      </c>
    </row>
    <row r="955" outlineLevel="1">
      <c r="A955" s="696" t="n">
        <v>45931</v>
      </c>
      <c r="B955" s="234" t="inlineStr">
        <is>
          <t>TXO</t>
        </is>
      </c>
      <c r="C955" s="229" t="inlineStr">
        <is>
          <t>週W1 P 10 25850 P</t>
        </is>
      </c>
      <c r="D955" s="229" t="inlineStr">
        <is>
          <t>新倉</t>
        </is>
      </c>
      <c r="E955" s="257" t="inlineStr">
        <is>
          <t>買</t>
        </is>
      </c>
      <c r="F955" s="229" t="inlineStr">
        <is>
          <t>-</t>
        </is>
      </c>
      <c r="G955" s="697" t="n">
        <v>5</v>
      </c>
      <c r="H955" s="698" t="n">
        <v>4.8</v>
      </c>
      <c r="I955" s="697" t="n">
        <v>-1200</v>
      </c>
      <c r="J955" s="585" t="n">
        <v>90</v>
      </c>
      <c r="K955" s="585" t="n">
        <v>0</v>
      </c>
      <c r="L955" s="585">
        <f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/>
      </c>
      <c r="M955" s="699">
        <f>L955</f>
        <v/>
      </c>
      <c r="N955" s="686">
        <f>M955</f>
        <v/>
      </c>
      <c r="O955" s="261" t="inlineStr">
        <is>
          <t>放棄</t>
        </is>
      </c>
      <c r="P955" s="249" t="inlineStr">
        <is>
          <t>元大期貨</t>
        </is>
      </c>
    </row>
    <row r="956" outlineLevel="1">
      <c r="A956" s="696" t="n">
        <v>45931</v>
      </c>
      <c r="B956" s="234" t="inlineStr">
        <is>
          <t>TXO</t>
        </is>
      </c>
      <c r="C956" s="229" t="inlineStr">
        <is>
          <t>週W1 P 10 25950 P</t>
        </is>
      </c>
      <c r="D956" s="229" t="inlineStr">
        <is>
          <t>新倉</t>
        </is>
      </c>
      <c r="E956" s="257" t="inlineStr">
        <is>
          <t>買</t>
        </is>
      </c>
      <c r="F956" s="229" t="inlineStr">
        <is>
          <t>-</t>
        </is>
      </c>
      <c r="G956" s="697" t="n">
        <v>3</v>
      </c>
      <c r="H956" s="698" t="n">
        <v>11.5</v>
      </c>
      <c r="I956" s="697" t="n">
        <v>-1725</v>
      </c>
      <c r="J956" s="585" t="n">
        <v>54</v>
      </c>
      <c r="K956" s="585" t="n">
        <v>3</v>
      </c>
      <c r="L956" s="585">
        <f>IF(B956="TXO",I956-SUM(J956:K956),IF(B956="FITX",IF(D956="新倉",-SUM(J956:K956),IF(E956="賣",(H956-H1660)*G956*200-SUM(J956:K956),(H1660-H956)*G956*200-SUM(J956:K956))),IF(D956="新倉",-SUM(J956:K956),IF(E956="賣",(H956-H1660)*G956*50-SUM(J956:K956),(H1660-H956)*G956*50-SUM(J956:K956)))))</f>
        <v/>
      </c>
      <c r="M956" s="699">
        <f>L956</f>
        <v/>
      </c>
      <c r="N956" s="686">
        <f>M956</f>
        <v/>
      </c>
      <c r="O956" s="249" t="inlineStr">
        <is>
          <t>新倉</t>
        </is>
      </c>
      <c r="P956" s="249" t="inlineStr">
        <is>
          <t>元大期貨</t>
        </is>
      </c>
    </row>
    <row r="957" outlineLevel="1">
      <c r="A957" s="696" t="n">
        <v>45931</v>
      </c>
      <c r="B957" s="234" t="inlineStr">
        <is>
          <t>TXO</t>
        </is>
      </c>
      <c r="C957" s="229" t="inlineStr">
        <is>
          <t>週W1 P 10 25950 P</t>
        </is>
      </c>
      <c r="D957" s="229" t="inlineStr">
        <is>
          <t>平倉</t>
        </is>
      </c>
      <c r="E957" s="257" t="inlineStr">
        <is>
          <t>賣</t>
        </is>
      </c>
      <c r="F957" s="229" t="inlineStr">
        <is>
          <t>-</t>
        </is>
      </c>
      <c r="G957" s="697" t="n">
        <v>2</v>
      </c>
      <c r="H957" s="698" t="n">
        <v>24</v>
      </c>
      <c r="I957" s="697" t="n">
        <v>2400</v>
      </c>
      <c r="J957" s="585" t="n">
        <v>36</v>
      </c>
      <c r="K957" s="585" t="n">
        <v>2</v>
      </c>
      <c r="L957" s="585">
        <f>IF(B957="TXO",I957-SUM(J957:K957),IF(B957="FITX",IF(D957="新倉",-SUM(J957:K957),IF(E957="賣",(H957-H1661)*G957*200-SUM(J957:K957),(H1661-H957)*G957*200-SUM(J957:K957))),IF(D957="新倉",-SUM(J957:K957),IF(E957="賣",(H957-H1661)*G957*50-SUM(J957:K957),(H1661-H957)*G957*50-SUM(J957:K957)))))</f>
        <v/>
      </c>
      <c r="M957" s="699">
        <f>L957</f>
        <v/>
      </c>
      <c r="N957" s="686">
        <f>M957</f>
        <v/>
      </c>
      <c r="O957" s="249" t="inlineStr">
        <is>
          <t>平倉</t>
        </is>
      </c>
      <c r="P957" s="249" t="inlineStr">
        <is>
          <t>元大期貨</t>
        </is>
      </c>
    </row>
    <row r="958" outlineLevel="1">
      <c r="A958" s="696" t="n">
        <v>45931</v>
      </c>
      <c r="B958" s="234" t="inlineStr">
        <is>
          <t>TXO</t>
        </is>
      </c>
      <c r="C958" s="229" t="inlineStr">
        <is>
          <t>週W1 C 10 26400 C</t>
        </is>
      </c>
      <c r="D958" s="229" t="inlineStr">
        <is>
          <t>新倉</t>
        </is>
      </c>
      <c r="E958" s="257" t="inlineStr">
        <is>
          <t>買</t>
        </is>
      </c>
      <c r="F958" s="229" t="inlineStr">
        <is>
          <t>-</t>
        </is>
      </c>
      <c r="G958" s="697" t="n">
        <v>1</v>
      </c>
      <c r="H958" s="698" t="n">
        <v>21.5</v>
      </c>
      <c r="I958" s="697" t="n">
        <v>-1075</v>
      </c>
      <c r="J958" s="585" t="n">
        <v>18</v>
      </c>
      <c r="K958" s="585" t="n">
        <v>1</v>
      </c>
      <c r="L958" s="585">
        <f>IF(B958="TXO",I958-SUM(J958:K958),IF(B958="FITX",IF(D958="新倉",-SUM(J958:K958),IF(E958="賣",(H958-H1662)*G958*200-SUM(J958:K958),(H1662-H958)*G958*200-SUM(J958:K958))),IF(D958="新倉",-SUM(J958:K958),IF(E958="賣",(H958-H1662)*G958*50-SUM(J958:K958),(H1662-H958)*G958*50-SUM(J958:K958)))))</f>
        <v/>
      </c>
      <c r="M958" s="699">
        <f>L958</f>
        <v/>
      </c>
      <c r="N958" s="686">
        <f>M958</f>
        <v/>
      </c>
      <c r="O958" s="261" t="inlineStr">
        <is>
          <t>放棄</t>
        </is>
      </c>
      <c r="P958" s="249" t="inlineStr">
        <is>
          <t>元大期貨</t>
        </is>
      </c>
    </row>
    <row r="959" outlineLevel="1">
      <c r="A959" s="696" t="n">
        <v>45931</v>
      </c>
      <c r="B959" s="234" t="inlineStr">
        <is>
          <t>TXO</t>
        </is>
      </c>
      <c r="C959" s="229" t="inlineStr">
        <is>
          <t>週W1 C 10 26400 C</t>
        </is>
      </c>
      <c r="D959" s="229" t="inlineStr">
        <is>
          <t>新倉</t>
        </is>
      </c>
      <c r="E959" s="257" t="inlineStr">
        <is>
          <t>買</t>
        </is>
      </c>
      <c r="F959" s="229" t="inlineStr">
        <is>
          <t>-</t>
        </is>
      </c>
      <c r="G959" s="697" t="n">
        <v>1</v>
      </c>
      <c r="H959" s="698" t="n">
        <v>22</v>
      </c>
      <c r="I959" s="697" t="n">
        <v>-1100</v>
      </c>
      <c r="J959" s="585" t="n">
        <v>18</v>
      </c>
      <c r="K959" s="585" t="n">
        <v>1</v>
      </c>
      <c r="L959" s="585">
        <f>IF(B959="TXO",I959-SUM(J959:K959),IF(B959="FITX",IF(D959="新倉",-SUM(J959:K959),IF(E959="賣",(H959-H1663)*G959*200-SUM(J959:K959),(H1663-H959)*G959*200-SUM(J959:K959))),IF(D959="新倉",-SUM(J959:K959),IF(E959="賣",(H959-H1663)*G959*50-SUM(J959:K959),(H1663-H959)*G959*50-SUM(J959:K959)))))</f>
        <v/>
      </c>
      <c r="M959" s="699">
        <f>L959</f>
        <v/>
      </c>
      <c r="N959" s="686">
        <f>M959</f>
        <v/>
      </c>
      <c r="O959" s="261" t="inlineStr">
        <is>
          <t>放棄</t>
        </is>
      </c>
      <c r="P959" s="249" t="inlineStr">
        <is>
          <t>元大期貨</t>
        </is>
      </c>
    </row>
    <row r="960" outlineLevel="1">
      <c r="A960" s="696" t="n">
        <v>45931</v>
      </c>
      <c r="B960" s="234" t="inlineStr">
        <is>
          <t>TXO</t>
        </is>
      </c>
      <c r="C960" s="229" t="inlineStr">
        <is>
          <t>週W1 C 10 26450 C</t>
        </is>
      </c>
      <c r="D960" s="229" t="inlineStr">
        <is>
          <t>新倉</t>
        </is>
      </c>
      <c r="E960" s="257" t="inlineStr">
        <is>
          <t>買</t>
        </is>
      </c>
      <c r="F960" s="229" t="inlineStr">
        <is>
          <t>-</t>
        </is>
      </c>
      <c r="G960" s="697" t="n">
        <v>2</v>
      </c>
      <c r="H960" s="698" t="n">
        <v>12</v>
      </c>
      <c r="I960" s="697" t="n">
        <v>-1200</v>
      </c>
      <c r="J960" s="585" t="n">
        <v>36</v>
      </c>
      <c r="K960" s="585" t="n">
        <v>2</v>
      </c>
      <c r="L960" s="585">
        <f>IF(B960="TXO",I960-SUM(J960:K960),IF(B960="FITX",IF(D960="新倉",-SUM(J960:K960),IF(E960="賣",(H960-H1664)*G960*200-SUM(J960:K960),(H1664-H960)*G960*200-SUM(J960:K960))),IF(D960="新倉",-SUM(J960:K960),IF(E960="賣",(H960-H1664)*G960*50-SUM(J960:K960),(H1664-H960)*G960*50-SUM(J960:K960)))))</f>
        <v/>
      </c>
      <c r="M960" s="699">
        <f>L960</f>
        <v/>
      </c>
      <c r="N960" s="686">
        <f>M960</f>
        <v/>
      </c>
      <c r="O960" s="261" t="inlineStr">
        <is>
          <t>放棄</t>
        </is>
      </c>
      <c r="P960" s="249" t="inlineStr">
        <is>
          <t>元大期貨</t>
        </is>
      </c>
    </row>
    <row r="961" outlineLevel="1">
      <c r="A961" s="696" t="n">
        <v>45931</v>
      </c>
      <c r="B961" s="234" t="inlineStr">
        <is>
          <t>TXO</t>
        </is>
      </c>
      <c r="C961" s="229" t="inlineStr">
        <is>
          <t>週W1 C 10 26450 C</t>
        </is>
      </c>
      <c r="D961" s="229" t="inlineStr">
        <is>
          <t>新倉</t>
        </is>
      </c>
      <c r="E961" s="257" t="inlineStr">
        <is>
          <t>買</t>
        </is>
      </c>
      <c r="F961" s="229" t="inlineStr">
        <is>
          <t>-</t>
        </is>
      </c>
      <c r="G961" s="697" t="n">
        <v>2</v>
      </c>
      <c r="H961" s="698" t="n">
        <v>6.8</v>
      </c>
      <c r="I961" s="697" t="n">
        <v>-680</v>
      </c>
      <c r="J961" s="585" t="n">
        <v>36</v>
      </c>
      <c r="K961" s="585" t="n">
        <v>0</v>
      </c>
      <c r="L961" s="585">
        <f>IF(B961="TXO",I961-SUM(J961:K961),IF(B961="FITX",IF(D961="新倉",-SUM(J961:K961),IF(E961="賣",(H961-H1665)*G961*200-SUM(J961:K961),(H1665-H961)*G961*200-SUM(J961:K961))),IF(D961="新倉",-SUM(J961:K961),IF(E961="賣",(H961-H1665)*G961*50-SUM(J961:K961),(H1665-H961)*G961*50-SUM(J961:K961)))))</f>
        <v/>
      </c>
      <c r="M961" s="699">
        <f>L961</f>
        <v/>
      </c>
      <c r="N961" s="686">
        <f>M961</f>
        <v/>
      </c>
      <c r="O961" s="261" t="inlineStr">
        <is>
          <t>放棄</t>
        </is>
      </c>
      <c r="P961" s="249" t="inlineStr">
        <is>
          <t>元大期貨</t>
        </is>
      </c>
    </row>
    <row r="962" outlineLevel="1">
      <c r="A962" s="696" t="n">
        <v>45931</v>
      </c>
      <c r="B962" s="234" t="inlineStr">
        <is>
          <t>TXO</t>
        </is>
      </c>
      <c r="C962" s="229" t="inlineStr">
        <is>
          <t>週W1 C 10 26200 C</t>
        </is>
      </c>
      <c r="D962" s="229" t="inlineStr">
        <is>
          <t>新倉</t>
        </is>
      </c>
      <c r="E962" s="257" t="inlineStr">
        <is>
          <t>買</t>
        </is>
      </c>
      <c r="F962" s="229" t="inlineStr">
        <is>
          <t>-</t>
        </is>
      </c>
      <c r="G962" s="697" t="n">
        <v>2</v>
      </c>
      <c r="H962" s="698" t="n">
        <v>22</v>
      </c>
      <c r="I962" s="697" t="n">
        <v>-2200</v>
      </c>
      <c r="J962" s="585" t="n">
        <v>36</v>
      </c>
      <c r="K962" s="585" t="n">
        <v>2</v>
      </c>
      <c r="L962" s="585">
        <f>IF(B962="TXO",I962-SUM(J962:K962),IF(B962="FITX",IF(D962="新倉",-SUM(J962:K962),IF(E962="賣",(H962-H1666)*G962*200-SUM(J962:K962),(H1666-H962)*G962*200-SUM(J962:K962))),IF(D962="新倉",-SUM(J962:K962),IF(E962="賣",(H962-H1666)*G962*50-SUM(J962:K962),(H1666-H962)*G962*50-SUM(J962:K962)))))</f>
        <v/>
      </c>
      <c r="M962" s="699">
        <f>L962</f>
        <v/>
      </c>
      <c r="N962" s="686">
        <f>M962</f>
        <v/>
      </c>
      <c r="O962" s="249" t="inlineStr">
        <is>
          <t>新倉</t>
        </is>
      </c>
      <c r="P962" s="249" t="inlineStr">
        <is>
          <t>元大期貨</t>
        </is>
      </c>
    </row>
    <row r="963" outlineLevel="1">
      <c r="A963" s="696" t="n">
        <v>45931</v>
      </c>
      <c r="B963" s="234" t="inlineStr">
        <is>
          <t>TXO</t>
        </is>
      </c>
      <c r="C963" s="229" t="inlineStr">
        <is>
          <t>週W1 C 10 26200 C</t>
        </is>
      </c>
      <c r="D963" s="229" t="inlineStr">
        <is>
          <t>平倉</t>
        </is>
      </c>
      <c r="E963" s="257" t="inlineStr">
        <is>
          <t>賣</t>
        </is>
      </c>
      <c r="F963" s="229" t="inlineStr">
        <is>
          <t>-</t>
        </is>
      </c>
      <c r="G963" s="697" t="n">
        <v>1</v>
      </c>
      <c r="H963" s="698" t="n">
        <v>90</v>
      </c>
      <c r="I963" s="697" t="n">
        <v>4500</v>
      </c>
      <c r="J963" s="585" t="n">
        <v>18</v>
      </c>
      <c r="K963" s="585" t="n">
        <v>5</v>
      </c>
      <c r="L963" s="585">
        <f>IF(B963="TXO",I963-SUM(J963:K963),IF(B963="FITX",IF(D963="新倉",-SUM(J963:K963),IF(E963="賣",(H963-H1667)*G963*200-SUM(J963:K963),(H1667-H963)*G963*200-SUM(J963:K963))),IF(D963="新倉",-SUM(J963:K963),IF(E963="賣",(H963-H1667)*G963*50-SUM(J963:K963),(H1667-H963)*G963*50-SUM(J963:K963)))))</f>
        <v/>
      </c>
      <c r="M963" s="699">
        <f>L963</f>
        <v/>
      </c>
      <c r="N963" s="686">
        <f>M963</f>
        <v/>
      </c>
      <c r="O963" s="249" t="inlineStr">
        <is>
          <t>平倉</t>
        </is>
      </c>
      <c r="P963" s="249" t="inlineStr">
        <is>
          <t>元大期貨</t>
        </is>
      </c>
    </row>
    <row r="964" outlineLevel="1">
      <c r="A964" s="696" t="n">
        <v>45931</v>
      </c>
      <c r="B964" s="234" t="inlineStr">
        <is>
          <t>TXO</t>
        </is>
      </c>
      <c r="C964" s="229" t="inlineStr">
        <is>
          <t>週W1 C 10 26200 C</t>
        </is>
      </c>
      <c r="D964" s="229" t="inlineStr">
        <is>
          <t>平倉</t>
        </is>
      </c>
      <c r="E964" s="257" t="inlineStr">
        <is>
          <t>賣</t>
        </is>
      </c>
      <c r="F964" s="229" t="inlineStr">
        <is>
          <t>-</t>
        </is>
      </c>
      <c r="G964" s="697" t="n">
        <v>1</v>
      </c>
      <c r="H964" s="698" t="n">
        <v>46.5</v>
      </c>
      <c r="I964" s="697" t="n">
        <v>2325</v>
      </c>
      <c r="J964" s="585" t="n">
        <v>18</v>
      </c>
      <c r="K964" s="585" t="n">
        <v>2</v>
      </c>
      <c r="L964" s="585">
        <f>IF(B964="TXO",I964-SUM(J964:K964),IF(B964="FITX",IF(D964="新倉",-SUM(J964:K964),IF(E964="賣",(H964-H1668)*G964*200-SUM(J964:K964),(H1668-H964)*G964*200-SUM(J964:K964))),IF(D964="新倉",-SUM(J964:K964),IF(E964="賣",(H964-H1668)*G964*50-SUM(J964:K964),(H1668-H964)*G964*50-SUM(J964:K964)))))</f>
        <v/>
      </c>
      <c r="M964" s="699">
        <f>L964</f>
        <v/>
      </c>
      <c r="N964" s="686">
        <f>M964</f>
        <v/>
      </c>
      <c r="O964" s="249" t="inlineStr">
        <is>
          <t>新倉</t>
        </is>
      </c>
      <c r="P964" s="249" t="inlineStr">
        <is>
          <t>元大期貨</t>
        </is>
      </c>
    </row>
    <row r="965" outlineLevel="1">
      <c r="A965" s="696" t="n">
        <v>45933</v>
      </c>
      <c r="B965" s="234" t="inlineStr">
        <is>
          <t>TXO</t>
        </is>
      </c>
      <c r="C965" s="229" t="inlineStr">
        <is>
          <t>TXOF1 10 26550 C</t>
        </is>
      </c>
      <c r="D965" s="229" t="inlineStr">
        <is>
          <t>新倉</t>
        </is>
      </c>
      <c r="E965" s="257" t="inlineStr">
        <is>
          <t>買</t>
        </is>
      </c>
      <c r="F965" s="229" t="inlineStr">
        <is>
          <t>-</t>
        </is>
      </c>
      <c r="G965" s="697" t="n">
        <v>1</v>
      </c>
      <c r="H965" s="698" t="n">
        <v>21</v>
      </c>
      <c r="I965" s="697" t="n">
        <v>-1050</v>
      </c>
      <c r="J965" s="585" t="n">
        <v>18</v>
      </c>
      <c r="K965" s="585" t="n">
        <v>1</v>
      </c>
      <c r="L965" s="585">
        <f>IF(B965="TXO",I965-SUM(J965:K965),IF(B965="FITX",IF(D965="新倉",-SUM(J965:K965),IF(E965="賣",(H965-H1669)*G965*200-SUM(J965:K965),(H1669-H965)*G965*200-SUM(J965:K965))),IF(D965="新倉",-SUM(J965:K965),IF(E965="賣",(H965-H1669)*G965*50-SUM(J965:K965),(H1669-H965)*G965*50-SUM(J965:K965)))))</f>
        <v/>
      </c>
      <c r="M965" s="699">
        <f>L965</f>
        <v/>
      </c>
      <c r="N965" s="686">
        <f>M965</f>
        <v/>
      </c>
      <c r="O965" s="249" t="inlineStr">
        <is>
          <t>新倉</t>
        </is>
      </c>
      <c r="P965" s="249" t="inlineStr">
        <is>
          <t>元大期貨</t>
        </is>
      </c>
    </row>
    <row r="966" outlineLevel="1">
      <c r="A966" s="696" t="n">
        <v>45933</v>
      </c>
      <c r="B966" s="234" t="inlineStr">
        <is>
          <t>TXO</t>
        </is>
      </c>
      <c r="C966" s="229" t="inlineStr">
        <is>
          <t>TXOF1 10 26550 C</t>
        </is>
      </c>
      <c r="D966" s="229" t="inlineStr">
        <is>
          <t>平倉</t>
        </is>
      </c>
      <c r="E966" s="257" t="inlineStr">
        <is>
          <t>賣</t>
        </is>
      </c>
      <c r="F966" s="229" t="inlineStr">
        <is>
          <t>-</t>
        </is>
      </c>
      <c r="G966" s="697" t="n">
        <v>1</v>
      </c>
      <c r="H966" s="698" t="n">
        <v>34.5</v>
      </c>
      <c r="I966" s="697" t="n">
        <v>1725</v>
      </c>
      <c r="J966" s="585" t="n">
        <v>18</v>
      </c>
      <c r="K966" s="585" t="n">
        <v>2</v>
      </c>
      <c r="L966" s="585">
        <f>IF(B966="TXO",I966-SUM(J966:K966),IF(B966="FITX",IF(D966="新倉",-SUM(J966:K966),IF(E966="賣",(H966-H1670)*G966*200-SUM(J966:K966),(H1670-H966)*G966*200-SUM(J966:K966))),IF(D966="新倉",-SUM(J966:K966),IF(E966="賣",(H966-H1670)*G966*50-SUM(J966:K966),(H1670-H966)*G966*50-SUM(J966:K966)))))</f>
        <v/>
      </c>
      <c r="M966" s="699">
        <f>L966</f>
        <v/>
      </c>
      <c r="N966" s="686">
        <f>M966</f>
        <v/>
      </c>
      <c r="O966" s="249" t="inlineStr">
        <is>
          <t>平倉</t>
        </is>
      </c>
      <c r="P966" s="249" t="inlineStr">
        <is>
          <t>元大期貨</t>
        </is>
      </c>
    </row>
    <row r="967" outlineLevel="1">
      <c r="A967" s="696" t="n">
        <v>45933</v>
      </c>
      <c r="B967" s="234" t="inlineStr">
        <is>
          <t>TXO</t>
        </is>
      </c>
      <c r="C967" s="229" t="inlineStr">
        <is>
          <t>TXOF1 10 26650 C</t>
        </is>
      </c>
      <c r="D967" s="229" t="inlineStr">
        <is>
          <t>新倉</t>
        </is>
      </c>
      <c r="E967" s="257" t="inlineStr">
        <is>
          <t>買</t>
        </is>
      </c>
      <c r="F967" s="229" t="inlineStr">
        <is>
          <t>-</t>
        </is>
      </c>
      <c r="G967" s="697" t="n">
        <v>1</v>
      </c>
      <c r="H967" s="698" t="n">
        <v>11</v>
      </c>
      <c r="I967" s="697" t="n">
        <v>-550</v>
      </c>
      <c r="J967" s="585" t="n">
        <v>18</v>
      </c>
      <c r="K967" s="585" t="n">
        <v>1</v>
      </c>
      <c r="L967" s="585">
        <f>IF(B967="TXO",I967-SUM(J967:K967),IF(B967="FITX",IF(D967="新倉",-SUM(J967:K967),IF(E967="賣",(H967-H1671)*G967*200-SUM(J967:K967),(H1671-H967)*G967*200-SUM(J967:K967))),IF(D967="新倉",-SUM(J967:K967),IF(E967="賣",(H967-H1671)*G967*50-SUM(J967:K967),(H1671-H967)*G967*50-SUM(J967:K967)))))</f>
        <v/>
      </c>
      <c r="M967" s="699">
        <f>L967</f>
        <v/>
      </c>
      <c r="N967" s="686">
        <f>M967</f>
        <v/>
      </c>
      <c r="O967" s="249" t="inlineStr">
        <is>
          <t>新倉</t>
        </is>
      </c>
      <c r="P967" s="249" t="inlineStr">
        <is>
          <t>元大期貨</t>
        </is>
      </c>
    </row>
    <row r="968" outlineLevel="1">
      <c r="A968" s="696" t="n">
        <v>45933</v>
      </c>
      <c r="B968" s="234" t="inlineStr">
        <is>
          <t>TXO</t>
        </is>
      </c>
      <c r="C968" s="229" t="inlineStr">
        <is>
          <t>TXOF1 10 26650 C</t>
        </is>
      </c>
      <c r="D968" s="229" t="inlineStr">
        <is>
          <t>平倉</t>
        </is>
      </c>
      <c r="E968" s="257" t="inlineStr">
        <is>
          <t>賣</t>
        </is>
      </c>
      <c r="F968" s="229" t="inlineStr">
        <is>
          <t>-</t>
        </is>
      </c>
      <c r="G968" s="697" t="n">
        <v>1</v>
      </c>
      <c r="H968" s="698" t="n">
        <v>7.5</v>
      </c>
      <c r="I968" s="697" t="n">
        <v>375</v>
      </c>
      <c r="J968" s="585" t="n">
        <v>18</v>
      </c>
      <c r="K968" s="585" t="n">
        <v>0</v>
      </c>
      <c r="L968" s="585">
        <f>IF(B968="TXO",I968-SUM(J968:K968),IF(B968="FITX",IF(D968="新倉",-SUM(J968:K968),IF(E968="賣",(H968-H1672)*G968*200-SUM(J968:K968),(H1672-H968)*G968*200-SUM(J968:K968))),IF(D968="新倉",-SUM(J968:K968),IF(E968="賣",(H968-H1672)*G968*50-SUM(J968:K968),(H1672-H968)*G968*50-SUM(J968:K968)))))</f>
        <v/>
      </c>
      <c r="M968" s="699">
        <f>L968</f>
        <v/>
      </c>
      <c r="N968" s="686">
        <f>M968</f>
        <v/>
      </c>
      <c r="O968" s="249" t="inlineStr">
        <is>
          <t>平倉</t>
        </is>
      </c>
      <c r="P968" s="249" t="inlineStr">
        <is>
          <t>元大期貨</t>
        </is>
      </c>
    </row>
    <row r="969" outlineLevel="1">
      <c r="A969" s="696" t="n">
        <v>45933</v>
      </c>
      <c r="B969" s="234" t="inlineStr">
        <is>
          <t>TXO</t>
        </is>
      </c>
      <c r="C969" s="229" t="inlineStr">
        <is>
          <t>TXOF1 10 26650 C</t>
        </is>
      </c>
      <c r="D969" s="229" t="inlineStr">
        <is>
          <t>新倉</t>
        </is>
      </c>
      <c r="E969" s="257" t="inlineStr">
        <is>
          <t>買</t>
        </is>
      </c>
      <c r="F969" s="229" t="inlineStr">
        <is>
          <t>-</t>
        </is>
      </c>
      <c r="G969" s="697" t="n">
        <v>2</v>
      </c>
      <c r="H969" s="698" t="n">
        <v>11.5</v>
      </c>
      <c r="I969" s="697" t="n">
        <v>-1150</v>
      </c>
      <c r="J969" s="585" t="n">
        <v>36</v>
      </c>
      <c r="K969" s="585" t="n">
        <v>2</v>
      </c>
      <c r="L969" s="585">
        <f>IF(B969="TXO",I969-SUM(J969:K969),IF(B969="FITX",IF(D969="新倉",-SUM(J969:K969),IF(E969="賣",(H969-H1673)*G969*200-SUM(J969:K969),(H1673-H969)*G969*200-SUM(J969:K969))),IF(D969="新倉",-SUM(J969:K969),IF(E969="賣",(H969-H1673)*G969*50-SUM(J969:K969),(H1673-H969)*G969*50-SUM(J969:K969)))))</f>
        <v/>
      </c>
      <c r="M969" s="699">
        <f>L969</f>
        <v/>
      </c>
      <c r="N969" s="686">
        <f>M969</f>
        <v/>
      </c>
      <c r="O969" s="249" t="inlineStr">
        <is>
          <t>新倉</t>
        </is>
      </c>
      <c r="P969" s="249" t="inlineStr">
        <is>
          <t>元大期貨</t>
        </is>
      </c>
    </row>
    <row r="970" outlineLevel="1">
      <c r="A970" s="696" t="n">
        <v>45933</v>
      </c>
      <c r="B970" s="234" t="inlineStr">
        <is>
          <t>TXO</t>
        </is>
      </c>
      <c r="C970" s="229" t="inlineStr">
        <is>
          <t>TXOF1 10 26650 C</t>
        </is>
      </c>
      <c r="D970" s="229" t="inlineStr">
        <is>
          <t>平倉</t>
        </is>
      </c>
      <c r="E970" s="257" t="inlineStr">
        <is>
          <t>賣</t>
        </is>
      </c>
      <c r="F970" s="229" t="inlineStr">
        <is>
          <t>-</t>
        </is>
      </c>
      <c r="G970" s="697" t="n">
        <v>1</v>
      </c>
      <c r="H970" s="698" t="n">
        <v>29.5</v>
      </c>
      <c r="I970" s="697" t="n">
        <v>1475</v>
      </c>
      <c r="J970" s="585" t="n">
        <v>18</v>
      </c>
      <c r="K970" s="585" t="n">
        <v>1</v>
      </c>
      <c r="L970" s="585">
        <f>IF(B970="TXO",I970-SUM(J970:K970),IF(B970="FITX",IF(D970="新倉",-SUM(J970:K970),IF(E970="賣",(H970-H1674)*G970*200-SUM(J970:K970),(H1674-H970)*G970*200-SUM(J970:K970))),IF(D970="新倉",-SUM(J970:K970),IF(E970="賣",(H970-H1674)*G970*50-SUM(J970:K970),(H1674-H970)*G970*50-SUM(J970:K970)))))</f>
        <v/>
      </c>
      <c r="M970" s="699">
        <f>L970</f>
        <v/>
      </c>
      <c r="N970" s="686">
        <f>M970</f>
        <v/>
      </c>
      <c r="O970" s="249" t="inlineStr">
        <is>
          <t>平倉</t>
        </is>
      </c>
      <c r="P970" s="249" t="inlineStr">
        <is>
          <t>元大期貨</t>
        </is>
      </c>
    </row>
    <row r="971" outlineLevel="1">
      <c r="A971" s="696" t="n">
        <v>45933</v>
      </c>
      <c r="B971" s="234" t="inlineStr">
        <is>
          <t>TXO</t>
        </is>
      </c>
      <c r="C971" s="229" t="inlineStr">
        <is>
          <t>TXOF1 10 26650 C</t>
        </is>
      </c>
      <c r="D971" s="229" t="inlineStr">
        <is>
          <t>平倉</t>
        </is>
      </c>
      <c r="E971" s="257" t="inlineStr">
        <is>
          <t>賣</t>
        </is>
      </c>
      <c r="F971" s="229" t="inlineStr">
        <is>
          <t>-</t>
        </is>
      </c>
      <c r="G971" s="697" t="n">
        <v>1</v>
      </c>
      <c r="H971" s="698" t="n">
        <v>23</v>
      </c>
      <c r="I971" s="697" t="n">
        <v>1150</v>
      </c>
      <c r="J971" s="585" t="n">
        <v>18</v>
      </c>
      <c r="K971" s="585" t="n">
        <v>1</v>
      </c>
      <c r="L971" s="585">
        <f>IF(B971="TXO",I971-SUM(J971:K971),IF(B971="FITX",IF(D971="新倉",-SUM(J971:K971),IF(E971="賣",(H971-H1675)*G971*200-SUM(J971:K971),(H1675-H971)*G971*200-SUM(J971:K971))),IF(D971="新倉",-SUM(J971:K971),IF(E971="賣",(H971-H1675)*G971*50-SUM(J971:K971),(H1675-H971)*G971*50-SUM(J971:K971)))))</f>
        <v/>
      </c>
      <c r="M971" s="699">
        <f>L971</f>
        <v/>
      </c>
      <c r="N971" s="686">
        <f>M971</f>
        <v/>
      </c>
      <c r="O971" s="249" t="inlineStr">
        <is>
          <t>平倉</t>
        </is>
      </c>
      <c r="P971" s="249" t="inlineStr">
        <is>
          <t>元大期貨</t>
        </is>
      </c>
    </row>
    <row r="972" outlineLevel="1">
      <c r="A972" s="696" t="n">
        <v>45933</v>
      </c>
      <c r="B972" s="234" t="inlineStr">
        <is>
          <t>TXO</t>
        </is>
      </c>
      <c r="C972" s="229" t="inlineStr">
        <is>
          <t>TXOF1 10 26550 C</t>
        </is>
      </c>
      <c r="D972" s="229" t="inlineStr">
        <is>
          <t>新倉</t>
        </is>
      </c>
      <c r="E972" s="257" t="inlineStr">
        <is>
          <t>買</t>
        </is>
      </c>
      <c r="F972" s="229" t="inlineStr">
        <is>
          <t>-</t>
        </is>
      </c>
      <c r="G972" s="697" t="n">
        <v>2</v>
      </c>
      <c r="H972" s="698" t="n">
        <v>40</v>
      </c>
      <c r="I972" s="697" t="n">
        <v>-4000</v>
      </c>
      <c r="J972" s="585" t="n">
        <v>36</v>
      </c>
      <c r="K972" s="585" t="n">
        <v>4</v>
      </c>
      <c r="L972" s="585">
        <f>IF(B972="TXO",I972-SUM(J972:K972),IF(B972="FITX",IF(D972="新倉",-SUM(J972:K972),IF(E972="賣",(H972-H1676)*G972*200-SUM(J972:K972),(H1676-H972)*G972*200-SUM(J972:K972))),IF(D972="新倉",-SUM(J972:K972),IF(E972="賣",(H972-H1676)*G972*50-SUM(J972:K972),(H1676-H972)*G972*50-SUM(J972:K972)))))</f>
        <v/>
      </c>
      <c r="M972" s="699">
        <f>L972</f>
        <v/>
      </c>
      <c r="N972" s="686">
        <f>M972</f>
        <v/>
      </c>
      <c r="O972" s="249" t="inlineStr">
        <is>
          <t>新倉</t>
        </is>
      </c>
      <c r="P972" s="249" t="inlineStr">
        <is>
          <t>元大期貨</t>
        </is>
      </c>
    </row>
    <row r="973" outlineLevel="1">
      <c r="A973" s="696" t="n">
        <v>45933</v>
      </c>
      <c r="B973" s="234" t="inlineStr">
        <is>
          <t>TXO</t>
        </is>
      </c>
      <c r="C973" s="229" t="inlineStr">
        <is>
          <t>TXOF1 10 26550 C</t>
        </is>
      </c>
      <c r="D973" s="229" t="inlineStr">
        <is>
          <t>平倉</t>
        </is>
      </c>
      <c r="E973" s="257" t="inlineStr">
        <is>
          <t>賣</t>
        </is>
      </c>
      <c r="F973" s="229" t="inlineStr">
        <is>
          <t>-</t>
        </is>
      </c>
      <c r="G973" s="697" t="n">
        <v>1</v>
      </c>
      <c r="H973" s="698" t="n">
        <v>50</v>
      </c>
      <c r="I973" s="697" t="n">
        <v>2500</v>
      </c>
      <c r="J973" s="585" t="n">
        <v>18</v>
      </c>
      <c r="K973" s="585" t="n">
        <v>3</v>
      </c>
      <c r="L973" s="585">
        <f>IF(B973="TXO",I973-SUM(J973:K973),IF(B973="FITX",IF(D973="新倉",-SUM(J973:K973),IF(E973="賣",(H973-H1677)*G973*200-SUM(J973:K973),(H1677-H973)*G973*200-SUM(J973:K973))),IF(D973="新倉",-SUM(J973:K973),IF(E973="賣",(H973-H1677)*G973*50-SUM(J973:K973),(H1677-H973)*G973*50-SUM(J973:K973)))))</f>
        <v/>
      </c>
      <c r="M973" s="699">
        <f>L973</f>
        <v/>
      </c>
      <c r="N973" s="686">
        <f>M973</f>
        <v/>
      </c>
      <c r="O973" s="249" t="inlineStr">
        <is>
          <t>平倉</t>
        </is>
      </c>
      <c r="P973" s="249" t="inlineStr">
        <is>
          <t>元大期貨</t>
        </is>
      </c>
    </row>
    <row r="974" outlineLevel="1">
      <c r="A974" s="696" t="n">
        <v>45933</v>
      </c>
      <c r="B974" s="234" t="inlineStr">
        <is>
          <t>TXO</t>
        </is>
      </c>
      <c r="C974" s="229" t="inlineStr">
        <is>
          <t>TXOF1 10 26550 C</t>
        </is>
      </c>
      <c r="D974" s="229" t="inlineStr">
        <is>
          <t>平倉</t>
        </is>
      </c>
      <c r="E974" s="257" t="inlineStr">
        <is>
          <t>賣</t>
        </is>
      </c>
      <c r="F974" s="229" t="inlineStr">
        <is>
          <t>-</t>
        </is>
      </c>
      <c r="G974" s="697" t="n">
        <v>1</v>
      </c>
      <c r="H974" s="698" t="n">
        <v>46</v>
      </c>
      <c r="I974" s="697" t="n">
        <v>2300</v>
      </c>
      <c r="J974" s="585" t="n">
        <v>18</v>
      </c>
      <c r="K974" s="585" t="n">
        <v>2</v>
      </c>
      <c r="L974" s="585">
        <f>IF(B974="TXO",I974-SUM(J974:K974),IF(B974="FITX",IF(D974="新倉",-SUM(J974:K974),IF(E974="賣",(H974-H1678)*G974*200-SUM(J974:K974),(H1678-H974)*G974*200-SUM(J974:K974))),IF(D974="新倉",-SUM(J974:K974),IF(E974="賣",(H974-H1678)*G974*50-SUM(J974:K974),(H1678-H974)*G974*50-SUM(J974:K974)))))</f>
        <v/>
      </c>
      <c r="M974" s="699">
        <f>L974</f>
        <v/>
      </c>
      <c r="N974" s="686">
        <f>M974</f>
        <v/>
      </c>
      <c r="O974" s="249" t="inlineStr">
        <is>
          <t>平倉</t>
        </is>
      </c>
      <c r="P974" s="249" t="inlineStr">
        <is>
          <t>元大期貨</t>
        </is>
      </c>
    </row>
    <row r="975" outlineLevel="1">
      <c r="A975" s="696" t="n">
        <v>45933</v>
      </c>
      <c r="B975" s="234" t="inlineStr">
        <is>
          <t>TXO</t>
        </is>
      </c>
      <c r="C975" s="229" t="inlineStr">
        <is>
          <t>TXOF1 10 26000 P</t>
        </is>
      </c>
      <c r="D975" s="229" t="inlineStr">
        <is>
          <t>新倉</t>
        </is>
      </c>
      <c r="E975" s="257" t="inlineStr">
        <is>
          <t>買</t>
        </is>
      </c>
      <c r="F975" s="229" t="inlineStr">
        <is>
          <t>-</t>
        </is>
      </c>
      <c r="G975" s="697" t="n">
        <v>1</v>
      </c>
      <c r="H975" s="698" t="n">
        <v>9</v>
      </c>
      <c r="I975" s="697" t="n">
        <v>-450</v>
      </c>
      <c r="J975" s="585" t="n">
        <v>18</v>
      </c>
      <c r="K975" s="585" t="n">
        <v>0</v>
      </c>
      <c r="L975" s="585">
        <f>IF(B975="TXO",I975-SUM(J975:K975),IF(B975="FITX",IF(D975="新倉",-SUM(J975:K975),IF(E975="賣",(H975-H1679)*G975*200-SUM(J975:K975),(H1679-H975)*G975*200-SUM(J975:K975))),IF(D975="新倉",-SUM(J975:K975),IF(E975="賣",(H975-H1679)*G975*50-SUM(J975:K975),(H1679-H975)*G975*50-SUM(J975:K975)))))</f>
        <v/>
      </c>
      <c r="M975" s="699">
        <f>L975</f>
        <v/>
      </c>
      <c r="N975" s="686">
        <f>M975</f>
        <v/>
      </c>
      <c r="O975" s="249" t="inlineStr">
        <is>
          <t>新倉</t>
        </is>
      </c>
      <c r="P975" s="249" t="inlineStr">
        <is>
          <t>元大期貨</t>
        </is>
      </c>
    </row>
    <row r="976" outlineLevel="1">
      <c r="A976" s="696" t="n">
        <v>45933</v>
      </c>
      <c r="B976" s="234" t="inlineStr">
        <is>
          <t>TXO</t>
        </is>
      </c>
      <c r="C976" s="229" t="inlineStr">
        <is>
          <t>TXOF1 10 26000 P</t>
        </is>
      </c>
      <c r="D976" s="229" t="inlineStr">
        <is>
          <t>新倉</t>
        </is>
      </c>
      <c r="E976" s="257" t="inlineStr">
        <is>
          <t>買</t>
        </is>
      </c>
      <c r="F976" s="229" t="inlineStr">
        <is>
          <t>-</t>
        </is>
      </c>
      <c r="G976" s="697" t="n">
        <v>1</v>
      </c>
      <c r="H976" s="698" t="n">
        <v>10</v>
      </c>
      <c r="I976" s="697" t="n">
        <v>-500</v>
      </c>
      <c r="J976" s="585" t="n">
        <v>18</v>
      </c>
      <c r="K976" s="585" t="n">
        <v>1</v>
      </c>
      <c r="L976" s="585">
        <f>IF(B976="TXO",I976-SUM(J976:K976),IF(B976="FITX",IF(D976="新倉",-SUM(J976:K976),IF(E976="賣",(H976-H1680)*G976*200-SUM(J976:K976),(H1680-H976)*G976*200-SUM(J976:K976))),IF(D976="新倉",-SUM(J976:K976),IF(E976="賣",(H976-H1680)*G976*50-SUM(J976:K976),(H1680-H976)*G976*50-SUM(J976:K976)))))</f>
        <v/>
      </c>
      <c r="M976" s="699">
        <f>L976</f>
        <v/>
      </c>
      <c r="N976" s="686">
        <f>M976</f>
        <v/>
      </c>
      <c r="O976" s="249" t="inlineStr">
        <is>
          <t>新倉</t>
        </is>
      </c>
      <c r="P976" s="249" t="inlineStr">
        <is>
          <t>元大期貨</t>
        </is>
      </c>
    </row>
    <row r="977" outlineLevel="1">
      <c r="A977" s="696" t="n">
        <v>45933</v>
      </c>
      <c r="B977" s="234" t="inlineStr">
        <is>
          <t>TXO</t>
        </is>
      </c>
      <c r="C977" s="229" t="inlineStr">
        <is>
          <t>TXOF1 10 26000 P</t>
        </is>
      </c>
      <c r="D977" s="229" t="inlineStr">
        <is>
          <t>新倉</t>
        </is>
      </c>
      <c r="E977" s="257" t="inlineStr">
        <is>
          <t>買</t>
        </is>
      </c>
      <c r="F977" s="229" t="inlineStr">
        <is>
          <t>-</t>
        </is>
      </c>
      <c r="G977" s="697" t="n">
        <v>5</v>
      </c>
      <c r="H977" s="698" t="n">
        <v>10.5</v>
      </c>
      <c r="I977" s="697" t="n">
        <v>-2625</v>
      </c>
      <c r="J977" s="585" t="n">
        <v>90</v>
      </c>
      <c r="K977" s="585" t="n">
        <v>5</v>
      </c>
      <c r="L977" s="585">
        <f>IF(B977="TXO",I977-SUM(J977:K977),IF(B977="FITX",IF(D977="新倉",-SUM(J977:K977),IF(E977="賣",(H977-H1681)*G977*200-SUM(J977:K977),(H1681-H977)*G977*200-SUM(J977:K977))),IF(D977="新倉",-SUM(J977:K977),IF(E977="賣",(H977-H1681)*G977*50-SUM(J977:K977),(H1681-H977)*G977*50-SUM(J977:K977)))))</f>
        <v/>
      </c>
      <c r="M977" s="699">
        <f>L977</f>
        <v/>
      </c>
      <c r="N977" s="686">
        <f>M977</f>
        <v/>
      </c>
      <c r="O977" s="249" t="inlineStr">
        <is>
          <t>新倉</t>
        </is>
      </c>
      <c r="P977" s="249" t="inlineStr">
        <is>
          <t>元大期貨</t>
        </is>
      </c>
    </row>
    <row r="978" outlineLevel="1">
      <c r="A978" s="696" t="n">
        <v>45933</v>
      </c>
      <c r="B978" s="234" t="inlineStr">
        <is>
          <t>TXO</t>
        </is>
      </c>
      <c r="C978" s="229" t="inlineStr">
        <is>
          <t>TXOF1 10 26000 P</t>
        </is>
      </c>
      <c r="D978" s="229" t="inlineStr">
        <is>
          <t>平倉</t>
        </is>
      </c>
      <c r="E978" s="257" t="inlineStr">
        <is>
          <t>賣</t>
        </is>
      </c>
      <c r="F978" s="229" t="inlineStr">
        <is>
          <t>-</t>
        </is>
      </c>
      <c r="G978" s="697" t="n">
        <v>7</v>
      </c>
      <c r="H978" s="698" t="n">
        <v>14</v>
      </c>
      <c r="I978" s="697" t="n">
        <v>4900</v>
      </c>
      <c r="J978" s="585" t="n">
        <v>126</v>
      </c>
      <c r="K978" s="585" t="n">
        <v>7</v>
      </c>
      <c r="L978" s="585">
        <f>IF(B978="TXO",I978-SUM(J978:K978),IF(B978="FITX",IF(D978="新倉",-SUM(J978:K978),IF(E978="賣",(H978-H1682)*G978*200-SUM(J978:K978),(H1682-H978)*G978*200-SUM(J978:K978))),IF(D978="新倉",-SUM(J978:K978),IF(E978="賣",(H978-H1682)*G978*50-SUM(J978:K978),(H1682-H978)*G978*50-SUM(J978:K978)))))</f>
        <v/>
      </c>
      <c r="M978" s="699">
        <f>L978</f>
        <v/>
      </c>
      <c r="N978" s="686">
        <f>M978</f>
        <v/>
      </c>
      <c r="O978" s="249" t="inlineStr">
        <is>
          <t>平倉</t>
        </is>
      </c>
      <c r="P978" s="249" t="inlineStr">
        <is>
          <t>元大期貨</t>
        </is>
      </c>
    </row>
    <row r="979" outlineLevel="1">
      <c r="A979" s="696" t="n">
        <v>45933</v>
      </c>
      <c r="B979" s="234" t="inlineStr">
        <is>
          <t>TXO</t>
        </is>
      </c>
      <c r="C979" s="229" t="inlineStr">
        <is>
          <t>TXOF1 10 26000 P</t>
        </is>
      </c>
      <c r="D979" s="229" t="inlineStr">
        <is>
          <t>新倉</t>
        </is>
      </c>
      <c r="E979" s="257" t="inlineStr">
        <is>
          <t>買</t>
        </is>
      </c>
      <c r="F979" s="229" t="inlineStr">
        <is>
          <t>-</t>
        </is>
      </c>
      <c r="G979" s="697" t="n">
        <v>1</v>
      </c>
      <c r="H979" s="698" t="n">
        <v>7.6</v>
      </c>
      <c r="I979" s="697" t="n">
        <v>-380</v>
      </c>
      <c r="J979" s="585" t="n">
        <v>18</v>
      </c>
      <c r="K979" s="585" t="n">
        <v>0</v>
      </c>
      <c r="L979" s="585">
        <f>IF(B979="TXO",I979-SUM(J979:K979),IF(B979="FITX",IF(D979="新倉",-SUM(J979:K979),IF(E979="賣",(H979-H1683)*G979*200-SUM(J979:K979),(H1683-H979)*G979*200-SUM(J979:K979))),IF(D979="新倉",-SUM(J979:K979),IF(E979="賣",(H979-H1683)*G979*50-SUM(J979:K979),(H1683-H979)*G979*50-SUM(J979:K979)))))</f>
        <v/>
      </c>
      <c r="M979" s="699">
        <f>L979</f>
        <v/>
      </c>
      <c r="N979" s="686">
        <f>M979</f>
        <v/>
      </c>
      <c r="O979" s="261" t="inlineStr">
        <is>
          <t>放棄</t>
        </is>
      </c>
      <c r="P979" s="249" t="inlineStr">
        <is>
          <t>元大期貨</t>
        </is>
      </c>
    </row>
    <row r="980" outlineLevel="1">
      <c r="A980" s="696" t="n">
        <v>45937</v>
      </c>
      <c r="B980" s="234" t="inlineStr">
        <is>
          <t>TXO</t>
        </is>
      </c>
      <c r="C980" s="229" t="inlineStr">
        <is>
          <t>台指選W2 10 26800 C</t>
        </is>
      </c>
      <c r="D980" s="229" t="inlineStr">
        <is>
          <t>新倉</t>
        </is>
      </c>
      <c r="E980" s="257" t="inlineStr">
        <is>
          <t>買</t>
        </is>
      </c>
      <c r="F980" s="229" t="inlineStr">
        <is>
          <t>-</t>
        </is>
      </c>
      <c r="G980" s="697" t="n">
        <v>1</v>
      </c>
      <c r="H980" s="698" t="n">
        <v>182</v>
      </c>
      <c r="I980" s="697" t="n">
        <v>-9100</v>
      </c>
      <c r="J980" s="585" t="n">
        <v>18</v>
      </c>
      <c r="K980" s="585" t="n">
        <v>9</v>
      </c>
      <c r="L980" s="585">
        <f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/>
      </c>
      <c r="M980" s="699">
        <f>L980</f>
        <v/>
      </c>
      <c r="N980" s="686">
        <f>M980</f>
        <v/>
      </c>
      <c r="O980" s="249" t="inlineStr">
        <is>
          <t>新倉</t>
        </is>
      </c>
      <c r="P980" s="249" t="inlineStr">
        <is>
          <t>元大期貨</t>
        </is>
      </c>
    </row>
    <row r="981" outlineLevel="1">
      <c r="A981" s="696" t="n">
        <v>45937</v>
      </c>
      <c r="B981" s="234" t="inlineStr">
        <is>
          <t>TXO</t>
        </is>
      </c>
      <c r="C981" s="229" t="inlineStr">
        <is>
          <t>台指選W2 10 26800 C</t>
        </is>
      </c>
      <c r="D981" s="229" t="inlineStr">
        <is>
          <t>平倉</t>
        </is>
      </c>
      <c r="E981" s="257" t="inlineStr">
        <is>
          <t>賣</t>
        </is>
      </c>
      <c r="F981" s="229" t="inlineStr">
        <is>
          <t>-</t>
        </is>
      </c>
      <c r="G981" s="697" t="n">
        <v>1</v>
      </c>
      <c r="H981" s="698" t="n">
        <v>194</v>
      </c>
      <c r="I981" s="697" t="n">
        <v>9700</v>
      </c>
      <c r="J981" s="585" t="n">
        <v>18</v>
      </c>
      <c r="K981" s="585" t="n">
        <v>10</v>
      </c>
      <c r="L981" s="585">
        <f>IF(B981="TXO",I981-SUM(J981:K981),IF(B981="FITX",IF(D981="新倉",-SUM(J981:K981),IF(E981="賣",(H981-H1685)*G981*200-SUM(J981:K981),(H1685-H981)*G981*200-SUM(J981:K981))),IF(D981="新倉",-SUM(J981:K981),IF(E981="賣",(H981-H1685)*G981*50-SUM(J981:K981),(H1685-H981)*G981*50-SUM(J981:K981)))))</f>
        <v/>
      </c>
      <c r="M981" s="699">
        <f>L981</f>
        <v/>
      </c>
      <c r="N981" s="686">
        <f>M981</f>
        <v/>
      </c>
      <c r="O981" s="249" t="inlineStr">
        <is>
          <t>平倉</t>
        </is>
      </c>
      <c r="P981" s="249" t="inlineStr">
        <is>
          <t>元大期貨</t>
        </is>
      </c>
    </row>
    <row r="982" outlineLevel="1">
      <c r="A982" s="696" t="n">
        <v>45937</v>
      </c>
      <c r="B982" s="234" t="inlineStr">
        <is>
          <t>TXO</t>
        </is>
      </c>
      <c r="C982" s="229" t="inlineStr">
        <is>
          <t>台指選W2 10 26650 P</t>
        </is>
      </c>
      <c r="D982" s="229" t="inlineStr">
        <is>
          <t>新倉</t>
        </is>
      </c>
      <c r="E982" s="257" t="inlineStr">
        <is>
          <t>買</t>
        </is>
      </c>
      <c r="F982" s="229" t="inlineStr">
        <is>
          <t>-</t>
        </is>
      </c>
      <c r="G982" s="697" t="n">
        <v>1</v>
      </c>
      <c r="H982" s="698" t="n">
        <v>159</v>
      </c>
      <c r="I982" s="697" t="n">
        <v>-7950</v>
      </c>
      <c r="J982" s="585" t="n">
        <v>18</v>
      </c>
      <c r="K982" s="585" t="n">
        <v>8</v>
      </c>
      <c r="L982" s="585">
        <f>IF(B982="TXO",I982-SUM(J982:K982),IF(B982="FITX",IF(D982="新倉",-SUM(J982:K982),IF(E982="賣",(H982-H1686)*G982*200-SUM(J982:K982),(H1686-H982)*G982*200-SUM(J982:K982))),IF(D982="新倉",-SUM(J982:K982),IF(E982="賣",(H982-H1686)*G982*50-SUM(J982:K982),(H1686-H982)*G982*50-SUM(J982:K982)))))</f>
        <v/>
      </c>
      <c r="M982" s="699">
        <f>L982</f>
        <v/>
      </c>
      <c r="N982" s="686">
        <f>M982</f>
        <v/>
      </c>
      <c r="O982" s="249" t="inlineStr">
        <is>
          <t>新倉</t>
        </is>
      </c>
      <c r="P982" s="249" t="inlineStr">
        <is>
          <t>元大期貨</t>
        </is>
      </c>
    </row>
    <row r="983" outlineLevel="1">
      <c r="A983" s="696" t="n">
        <v>45937</v>
      </c>
      <c r="B983" s="234" t="inlineStr">
        <is>
          <t>TXO</t>
        </is>
      </c>
      <c r="C983" s="229" t="inlineStr">
        <is>
          <t>台指選W2 10 26650 P</t>
        </is>
      </c>
      <c r="D983" s="229" t="inlineStr">
        <is>
          <t>平倉</t>
        </is>
      </c>
      <c r="E983" s="257" t="inlineStr">
        <is>
          <t>賣</t>
        </is>
      </c>
      <c r="F983" s="229" t="inlineStr">
        <is>
          <t>-</t>
        </is>
      </c>
      <c r="G983" s="697" t="n">
        <v>1</v>
      </c>
      <c r="H983" s="698" t="n">
        <v>140</v>
      </c>
      <c r="I983" s="697" t="n">
        <v>7000</v>
      </c>
      <c r="J983" s="585" t="n">
        <v>18</v>
      </c>
      <c r="K983" s="585" t="n">
        <v>7</v>
      </c>
      <c r="L983" s="585">
        <f>IF(B983="TXO",I983-SUM(J983:K983),IF(B983="FITX",IF(D983="新倉",-SUM(J983:K983),IF(E983="賣",(H983-H1687)*G983*200-SUM(J983:K983),(H1687-H983)*G983*200-SUM(J983:K983))),IF(D983="新倉",-SUM(J983:K983),IF(E983="賣",(H983-H1687)*G983*50-SUM(J983:K983),(H1687-H983)*G983*50-SUM(J983:K983)))))</f>
        <v/>
      </c>
      <c r="M983" s="699">
        <f>L983</f>
        <v/>
      </c>
      <c r="N983" s="686">
        <f>M983</f>
        <v/>
      </c>
      <c r="O983" s="249" t="inlineStr">
        <is>
          <t>平倉</t>
        </is>
      </c>
      <c r="P983" s="249" t="inlineStr">
        <is>
          <t>元大期貨</t>
        </is>
      </c>
    </row>
    <row r="984" outlineLevel="1">
      <c r="A984" s="696" t="n">
        <v>45937</v>
      </c>
      <c r="B984" s="234" t="inlineStr">
        <is>
          <t>TXO</t>
        </is>
      </c>
      <c r="C984" s="229" t="inlineStr">
        <is>
          <t>台指選W2 10 26650 P</t>
        </is>
      </c>
      <c r="D984" s="229" t="inlineStr">
        <is>
          <t>新倉</t>
        </is>
      </c>
      <c r="E984" s="257" t="inlineStr">
        <is>
          <t>買</t>
        </is>
      </c>
      <c r="F984" s="229" t="inlineStr">
        <is>
          <t>-</t>
        </is>
      </c>
      <c r="G984" s="697" t="n">
        <v>1</v>
      </c>
      <c r="H984" s="698" t="n">
        <v>139</v>
      </c>
      <c r="I984" s="697" t="n">
        <v>-6950</v>
      </c>
      <c r="J984" s="585" t="n">
        <v>18</v>
      </c>
      <c r="K984" s="585" t="n">
        <v>7</v>
      </c>
      <c r="L984" s="585">
        <f>IF(B984="TXO",I984-SUM(J984:K984),IF(B984="FITX",IF(D984="新倉",-SUM(J984:K984),IF(E984="賣",(H984-H1688)*G984*200-SUM(J984:K984),(H1688-H984)*G984*200-SUM(J984:K984))),IF(D984="新倉",-SUM(J984:K984),IF(E984="賣",(H984-H1688)*G984*50-SUM(J984:K984),(H1688-H984)*G984*50-SUM(J984:K984)))))</f>
        <v/>
      </c>
      <c r="M984" s="699">
        <f>L984</f>
        <v/>
      </c>
      <c r="N984" s="686">
        <f>M984</f>
        <v/>
      </c>
      <c r="O984" s="249" t="inlineStr">
        <is>
          <t>新倉</t>
        </is>
      </c>
      <c r="P984" s="249" t="inlineStr">
        <is>
          <t>元大期貨</t>
        </is>
      </c>
    </row>
    <row r="985" outlineLevel="1">
      <c r="A985" s="696" t="n">
        <v>45937</v>
      </c>
      <c r="B985" s="234" t="inlineStr">
        <is>
          <t>TXO</t>
        </is>
      </c>
      <c r="C985" s="229" t="inlineStr">
        <is>
          <t>台指選W2 10 26650 P</t>
        </is>
      </c>
      <c r="D985" s="229" t="inlineStr">
        <is>
          <t>平倉</t>
        </is>
      </c>
      <c r="E985" s="257" t="inlineStr">
        <is>
          <t>賣</t>
        </is>
      </c>
      <c r="F985" s="229" t="inlineStr">
        <is>
          <t>-</t>
        </is>
      </c>
      <c r="G985" s="697" t="n">
        <v>1</v>
      </c>
      <c r="H985" s="698" t="n">
        <v>139</v>
      </c>
      <c r="I985" s="697" t="n">
        <v>6950</v>
      </c>
      <c r="J985" s="585" t="n">
        <v>18</v>
      </c>
      <c r="K985" s="585" t="n">
        <v>7</v>
      </c>
      <c r="L985" s="585">
        <f>IF(B985="TXO",I985-SUM(J985:K985),IF(B985="FITX",IF(D985="新倉",-SUM(J985:K985),IF(E985="賣",(H985-H1689)*G985*200-SUM(J985:K985),(H1689-H985)*G985*200-SUM(J985:K985))),IF(D985="新倉",-SUM(J985:K985),IF(E985="賣",(H985-H1689)*G985*50-SUM(J985:K985),(H1689-H985)*G985*50-SUM(J985:K985)))))</f>
        <v/>
      </c>
      <c r="M985" s="699">
        <f>L985</f>
        <v/>
      </c>
      <c r="N985" s="686">
        <f>M985</f>
        <v/>
      </c>
      <c r="O985" s="249" t="inlineStr">
        <is>
          <t>平倉</t>
        </is>
      </c>
      <c r="P985" s="249" t="inlineStr">
        <is>
          <t>元大期貨</t>
        </is>
      </c>
    </row>
    <row r="986" outlineLevel="1">
      <c r="A986" s="696" t="n">
        <v>45937</v>
      </c>
      <c r="B986" s="234" t="inlineStr">
        <is>
          <t>TXO</t>
        </is>
      </c>
      <c r="C986" s="229" t="inlineStr">
        <is>
          <t>台指選W2 10 26650 P</t>
        </is>
      </c>
      <c r="D986" s="229" t="inlineStr">
        <is>
          <t>新倉</t>
        </is>
      </c>
      <c r="E986" s="257" t="inlineStr">
        <is>
          <t>買</t>
        </is>
      </c>
      <c r="F986" s="229" t="inlineStr">
        <is>
          <t>-</t>
        </is>
      </c>
      <c r="G986" s="697" t="n">
        <v>1</v>
      </c>
      <c r="H986" s="698" t="n">
        <v>168</v>
      </c>
      <c r="I986" s="697" t="n">
        <v>-8400</v>
      </c>
      <c r="J986" s="585" t="n">
        <v>18</v>
      </c>
      <c r="K986" s="585" t="n">
        <v>8</v>
      </c>
      <c r="L986" s="585">
        <f>IF(B986="TXO",I986-SUM(J986:K986),IF(B986="FITX",IF(D986="新倉",-SUM(J986:K986),IF(E986="賣",(H986-H1690)*G986*200-SUM(J986:K986),(H1690-H986)*G986*200-SUM(J986:K986))),IF(D986="新倉",-SUM(J986:K986),IF(E986="賣",(H986-H1690)*G986*50-SUM(J986:K986),(H1690-H986)*G986*50-SUM(J986:K986)))))</f>
        <v/>
      </c>
      <c r="M986" s="699">
        <f>L986</f>
        <v/>
      </c>
      <c r="N986" s="686">
        <f>M986</f>
        <v/>
      </c>
      <c r="O986" s="249" t="inlineStr">
        <is>
          <t>新倉</t>
        </is>
      </c>
      <c r="P986" s="249" t="inlineStr">
        <is>
          <t>元大期貨</t>
        </is>
      </c>
    </row>
    <row r="987" outlineLevel="1">
      <c r="A987" s="696" t="n">
        <v>45937</v>
      </c>
      <c r="B987" s="234" t="inlineStr">
        <is>
          <t>TXO</t>
        </is>
      </c>
      <c r="C987" s="229" t="inlineStr">
        <is>
          <t>台指選W2 10 26650 P</t>
        </is>
      </c>
      <c r="D987" s="229" t="inlineStr">
        <is>
          <t>平倉</t>
        </is>
      </c>
      <c r="E987" s="257" t="inlineStr">
        <is>
          <t>賣</t>
        </is>
      </c>
      <c r="F987" s="229" t="inlineStr">
        <is>
          <t>-</t>
        </is>
      </c>
      <c r="G987" s="697" t="n">
        <v>1</v>
      </c>
      <c r="H987" s="698" t="n">
        <v>138</v>
      </c>
      <c r="I987" s="697" t="n">
        <v>6900</v>
      </c>
      <c r="J987" s="585" t="n">
        <v>18</v>
      </c>
      <c r="K987" s="585" t="n">
        <v>7</v>
      </c>
      <c r="L987" s="585">
        <f>IF(B987="TXO",I987-SUM(J987:K987),IF(B987="FITX",IF(D987="新倉",-SUM(J987:K987),IF(E987="賣",(H987-H1691)*G987*200-SUM(J987:K987),(H1691-H987)*G987*200-SUM(J987:K987))),IF(D987="新倉",-SUM(J987:K987),IF(E987="賣",(H987-H1691)*G987*50-SUM(J987:K987),(H1691-H987)*G987*50-SUM(J987:K987)))))</f>
        <v/>
      </c>
      <c r="M987" s="699">
        <f>L987</f>
        <v/>
      </c>
      <c r="N987" s="686">
        <f>M987</f>
        <v/>
      </c>
      <c r="O987" s="249" t="inlineStr">
        <is>
          <t>平倉</t>
        </is>
      </c>
      <c r="P987" s="249" t="inlineStr">
        <is>
          <t>元大期貨</t>
        </is>
      </c>
    </row>
    <row r="988" outlineLevel="1">
      <c r="A988" s="696" t="n">
        <v>45937</v>
      </c>
      <c r="B988" s="234" t="inlineStr">
        <is>
          <t>TXO</t>
        </is>
      </c>
      <c r="C988" s="229" t="inlineStr">
        <is>
          <t>台指選W2 10 26650 P</t>
        </is>
      </c>
      <c r="D988" s="229" t="inlineStr">
        <is>
          <t>新倉</t>
        </is>
      </c>
      <c r="E988" s="257" t="inlineStr">
        <is>
          <t>買</t>
        </is>
      </c>
      <c r="F988" s="229" t="inlineStr">
        <is>
          <t>-</t>
        </is>
      </c>
      <c r="G988" s="697" t="n">
        <v>1</v>
      </c>
      <c r="H988" s="698" t="n">
        <v>171</v>
      </c>
      <c r="I988" s="697" t="n">
        <v>-8550</v>
      </c>
      <c r="J988" s="585" t="n">
        <v>18</v>
      </c>
      <c r="K988" s="585" t="n">
        <v>9</v>
      </c>
      <c r="L988" s="585">
        <f>IF(B988="TXO",I988-SUM(J988:K988),IF(B988="FITX",IF(D988="新倉",-SUM(J988:K988),IF(E988="賣",(H988-H1692)*G988*200-SUM(J988:K988),(H1692-H988)*G988*200-SUM(J988:K988))),IF(D988="新倉",-SUM(J988:K988),IF(E988="賣",(H988-H1692)*G988*50-SUM(J988:K988),(H1692-H988)*G988*50-SUM(J988:K988)))))</f>
        <v/>
      </c>
      <c r="M988" s="699">
        <f>L988</f>
        <v/>
      </c>
      <c r="N988" s="686">
        <f>M988</f>
        <v/>
      </c>
      <c r="O988" s="249" t="inlineStr">
        <is>
          <t>新倉</t>
        </is>
      </c>
      <c r="P988" s="249" t="inlineStr">
        <is>
          <t>元大期貨</t>
        </is>
      </c>
    </row>
    <row r="989" outlineLevel="1">
      <c r="A989" s="696" t="n">
        <v>45937</v>
      </c>
      <c r="B989" s="234" t="inlineStr">
        <is>
          <t>TXO</t>
        </is>
      </c>
      <c r="C989" s="229" t="inlineStr">
        <is>
          <t>台指選W2 10 26650 P</t>
        </is>
      </c>
      <c r="D989" s="229" t="inlineStr">
        <is>
          <t>新倉</t>
        </is>
      </c>
      <c r="E989" s="257" t="inlineStr">
        <is>
          <t>買</t>
        </is>
      </c>
      <c r="F989" s="229" t="inlineStr">
        <is>
          <t>-</t>
        </is>
      </c>
      <c r="G989" s="697" t="n">
        <v>1</v>
      </c>
      <c r="H989" s="698" t="n">
        <v>180</v>
      </c>
      <c r="I989" s="697" t="n">
        <v>-9000</v>
      </c>
      <c r="J989" s="585" t="n">
        <v>18</v>
      </c>
      <c r="K989" s="585" t="n">
        <v>9</v>
      </c>
      <c r="L989" s="585">
        <f>IF(B989="TXO",I989-SUM(J989:K989),IF(B989="FITX",IF(D989="新倉",-SUM(J989:K989),IF(E989="賣",(H989-H1693)*G989*200-SUM(J989:K989),(H1693-H989)*G989*200-SUM(J989:K989))),IF(D989="新倉",-SUM(J989:K989),IF(E989="賣",(H989-H1693)*G989*50-SUM(J989:K989),(H1693-H989)*G989*50-SUM(J989:K989)))))</f>
        <v/>
      </c>
      <c r="M989" s="699">
        <f>L989</f>
        <v/>
      </c>
      <c r="N989" s="686">
        <f>M989</f>
        <v/>
      </c>
      <c r="O989" s="249" t="inlineStr">
        <is>
          <t>新倉</t>
        </is>
      </c>
      <c r="P989" s="249" t="inlineStr">
        <is>
          <t>元大期貨</t>
        </is>
      </c>
    </row>
    <row r="990" outlineLevel="1">
      <c r="A990" s="696" t="n">
        <v>45937</v>
      </c>
      <c r="B990" s="234" t="inlineStr">
        <is>
          <t>TXO</t>
        </is>
      </c>
      <c r="C990" s="229" t="inlineStr">
        <is>
          <t>台指選W2 10 26650 P</t>
        </is>
      </c>
      <c r="D990" s="229" t="inlineStr">
        <is>
          <t>平倉</t>
        </is>
      </c>
      <c r="E990" s="257" t="inlineStr">
        <is>
          <t>賣</t>
        </is>
      </c>
      <c r="F990" s="229" t="inlineStr">
        <is>
          <t>-</t>
        </is>
      </c>
      <c r="G990" s="697" t="n">
        <v>2</v>
      </c>
      <c r="H990" s="698" t="n">
        <v>137</v>
      </c>
      <c r="I990" s="697" t="n">
        <v>13700</v>
      </c>
      <c r="J990" s="585" t="n">
        <v>36</v>
      </c>
      <c r="K990" s="585" t="n">
        <v>14</v>
      </c>
      <c r="L990" s="585">
        <f>IF(B990="TXO",I990-SUM(J990:K990),IF(B990="FITX",IF(D990="新倉",-SUM(J990:K990),IF(E990="賣",(H990-H1694)*G990*200-SUM(J990:K990),(H1694-H990)*G990*200-SUM(J990:K990))),IF(D990="新倉",-SUM(J990:K990),IF(E990="賣",(H990-H1694)*G990*50-SUM(J990:K990),(H1694-H990)*G990*50-SUM(J990:K990)))))</f>
        <v/>
      </c>
      <c r="M990" s="699">
        <f>L990</f>
        <v/>
      </c>
      <c r="N990" s="686">
        <f>M990</f>
        <v/>
      </c>
      <c r="O990" s="249" t="inlineStr">
        <is>
          <t>平倉</t>
        </is>
      </c>
      <c r="P990" s="249" t="inlineStr">
        <is>
          <t>元大期貨</t>
        </is>
      </c>
    </row>
    <row r="991" outlineLevel="1">
      <c r="A991" s="696" t="n"/>
      <c r="B991" s="234" t="n"/>
      <c r="C991" s="229" t="n"/>
      <c r="D991" s="229" t="n"/>
      <c r="E991" s="257" t="n"/>
      <c r="F991" s="229" t="n"/>
      <c r="G991" s="697" t="n"/>
      <c r="H991" s="698" t="n"/>
      <c r="I991" s="697" t="n"/>
      <c r="J991" s="585" t="n"/>
      <c r="K991" s="585" t="n"/>
      <c r="L991" s="585" t="n"/>
      <c r="M991" s="699" t="n"/>
      <c r="P991" s="249" t="n"/>
    </row>
    <row r="992" outlineLevel="1">
      <c r="A992" s="696" t="n"/>
      <c r="B992" s="234" t="n"/>
      <c r="C992" s="229" t="n"/>
      <c r="D992" s="229" t="n"/>
      <c r="E992" s="257" t="n"/>
      <c r="F992" s="229" t="n"/>
      <c r="G992" s="697" t="n"/>
      <c r="H992" s="698" t="n"/>
      <c r="I992" s="697" t="n"/>
      <c r="J992" s="585" t="n"/>
      <c r="K992" s="585" t="n"/>
      <c r="L992" s="585" t="n"/>
      <c r="M992" s="699" t="n"/>
      <c r="P992" s="249" t="n"/>
    </row>
    <row r="993" outlineLevel="1">
      <c r="A993" s="696" t="n"/>
      <c r="B993" s="234" t="n"/>
      <c r="C993" s="229" t="n"/>
      <c r="D993" s="229" t="n"/>
      <c r="E993" s="257" t="n"/>
      <c r="F993" s="229" t="n"/>
      <c r="G993" s="697" t="n"/>
      <c r="H993" s="698" t="n"/>
      <c r="I993" s="697" t="n"/>
      <c r="J993" s="585" t="n"/>
      <c r="K993" s="585" t="n"/>
      <c r="L993" s="585" t="n"/>
      <c r="M993" s="699" t="n"/>
      <c r="P993" s="249" t="n"/>
    </row>
    <row r="994" outlineLevel="1">
      <c r="A994" s="696" t="n"/>
      <c r="B994" s="234" t="n"/>
      <c r="C994" s="229" t="n"/>
      <c r="D994" s="229" t="n"/>
      <c r="E994" s="257" t="n"/>
      <c r="F994" s="229" t="n"/>
      <c r="G994" s="697" t="n"/>
      <c r="H994" s="698" t="n"/>
      <c r="I994" s="697" t="n"/>
      <c r="J994" s="585" t="n"/>
      <c r="K994" s="585" t="n"/>
      <c r="L994" s="585" t="n"/>
      <c r="M994" s="699" t="n"/>
      <c r="P994" s="249" t="n"/>
    </row>
    <row r="995" outlineLevel="1">
      <c r="A995" s="696" t="n"/>
      <c r="B995" s="234" t="n"/>
      <c r="C995" s="229" t="n"/>
      <c r="D995" s="229" t="n"/>
      <c r="E995" s="257" t="n"/>
      <c r="F995" s="229" t="n"/>
      <c r="G995" s="697" t="n"/>
      <c r="H995" s="698" t="n"/>
      <c r="I995" s="697" t="n"/>
      <c r="J995" s="585" t="n"/>
      <c r="K995" s="585" t="n"/>
      <c r="L995" s="585" t="n"/>
      <c r="M995" s="699" t="n"/>
      <c r="P995" s="249" t="n"/>
    </row>
    <row r="996" outlineLevel="1">
      <c r="A996" s="696" t="n"/>
      <c r="B996" s="234" t="n"/>
      <c r="C996" s="229" t="n"/>
      <c r="D996" s="229" t="n"/>
      <c r="E996" s="257" t="n"/>
      <c r="F996" s="229" t="n"/>
      <c r="G996" s="697" t="n"/>
      <c r="H996" s="698" t="n"/>
      <c r="I996" s="697" t="n"/>
      <c r="J996" s="585" t="n"/>
      <c r="K996" s="585" t="n"/>
      <c r="L996" s="585" t="n"/>
      <c r="M996" s="699" t="n"/>
      <c r="P996" s="249" t="n"/>
    </row>
    <row r="997" outlineLevel="1">
      <c r="A997" s="696" t="n"/>
      <c r="B997" s="234" t="n"/>
      <c r="C997" s="229" t="n"/>
      <c r="D997" s="229" t="n"/>
      <c r="E997" s="257" t="n"/>
      <c r="F997" s="229" t="n"/>
      <c r="G997" s="697" t="n"/>
      <c r="H997" s="698" t="n"/>
      <c r="I997" s="697" t="n"/>
      <c r="J997" s="585" t="n"/>
      <c r="K997" s="585" t="n"/>
      <c r="L997" s="585" t="n"/>
      <c r="M997" s="699" t="n"/>
      <c r="P997" s="249" t="n"/>
    </row>
    <row r="998" outlineLevel="1">
      <c r="A998" s="696" t="n"/>
      <c r="B998" s="234" t="n"/>
      <c r="C998" s="229" t="n"/>
      <c r="D998" s="229" t="n"/>
      <c r="E998" s="257" t="n"/>
      <c r="F998" s="229" t="n"/>
      <c r="G998" s="697" t="n"/>
      <c r="H998" s="698" t="n"/>
      <c r="I998" s="697" t="n"/>
      <c r="J998" s="585" t="n"/>
      <c r="K998" s="585" t="n"/>
      <c r="L998" s="585" t="n"/>
      <c r="M998" s="699" t="n"/>
      <c r="P998" s="249" t="n"/>
    </row>
    <row r="999" outlineLevel="1">
      <c r="A999" s="696" t="n"/>
      <c r="B999" s="234" t="n"/>
      <c r="C999" s="229" t="n"/>
      <c r="D999" s="229" t="n"/>
      <c r="E999" s="257" t="n"/>
      <c r="F999" s="229" t="n"/>
      <c r="G999" s="697" t="n"/>
      <c r="H999" s="698" t="n"/>
      <c r="I999" s="697" t="n"/>
      <c r="J999" s="585" t="n"/>
      <c r="K999" s="585" t="n"/>
      <c r="L999" s="585" t="n"/>
      <c r="M999" s="699" t="n"/>
      <c r="P999" s="249" t="n"/>
    </row>
    <row r="1000" outlineLevel="1">
      <c r="A1000" s="696" t="n"/>
      <c r="B1000" s="234" t="n"/>
      <c r="C1000" s="229" t="n"/>
      <c r="D1000" s="229" t="n"/>
      <c r="E1000" s="257" t="n"/>
      <c r="F1000" s="229" t="n"/>
      <c r="G1000" s="697" t="n"/>
      <c r="H1000" s="698" t="n"/>
      <c r="I1000" s="697" t="n"/>
      <c r="J1000" s="585" t="n"/>
      <c r="K1000" s="585" t="n"/>
      <c r="L1000" s="585" t="n"/>
      <c r="M1000" s="699" t="n"/>
      <c r="P1000" s="249" t="n"/>
    </row>
    <row r="1001" outlineLevel="1">
      <c r="A1001" s="696" t="n"/>
      <c r="B1001" s="234" t="n"/>
      <c r="C1001" s="229" t="n"/>
      <c r="D1001" s="229" t="n"/>
      <c r="E1001" s="257" t="n"/>
      <c r="F1001" s="229" t="n"/>
      <c r="G1001" s="697" t="n"/>
      <c r="H1001" s="698" t="n"/>
      <c r="I1001" s="697" t="n"/>
      <c r="J1001" s="585" t="n"/>
      <c r="K1001" s="585" t="n"/>
      <c r="L1001" s="585" t="n"/>
      <c r="M1001" s="699" t="n"/>
      <c r="P1001" s="249" t="n"/>
    </row>
    <row r="1002" outlineLevel="1">
      <c r="A1002" s="696" t="n"/>
      <c r="B1002" s="234" t="n"/>
      <c r="C1002" s="229" t="n"/>
      <c r="D1002" s="229" t="n"/>
      <c r="E1002" s="257" t="n"/>
      <c r="F1002" s="229" t="n"/>
      <c r="G1002" s="697" t="n"/>
      <c r="H1002" s="698" t="n"/>
      <c r="I1002" s="697" t="n"/>
      <c r="J1002" s="585" t="n"/>
      <c r="K1002" s="585" t="n"/>
      <c r="L1002" s="585" t="n"/>
      <c r="M1002" s="699" t="n"/>
      <c r="P1002" s="249" t="n"/>
    </row>
    <row r="1003" outlineLevel="1">
      <c r="A1003" s="696" t="n"/>
      <c r="B1003" s="234" t="n"/>
      <c r="C1003" s="229" t="n"/>
      <c r="D1003" s="229" t="n"/>
      <c r="E1003" s="257" t="n"/>
      <c r="F1003" s="229" t="n"/>
      <c r="G1003" s="697" t="n"/>
      <c r="H1003" s="698" t="n"/>
      <c r="I1003" s="697" t="n"/>
      <c r="J1003" s="585" t="n"/>
      <c r="K1003" s="585" t="n"/>
      <c r="L1003" s="585" t="n"/>
      <c r="M1003" s="699" t="n"/>
      <c r="P1003" s="249" t="n"/>
    </row>
    <row r="1004" ht="17.25" customHeight="1" thickBot="1">
      <c r="A1004" s="696" t="n"/>
      <c r="B1004" s="234" t="n"/>
      <c r="C1004" s="229" t="n"/>
      <c r="D1004" s="229" t="n"/>
      <c r="E1004" s="257" t="n"/>
      <c r="F1004" s="229" t="n"/>
      <c r="G1004" s="697" t="n"/>
      <c r="H1004" s="698" t="n"/>
      <c r="I1004" s="697" t="n"/>
      <c r="J1004" s="585" t="n"/>
      <c r="K1004" s="585" t="n"/>
      <c r="L1004" s="585" t="n"/>
      <c r="M1004" s="699" t="n"/>
      <c r="P1004" s="249" t="n"/>
    </row>
    <row r="1005" ht="17.25" customHeight="1" thickBot="1">
      <c r="A1005" s="469" t="inlineStr">
        <is>
          <t>10月總計</t>
        </is>
      </c>
      <c r="B1005" s="274" t="n"/>
      <c r="C1005" s="274" t="n"/>
      <c r="D1005" s="274" t="n"/>
      <c r="E1005" s="274" t="n"/>
      <c r="F1005" s="274" t="n"/>
      <c r="G1005" s="715" t="n"/>
      <c r="H1005" s="715" t="n"/>
      <c r="I1005" s="715" t="n"/>
      <c r="J1005" s="716" t="n"/>
      <c r="K1005" s="715" t="n"/>
      <c r="L1005" s="717">
        <f>SUM(L955:L1004)</f>
        <v/>
      </c>
      <c r="M1005" s="717">
        <f>SUM(M955:M1004)</f>
        <v/>
      </c>
      <c r="N1005" s="666" t="n"/>
    </row>
    <row r="1006" ht="17.25" customHeight="1" thickBot="1">
      <c r="A1006" s="241" t="n"/>
      <c r="B1006" s="241" t="n"/>
      <c r="E1006" s="226" t="n"/>
      <c r="J1006" s="30" t="n"/>
      <c r="K1006" s="31" t="n"/>
      <c r="L1006" s="667" t="n"/>
      <c r="M1006" s="667" t="n"/>
    </row>
    <row r="1007" collapsed="1" ht="17.25" customFormat="1" customHeight="1" s="244" thickBot="1">
      <c r="A1007" s="262" t="inlineStr">
        <is>
          <t>2025總計</t>
        </is>
      </c>
      <c r="B1007" s="263" t="n"/>
      <c r="C1007" s="263" t="n"/>
      <c r="D1007" s="263" t="n"/>
      <c r="E1007" s="263" t="n"/>
      <c r="F1007" s="263" t="n"/>
      <c r="G1007" s="702" t="n"/>
      <c r="H1007" s="702" t="n"/>
      <c r="I1007" s="702" t="n"/>
      <c r="J1007" s="703" t="n"/>
      <c r="K1007" s="702" t="n"/>
      <c r="L1007" s="704">
        <f>SUM(L162,L171,L215,L302,L368,L510,L606,L819,L954,L1005)</f>
        <v/>
      </c>
      <c r="M1007" s="704">
        <f>SUM(M162,M171,M215,M302,M368,M510,M606,M819,M954,M1005)</f>
        <v/>
      </c>
      <c r="N1007" s="706" t="n"/>
      <c r="O1007" s="255" t="n"/>
    </row>
    <row r="1008" ht="17.25" customHeight="1" thickBot="1">
      <c r="A1008" s="241" t="n"/>
      <c r="B1008" s="241" t="n"/>
      <c r="E1008" s="226" t="n"/>
      <c r="J1008" s="30" t="n"/>
      <c r="K1008" s="31" t="n"/>
      <c r="L1008" s="667" t="n"/>
      <c r="M1008" s="667" t="n"/>
    </row>
    <row r="1009" ht="17.25" customHeight="1" thickBot="1">
      <c r="E1009" s="704" t="inlineStr">
        <is>
          <t>權利金</t>
        </is>
      </c>
      <c r="F1009" s="723" t="inlineStr">
        <is>
          <t>手續費</t>
        </is>
      </c>
      <c r="G1009" s="723" t="inlineStr">
        <is>
          <t>交易稅</t>
        </is>
      </c>
      <c r="H1009" s="723" t="inlineStr">
        <is>
          <t>已實現損益</t>
        </is>
      </c>
      <c r="I1009" s="724" t="inlineStr">
        <is>
          <t>報酬率</t>
        </is>
      </c>
      <c r="J1009" s="724" t="inlineStr">
        <is>
          <t>淨報酬率</t>
        </is>
      </c>
      <c r="N1009" s="226" t="n"/>
      <c r="O1009" s="725" t="n"/>
    </row>
    <row r="1010" ht="17.25" customHeight="1" thickBot="1">
      <c r="A1010" s="141" t="inlineStr">
        <is>
          <t>選擇權總計</t>
        </is>
      </c>
      <c r="B1010" s="579" t="n"/>
      <c r="C1010" s="143" t="n"/>
      <c r="D1010" s="144" t="n"/>
      <c r="E1010" s="705">
        <f>SUMIF($B153:$B1007,"TXO",I153:I1007)</f>
        <v/>
      </c>
      <c r="F1010" s="705">
        <f>SUMIF($B153:$B1007,"TXO",J153:J1007)</f>
        <v/>
      </c>
      <c r="G1010" s="705">
        <f>SUMIF($B153:$B1007,"TXO",K153:K1007)</f>
        <v/>
      </c>
      <c r="H1010" s="705">
        <f>SUMIF($B153:$B1007,"TXO",L153:L1007)</f>
        <v/>
      </c>
      <c r="I1010" s="726">
        <f>IF(H1010=0,0,H1010/C1017)</f>
        <v/>
      </c>
      <c r="J1010" s="147" t="n"/>
      <c r="K1010" s="570" t="inlineStr">
        <is>
          <t>年化報酬率</t>
        </is>
      </c>
      <c r="L1010" s="727">
        <f>IF(I1010&lt;0,-((1+ABS(I1010))^(1/((TODAY()-A23)/365.25))-1),(1+ABS(I1010))^(1/((TODAY()-A23)/365.25))-1)</f>
        <v/>
      </c>
      <c r="M1010" s="727" t="n"/>
      <c r="N1010" s="226" t="n"/>
      <c r="O1010" s="725" t="n"/>
    </row>
    <row r="1011" ht="17.25" customHeight="1" thickBot="1">
      <c r="A1011" s="141" t="inlineStr">
        <is>
          <t>期貨總計</t>
        </is>
      </c>
      <c r="B1011" s="579" t="n"/>
      <c r="C1011" s="143" t="n"/>
      <c r="D1011" s="144" t="n"/>
      <c r="E1011" s="705">
        <f>SUMIF($B153:$B1007,"FITX",I153:I1007)</f>
        <v/>
      </c>
      <c r="F1011" s="705">
        <f>SUMIF($B153:$B1007,"FITX",J153:J1007)</f>
        <v/>
      </c>
      <c r="G1011" s="705">
        <f>SUMIF($B153:$B1007,"FITX",K153:K1007)</f>
        <v/>
      </c>
      <c r="H1011" s="705">
        <f>SUMIF($B153:$B1007,"FITX",L153:L1007)+SUMIF($B153:$B1007,"FIMTX",L153:L1007)</f>
        <v/>
      </c>
      <c r="I1011" s="726">
        <f>IF(H1011=0,0,H1011/C1016)</f>
        <v/>
      </c>
      <c r="J1011" s="726" t="n"/>
      <c r="K1011" s="604" t="n"/>
      <c r="L1011" s="727">
        <f>IF(I1011&lt;0,-((1+ABS(I1011))^(1/((TODAY()-A23)/365.25))-1),(1+ABS(I1011))^(1/((TODAY()-A23)/365.25))-1)</f>
        <v/>
      </c>
      <c r="M1011" s="727" t="n"/>
      <c r="N1011" s="226" t="n"/>
      <c r="O1011" s="725" t="n"/>
    </row>
    <row r="1012" ht="17.25" customHeight="1" thickBot="1">
      <c r="A1012" s="141" t="inlineStr">
        <is>
          <t>2025總計</t>
        </is>
      </c>
      <c r="B1012" s="579" t="n"/>
      <c r="C1012" s="143" t="n"/>
      <c r="D1012" s="144" t="n"/>
      <c r="E1012" s="705">
        <f>SUM(E1010:E1011)</f>
        <v/>
      </c>
      <c r="F1012" s="705">
        <f>SUM(F1010:F1011)</f>
        <v/>
      </c>
      <c r="G1012" s="705">
        <f>SUM(G1010:G1011)</f>
        <v/>
      </c>
      <c r="H1012" s="705">
        <f>L1007</f>
        <v/>
      </c>
      <c r="I1012" s="726">
        <f>IF(H1012=0,0,H1012/C1016)</f>
        <v/>
      </c>
      <c r="J1012" s="726">
        <f>IF(M1007=0,0,M1007/C1016)</f>
        <v/>
      </c>
      <c r="K1012" s="604" t="n"/>
      <c r="L1012" s="727">
        <f>IF(I1012&lt;0,-((1+ABS(I1012))^(1/((TODAY()-A22)/365.25))-1),(1+ABS(I1012))^(1/((TODAY()-A22)/365.25))-1)</f>
        <v/>
      </c>
      <c r="M1012" s="727" t="n"/>
      <c r="N1012" s="226" t="n"/>
      <c r="O1012" s="725" t="n"/>
    </row>
    <row r="1013" ht="17.25" customHeight="1" thickBot="1">
      <c r="A1013" s="141" t="inlineStr">
        <is>
          <t>2024總計</t>
        </is>
      </c>
      <c r="B1013" s="579" t="n"/>
      <c r="C1013" s="143" t="n"/>
      <c r="D1013" s="144" t="n"/>
      <c r="E1013" s="705">
        <f>SUM(I24:I148)</f>
        <v/>
      </c>
      <c r="F1013" s="705">
        <f>SUM(J24:J148)</f>
        <v/>
      </c>
      <c r="G1013" s="705">
        <f>SUM(K24:K148)</f>
        <v/>
      </c>
      <c r="H1013" s="705">
        <f>L151</f>
        <v/>
      </c>
      <c r="I1013" s="726">
        <f>IF(C151=0,0,H1012/C151)</f>
        <v/>
      </c>
      <c r="J1013" s="726">
        <f>IF(M151=0,0,M151/C151)</f>
        <v/>
      </c>
      <c r="K1013" s="604" t="n"/>
      <c r="L1013" s="727">
        <f>IF(I1013&lt;0,-((1+ABS(I1013))^(1/((TODAY()-A23)/365.25))-1),(1+ABS(I1013))^(1/((TODAY()-A23)/365.25))-1)</f>
        <v/>
      </c>
      <c r="M1013" s="727" t="n"/>
      <c r="N1013" s="226" t="n"/>
      <c r="O1013" s="725" t="n"/>
    </row>
    <row r="1014" ht="17.25" customHeight="1" thickBot="1">
      <c r="A1014" s="141" t="inlineStr">
        <is>
          <t>2023總計</t>
        </is>
      </c>
      <c r="B1014" s="579" t="n"/>
      <c r="C1014" s="143" t="n"/>
      <c r="D1014" s="144" t="n"/>
      <c r="E1014" s="705">
        <f>SUM(I19:I21)</f>
        <v/>
      </c>
      <c r="F1014" s="705">
        <f>SUM(J19:J21)</f>
        <v/>
      </c>
      <c r="G1014" s="705">
        <f>SUM(K19:K21)</f>
        <v/>
      </c>
      <c r="H1014" s="705">
        <f>L22</f>
        <v/>
      </c>
      <c r="I1014" s="726">
        <f>IF(C22=0,0,H1014/C22)</f>
        <v/>
      </c>
      <c r="J1014" s="726">
        <f>IF(M22=0,0,M22/C22)</f>
        <v/>
      </c>
      <c r="K1014" s="604" t="n"/>
      <c r="L1014" s="727">
        <f>IF(I1014&lt;0,-((1+ABS(I1014))^(1/((A21-A18)/365.25))-1),(1+ABS(I1014))^(1/((A21-A18)/365.25))-1)</f>
        <v/>
      </c>
      <c r="M1014" s="727" t="n"/>
      <c r="N1014" s="226" t="n"/>
      <c r="O1014" s="725" t="n"/>
    </row>
    <row r="1015" ht="17.25" customHeight="1" thickBot="1">
      <c r="A1015" s="141" t="inlineStr">
        <is>
          <t>2022總計</t>
        </is>
      </c>
      <c r="B1015" s="579" t="n"/>
      <c r="C1015" s="143" t="n"/>
      <c r="D1015" s="144" t="n"/>
      <c r="E1015" s="705">
        <f>SUM(I3:I15)</f>
        <v/>
      </c>
      <c r="F1015" s="705">
        <f>SUM(J3:J15)</f>
        <v/>
      </c>
      <c r="G1015" s="705">
        <f>SUM(K3:K15)</f>
        <v/>
      </c>
      <c r="H1015" s="705">
        <f>L16</f>
        <v/>
      </c>
      <c r="I1015" s="726">
        <f>IF(C16=0,0,H1015/C16)</f>
        <v/>
      </c>
      <c r="J1015" s="726">
        <f>IF(C16=0,0,M16/C16)</f>
        <v/>
      </c>
      <c r="K1015" s="613" t="n"/>
      <c r="L1015" s="727">
        <f>IF(I1015&lt;0,-((1+ABS(I1015))^(1/((A15-A2)/365.25))-1),(1+ABS(I1015))^(1/((A15-A2)/365.25))-1)</f>
        <v/>
      </c>
      <c r="M1015" s="727" t="n"/>
      <c r="N1015" s="226" t="n"/>
      <c r="O1015" s="725" t="n"/>
    </row>
    <row r="1016" ht="17.25" customHeight="1" thickBot="1">
      <c r="A1016" s="149" t="inlineStr">
        <is>
          <t>帳戶餘額</t>
        </is>
      </c>
      <c r="B1016" s="141" t="n"/>
      <c r="C1016" s="700">
        <f>SUM(M152,M178,M203,M250,M271,M580,M794,M1007)</f>
        <v/>
      </c>
      <c r="D1016" s="701" t="n"/>
    </row>
    <row r="1017" ht="17.25" customHeight="1" thickBot="1">
      <c r="A1017" s="149" t="inlineStr">
        <is>
          <t>平均餘額</t>
        </is>
      </c>
      <c r="B1017" s="141" t="n"/>
      <c r="C1017" s="728">
        <f>AVERAGE(C16,C22,C151,C1016)</f>
        <v/>
      </c>
      <c r="D1017" s="701" t="n"/>
      <c r="E1017" s="705">
        <f>SUM(E1012:E1015)</f>
        <v/>
      </c>
      <c r="F1017" s="705">
        <f>SUM(F1012:F1015)</f>
        <v/>
      </c>
      <c r="G1017" s="705">
        <f>SUM(G1012:G1015)</f>
        <v/>
      </c>
      <c r="H1017" s="705">
        <f>SUM(H1012:H1015)</f>
        <v/>
      </c>
      <c r="I1017" s="726">
        <f>H1017/C1017</f>
        <v/>
      </c>
      <c r="J1017" s="726" t="n"/>
      <c r="K1017" s="570" t="inlineStr">
        <is>
          <t>年化報酬率</t>
        </is>
      </c>
      <c r="L1017" s="727">
        <f>IF(I1017&lt;0,-((1+ABS(I1017))^(1/((TODAY()-A2)/365.25))-1),(1+ABS(I1017))^(1/((TODAY()-A2)/365.25))-1)</f>
        <v/>
      </c>
    </row>
    <row r="1018">
      <c r="A1018" s="62" t="n"/>
      <c r="B1018" s="62" t="n"/>
      <c r="D1018" s="61" t="n"/>
      <c r="E1018" s="226" t="n"/>
    </row>
    <row r="1019">
      <c r="A1019" s="62" t="n"/>
      <c r="B1019" s="62" t="n"/>
      <c r="D1019" s="61" t="n"/>
      <c r="E1019" s="226" t="n"/>
    </row>
    <row r="1020">
      <c r="A1020" s="62" t="inlineStr">
        <is>
          <t>投資報酬率＝（期末淨值－期初投資）÷期初投資</t>
        </is>
      </c>
      <c r="B1020" s="62" t="n"/>
      <c r="D1020" s="61" t="n"/>
      <c r="E1020" s="226" t="n"/>
    </row>
    <row r="1021">
      <c r="A1021" s="62" t="inlineStr">
        <is>
          <t>年化報酬率＝（（1＋投資報酬率）^（1／年數））－1</t>
        </is>
      </c>
      <c r="B1021" s="62" t="n"/>
      <c r="D1021" s="61" t="n"/>
      <c r="E1021" s="226" t="n"/>
    </row>
    <row r="1022">
      <c r="A1022" s="62" t="n"/>
      <c r="B1022" s="62" t="n"/>
      <c r="D1022" s="61" t="n"/>
      <c r="E1022" s="226" t="n"/>
    </row>
    <row r="1023">
      <c r="A1023" s="62" t="n"/>
      <c r="B1023" s="62" t="n"/>
      <c r="D1023" s="61" t="n"/>
      <c r="E1023" s="226" t="n"/>
    </row>
    <row r="1024">
      <c r="A1024" s="245" t="n"/>
      <c r="B1024" s="245" t="n"/>
      <c r="C1024" s="245" t="n"/>
      <c r="D1024" s="245" t="n"/>
      <c r="E1024" s="226" t="n"/>
    </row>
    <row r="1025">
      <c r="A1025" s="245" t="n"/>
      <c r="B1025" s="245" t="n"/>
      <c r="C1025" s="245" t="n"/>
      <c r="D1025" s="245" t="n"/>
      <c r="E1025" s="226" t="n"/>
    </row>
    <row r="1026">
      <c r="A1026" s="245" t="n"/>
      <c r="B1026" s="245" t="n"/>
      <c r="C1026" s="245" t="n"/>
      <c r="D1026" s="245" t="n"/>
      <c r="E1026" s="226" t="n"/>
    </row>
    <row r="1027">
      <c r="A1027" s="245" t="n"/>
      <c r="B1027" s="245" t="n"/>
      <c r="C1027" s="245" t="n"/>
      <c r="D1027" s="245" t="n"/>
      <c r="E1027" s="226" t="n"/>
    </row>
    <row r="1028">
      <c r="A1028" s="245" t="n"/>
      <c r="B1028" s="245" t="n"/>
      <c r="C1028" s="245" t="n"/>
      <c r="D1028" s="245" t="n"/>
      <c r="E1028" s="226" t="n"/>
    </row>
    <row r="1029">
      <c r="A1029" s="245" t="n"/>
      <c r="B1029" s="245" t="n"/>
      <c r="C1029" s="245" t="n"/>
      <c r="D1029" s="245" t="n"/>
      <c r="E1029" s="226" t="n"/>
    </row>
  </sheetData>
  <mergeCells count="6">
    <mergeCell ref="C1017:D1017"/>
    <mergeCell ref="K1010:K1015"/>
    <mergeCell ref="C16:D16"/>
    <mergeCell ref="C151:D151"/>
    <mergeCell ref="C1016:D1016"/>
    <mergeCell ref="C22:D22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S2298"/>
  <sheetViews>
    <sheetView workbookViewId="0">
      <pane ySplit="2" topLeftCell="A77" activePane="bottomLeft" state="frozen"/>
      <selection activeCell="G29" sqref="G29"/>
      <selection pane="bottomLeft" activeCell="A1" sqref="A1:N2298"/>
    </sheetView>
  </sheetViews>
  <sheetFormatPr baseColWidth="8" defaultRowHeight="16.5"/>
  <cols>
    <col width="8.5" bestFit="1" customWidth="1" style="729" min="1" max="1"/>
    <col width="14.25" bestFit="1" customWidth="1" min="2" max="2"/>
    <col width="7.125" bestFit="1" customWidth="1" min="3" max="4"/>
    <col width="10.375" bestFit="1" customWidth="1" style="730" min="5" max="5"/>
    <col width="9" bestFit="1" customWidth="1" style="731" min="6" max="6"/>
    <col width="8.125" bestFit="1" customWidth="1" min="7" max="8"/>
    <col width="10.375" bestFit="1" customWidth="1" min="9" max="9"/>
    <col width="9.25" bestFit="1" customWidth="1" min="10" max="10"/>
    <col width="7.125" bestFit="1" customWidth="1" min="11" max="12"/>
    <col width="9.875" bestFit="1" customWidth="1" style="155" min="13" max="13"/>
    <col width="61.5" customWidth="1" min="14" max="14"/>
    <col width="11.25" customWidth="1" min="16" max="16"/>
    <col width="10.625" customWidth="1" min="18" max="18"/>
  </cols>
  <sheetData>
    <row r="1" ht="18" customHeight="1" thickBot="1" thickTop="1">
      <c r="A1" s="151" t="inlineStr">
        <is>
          <t>代碼</t>
        </is>
      </c>
      <c r="B1" s="151" t="inlineStr">
        <is>
          <t>商品</t>
        </is>
      </c>
      <c r="C1" s="151" t="inlineStr">
        <is>
          <t>開盤</t>
        </is>
      </c>
      <c r="D1" s="151" t="inlineStr">
        <is>
          <t>成交</t>
        </is>
      </c>
      <c r="E1" s="732" t="inlineStr">
        <is>
          <t>漲跌</t>
        </is>
      </c>
      <c r="F1" s="151" t="inlineStr">
        <is>
          <t>漲幅%</t>
        </is>
      </c>
      <c r="G1" s="151" t="inlineStr">
        <is>
          <t>成交值</t>
        </is>
      </c>
      <c r="H1" s="151" t="inlineStr">
        <is>
          <t>總量</t>
        </is>
      </c>
      <c r="I1" s="151" t="inlineStr">
        <is>
          <t>五日均量</t>
        </is>
      </c>
      <c r="J1" s="151" t="inlineStr">
        <is>
          <t>股本</t>
        </is>
      </c>
      <c r="K1" s="151" t="inlineStr">
        <is>
          <t>最高</t>
        </is>
      </c>
      <c r="L1" s="151" t="inlineStr">
        <is>
          <t>最低</t>
        </is>
      </c>
      <c r="M1" s="154" t="inlineStr">
        <is>
          <t>換手率%</t>
        </is>
      </c>
      <c r="N1" s="151" t="inlineStr">
        <is>
          <t>產業地位</t>
        </is>
      </c>
      <c r="P1" s="151" t="inlineStr">
        <is>
          <t>上漲家數</t>
        </is>
      </c>
      <c r="Q1" s="152">
        <f>COUNTIF(E:E,"&gt;0")</f>
        <v/>
      </c>
      <c r="R1" s="151" t="inlineStr">
        <is>
          <t>下跌家數</t>
        </is>
      </c>
      <c r="S1" s="153">
        <f>COUNTIF(E:E,"&lt;0")</f>
        <v/>
      </c>
    </row>
    <row r="2" ht="18" customHeight="1" thickBot="1" thickTop="1">
      <c r="A2" t="inlineStr">
        <is>
          <t>00400A</t>
        </is>
      </c>
      <c r="B2" t="inlineStr">
        <is>
          <t>主動國泰動能高息</t>
        </is>
      </c>
      <c r="C2" t="n">
        <v>14.97</v>
      </c>
      <c r="D2" t="n">
        <v>14.76</v>
      </c>
      <c r="E2" s="730" t="n">
        <v>-0.19</v>
      </c>
      <c r="F2" s="731" t="n">
        <v>-1.27</v>
      </c>
      <c r="G2" t="inlineStr">
        <is>
          <t>9.05億</t>
        </is>
      </c>
      <c r="H2" t="n">
        <v>61555</v>
      </c>
      <c r="I2" t="n">
        <v>62050</v>
      </c>
      <c r="J2" t="inlineStr">
        <is>
          <t>--</t>
        </is>
      </c>
      <c r="K2" t="n">
        <v>15.05</v>
      </c>
      <c r="L2" t="n">
        <v>14.48</v>
      </c>
      <c r="M2" s="155" t="inlineStr">
        <is>
          <t>--</t>
        </is>
      </c>
      <c r="N2" t="inlineStr">
        <is>
          <t>--</t>
        </is>
      </c>
      <c r="P2" s="151" t="inlineStr">
        <is>
          <t>漲停家數</t>
        </is>
      </c>
      <c r="Q2" s="152">
        <f>COUNTIF(F:F,"&gt;9.8")</f>
        <v/>
      </c>
      <c r="R2" s="151" t="inlineStr">
        <is>
          <t>跌停家數</t>
        </is>
      </c>
      <c r="S2" s="153">
        <f>COUNTIF(F:F,"&lt;-9.8")</f>
        <v/>
      </c>
    </row>
    <row r="3" ht="17.25" customHeight="1" thickTop="1">
      <c r="A3" t="inlineStr">
        <is>
          <t>00401A</t>
        </is>
      </c>
      <c r="B3" t="inlineStr">
        <is>
          <t>主動摩根台灣鑫收</t>
        </is>
      </c>
      <c r="C3" t="n">
        <v>13.74</v>
      </c>
      <c r="D3" t="n">
        <v>13.69</v>
      </c>
      <c r="E3" s="730" t="n">
        <v>-0.05</v>
      </c>
      <c r="F3" s="731" t="n">
        <v>-0.36</v>
      </c>
      <c r="G3" t="inlineStr">
        <is>
          <t>9068萬</t>
        </is>
      </c>
      <c r="H3" t="n">
        <v>6649</v>
      </c>
      <c r="I3" t="n">
        <v>8664</v>
      </c>
      <c r="J3" t="inlineStr">
        <is>
          <t>--</t>
        </is>
      </c>
      <c r="K3" t="n">
        <v>13.83</v>
      </c>
      <c r="L3" t="n">
        <v>13.49</v>
      </c>
      <c r="M3" s="155" t="inlineStr">
        <is>
          <t>--</t>
        </is>
      </c>
      <c r="N3" t="inlineStr">
        <is>
          <t>--</t>
        </is>
      </c>
    </row>
    <row r="4">
      <c r="A4" t="inlineStr">
        <is>
          <t>00403A</t>
        </is>
      </c>
      <c r="B4" t="inlineStr">
        <is>
          <t>主動統一升級50</t>
        </is>
      </c>
      <c r="C4" t="n">
        <v>10.85</v>
      </c>
      <c r="D4" t="n">
        <v>10.7</v>
      </c>
      <c r="E4" s="730" t="n">
        <v>-0.12</v>
      </c>
      <c r="F4" s="731" t="n">
        <v>-1.11</v>
      </c>
      <c r="G4" t="inlineStr">
        <is>
          <t>53.7億</t>
        </is>
      </c>
      <c r="H4" t="n">
        <v>504310</v>
      </c>
      <c r="I4" t="n">
        <v>642105</v>
      </c>
      <c r="J4" t="inlineStr">
        <is>
          <t>--</t>
        </is>
      </c>
      <c r="K4" t="n">
        <v>10.87</v>
      </c>
      <c r="L4" t="n">
        <v>10.52</v>
      </c>
      <c r="M4" s="155" t="inlineStr">
        <is>
          <t>--</t>
        </is>
      </c>
      <c r="N4" t="inlineStr">
        <is>
          <t>--</t>
        </is>
      </c>
    </row>
    <row r="5">
      <c r="A5" t="n">
        <v>50</v>
      </c>
      <c r="B5" t="inlineStr">
        <is>
          <t>元大台灣50</t>
        </is>
      </c>
      <c r="C5" t="n">
        <v>106.3</v>
      </c>
      <c r="D5" t="n">
        <v>105.7</v>
      </c>
      <c r="E5" s="730" t="n">
        <v>0.2</v>
      </c>
      <c r="F5" s="731" t="n">
        <v>0.19</v>
      </c>
      <c r="G5" t="inlineStr">
        <is>
          <t>113億</t>
        </is>
      </c>
      <c r="H5" t="n">
        <v>107693</v>
      </c>
      <c r="I5" t="n">
        <v>115921</v>
      </c>
      <c r="J5" t="inlineStr">
        <is>
          <t>--</t>
        </is>
      </c>
      <c r="K5" t="n">
        <v>106.3</v>
      </c>
      <c r="L5" t="n">
        <v>104.2</v>
      </c>
      <c r="M5" s="155" t="inlineStr">
        <is>
          <t>--</t>
        </is>
      </c>
      <c r="N5" t="inlineStr">
        <is>
          <t>--</t>
        </is>
      </c>
    </row>
    <row r="6">
      <c r="A6" t="n">
        <v>51</v>
      </c>
      <c r="B6" t="inlineStr">
        <is>
          <t>元大中型100</t>
        </is>
      </c>
      <c r="C6" t="n">
        <v>145.25</v>
      </c>
      <c r="D6" t="n">
        <v>145.2</v>
      </c>
      <c r="E6" s="730" t="n">
        <v>0.2</v>
      </c>
      <c r="F6" s="731" t="n">
        <v>0.14</v>
      </c>
      <c r="G6" t="inlineStr">
        <is>
          <t>1401萬</t>
        </is>
      </c>
      <c r="H6" t="n">
        <v>97</v>
      </c>
      <c r="I6" t="n">
        <v>149</v>
      </c>
      <c r="J6" t="inlineStr">
        <is>
          <t>--</t>
        </is>
      </c>
      <c r="K6" t="n">
        <v>145.4</v>
      </c>
      <c r="L6" t="n">
        <v>143</v>
      </c>
      <c r="M6" s="155" t="inlineStr">
        <is>
          <t>--</t>
        </is>
      </c>
      <c r="N6" t="inlineStr">
        <is>
          <t>--</t>
        </is>
      </c>
    </row>
    <row r="7">
      <c r="A7" t="n">
        <v>52</v>
      </c>
      <c r="B7" t="inlineStr">
        <is>
          <t>富邦科技</t>
        </is>
      </c>
      <c r="C7" t="n">
        <v>62.85</v>
      </c>
      <c r="D7" t="n">
        <v>62.7</v>
      </c>
      <c r="E7" s="730" t="n">
        <v>0.65</v>
      </c>
      <c r="F7" s="731" t="n">
        <v>1.05</v>
      </c>
      <c r="G7" t="inlineStr">
        <is>
          <t>23.6億</t>
        </is>
      </c>
      <c r="H7" t="n">
        <v>37978</v>
      </c>
      <c r="I7" t="n">
        <v>34703</v>
      </c>
      <c r="J7" t="inlineStr">
        <is>
          <t>--</t>
        </is>
      </c>
      <c r="K7" t="n">
        <v>62.9</v>
      </c>
      <c r="L7" t="n">
        <v>61.6</v>
      </c>
      <c r="M7" s="155" t="inlineStr">
        <is>
          <t>--</t>
        </is>
      </c>
      <c r="N7" t="inlineStr">
        <is>
          <t>--</t>
        </is>
      </c>
    </row>
    <row r="8">
      <c r="A8" t="n">
        <v>53</v>
      </c>
      <c r="B8" t="inlineStr">
        <is>
          <t>元大電子</t>
        </is>
      </c>
      <c r="C8" t="n">
        <v>245</v>
      </c>
      <c r="D8" t="n">
        <v>243.35</v>
      </c>
      <c r="E8" s="730" t="n">
        <v>-1.4</v>
      </c>
      <c r="F8" s="731" t="n">
        <v>-0.57</v>
      </c>
      <c r="G8" t="inlineStr">
        <is>
          <t>707萬</t>
        </is>
      </c>
      <c r="H8" t="n">
        <v>29</v>
      </c>
      <c r="I8" t="n">
        <v>29</v>
      </c>
      <c r="J8" t="inlineStr">
        <is>
          <t>--</t>
        </is>
      </c>
      <c r="K8" t="n">
        <v>246.85</v>
      </c>
      <c r="L8" t="n">
        <v>241.7</v>
      </c>
      <c r="M8" s="155" t="inlineStr">
        <is>
          <t>--</t>
        </is>
      </c>
      <c r="N8" t="inlineStr">
        <is>
          <t>--</t>
        </is>
      </c>
    </row>
    <row r="9">
      <c r="A9" t="n">
        <v>55</v>
      </c>
      <c r="B9" t="inlineStr">
        <is>
          <t>元大MSCI金融</t>
        </is>
      </c>
      <c r="C9" t="n">
        <v>35.9</v>
      </c>
      <c r="D9" t="n">
        <v>36.59</v>
      </c>
      <c r="E9" s="730" t="n">
        <v>0.6899999999999999</v>
      </c>
      <c r="F9" s="731" t="n">
        <v>1.92</v>
      </c>
      <c r="G9" t="inlineStr">
        <is>
          <t>4270萬</t>
        </is>
      </c>
      <c r="H9" t="n">
        <v>1190</v>
      </c>
      <c r="I9" t="n">
        <v>588</v>
      </c>
      <c r="J9" t="inlineStr">
        <is>
          <t>--</t>
        </is>
      </c>
      <c r="K9" t="n">
        <v>36.59</v>
      </c>
      <c r="L9" t="n">
        <v>35.76</v>
      </c>
      <c r="M9" s="155" t="inlineStr">
        <is>
          <t>--</t>
        </is>
      </c>
      <c r="N9" t="inlineStr">
        <is>
          <t>--</t>
        </is>
      </c>
    </row>
    <row r="10">
      <c r="A10" t="n">
        <v>56</v>
      </c>
      <c r="B10" t="inlineStr">
        <is>
          <t>元大高股息</t>
        </is>
      </c>
      <c r="C10" t="n">
        <v>52.2</v>
      </c>
      <c r="D10" t="n">
        <v>52.8</v>
      </c>
      <c r="E10" s="730" t="n">
        <v>0.9</v>
      </c>
      <c r="F10" s="731" t="n">
        <v>1.73</v>
      </c>
      <c r="G10" t="inlineStr">
        <is>
          <t>35.4億</t>
        </is>
      </c>
      <c r="H10" t="n">
        <v>67975</v>
      </c>
      <c r="I10" t="n">
        <v>58170</v>
      </c>
      <c r="J10" t="inlineStr">
        <is>
          <t>--</t>
        </is>
      </c>
      <c r="K10" t="n">
        <v>52.8</v>
      </c>
      <c r="L10" t="n">
        <v>51.45</v>
      </c>
      <c r="M10" s="155" t="inlineStr">
        <is>
          <t>--</t>
        </is>
      </c>
      <c r="N10" t="inlineStr">
        <is>
          <t>--</t>
        </is>
      </c>
    </row>
    <row r="11">
      <c r="A11" t="n">
        <v>57</v>
      </c>
      <c r="B11" t="inlineStr">
        <is>
          <t>富邦摩台</t>
        </is>
      </c>
      <c r="C11" t="n">
        <v>313.25</v>
      </c>
      <c r="D11" t="n">
        <v>312.35</v>
      </c>
      <c r="E11" s="730" t="n">
        <v>-1.05</v>
      </c>
      <c r="F11" s="731" t="n">
        <v>-0.34</v>
      </c>
      <c r="G11" t="inlineStr">
        <is>
          <t>187萬</t>
        </is>
      </c>
      <c r="H11" t="n">
        <v>6</v>
      </c>
      <c r="I11" t="n">
        <v>40</v>
      </c>
      <c r="J11" t="inlineStr">
        <is>
          <t>--</t>
        </is>
      </c>
      <c r="K11" t="n">
        <v>313.25</v>
      </c>
      <c r="L11" t="n">
        <v>311.7</v>
      </c>
      <c r="M11" s="155" t="inlineStr">
        <is>
          <t>--</t>
        </is>
      </c>
      <c r="N11" t="inlineStr">
        <is>
          <t>--</t>
        </is>
      </c>
    </row>
    <row r="12">
      <c r="A12" t="n">
        <v>61</v>
      </c>
      <c r="B12" t="inlineStr">
        <is>
          <t>元大寶滬深</t>
        </is>
      </c>
      <c r="C12" t="n">
        <v>24.97</v>
      </c>
      <c r="D12" t="n">
        <v>25.28</v>
      </c>
      <c r="E12" s="730" t="n">
        <v>0.3</v>
      </c>
      <c r="F12" s="731" t="n">
        <v>1.2</v>
      </c>
      <c r="G12" t="inlineStr">
        <is>
          <t>1010萬</t>
        </is>
      </c>
      <c r="H12" t="n">
        <v>402</v>
      </c>
      <c r="I12" t="n">
        <v>432</v>
      </c>
      <c r="J12" t="inlineStr">
        <is>
          <t>--</t>
        </is>
      </c>
      <c r="K12" t="n">
        <v>25.29</v>
      </c>
      <c r="L12" t="n">
        <v>24.85</v>
      </c>
      <c r="M12" s="155" t="inlineStr">
        <is>
          <t>--</t>
        </is>
      </c>
      <c r="N12" t="inlineStr">
        <is>
          <t>--</t>
        </is>
      </c>
    </row>
    <row r="13">
      <c r="A13" t="n">
        <v>6201</v>
      </c>
      <c r="B13" t="inlineStr">
        <is>
          <t>元大富櫃50</t>
        </is>
      </c>
      <c r="C13" t="n">
        <v>50.8</v>
      </c>
      <c r="D13" t="n">
        <v>49.55</v>
      </c>
      <c r="E13" s="730" t="n">
        <v>-0.8</v>
      </c>
      <c r="F13" s="731" t="n">
        <v>-1.59</v>
      </c>
      <c r="G13" t="inlineStr">
        <is>
          <t>1259萬</t>
        </is>
      </c>
      <c r="H13" t="n">
        <v>255</v>
      </c>
      <c r="I13" t="n">
        <v>364</v>
      </c>
      <c r="J13" t="inlineStr">
        <is>
          <t>--</t>
        </is>
      </c>
      <c r="K13" t="n">
        <v>50.8</v>
      </c>
      <c r="L13" t="n">
        <v>48.6</v>
      </c>
      <c r="M13" s="155" t="inlineStr">
        <is>
          <t>--</t>
        </is>
      </c>
      <c r="N13" t="inlineStr">
        <is>
          <t>--</t>
        </is>
      </c>
    </row>
    <row r="14">
      <c r="A14" s="473" t="n">
        <v>6203</v>
      </c>
      <c r="B14" t="inlineStr">
        <is>
          <t>元大MSCI台灣</t>
        </is>
      </c>
      <c r="C14" t="n">
        <v>192</v>
      </c>
      <c r="D14" t="n">
        <v>191.9</v>
      </c>
      <c r="E14" s="730" t="n">
        <v>-0.15</v>
      </c>
      <c r="F14" s="731" t="n">
        <v>-0.08</v>
      </c>
      <c r="G14" t="inlineStr">
        <is>
          <t>1184萬</t>
        </is>
      </c>
      <c r="H14" t="n">
        <v>62</v>
      </c>
      <c r="I14" t="n">
        <v>32</v>
      </c>
      <c r="J14" t="inlineStr">
        <is>
          <t>--</t>
        </is>
      </c>
      <c r="K14" t="n">
        <v>192.15</v>
      </c>
      <c r="L14" t="n">
        <v>189.9</v>
      </c>
      <c r="M14" s="155" t="inlineStr">
        <is>
          <t>--</t>
        </is>
      </c>
      <c r="N14" t="inlineStr">
        <is>
          <t>--</t>
        </is>
      </c>
    </row>
    <row r="15">
      <c r="A15" t="n">
        <v>6204</v>
      </c>
      <c r="B15" t="inlineStr">
        <is>
          <t>永豐臺灣加權</t>
        </is>
      </c>
      <c r="C15" t="n">
        <v>227.7</v>
      </c>
      <c r="D15" t="n">
        <v>227.2</v>
      </c>
      <c r="E15" s="730" t="n">
        <v>-1.1</v>
      </c>
      <c r="F15" s="731" t="n">
        <v>-0.48</v>
      </c>
      <c r="G15" t="inlineStr">
        <is>
          <t>3067萬</t>
        </is>
      </c>
      <c r="H15" t="n">
        <v>135</v>
      </c>
      <c r="I15" t="n">
        <v>30</v>
      </c>
      <c r="J15" t="inlineStr">
        <is>
          <t>--</t>
        </is>
      </c>
      <c r="K15" t="n">
        <v>227.8</v>
      </c>
      <c r="L15" t="n">
        <v>227.1</v>
      </c>
      <c r="M15" s="155" t="inlineStr">
        <is>
          <t>--</t>
        </is>
      </c>
      <c r="N15" t="inlineStr">
        <is>
          <t>--</t>
        </is>
      </c>
    </row>
    <row r="16">
      <c r="A16" t="n">
        <v>6205</v>
      </c>
      <c r="B16" t="inlineStr">
        <is>
          <t>富邦上証</t>
        </is>
      </c>
      <c r="C16" t="n">
        <v>40.6</v>
      </c>
      <c r="D16" t="n">
        <v>41.1</v>
      </c>
      <c r="E16" s="730" t="n">
        <v>0.47</v>
      </c>
      <c r="F16" s="731" t="n">
        <v>1.16</v>
      </c>
      <c r="G16" t="inlineStr">
        <is>
          <t>2853萬</t>
        </is>
      </c>
      <c r="H16" t="n">
        <v>703</v>
      </c>
      <c r="I16" t="n">
        <v>1031</v>
      </c>
      <c r="J16" t="inlineStr">
        <is>
          <t>--</t>
        </is>
      </c>
      <c r="K16" t="n">
        <v>41.1</v>
      </c>
      <c r="L16" t="n">
        <v>40.36</v>
      </c>
      <c r="M16" s="155" t="inlineStr">
        <is>
          <t>--</t>
        </is>
      </c>
      <c r="N16" t="inlineStr">
        <is>
          <t>--</t>
        </is>
      </c>
    </row>
    <row r="17">
      <c r="A17" t="n">
        <v>6206</v>
      </c>
      <c r="B17" t="inlineStr">
        <is>
          <t>元大上證50</t>
        </is>
      </c>
      <c r="C17" t="n">
        <v>36.2</v>
      </c>
      <c r="D17" t="n">
        <v>36.87</v>
      </c>
      <c r="E17" s="730" t="n">
        <v>0.52</v>
      </c>
      <c r="F17" s="731" t="n">
        <v>1.43</v>
      </c>
      <c r="G17" t="inlineStr">
        <is>
          <t>869萬</t>
        </is>
      </c>
      <c r="H17" t="n">
        <v>238</v>
      </c>
      <c r="I17" t="n">
        <v>163</v>
      </c>
      <c r="J17" t="inlineStr">
        <is>
          <t>--</t>
        </is>
      </c>
      <c r="K17" t="n">
        <v>36.87</v>
      </c>
      <c r="L17" t="n">
        <v>36.16</v>
      </c>
      <c r="M17" s="155" t="inlineStr">
        <is>
          <t>--</t>
        </is>
      </c>
      <c r="N17" t="inlineStr">
        <is>
          <t>--</t>
        </is>
      </c>
    </row>
    <row r="18">
      <c r="A18" t="n">
        <v>6207</v>
      </c>
      <c r="B18" t="inlineStr">
        <is>
          <t>復華滬深</t>
        </is>
      </c>
      <c r="C18" t="n">
        <v>33.28</v>
      </c>
      <c r="D18" t="n">
        <v>33.91</v>
      </c>
      <c r="E18" s="730" t="n">
        <v>0.41</v>
      </c>
      <c r="F18" s="731" t="n">
        <v>1.22</v>
      </c>
      <c r="G18" t="inlineStr">
        <is>
          <t>780萬</t>
        </is>
      </c>
      <c r="H18" t="n">
        <v>231</v>
      </c>
      <c r="I18" t="n">
        <v>348</v>
      </c>
      <c r="J18" t="inlineStr">
        <is>
          <t>--</t>
        </is>
      </c>
      <c r="K18" t="n">
        <v>33.92</v>
      </c>
      <c r="L18" t="n">
        <v>33.28</v>
      </c>
      <c r="M18" s="155" t="inlineStr">
        <is>
          <t>--</t>
        </is>
      </c>
      <c r="N18" t="inlineStr">
        <is>
          <t>--</t>
        </is>
      </c>
    </row>
    <row r="19">
      <c r="A19" t="n">
        <v>6208</v>
      </c>
      <c r="B19" t="inlineStr">
        <is>
          <t>富邦台50</t>
        </is>
      </c>
      <c r="C19" t="n">
        <v>244.8</v>
      </c>
      <c r="D19" t="n">
        <v>244.55</v>
      </c>
      <c r="E19" s="730" t="n">
        <v>0.65</v>
      </c>
      <c r="F19" s="731" t="n">
        <v>0.27</v>
      </c>
      <c r="G19" t="inlineStr">
        <is>
          <t>6.48億</t>
        </is>
      </c>
      <c r="H19" t="n">
        <v>2664</v>
      </c>
      <c r="I19" t="n">
        <v>4405</v>
      </c>
      <c r="J19" t="inlineStr">
        <is>
          <t>--</t>
        </is>
      </c>
      <c r="K19" t="n">
        <v>245.65</v>
      </c>
      <c r="L19" t="n">
        <v>241.45</v>
      </c>
      <c r="M19" s="155" t="inlineStr">
        <is>
          <t>--</t>
        </is>
      </c>
      <c r="N19" t="inlineStr">
        <is>
          <t>--</t>
        </is>
      </c>
    </row>
    <row r="20">
      <c r="A20" t="inlineStr">
        <is>
          <t>00625K</t>
        </is>
      </c>
      <c r="B20" t="inlineStr">
        <is>
          <t>富邦上証+R</t>
        </is>
      </c>
      <c r="C20" t="inlineStr">
        <is>
          <t>--</t>
        </is>
      </c>
      <c r="D20" t="inlineStr">
        <is>
          <t>--</t>
        </is>
      </c>
      <c r="E20" s="730" t="inlineStr">
        <is>
          <t>--</t>
        </is>
      </c>
      <c r="F20" s="731" t="inlineStr">
        <is>
          <t>--</t>
        </is>
      </c>
      <c r="G20" t="inlineStr">
        <is>
          <t>--</t>
        </is>
      </c>
      <c r="H20" t="n">
        <v>0</v>
      </c>
      <c r="I20" t="n">
        <v>0</v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s="155" t="inlineStr">
        <is>
          <t>--</t>
        </is>
      </c>
      <c r="N20" t="inlineStr">
        <is>
          <t>--</t>
        </is>
      </c>
    </row>
    <row r="21">
      <c r="A21" t="inlineStr">
        <is>
          <t>00631L</t>
        </is>
      </c>
      <c r="B21" t="inlineStr">
        <is>
          <t>元大台灣50正2</t>
        </is>
      </c>
      <c r="C21" t="n">
        <v>37.95</v>
      </c>
      <c r="D21" t="n">
        <v>37.91</v>
      </c>
      <c r="E21" s="730" t="n">
        <v>0.13</v>
      </c>
      <c r="F21" s="731" t="n">
        <v>0.34</v>
      </c>
      <c r="G21" t="inlineStr">
        <is>
          <t>98.0億</t>
        </is>
      </c>
      <c r="H21" t="n">
        <v>261018</v>
      </c>
      <c r="I21" t="n">
        <v>241379</v>
      </c>
      <c r="J21" t="inlineStr">
        <is>
          <t>--</t>
        </is>
      </c>
      <c r="K21" t="n">
        <v>38.1</v>
      </c>
      <c r="L21" t="n">
        <v>36.88</v>
      </c>
      <c r="M21" s="155" t="inlineStr">
        <is>
          <t>--</t>
        </is>
      </c>
      <c r="N21" t="inlineStr">
        <is>
          <t>--</t>
        </is>
      </c>
    </row>
    <row r="22">
      <c r="A22" t="inlineStr">
        <is>
          <t>00632R</t>
        </is>
      </c>
      <c r="B22" t="inlineStr">
        <is>
          <t>元大台灣50反1</t>
        </is>
      </c>
      <c r="C22" t="n">
        <v>10.21</v>
      </c>
      <c r="D22" t="n">
        <v>10.19</v>
      </c>
      <c r="E22" s="730" t="n">
        <v>-0.03</v>
      </c>
      <c r="F22" s="731" t="n">
        <v>-0.29</v>
      </c>
      <c r="G22" t="inlineStr">
        <is>
          <t>14.6億</t>
        </is>
      </c>
      <c r="H22" t="n">
        <v>142684</v>
      </c>
      <c r="I22" t="n">
        <v>160547</v>
      </c>
      <c r="J22" t="inlineStr">
        <is>
          <t>--</t>
        </is>
      </c>
      <c r="K22" t="n">
        <v>10.36</v>
      </c>
      <c r="L22" t="n">
        <v>10.18</v>
      </c>
      <c r="M22" s="155" t="inlineStr">
        <is>
          <t>--</t>
        </is>
      </c>
      <c r="N22" t="inlineStr">
        <is>
          <t>--</t>
        </is>
      </c>
    </row>
    <row r="23">
      <c r="A23" t="inlineStr">
        <is>
          <t>00633L</t>
        </is>
      </c>
      <c r="B23" t="inlineStr">
        <is>
          <t>富邦上証正2</t>
        </is>
      </c>
      <c r="C23" t="n">
        <v>52.3</v>
      </c>
      <c r="D23" t="n">
        <v>54.6</v>
      </c>
      <c r="E23" s="730" t="n">
        <v>1.85</v>
      </c>
      <c r="F23" s="731" t="n">
        <v>3.51</v>
      </c>
      <c r="G23" t="inlineStr">
        <is>
          <t>3.72億</t>
        </is>
      </c>
      <c r="H23" t="n">
        <v>6972</v>
      </c>
      <c r="I23" t="n">
        <v>4725</v>
      </c>
      <c r="J23" t="inlineStr">
        <is>
          <t>--</t>
        </is>
      </c>
      <c r="K23" t="n">
        <v>54.65</v>
      </c>
      <c r="L23" t="n">
        <v>51.9</v>
      </c>
      <c r="M23" s="155" t="inlineStr">
        <is>
          <t>--</t>
        </is>
      </c>
      <c r="N23" t="inlineStr">
        <is>
          <t>--</t>
        </is>
      </c>
    </row>
    <row r="24">
      <c r="A24" t="inlineStr">
        <is>
          <t>00634R</t>
        </is>
      </c>
      <c r="B24" t="inlineStr">
        <is>
          <t>富邦上証反1</t>
        </is>
      </c>
      <c r="C24" t="n">
        <v>3.03</v>
      </c>
      <c r="D24" t="n">
        <v>2.99</v>
      </c>
      <c r="E24" s="730" t="n">
        <v>-0.06</v>
      </c>
      <c r="F24" s="731" t="n">
        <v>-1.97</v>
      </c>
      <c r="G24" t="inlineStr">
        <is>
          <t>34.9萬</t>
        </is>
      </c>
      <c r="H24" t="n">
        <v>116</v>
      </c>
      <c r="I24" t="n">
        <v>545</v>
      </c>
      <c r="J24" t="inlineStr">
        <is>
          <t>--</t>
        </is>
      </c>
      <c r="K24" t="n">
        <v>3.03</v>
      </c>
      <c r="L24" t="n">
        <v>2.99</v>
      </c>
      <c r="M24" s="155" t="inlineStr">
        <is>
          <t>--</t>
        </is>
      </c>
      <c r="N24" t="inlineStr">
        <is>
          <t>--</t>
        </is>
      </c>
    </row>
    <row r="25">
      <c r="A25" t="inlineStr">
        <is>
          <t>00635U</t>
        </is>
      </c>
      <c r="B25" t="inlineStr">
        <is>
          <t>期元大S＆P黃金</t>
        </is>
      </c>
      <c r="C25" t="n">
        <v>46.81</v>
      </c>
      <c r="D25" t="n">
        <v>47.2</v>
      </c>
      <c r="E25" s="730" t="n">
        <v>-0.02</v>
      </c>
      <c r="F25" s="731" t="n">
        <v>-0.04</v>
      </c>
      <c r="G25" t="inlineStr">
        <is>
          <t>1.44億</t>
        </is>
      </c>
      <c r="H25" t="n">
        <v>3069</v>
      </c>
      <c r="I25" t="n">
        <v>5249</v>
      </c>
      <c r="J25" t="inlineStr">
        <is>
          <t>--</t>
        </is>
      </c>
      <c r="K25" t="n">
        <v>47.2</v>
      </c>
      <c r="L25" t="n">
        <v>46.66</v>
      </c>
      <c r="M25" s="155" t="inlineStr">
        <is>
          <t>--</t>
        </is>
      </c>
      <c r="N25" t="inlineStr">
        <is>
          <t>--</t>
        </is>
      </c>
    </row>
    <row r="26">
      <c r="A26" t="n">
        <v>636</v>
      </c>
      <c r="B26" t="inlineStr">
        <is>
          <t>國泰中國A50</t>
        </is>
      </c>
      <c r="C26" t="n">
        <v>28.5</v>
      </c>
      <c r="D26" t="n">
        <v>29.31</v>
      </c>
      <c r="E26" s="730" t="n">
        <v>0.58</v>
      </c>
      <c r="F26" s="731" t="n">
        <v>2.02</v>
      </c>
      <c r="G26" t="inlineStr">
        <is>
          <t>2193萬</t>
        </is>
      </c>
      <c r="H26" t="n">
        <v>759</v>
      </c>
      <c r="I26" t="n">
        <v>788</v>
      </c>
      <c r="J26" t="inlineStr">
        <is>
          <t>--</t>
        </is>
      </c>
      <c r="K26" t="n">
        <v>29.31</v>
      </c>
      <c r="L26" t="n">
        <v>28.45</v>
      </c>
      <c r="M26" s="155" t="inlineStr">
        <is>
          <t>--</t>
        </is>
      </c>
      <c r="N26" t="inlineStr">
        <is>
          <t>--</t>
        </is>
      </c>
    </row>
    <row r="27">
      <c r="A27" t="inlineStr">
        <is>
          <t>00636K</t>
        </is>
      </c>
      <c r="B27" t="inlineStr">
        <is>
          <t>國泰中國A50+U</t>
        </is>
      </c>
      <c r="C27" t="n">
        <v>9.279999999999999</v>
      </c>
      <c r="D27" t="n">
        <v>9.279999999999999</v>
      </c>
      <c r="E27" s="730" t="n">
        <v>0.07000000000000001</v>
      </c>
      <c r="F27" s="731" t="n">
        <v>0.76</v>
      </c>
      <c r="G27" t="n">
        <v>1856</v>
      </c>
      <c r="H27" t="n">
        <v>2</v>
      </c>
      <c r="I27" t="n">
        <v>2</v>
      </c>
      <c r="J27" t="inlineStr">
        <is>
          <t>--</t>
        </is>
      </c>
      <c r="K27" t="n">
        <v>9.279999999999999</v>
      </c>
      <c r="L27" t="n">
        <v>9.279999999999999</v>
      </c>
      <c r="M27" s="155" t="inlineStr">
        <is>
          <t>--</t>
        </is>
      </c>
      <c r="N27" t="inlineStr">
        <is>
          <t>--</t>
        </is>
      </c>
    </row>
    <row r="28">
      <c r="A28" t="inlineStr">
        <is>
          <t>00637L</t>
        </is>
      </c>
      <c r="B28" t="inlineStr">
        <is>
          <t>元大滬深300正2</t>
        </is>
      </c>
      <c r="C28" t="n">
        <v>21.56</v>
      </c>
      <c r="D28" t="n">
        <v>22.56</v>
      </c>
      <c r="E28" s="730" t="n">
        <v>0.8100000000000001</v>
      </c>
      <c r="F28" s="731" t="n">
        <v>3.72</v>
      </c>
      <c r="G28" t="inlineStr">
        <is>
          <t>7.57億</t>
        </is>
      </c>
      <c r="H28" t="n">
        <v>34397</v>
      </c>
      <c r="I28" t="n">
        <v>37013</v>
      </c>
      <c r="J28" t="inlineStr">
        <is>
          <t>--</t>
        </is>
      </c>
      <c r="K28" t="n">
        <v>22.59</v>
      </c>
      <c r="L28" t="n">
        <v>21.4</v>
      </c>
      <c r="M28" s="155" t="inlineStr">
        <is>
          <t>--</t>
        </is>
      </c>
      <c r="N28" t="inlineStr">
        <is>
          <t>--</t>
        </is>
      </c>
    </row>
    <row r="29">
      <c r="A29" t="inlineStr">
        <is>
          <t>00638R</t>
        </is>
      </c>
      <c r="B29" t="inlineStr">
        <is>
          <t>元大滬深300反1</t>
        </is>
      </c>
      <c r="C29" t="n">
        <v>6.51</v>
      </c>
      <c r="D29" t="n">
        <v>6.38</v>
      </c>
      <c r="E29" s="730" t="n">
        <v>-0.07000000000000001</v>
      </c>
      <c r="F29" s="731" t="n">
        <v>-1.09</v>
      </c>
      <c r="G29" t="inlineStr">
        <is>
          <t>147萬</t>
        </is>
      </c>
      <c r="H29" t="n">
        <v>229</v>
      </c>
      <c r="I29" t="n">
        <v>259</v>
      </c>
      <c r="J29" t="inlineStr">
        <is>
          <t>--</t>
        </is>
      </c>
      <c r="K29" t="n">
        <v>6.53</v>
      </c>
      <c r="L29" t="n">
        <v>6.38</v>
      </c>
      <c r="M29" s="155" t="inlineStr">
        <is>
          <t>--</t>
        </is>
      </c>
      <c r="N29" t="inlineStr">
        <is>
          <t>--</t>
        </is>
      </c>
    </row>
    <row r="30">
      <c r="A30" t="n">
        <v>639</v>
      </c>
      <c r="B30" t="inlineStr">
        <is>
          <t>富邦深100</t>
        </is>
      </c>
      <c r="C30" t="n">
        <v>18</v>
      </c>
      <c r="D30" t="n">
        <v>18.45</v>
      </c>
      <c r="E30" s="730" t="n">
        <v>0.28</v>
      </c>
      <c r="F30" s="731" t="n">
        <v>1.54</v>
      </c>
      <c r="G30" t="inlineStr">
        <is>
          <t>2436萬</t>
        </is>
      </c>
      <c r="H30" t="n">
        <v>1337</v>
      </c>
      <c r="I30" t="n">
        <v>1646</v>
      </c>
      <c r="J30" t="inlineStr">
        <is>
          <t>--</t>
        </is>
      </c>
      <c r="K30" t="n">
        <v>18.45</v>
      </c>
      <c r="L30" t="n">
        <v>17.91</v>
      </c>
      <c r="M30" s="155" t="inlineStr">
        <is>
          <t>--</t>
        </is>
      </c>
      <c r="N30" t="inlineStr">
        <is>
          <t>--</t>
        </is>
      </c>
    </row>
    <row r="31">
      <c r="A31" t="inlineStr">
        <is>
          <t>00640L</t>
        </is>
      </c>
      <c r="B31" t="inlineStr">
        <is>
          <t>富邦日本正2</t>
        </is>
      </c>
      <c r="C31" t="n">
        <v>98.84999999999999</v>
      </c>
      <c r="D31" t="n">
        <v>100.3</v>
      </c>
      <c r="E31" s="730" t="n">
        <v>-0.55</v>
      </c>
      <c r="F31" s="731" t="n">
        <v>-0.55</v>
      </c>
      <c r="G31" t="inlineStr">
        <is>
          <t>3038萬</t>
        </is>
      </c>
      <c r="H31" t="n">
        <v>308</v>
      </c>
      <c r="I31" t="n">
        <v>342</v>
      </c>
      <c r="J31" t="inlineStr">
        <is>
          <t>--</t>
        </is>
      </c>
      <c r="K31" t="n">
        <v>100.35</v>
      </c>
      <c r="L31" t="n">
        <v>98.25</v>
      </c>
      <c r="M31" s="155" t="inlineStr">
        <is>
          <t>--</t>
        </is>
      </c>
      <c r="N31" t="inlineStr">
        <is>
          <t>--</t>
        </is>
      </c>
    </row>
    <row r="32">
      <c r="A32" t="inlineStr">
        <is>
          <t>00641R</t>
        </is>
      </c>
      <c r="B32" t="inlineStr">
        <is>
          <t>富邦日本反1</t>
        </is>
      </c>
      <c r="C32" t="n">
        <v>3.89</v>
      </c>
      <c r="D32" t="n">
        <v>3.89</v>
      </c>
      <c r="E32" s="730" t="n">
        <v>0.03</v>
      </c>
      <c r="F32" s="731" t="n">
        <v>0.78</v>
      </c>
      <c r="G32" t="inlineStr">
        <is>
          <t>668萬</t>
        </is>
      </c>
      <c r="H32" t="n">
        <v>1716</v>
      </c>
      <c r="I32" t="n">
        <v>1037</v>
      </c>
      <c r="J32" t="inlineStr">
        <is>
          <t>--</t>
        </is>
      </c>
      <c r="K32" t="n">
        <v>3.92</v>
      </c>
      <c r="L32" t="n">
        <v>3.88</v>
      </c>
      <c r="M32" s="155" t="inlineStr">
        <is>
          <t>--</t>
        </is>
      </c>
      <c r="N32" t="inlineStr">
        <is>
          <t>--</t>
        </is>
      </c>
    </row>
    <row r="33">
      <c r="A33" t="inlineStr">
        <is>
          <t>00642U</t>
        </is>
      </c>
      <c r="B33" t="inlineStr">
        <is>
          <t>期元大S＆P石油</t>
        </is>
      </c>
      <c r="C33" t="n">
        <v>29.13</v>
      </c>
      <c r="D33" t="n">
        <v>28.77</v>
      </c>
      <c r="E33" s="730" t="n">
        <v>0.53</v>
      </c>
      <c r="F33" s="731" t="n">
        <v>1.88</v>
      </c>
      <c r="G33" t="inlineStr">
        <is>
          <t>1.25億</t>
        </is>
      </c>
      <c r="H33" t="n">
        <v>4327</v>
      </c>
      <c r="I33" t="n">
        <v>6403</v>
      </c>
      <c r="J33" t="inlineStr">
        <is>
          <t>--</t>
        </is>
      </c>
      <c r="K33" t="n">
        <v>29.15</v>
      </c>
      <c r="L33" t="n">
        <v>28.74</v>
      </c>
      <c r="M33" s="155" t="inlineStr">
        <is>
          <t>--</t>
        </is>
      </c>
      <c r="N33" t="inlineStr">
        <is>
          <t>--</t>
        </is>
      </c>
    </row>
    <row r="34">
      <c r="A34" t="n">
        <v>643</v>
      </c>
      <c r="B34" t="inlineStr">
        <is>
          <t>群益深証中小</t>
        </is>
      </c>
      <c r="C34" t="n">
        <v>19.75</v>
      </c>
      <c r="D34" t="n">
        <v>20.03</v>
      </c>
      <c r="E34" s="730" t="n">
        <v>0.19</v>
      </c>
      <c r="F34" s="731" t="n">
        <v>0.96</v>
      </c>
      <c r="G34" t="inlineStr">
        <is>
          <t>6884萬</t>
        </is>
      </c>
      <c r="H34" t="n">
        <v>3474</v>
      </c>
      <c r="I34" t="n">
        <v>3159</v>
      </c>
      <c r="J34" t="inlineStr">
        <is>
          <t>--</t>
        </is>
      </c>
      <c r="K34" t="n">
        <v>20.03</v>
      </c>
      <c r="L34" t="n">
        <v>19.44</v>
      </c>
      <c r="M34" s="155" t="inlineStr">
        <is>
          <t>--</t>
        </is>
      </c>
      <c r="N34" t="inlineStr">
        <is>
          <t>--</t>
        </is>
      </c>
    </row>
    <row r="35">
      <c r="A35" t="inlineStr">
        <is>
          <t>00643K</t>
        </is>
      </c>
      <c r="B35" t="inlineStr">
        <is>
          <t>群益深証中小+R</t>
        </is>
      </c>
      <c r="C35" t="inlineStr">
        <is>
          <t>--</t>
        </is>
      </c>
      <c r="D35" t="inlineStr">
        <is>
          <t>--</t>
        </is>
      </c>
      <c r="E35" s="730" t="inlineStr">
        <is>
          <t>--</t>
        </is>
      </c>
      <c r="F35" s="731" t="inlineStr">
        <is>
          <t>--</t>
        </is>
      </c>
      <c r="G35" t="inlineStr">
        <is>
          <t>--</t>
        </is>
      </c>
      <c r="H35" t="n">
        <v>0</v>
      </c>
      <c r="I35" t="n">
        <v>0</v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s="155" t="inlineStr">
        <is>
          <t>--</t>
        </is>
      </c>
      <c r="N35" t="inlineStr">
        <is>
          <t>--</t>
        </is>
      </c>
    </row>
    <row r="36">
      <c r="A36" t="n">
        <v>645</v>
      </c>
      <c r="B36" t="inlineStr">
        <is>
          <t>富邦日本</t>
        </is>
      </c>
      <c r="C36" t="n">
        <v>54.9</v>
      </c>
      <c r="D36" t="n">
        <v>55.1</v>
      </c>
      <c r="E36" s="730" t="n">
        <v>-0.2</v>
      </c>
      <c r="F36" s="731" t="n">
        <v>-0.36</v>
      </c>
      <c r="G36" t="inlineStr">
        <is>
          <t>1376萬</t>
        </is>
      </c>
      <c r="H36" t="n">
        <v>251</v>
      </c>
      <c r="I36" t="n">
        <v>518</v>
      </c>
      <c r="J36" t="inlineStr">
        <is>
          <t>--</t>
        </is>
      </c>
      <c r="K36" t="n">
        <v>55.2</v>
      </c>
      <c r="L36" t="n">
        <v>54.65</v>
      </c>
      <c r="M36" s="155" t="inlineStr">
        <is>
          <t>--</t>
        </is>
      </c>
      <c r="N36" t="inlineStr">
        <is>
          <t>--</t>
        </is>
      </c>
    </row>
    <row r="37">
      <c r="A37" t="n">
        <v>646</v>
      </c>
      <c r="B37" t="inlineStr">
        <is>
          <t>元大S＆P500</t>
        </is>
      </c>
      <c r="C37" t="n">
        <v>74.7</v>
      </c>
      <c r="D37" t="n">
        <v>75</v>
      </c>
      <c r="E37" s="730" t="n">
        <v>0.05</v>
      </c>
      <c r="F37" s="731" t="n">
        <v>0.07000000000000001</v>
      </c>
      <c r="G37" t="inlineStr">
        <is>
          <t>1.74億</t>
        </is>
      </c>
      <c r="H37" t="n">
        <v>2331</v>
      </c>
      <c r="I37" t="n">
        <v>2765</v>
      </c>
      <c r="J37" t="inlineStr">
        <is>
          <t>--</t>
        </is>
      </c>
      <c r="K37" t="n">
        <v>75.09999999999999</v>
      </c>
      <c r="L37" t="n">
        <v>74.7</v>
      </c>
      <c r="M37" s="155" t="inlineStr">
        <is>
          <t>--</t>
        </is>
      </c>
      <c r="N37" t="inlineStr">
        <is>
          <t>--</t>
        </is>
      </c>
    </row>
    <row r="38">
      <c r="A38" t="inlineStr">
        <is>
          <t>00647L</t>
        </is>
      </c>
      <c r="B38" t="inlineStr">
        <is>
          <t>元大S＆P500正2</t>
        </is>
      </c>
      <c r="C38" t="n">
        <v>137.55</v>
      </c>
      <c r="D38" t="n">
        <v>137.45</v>
      </c>
      <c r="E38" s="730" t="n">
        <v>-0.1</v>
      </c>
      <c r="F38" s="731" t="n">
        <v>-0.07000000000000001</v>
      </c>
      <c r="G38" t="inlineStr">
        <is>
          <t>712萬</t>
        </is>
      </c>
      <c r="H38" t="n">
        <v>52</v>
      </c>
      <c r="I38" t="n">
        <v>146</v>
      </c>
      <c r="J38" t="inlineStr">
        <is>
          <t>--</t>
        </is>
      </c>
      <c r="K38" t="n">
        <v>137.55</v>
      </c>
      <c r="L38" t="n">
        <v>136.25</v>
      </c>
      <c r="M38" s="155" t="inlineStr">
        <is>
          <t>--</t>
        </is>
      </c>
      <c r="N38" t="inlineStr">
        <is>
          <t>--</t>
        </is>
      </c>
    </row>
    <row r="39">
      <c r="A39" t="inlineStr">
        <is>
          <t>00648R</t>
        </is>
      </c>
      <c r="B39" t="inlineStr">
        <is>
          <t>元大S＆P500反1</t>
        </is>
      </c>
      <c r="C39" t="n">
        <v>3.94</v>
      </c>
      <c r="D39" t="n">
        <v>3.95</v>
      </c>
      <c r="E39" s="730" t="n">
        <v>0.02</v>
      </c>
      <c r="F39" s="731" t="n">
        <v>0.51</v>
      </c>
      <c r="G39" t="inlineStr">
        <is>
          <t>182萬</t>
        </is>
      </c>
      <c r="H39" t="n">
        <v>461</v>
      </c>
      <c r="I39" t="n">
        <v>737</v>
      </c>
      <c r="J39" t="inlineStr">
        <is>
          <t>--</t>
        </is>
      </c>
      <c r="K39" t="n">
        <v>3.96</v>
      </c>
      <c r="L39" t="n">
        <v>3.94</v>
      </c>
      <c r="M39" s="155" t="inlineStr">
        <is>
          <t>--</t>
        </is>
      </c>
      <c r="N39" t="inlineStr">
        <is>
          <t>--</t>
        </is>
      </c>
    </row>
    <row r="40">
      <c r="A40" t="inlineStr">
        <is>
          <t>00650L</t>
        </is>
      </c>
      <c r="B40" t="inlineStr">
        <is>
          <t>復華香港正2</t>
        </is>
      </c>
      <c r="C40" t="n">
        <v>16.73</v>
      </c>
      <c r="D40" t="n">
        <v>17.49</v>
      </c>
      <c r="E40" s="730" t="n">
        <v>0.7</v>
      </c>
      <c r="F40" s="731" t="n">
        <v>4.17</v>
      </c>
      <c r="G40" t="inlineStr">
        <is>
          <t>1.21億</t>
        </is>
      </c>
      <c r="H40" t="n">
        <v>7040</v>
      </c>
      <c r="I40" t="n">
        <v>7273</v>
      </c>
      <c r="J40" t="inlineStr">
        <is>
          <t>--</t>
        </is>
      </c>
      <c r="K40" t="n">
        <v>17.49</v>
      </c>
      <c r="L40" t="n">
        <v>16.61</v>
      </c>
      <c r="M40" s="155" t="inlineStr">
        <is>
          <t>--</t>
        </is>
      </c>
      <c r="N40" t="inlineStr">
        <is>
          <t>--</t>
        </is>
      </c>
    </row>
    <row r="41">
      <c r="A41" t="inlineStr">
        <is>
          <t>00651R</t>
        </is>
      </c>
      <c r="B41" t="inlineStr">
        <is>
          <t>復華香港反1</t>
        </is>
      </c>
      <c r="C41" t="n">
        <v>5.27</v>
      </c>
      <c r="D41" t="n">
        <v>5.17</v>
      </c>
      <c r="E41" s="730" t="n">
        <v>-0.09</v>
      </c>
      <c r="F41" s="731" t="n">
        <v>-1.71</v>
      </c>
      <c r="G41" t="inlineStr">
        <is>
          <t>202萬</t>
        </is>
      </c>
      <c r="H41" t="n">
        <v>387</v>
      </c>
      <c r="I41" t="n">
        <v>217</v>
      </c>
      <c r="J41" t="inlineStr">
        <is>
          <t>--</t>
        </is>
      </c>
      <c r="K41" t="n">
        <v>5.27</v>
      </c>
      <c r="L41" t="n">
        <v>5.17</v>
      </c>
      <c r="M41" s="155" t="inlineStr">
        <is>
          <t>--</t>
        </is>
      </c>
      <c r="N41" t="inlineStr">
        <is>
          <t>--</t>
        </is>
      </c>
    </row>
    <row r="42">
      <c r="A42" t="n">
        <v>652</v>
      </c>
      <c r="B42" t="inlineStr">
        <is>
          <t>富邦印度</t>
        </is>
      </c>
      <c r="C42" t="n">
        <v>31.78</v>
      </c>
      <c r="D42" t="n">
        <v>31.71</v>
      </c>
      <c r="E42" s="730" t="n">
        <v>-0.2</v>
      </c>
      <c r="F42" s="731" t="n">
        <v>-0.63</v>
      </c>
      <c r="G42" t="inlineStr">
        <is>
          <t>1632萬</t>
        </is>
      </c>
      <c r="H42" t="n">
        <v>516</v>
      </c>
      <c r="I42" t="n">
        <v>406</v>
      </c>
      <c r="J42" t="inlineStr">
        <is>
          <t>--</t>
        </is>
      </c>
      <c r="K42" t="n">
        <v>31.78</v>
      </c>
      <c r="L42" t="n">
        <v>31.53</v>
      </c>
      <c r="M42" s="155" t="inlineStr">
        <is>
          <t>--</t>
        </is>
      </c>
      <c r="N42" t="inlineStr">
        <is>
          <t>--</t>
        </is>
      </c>
    </row>
    <row r="43">
      <c r="A43" t="inlineStr">
        <is>
          <t>00653L</t>
        </is>
      </c>
      <c r="B43" t="inlineStr">
        <is>
          <t>富邦印度正2</t>
        </is>
      </c>
      <c r="C43" t="n">
        <v>44.7</v>
      </c>
      <c r="D43" t="n">
        <v>43.79</v>
      </c>
      <c r="E43" s="730" t="n">
        <v>-0.95</v>
      </c>
      <c r="F43" s="731" t="n">
        <v>-2.12</v>
      </c>
      <c r="G43" t="inlineStr">
        <is>
          <t>1321萬</t>
        </is>
      </c>
      <c r="H43" t="n">
        <v>303</v>
      </c>
      <c r="I43" t="n">
        <v>485</v>
      </c>
      <c r="J43" t="inlineStr">
        <is>
          <t>--</t>
        </is>
      </c>
      <c r="K43" t="n">
        <v>44.7</v>
      </c>
      <c r="L43" t="n">
        <v>43.35</v>
      </c>
      <c r="M43" s="155" t="inlineStr">
        <is>
          <t>--</t>
        </is>
      </c>
      <c r="N43" t="inlineStr">
        <is>
          <t>--</t>
        </is>
      </c>
    </row>
    <row r="44">
      <c r="A44" t="inlineStr">
        <is>
          <t>00654R</t>
        </is>
      </c>
      <c r="B44" t="inlineStr">
        <is>
          <t>富邦印度反1</t>
        </is>
      </c>
      <c r="C44" t="n">
        <v>6.93</v>
      </c>
      <c r="D44" t="n">
        <v>6.98</v>
      </c>
      <c r="E44" s="730" t="n">
        <v>0.09</v>
      </c>
      <c r="F44" s="731" t="n">
        <v>1.31</v>
      </c>
      <c r="G44" t="inlineStr">
        <is>
          <t>108萬</t>
        </is>
      </c>
      <c r="H44" t="n">
        <v>155</v>
      </c>
      <c r="I44" t="n">
        <v>80</v>
      </c>
      <c r="J44" t="inlineStr">
        <is>
          <t>--</t>
        </is>
      </c>
      <c r="K44" t="n">
        <v>6.99</v>
      </c>
      <c r="L44" t="n">
        <v>6.93</v>
      </c>
      <c r="M44" s="155" t="inlineStr">
        <is>
          <t>--</t>
        </is>
      </c>
      <c r="N44" t="inlineStr">
        <is>
          <t>--</t>
        </is>
      </c>
    </row>
    <row r="45">
      <c r="A45" t="inlineStr">
        <is>
          <t>00655L</t>
        </is>
      </c>
      <c r="B45" t="inlineStr">
        <is>
          <t>國泰中國A50正2</t>
        </is>
      </c>
      <c r="C45" t="n">
        <v>36.74</v>
      </c>
      <c r="D45" t="n">
        <v>38.21</v>
      </c>
      <c r="E45" s="730" t="n">
        <v>1.39</v>
      </c>
      <c r="F45" s="731" t="n">
        <v>3.78</v>
      </c>
      <c r="G45" t="inlineStr">
        <is>
          <t>8943萬</t>
        </is>
      </c>
      <c r="H45" t="n">
        <v>2402</v>
      </c>
      <c r="I45" t="n">
        <v>2334</v>
      </c>
      <c r="J45" t="inlineStr">
        <is>
          <t>--</t>
        </is>
      </c>
      <c r="K45" t="n">
        <v>38.22</v>
      </c>
      <c r="L45" t="n">
        <v>36.16</v>
      </c>
      <c r="M45" s="155" t="inlineStr">
        <is>
          <t>--</t>
        </is>
      </c>
      <c r="N45" t="inlineStr">
        <is>
          <t>--</t>
        </is>
      </c>
    </row>
    <row r="46">
      <c r="A46" t="inlineStr">
        <is>
          <t>00656R</t>
        </is>
      </c>
      <c r="B46" t="inlineStr">
        <is>
          <t>國泰中國A50反1</t>
        </is>
      </c>
      <c r="C46" t="n">
        <v>5.73</v>
      </c>
      <c r="D46" t="n">
        <v>5.64</v>
      </c>
      <c r="E46" s="730" t="n">
        <v>-0.09</v>
      </c>
      <c r="F46" s="731" t="n">
        <v>-1.57</v>
      </c>
      <c r="G46" t="inlineStr">
        <is>
          <t>537萬</t>
        </is>
      </c>
      <c r="H46" t="n">
        <v>938</v>
      </c>
      <c r="I46" t="n">
        <v>741</v>
      </c>
      <c r="J46" t="inlineStr">
        <is>
          <t>--</t>
        </is>
      </c>
      <c r="K46" t="n">
        <v>5.78</v>
      </c>
      <c r="L46" t="n">
        <v>5.64</v>
      </c>
      <c r="M46" s="155" t="inlineStr">
        <is>
          <t>--</t>
        </is>
      </c>
      <c r="N46" t="inlineStr">
        <is>
          <t>--</t>
        </is>
      </c>
    </row>
    <row r="47">
      <c r="A47" t="n">
        <v>657</v>
      </c>
      <c r="B47" t="inlineStr">
        <is>
          <t>國泰日經225</t>
        </is>
      </c>
      <c r="C47" t="n">
        <v>76.84999999999999</v>
      </c>
      <c r="D47" t="n">
        <v>77.75</v>
      </c>
      <c r="E47" s="730" t="n">
        <v>-0.15</v>
      </c>
      <c r="F47" s="731" t="n">
        <v>-0.19</v>
      </c>
      <c r="G47" t="inlineStr">
        <is>
          <t>400萬</t>
        </is>
      </c>
      <c r="H47" t="n">
        <v>52</v>
      </c>
      <c r="I47" t="n">
        <v>181</v>
      </c>
      <c r="J47" t="inlineStr">
        <is>
          <t>--</t>
        </is>
      </c>
      <c r="K47" t="n">
        <v>77.75</v>
      </c>
      <c r="L47" t="n">
        <v>76.59999999999999</v>
      </c>
      <c r="M47" s="155" t="inlineStr">
        <is>
          <t>--</t>
        </is>
      </c>
      <c r="N47" t="inlineStr">
        <is>
          <t>--</t>
        </is>
      </c>
    </row>
    <row r="48">
      <c r="A48" t="inlineStr">
        <is>
          <t>00657K</t>
        </is>
      </c>
      <c r="B48" t="inlineStr">
        <is>
          <t>國泰日經225+U</t>
        </is>
      </c>
      <c r="C48" t="n">
        <v>24.55</v>
      </c>
      <c r="D48" t="n">
        <v>24.55</v>
      </c>
      <c r="E48" s="730" t="n">
        <v>-0.46</v>
      </c>
      <c r="F48" s="731" t="n">
        <v>-1.84</v>
      </c>
      <c r="G48" t="n">
        <v>4910</v>
      </c>
      <c r="H48" t="n">
        <v>2</v>
      </c>
      <c r="I48" t="n">
        <v>2</v>
      </c>
      <c r="J48" t="inlineStr">
        <is>
          <t>--</t>
        </is>
      </c>
      <c r="K48" t="n">
        <v>24.55</v>
      </c>
      <c r="L48" t="n">
        <v>24.55</v>
      </c>
      <c r="M48" s="155" t="inlineStr">
        <is>
          <t>--</t>
        </is>
      </c>
      <c r="N48" t="inlineStr">
        <is>
          <t>--</t>
        </is>
      </c>
    </row>
    <row r="49">
      <c r="A49" t="n">
        <v>660</v>
      </c>
      <c r="B49" t="inlineStr">
        <is>
          <t>元大歐洲50</t>
        </is>
      </c>
      <c r="C49" t="n">
        <v>43.78</v>
      </c>
      <c r="D49" t="n">
        <v>44.13</v>
      </c>
      <c r="E49" s="730" t="n">
        <v>-0.07000000000000001</v>
      </c>
      <c r="F49" s="731" t="n">
        <v>-0.16</v>
      </c>
      <c r="G49" t="inlineStr">
        <is>
          <t>57.2萬</t>
        </is>
      </c>
      <c r="H49" t="n">
        <v>13</v>
      </c>
      <c r="I49" t="n">
        <v>14</v>
      </c>
      <c r="J49" t="inlineStr">
        <is>
          <t>--</t>
        </is>
      </c>
      <c r="K49" t="n">
        <v>44.13</v>
      </c>
      <c r="L49" t="n">
        <v>43.78</v>
      </c>
      <c r="M49" s="155" t="inlineStr">
        <is>
          <t>--</t>
        </is>
      </c>
      <c r="N49" t="inlineStr">
        <is>
          <t>--</t>
        </is>
      </c>
    </row>
    <row r="50">
      <c r="A50" t="n">
        <v>661</v>
      </c>
      <c r="B50" t="inlineStr">
        <is>
          <t>元大日經225</t>
        </is>
      </c>
      <c r="C50" t="n">
        <v>85.09999999999999</v>
      </c>
      <c r="D50" t="n">
        <v>85.75</v>
      </c>
      <c r="E50" s="730" t="n">
        <v>-0.1</v>
      </c>
      <c r="F50" s="731" t="n">
        <v>-0.12</v>
      </c>
      <c r="G50" t="inlineStr">
        <is>
          <t>1156萬</t>
        </is>
      </c>
      <c r="H50" t="n">
        <v>137</v>
      </c>
      <c r="I50" t="n">
        <v>149</v>
      </c>
      <c r="J50" t="inlineStr">
        <is>
          <t>--</t>
        </is>
      </c>
      <c r="K50" t="n">
        <v>85.75</v>
      </c>
      <c r="L50" t="n">
        <v>84.59999999999999</v>
      </c>
      <c r="M50" s="155" t="inlineStr">
        <is>
          <t>--</t>
        </is>
      </c>
      <c r="N50" t="inlineStr">
        <is>
          <t>--</t>
        </is>
      </c>
    </row>
    <row r="51">
      <c r="A51" t="n">
        <v>662</v>
      </c>
      <c r="B51" t="inlineStr">
        <is>
          <t>富邦NASDAQ</t>
        </is>
      </c>
      <c r="C51" t="n">
        <v>122.3</v>
      </c>
      <c r="D51" t="n">
        <v>123.15</v>
      </c>
      <c r="E51" s="730" t="n">
        <v>0.4</v>
      </c>
      <c r="F51" s="731" t="n">
        <v>0.33</v>
      </c>
      <c r="G51" t="inlineStr">
        <is>
          <t>4.11億</t>
        </is>
      </c>
      <c r="H51" t="n">
        <v>3358</v>
      </c>
      <c r="I51" t="n">
        <v>5195</v>
      </c>
      <c r="J51" t="inlineStr">
        <is>
          <t>--</t>
        </is>
      </c>
      <c r="K51" t="n">
        <v>123.15</v>
      </c>
      <c r="L51" t="n">
        <v>122.25</v>
      </c>
      <c r="M51" s="155" t="inlineStr">
        <is>
          <t>--</t>
        </is>
      </c>
      <c r="N51" t="inlineStr">
        <is>
          <t>--</t>
        </is>
      </c>
    </row>
    <row r="52">
      <c r="A52" t="inlineStr">
        <is>
          <t>00663L</t>
        </is>
      </c>
      <c r="B52" t="inlineStr">
        <is>
          <t>國泰臺灣加權正2</t>
        </is>
      </c>
      <c r="C52" t="n">
        <v>110.85</v>
      </c>
      <c r="D52" t="n">
        <v>110.8</v>
      </c>
      <c r="E52" s="730" t="n">
        <v>0.55</v>
      </c>
      <c r="F52" s="731" t="n">
        <v>0.5</v>
      </c>
      <c r="G52" t="inlineStr">
        <is>
          <t>13.1億</t>
        </is>
      </c>
      <c r="H52" t="n">
        <v>11926</v>
      </c>
      <c r="I52" t="n">
        <v>13596</v>
      </c>
      <c r="J52" t="inlineStr">
        <is>
          <t>--</t>
        </is>
      </c>
      <c r="K52" t="n">
        <v>111.2</v>
      </c>
      <c r="L52" t="n">
        <v>107.4</v>
      </c>
      <c r="M52" s="155" t="inlineStr">
        <is>
          <t>--</t>
        </is>
      </c>
      <c r="N52" t="inlineStr">
        <is>
          <t>--</t>
        </is>
      </c>
    </row>
    <row r="53">
      <c r="A53" t="inlineStr">
        <is>
          <t>00664R</t>
        </is>
      </c>
      <c r="B53" t="inlineStr">
        <is>
          <t>國泰臺灣加權反1</t>
        </is>
      </c>
      <c r="C53" t="n">
        <v>1.64</v>
      </c>
      <c r="D53" t="n">
        <v>1.64</v>
      </c>
      <c r="E53" s="730" t="n">
        <v>-0.01</v>
      </c>
      <c r="F53" s="731" t="n">
        <v>-0.61</v>
      </c>
      <c r="G53" t="inlineStr">
        <is>
          <t>4021萬</t>
        </is>
      </c>
      <c r="H53" t="n">
        <v>24259</v>
      </c>
      <c r="I53" t="n">
        <v>35999</v>
      </c>
      <c r="J53" t="inlineStr">
        <is>
          <t>--</t>
        </is>
      </c>
      <c r="K53" t="n">
        <v>1.68</v>
      </c>
      <c r="L53" t="n">
        <v>1.64</v>
      </c>
      <c r="M53" s="155" t="inlineStr">
        <is>
          <t>--</t>
        </is>
      </c>
      <c r="N53" t="inlineStr">
        <is>
          <t>--</t>
        </is>
      </c>
    </row>
    <row r="54">
      <c r="A54" t="inlineStr">
        <is>
          <t>00665L</t>
        </is>
      </c>
      <c r="B54" t="inlineStr">
        <is>
          <t>富邦恒生國企正2</t>
        </is>
      </c>
      <c r="C54" t="n">
        <v>9.43</v>
      </c>
      <c r="D54" t="n">
        <v>9.9</v>
      </c>
      <c r="E54" s="730" t="n">
        <v>0.48</v>
      </c>
      <c r="F54" s="731" t="n">
        <v>5.1</v>
      </c>
      <c r="G54" t="inlineStr">
        <is>
          <t>4.57億</t>
        </is>
      </c>
      <c r="H54" t="n">
        <v>47091</v>
      </c>
      <c r="I54" t="n">
        <v>24460</v>
      </c>
      <c r="J54" t="inlineStr">
        <is>
          <t>--</t>
        </is>
      </c>
      <c r="K54" t="n">
        <v>9.92</v>
      </c>
      <c r="L54" t="n">
        <v>9.35</v>
      </c>
      <c r="M54" s="155" t="inlineStr">
        <is>
          <t>--</t>
        </is>
      </c>
      <c r="N54" t="inlineStr">
        <is>
          <t>--</t>
        </is>
      </c>
    </row>
    <row r="55">
      <c r="A55" t="inlineStr">
        <is>
          <t>00666R</t>
        </is>
      </c>
      <c r="B55" t="inlineStr">
        <is>
          <t>富邦恒生國企反1</t>
        </is>
      </c>
      <c r="C55" t="n">
        <v>9.119999999999999</v>
      </c>
      <c r="D55" t="n">
        <v>8.91</v>
      </c>
      <c r="E55" s="730" t="n">
        <v>-0.2</v>
      </c>
      <c r="F55" s="731" t="n">
        <v>-2.2</v>
      </c>
      <c r="G55" t="inlineStr">
        <is>
          <t>75.8萬</t>
        </is>
      </c>
      <c r="H55" t="n">
        <v>84</v>
      </c>
      <c r="I55" t="n">
        <v>99</v>
      </c>
      <c r="J55" t="inlineStr">
        <is>
          <t>--</t>
        </is>
      </c>
      <c r="K55" t="n">
        <v>9.119999999999999</v>
      </c>
      <c r="L55" t="n">
        <v>8.91</v>
      </c>
      <c r="M55" s="155" t="inlineStr">
        <is>
          <t>--</t>
        </is>
      </c>
      <c r="N55" t="inlineStr">
        <is>
          <t>--</t>
        </is>
      </c>
    </row>
    <row r="56">
      <c r="A56" t="n">
        <v>668</v>
      </c>
      <c r="B56" t="inlineStr">
        <is>
          <t>國泰美國道瓊</t>
        </is>
      </c>
      <c r="C56" t="n">
        <v>58.2</v>
      </c>
      <c r="D56" t="n">
        <v>58.4</v>
      </c>
      <c r="E56" s="730" t="n">
        <v>0</v>
      </c>
      <c r="F56" s="731" t="n">
        <v>0</v>
      </c>
      <c r="G56" t="inlineStr">
        <is>
          <t>105萬</t>
        </is>
      </c>
      <c r="H56" t="n">
        <v>18</v>
      </c>
      <c r="I56" t="n">
        <v>109</v>
      </c>
      <c r="J56" t="inlineStr">
        <is>
          <t>--</t>
        </is>
      </c>
      <c r="K56" t="n">
        <v>58.45</v>
      </c>
      <c r="L56" t="n">
        <v>58.2</v>
      </c>
      <c r="M56" s="155" t="inlineStr">
        <is>
          <t>--</t>
        </is>
      </c>
      <c r="N56" t="inlineStr">
        <is>
          <t>--</t>
        </is>
      </c>
    </row>
    <row r="57">
      <c r="A57" t="inlineStr">
        <is>
          <t>00668K</t>
        </is>
      </c>
      <c r="B57" t="inlineStr">
        <is>
          <t>國泰美國道瓊+U</t>
        </is>
      </c>
      <c r="C57" t="n">
        <v>18.67</v>
      </c>
      <c r="D57" t="n">
        <v>18.67</v>
      </c>
      <c r="E57" s="730" t="n">
        <v>0.03</v>
      </c>
      <c r="F57" s="731" t="n">
        <v>0.16</v>
      </c>
      <c r="G57" t="n">
        <v>3734</v>
      </c>
      <c r="H57" t="n">
        <v>2</v>
      </c>
      <c r="I57" t="n">
        <v>2</v>
      </c>
      <c r="J57" t="inlineStr">
        <is>
          <t>--</t>
        </is>
      </c>
      <c r="K57" t="n">
        <v>18.67</v>
      </c>
      <c r="L57" t="n">
        <v>18.67</v>
      </c>
      <c r="M57" s="155" t="inlineStr">
        <is>
          <t>--</t>
        </is>
      </c>
      <c r="N57" t="inlineStr">
        <is>
          <t>--</t>
        </is>
      </c>
    </row>
    <row r="58">
      <c r="A58" t="inlineStr">
        <is>
          <t>00669R</t>
        </is>
      </c>
      <c r="B58" t="inlineStr">
        <is>
          <t>國泰美國道瓊反1</t>
        </is>
      </c>
      <c r="C58" t="n">
        <v>5.38</v>
      </c>
      <c r="D58" t="n">
        <v>5.39</v>
      </c>
      <c r="E58" s="730" t="n">
        <v>0.03</v>
      </c>
      <c r="F58" s="731" t="n">
        <v>0.5600000000000001</v>
      </c>
      <c r="G58" t="inlineStr">
        <is>
          <t>922萬</t>
        </is>
      </c>
      <c r="H58" t="n">
        <v>1713</v>
      </c>
      <c r="I58" t="n">
        <v>936</v>
      </c>
      <c r="J58" t="inlineStr">
        <is>
          <t>--</t>
        </is>
      </c>
      <c r="K58" t="n">
        <v>5.4</v>
      </c>
      <c r="L58" t="n">
        <v>5.38</v>
      </c>
      <c r="M58" s="155" t="inlineStr">
        <is>
          <t>--</t>
        </is>
      </c>
      <c r="N58" t="inlineStr">
        <is>
          <t>--</t>
        </is>
      </c>
    </row>
    <row r="59">
      <c r="A59" t="inlineStr">
        <is>
          <t>00670L</t>
        </is>
      </c>
      <c r="B59" t="inlineStr">
        <is>
          <t>富邦NASDAQ正2</t>
        </is>
      </c>
      <c r="C59" t="n">
        <v>219.8</v>
      </c>
      <c r="D59" t="n">
        <v>221.4</v>
      </c>
      <c r="E59" s="730" t="n">
        <v>-1.15</v>
      </c>
      <c r="F59" s="731" t="n">
        <v>-0.52</v>
      </c>
      <c r="G59" t="inlineStr">
        <is>
          <t>1.96億</t>
        </is>
      </c>
      <c r="H59" t="n">
        <v>893</v>
      </c>
      <c r="I59" t="n">
        <v>836</v>
      </c>
      <c r="J59" t="inlineStr">
        <is>
          <t>--</t>
        </is>
      </c>
      <c r="K59" t="n">
        <v>221.4</v>
      </c>
      <c r="L59" t="n">
        <v>219</v>
      </c>
      <c r="M59" s="155" t="inlineStr">
        <is>
          <t>--</t>
        </is>
      </c>
      <c r="N59" t="inlineStr">
        <is>
          <t>--</t>
        </is>
      </c>
    </row>
    <row r="60">
      <c r="A60" t="inlineStr">
        <is>
          <t>00671R</t>
        </is>
      </c>
      <c r="B60" t="inlineStr">
        <is>
          <t>富邦NASDAQ反1</t>
        </is>
      </c>
      <c r="C60" t="n">
        <v>2.38</v>
      </c>
      <c r="D60" t="n">
        <v>2.37</v>
      </c>
      <c r="E60" s="730" t="n">
        <v>0</v>
      </c>
      <c r="F60" s="731" t="n">
        <v>0</v>
      </c>
      <c r="G60" t="inlineStr">
        <is>
          <t>548萬</t>
        </is>
      </c>
      <c r="H60" t="n">
        <v>2305</v>
      </c>
      <c r="I60" t="n">
        <v>6129</v>
      </c>
      <c r="J60" t="inlineStr">
        <is>
          <t>--</t>
        </is>
      </c>
      <c r="K60" t="n">
        <v>2.39</v>
      </c>
      <c r="L60" t="n">
        <v>2.37</v>
      </c>
      <c r="M60" s="155" t="inlineStr">
        <is>
          <t>--</t>
        </is>
      </c>
      <c r="N60" t="inlineStr">
        <is>
          <t>--</t>
        </is>
      </c>
    </row>
    <row r="61">
      <c r="A61" t="inlineStr">
        <is>
          <t>00673R</t>
        </is>
      </c>
      <c r="B61" t="inlineStr">
        <is>
          <t>期元大S＆P原油反1</t>
        </is>
      </c>
      <c r="C61" t="n">
        <v>12.43</v>
      </c>
      <c r="D61" t="n">
        <v>12.6</v>
      </c>
      <c r="E61" s="730" t="n">
        <v>-0.22</v>
      </c>
      <c r="F61" s="731" t="n">
        <v>-1.72</v>
      </c>
      <c r="G61" t="inlineStr">
        <is>
          <t>1.85億</t>
        </is>
      </c>
      <c r="H61" t="n">
        <v>14815</v>
      </c>
      <c r="I61" t="n">
        <v>26995</v>
      </c>
      <c r="J61" t="inlineStr">
        <is>
          <t>--</t>
        </is>
      </c>
      <c r="K61" t="n">
        <v>12.61</v>
      </c>
      <c r="L61" t="n">
        <v>12.4</v>
      </c>
      <c r="M61" s="155" t="inlineStr">
        <is>
          <t>--</t>
        </is>
      </c>
      <c r="N61" t="inlineStr">
        <is>
          <t>--</t>
        </is>
      </c>
    </row>
    <row r="62">
      <c r="A62" t="inlineStr">
        <is>
          <t>00674R</t>
        </is>
      </c>
      <c r="B62" t="inlineStr">
        <is>
          <t>期元大S＆P黃金反1</t>
        </is>
      </c>
      <c r="C62" t="n">
        <v>27.54</v>
      </c>
      <c r="D62" t="n">
        <v>27.35</v>
      </c>
      <c r="E62" s="730" t="n">
        <v>0.08</v>
      </c>
      <c r="F62" s="731" t="n">
        <v>0.29</v>
      </c>
      <c r="G62" t="inlineStr">
        <is>
          <t>184萬</t>
        </is>
      </c>
      <c r="H62" t="n">
        <v>67</v>
      </c>
      <c r="I62" t="n">
        <v>104</v>
      </c>
      <c r="J62" t="inlineStr">
        <is>
          <t>--</t>
        </is>
      </c>
      <c r="K62" t="n">
        <v>27.58</v>
      </c>
      <c r="L62" t="n">
        <v>27.35</v>
      </c>
      <c r="M62" s="155" t="inlineStr">
        <is>
          <t>--</t>
        </is>
      </c>
      <c r="N62" t="inlineStr">
        <is>
          <t>--</t>
        </is>
      </c>
    </row>
    <row r="63">
      <c r="A63" t="inlineStr">
        <is>
          <t>00675L</t>
        </is>
      </c>
      <c r="B63" t="inlineStr">
        <is>
          <t>富邦臺灣加權正2</t>
        </is>
      </c>
      <c r="C63" t="n">
        <v>334.5</v>
      </c>
      <c r="D63" t="n">
        <v>335.65</v>
      </c>
      <c r="E63" s="730" t="n">
        <v>2</v>
      </c>
      <c r="F63" s="731" t="n">
        <v>0.6</v>
      </c>
      <c r="G63" t="inlineStr">
        <is>
          <t>7.52億</t>
        </is>
      </c>
      <c r="H63" t="n">
        <v>2270</v>
      </c>
      <c r="I63" t="n">
        <v>3144</v>
      </c>
      <c r="J63" t="inlineStr">
        <is>
          <t>--</t>
        </is>
      </c>
      <c r="K63" t="n">
        <v>336.8</v>
      </c>
      <c r="L63" t="n">
        <v>324.8</v>
      </c>
      <c r="M63" s="155" t="inlineStr">
        <is>
          <t>--</t>
        </is>
      </c>
      <c r="N63" t="inlineStr">
        <is>
          <t>--</t>
        </is>
      </c>
    </row>
    <row r="64">
      <c r="A64" t="inlineStr">
        <is>
          <t>00676R</t>
        </is>
      </c>
      <c r="B64" t="inlineStr">
        <is>
          <t>富邦臺灣加權反1</t>
        </is>
      </c>
      <c r="C64" t="n">
        <v>5.63</v>
      </c>
      <c r="D64" t="n">
        <v>5.62</v>
      </c>
      <c r="E64" s="730" t="n">
        <v>-0.01</v>
      </c>
      <c r="F64" s="731" t="n">
        <v>-0.18</v>
      </c>
      <c r="G64" t="inlineStr">
        <is>
          <t>4570萬</t>
        </is>
      </c>
      <c r="H64" t="n">
        <v>8094</v>
      </c>
      <c r="I64" t="n">
        <v>10969</v>
      </c>
      <c r="J64" t="inlineStr">
        <is>
          <t>--</t>
        </is>
      </c>
      <c r="K64" t="n">
        <v>5.71</v>
      </c>
      <c r="L64" t="n">
        <v>5.61</v>
      </c>
      <c r="M64" s="155" t="inlineStr">
        <is>
          <t>--</t>
        </is>
      </c>
      <c r="N64" t="inlineStr">
        <is>
          <t>--</t>
        </is>
      </c>
    </row>
    <row r="65">
      <c r="A65" t="n">
        <v>678</v>
      </c>
      <c r="B65" t="inlineStr">
        <is>
          <t>群益那斯達克生技</t>
        </is>
      </c>
      <c r="C65" t="n">
        <v>35.18</v>
      </c>
      <c r="D65" t="n">
        <v>35.49</v>
      </c>
      <c r="E65" s="730" t="n">
        <v>-0.64</v>
      </c>
      <c r="F65" s="731" t="n">
        <v>-1.77</v>
      </c>
      <c r="G65" t="inlineStr">
        <is>
          <t>820萬</t>
        </is>
      </c>
      <c r="H65" t="n">
        <v>232</v>
      </c>
      <c r="I65" t="n">
        <v>287</v>
      </c>
      <c r="J65" t="inlineStr">
        <is>
          <t>--</t>
        </is>
      </c>
      <c r="K65" t="n">
        <v>35.49</v>
      </c>
      <c r="L65" t="n">
        <v>35.18</v>
      </c>
      <c r="M65" s="155" t="inlineStr">
        <is>
          <t>--</t>
        </is>
      </c>
      <c r="N65" t="inlineStr">
        <is>
          <t>--</t>
        </is>
      </c>
    </row>
    <row r="66">
      <c r="A66" t="inlineStr">
        <is>
          <t>00679B</t>
        </is>
      </c>
      <c r="B66" t="inlineStr">
        <is>
          <t>元大美債20年</t>
        </is>
      </c>
      <c r="C66" t="n">
        <v>26.42</v>
      </c>
      <c r="D66" t="n">
        <v>26.57</v>
      </c>
      <c r="E66" s="730" t="n">
        <v>0.24</v>
      </c>
      <c r="F66" s="731" t="n">
        <v>0.91</v>
      </c>
      <c r="G66" t="inlineStr">
        <is>
          <t>13.3億</t>
        </is>
      </c>
      <c r="H66" t="n">
        <v>50419</v>
      </c>
      <c r="I66" t="n">
        <v>44682</v>
      </c>
      <c r="J66" t="inlineStr">
        <is>
          <t>--</t>
        </is>
      </c>
      <c r="K66" t="n">
        <v>26.59</v>
      </c>
      <c r="L66" t="n">
        <v>26.4</v>
      </c>
      <c r="M66" s="155" t="inlineStr">
        <is>
          <t>--</t>
        </is>
      </c>
      <c r="N66" t="inlineStr">
        <is>
          <t>--</t>
        </is>
      </c>
    </row>
    <row r="67">
      <c r="A67" t="inlineStr">
        <is>
          <t>00680L</t>
        </is>
      </c>
      <c r="B67" t="inlineStr">
        <is>
          <t>元大美債20正2</t>
        </is>
      </c>
      <c r="C67" t="n">
        <v>6.89</v>
      </c>
      <c r="D67" t="n">
        <v>6.94</v>
      </c>
      <c r="E67" s="730" t="n">
        <v>0.1</v>
      </c>
      <c r="F67" s="731" t="n">
        <v>1.46</v>
      </c>
      <c r="G67" t="inlineStr">
        <is>
          <t>1.61億</t>
        </is>
      </c>
      <c r="H67" t="n">
        <v>23339</v>
      </c>
      <c r="I67" t="n">
        <v>21480</v>
      </c>
      <c r="J67" t="inlineStr">
        <is>
          <t>--</t>
        </is>
      </c>
      <c r="K67" t="n">
        <v>6.95</v>
      </c>
      <c r="L67" t="n">
        <v>6.89</v>
      </c>
      <c r="M67" s="155" t="inlineStr">
        <is>
          <t>--</t>
        </is>
      </c>
      <c r="N67" t="inlineStr">
        <is>
          <t>--</t>
        </is>
      </c>
    </row>
    <row r="68">
      <c r="A68" t="inlineStr">
        <is>
          <t>00681R</t>
        </is>
      </c>
      <c r="B68" t="inlineStr">
        <is>
          <t>元大美債20反1</t>
        </is>
      </c>
      <c r="C68" t="n">
        <v>21.01</v>
      </c>
      <c r="D68" t="n">
        <v>20.94</v>
      </c>
      <c r="E68" s="730" t="n">
        <v>-0.17</v>
      </c>
      <c r="F68" s="731" t="n">
        <v>-0.8100000000000001</v>
      </c>
      <c r="G68" t="inlineStr">
        <is>
          <t>1034萬</t>
        </is>
      </c>
      <c r="H68" t="n">
        <v>493</v>
      </c>
      <c r="I68" t="n">
        <v>77</v>
      </c>
      <c r="J68" t="inlineStr">
        <is>
          <t>--</t>
        </is>
      </c>
      <c r="K68" t="n">
        <v>21.02</v>
      </c>
      <c r="L68" t="n">
        <v>20.94</v>
      </c>
      <c r="M68" s="155" t="inlineStr">
        <is>
          <t>--</t>
        </is>
      </c>
      <c r="N68" t="inlineStr">
        <is>
          <t>--</t>
        </is>
      </c>
    </row>
    <row r="69">
      <c r="A69" t="inlineStr">
        <is>
          <t>00682U</t>
        </is>
      </c>
      <c r="B69" t="inlineStr">
        <is>
          <t>期元大美元指數</t>
        </is>
      </c>
      <c r="C69" t="n">
        <v>20.33</v>
      </c>
      <c r="D69" t="n">
        <v>20.33</v>
      </c>
      <c r="E69" s="730" t="n">
        <v>-0.02</v>
      </c>
      <c r="F69" s="731" t="n">
        <v>-0.1</v>
      </c>
      <c r="G69" t="inlineStr">
        <is>
          <t>65.1萬</t>
        </is>
      </c>
      <c r="H69" t="n">
        <v>32</v>
      </c>
      <c r="I69" t="n">
        <v>1</v>
      </c>
      <c r="J69" t="inlineStr">
        <is>
          <t>--</t>
        </is>
      </c>
      <c r="K69" t="n">
        <v>20.33</v>
      </c>
      <c r="L69" t="n">
        <v>20.33</v>
      </c>
      <c r="M69" s="155" t="inlineStr">
        <is>
          <t>--</t>
        </is>
      </c>
      <c r="N69" t="inlineStr">
        <is>
          <t>--</t>
        </is>
      </c>
    </row>
    <row r="70">
      <c r="A70" t="inlineStr">
        <is>
          <t>00683L</t>
        </is>
      </c>
      <c r="B70" t="inlineStr">
        <is>
          <t>期元大美元指正2</t>
        </is>
      </c>
      <c r="C70" t="n">
        <v>21.2</v>
      </c>
      <c r="D70" t="n">
        <v>21.21</v>
      </c>
      <c r="E70" s="730" t="n">
        <v>0.05</v>
      </c>
      <c r="F70" s="731" t="n">
        <v>0.24</v>
      </c>
      <c r="G70" t="inlineStr">
        <is>
          <t>36.1萬</t>
        </is>
      </c>
      <c r="H70" t="n">
        <v>17</v>
      </c>
      <c r="I70" t="n">
        <v>15</v>
      </c>
      <c r="J70" t="inlineStr">
        <is>
          <t>--</t>
        </is>
      </c>
      <c r="K70" t="n">
        <v>21.23</v>
      </c>
      <c r="L70" t="n">
        <v>21.2</v>
      </c>
      <c r="M70" s="155" t="inlineStr">
        <is>
          <t>--</t>
        </is>
      </c>
      <c r="N70" t="inlineStr">
        <is>
          <t>--</t>
        </is>
      </c>
    </row>
    <row r="71">
      <c r="A71" t="inlineStr">
        <is>
          <t>00684R</t>
        </is>
      </c>
      <c r="B71" t="inlineStr">
        <is>
          <t>期元大美元指反1</t>
        </is>
      </c>
      <c r="C71" t="n">
        <v>15.21</v>
      </c>
      <c r="D71" t="n">
        <v>15.18</v>
      </c>
      <c r="E71" s="730" t="n">
        <v>-0.05</v>
      </c>
      <c r="F71" s="731" t="n">
        <v>-0.33</v>
      </c>
      <c r="G71" t="inlineStr">
        <is>
          <t>250萬</t>
        </is>
      </c>
      <c r="H71" t="n">
        <v>164</v>
      </c>
      <c r="I71" t="n">
        <v>9</v>
      </c>
      <c r="J71" t="inlineStr">
        <is>
          <t>--</t>
        </is>
      </c>
      <c r="K71" t="n">
        <v>15.29</v>
      </c>
      <c r="L71" t="n">
        <v>15.18</v>
      </c>
      <c r="M71" s="155" t="inlineStr">
        <is>
          <t>--</t>
        </is>
      </c>
      <c r="N71" t="inlineStr">
        <is>
          <t>--</t>
        </is>
      </c>
    </row>
    <row r="72">
      <c r="A72" t="inlineStr">
        <is>
          <t>00685L</t>
        </is>
      </c>
      <c r="B72" t="inlineStr">
        <is>
          <t>群益臺灣加權正2</t>
        </is>
      </c>
      <c r="C72" t="n">
        <v>303.2</v>
      </c>
      <c r="D72" t="n">
        <v>303.25</v>
      </c>
      <c r="E72" s="730" t="n">
        <v>1.6</v>
      </c>
      <c r="F72" s="731" t="n">
        <v>0.53</v>
      </c>
      <c r="G72" t="inlineStr">
        <is>
          <t>16.0億</t>
        </is>
      </c>
      <c r="H72" t="n">
        <v>5353</v>
      </c>
      <c r="I72" t="n">
        <v>5031</v>
      </c>
      <c r="J72" t="inlineStr">
        <is>
          <t>--</t>
        </is>
      </c>
      <c r="K72" t="n">
        <v>304.4</v>
      </c>
      <c r="L72" t="n">
        <v>293.7</v>
      </c>
      <c r="M72" s="155" t="inlineStr">
        <is>
          <t>--</t>
        </is>
      </c>
      <c r="N72" t="inlineStr">
        <is>
          <t>--</t>
        </is>
      </c>
    </row>
    <row r="73">
      <c r="A73" t="inlineStr">
        <is>
          <t>00686R</t>
        </is>
      </c>
      <c r="B73" t="inlineStr">
        <is>
          <t>群益臺灣加權反1</t>
        </is>
      </c>
      <c r="C73" t="n">
        <v>1.01</v>
      </c>
      <c r="D73" t="n">
        <v>1.01</v>
      </c>
      <c r="E73" s="730" t="n">
        <v>0</v>
      </c>
      <c r="F73" s="731" t="n">
        <v>0</v>
      </c>
      <c r="G73" t="inlineStr">
        <is>
          <t>1030萬</t>
        </is>
      </c>
      <c r="H73" t="n">
        <v>10157</v>
      </c>
      <c r="I73" t="n">
        <v>7639</v>
      </c>
      <c r="J73" t="inlineStr">
        <is>
          <t>--</t>
        </is>
      </c>
      <c r="K73" t="n">
        <v>1.03</v>
      </c>
      <c r="L73" t="n">
        <v>1</v>
      </c>
      <c r="M73" s="155" t="inlineStr">
        <is>
          <t>--</t>
        </is>
      </c>
      <c r="N73" t="inlineStr">
        <is>
          <t>--</t>
        </is>
      </c>
    </row>
    <row r="74">
      <c r="A74" t="inlineStr">
        <is>
          <t>00687B</t>
        </is>
      </c>
      <c r="B74" t="inlineStr">
        <is>
          <t>國泰20年美債</t>
        </is>
      </c>
      <c r="C74" t="n">
        <v>27.76</v>
      </c>
      <c r="D74" t="n">
        <v>27.95</v>
      </c>
      <c r="E74" s="730" t="n">
        <v>0.28</v>
      </c>
      <c r="F74" s="731" t="n">
        <v>1.01</v>
      </c>
      <c r="G74" t="inlineStr">
        <is>
          <t>9.27億</t>
        </is>
      </c>
      <c r="H74" t="n">
        <v>33287</v>
      </c>
      <c r="I74" t="n">
        <v>31649</v>
      </c>
      <c r="J74" t="inlineStr">
        <is>
          <t>--</t>
        </is>
      </c>
      <c r="K74" t="n">
        <v>27.97</v>
      </c>
      <c r="L74" t="n">
        <v>27.76</v>
      </c>
      <c r="M74" s="155" t="inlineStr">
        <is>
          <t>--</t>
        </is>
      </c>
      <c r="N74" t="inlineStr">
        <is>
          <t>--</t>
        </is>
      </c>
    </row>
    <row r="75">
      <c r="A75" t="inlineStr">
        <is>
          <t>00687C</t>
        </is>
      </c>
      <c r="B75" t="inlineStr">
        <is>
          <t>國泰20年美債+櫃U</t>
        </is>
      </c>
      <c r="C75" t="n">
        <v>9.369999999999999</v>
      </c>
      <c r="D75" t="n">
        <v>9.369999999999999</v>
      </c>
      <c r="E75" s="730" t="n">
        <v>0.05</v>
      </c>
      <c r="F75" s="731" t="n">
        <v>0.54</v>
      </c>
      <c r="G75" t="inlineStr">
        <is>
          <t>23.4萬</t>
        </is>
      </c>
      <c r="H75" t="n">
        <v>250</v>
      </c>
      <c r="I75" t="n">
        <v>254</v>
      </c>
      <c r="J75" t="inlineStr">
        <is>
          <t>--</t>
        </is>
      </c>
      <c r="K75" t="n">
        <v>9.369999999999999</v>
      </c>
      <c r="L75" t="n">
        <v>9.369999999999999</v>
      </c>
      <c r="M75" s="155" t="inlineStr">
        <is>
          <t>--</t>
        </is>
      </c>
      <c r="N75" t="inlineStr">
        <is>
          <t>--</t>
        </is>
      </c>
    </row>
    <row r="76">
      <c r="A76" t="inlineStr">
        <is>
          <t>00688L</t>
        </is>
      </c>
      <c r="B76" t="inlineStr">
        <is>
          <t>國泰20年美債正2</t>
        </is>
      </c>
      <c r="C76" t="n">
        <v>6.87</v>
      </c>
      <c r="D76" t="n">
        <v>6.93</v>
      </c>
      <c r="E76" s="730" t="n">
        <v>0.1</v>
      </c>
      <c r="F76" s="731" t="n">
        <v>1.46</v>
      </c>
      <c r="G76" t="inlineStr">
        <is>
          <t>5815萬</t>
        </is>
      </c>
      <c r="H76" t="n">
        <v>8424</v>
      </c>
      <c r="I76" t="n">
        <v>7459</v>
      </c>
      <c r="J76" t="inlineStr">
        <is>
          <t>--</t>
        </is>
      </c>
      <c r="K76" t="n">
        <v>6.94</v>
      </c>
      <c r="L76" t="n">
        <v>6.87</v>
      </c>
      <c r="M76" s="155" t="inlineStr">
        <is>
          <t>--</t>
        </is>
      </c>
      <c r="N76" t="inlineStr">
        <is>
          <t>--</t>
        </is>
      </c>
    </row>
    <row r="77">
      <c r="A77" t="inlineStr">
        <is>
          <t>00689R</t>
        </is>
      </c>
      <c r="B77" t="inlineStr">
        <is>
          <t>國泰20年美債反1</t>
        </is>
      </c>
      <c r="C77" t="n">
        <v>21.96</v>
      </c>
      <c r="D77" t="n">
        <v>21.89</v>
      </c>
      <c r="E77" s="730" t="n">
        <v>-0.13</v>
      </c>
      <c r="F77" s="731" t="n">
        <v>-0.59</v>
      </c>
      <c r="G77" t="inlineStr">
        <is>
          <t>383萬</t>
        </is>
      </c>
      <c r="H77" t="n">
        <v>175</v>
      </c>
      <c r="I77" t="n">
        <v>281</v>
      </c>
      <c r="J77" t="inlineStr">
        <is>
          <t>--</t>
        </is>
      </c>
      <c r="K77" t="n">
        <v>21.96</v>
      </c>
      <c r="L77" t="n">
        <v>21.89</v>
      </c>
      <c r="M77" s="155" t="inlineStr">
        <is>
          <t>--</t>
        </is>
      </c>
      <c r="N77" t="inlineStr">
        <is>
          <t>--</t>
        </is>
      </c>
    </row>
    <row r="78">
      <c r="A78" t="n">
        <v>690</v>
      </c>
      <c r="B78" t="inlineStr">
        <is>
          <t>兆豐藍籌30</t>
        </is>
      </c>
      <c r="C78" t="n">
        <v>81.25</v>
      </c>
      <c r="D78" t="n">
        <v>80.59999999999999</v>
      </c>
      <c r="E78" s="730" t="n">
        <v>-0.45</v>
      </c>
      <c r="F78" s="731" t="n">
        <v>-0.5600000000000001</v>
      </c>
      <c r="G78" t="inlineStr">
        <is>
          <t>6766萬</t>
        </is>
      </c>
      <c r="H78" t="n">
        <v>845</v>
      </c>
      <c r="I78" t="n">
        <v>811</v>
      </c>
      <c r="J78" t="inlineStr">
        <is>
          <t>--</t>
        </is>
      </c>
      <c r="K78" t="n">
        <v>81.90000000000001</v>
      </c>
      <c r="L78" t="n">
        <v>79</v>
      </c>
      <c r="M78" s="155" t="inlineStr">
        <is>
          <t>--</t>
        </is>
      </c>
      <c r="N78" t="inlineStr">
        <is>
          <t>--</t>
        </is>
      </c>
    </row>
    <row r="79">
      <c r="A79" t="n">
        <v>692</v>
      </c>
      <c r="B79" t="inlineStr">
        <is>
          <t>富邦公司治理</t>
        </is>
      </c>
      <c r="C79" t="n">
        <v>91.40000000000001</v>
      </c>
      <c r="D79" t="n">
        <v>91.45</v>
      </c>
      <c r="E79" s="730" t="n">
        <v>0.35</v>
      </c>
      <c r="F79" s="731" t="n">
        <v>0.38</v>
      </c>
      <c r="G79" t="inlineStr">
        <is>
          <t>2.00億</t>
        </is>
      </c>
      <c r="H79" t="n">
        <v>2193</v>
      </c>
      <c r="I79" t="n">
        <v>1641</v>
      </c>
      <c r="J79" t="inlineStr">
        <is>
          <t>--</t>
        </is>
      </c>
      <c r="K79" t="n">
        <v>91.84999999999999</v>
      </c>
      <c r="L79" t="n">
        <v>90.45</v>
      </c>
      <c r="M79" s="155" t="inlineStr">
        <is>
          <t>--</t>
        </is>
      </c>
      <c r="N79" t="inlineStr">
        <is>
          <t>--</t>
        </is>
      </c>
    </row>
    <row r="80">
      <c r="A80" t="inlineStr">
        <is>
          <t>00693U</t>
        </is>
      </c>
      <c r="B80" t="inlineStr">
        <is>
          <t>期街口S＆P黃豆</t>
        </is>
      </c>
      <c r="C80" t="n">
        <v>21.82</v>
      </c>
      <c r="D80" t="n">
        <v>21.82</v>
      </c>
      <c r="E80" s="730" t="n">
        <v>-0.18</v>
      </c>
      <c r="F80" s="731" t="n">
        <v>-0.82</v>
      </c>
      <c r="G80" t="inlineStr">
        <is>
          <t>2531萬</t>
        </is>
      </c>
      <c r="H80" t="n">
        <v>1164</v>
      </c>
      <c r="I80" t="n">
        <v>1020</v>
      </c>
      <c r="J80" t="inlineStr">
        <is>
          <t>--</t>
        </is>
      </c>
      <c r="K80" t="n">
        <v>21.86</v>
      </c>
      <c r="L80" t="n">
        <v>21.75</v>
      </c>
      <c r="M80" s="155" t="inlineStr">
        <is>
          <t>--</t>
        </is>
      </c>
      <c r="N80" t="inlineStr">
        <is>
          <t>--</t>
        </is>
      </c>
    </row>
    <row r="81">
      <c r="A81" t="inlineStr">
        <is>
          <t>00694B</t>
        </is>
      </c>
      <c r="B81" t="inlineStr">
        <is>
          <t>富邦美債1-3</t>
        </is>
      </c>
      <c r="C81" t="n">
        <v>41.33</v>
      </c>
      <c r="D81" t="n">
        <v>41.49</v>
      </c>
      <c r="E81" s="730" t="n">
        <v>0.16</v>
      </c>
      <c r="F81" s="731" t="n">
        <v>0.39</v>
      </c>
      <c r="G81" t="inlineStr">
        <is>
          <t>1132萬</t>
        </is>
      </c>
      <c r="H81" t="n">
        <v>273</v>
      </c>
      <c r="I81" t="n">
        <v>447</v>
      </c>
      <c r="J81" t="inlineStr">
        <is>
          <t>--</t>
        </is>
      </c>
      <c r="K81" t="n">
        <v>41.51</v>
      </c>
      <c r="L81" t="n">
        <v>41.33</v>
      </c>
      <c r="M81" s="155" t="inlineStr">
        <is>
          <t>--</t>
        </is>
      </c>
      <c r="N81" t="inlineStr">
        <is>
          <t>--</t>
        </is>
      </c>
    </row>
    <row r="82">
      <c r="A82" t="inlineStr">
        <is>
          <t>00695B</t>
        </is>
      </c>
      <c r="B82" t="inlineStr">
        <is>
          <t>富邦美債7-10</t>
        </is>
      </c>
      <c r="C82" t="n">
        <v>34.82</v>
      </c>
      <c r="D82" t="n">
        <v>35.07</v>
      </c>
      <c r="E82" s="730" t="n">
        <v>0.18</v>
      </c>
      <c r="F82" s="731" t="n">
        <v>0.52</v>
      </c>
      <c r="G82" t="inlineStr">
        <is>
          <t>654萬</t>
        </is>
      </c>
      <c r="H82" t="n">
        <v>187</v>
      </c>
      <c r="I82" t="n">
        <v>134</v>
      </c>
      <c r="J82" t="inlineStr">
        <is>
          <t>--</t>
        </is>
      </c>
      <c r="K82" t="n">
        <v>35.07</v>
      </c>
      <c r="L82" t="n">
        <v>34.82</v>
      </c>
      <c r="M82" s="155" t="inlineStr">
        <is>
          <t>--</t>
        </is>
      </c>
      <c r="N82" t="inlineStr">
        <is>
          <t>--</t>
        </is>
      </c>
    </row>
    <row r="83">
      <c r="A83" t="inlineStr">
        <is>
          <t>00696B</t>
        </is>
      </c>
      <c r="B83" t="inlineStr">
        <is>
          <t>富邦美債20年</t>
        </is>
      </c>
      <c r="C83" t="n">
        <v>28.79</v>
      </c>
      <c r="D83" t="n">
        <v>29.01</v>
      </c>
      <c r="E83" s="730" t="n">
        <v>0.27</v>
      </c>
      <c r="F83" s="731" t="n">
        <v>0.9399999999999999</v>
      </c>
      <c r="G83" t="inlineStr">
        <is>
          <t>5440萬</t>
        </is>
      </c>
      <c r="H83" t="n">
        <v>1882</v>
      </c>
      <c r="I83" t="n">
        <v>3043</v>
      </c>
      <c r="J83" t="inlineStr">
        <is>
          <t>--</t>
        </is>
      </c>
      <c r="K83" t="n">
        <v>29.02</v>
      </c>
      <c r="L83" t="n">
        <v>28.79</v>
      </c>
      <c r="M83" s="155" t="inlineStr">
        <is>
          <t>--</t>
        </is>
      </c>
      <c r="N83" t="inlineStr">
        <is>
          <t>--</t>
        </is>
      </c>
    </row>
    <row r="84">
      <c r="A84" t="inlineStr">
        <is>
          <t>00697B</t>
        </is>
      </c>
      <c r="B84" t="inlineStr">
        <is>
          <t>元大美債7-10</t>
        </is>
      </c>
      <c r="C84" t="n">
        <v>35.35</v>
      </c>
      <c r="D84" t="n">
        <v>35.53</v>
      </c>
      <c r="E84" s="730" t="n">
        <v>0.17</v>
      </c>
      <c r="F84" s="731" t="n">
        <v>0.48</v>
      </c>
      <c r="G84" t="inlineStr">
        <is>
          <t>1613萬</t>
        </is>
      </c>
      <c r="H84" t="n">
        <v>455</v>
      </c>
      <c r="I84" t="n">
        <v>425</v>
      </c>
      <c r="J84" t="inlineStr">
        <is>
          <t>--</t>
        </is>
      </c>
      <c r="K84" t="n">
        <v>35.54</v>
      </c>
      <c r="L84" t="n">
        <v>35.33</v>
      </c>
      <c r="M84" s="155" t="inlineStr">
        <is>
          <t>--</t>
        </is>
      </c>
      <c r="N84" t="inlineStr">
        <is>
          <t>--</t>
        </is>
      </c>
    </row>
    <row r="85">
      <c r="A85" t="n">
        <v>700</v>
      </c>
      <c r="B85" t="inlineStr">
        <is>
          <t>富邦恒生國企</t>
        </is>
      </c>
      <c r="C85" t="n">
        <v>16.9</v>
      </c>
      <c r="D85" t="n">
        <v>17.39</v>
      </c>
      <c r="E85" s="730" t="n">
        <v>0.51</v>
      </c>
      <c r="F85" s="731" t="n">
        <v>3.02</v>
      </c>
      <c r="G85" t="inlineStr">
        <is>
          <t>517萬</t>
        </is>
      </c>
      <c r="H85" t="n">
        <v>301</v>
      </c>
      <c r="I85" t="n">
        <v>496</v>
      </c>
      <c r="J85" t="inlineStr">
        <is>
          <t>--</t>
        </is>
      </c>
      <c r="K85" t="n">
        <v>17.39</v>
      </c>
      <c r="L85" t="n">
        <v>16.9</v>
      </c>
      <c r="M85" s="155" t="inlineStr">
        <is>
          <t>--</t>
        </is>
      </c>
      <c r="N85" t="inlineStr">
        <is>
          <t>--</t>
        </is>
      </c>
    </row>
    <row r="86">
      <c r="A86" t="n">
        <v>701</v>
      </c>
      <c r="B86" t="inlineStr">
        <is>
          <t>國泰股利精選30</t>
        </is>
      </c>
      <c r="C86" t="n">
        <v>34.68</v>
      </c>
      <c r="D86" t="n">
        <v>35.05</v>
      </c>
      <c r="E86" s="730" t="n">
        <v>0.33</v>
      </c>
      <c r="F86" s="731" t="n">
        <v>0.95</v>
      </c>
      <c r="G86" t="inlineStr">
        <is>
          <t>5898萬</t>
        </is>
      </c>
      <c r="H86" t="n">
        <v>1698</v>
      </c>
      <c r="I86" t="n">
        <v>1769</v>
      </c>
      <c r="J86" t="inlineStr">
        <is>
          <t>--</t>
        </is>
      </c>
      <c r="K86" t="n">
        <v>35.05</v>
      </c>
      <c r="L86" t="n">
        <v>34.5</v>
      </c>
      <c r="M86" s="155" t="inlineStr">
        <is>
          <t>--</t>
        </is>
      </c>
      <c r="N86" t="inlineStr">
        <is>
          <t>--</t>
        </is>
      </c>
    </row>
    <row r="87">
      <c r="A87" t="n">
        <v>702</v>
      </c>
      <c r="B87" t="inlineStr">
        <is>
          <t>國泰標普低波高息</t>
        </is>
      </c>
      <c r="C87" t="n">
        <v>23.65</v>
      </c>
      <c r="D87" t="n">
        <v>23.66</v>
      </c>
      <c r="E87" s="730" t="n">
        <v>-0.17</v>
      </c>
      <c r="F87" s="731" t="n">
        <v>-0.71</v>
      </c>
      <c r="G87" t="inlineStr">
        <is>
          <t>308萬</t>
        </is>
      </c>
      <c r="H87" t="n">
        <v>130</v>
      </c>
      <c r="I87" t="n">
        <v>80</v>
      </c>
      <c r="J87" t="inlineStr">
        <is>
          <t>--</t>
        </is>
      </c>
      <c r="K87" t="n">
        <v>23.68</v>
      </c>
      <c r="L87" t="n">
        <v>23.64</v>
      </c>
      <c r="M87" s="155" t="inlineStr">
        <is>
          <t>--</t>
        </is>
      </c>
      <c r="N87" t="inlineStr">
        <is>
          <t>--</t>
        </is>
      </c>
    </row>
    <row r="88">
      <c r="A88" t="n">
        <v>703</v>
      </c>
      <c r="B88" t="inlineStr">
        <is>
          <t>台新MSCI中國</t>
        </is>
      </c>
      <c r="C88" t="n">
        <v>19.13</v>
      </c>
      <c r="D88" t="n">
        <v>19.92</v>
      </c>
      <c r="E88" s="730" t="n">
        <v>0.46</v>
      </c>
      <c r="F88" s="731" t="n">
        <v>2.36</v>
      </c>
      <c r="G88" t="inlineStr">
        <is>
          <t>776萬</t>
        </is>
      </c>
      <c r="H88" t="n">
        <v>399</v>
      </c>
      <c r="I88" t="n">
        <v>42</v>
      </c>
      <c r="J88" t="inlineStr">
        <is>
          <t>--</t>
        </is>
      </c>
      <c r="K88" t="n">
        <v>19.92</v>
      </c>
      <c r="L88" t="n">
        <v>19.13</v>
      </c>
      <c r="M88" s="155" t="inlineStr">
        <is>
          <t>--</t>
        </is>
      </c>
      <c r="N88" t="inlineStr">
        <is>
          <t>--</t>
        </is>
      </c>
    </row>
    <row r="89">
      <c r="A89" t="inlineStr">
        <is>
          <t>00706L</t>
        </is>
      </c>
      <c r="B89" t="inlineStr">
        <is>
          <t>期元大S＆P日圓正2</t>
        </is>
      </c>
      <c r="C89" t="n">
        <v>19.13</v>
      </c>
      <c r="D89" t="n">
        <v>19.12</v>
      </c>
      <c r="E89" s="730" t="n">
        <v>-0.05</v>
      </c>
      <c r="F89" s="731" t="n">
        <v>-0.26</v>
      </c>
      <c r="G89" t="inlineStr">
        <is>
          <t>2945萬</t>
        </is>
      </c>
      <c r="H89" t="n">
        <v>1541</v>
      </c>
      <c r="I89" t="n">
        <v>895</v>
      </c>
      <c r="J89" t="inlineStr">
        <is>
          <t>--</t>
        </is>
      </c>
      <c r="K89" t="n">
        <v>19.13</v>
      </c>
      <c r="L89" t="n">
        <v>19.1</v>
      </c>
      <c r="M89" s="155" t="inlineStr">
        <is>
          <t>--</t>
        </is>
      </c>
      <c r="N89" t="inlineStr">
        <is>
          <t>--</t>
        </is>
      </c>
    </row>
    <row r="90">
      <c r="A90" t="inlineStr">
        <is>
          <t>00707R</t>
        </is>
      </c>
      <c r="B90" t="inlineStr">
        <is>
          <t>期元大S＆P日圓反1</t>
        </is>
      </c>
      <c r="C90" t="inlineStr">
        <is>
          <t>--</t>
        </is>
      </c>
      <c r="D90" t="inlineStr">
        <is>
          <t>--</t>
        </is>
      </c>
      <c r="E90" s="730" t="inlineStr">
        <is>
          <t>--</t>
        </is>
      </c>
      <c r="F90" s="731" t="inlineStr">
        <is>
          <t>--</t>
        </is>
      </c>
      <c r="G90" t="inlineStr">
        <is>
          <t>--</t>
        </is>
      </c>
      <c r="H90" t="n">
        <v>0</v>
      </c>
      <c r="I90" t="n">
        <v>0</v>
      </c>
      <c r="J90" t="inlineStr">
        <is>
          <t>--</t>
        </is>
      </c>
      <c r="K90" t="inlineStr">
        <is>
          <t>--</t>
        </is>
      </c>
      <c r="L90" t="inlineStr">
        <is>
          <t>--</t>
        </is>
      </c>
      <c r="M90" s="155" t="inlineStr">
        <is>
          <t>--</t>
        </is>
      </c>
      <c r="N90" t="inlineStr">
        <is>
          <t>--</t>
        </is>
      </c>
    </row>
    <row r="91">
      <c r="A91" t="inlineStr">
        <is>
          <t>00708L</t>
        </is>
      </c>
      <c r="B91" t="inlineStr">
        <is>
          <t>期元大S＆P黃金正2</t>
        </is>
      </c>
      <c r="C91" t="n">
        <v>87.90000000000001</v>
      </c>
      <c r="D91" t="n">
        <v>89.5</v>
      </c>
      <c r="E91" s="730" t="n">
        <v>-0.05</v>
      </c>
      <c r="F91" s="731" t="n">
        <v>-0.06</v>
      </c>
      <c r="G91" t="inlineStr">
        <is>
          <t>2.00億</t>
        </is>
      </c>
      <c r="H91" t="n">
        <v>2263</v>
      </c>
      <c r="I91" t="n">
        <v>3521</v>
      </c>
      <c r="J91" t="inlineStr">
        <is>
          <t>--</t>
        </is>
      </c>
      <c r="K91" t="n">
        <v>89.5</v>
      </c>
      <c r="L91" t="n">
        <v>87.15000000000001</v>
      </c>
      <c r="M91" s="155" t="inlineStr">
        <is>
          <t>--</t>
        </is>
      </c>
      <c r="N91" t="inlineStr">
        <is>
          <t>--</t>
        </is>
      </c>
    </row>
    <row r="92">
      <c r="A92" t="n">
        <v>709</v>
      </c>
      <c r="B92" t="inlineStr">
        <is>
          <t>富邦歐洲</t>
        </is>
      </c>
      <c r="C92" t="n">
        <v>38.5</v>
      </c>
      <c r="D92" t="n">
        <v>38.51</v>
      </c>
      <c r="E92" s="730" t="n">
        <v>-0.14</v>
      </c>
      <c r="F92" s="731" t="n">
        <v>-0.36</v>
      </c>
      <c r="G92" t="inlineStr">
        <is>
          <t>265萬</t>
        </is>
      </c>
      <c r="H92" t="n">
        <v>69</v>
      </c>
      <c r="I92" t="n">
        <v>74</v>
      </c>
      <c r="J92" t="inlineStr">
        <is>
          <t>--</t>
        </is>
      </c>
      <c r="K92" t="n">
        <v>38.53</v>
      </c>
      <c r="L92" t="n">
        <v>38.38</v>
      </c>
      <c r="M92" s="155" t="inlineStr">
        <is>
          <t>--</t>
        </is>
      </c>
      <c r="N92" t="inlineStr">
        <is>
          <t>--</t>
        </is>
      </c>
    </row>
    <row r="93">
      <c r="A93" t="inlineStr">
        <is>
          <t>00710B</t>
        </is>
      </c>
      <c r="B93" t="inlineStr">
        <is>
          <t>復華彭博非投等債</t>
        </is>
      </c>
      <c r="C93" t="n">
        <v>18.87</v>
      </c>
      <c r="D93" t="n">
        <v>18.89</v>
      </c>
      <c r="E93" s="730" t="n">
        <v>0</v>
      </c>
      <c r="F93" s="731" t="n">
        <v>0</v>
      </c>
      <c r="G93" t="inlineStr">
        <is>
          <t>1144萬</t>
        </is>
      </c>
      <c r="H93" t="n">
        <v>605</v>
      </c>
      <c r="I93" t="n">
        <v>265</v>
      </c>
      <c r="J93" t="inlineStr">
        <is>
          <t>--</t>
        </is>
      </c>
      <c r="K93" t="n">
        <v>18.93</v>
      </c>
      <c r="L93" t="n">
        <v>18.87</v>
      </c>
      <c r="M93" s="155" t="inlineStr">
        <is>
          <t>--</t>
        </is>
      </c>
      <c r="N93" t="inlineStr">
        <is>
          <t>--</t>
        </is>
      </c>
    </row>
    <row r="94">
      <c r="A94" t="inlineStr">
        <is>
          <t>00711B</t>
        </is>
      </c>
      <c r="B94" t="inlineStr">
        <is>
          <t>復華彭博新興債</t>
        </is>
      </c>
      <c r="C94" t="n">
        <v>16.06</v>
      </c>
      <c r="D94" t="n">
        <v>16.13</v>
      </c>
      <c r="E94" s="730" t="n">
        <v>0.08</v>
      </c>
      <c r="F94" s="731" t="n">
        <v>0.5</v>
      </c>
      <c r="G94" t="inlineStr">
        <is>
          <t>189萬</t>
        </is>
      </c>
      <c r="H94" t="n">
        <v>117</v>
      </c>
      <c r="I94" t="n">
        <v>136</v>
      </c>
      <c r="J94" t="inlineStr">
        <is>
          <t>--</t>
        </is>
      </c>
      <c r="K94" t="n">
        <v>16.13</v>
      </c>
      <c r="L94" t="n">
        <v>16.06</v>
      </c>
      <c r="M94" s="155" t="inlineStr">
        <is>
          <t>--</t>
        </is>
      </c>
      <c r="N94" t="inlineStr">
        <is>
          <t>--</t>
        </is>
      </c>
    </row>
    <row r="95">
      <c r="A95" t="n">
        <v>712</v>
      </c>
      <c r="B95" t="inlineStr">
        <is>
          <t>復華富時不動產</t>
        </is>
      </c>
      <c r="C95" t="n">
        <v>8.73</v>
      </c>
      <c r="D95" t="n">
        <v>8.76</v>
      </c>
      <c r="E95" s="730" t="n">
        <v>-0.04</v>
      </c>
      <c r="F95" s="731" t="n">
        <v>-0.45</v>
      </c>
      <c r="G95" t="inlineStr">
        <is>
          <t>4.31億</t>
        </is>
      </c>
      <c r="H95" t="n">
        <v>49249</v>
      </c>
      <c r="I95" t="n">
        <v>21419</v>
      </c>
      <c r="J95" t="inlineStr">
        <is>
          <t>--</t>
        </is>
      </c>
      <c r="K95" t="n">
        <v>8.77</v>
      </c>
      <c r="L95" t="n">
        <v>8.699999999999999</v>
      </c>
      <c r="M95" s="155" t="inlineStr">
        <is>
          <t>--</t>
        </is>
      </c>
      <c r="N95" t="inlineStr">
        <is>
          <t>--</t>
        </is>
      </c>
    </row>
    <row r="96">
      <c r="A96" t="n">
        <v>713</v>
      </c>
      <c r="B96" t="inlineStr">
        <is>
          <t>元大台灣高息低波</t>
        </is>
      </c>
      <c r="C96" t="n">
        <v>58.2</v>
      </c>
      <c r="D96" t="n">
        <v>58.9</v>
      </c>
      <c r="E96" s="730" t="n">
        <v>0.95</v>
      </c>
      <c r="F96" s="731" t="n">
        <v>1.64</v>
      </c>
      <c r="G96" t="inlineStr">
        <is>
          <t>11.3億</t>
        </is>
      </c>
      <c r="H96" t="n">
        <v>19432</v>
      </c>
      <c r="I96" t="n">
        <v>17346</v>
      </c>
      <c r="J96" t="inlineStr">
        <is>
          <t>--</t>
        </is>
      </c>
      <c r="K96" t="n">
        <v>58.9</v>
      </c>
      <c r="L96" t="n">
        <v>57.65</v>
      </c>
      <c r="M96" s="155" t="inlineStr">
        <is>
          <t>--</t>
        </is>
      </c>
      <c r="N96" t="inlineStr">
        <is>
          <t>--</t>
        </is>
      </c>
    </row>
    <row r="97">
      <c r="A97" t="n">
        <v>714</v>
      </c>
      <c r="B97" t="inlineStr">
        <is>
          <t>群益道瓊美國地產</t>
        </is>
      </c>
      <c r="C97" t="n">
        <v>21.01</v>
      </c>
      <c r="D97" t="n">
        <v>21.11</v>
      </c>
      <c r="E97" s="730" t="n">
        <v>-0.19</v>
      </c>
      <c r="F97" s="731" t="n">
        <v>-0.89</v>
      </c>
      <c r="G97" t="inlineStr">
        <is>
          <t>913萬</t>
        </is>
      </c>
      <c r="H97" t="n">
        <v>433</v>
      </c>
      <c r="I97" t="n">
        <v>154</v>
      </c>
      <c r="J97" t="inlineStr">
        <is>
          <t>--</t>
        </is>
      </c>
      <c r="K97" t="n">
        <v>21.13</v>
      </c>
      <c r="L97" t="n">
        <v>21.01</v>
      </c>
      <c r="M97" s="155" t="inlineStr">
        <is>
          <t>--</t>
        </is>
      </c>
      <c r="N97" t="inlineStr">
        <is>
          <t>--</t>
        </is>
      </c>
    </row>
    <row r="98">
      <c r="A98" t="inlineStr">
        <is>
          <t>00715L</t>
        </is>
      </c>
      <c r="B98" t="inlineStr">
        <is>
          <t>期街口布蘭特正2</t>
        </is>
      </c>
      <c r="C98" t="n">
        <v>54.9</v>
      </c>
      <c r="D98" t="n">
        <v>53.7</v>
      </c>
      <c r="E98" s="730" t="n">
        <v>1.15</v>
      </c>
      <c r="F98" s="731" t="n">
        <v>2.19</v>
      </c>
      <c r="G98" t="inlineStr">
        <is>
          <t>5.47億</t>
        </is>
      </c>
      <c r="H98" t="n">
        <v>10169</v>
      </c>
      <c r="I98" t="n">
        <v>13564</v>
      </c>
      <c r="J98" t="inlineStr">
        <is>
          <t>--</t>
        </is>
      </c>
      <c r="K98" t="n">
        <v>54.95</v>
      </c>
      <c r="L98" t="n">
        <v>53.6</v>
      </c>
      <c r="M98" s="155" t="inlineStr">
        <is>
          <t>--</t>
        </is>
      </c>
      <c r="N98" t="inlineStr">
        <is>
          <t>--</t>
        </is>
      </c>
    </row>
    <row r="99">
      <c r="A99" t="n">
        <v>717</v>
      </c>
      <c r="B99" t="inlineStr">
        <is>
          <t>富邦美國特別股</t>
        </is>
      </c>
      <c r="C99" t="n">
        <v>15.09</v>
      </c>
      <c r="D99" t="n">
        <v>15.21</v>
      </c>
      <c r="E99" s="730" t="n">
        <v>0.13</v>
      </c>
      <c r="F99" s="731" t="n">
        <v>0.86</v>
      </c>
      <c r="G99" t="inlineStr">
        <is>
          <t>509萬</t>
        </is>
      </c>
      <c r="H99" t="n">
        <v>336</v>
      </c>
      <c r="I99" t="n">
        <v>304</v>
      </c>
      <c r="J99" t="inlineStr">
        <is>
          <t>--</t>
        </is>
      </c>
      <c r="K99" t="n">
        <v>15.21</v>
      </c>
      <c r="L99" t="n">
        <v>15.09</v>
      </c>
      <c r="M99" s="155" t="inlineStr">
        <is>
          <t>--</t>
        </is>
      </c>
      <c r="N99" t="inlineStr">
        <is>
          <t>--</t>
        </is>
      </c>
    </row>
    <row r="100">
      <c r="A100" t="inlineStr">
        <is>
          <t>00719B</t>
        </is>
      </c>
      <c r="B100" t="inlineStr">
        <is>
          <t>元大美債1-3</t>
        </is>
      </c>
      <c r="C100" t="n">
        <v>30.72</v>
      </c>
      <c r="D100" t="n">
        <v>30.84</v>
      </c>
      <c r="E100" s="730" t="n">
        <v>0.12</v>
      </c>
      <c r="F100" s="731" t="n">
        <v>0.39</v>
      </c>
      <c r="G100" t="inlineStr">
        <is>
          <t>6972萬</t>
        </is>
      </c>
      <c r="H100" t="n">
        <v>2270</v>
      </c>
      <c r="I100" t="n">
        <v>2582</v>
      </c>
      <c r="J100" t="inlineStr">
        <is>
          <t>--</t>
        </is>
      </c>
      <c r="K100" t="n">
        <v>30.85</v>
      </c>
      <c r="L100" t="n">
        <v>30.72</v>
      </c>
      <c r="M100" s="155" t="inlineStr">
        <is>
          <t>--</t>
        </is>
      </c>
      <c r="N100" t="inlineStr">
        <is>
          <t>--</t>
        </is>
      </c>
    </row>
    <row r="101">
      <c r="A101" t="inlineStr">
        <is>
          <t>00720B</t>
        </is>
      </c>
      <c r="B101" t="inlineStr">
        <is>
          <t>元大投資級公司債</t>
        </is>
      </c>
      <c r="C101" t="n">
        <v>33.04</v>
      </c>
      <c r="D101" t="n">
        <v>33.23</v>
      </c>
      <c r="E101" s="730" t="n">
        <v>0.27</v>
      </c>
      <c r="F101" s="731" t="n">
        <v>0.82</v>
      </c>
      <c r="G101" t="inlineStr">
        <is>
          <t>6.13億</t>
        </is>
      </c>
      <c r="H101" t="n">
        <v>18486</v>
      </c>
      <c r="I101" t="n">
        <v>8242</v>
      </c>
      <c r="J101" t="inlineStr">
        <is>
          <t>--</t>
        </is>
      </c>
      <c r="K101" t="n">
        <v>33.26</v>
      </c>
      <c r="L101" t="n">
        <v>33</v>
      </c>
      <c r="M101" s="155" t="inlineStr">
        <is>
          <t>--</t>
        </is>
      </c>
      <c r="N101" t="inlineStr">
        <is>
          <t>--</t>
        </is>
      </c>
    </row>
    <row r="102">
      <c r="A102" t="inlineStr">
        <is>
          <t>00722B</t>
        </is>
      </c>
      <c r="B102" t="inlineStr">
        <is>
          <t>群益投資級電信債</t>
        </is>
      </c>
      <c r="C102" t="n">
        <v>36.04</v>
      </c>
      <c r="D102" t="n">
        <v>36.28</v>
      </c>
      <c r="E102" s="730" t="n">
        <v>0.29</v>
      </c>
      <c r="F102" s="731" t="n">
        <v>0.8100000000000001</v>
      </c>
      <c r="G102" t="inlineStr">
        <is>
          <t>1.06億</t>
        </is>
      </c>
      <c r="H102" t="n">
        <v>2919</v>
      </c>
      <c r="I102" t="n">
        <v>3675</v>
      </c>
      <c r="J102" t="inlineStr">
        <is>
          <t>--</t>
        </is>
      </c>
      <c r="K102" t="n">
        <v>36.32</v>
      </c>
      <c r="L102" t="n">
        <v>36.04</v>
      </c>
      <c r="M102" s="155" t="inlineStr">
        <is>
          <t>--</t>
        </is>
      </c>
      <c r="N102" t="inlineStr">
        <is>
          <t>--</t>
        </is>
      </c>
    </row>
    <row r="103">
      <c r="A103" t="inlineStr">
        <is>
          <t>00723B</t>
        </is>
      </c>
      <c r="B103" t="inlineStr">
        <is>
          <t>群益投資級科技債</t>
        </is>
      </c>
      <c r="C103" t="n">
        <v>30.98</v>
      </c>
      <c r="D103" t="n">
        <v>31.15</v>
      </c>
      <c r="E103" s="730" t="n">
        <v>0.25</v>
      </c>
      <c r="F103" s="731" t="n">
        <v>0.8100000000000001</v>
      </c>
      <c r="G103" t="inlineStr">
        <is>
          <t>414萬</t>
        </is>
      </c>
      <c r="H103" t="n">
        <v>133</v>
      </c>
      <c r="I103" t="n">
        <v>165</v>
      </c>
      <c r="J103" t="inlineStr">
        <is>
          <t>--</t>
        </is>
      </c>
      <c r="K103" t="n">
        <v>31.15</v>
      </c>
      <c r="L103" t="n">
        <v>30.98</v>
      </c>
      <c r="M103" s="155" t="inlineStr">
        <is>
          <t>--</t>
        </is>
      </c>
      <c r="N103" t="inlineStr">
        <is>
          <t>--</t>
        </is>
      </c>
    </row>
    <row r="104">
      <c r="A104" t="inlineStr">
        <is>
          <t>00724B</t>
        </is>
      </c>
      <c r="B104" t="inlineStr">
        <is>
          <t>群益投資級金融債</t>
        </is>
      </c>
      <c r="C104" t="n">
        <v>33.61</v>
      </c>
      <c r="D104" t="n">
        <v>33.83</v>
      </c>
      <c r="E104" s="730" t="n">
        <v>0.24</v>
      </c>
      <c r="F104" s="731" t="n">
        <v>0.71</v>
      </c>
      <c r="G104" t="inlineStr">
        <is>
          <t>1.96億</t>
        </is>
      </c>
      <c r="H104" t="n">
        <v>5805</v>
      </c>
      <c r="I104" t="n">
        <v>4050</v>
      </c>
      <c r="J104" t="inlineStr">
        <is>
          <t>--</t>
        </is>
      </c>
      <c r="K104" t="n">
        <v>33.84</v>
      </c>
      <c r="L104" t="n">
        <v>33.61</v>
      </c>
      <c r="M104" s="155" t="inlineStr">
        <is>
          <t>--</t>
        </is>
      </c>
      <c r="N104" t="inlineStr">
        <is>
          <t>--</t>
        </is>
      </c>
    </row>
    <row r="105">
      <c r="A105" t="inlineStr">
        <is>
          <t>00725B</t>
        </is>
      </c>
      <c r="B105" t="inlineStr">
        <is>
          <t>國泰投資級公司債</t>
        </is>
      </c>
      <c r="C105" t="n">
        <v>35.16</v>
      </c>
      <c r="D105" t="n">
        <v>35.37</v>
      </c>
      <c r="E105" s="730" t="n">
        <v>0.28</v>
      </c>
      <c r="F105" s="731" t="n">
        <v>0.8</v>
      </c>
      <c r="G105" t="inlineStr">
        <is>
          <t>3.25億</t>
        </is>
      </c>
      <c r="H105" t="n">
        <v>9207</v>
      </c>
      <c r="I105" t="n">
        <v>6920</v>
      </c>
      <c r="J105" t="inlineStr">
        <is>
          <t>--</t>
        </is>
      </c>
      <c r="K105" t="n">
        <v>35.38</v>
      </c>
      <c r="L105" t="n">
        <v>35.14</v>
      </c>
      <c r="M105" s="155" t="inlineStr">
        <is>
          <t>--</t>
        </is>
      </c>
      <c r="N105" t="inlineStr">
        <is>
          <t>--</t>
        </is>
      </c>
    </row>
    <row r="106">
      <c r="A106" t="inlineStr">
        <is>
          <t>00726B</t>
        </is>
      </c>
      <c r="B106" t="inlineStr">
        <is>
          <t>國泰新興投等債</t>
        </is>
      </c>
      <c r="C106" t="n">
        <v>32.7</v>
      </c>
      <c r="D106" t="n">
        <v>32.83</v>
      </c>
      <c r="E106" s="730" t="n">
        <v>0.13</v>
      </c>
      <c r="F106" s="731" t="n">
        <v>0.4</v>
      </c>
      <c r="G106" t="inlineStr">
        <is>
          <t>433萬</t>
        </is>
      </c>
      <c r="H106" t="n">
        <v>132</v>
      </c>
      <c r="I106" t="n">
        <v>199</v>
      </c>
      <c r="J106" t="inlineStr">
        <is>
          <t>--</t>
        </is>
      </c>
      <c r="K106" t="n">
        <v>32.83</v>
      </c>
      <c r="L106" t="n">
        <v>32.66</v>
      </c>
      <c r="M106" s="155" t="inlineStr">
        <is>
          <t>--</t>
        </is>
      </c>
      <c r="N106" t="inlineStr">
        <is>
          <t>--</t>
        </is>
      </c>
    </row>
    <row r="107">
      <c r="A107" t="inlineStr">
        <is>
          <t>00727B</t>
        </is>
      </c>
      <c r="B107" t="inlineStr">
        <is>
          <t>國泰優選非投等債</t>
        </is>
      </c>
      <c r="C107" t="n">
        <v>39.2</v>
      </c>
      <c r="D107" t="n">
        <v>39.39</v>
      </c>
      <c r="E107" s="730" t="n">
        <v>0.19</v>
      </c>
      <c r="F107" s="731" t="n">
        <v>0.48</v>
      </c>
      <c r="G107" t="inlineStr">
        <is>
          <t>578萬</t>
        </is>
      </c>
      <c r="H107" t="n">
        <v>147</v>
      </c>
      <c r="I107" t="n">
        <v>146</v>
      </c>
      <c r="J107" t="inlineStr">
        <is>
          <t>--</t>
        </is>
      </c>
      <c r="K107" t="n">
        <v>39.39</v>
      </c>
      <c r="L107" t="n">
        <v>39.2</v>
      </c>
      <c r="M107" s="155" t="inlineStr">
        <is>
          <t>--</t>
        </is>
      </c>
      <c r="N107" t="inlineStr">
        <is>
          <t>--</t>
        </is>
      </c>
    </row>
    <row r="108">
      <c r="A108" t="n">
        <v>728</v>
      </c>
      <c r="B108" t="inlineStr">
        <is>
          <t>第一金工業30</t>
        </is>
      </c>
      <c r="C108" t="n">
        <v>64.75</v>
      </c>
      <c r="D108" t="n">
        <v>63.55</v>
      </c>
      <c r="E108" s="730" t="n">
        <v>-0.85</v>
      </c>
      <c r="F108" s="731" t="n">
        <v>-1.32</v>
      </c>
      <c r="G108" t="inlineStr">
        <is>
          <t>1121萬</t>
        </is>
      </c>
      <c r="H108" t="n">
        <v>177</v>
      </c>
      <c r="I108" t="n">
        <v>233</v>
      </c>
      <c r="J108" t="inlineStr">
        <is>
          <t>--</t>
        </is>
      </c>
      <c r="K108" t="n">
        <v>64.75</v>
      </c>
      <c r="L108" t="n">
        <v>62.4</v>
      </c>
      <c r="M108" s="155" t="inlineStr">
        <is>
          <t>--</t>
        </is>
      </c>
      <c r="N108" t="inlineStr">
        <is>
          <t>--</t>
        </is>
      </c>
    </row>
    <row r="109">
      <c r="A109" t="n">
        <v>730</v>
      </c>
      <c r="B109" t="inlineStr">
        <is>
          <t>富邦臺灣優質高息</t>
        </is>
      </c>
      <c r="C109" t="n">
        <v>28.8</v>
      </c>
      <c r="D109" t="n">
        <v>29.3</v>
      </c>
      <c r="E109" s="730" t="n">
        <v>0.52</v>
      </c>
      <c r="F109" s="731" t="n">
        <v>1.81</v>
      </c>
      <c r="G109" t="inlineStr">
        <is>
          <t>1567萬</t>
        </is>
      </c>
      <c r="H109" t="n">
        <v>538</v>
      </c>
      <c r="I109" t="n">
        <v>419</v>
      </c>
      <c r="J109" t="inlineStr">
        <is>
          <t>--</t>
        </is>
      </c>
      <c r="K109" t="n">
        <v>29.42</v>
      </c>
      <c r="L109" t="n">
        <v>28.8</v>
      </c>
      <c r="M109" s="155" t="inlineStr">
        <is>
          <t>--</t>
        </is>
      </c>
      <c r="N109" t="inlineStr">
        <is>
          <t>--</t>
        </is>
      </c>
    </row>
    <row r="110">
      <c r="A110" t="n">
        <v>731</v>
      </c>
      <c r="B110" t="inlineStr">
        <is>
          <t>復華富時高息低波</t>
        </is>
      </c>
      <c r="C110" t="n">
        <v>79.95</v>
      </c>
      <c r="D110" t="n">
        <v>81.5</v>
      </c>
      <c r="E110" s="730" t="n">
        <v>1.65</v>
      </c>
      <c r="F110" s="731" t="n">
        <v>2.07</v>
      </c>
      <c r="G110" t="inlineStr">
        <is>
          <t>7581萬</t>
        </is>
      </c>
      <c r="H110" t="n">
        <v>939</v>
      </c>
      <c r="I110" t="n">
        <v>807</v>
      </c>
      <c r="J110" t="inlineStr">
        <is>
          <t>--</t>
        </is>
      </c>
      <c r="K110" t="n">
        <v>81.5</v>
      </c>
      <c r="L110" t="n">
        <v>79.7</v>
      </c>
      <c r="M110" s="155" t="inlineStr">
        <is>
          <t>--</t>
        </is>
      </c>
      <c r="N110" t="inlineStr">
        <is>
          <t>--</t>
        </is>
      </c>
    </row>
    <row r="111">
      <c r="A111" t="n">
        <v>733</v>
      </c>
      <c r="B111" t="inlineStr">
        <is>
          <t>富邦臺灣中小</t>
        </is>
      </c>
      <c r="C111" t="n">
        <v>76.8</v>
      </c>
      <c r="D111" t="n">
        <v>75.09999999999999</v>
      </c>
      <c r="E111" s="730" t="n">
        <v>-1.85</v>
      </c>
      <c r="F111" s="731" t="n">
        <v>-2.4</v>
      </c>
      <c r="G111" t="inlineStr">
        <is>
          <t>1.08億</t>
        </is>
      </c>
      <c r="H111" t="n">
        <v>1446</v>
      </c>
      <c r="I111" t="n">
        <v>1011</v>
      </c>
      <c r="J111" t="inlineStr">
        <is>
          <t>--</t>
        </is>
      </c>
      <c r="K111" t="n">
        <v>76.8</v>
      </c>
      <c r="L111" t="n">
        <v>73.45</v>
      </c>
      <c r="M111" s="155" t="inlineStr">
        <is>
          <t>--</t>
        </is>
      </c>
      <c r="N111" t="inlineStr">
        <is>
          <t>--</t>
        </is>
      </c>
    </row>
    <row r="112">
      <c r="A112" t="inlineStr">
        <is>
          <t>00734B</t>
        </is>
      </c>
      <c r="B112" t="inlineStr">
        <is>
          <t>台新JPM新興債</t>
        </is>
      </c>
      <c r="C112" t="n">
        <v>15.72</v>
      </c>
      <c r="D112" t="n">
        <v>15.75</v>
      </c>
      <c r="E112" s="730" t="n">
        <v>0.06</v>
      </c>
      <c r="F112" s="731" t="n">
        <v>0.38</v>
      </c>
      <c r="G112" t="inlineStr">
        <is>
          <t>347萬</t>
        </is>
      </c>
      <c r="H112" t="n">
        <v>220</v>
      </c>
      <c r="I112" t="n">
        <v>300</v>
      </c>
      <c r="J112" t="inlineStr">
        <is>
          <t>--</t>
        </is>
      </c>
      <c r="K112" t="n">
        <v>15.76</v>
      </c>
      <c r="L112" t="n">
        <v>15.72</v>
      </c>
      <c r="M112" s="155" t="inlineStr">
        <is>
          <t>--</t>
        </is>
      </c>
      <c r="N112" t="inlineStr">
        <is>
          <t>--</t>
        </is>
      </c>
    </row>
    <row r="113">
      <c r="A113" t="n">
        <v>735</v>
      </c>
      <c r="B113" t="inlineStr">
        <is>
          <t>國泰臺韓科技</t>
        </is>
      </c>
      <c r="C113" t="n">
        <v>116.95</v>
      </c>
      <c r="D113" t="n">
        <v>116.45</v>
      </c>
      <c r="E113" s="730" t="n">
        <v>0.1</v>
      </c>
      <c r="F113" s="731" t="n">
        <v>0.09</v>
      </c>
      <c r="G113" t="inlineStr">
        <is>
          <t>5.70億</t>
        </is>
      </c>
      <c r="H113" t="n">
        <v>4926</v>
      </c>
      <c r="I113" t="n">
        <v>4686</v>
      </c>
      <c r="J113" t="inlineStr">
        <is>
          <t>--</t>
        </is>
      </c>
      <c r="K113" t="n">
        <v>117</v>
      </c>
      <c r="L113" t="n">
        <v>114.1</v>
      </c>
      <c r="M113" s="155" t="inlineStr">
        <is>
          <t>--</t>
        </is>
      </c>
      <c r="N113" t="inlineStr">
        <is>
          <t>--</t>
        </is>
      </c>
    </row>
    <row r="114">
      <c r="A114" t="n">
        <v>736</v>
      </c>
      <c r="B114" t="inlineStr">
        <is>
          <t>國泰新興市場</t>
        </is>
      </c>
      <c r="C114" t="n">
        <v>30.9</v>
      </c>
      <c r="D114" t="n">
        <v>30.91</v>
      </c>
      <c r="E114" s="730" t="n">
        <v>-0.04</v>
      </c>
      <c r="F114" s="731" t="n">
        <v>-0.13</v>
      </c>
      <c r="G114" t="inlineStr">
        <is>
          <t>328萬</t>
        </is>
      </c>
      <c r="H114" t="n">
        <v>106</v>
      </c>
      <c r="I114" t="n">
        <v>136</v>
      </c>
      <c r="J114" t="inlineStr">
        <is>
          <t>--</t>
        </is>
      </c>
      <c r="K114" t="n">
        <v>30.91</v>
      </c>
      <c r="L114" t="n">
        <v>30.85</v>
      </c>
      <c r="M114" s="155" t="inlineStr">
        <is>
          <t>--</t>
        </is>
      </c>
      <c r="N114" t="inlineStr">
        <is>
          <t>--</t>
        </is>
      </c>
    </row>
    <row r="115">
      <c r="A115" t="n">
        <v>737</v>
      </c>
      <c r="B115" t="inlineStr">
        <is>
          <t>國泰AI機器人</t>
        </is>
      </c>
      <c r="C115" t="n">
        <v>40.7</v>
      </c>
      <c r="D115" t="n">
        <v>41.15</v>
      </c>
      <c r="E115" s="730" t="n">
        <v>0.74</v>
      </c>
      <c r="F115" s="731" t="n">
        <v>1.83</v>
      </c>
      <c r="G115" t="inlineStr">
        <is>
          <t>1262萬</t>
        </is>
      </c>
      <c r="H115" t="n">
        <v>310</v>
      </c>
      <c r="I115" t="n">
        <v>250</v>
      </c>
      <c r="J115" t="inlineStr">
        <is>
          <t>--</t>
        </is>
      </c>
      <c r="K115" t="n">
        <v>41.15</v>
      </c>
      <c r="L115" t="n">
        <v>40.61</v>
      </c>
      <c r="M115" s="155" t="inlineStr">
        <is>
          <t>--</t>
        </is>
      </c>
      <c r="N115" t="inlineStr">
        <is>
          <t>--</t>
        </is>
      </c>
    </row>
    <row r="116">
      <c r="A116" t="inlineStr">
        <is>
          <t>00738U</t>
        </is>
      </c>
      <c r="B116" t="inlineStr">
        <is>
          <t>期元大道瓊白銀</t>
        </is>
      </c>
      <c r="C116" t="n">
        <v>60.5</v>
      </c>
      <c r="D116" t="n">
        <v>61.2</v>
      </c>
      <c r="E116" s="730" t="n">
        <v>0.1</v>
      </c>
      <c r="F116" s="731" t="n">
        <v>0.16</v>
      </c>
      <c r="G116" t="inlineStr">
        <is>
          <t>2.69億</t>
        </is>
      </c>
      <c r="H116" t="n">
        <v>4424</v>
      </c>
      <c r="I116" t="n">
        <v>7879</v>
      </c>
      <c r="J116" t="inlineStr">
        <is>
          <t>--</t>
        </is>
      </c>
      <c r="K116" t="n">
        <v>61.2</v>
      </c>
      <c r="L116" t="n">
        <v>60.05</v>
      </c>
      <c r="M116" s="155" t="inlineStr">
        <is>
          <t>--</t>
        </is>
      </c>
      <c r="N116" t="inlineStr">
        <is>
          <t>--</t>
        </is>
      </c>
    </row>
    <row r="117">
      <c r="A117" t="n">
        <v>739</v>
      </c>
      <c r="B117" t="inlineStr">
        <is>
          <t>元大MSCI A股</t>
        </is>
      </c>
      <c r="C117" t="n">
        <v>28.5</v>
      </c>
      <c r="D117" t="n">
        <v>29.1</v>
      </c>
      <c r="E117" s="730" t="n">
        <v>0.38</v>
      </c>
      <c r="F117" s="731" t="n">
        <v>1.32</v>
      </c>
      <c r="G117" t="inlineStr">
        <is>
          <t>196萬</t>
        </is>
      </c>
      <c r="H117" t="n">
        <v>68</v>
      </c>
      <c r="I117" t="n">
        <v>91</v>
      </c>
      <c r="J117" t="inlineStr">
        <is>
          <t>--</t>
        </is>
      </c>
      <c r="K117" t="n">
        <v>29.1</v>
      </c>
      <c r="L117" t="n">
        <v>28.48</v>
      </c>
      <c r="M117" s="155" t="inlineStr">
        <is>
          <t>--</t>
        </is>
      </c>
      <c r="N117" t="inlineStr">
        <is>
          <t>--</t>
        </is>
      </c>
    </row>
    <row r="118">
      <c r="A118" t="inlineStr">
        <is>
          <t>00740B</t>
        </is>
      </c>
      <c r="B118" t="inlineStr">
        <is>
          <t>富邦全球投等債</t>
        </is>
      </c>
      <c r="C118" t="n">
        <v>38.65</v>
      </c>
      <c r="D118" t="n">
        <v>38.9</v>
      </c>
      <c r="E118" s="730" t="n">
        <v>0.31</v>
      </c>
      <c r="F118" s="731" t="n">
        <v>0.8</v>
      </c>
      <c r="G118" t="inlineStr">
        <is>
          <t>1.06億</t>
        </is>
      </c>
      <c r="H118" t="n">
        <v>2722</v>
      </c>
      <c r="I118" t="n">
        <v>2476</v>
      </c>
      <c r="J118" t="inlineStr">
        <is>
          <t>--</t>
        </is>
      </c>
      <c r="K118" t="n">
        <v>38.9</v>
      </c>
      <c r="L118" t="n">
        <v>38.65</v>
      </c>
      <c r="M118" s="155" t="inlineStr">
        <is>
          <t>--</t>
        </is>
      </c>
      <c r="N118" t="inlineStr">
        <is>
          <t>--</t>
        </is>
      </c>
    </row>
    <row r="119">
      <c r="A119" t="inlineStr">
        <is>
          <t>00741B</t>
        </is>
      </c>
      <c r="B119" t="inlineStr">
        <is>
          <t>富邦全球非投等債</t>
        </is>
      </c>
      <c r="C119" t="n">
        <v>36.91</v>
      </c>
      <c r="D119" t="n">
        <v>37.04</v>
      </c>
      <c r="E119" s="730" t="n">
        <v>0.08</v>
      </c>
      <c r="F119" s="731" t="n">
        <v>0.22</v>
      </c>
      <c r="G119" t="inlineStr">
        <is>
          <t>562萬</t>
        </is>
      </c>
      <c r="H119" t="n">
        <v>152</v>
      </c>
      <c r="I119" t="n">
        <v>127</v>
      </c>
      <c r="J119" t="inlineStr">
        <is>
          <t>--</t>
        </is>
      </c>
      <c r="K119" t="n">
        <v>37.07</v>
      </c>
      <c r="L119" t="n">
        <v>36.91</v>
      </c>
      <c r="M119" s="155" t="inlineStr">
        <is>
          <t>--</t>
        </is>
      </c>
      <c r="N119" t="inlineStr">
        <is>
          <t>--</t>
        </is>
      </c>
    </row>
    <row r="120">
      <c r="A120" t="inlineStr">
        <is>
          <t>00746B</t>
        </is>
      </c>
      <c r="B120" t="inlineStr">
        <is>
          <t>富邦A級公司債</t>
        </is>
      </c>
      <c r="C120" t="n">
        <v>35.55</v>
      </c>
      <c r="D120" t="n">
        <v>35.64</v>
      </c>
      <c r="E120" s="730" t="n">
        <v>0.24</v>
      </c>
      <c r="F120" s="731" t="n">
        <v>0.68</v>
      </c>
      <c r="G120" t="inlineStr">
        <is>
          <t>1501萬</t>
        </is>
      </c>
      <c r="H120" t="n">
        <v>422</v>
      </c>
      <c r="I120" t="n">
        <v>467</v>
      </c>
      <c r="J120" t="inlineStr">
        <is>
          <t>--</t>
        </is>
      </c>
      <c r="K120" t="n">
        <v>35.65</v>
      </c>
      <c r="L120" t="n">
        <v>35.49</v>
      </c>
      <c r="M120" s="155" t="inlineStr">
        <is>
          <t>--</t>
        </is>
      </c>
      <c r="N120" t="inlineStr">
        <is>
          <t>--</t>
        </is>
      </c>
    </row>
    <row r="121">
      <c r="A121" t="inlineStr">
        <is>
          <t>00749B</t>
        </is>
      </c>
      <c r="B121" t="inlineStr">
        <is>
          <t>凱基新興債10+</t>
        </is>
      </c>
      <c r="C121" t="n">
        <v>31.59</v>
      </c>
      <c r="D121" t="n">
        <v>31.67</v>
      </c>
      <c r="E121" s="730" t="n">
        <v>0.07000000000000001</v>
      </c>
      <c r="F121" s="731" t="n">
        <v>0.22</v>
      </c>
      <c r="G121" t="inlineStr">
        <is>
          <t>323萬</t>
        </is>
      </c>
      <c r="H121" t="n">
        <v>102</v>
      </c>
      <c r="I121" t="n">
        <v>106</v>
      </c>
      <c r="J121" t="inlineStr">
        <is>
          <t>--</t>
        </is>
      </c>
      <c r="K121" t="n">
        <v>31.67</v>
      </c>
      <c r="L121" t="n">
        <v>31.59</v>
      </c>
      <c r="M121" s="155" t="inlineStr">
        <is>
          <t>--</t>
        </is>
      </c>
      <c r="N121" t="inlineStr">
        <is>
          <t>--</t>
        </is>
      </c>
    </row>
    <row r="122">
      <c r="A122" t="inlineStr">
        <is>
          <t>00750B</t>
        </is>
      </c>
      <c r="B122" t="inlineStr">
        <is>
          <t>凱基科技債10+</t>
        </is>
      </c>
      <c r="C122" t="n">
        <v>33.4</v>
      </c>
      <c r="D122" t="n">
        <v>33.4</v>
      </c>
      <c r="E122" s="730" t="n">
        <v>0.26</v>
      </c>
      <c r="F122" s="731" t="n">
        <v>0.78</v>
      </c>
      <c r="G122" t="inlineStr">
        <is>
          <t>334萬</t>
        </is>
      </c>
      <c r="H122" t="n">
        <v>100</v>
      </c>
      <c r="I122" t="n">
        <v>106</v>
      </c>
      <c r="J122" t="inlineStr">
        <is>
          <t>--</t>
        </is>
      </c>
      <c r="K122" t="n">
        <v>33.4</v>
      </c>
      <c r="L122" t="n">
        <v>33.4</v>
      </c>
      <c r="M122" s="155" t="inlineStr">
        <is>
          <t>--</t>
        </is>
      </c>
      <c r="N122" t="inlineStr">
        <is>
          <t>--</t>
        </is>
      </c>
    </row>
    <row r="123">
      <c r="A123" t="inlineStr">
        <is>
          <t>00751B</t>
        </is>
      </c>
      <c r="B123" t="inlineStr">
        <is>
          <t>元大AAA至A公司債</t>
        </is>
      </c>
      <c r="C123" t="n">
        <v>31.78</v>
      </c>
      <c r="D123" t="n">
        <v>31.98</v>
      </c>
      <c r="E123" s="730" t="n">
        <v>0.29</v>
      </c>
      <c r="F123" s="731" t="n">
        <v>0.92</v>
      </c>
      <c r="G123" t="inlineStr">
        <is>
          <t>3.38億</t>
        </is>
      </c>
      <c r="H123" t="n">
        <v>10617</v>
      </c>
      <c r="I123" t="n">
        <v>9103</v>
      </c>
      <c r="J123" t="inlineStr">
        <is>
          <t>--</t>
        </is>
      </c>
      <c r="K123" t="n">
        <v>31.99</v>
      </c>
      <c r="L123" t="n">
        <v>31.76</v>
      </c>
      <c r="M123" s="155" t="inlineStr">
        <is>
          <t>--</t>
        </is>
      </c>
      <c r="N123" t="inlineStr">
        <is>
          <t>--</t>
        </is>
      </c>
    </row>
    <row r="124">
      <c r="A124" t="n">
        <v>752</v>
      </c>
      <c r="B124" t="inlineStr">
        <is>
          <t>中信中國50</t>
        </is>
      </c>
      <c r="C124" t="n">
        <v>22.82</v>
      </c>
      <c r="D124" t="n">
        <v>23.71</v>
      </c>
      <c r="E124" s="730" t="n">
        <v>0.89</v>
      </c>
      <c r="F124" s="731" t="n">
        <v>3.9</v>
      </c>
      <c r="G124" t="inlineStr">
        <is>
          <t>9443萬</t>
        </is>
      </c>
      <c r="H124" t="n">
        <v>4030</v>
      </c>
      <c r="I124" t="n">
        <v>3358</v>
      </c>
      <c r="J124" t="inlineStr">
        <is>
          <t>--</t>
        </is>
      </c>
      <c r="K124" t="n">
        <v>23.72</v>
      </c>
      <c r="L124" t="n">
        <v>22.78</v>
      </c>
      <c r="M124" s="155" t="inlineStr">
        <is>
          <t>--</t>
        </is>
      </c>
      <c r="N124" t="inlineStr">
        <is>
          <t>--</t>
        </is>
      </c>
    </row>
    <row r="125">
      <c r="A125" t="inlineStr">
        <is>
          <t>00753L</t>
        </is>
      </c>
      <c r="B125" t="inlineStr">
        <is>
          <t>中信中國50正2</t>
        </is>
      </c>
      <c r="C125" t="n">
        <v>9.68</v>
      </c>
      <c r="D125" t="n">
        <v>10.28</v>
      </c>
      <c r="E125" s="730" t="n">
        <v>0.59</v>
      </c>
      <c r="F125" s="731" t="n">
        <v>6.09</v>
      </c>
      <c r="G125" t="inlineStr">
        <is>
          <t>3.19億</t>
        </is>
      </c>
      <c r="H125" t="n">
        <v>31656</v>
      </c>
      <c r="I125" t="n">
        <v>18837</v>
      </c>
      <c r="J125" t="inlineStr">
        <is>
          <t>--</t>
        </is>
      </c>
      <c r="K125" t="n">
        <v>10.28</v>
      </c>
      <c r="L125" t="n">
        <v>9.630000000000001</v>
      </c>
      <c r="M125" s="155" t="inlineStr">
        <is>
          <t>--</t>
        </is>
      </c>
      <c r="N125" t="inlineStr">
        <is>
          <t>--</t>
        </is>
      </c>
    </row>
    <row r="126">
      <c r="A126" t="inlineStr">
        <is>
          <t>00754B</t>
        </is>
      </c>
      <c r="B126" t="inlineStr">
        <is>
          <t>群益AAA-AA公司債</t>
        </is>
      </c>
      <c r="C126" t="n">
        <v>33.37</v>
      </c>
      <c r="D126" t="n">
        <v>33.66</v>
      </c>
      <c r="E126" s="730" t="n">
        <v>0.28</v>
      </c>
      <c r="F126" s="731" t="n">
        <v>0.84</v>
      </c>
      <c r="G126" t="inlineStr">
        <is>
          <t>390萬</t>
        </is>
      </c>
      <c r="H126" t="n">
        <v>116</v>
      </c>
      <c r="I126" t="n">
        <v>106</v>
      </c>
      <c r="J126" t="inlineStr">
        <is>
          <t>--</t>
        </is>
      </c>
      <c r="K126" t="n">
        <v>33.66</v>
      </c>
      <c r="L126" t="n">
        <v>33.37</v>
      </c>
      <c r="M126" s="155" t="inlineStr">
        <is>
          <t>--</t>
        </is>
      </c>
      <c r="N126" t="inlineStr">
        <is>
          <t>--</t>
        </is>
      </c>
    </row>
    <row r="127">
      <c r="A127" t="inlineStr">
        <is>
          <t>00755B</t>
        </is>
      </c>
      <c r="B127" t="inlineStr">
        <is>
          <t>群益投資級公用債</t>
        </is>
      </c>
      <c r="C127" t="n">
        <v>32.68</v>
      </c>
      <c r="D127" t="n">
        <v>32.83</v>
      </c>
      <c r="E127" s="730" t="n">
        <v>0.26</v>
      </c>
      <c r="F127" s="731" t="n">
        <v>0.8</v>
      </c>
      <c r="G127" t="inlineStr">
        <is>
          <t>499萬</t>
        </is>
      </c>
      <c r="H127" t="n">
        <v>152</v>
      </c>
      <c r="I127" t="n">
        <v>131</v>
      </c>
      <c r="J127" t="inlineStr">
        <is>
          <t>--</t>
        </is>
      </c>
      <c r="K127" t="n">
        <v>32.84</v>
      </c>
      <c r="L127" t="n">
        <v>32.68</v>
      </c>
      <c r="M127" s="155" t="inlineStr">
        <is>
          <t>--</t>
        </is>
      </c>
      <c r="N127" t="inlineStr">
        <is>
          <t>--</t>
        </is>
      </c>
    </row>
    <row r="128">
      <c r="A128" t="inlineStr">
        <is>
          <t>00756B</t>
        </is>
      </c>
      <c r="B128" t="inlineStr">
        <is>
          <t>群益投等新興公債</t>
        </is>
      </c>
      <c r="C128" t="n">
        <v>31.21</v>
      </c>
      <c r="D128" t="n">
        <v>31.43</v>
      </c>
      <c r="E128" s="730" t="n">
        <v>0.29</v>
      </c>
      <c r="F128" s="731" t="n">
        <v>0.93</v>
      </c>
      <c r="G128" t="inlineStr">
        <is>
          <t>768萬</t>
        </is>
      </c>
      <c r="H128" t="n">
        <v>245</v>
      </c>
      <c r="I128" t="n">
        <v>224</v>
      </c>
      <c r="J128" t="inlineStr">
        <is>
          <t>--</t>
        </is>
      </c>
      <c r="K128" t="n">
        <v>31.43</v>
      </c>
      <c r="L128" t="n">
        <v>31.21</v>
      </c>
      <c r="M128" s="155" t="inlineStr">
        <is>
          <t>--</t>
        </is>
      </c>
      <c r="N128" t="inlineStr">
        <is>
          <t>--</t>
        </is>
      </c>
    </row>
    <row r="129">
      <c r="A129" t="n">
        <v>757</v>
      </c>
      <c r="B129" t="inlineStr">
        <is>
          <t>統一FANG+</t>
        </is>
      </c>
      <c r="C129" t="n">
        <v>137.5</v>
      </c>
      <c r="D129" t="n">
        <v>138.05</v>
      </c>
      <c r="E129" s="730" t="n">
        <v>0.15</v>
      </c>
      <c r="F129" s="731" t="n">
        <v>0.11</v>
      </c>
      <c r="G129" t="inlineStr">
        <is>
          <t>2.64億</t>
        </is>
      </c>
      <c r="H129" t="n">
        <v>1923</v>
      </c>
      <c r="I129" t="n">
        <v>2588</v>
      </c>
      <c r="J129" t="inlineStr">
        <is>
          <t>--</t>
        </is>
      </c>
      <c r="K129" t="n">
        <v>138.1</v>
      </c>
      <c r="L129" t="n">
        <v>136.75</v>
      </c>
      <c r="M129" s="155" t="inlineStr">
        <is>
          <t>--</t>
        </is>
      </c>
      <c r="N129" t="inlineStr">
        <is>
          <t>--</t>
        </is>
      </c>
    </row>
    <row r="130">
      <c r="A130" t="inlineStr">
        <is>
          <t>00758B</t>
        </is>
      </c>
      <c r="B130" t="inlineStr">
        <is>
          <t>復華能源債</t>
        </is>
      </c>
      <c r="C130" t="n">
        <v>51.65</v>
      </c>
      <c r="D130" t="n">
        <v>51.65</v>
      </c>
      <c r="E130" s="730" t="n">
        <v>0.35</v>
      </c>
      <c r="F130" s="731" t="n">
        <v>0.68</v>
      </c>
      <c r="G130" t="inlineStr">
        <is>
          <t>522萬</t>
        </is>
      </c>
      <c r="H130" t="n">
        <v>101</v>
      </c>
      <c r="I130" t="n">
        <v>101</v>
      </c>
      <c r="J130" t="inlineStr">
        <is>
          <t>--</t>
        </is>
      </c>
      <c r="K130" t="n">
        <v>51.65</v>
      </c>
      <c r="L130" t="n">
        <v>51.65</v>
      </c>
      <c r="M130" s="155" t="inlineStr">
        <is>
          <t>--</t>
        </is>
      </c>
      <c r="N130" t="inlineStr">
        <is>
          <t>--</t>
        </is>
      </c>
    </row>
    <row r="131">
      <c r="A131" t="inlineStr">
        <is>
          <t>00759B</t>
        </is>
      </c>
      <c r="B131" t="inlineStr">
        <is>
          <t>復華製藥債</t>
        </is>
      </c>
      <c r="C131" t="n">
        <v>54.5</v>
      </c>
      <c r="D131" t="n">
        <v>54.5</v>
      </c>
      <c r="E131" s="730" t="n">
        <v>0.3</v>
      </c>
      <c r="F131" s="731" t="n">
        <v>0.55</v>
      </c>
      <c r="G131" t="inlineStr">
        <is>
          <t>545萬</t>
        </is>
      </c>
      <c r="H131" t="n">
        <v>100</v>
      </c>
      <c r="I131" t="n">
        <v>102</v>
      </c>
      <c r="J131" t="inlineStr">
        <is>
          <t>--</t>
        </is>
      </c>
      <c r="K131" t="n">
        <v>54.5</v>
      </c>
      <c r="L131" t="n">
        <v>54.5</v>
      </c>
      <c r="M131" s="155" t="inlineStr">
        <is>
          <t>--</t>
        </is>
      </c>
      <c r="N131" t="inlineStr">
        <is>
          <t>--</t>
        </is>
      </c>
    </row>
    <row r="132">
      <c r="A132" t="inlineStr">
        <is>
          <t>00760B</t>
        </is>
      </c>
      <c r="B132" t="inlineStr">
        <is>
          <t>復華新興企業債</t>
        </is>
      </c>
      <c r="C132" t="n">
        <v>53.3</v>
      </c>
      <c r="D132" t="n">
        <v>53.5</v>
      </c>
      <c r="E132" s="730" t="n">
        <v>0.15</v>
      </c>
      <c r="F132" s="731" t="n">
        <v>0.28</v>
      </c>
      <c r="G132" t="inlineStr">
        <is>
          <t>717萬</t>
        </is>
      </c>
      <c r="H132" t="n">
        <v>134</v>
      </c>
      <c r="I132" t="n">
        <v>127</v>
      </c>
      <c r="J132" t="inlineStr">
        <is>
          <t>--</t>
        </is>
      </c>
      <c r="K132" t="n">
        <v>53.55</v>
      </c>
      <c r="L132" t="n">
        <v>53.3</v>
      </c>
      <c r="M132" s="155" t="inlineStr">
        <is>
          <t>--</t>
        </is>
      </c>
      <c r="N132" t="inlineStr">
        <is>
          <t>--</t>
        </is>
      </c>
    </row>
    <row r="133">
      <c r="A133" t="inlineStr">
        <is>
          <t>00761B</t>
        </is>
      </c>
      <c r="B133" t="inlineStr">
        <is>
          <t>國泰A級公司債</t>
        </is>
      </c>
      <c r="C133" t="n">
        <v>34.4</v>
      </c>
      <c r="D133" t="n">
        <v>34.6</v>
      </c>
      <c r="E133" s="730" t="n">
        <v>0.29</v>
      </c>
      <c r="F133" s="731" t="n">
        <v>0.85</v>
      </c>
      <c r="G133" t="inlineStr">
        <is>
          <t>3329萬</t>
        </is>
      </c>
      <c r="H133" t="n">
        <v>966</v>
      </c>
      <c r="I133" t="n">
        <v>581</v>
      </c>
      <c r="J133" t="inlineStr">
        <is>
          <t>--</t>
        </is>
      </c>
      <c r="K133" t="n">
        <v>34.6</v>
      </c>
      <c r="L133" t="n">
        <v>34.38</v>
      </c>
      <c r="M133" s="155" t="inlineStr">
        <is>
          <t>--</t>
        </is>
      </c>
      <c r="N133" t="inlineStr">
        <is>
          <t>--</t>
        </is>
      </c>
    </row>
    <row r="134">
      <c r="A134" t="n">
        <v>762</v>
      </c>
      <c r="B134" t="inlineStr">
        <is>
          <t>元大全球AI</t>
        </is>
      </c>
      <c r="C134" t="n">
        <v>119.3</v>
      </c>
      <c r="D134" t="n">
        <v>120.45</v>
      </c>
      <c r="E134" s="730" t="n">
        <v>1.15</v>
      </c>
      <c r="F134" s="731" t="n">
        <v>0.96</v>
      </c>
      <c r="G134" t="inlineStr">
        <is>
          <t>1063萬</t>
        </is>
      </c>
      <c r="H134" t="n">
        <v>91</v>
      </c>
      <c r="I134" t="n">
        <v>323</v>
      </c>
      <c r="J134" t="inlineStr">
        <is>
          <t>--</t>
        </is>
      </c>
      <c r="K134" t="n">
        <v>120.45</v>
      </c>
      <c r="L134" t="n">
        <v>119</v>
      </c>
      <c r="M134" s="155" t="inlineStr">
        <is>
          <t>--</t>
        </is>
      </c>
      <c r="N134" t="inlineStr">
        <is>
          <t>--</t>
        </is>
      </c>
    </row>
    <row r="135">
      <c r="A135" t="inlineStr">
        <is>
          <t>00763U</t>
        </is>
      </c>
      <c r="B135" t="inlineStr">
        <is>
          <t>期街口道瓊銅</t>
        </is>
      </c>
      <c r="C135" t="n">
        <v>35</v>
      </c>
      <c r="D135" t="n">
        <v>35.27</v>
      </c>
      <c r="E135" s="730" t="n">
        <v>0.73</v>
      </c>
      <c r="F135" s="731" t="n">
        <v>2.11</v>
      </c>
      <c r="G135" t="inlineStr">
        <is>
          <t>3670萬</t>
        </is>
      </c>
      <c r="H135" t="n">
        <v>1045</v>
      </c>
      <c r="I135" t="n">
        <v>1079</v>
      </c>
      <c r="J135" t="inlineStr">
        <is>
          <t>--</t>
        </is>
      </c>
      <c r="K135" t="n">
        <v>35.31</v>
      </c>
      <c r="L135" t="n">
        <v>34.94</v>
      </c>
      <c r="M135" s="155" t="inlineStr">
        <is>
          <t>--</t>
        </is>
      </c>
      <c r="N135" t="inlineStr">
        <is>
          <t>--</t>
        </is>
      </c>
    </row>
    <row r="136">
      <c r="A136" t="inlineStr">
        <is>
          <t>00764B</t>
        </is>
      </c>
      <c r="B136" t="inlineStr">
        <is>
          <t>群益25年美債</t>
        </is>
      </c>
      <c r="C136" t="n">
        <v>27.7</v>
      </c>
      <c r="D136" t="n">
        <v>27.91</v>
      </c>
      <c r="E136" s="730" t="n">
        <v>0.27</v>
      </c>
      <c r="F136" s="731" t="n">
        <v>0.98</v>
      </c>
      <c r="G136" t="inlineStr">
        <is>
          <t>1.19億</t>
        </is>
      </c>
      <c r="H136" t="n">
        <v>4269</v>
      </c>
      <c r="I136" t="n">
        <v>7116</v>
      </c>
      <c r="J136" t="inlineStr">
        <is>
          <t>--</t>
        </is>
      </c>
      <c r="K136" t="n">
        <v>27.92</v>
      </c>
      <c r="L136" t="n">
        <v>27.7</v>
      </c>
      <c r="M136" s="155" t="inlineStr">
        <is>
          <t>--</t>
        </is>
      </c>
      <c r="N136" t="inlineStr">
        <is>
          <t>--</t>
        </is>
      </c>
    </row>
    <row r="137">
      <c r="A137" t="inlineStr">
        <is>
          <t>00768B</t>
        </is>
      </c>
      <c r="B137" t="inlineStr">
        <is>
          <t>復華20年美債</t>
        </is>
      </c>
      <c r="C137" t="n">
        <v>49.5</v>
      </c>
      <c r="D137" t="n">
        <v>49.95</v>
      </c>
      <c r="E137" s="730" t="n">
        <v>0.45</v>
      </c>
      <c r="F137" s="731" t="n">
        <v>0.91</v>
      </c>
      <c r="G137" t="inlineStr">
        <is>
          <t>836萬</t>
        </is>
      </c>
      <c r="H137" t="n">
        <v>168</v>
      </c>
      <c r="I137" t="n">
        <v>674</v>
      </c>
      <c r="J137" t="inlineStr">
        <is>
          <t>--</t>
        </is>
      </c>
      <c r="K137" t="n">
        <v>49.95</v>
      </c>
      <c r="L137" t="n">
        <v>49.5</v>
      </c>
      <c r="M137" s="155" t="inlineStr">
        <is>
          <t>--</t>
        </is>
      </c>
      <c r="N137" t="inlineStr">
        <is>
          <t>--</t>
        </is>
      </c>
    </row>
    <row r="138">
      <c r="A138" t="n">
        <v>770</v>
      </c>
      <c r="B138" t="inlineStr">
        <is>
          <t>國泰北美科技</t>
        </is>
      </c>
      <c r="C138" t="n">
        <v>69.75</v>
      </c>
      <c r="D138" t="n">
        <v>70.75</v>
      </c>
      <c r="E138" s="730" t="n">
        <v>1.2</v>
      </c>
      <c r="F138" s="731" t="n">
        <v>1.73</v>
      </c>
      <c r="G138" t="inlineStr">
        <is>
          <t>2985萬</t>
        </is>
      </c>
      <c r="H138" t="n">
        <v>425</v>
      </c>
      <c r="I138" t="n">
        <v>370</v>
      </c>
      <c r="J138" t="inlineStr">
        <is>
          <t>--</t>
        </is>
      </c>
      <c r="K138" t="n">
        <v>70.75</v>
      </c>
      <c r="L138" t="n">
        <v>69.75</v>
      </c>
      <c r="M138" s="155" t="inlineStr">
        <is>
          <t>--</t>
        </is>
      </c>
      <c r="N138" t="inlineStr">
        <is>
          <t>--</t>
        </is>
      </c>
    </row>
    <row r="139">
      <c r="A139" t="n">
        <v>771</v>
      </c>
      <c r="B139" t="inlineStr">
        <is>
          <t>元大US高息特別股</t>
        </is>
      </c>
      <c r="C139" t="n">
        <v>15.78</v>
      </c>
      <c r="D139" t="n">
        <v>15.83</v>
      </c>
      <c r="E139" s="730" t="n">
        <v>0.05</v>
      </c>
      <c r="F139" s="731" t="n">
        <v>0.32</v>
      </c>
      <c r="G139" t="inlineStr">
        <is>
          <t>60.1萬</t>
        </is>
      </c>
      <c r="H139" t="n">
        <v>38</v>
      </c>
      <c r="I139" t="n">
        <v>62</v>
      </c>
      <c r="J139" t="inlineStr">
        <is>
          <t>--</t>
        </is>
      </c>
      <c r="K139" t="n">
        <v>15.83</v>
      </c>
      <c r="L139" t="n">
        <v>15.78</v>
      </c>
      <c r="M139" s="155" t="inlineStr">
        <is>
          <t>--</t>
        </is>
      </c>
      <c r="N139" t="inlineStr">
        <is>
          <t>--</t>
        </is>
      </c>
    </row>
    <row r="140">
      <c r="A140" t="inlineStr">
        <is>
          <t>00772B</t>
        </is>
      </c>
      <c r="B140" t="inlineStr">
        <is>
          <t>中信高評級公司債</t>
        </is>
      </c>
      <c r="C140" t="n">
        <v>33.62</v>
      </c>
      <c r="D140" t="n">
        <v>33.84</v>
      </c>
      <c r="E140" s="730" t="n">
        <v>0.27</v>
      </c>
      <c r="F140" s="731" t="n">
        <v>0.8</v>
      </c>
      <c r="G140" t="inlineStr">
        <is>
          <t>1.80億</t>
        </is>
      </c>
      <c r="H140" t="n">
        <v>5344</v>
      </c>
      <c r="I140" t="n">
        <v>4405</v>
      </c>
      <c r="J140" t="inlineStr">
        <is>
          <t>--</t>
        </is>
      </c>
      <c r="K140" t="n">
        <v>33.85</v>
      </c>
      <c r="L140" t="n">
        <v>33.62</v>
      </c>
      <c r="M140" s="155" t="inlineStr">
        <is>
          <t>--</t>
        </is>
      </c>
      <c r="N140" t="inlineStr">
        <is>
          <t>--</t>
        </is>
      </c>
    </row>
    <row r="141">
      <c r="A141" t="inlineStr">
        <is>
          <t>00773B</t>
        </is>
      </c>
      <c r="B141" t="inlineStr">
        <is>
          <t>中信優先金融債</t>
        </is>
      </c>
      <c r="C141" t="n">
        <v>35.72</v>
      </c>
      <c r="D141" t="n">
        <v>35.95</v>
      </c>
      <c r="E141" s="730" t="n">
        <v>0.23</v>
      </c>
      <c r="F141" s="731" t="n">
        <v>0.64</v>
      </c>
      <c r="G141" t="inlineStr">
        <is>
          <t>8073萬</t>
        </is>
      </c>
      <c r="H141" t="n">
        <v>2252</v>
      </c>
      <c r="I141" t="n">
        <v>1708</v>
      </c>
      <c r="J141" t="inlineStr">
        <is>
          <t>--</t>
        </is>
      </c>
      <c r="K141" t="n">
        <v>35.97</v>
      </c>
      <c r="L141" t="n">
        <v>35.72</v>
      </c>
      <c r="M141" s="155" t="inlineStr">
        <is>
          <t>--</t>
        </is>
      </c>
      <c r="N141" t="inlineStr">
        <is>
          <t>--</t>
        </is>
      </c>
    </row>
    <row r="142">
      <c r="A142" t="inlineStr">
        <is>
          <t>00775B</t>
        </is>
      </c>
      <c r="B142" t="inlineStr">
        <is>
          <t>新光投等債15+</t>
        </is>
      </c>
      <c r="C142" t="n">
        <v>32.29</v>
      </c>
      <c r="D142" t="n">
        <v>32.25</v>
      </c>
      <c r="E142" s="730" t="n">
        <v>0.25</v>
      </c>
      <c r="F142" s="731" t="n">
        <v>0.78</v>
      </c>
      <c r="G142" t="inlineStr">
        <is>
          <t>519萬</t>
        </is>
      </c>
      <c r="H142" t="n">
        <v>161</v>
      </c>
      <c r="I142" t="n">
        <v>82</v>
      </c>
      <c r="J142" t="inlineStr">
        <is>
          <t>--</t>
        </is>
      </c>
      <c r="K142" t="n">
        <v>32.29</v>
      </c>
      <c r="L142" t="n">
        <v>32.25</v>
      </c>
      <c r="M142" s="155" t="inlineStr">
        <is>
          <t>--</t>
        </is>
      </c>
      <c r="N142" t="inlineStr">
        <is>
          <t>--</t>
        </is>
      </c>
    </row>
    <row r="143">
      <c r="A143" t="inlineStr">
        <is>
          <t>00777B</t>
        </is>
      </c>
      <c r="B143" t="inlineStr">
        <is>
          <t>凱基AAA至A公司債</t>
        </is>
      </c>
      <c r="C143" t="n">
        <v>32.56</v>
      </c>
      <c r="D143" t="n">
        <v>32.83</v>
      </c>
      <c r="E143" s="730" t="n">
        <v>0.27</v>
      </c>
      <c r="F143" s="731" t="n">
        <v>0.83</v>
      </c>
      <c r="G143" t="inlineStr">
        <is>
          <t>410萬</t>
        </is>
      </c>
      <c r="H143" t="n">
        <v>125</v>
      </c>
      <c r="I143" t="n">
        <v>104</v>
      </c>
      <c r="J143" t="inlineStr">
        <is>
          <t>--</t>
        </is>
      </c>
      <c r="K143" t="n">
        <v>32.83</v>
      </c>
      <c r="L143" t="n">
        <v>32.56</v>
      </c>
      <c r="M143" s="155" t="inlineStr">
        <is>
          <t>--</t>
        </is>
      </c>
      <c r="N143" t="inlineStr">
        <is>
          <t>--</t>
        </is>
      </c>
    </row>
    <row r="144">
      <c r="A144" t="inlineStr">
        <is>
          <t>00778B</t>
        </is>
      </c>
      <c r="B144" t="inlineStr">
        <is>
          <t>凱基金融債20+</t>
        </is>
      </c>
      <c r="C144" t="n">
        <v>34.53</v>
      </c>
      <c r="D144" t="n">
        <v>34.66</v>
      </c>
      <c r="E144" s="730" t="n">
        <v>0.27</v>
      </c>
      <c r="F144" s="731" t="n">
        <v>0.79</v>
      </c>
      <c r="G144" t="inlineStr">
        <is>
          <t>388萬</t>
        </is>
      </c>
      <c r="H144" t="n">
        <v>112</v>
      </c>
      <c r="I144" t="n">
        <v>103</v>
      </c>
      <c r="J144" t="inlineStr">
        <is>
          <t>--</t>
        </is>
      </c>
      <c r="K144" t="n">
        <v>34.66</v>
      </c>
      <c r="L144" t="n">
        <v>34.53</v>
      </c>
      <c r="M144" s="155" t="inlineStr">
        <is>
          <t>--</t>
        </is>
      </c>
      <c r="N144" t="inlineStr">
        <is>
          <t>--</t>
        </is>
      </c>
    </row>
    <row r="145">
      <c r="A145" t="inlineStr">
        <is>
          <t>00779B</t>
        </is>
      </c>
      <c r="B145" t="inlineStr">
        <is>
          <t>凱基美債25+</t>
        </is>
      </c>
      <c r="C145" t="n">
        <v>28.01</v>
      </c>
      <c r="D145" t="n">
        <v>28.29</v>
      </c>
      <c r="E145" s="730" t="n">
        <v>0.28</v>
      </c>
      <c r="F145" s="731" t="n">
        <v>1</v>
      </c>
      <c r="G145" t="inlineStr">
        <is>
          <t>1452萬</t>
        </is>
      </c>
      <c r="H145" t="n">
        <v>515</v>
      </c>
      <c r="I145" t="n">
        <v>397</v>
      </c>
      <c r="J145" t="inlineStr">
        <is>
          <t>--</t>
        </is>
      </c>
      <c r="K145" t="n">
        <v>28.29</v>
      </c>
      <c r="L145" t="n">
        <v>28.01</v>
      </c>
      <c r="M145" s="155" t="inlineStr">
        <is>
          <t>--</t>
        </is>
      </c>
      <c r="N145" t="inlineStr">
        <is>
          <t>--</t>
        </is>
      </c>
    </row>
    <row r="146">
      <c r="A146" t="inlineStr">
        <is>
          <t>00780B</t>
        </is>
      </c>
      <c r="B146" t="inlineStr">
        <is>
          <t>國泰A級金融債</t>
        </is>
      </c>
      <c r="C146" t="n">
        <v>37.03</v>
      </c>
      <c r="D146" t="n">
        <v>37.07</v>
      </c>
      <c r="E146" s="730" t="n">
        <v>0.22</v>
      </c>
      <c r="F146" s="731" t="n">
        <v>0.6</v>
      </c>
      <c r="G146" t="inlineStr">
        <is>
          <t>385萬</t>
        </is>
      </c>
      <c r="H146" t="n">
        <v>104</v>
      </c>
      <c r="I146" t="n">
        <v>198</v>
      </c>
      <c r="J146" t="inlineStr">
        <is>
          <t>--</t>
        </is>
      </c>
      <c r="K146" t="n">
        <v>37.07</v>
      </c>
      <c r="L146" t="n">
        <v>37.03</v>
      </c>
      <c r="M146" s="155" t="inlineStr">
        <is>
          <t>--</t>
        </is>
      </c>
      <c r="N146" t="inlineStr">
        <is>
          <t>--</t>
        </is>
      </c>
    </row>
    <row r="147">
      <c r="A147" t="inlineStr">
        <is>
          <t>00781B</t>
        </is>
      </c>
      <c r="B147" t="inlineStr">
        <is>
          <t>國泰A級科技債</t>
        </is>
      </c>
      <c r="C147" t="n">
        <v>28.81</v>
      </c>
      <c r="D147" t="n">
        <v>28.99</v>
      </c>
      <c r="E147" s="730" t="n">
        <v>0.28</v>
      </c>
      <c r="F147" s="731" t="n">
        <v>0.98</v>
      </c>
      <c r="G147" t="inlineStr">
        <is>
          <t>776萬</t>
        </is>
      </c>
      <c r="H147" t="n">
        <v>268</v>
      </c>
      <c r="I147" t="n">
        <v>176</v>
      </c>
      <c r="J147" t="inlineStr">
        <is>
          <t>--</t>
        </is>
      </c>
      <c r="K147" t="n">
        <v>28.99</v>
      </c>
      <c r="L147" t="n">
        <v>28.81</v>
      </c>
      <c r="M147" s="155" t="inlineStr">
        <is>
          <t>--</t>
        </is>
      </c>
      <c r="N147" t="inlineStr">
        <is>
          <t>--</t>
        </is>
      </c>
    </row>
    <row r="148">
      <c r="A148" t="inlineStr">
        <is>
          <t>00782B</t>
        </is>
      </c>
      <c r="B148" t="inlineStr">
        <is>
          <t>國泰A級公用債</t>
        </is>
      </c>
      <c r="C148" t="n">
        <v>30.44</v>
      </c>
      <c r="D148" t="n">
        <v>30.57</v>
      </c>
      <c r="E148" s="730" t="n">
        <v>0.22</v>
      </c>
      <c r="F148" s="731" t="n">
        <v>0.72</v>
      </c>
      <c r="G148" t="inlineStr">
        <is>
          <t>586萬</t>
        </is>
      </c>
      <c r="H148" t="n">
        <v>192</v>
      </c>
      <c r="I148" t="n">
        <v>173</v>
      </c>
      <c r="J148" t="inlineStr">
        <is>
          <t>--</t>
        </is>
      </c>
      <c r="K148" t="n">
        <v>30.6</v>
      </c>
      <c r="L148" t="n">
        <v>30.44</v>
      </c>
      <c r="M148" s="155" t="inlineStr">
        <is>
          <t>--</t>
        </is>
      </c>
      <c r="N148" t="inlineStr">
        <is>
          <t>--</t>
        </is>
      </c>
    </row>
    <row r="149">
      <c r="A149" t="n">
        <v>783</v>
      </c>
      <c r="B149" t="inlineStr">
        <is>
          <t>富邦中証500</t>
        </is>
      </c>
      <c r="C149" t="n">
        <v>29.14</v>
      </c>
      <c r="D149" t="n">
        <v>29.51</v>
      </c>
      <c r="E149" s="730" t="n">
        <v>0.18</v>
      </c>
      <c r="F149" s="731" t="n">
        <v>0.61</v>
      </c>
      <c r="G149" t="inlineStr">
        <is>
          <t>213萬</t>
        </is>
      </c>
      <c r="H149" t="n">
        <v>73</v>
      </c>
      <c r="I149" t="n">
        <v>311</v>
      </c>
      <c r="J149" t="inlineStr">
        <is>
          <t>--</t>
        </is>
      </c>
      <c r="K149" t="n">
        <v>29.51</v>
      </c>
      <c r="L149" t="n">
        <v>28.97</v>
      </c>
      <c r="M149" s="155" t="inlineStr">
        <is>
          <t>--</t>
        </is>
      </c>
      <c r="N149" t="inlineStr">
        <is>
          <t>--</t>
        </is>
      </c>
    </row>
    <row r="150">
      <c r="A150" t="inlineStr">
        <is>
          <t>00785B</t>
        </is>
      </c>
      <c r="B150" t="inlineStr">
        <is>
          <t>富邦金融投等債</t>
        </is>
      </c>
      <c r="C150" t="n">
        <v>34.8</v>
      </c>
      <c r="D150" t="n">
        <v>35.08</v>
      </c>
      <c r="E150" s="730" t="n">
        <v>0.25</v>
      </c>
      <c r="F150" s="731" t="n">
        <v>0.72</v>
      </c>
      <c r="G150" t="inlineStr">
        <is>
          <t>186萬</t>
        </is>
      </c>
      <c r="H150" t="n">
        <v>53</v>
      </c>
      <c r="I150" t="n">
        <v>73</v>
      </c>
      <c r="J150" t="inlineStr">
        <is>
          <t>--</t>
        </is>
      </c>
      <c r="K150" t="n">
        <v>35.08</v>
      </c>
      <c r="L150" t="n">
        <v>34.8</v>
      </c>
      <c r="M150" s="155" t="inlineStr">
        <is>
          <t>--</t>
        </is>
      </c>
      <c r="N150" t="inlineStr">
        <is>
          <t>--</t>
        </is>
      </c>
    </row>
    <row r="151">
      <c r="A151" t="inlineStr">
        <is>
          <t>00786B</t>
        </is>
      </c>
      <c r="B151" t="inlineStr">
        <is>
          <t>元大10年IG銀行債</t>
        </is>
      </c>
      <c r="C151" t="n">
        <v>32.52</v>
      </c>
      <c r="D151" t="n">
        <v>32.7</v>
      </c>
      <c r="E151" s="730" t="n">
        <v>0.18</v>
      </c>
      <c r="F151" s="731" t="n">
        <v>0.55</v>
      </c>
      <c r="G151" t="inlineStr">
        <is>
          <t>169萬</t>
        </is>
      </c>
      <c r="H151" t="n">
        <v>52</v>
      </c>
      <c r="I151" t="n">
        <v>118</v>
      </c>
      <c r="J151" t="inlineStr">
        <is>
          <t>--</t>
        </is>
      </c>
      <c r="K151" t="n">
        <v>32.7</v>
      </c>
      <c r="L151" t="n">
        <v>32.51</v>
      </c>
      <c r="M151" s="155" t="inlineStr">
        <is>
          <t>--</t>
        </is>
      </c>
      <c r="N151" t="inlineStr">
        <is>
          <t>--</t>
        </is>
      </c>
    </row>
    <row r="152">
      <c r="A152" t="inlineStr">
        <is>
          <t>00787B</t>
        </is>
      </c>
      <c r="B152" t="inlineStr">
        <is>
          <t>元大10年IG醫療債</t>
        </is>
      </c>
      <c r="C152" t="n">
        <v>32.6</v>
      </c>
      <c r="D152" t="n">
        <v>32.86</v>
      </c>
      <c r="E152" s="730" t="n">
        <v>0.27</v>
      </c>
      <c r="F152" s="731" t="n">
        <v>0.83</v>
      </c>
      <c r="G152" t="inlineStr">
        <is>
          <t>125萬</t>
        </is>
      </c>
      <c r="H152" t="n">
        <v>38</v>
      </c>
      <c r="I152" t="n">
        <v>33</v>
      </c>
      <c r="J152" t="inlineStr">
        <is>
          <t>--</t>
        </is>
      </c>
      <c r="K152" t="n">
        <v>32.86</v>
      </c>
      <c r="L152" t="n">
        <v>32.6</v>
      </c>
      <c r="M152" s="155" t="inlineStr">
        <is>
          <t>--</t>
        </is>
      </c>
      <c r="N152" t="inlineStr">
        <is>
          <t>--</t>
        </is>
      </c>
    </row>
    <row r="153">
      <c r="A153" t="inlineStr">
        <is>
          <t>00788B</t>
        </is>
      </c>
      <c r="B153" t="inlineStr">
        <is>
          <t>元大10年IG電能債</t>
        </is>
      </c>
      <c r="C153" t="n">
        <v>29.9</v>
      </c>
      <c r="D153" t="n">
        <v>30.12</v>
      </c>
      <c r="E153" s="730" t="n">
        <v>0.25</v>
      </c>
      <c r="F153" s="731" t="n">
        <v>0.84</v>
      </c>
      <c r="G153" t="inlineStr">
        <is>
          <t>295萬</t>
        </is>
      </c>
      <c r="H153" t="n">
        <v>98</v>
      </c>
      <c r="I153" t="n">
        <v>66</v>
      </c>
      <c r="J153" t="inlineStr">
        <is>
          <t>--</t>
        </is>
      </c>
      <c r="K153" t="n">
        <v>30.12</v>
      </c>
      <c r="L153" t="n">
        <v>29.9</v>
      </c>
      <c r="M153" s="155" t="inlineStr">
        <is>
          <t>--</t>
        </is>
      </c>
      <c r="N153" t="inlineStr">
        <is>
          <t>--</t>
        </is>
      </c>
    </row>
    <row r="154">
      <c r="A154" t="inlineStr">
        <is>
          <t>00789B</t>
        </is>
      </c>
      <c r="B154" t="inlineStr">
        <is>
          <t>復華公司債A3</t>
        </is>
      </c>
      <c r="C154" t="n">
        <v>48.73</v>
      </c>
      <c r="D154" t="n">
        <v>48.73</v>
      </c>
      <c r="E154" s="730" t="n">
        <v>0.41</v>
      </c>
      <c r="F154" s="731" t="n">
        <v>0.85</v>
      </c>
      <c r="G154" t="inlineStr">
        <is>
          <t>487萬</t>
        </is>
      </c>
      <c r="H154" t="n">
        <v>100</v>
      </c>
      <c r="I154" t="n">
        <v>255</v>
      </c>
      <c r="J154" t="inlineStr">
        <is>
          <t>--</t>
        </is>
      </c>
      <c r="K154" t="n">
        <v>48.73</v>
      </c>
      <c r="L154" t="n">
        <v>48.73</v>
      </c>
      <c r="M154" s="155" t="inlineStr">
        <is>
          <t>--</t>
        </is>
      </c>
      <c r="N154" t="inlineStr">
        <is>
          <t>--</t>
        </is>
      </c>
    </row>
    <row r="155">
      <c r="A155" t="inlineStr">
        <is>
          <t>00791B</t>
        </is>
      </c>
      <c r="B155" t="inlineStr">
        <is>
          <t>復華信用債1-5</t>
        </is>
      </c>
      <c r="C155" t="n">
        <v>56.45</v>
      </c>
      <c r="D155" t="n">
        <v>56.45</v>
      </c>
      <c r="E155" s="730" t="n">
        <v>0.25</v>
      </c>
      <c r="F155" s="731" t="n">
        <v>0.44</v>
      </c>
      <c r="G155" t="inlineStr">
        <is>
          <t>565萬</t>
        </is>
      </c>
      <c r="H155" t="n">
        <v>100</v>
      </c>
      <c r="I155" t="n">
        <v>102</v>
      </c>
      <c r="J155" t="inlineStr">
        <is>
          <t>--</t>
        </is>
      </c>
      <c r="K155" t="n">
        <v>56.45</v>
      </c>
      <c r="L155" t="n">
        <v>56.45</v>
      </c>
      <c r="M155" s="155" t="inlineStr">
        <is>
          <t>--</t>
        </is>
      </c>
      <c r="N155" t="inlineStr">
        <is>
          <t>--</t>
        </is>
      </c>
    </row>
    <row r="156">
      <c r="A156" t="inlineStr">
        <is>
          <t>00792B</t>
        </is>
      </c>
      <c r="B156" t="inlineStr">
        <is>
          <t>群益A級公司債</t>
        </is>
      </c>
      <c r="C156" t="n">
        <v>31.9</v>
      </c>
      <c r="D156" t="n">
        <v>32.13</v>
      </c>
      <c r="E156" s="730" t="n">
        <v>0.27</v>
      </c>
      <c r="F156" s="731" t="n">
        <v>0.85</v>
      </c>
      <c r="G156" t="inlineStr">
        <is>
          <t>417萬</t>
        </is>
      </c>
      <c r="H156" t="n">
        <v>130</v>
      </c>
      <c r="I156" t="n">
        <v>173</v>
      </c>
      <c r="J156" t="inlineStr">
        <is>
          <t>--</t>
        </is>
      </c>
      <c r="K156" t="n">
        <v>32.13</v>
      </c>
      <c r="L156" t="n">
        <v>31.9</v>
      </c>
      <c r="M156" s="155" t="inlineStr">
        <is>
          <t>--</t>
        </is>
      </c>
      <c r="N156" t="inlineStr">
        <is>
          <t>--</t>
        </is>
      </c>
    </row>
    <row r="157">
      <c r="A157" t="inlineStr">
        <is>
          <t>00793B</t>
        </is>
      </c>
      <c r="B157" t="inlineStr">
        <is>
          <t>群益AAA-A醫療債</t>
        </is>
      </c>
      <c r="C157" t="n">
        <v>30.81</v>
      </c>
      <c r="D157" t="n">
        <v>31.08</v>
      </c>
      <c r="E157" s="730" t="n">
        <v>0.27</v>
      </c>
      <c r="F157" s="731" t="n">
        <v>0.88</v>
      </c>
      <c r="G157" t="inlineStr">
        <is>
          <t>510萬</t>
        </is>
      </c>
      <c r="H157" t="n">
        <v>164</v>
      </c>
      <c r="I157" t="n">
        <v>459</v>
      </c>
      <c r="J157" t="inlineStr">
        <is>
          <t>--</t>
        </is>
      </c>
      <c r="K157" t="n">
        <v>31.09</v>
      </c>
      <c r="L157" t="n">
        <v>30.81</v>
      </c>
      <c r="M157" s="155" t="inlineStr">
        <is>
          <t>--</t>
        </is>
      </c>
      <c r="N157" t="inlineStr">
        <is>
          <t>--</t>
        </is>
      </c>
    </row>
    <row r="158">
      <c r="A158" t="inlineStr">
        <is>
          <t>00795B</t>
        </is>
      </c>
      <c r="B158" t="inlineStr">
        <is>
          <t>中信美國公債20年</t>
        </is>
      </c>
      <c r="C158" t="n">
        <v>26.62</v>
      </c>
      <c r="D158" t="n">
        <v>26.78</v>
      </c>
      <c r="E158" s="730" t="n">
        <v>0.25</v>
      </c>
      <c r="F158" s="731" t="n">
        <v>0.9399999999999999</v>
      </c>
      <c r="G158" t="inlineStr">
        <is>
          <t>2.72億</t>
        </is>
      </c>
      <c r="H158" t="n">
        <v>10184</v>
      </c>
      <c r="I158" t="n">
        <v>6917</v>
      </c>
      <c r="J158" t="inlineStr">
        <is>
          <t>--</t>
        </is>
      </c>
      <c r="K158" t="n">
        <v>26.8</v>
      </c>
      <c r="L158" t="n">
        <v>26.61</v>
      </c>
      <c r="M158" s="155" t="inlineStr">
        <is>
          <t>--</t>
        </is>
      </c>
      <c r="N158" t="inlineStr">
        <is>
          <t>--</t>
        </is>
      </c>
    </row>
    <row r="159">
      <c r="A159" t="inlineStr">
        <is>
          <t>00799B</t>
        </is>
      </c>
      <c r="B159" t="inlineStr">
        <is>
          <t>國泰A級醫療債</t>
        </is>
      </c>
      <c r="C159" t="n">
        <v>29.46</v>
      </c>
      <c r="D159" t="n">
        <v>29.64</v>
      </c>
      <c r="E159" s="730" t="n">
        <v>0.18</v>
      </c>
      <c r="F159" s="731" t="n">
        <v>0.61</v>
      </c>
      <c r="G159" t="inlineStr">
        <is>
          <t>790萬</t>
        </is>
      </c>
      <c r="H159" t="n">
        <v>267</v>
      </c>
      <c r="I159" t="n">
        <v>296</v>
      </c>
      <c r="J159" t="inlineStr">
        <is>
          <t>--</t>
        </is>
      </c>
      <c r="K159" t="n">
        <v>29.64</v>
      </c>
      <c r="L159" t="n">
        <v>29.46</v>
      </c>
      <c r="M159" s="155" t="inlineStr">
        <is>
          <t>--</t>
        </is>
      </c>
      <c r="N159" t="inlineStr">
        <is>
          <t>--</t>
        </is>
      </c>
    </row>
    <row r="160">
      <c r="A160" t="n">
        <v>830</v>
      </c>
      <c r="B160" t="inlineStr">
        <is>
          <t>國泰費城半導體</t>
        </is>
      </c>
      <c r="C160" t="n">
        <v>90.25</v>
      </c>
      <c r="D160" t="n">
        <v>90.55</v>
      </c>
      <c r="E160" s="730" t="n">
        <v>0.15</v>
      </c>
      <c r="F160" s="731" t="n">
        <v>0.17</v>
      </c>
      <c r="G160" t="inlineStr">
        <is>
          <t>7.70億</t>
        </is>
      </c>
      <c r="H160" t="n">
        <v>8562</v>
      </c>
      <c r="I160" t="n">
        <v>9674</v>
      </c>
      <c r="J160" t="inlineStr">
        <is>
          <t>--</t>
        </is>
      </c>
      <c r="K160" t="n">
        <v>90.65000000000001</v>
      </c>
      <c r="L160" t="n">
        <v>89.5</v>
      </c>
      <c r="M160" s="155" t="inlineStr">
        <is>
          <t>--</t>
        </is>
      </c>
      <c r="N160" t="inlineStr">
        <is>
          <t>--</t>
        </is>
      </c>
    </row>
    <row r="161">
      <c r="A161" t="inlineStr">
        <is>
          <t>00834B</t>
        </is>
      </c>
      <c r="B161" t="inlineStr">
        <is>
          <t>第一金金融債10+</t>
        </is>
      </c>
      <c r="C161" t="n">
        <v>34.28</v>
      </c>
      <c r="D161" t="n">
        <v>34.28</v>
      </c>
      <c r="E161" s="730" t="n">
        <v>0.26</v>
      </c>
      <c r="F161" s="731" t="n">
        <v>0.76</v>
      </c>
      <c r="G161" t="inlineStr">
        <is>
          <t>377萬</t>
        </is>
      </c>
      <c r="H161" t="n">
        <v>110</v>
      </c>
      <c r="I161" t="n">
        <v>104</v>
      </c>
      <c r="J161" t="inlineStr">
        <is>
          <t>--</t>
        </is>
      </c>
      <c r="K161" t="n">
        <v>34.28</v>
      </c>
      <c r="L161" t="n">
        <v>34.28</v>
      </c>
      <c r="M161" s="155" t="inlineStr">
        <is>
          <t>--</t>
        </is>
      </c>
      <c r="N161" t="inlineStr">
        <is>
          <t>--</t>
        </is>
      </c>
    </row>
    <row r="162">
      <c r="A162" t="inlineStr">
        <is>
          <t>00836B</t>
        </is>
      </c>
      <c r="B162" t="inlineStr">
        <is>
          <t>永豐10年A公司債</t>
        </is>
      </c>
      <c r="C162" t="n">
        <v>29.04</v>
      </c>
      <c r="D162" t="n">
        <v>29.16</v>
      </c>
      <c r="E162" s="730" t="n">
        <v>0.2</v>
      </c>
      <c r="F162" s="731" t="n">
        <v>0.6899999999999999</v>
      </c>
      <c r="G162" t="inlineStr">
        <is>
          <t>256萬</t>
        </is>
      </c>
      <c r="H162" t="n">
        <v>88</v>
      </c>
      <c r="I162" t="n">
        <v>16</v>
      </c>
      <c r="J162" t="inlineStr">
        <is>
          <t>--</t>
        </is>
      </c>
      <c r="K162" t="n">
        <v>29.2</v>
      </c>
      <c r="L162" t="n">
        <v>29.04</v>
      </c>
      <c r="M162" s="155" t="inlineStr">
        <is>
          <t>--</t>
        </is>
      </c>
      <c r="N162" t="inlineStr">
        <is>
          <t>--</t>
        </is>
      </c>
    </row>
    <row r="163">
      <c r="A163" t="inlineStr">
        <is>
          <t>00840B</t>
        </is>
      </c>
      <c r="B163" t="inlineStr">
        <is>
          <t>凱基IG精選15+</t>
        </is>
      </c>
      <c r="C163" t="n">
        <v>30.24</v>
      </c>
      <c r="D163" t="n">
        <v>30.24</v>
      </c>
      <c r="E163" s="730" t="n">
        <v>0.22</v>
      </c>
      <c r="F163" s="731" t="n">
        <v>0.73</v>
      </c>
      <c r="G163" t="inlineStr">
        <is>
          <t>302萬</t>
        </is>
      </c>
      <c r="H163" t="n">
        <v>100</v>
      </c>
      <c r="I163" t="n">
        <v>100</v>
      </c>
      <c r="J163" t="inlineStr">
        <is>
          <t>--</t>
        </is>
      </c>
      <c r="K163" t="n">
        <v>30.24</v>
      </c>
      <c r="L163" t="n">
        <v>30.24</v>
      </c>
      <c r="M163" s="155" t="inlineStr">
        <is>
          <t>--</t>
        </is>
      </c>
      <c r="N163" t="inlineStr">
        <is>
          <t>--</t>
        </is>
      </c>
    </row>
    <row r="164">
      <c r="A164" t="inlineStr">
        <is>
          <t>00841B</t>
        </is>
      </c>
      <c r="B164" t="inlineStr">
        <is>
          <t>凱基AAA-AA公司債</t>
        </is>
      </c>
      <c r="C164" t="n">
        <v>29.12</v>
      </c>
      <c r="D164" t="n">
        <v>29.12</v>
      </c>
      <c r="E164" s="730" t="n">
        <v>0.27</v>
      </c>
      <c r="F164" s="731" t="n">
        <v>0.9399999999999999</v>
      </c>
      <c r="G164" t="inlineStr">
        <is>
          <t>291萬</t>
        </is>
      </c>
      <c r="H164" t="n">
        <v>100</v>
      </c>
      <c r="I164" t="n">
        <v>106</v>
      </c>
      <c r="J164" t="inlineStr">
        <is>
          <t>--</t>
        </is>
      </c>
      <c r="K164" t="n">
        <v>29.12</v>
      </c>
      <c r="L164" t="n">
        <v>29.12</v>
      </c>
      <c r="M164" s="155" t="inlineStr">
        <is>
          <t>--</t>
        </is>
      </c>
      <c r="N164" t="inlineStr">
        <is>
          <t>--</t>
        </is>
      </c>
    </row>
    <row r="165">
      <c r="A165" t="inlineStr">
        <is>
          <t>00842B</t>
        </is>
      </c>
      <c r="B165" t="inlineStr">
        <is>
          <t>台新美元銀行債</t>
        </is>
      </c>
      <c r="C165" t="n">
        <v>30.46</v>
      </c>
      <c r="D165" t="n">
        <v>30.5</v>
      </c>
      <c r="E165" s="730" t="n">
        <v>0.09</v>
      </c>
      <c r="F165" s="731" t="n">
        <v>0.3</v>
      </c>
      <c r="G165" t="inlineStr">
        <is>
          <t>1427萬</t>
        </is>
      </c>
      <c r="H165" t="n">
        <v>468</v>
      </c>
      <c r="I165" t="n">
        <v>199</v>
      </c>
      <c r="J165" t="inlineStr">
        <is>
          <t>--</t>
        </is>
      </c>
      <c r="K165" t="n">
        <v>30.52</v>
      </c>
      <c r="L165" t="n">
        <v>30.39</v>
      </c>
      <c r="M165" s="155" t="inlineStr">
        <is>
          <t>--</t>
        </is>
      </c>
      <c r="N165" t="inlineStr">
        <is>
          <t>--</t>
        </is>
      </c>
    </row>
    <row r="166">
      <c r="A166" t="inlineStr">
        <is>
          <t>00844B</t>
        </is>
      </c>
      <c r="B166" t="inlineStr">
        <is>
          <t>新光15年IG金融債</t>
        </is>
      </c>
      <c r="C166" t="n">
        <v>31.67</v>
      </c>
      <c r="D166" t="n">
        <v>31.67</v>
      </c>
      <c r="E166" s="730" t="n">
        <v>0.27</v>
      </c>
      <c r="F166" s="731" t="n">
        <v>0.86</v>
      </c>
      <c r="G166" t="inlineStr">
        <is>
          <t>507萬</t>
        </is>
      </c>
      <c r="H166" t="n">
        <v>160</v>
      </c>
      <c r="I166" t="n">
        <v>95</v>
      </c>
      <c r="J166" t="inlineStr">
        <is>
          <t>--</t>
        </is>
      </c>
      <c r="K166" t="n">
        <v>31.67</v>
      </c>
      <c r="L166" t="n">
        <v>31.67</v>
      </c>
      <c r="M166" s="155" t="inlineStr">
        <is>
          <t>--</t>
        </is>
      </c>
      <c r="N166" t="inlineStr">
        <is>
          <t>--</t>
        </is>
      </c>
    </row>
    <row r="167">
      <c r="A167" t="inlineStr">
        <is>
          <t>00845B</t>
        </is>
      </c>
      <c r="B167" t="inlineStr">
        <is>
          <t>富邦新興投等債</t>
        </is>
      </c>
      <c r="C167" t="n">
        <v>33.07</v>
      </c>
      <c r="D167" t="n">
        <v>33.11</v>
      </c>
      <c r="E167" s="730" t="n">
        <v>0.12</v>
      </c>
      <c r="F167" s="731" t="n">
        <v>0.36</v>
      </c>
      <c r="G167" t="inlineStr">
        <is>
          <t>744萬</t>
        </is>
      </c>
      <c r="H167" t="n">
        <v>225</v>
      </c>
      <c r="I167" t="n">
        <v>106</v>
      </c>
      <c r="J167" t="inlineStr">
        <is>
          <t>--</t>
        </is>
      </c>
      <c r="K167" t="n">
        <v>33.11</v>
      </c>
      <c r="L167" t="n">
        <v>33.03</v>
      </c>
      <c r="M167" s="155" t="inlineStr">
        <is>
          <t>--</t>
        </is>
      </c>
      <c r="N167" t="inlineStr">
        <is>
          <t>--</t>
        </is>
      </c>
    </row>
    <row r="168">
      <c r="A168" t="inlineStr">
        <is>
          <t>00846B</t>
        </is>
      </c>
      <c r="B168" t="inlineStr">
        <is>
          <t>富邦歐洲銀行債</t>
        </is>
      </c>
      <c r="C168" t="n">
        <v>35.43</v>
      </c>
      <c r="D168" t="n">
        <v>35.69</v>
      </c>
      <c r="E168" s="730" t="n">
        <v>0.16</v>
      </c>
      <c r="F168" s="731" t="n">
        <v>0.45</v>
      </c>
      <c r="G168" t="inlineStr">
        <is>
          <t>631萬</t>
        </is>
      </c>
      <c r="H168" t="n">
        <v>177</v>
      </c>
      <c r="I168" t="n">
        <v>104</v>
      </c>
      <c r="J168" t="inlineStr">
        <is>
          <t>--</t>
        </is>
      </c>
      <c r="K168" t="n">
        <v>35.71</v>
      </c>
      <c r="L168" t="n">
        <v>35.43</v>
      </c>
      <c r="M168" s="155" t="inlineStr">
        <is>
          <t>--</t>
        </is>
      </c>
      <c r="N168" t="inlineStr">
        <is>
          <t>--</t>
        </is>
      </c>
    </row>
    <row r="169">
      <c r="A169" t="inlineStr">
        <is>
          <t>00847B</t>
        </is>
      </c>
      <c r="B169" t="inlineStr">
        <is>
          <t>中信美國市政債</t>
        </is>
      </c>
      <c r="C169" t="n">
        <v>25.35</v>
      </c>
      <c r="D169" t="n">
        <v>25.43</v>
      </c>
      <c r="E169" s="730" t="n">
        <v>0.19</v>
      </c>
      <c r="F169" s="731" t="n">
        <v>0.75</v>
      </c>
      <c r="G169" t="inlineStr">
        <is>
          <t>1792萬</t>
        </is>
      </c>
      <c r="H169" t="n">
        <v>706</v>
      </c>
      <c r="I169" t="n">
        <v>339</v>
      </c>
      <c r="J169" t="inlineStr">
        <is>
          <t>--</t>
        </is>
      </c>
      <c r="K169" t="n">
        <v>25.43</v>
      </c>
      <c r="L169" t="n">
        <v>25.35</v>
      </c>
      <c r="M169" s="155" t="inlineStr">
        <is>
          <t>--</t>
        </is>
      </c>
      <c r="N169" t="inlineStr">
        <is>
          <t>--</t>
        </is>
      </c>
    </row>
    <row r="170">
      <c r="A170" t="inlineStr">
        <is>
          <t>00848B</t>
        </is>
      </c>
      <c r="B170" t="inlineStr">
        <is>
          <t>中信新興亞洲債</t>
        </is>
      </c>
      <c r="C170" t="n">
        <v>34.16</v>
      </c>
      <c r="D170" t="n">
        <v>34.25</v>
      </c>
      <c r="E170" s="730" t="n">
        <v>0.15</v>
      </c>
      <c r="F170" s="731" t="n">
        <v>0.44</v>
      </c>
      <c r="G170" t="inlineStr">
        <is>
          <t>1810萬</t>
        </is>
      </c>
      <c r="H170" t="n">
        <v>529</v>
      </c>
      <c r="I170" t="n">
        <v>322</v>
      </c>
      <c r="J170" t="inlineStr">
        <is>
          <t>--</t>
        </is>
      </c>
      <c r="K170" t="n">
        <v>34.25</v>
      </c>
      <c r="L170" t="n">
        <v>34.13</v>
      </c>
      <c r="M170" s="155" t="inlineStr">
        <is>
          <t>--</t>
        </is>
      </c>
      <c r="N170" t="inlineStr">
        <is>
          <t>--</t>
        </is>
      </c>
    </row>
    <row r="171">
      <c r="A171" t="inlineStr">
        <is>
          <t>00849B</t>
        </is>
      </c>
      <c r="B171" t="inlineStr">
        <is>
          <t>中信EM主權債0-5</t>
        </is>
      </c>
      <c r="C171" t="n">
        <v>37</v>
      </c>
      <c r="D171" t="n">
        <v>37.15</v>
      </c>
      <c r="E171" s="730" t="n">
        <v>0.23</v>
      </c>
      <c r="F171" s="731" t="n">
        <v>0.62</v>
      </c>
      <c r="G171" t="inlineStr">
        <is>
          <t>1929萬</t>
        </is>
      </c>
      <c r="H171" t="n">
        <v>520</v>
      </c>
      <c r="I171" t="n">
        <v>509</v>
      </c>
      <c r="J171" t="inlineStr">
        <is>
          <t>--</t>
        </is>
      </c>
      <c r="K171" t="n">
        <v>37.15</v>
      </c>
      <c r="L171" t="n">
        <v>36.96</v>
      </c>
      <c r="M171" s="155" t="inlineStr">
        <is>
          <t>--</t>
        </is>
      </c>
      <c r="N171" t="inlineStr">
        <is>
          <t>--</t>
        </is>
      </c>
    </row>
    <row r="172">
      <c r="A172" t="n">
        <v>850</v>
      </c>
      <c r="B172" t="inlineStr">
        <is>
          <t>元大臺灣ESG永續</t>
        </is>
      </c>
      <c r="C172" t="n">
        <v>91.15000000000001</v>
      </c>
      <c r="D172" t="n">
        <v>91.05</v>
      </c>
      <c r="E172" s="730" t="n">
        <v>0.3</v>
      </c>
      <c r="F172" s="731" t="n">
        <v>0.33</v>
      </c>
      <c r="G172" t="inlineStr">
        <is>
          <t>8209萬</t>
        </is>
      </c>
      <c r="H172" t="n">
        <v>907</v>
      </c>
      <c r="I172" t="n">
        <v>926</v>
      </c>
      <c r="J172" t="inlineStr">
        <is>
          <t>--</t>
        </is>
      </c>
      <c r="K172" t="n">
        <v>91.3</v>
      </c>
      <c r="L172" t="n">
        <v>89.45</v>
      </c>
      <c r="M172" s="155" t="inlineStr">
        <is>
          <t>--</t>
        </is>
      </c>
      <c r="N172" t="inlineStr">
        <is>
          <t>--</t>
        </is>
      </c>
    </row>
    <row r="173">
      <c r="A173" t="n">
        <v>851</v>
      </c>
      <c r="B173" t="inlineStr">
        <is>
          <t>台新全球AI</t>
        </is>
      </c>
      <c r="C173" t="n">
        <v>72.5</v>
      </c>
      <c r="D173" t="n">
        <v>73.34999999999999</v>
      </c>
      <c r="E173" s="730" t="n">
        <v>1.15</v>
      </c>
      <c r="F173" s="731" t="n">
        <v>1.59</v>
      </c>
      <c r="G173" t="inlineStr">
        <is>
          <t>51.0萬</t>
        </is>
      </c>
      <c r="H173" t="n">
        <v>7</v>
      </c>
      <c r="I173" t="n">
        <v>32</v>
      </c>
      <c r="J173" t="inlineStr">
        <is>
          <t>--</t>
        </is>
      </c>
      <c r="K173" t="n">
        <v>73.34999999999999</v>
      </c>
      <c r="L173" t="n">
        <v>72.5</v>
      </c>
      <c r="M173" s="155" t="inlineStr">
        <is>
          <t>--</t>
        </is>
      </c>
      <c r="N173" t="inlineStr">
        <is>
          <t>--</t>
        </is>
      </c>
    </row>
    <row r="174">
      <c r="A174" t="inlineStr">
        <is>
          <t>00852L</t>
        </is>
      </c>
      <c r="B174" t="inlineStr">
        <is>
          <t>國泰美國道瓊正2</t>
        </is>
      </c>
      <c r="C174" t="n">
        <v>32.78</v>
      </c>
      <c r="D174" t="n">
        <v>32.93</v>
      </c>
      <c r="E174" s="730" t="n">
        <v>-0.17</v>
      </c>
      <c r="F174" s="731" t="n">
        <v>-0.51</v>
      </c>
      <c r="G174" t="inlineStr">
        <is>
          <t>1204萬</t>
        </is>
      </c>
      <c r="H174" t="n">
        <v>367</v>
      </c>
      <c r="I174" t="n">
        <v>218</v>
      </c>
      <c r="J174" t="inlineStr">
        <is>
          <t>--</t>
        </is>
      </c>
      <c r="K174" t="n">
        <v>32.93</v>
      </c>
      <c r="L174" t="n">
        <v>32.78</v>
      </c>
      <c r="M174" s="155" t="inlineStr">
        <is>
          <t>--</t>
        </is>
      </c>
      <c r="N174" t="inlineStr">
        <is>
          <t>--</t>
        </is>
      </c>
    </row>
    <row r="175">
      <c r="A175" t="inlineStr">
        <is>
          <t>00853B</t>
        </is>
      </c>
      <c r="B175" t="inlineStr">
        <is>
          <t>統一美債10年Aa-A</t>
        </is>
      </c>
      <c r="C175" t="n">
        <v>27.85</v>
      </c>
      <c r="D175" t="n">
        <v>27.99</v>
      </c>
      <c r="E175" s="730" t="n">
        <v>0.24</v>
      </c>
      <c r="F175" s="731" t="n">
        <v>0.86</v>
      </c>
      <c r="G175" t="inlineStr">
        <is>
          <t>1536萬</t>
        </is>
      </c>
      <c r="H175" t="n">
        <v>549</v>
      </c>
      <c r="I175" t="n">
        <v>1102</v>
      </c>
      <c r="J175" t="inlineStr">
        <is>
          <t>--</t>
        </is>
      </c>
      <c r="K175" t="n">
        <v>28</v>
      </c>
      <c r="L175" t="n">
        <v>27.85</v>
      </c>
      <c r="M175" s="155" t="inlineStr">
        <is>
          <t>--</t>
        </is>
      </c>
      <c r="N175" t="inlineStr">
        <is>
          <t>--</t>
        </is>
      </c>
    </row>
    <row r="176">
      <c r="A176" t="inlineStr">
        <is>
          <t>00856B</t>
        </is>
      </c>
      <c r="B176" t="inlineStr">
        <is>
          <t>永豐1-3年美公債</t>
        </is>
      </c>
      <c r="C176" t="n">
        <v>37.42</v>
      </c>
      <c r="D176" t="n">
        <v>37.42</v>
      </c>
      <c r="E176" s="730" t="n">
        <v>0.02</v>
      </c>
      <c r="F176" s="731" t="n">
        <v>0.05</v>
      </c>
      <c r="G176" t="inlineStr">
        <is>
          <t>150萬</t>
        </is>
      </c>
      <c r="H176" t="n">
        <v>40</v>
      </c>
      <c r="I176" t="n">
        <v>16</v>
      </c>
      <c r="J176" t="inlineStr">
        <is>
          <t>--</t>
        </is>
      </c>
      <c r="K176" t="n">
        <v>37.42</v>
      </c>
      <c r="L176" t="n">
        <v>37.41</v>
      </c>
      <c r="M176" s="155" t="inlineStr">
        <is>
          <t>--</t>
        </is>
      </c>
      <c r="N176" t="inlineStr">
        <is>
          <t>--</t>
        </is>
      </c>
    </row>
    <row r="177">
      <c r="A177" t="inlineStr">
        <is>
          <t>00857B</t>
        </is>
      </c>
      <c r="B177" t="inlineStr">
        <is>
          <t>永豐20年美公債</t>
        </is>
      </c>
      <c r="C177" t="n">
        <v>23.12</v>
      </c>
      <c r="D177" t="n">
        <v>23.27</v>
      </c>
      <c r="E177" s="730" t="n">
        <v>0.22</v>
      </c>
      <c r="F177" s="731" t="n">
        <v>0.95</v>
      </c>
      <c r="G177" t="inlineStr">
        <is>
          <t>9364萬</t>
        </is>
      </c>
      <c r="H177" t="n">
        <v>4038</v>
      </c>
      <c r="I177" t="n">
        <v>2924</v>
      </c>
      <c r="J177" t="inlineStr">
        <is>
          <t>--</t>
        </is>
      </c>
      <c r="K177" t="n">
        <v>23.27</v>
      </c>
      <c r="L177" t="n">
        <v>23.11</v>
      </c>
      <c r="M177" s="155" t="inlineStr">
        <is>
          <t>--</t>
        </is>
      </c>
      <c r="N177" t="inlineStr">
        <is>
          <t>--</t>
        </is>
      </c>
    </row>
    <row r="178">
      <c r="A178" t="n">
        <v>858</v>
      </c>
      <c r="B178" t="inlineStr">
        <is>
          <t>永豐美國500大</t>
        </is>
      </c>
      <c r="C178" t="n">
        <v>35.91</v>
      </c>
      <c r="D178" t="n">
        <v>36.05</v>
      </c>
      <c r="E178" s="730" t="n">
        <v>-0.05</v>
      </c>
      <c r="F178" s="731" t="n">
        <v>-0.14</v>
      </c>
      <c r="G178" t="inlineStr">
        <is>
          <t>3747萬</t>
        </is>
      </c>
      <c r="H178" t="n">
        <v>1043</v>
      </c>
      <c r="I178" t="n">
        <v>739</v>
      </c>
      <c r="J178" t="inlineStr">
        <is>
          <t>--</t>
        </is>
      </c>
      <c r="K178" t="n">
        <v>36.05</v>
      </c>
      <c r="L178" t="n">
        <v>35.91</v>
      </c>
      <c r="M178" s="155" t="inlineStr">
        <is>
          <t>--</t>
        </is>
      </c>
      <c r="N178" t="inlineStr">
        <is>
          <t>--</t>
        </is>
      </c>
    </row>
    <row r="179">
      <c r="A179" t="inlineStr">
        <is>
          <t>00859B</t>
        </is>
      </c>
      <c r="B179" t="inlineStr">
        <is>
          <t>群益0-1年美債</t>
        </is>
      </c>
      <c r="C179" t="n">
        <v>40.78</v>
      </c>
      <c r="D179" t="n">
        <v>40.91</v>
      </c>
      <c r="E179" s="730" t="n">
        <v>0.13</v>
      </c>
      <c r="F179" s="731" t="n">
        <v>0.32</v>
      </c>
      <c r="G179" t="inlineStr">
        <is>
          <t>1.25億</t>
        </is>
      </c>
      <c r="H179" t="n">
        <v>3063</v>
      </c>
      <c r="I179" t="n">
        <v>3018</v>
      </c>
      <c r="J179" t="inlineStr">
        <is>
          <t>--</t>
        </is>
      </c>
      <c r="K179" t="n">
        <v>40.95</v>
      </c>
      <c r="L179" t="n">
        <v>40.74</v>
      </c>
      <c r="M179" s="155" t="inlineStr">
        <is>
          <t>--</t>
        </is>
      </c>
      <c r="N179" t="inlineStr">
        <is>
          <t>--</t>
        </is>
      </c>
    </row>
    <row r="180">
      <c r="A180" t="inlineStr">
        <is>
          <t>00860B</t>
        </is>
      </c>
      <c r="B180" t="inlineStr">
        <is>
          <t>群益1-5Y投資級債</t>
        </is>
      </c>
      <c r="C180" t="n">
        <v>37.65</v>
      </c>
      <c r="D180" t="n">
        <v>37.75</v>
      </c>
      <c r="E180" s="730" t="n">
        <v>0.16</v>
      </c>
      <c r="F180" s="731" t="n">
        <v>0.43</v>
      </c>
      <c r="G180" t="inlineStr">
        <is>
          <t>442萬</t>
        </is>
      </c>
      <c r="H180" t="n">
        <v>117</v>
      </c>
      <c r="I180" t="n">
        <v>113</v>
      </c>
      <c r="J180" t="inlineStr">
        <is>
          <t>--</t>
        </is>
      </c>
      <c r="K180" t="n">
        <v>37.77</v>
      </c>
      <c r="L180" t="n">
        <v>37.65</v>
      </c>
      <c r="M180" s="155" t="inlineStr">
        <is>
          <t>--</t>
        </is>
      </c>
      <c r="N180" t="inlineStr">
        <is>
          <t>--</t>
        </is>
      </c>
    </row>
    <row r="181">
      <c r="A181" t="n">
        <v>861</v>
      </c>
      <c r="B181" t="inlineStr">
        <is>
          <t>元大全球未來通訊</t>
        </is>
      </c>
      <c r="C181" t="n">
        <v>91.55</v>
      </c>
      <c r="D181" t="n">
        <v>92</v>
      </c>
      <c r="E181" s="730" t="n">
        <v>0.5</v>
      </c>
      <c r="F181" s="731" t="n">
        <v>0.55</v>
      </c>
      <c r="G181" t="inlineStr">
        <is>
          <t>2463萬</t>
        </is>
      </c>
      <c r="H181" t="n">
        <v>269</v>
      </c>
      <c r="I181" t="n">
        <v>211</v>
      </c>
      <c r="J181" t="inlineStr">
        <is>
          <t>--</t>
        </is>
      </c>
      <c r="K181" t="n">
        <v>92</v>
      </c>
      <c r="L181" t="n">
        <v>90.95</v>
      </c>
      <c r="M181" s="155" t="inlineStr">
        <is>
          <t>--</t>
        </is>
      </c>
      <c r="N181" t="inlineStr">
        <is>
          <t>--</t>
        </is>
      </c>
    </row>
    <row r="182">
      <c r="A182" t="inlineStr">
        <is>
          <t>00862B</t>
        </is>
      </c>
      <c r="B182" t="inlineStr">
        <is>
          <t>中信投資級公司債</t>
        </is>
      </c>
      <c r="C182" t="n">
        <v>31.99</v>
      </c>
      <c r="D182" t="n">
        <v>32.16</v>
      </c>
      <c r="E182" s="730" t="n">
        <v>0.26</v>
      </c>
      <c r="F182" s="731" t="n">
        <v>0.82</v>
      </c>
      <c r="G182" t="inlineStr">
        <is>
          <t>1977萬</t>
        </is>
      </c>
      <c r="H182" t="n">
        <v>616</v>
      </c>
      <c r="I182" t="n">
        <v>518</v>
      </c>
      <c r="J182" t="inlineStr">
        <is>
          <t>--</t>
        </is>
      </c>
      <c r="K182" t="n">
        <v>32.16</v>
      </c>
      <c r="L182" t="n">
        <v>31.99</v>
      </c>
      <c r="M182" s="155" t="inlineStr">
        <is>
          <t>--</t>
        </is>
      </c>
      <c r="N182" t="inlineStr">
        <is>
          <t>--</t>
        </is>
      </c>
    </row>
    <row r="183">
      <c r="A183" t="inlineStr">
        <is>
          <t>00863B</t>
        </is>
      </c>
      <c r="B183" t="inlineStr">
        <is>
          <t>中信全球電信債</t>
        </is>
      </c>
      <c r="C183" t="n">
        <v>32.34</v>
      </c>
      <c r="D183" t="n">
        <v>32.51</v>
      </c>
      <c r="E183" s="730" t="n">
        <v>0.24</v>
      </c>
      <c r="F183" s="731" t="n">
        <v>0.74</v>
      </c>
      <c r="G183" t="inlineStr">
        <is>
          <t>1778萬</t>
        </is>
      </c>
      <c r="H183" t="n">
        <v>548</v>
      </c>
      <c r="I183" t="n">
        <v>349</v>
      </c>
      <c r="J183" t="inlineStr">
        <is>
          <t>--</t>
        </is>
      </c>
      <c r="K183" t="n">
        <v>32.51</v>
      </c>
      <c r="L183" t="n">
        <v>32.34</v>
      </c>
      <c r="M183" s="155" t="inlineStr">
        <is>
          <t>--</t>
        </is>
      </c>
      <c r="N183" t="inlineStr">
        <is>
          <t>--</t>
        </is>
      </c>
    </row>
    <row r="184">
      <c r="A184" t="inlineStr">
        <is>
          <t>00864B</t>
        </is>
      </c>
      <c r="B184" t="inlineStr">
        <is>
          <t>中信美國公債0-1</t>
        </is>
      </c>
      <c r="C184" t="n">
        <v>45.52</v>
      </c>
      <c r="D184" t="n">
        <v>45.69</v>
      </c>
      <c r="E184" s="730" t="n">
        <v>0.17</v>
      </c>
      <c r="F184" s="731" t="n">
        <v>0.37</v>
      </c>
      <c r="G184" t="inlineStr">
        <is>
          <t>4973萬</t>
        </is>
      </c>
      <c r="H184" t="n">
        <v>1090</v>
      </c>
      <c r="I184" t="n">
        <v>1441</v>
      </c>
      <c r="J184" t="inlineStr">
        <is>
          <t>--</t>
        </is>
      </c>
      <c r="K184" t="n">
        <v>45.71</v>
      </c>
      <c r="L184" t="n">
        <v>45.52</v>
      </c>
      <c r="M184" s="155" t="inlineStr">
        <is>
          <t>--</t>
        </is>
      </c>
      <c r="N184" t="inlineStr">
        <is>
          <t>--</t>
        </is>
      </c>
    </row>
    <row r="185">
      <c r="A185" t="inlineStr">
        <is>
          <t>00865B</t>
        </is>
      </c>
      <c r="B185" t="inlineStr">
        <is>
          <t>國泰US短期公債</t>
        </is>
      </c>
      <c r="C185" t="n">
        <v>47.66</v>
      </c>
      <c r="D185" t="n">
        <v>47.85</v>
      </c>
      <c r="E185" s="730" t="n">
        <v>0.19</v>
      </c>
      <c r="F185" s="731" t="n">
        <v>0.4</v>
      </c>
      <c r="G185" t="inlineStr">
        <is>
          <t>1.03億</t>
        </is>
      </c>
      <c r="H185" t="n">
        <v>2156</v>
      </c>
      <c r="I185" t="n">
        <v>3365</v>
      </c>
      <c r="J185" t="inlineStr">
        <is>
          <t>--</t>
        </is>
      </c>
      <c r="K185" t="n">
        <v>47.86</v>
      </c>
      <c r="L185" t="n">
        <v>47.66</v>
      </c>
      <c r="M185" s="155" t="inlineStr">
        <is>
          <t>--</t>
        </is>
      </c>
      <c r="N185" t="inlineStr">
        <is>
          <t>--</t>
        </is>
      </c>
    </row>
    <row r="186">
      <c r="A186" t="inlineStr">
        <is>
          <t>00867B</t>
        </is>
      </c>
      <c r="B186" t="inlineStr">
        <is>
          <t>新光A-BBB電信債</t>
        </is>
      </c>
      <c r="C186" t="n">
        <v>31.25</v>
      </c>
      <c r="D186" t="n">
        <v>31.34</v>
      </c>
      <c r="E186" s="730" t="n">
        <v>0.21</v>
      </c>
      <c r="F186" s="731" t="n">
        <v>0.67</v>
      </c>
      <c r="G186" t="inlineStr">
        <is>
          <t>397萬</t>
        </is>
      </c>
      <c r="H186" t="n">
        <v>127</v>
      </c>
      <c r="I186" t="n">
        <v>67</v>
      </c>
      <c r="J186" t="inlineStr">
        <is>
          <t>--</t>
        </is>
      </c>
      <c r="K186" t="n">
        <v>31.34</v>
      </c>
      <c r="L186" t="n">
        <v>31.25</v>
      </c>
      <c r="M186" s="155" t="inlineStr">
        <is>
          <t>--</t>
        </is>
      </c>
      <c r="N186" t="inlineStr">
        <is>
          <t>--</t>
        </is>
      </c>
    </row>
    <row r="187">
      <c r="A187" t="inlineStr">
        <is>
          <t>00870B</t>
        </is>
      </c>
      <c r="B187" t="inlineStr">
        <is>
          <t>元大15年EM主權債</t>
        </is>
      </c>
      <c r="C187" t="n">
        <v>28.28</v>
      </c>
      <c r="D187" t="n">
        <v>28.3</v>
      </c>
      <c r="E187" s="730" t="n">
        <v>0.05</v>
      </c>
      <c r="F187" s="731" t="n">
        <v>0.18</v>
      </c>
      <c r="G187" t="inlineStr">
        <is>
          <t>175萬</t>
        </is>
      </c>
      <c r="H187" t="n">
        <v>62</v>
      </c>
      <c r="I187" t="n">
        <v>12</v>
      </c>
      <c r="J187" t="inlineStr">
        <is>
          <t>--</t>
        </is>
      </c>
      <c r="K187" t="n">
        <v>28.3</v>
      </c>
      <c r="L187" t="n">
        <v>28.28</v>
      </c>
      <c r="M187" s="155" t="inlineStr">
        <is>
          <t>--</t>
        </is>
      </c>
      <c r="N187" t="inlineStr">
        <is>
          <t>--</t>
        </is>
      </c>
    </row>
    <row r="188">
      <c r="A188" t="n">
        <v>875</v>
      </c>
      <c r="B188" t="inlineStr">
        <is>
          <t>國泰網路資安</t>
        </is>
      </c>
      <c r="C188" t="n">
        <v>50.7</v>
      </c>
      <c r="D188" t="n">
        <v>51.5</v>
      </c>
      <c r="E188" s="730" t="n">
        <v>2.42</v>
      </c>
      <c r="F188" s="731" t="n">
        <v>4.93</v>
      </c>
      <c r="G188" t="inlineStr">
        <is>
          <t>1376萬</t>
        </is>
      </c>
      <c r="H188" t="n">
        <v>270</v>
      </c>
      <c r="I188" t="n">
        <v>173</v>
      </c>
      <c r="J188" t="inlineStr">
        <is>
          <t>--</t>
        </is>
      </c>
      <c r="K188" t="n">
        <v>51.5</v>
      </c>
      <c r="L188" t="n">
        <v>50.7</v>
      </c>
      <c r="M188" s="155" t="inlineStr">
        <is>
          <t>--</t>
        </is>
      </c>
      <c r="N188" t="inlineStr">
        <is>
          <t>--</t>
        </is>
      </c>
    </row>
    <row r="189">
      <c r="A189" t="n">
        <v>876</v>
      </c>
      <c r="B189" t="inlineStr">
        <is>
          <t>元大全球5G</t>
        </is>
      </c>
      <c r="C189" t="n">
        <v>92.45</v>
      </c>
      <c r="D189" t="n">
        <v>91.75</v>
      </c>
      <c r="E189" s="730" t="n">
        <v>-0.95</v>
      </c>
      <c r="F189" s="731" t="n">
        <v>-1.02</v>
      </c>
      <c r="G189" t="inlineStr">
        <is>
          <t>3764萬</t>
        </is>
      </c>
      <c r="H189" t="n">
        <v>414</v>
      </c>
      <c r="I189" t="n">
        <v>467</v>
      </c>
      <c r="J189" t="inlineStr">
        <is>
          <t>--</t>
        </is>
      </c>
      <c r="K189" t="n">
        <v>92.45</v>
      </c>
      <c r="L189" t="n">
        <v>90.5</v>
      </c>
      <c r="M189" s="155" t="inlineStr">
        <is>
          <t>--</t>
        </is>
      </c>
      <c r="N189" t="inlineStr">
        <is>
          <t>--</t>
        </is>
      </c>
    </row>
    <row r="190">
      <c r="A190" t="n">
        <v>877</v>
      </c>
      <c r="B190" t="inlineStr">
        <is>
          <t>復華中國5G</t>
        </is>
      </c>
      <c r="C190" t="n">
        <v>41.18</v>
      </c>
      <c r="D190" t="n">
        <v>43</v>
      </c>
      <c r="E190" s="730" t="n">
        <v>1.43</v>
      </c>
      <c r="F190" s="731" t="n">
        <v>3.44</v>
      </c>
      <c r="G190" t="inlineStr">
        <is>
          <t>3.01億</t>
        </is>
      </c>
      <c r="H190" t="n">
        <v>7170</v>
      </c>
      <c r="I190" t="n">
        <v>5997</v>
      </c>
      <c r="J190" t="inlineStr">
        <is>
          <t>--</t>
        </is>
      </c>
      <c r="K190" t="n">
        <v>43.01</v>
      </c>
      <c r="L190" t="n">
        <v>40.9</v>
      </c>
      <c r="M190" s="155" t="inlineStr">
        <is>
          <t>--</t>
        </is>
      </c>
      <c r="N190" t="inlineStr">
        <is>
          <t>--</t>
        </is>
      </c>
    </row>
    <row r="191">
      <c r="A191" t="n">
        <v>878</v>
      </c>
      <c r="B191" t="inlineStr">
        <is>
          <t>國泰永續高股息</t>
        </is>
      </c>
      <c r="C191" t="n">
        <v>32.1</v>
      </c>
      <c r="D191" t="n">
        <v>32.49</v>
      </c>
      <c r="E191" s="730" t="n">
        <v>0.5</v>
      </c>
      <c r="F191" s="731" t="n">
        <v>1.56</v>
      </c>
      <c r="G191" t="inlineStr">
        <is>
          <t>35.5億</t>
        </is>
      </c>
      <c r="H191" t="n">
        <v>110512</v>
      </c>
      <c r="I191" t="n">
        <v>92135</v>
      </c>
      <c r="J191" t="inlineStr">
        <is>
          <t>--</t>
        </is>
      </c>
      <c r="K191" t="n">
        <v>32.5</v>
      </c>
      <c r="L191" t="n">
        <v>31.81</v>
      </c>
      <c r="M191" s="155" t="inlineStr">
        <is>
          <t>--</t>
        </is>
      </c>
      <c r="N191" t="inlineStr">
        <is>
          <t>--</t>
        </is>
      </c>
    </row>
    <row r="192">
      <c r="A192" t="n">
        <v>881</v>
      </c>
      <c r="B192" t="inlineStr">
        <is>
          <t>國泰台灣科技龍頭</t>
        </is>
      </c>
      <c r="C192" t="n">
        <v>55.75</v>
      </c>
      <c r="D192" t="n">
        <v>55.3</v>
      </c>
      <c r="E192" s="730" t="n">
        <v>-0.2</v>
      </c>
      <c r="F192" s="731" t="n">
        <v>-0.36</v>
      </c>
      <c r="G192" t="inlineStr">
        <is>
          <t>8.33億</t>
        </is>
      </c>
      <c r="H192" t="n">
        <v>15124</v>
      </c>
      <c r="I192" t="n">
        <v>13714</v>
      </c>
      <c r="J192" t="inlineStr">
        <is>
          <t>--</t>
        </is>
      </c>
      <c r="K192" t="n">
        <v>56</v>
      </c>
      <c r="L192" t="n">
        <v>54.35</v>
      </c>
      <c r="M192" s="155" t="inlineStr">
        <is>
          <t>--</t>
        </is>
      </c>
      <c r="N192" t="inlineStr">
        <is>
          <t>--</t>
        </is>
      </c>
    </row>
    <row r="193">
      <c r="A193" t="n">
        <v>882</v>
      </c>
      <c r="B193" t="inlineStr">
        <is>
          <t>中信中國高股息</t>
        </is>
      </c>
      <c r="C193" t="n">
        <v>15.66</v>
      </c>
      <c r="D193" t="n">
        <v>15.87</v>
      </c>
      <c r="E193" s="730" t="n">
        <v>0.14</v>
      </c>
      <c r="F193" s="731" t="n">
        <v>0.89</v>
      </c>
      <c r="G193" t="inlineStr">
        <is>
          <t>1.53億</t>
        </is>
      </c>
      <c r="H193" t="n">
        <v>9714</v>
      </c>
      <c r="I193" t="n">
        <v>12473</v>
      </c>
      <c r="J193" t="inlineStr">
        <is>
          <t>--</t>
        </is>
      </c>
      <c r="K193" t="n">
        <v>15.87</v>
      </c>
      <c r="L193" t="n">
        <v>15.61</v>
      </c>
      <c r="M193" s="155" t="inlineStr">
        <is>
          <t>--</t>
        </is>
      </c>
      <c r="N193" t="inlineStr">
        <is>
          <t>--</t>
        </is>
      </c>
    </row>
    <row r="194">
      <c r="A194" t="inlineStr">
        <is>
          <t>00884B</t>
        </is>
      </c>
      <c r="B194" t="inlineStr">
        <is>
          <t>中信低碳新興債</t>
        </is>
      </c>
      <c r="C194" t="n">
        <v>29.62</v>
      </c>
      <c r="D194" t="n">
        <v>29.8</v>
      </c>
      <c r="E194" s="730" t="n">
        <v>0.23</v>
      </c>
      <c r="F194" s="731" t="n">
        <v>0.78</v>
      </c>
      <c r="G194" t="inlineStr">
        <is>
          <t>1728萬</t>
        </is>
      </c>
      <c r="H194" t="n">
        <v>581</v>
      </c>
      <c r="I194" t="n">
        <v>276</v>
      </c>
      <c r="J194" t="inlineStr">
        <is>
          <t>--</t>
        </is>
      </c>
      <c r="K194" t="n">
        <v>29.8</v>
      </c>
      <c r="L194" t="n">
        <v>29.62</v>
      </c>
      <c r="M194" s="155" t="inlineStr">
        <is>
          <t>--</t>
        </is>
      </c>
      <c r="N194" t="inlineStr">
        <is>
          <t>--</t>
        </is>
      </c>
    </row>
    <row r="195">
      <c r="A195" t="n">
        <v>885</v>
      </c>
      <c r="B195" t="inlineStr">
        <is>
          <t>富邦越南</t>
        </is>
      </c>
      <c r="C195" t="n">
        <v>18.65</v>
      </c>
      <c r="D195" t="n">
        <v>18.54</v>
      </c>
      <c r="E195" s="730" t="n">
        <v>-0.13</v>
      </c>
      <c r="F195" s="731" t="n">
        <v>-0.7</v>
      </c>
      <c r="G195" t="inlineStr">
        <is>
          <t>5874萬</t>
        </is>
      </c>
      <c r="H195" t="n">
        <v>3171</v>
      </c>
      <c r="I195" t="n">
        <v>3659</v>
      </c>
      <c r="J195" t="inlineStr">
        <is>
          <t>--</t>
        </is>
      </c>
      <c r="K195" t="n">
        <v>18.69</v>
      </c>
      <c r="L195" t="n">
        <v>18.5</v>
      </c>
      <c r="M195" s="155" t="inlineStr">
        <is>
          <t>--</t>
        </is>
      </c>
      <c r="N195" t="inlineStr">
        <is>
          <t>--</t>
        </is>
      </c>
    </row>
    <row r="196">
      <c r="A196" t="n">
        <v>886</v>
      </c>
      <c r="B196" t="inlineStr">
        <is>
          <t>永豐美國科技</t>
        </is>
      </c>
      <c r="C196" t="n">
        <v>44.68</v>
      </c>
      <c r="D196" t="n">
        <v>44.71</v>
      </c>
      <c r="E196" s="730" t="n">
        <v>-0.31</v>
      </c>
      <c r="F196" s="731" t="n">
        <v>-0.6899999999999999</v>
      </c>
      <c r="G196" t="inlineStr">
        <is>
          <t>22.3萬</t>
        </is>
      </c>
      <c r="H196" t="n">
        <v>5</v>
      </c>
      <c r="I196" t="n">
        <v>52</v>
      </c>
      <c r="J196" t="inlineStr">
        <is>
          <t>--</t>
        </is>
      </c>
      <c r="K196" t="n">
        <v>44.71</v>
      </c>
      <c r="L196" t="n">
        <v>44.61</v>
      </c>
      <c r="M196" s="155" t="inlineStr">
        <is>
          <t>--</t>
        </is>
      </c>
      <c r="N196" t="inlineStr">
        <is>
          <t>--</t>
        </is>
      </c>
    </row>
    <row r="197">
      <c r="A197" t="n">
        <v>887</v>
      </c>
      <c r="B197" t="inlineStr">
        <is>
          <t>永豐中國科技50大</t>
        </is>
      </c>
      <c r="C197" t="n">
        <v>17.1</v>
      </c>
      <c r="D197" t="n">
        <v>17.39</v>
      </c>
      <c r="E197" s="730" t="n">
        <v>0.19</v>
      </c>
      <c r="F197" s="731" t="n">
        <v>1.1</v>
      </c>
      <c r="G197" t="inlineStr">
        <is>
          <t>1.84億</t>
        </is>
      </c>
      <c r="H197" t="n">
        <v>10743</v>
      </c>
      <c r="I197" t="n">
        <v>13814</v>
      </c>
      <c r="J197" t="inlineStr">
        <is>
          <t>--</t>
        </is>
      </c>
      <c r="K197" t="n">
        <v>17.41</v>
      </c>
      <c r="L197" t="n">
        <v>16.81</v>
      </c>
      <c r="M197" s="155" t="inlineStr">
        <is>
          <t>--</t>
        </is>
      </c>
      <c r="N197" t="inlineStr">
        <is>
          <t>--</t>
        </is>
      </c>
    </row>
    <row r="198">
      <c r="A198" t="n">
        <v>888</v>
      </c>
      <c r="B198" t="inlineStr">
        <is>
          <t>永豐台灣ESG</t>
        </is>
      </c>
      <c r="C198" t="n">
        <v>36.15</v>
      </c>
      <c r="D198" t="n">
        <v>35.57</v>
      </c>
      <c r="E198" s="730" t="n">
        <v>-0.08</v>
      </c>
      <c r="F198" s="731" t="n">
        <v>-0.22</v>
      </c>
      <c r="G198" t="inlineStr">
        <is>
          <t>3.92億</t>
        </is>
      </c>
      <c r="H198" t="n">
        <v>11060</v>
      </c>
      <c r="I198" t="n">
        <v>8279</v>
      </c>
      <c r="J198" t="inlineStr">
        <is>
          <t>--</t>
        </is>
      </c>
      <c r="K198" t="n">
        <v>36.15</v>
      </c>
      <c r="L198" t="n">
        <v>34.78</v>
      </c>
      <c r="M198" s="155" t="inlineStr">
        <is>
          <t>--</t>
        </is>
      </c>
      <c r="N198" t="inlineStr">
        <is>
          <t>--</t>
        </is>
      </c>
    </row>
    <row r="199">
      <c r="A199" t="inlineStr">
        <is>
          <t>00890B</t>
        </is>
      </c>
      <c r="B199" t="inlineStr">
        <is>
          <t>凱基ESG BBB債15+</t>
        </is>
      </c>
      <c r="C199" t="n">
        <v>32.39</v>
      </c>
      <c r="D199" t="n">
        <v>32.58</v>
      </c>
      <c r="E199" s="730" t="n">
        <v>0.29</v>
      </c>
      <c r="F199" s="731" t="n">
        <v>0.9</v>
      </c>
      <c r="G199" t="inlineStr">
        <is>
          <t>2124萬</t>
        </is>
      </c>
      <c r="H199" t="n">
        <v>652</v>
      </c>
      <c r="I199" t="n">
        <v>276</v>
      </c>
      <c r="J199" t="inlineStr">
        <is>
          <t>--</t>
        </is>
      </c>
      <c r="K199" t="n">
        <v>32.58</v>
      </c>
      <c r="L199" t="n">
        <v>32.39</v>
      </c>
      <c r="M199" s="155" t="inlineStr">
        <is>
          <t>--</t>
        </is>
      </c>
      <c r="N199" t="inlineStr">
        <is>
          <t>--</t>
        </is>
      </c>
    </row>
    <row r="200">
      <c r="A200" t="n">
        <v>891</v>
      </c>
      <c r="B200" t="inlineStr">
        <is>
          <t>中信關鍵半導體</t>
        </is>
      </c>
      <c r="C200" t="n">
        <v>36.82</v>
      </c>
      <c r="D200" t="n">
        <v>36.41</v>
      </c>
      <c r="E200" s="730" t="n">
        <v>-0.01</v>
      </c>
      <c r="F200" s="731" t="n">
        <v>-0.03</v>
      </c>
      <c r="G200" t="inlineStr">
        <is>
          <t>13.0億</t>
        </is>
      </c>
      <c r="H200" t="n">
        <v>35808</v>
      </c>
      <c r="I200" t="n">
        <v>45751</v>
      </c>
      <c r="J200" t="inlineStr">
        <is>
          <t>--</t>
        </is>
      </c>
      <c r="K200" t="n">
        <v>37.15</v>
      </c>
      <c r="L200" t="n">
        <v>35.79</v>
      </c>
      <c r="M200" s="155" t="inlineStr">
        <is>
          <t>--</t>
        </is>
      </c>
      <c r="N200" t="inlineStr">
        <is>
          <t>--</t>
        </is>
      </c>
    </row>
    <row r="201">
      <c r="A201" t="n">
        <v>892</v>
      </c>
      <c r="B201" t="inlineStr">
        <is>
          <t>富邦台灣半導體</t>
        </is>
      </c>
      <c r="C201" t="n">
        <v>44.81</v>
      </c>
      <c r="D201" t="n">
        <v>44.17</v>
      </c>
      <c r="E201" s="730" t="n">
        <v>-0.35</v>
      </c>
      <c r="F201" s="731" t="n">
        <v>-0.79</v>
      </c>
      <c r="G201" t="inlineStr">
        <is>
          <t>1.03億</t>
        </is>
      </c>
      <c r="H201" t="n">
        <v>2341</v>
      </c>
      <c r="I201" t="n">
        <v>4187</v>
      </c>
      <c r="J201" t="inlineStr">
        <is>
          <t>--</t>
        </is>
      </c>
      <c r="K201" t="n">
        <v>45</v>
      </c>
      <c r="L201" t="n">
        <v>43.55</v>
      </c>
      <c r="M201" s="155" t="inlineStr">
        <is>
          <t>--</t>
        </is>
      </c>
      <c r="N201" t="inlineStr">
        <is>
          <t>--</t>
        </is>
      </c>
    </row>
    <row r="202">
      <c r="A202" t="n">
        <v>893</v>
      </c>
      <c r="B202" t="inlineStr">
        <is>
          <t>國泰智能電動車</t>
        </is>
      </c>
      <c r="C202" t="n">
        <v>47.6</v>
      </c>
      <c r="D202" t="n">
        <v>47.06</v>
      </c>
      <c r="E202" s="730" t="n">
        <v>-0.57</v>
      </c>
      <c r="F202" s="731" t="n">
        <v>-1.2</v>
      </c>
      <c r="G202" t="inlineStr">
        <is>
          <t>5357萬</t>
        </is>
      </c>
      <c r="H202" t="n">
        <v>1147</v>
      </c>
      <c r="I202" t="n">
        <v>1511</v>
      </c>
      <c r="J202" t="inlineStr">
        <is>
          <t>--</t>
        </is>
      </c>
      <c r="K202" t="n">
        <v>47.6</v>
      </c>
      <c r="L202" t="n">
        <v>46.72</v>
      </c>
      <c r="M202" s="155" t="inlineStr">
        <is>
          <t>--</t>
        </is>
      </c>
      <c r="N202" t="inlineStr">
        <is>
          <t>--</t>
        </is>
      </c>
    </row>
    <row r="203">
      <c r="A203" t="n">
        <v>894</v>
      </c>
      <c r="B203" t="inlineStr">
        <is>
          <t>中信小資高價30</t>
        </is>
      </c>
      <c r="C203" t="n">
        <v>50.65</v>
      </c>
      <c r="D203" t="n">
        <v>49.75</v>
      </c>
      <c r="E203" s="730" t="n">
        <v>-0.8</v>
      </c>
      <c r="F203" s="731" t="n">
        <v>-1.58</v>
      </c>
      <c r="G203" t="inlineStr">
        <is>
          <t>1.31億</t>
        </is>
      </c>
      <c r="H203" t="n">
        <v>2623</v>
      </c>
      <c r="I203" t="n">
        <v>2798</v>
      </c>
      <c r="J203" t="inlineStr">
        <is>
          <t>--</t>
        </is>
      </c>
      <c r="K203" t="n">
        <v>51</v>
      </c>
      <c r="L203" t="n">
        <v>49.1</v>
      </c>
      <c r="M203" s="155" t="inlineStr">
        <is>
          <t>--</t>
        </is>
      </c>
      <c r="N203" t="inlineStr">
        <is>
          <t>--</t>
        </is>
      </c>
    </row>
    <row r="204">
      <c r="A204" t="n">
        <v>895</v>
      </c>
      <c r="B204" t="inlineStr">
        <is>
          <t>富邦未來車</t>
        </is>
      </c>
      <c r="C204" t="n">
        <v>52.4</v>
      </c>
      <c r="D204" t="n">
        <v>52.55</v>
      </c>
      <c r="E204" s="730" t="n">
        <v>0.1</v>
      </c>
      <c r="F204" s="731" t="n">
        <v>0.19</v>
      </c>
      <c r="G204" t="inlineStr">
        <is>
          <t>5177萬</t>
        </is>
      </c>
      <c r="H204" t="n">
        <v>991</v>
      </c>
      <c r="I204" t="n">
        <v>1279</v>
      </c>
      <c r="J204" t="inlineStr">
        <is>
          <t>--</t>
        </is>
      </c>
      <c r="K204" t="n">
        <v>52.6</v>
      </c>
      <c r="L204" t="n">
        <v>51.85</v>
      </c>
      <c r="M204" s="155" t="inlineStr">
        <is>
          <t>--</t>
        </is>
      </c>
      <c r="N204" t="inlineStr">
        <is>
          <t>--</t>
        </is>
      </c>
    </row>
    <row r="205">
      <c r="A205" t="n">
        <v>896</v>
      </c>
      <c r="B205" t="inlineStr">
        <is>
          <t>中信綠能及電動車</t>
        </is>
      </c>
      <c r="C205" t="n">
        <v>30.85</v>
      </c>
      <c r="D205" t="n">
        <v>29.54</v>
      </c>
      <c r="E205" s="730" t="n">
        <v>0.17</v>
      </c>
      <c r="F205" s="731" t="n">
        <v>0.58</v>
      </c>
      <c r="G205" t="inlineStr">
        <is>
          <t>9.36億</t>
        </is>
      </c>
      <c r="H205" t="n">
        <v>31894</v>
      </c>
      <c r="I205" t="n">
        <v>3923</v>
      </c>
      <c r="J205" t="inlineStr">
        <is>
          <t>--</t>
        </is>
      </c>
      <c r="K205" t="n">
        <v>30.85</v>
      </c>
      <c r="L205" t="n">
        <v>29.02</v>
      </c>
      <c r="M205" s="155" t="inlineStr">
        <is>
          <t>--</t>
        </is>
      </c>
      <c r="N205" t="inlineStr">
        <is>
          <t>--</t>
        </is>
      </c>
    </row>
    <row r="206">
      <c r="A206" t="n">
        <v>897</v>
      </c>
      <c r="B206" t="inlineStr">
        <is>
          <t>富邦基因免疫生技</t>
        </is>
      </c>
      <c r="C206" t="n">
        <v>9.779999999999999</v>
      </c>
      <c r="D206" t="n">
        <v>9.67</v>
      </c>
      <c r="E206" s="730" t="n">
        <v>-0.23</v>
      </c>
      <c r="F206" s="731" t="n">
        <v>-2.32</v>
      </c>
      <c r="G206" t="inlineStr">
        <is>
          <t>553萬</t>
        </is>
      </c>
      <c r="H206" t="n">
        <v>574</v>
      </c>
      <c r="I206" t="n">
        <v>938</v>
      </c>
      <c r="J206" t="inlineStr">
        <is>
          <t>--</t>
        </is>
      </c>
      <c r="K206" t="n">
        <v>9.779999999999999</v>
      </c>
      <c r="L206" t="n">
        <v>9.619999999999999</v>
      </c>
      <c r="M206" s="155" t="inlineStr">
        <is>
          <t>--</t>
        </is>
      </c>
      <c r="N206" t="inlineStr">
        <is>
          <t>--</t>
        </is>
      </c>
    </row>
    <row r="207">
      <c r="A207" t="n">
        <v>898</v>
      </c>
      <c r="B207" t="inlineStr">
        <is>
          <t>國泰基因免疫革命</t>
        </is>
      </c>
      <c r="C207" t="n">
        <v>8.18</v>
      </c>
      <c r="D207" t="n">
        <v>8.17</v>
      </c>
      <c r="E207" s="730" t="n">
        <v>-0.11</v>
      </c>
      <c r="F207" s="731" t="n">
        <v>-1.33</v>
      </c>
      <c r="G207" t="inlineStr">
        <is>
          <t>237萬</t>
        </is>
      </c>
      <c r="H207" t="n">
        <v>290</v>
      </c>
      <c r="I207" t="n">
        <v>821</v>
      </c>
      <c r="J207" t="inlineStr">
        <is>
          <t>--</t>
        </is>
      </c>
      <c r="K207" t="n">
        <v>8.18</v>
      </c>
      <c r="L207" t="n">
        <v>8.15</v>
      </c>
      <c r="M207" s="155" t="inlineStr">
        <is>
          <t>--</t>
        </is>
      </c>
      <c r="N207" t="inlineStr">
        <is>
          <t>--</t>
        </is>
      </c>
    </row>
    <row r="208">
      <c r="A208" t="n">
        <v>899</v>
      </c>
      <c r="B208" t="inlineStr">
        <is>
          <t>FT潔淨能源</t>
        </is>
      </c>
      <c r="C208" t="n">
        <v>29.5</v>
      </c>
      <c r="D208" t="n">
        <v>29.53</v>
      </c>
      <c r="E208" s="730" t="n">
        <v>-0.5600000000000001</v>
      </c>
      <c r="F208" s="731" t="n">
        <v>-1.86</v>
      </c>
      <c r="G208" t="inlineStr">
        <is>
          <t>488萬</t>
        </is>
      </c>
      <c r="H208" t="n">
        <v>165</v>
      </c>
      <c r="I208" t="n">
        <v>109</v>
      </c>
      <c r="J208" t="inlineStr">
        <is>
          <t>--</t>
        </is>
      </c>
      <c r="K208" t="n">
        <v>29.64</v>
      </c>
      <c r="L208" t="n">
        <v>29.5</v>
      </c>
      <c r="M208" s="155" t="inlineStr">
        <is>
          <t>--</t>
        </is>
      </c>
      <c r="N208" t="inlineStr">
        <is>
          <t>--</t>
        </is>
      </c>
    </row>
    <row r="209">
      <c r="A209" t="n">
        <v>900</v>
      </c>
      <c r="B209" t="inlineStr">
        <is>
          <t>富邦特選高股息30</t>
        </is>
      </c>
      <c r="C209" t="n">
        <v>19.64</v>
      </c>
      <c r="D209" t="n">
        <v>19.92</v>
      </c>
      <c r="E209" s="730" t="n">
        <v>0.34</v>
      </c>
      <c r="F209" s="731" t="n">
        <v>1.74</v>
      </c>
      <c r="G209" t="inlineStr">
        <is>
          <t>2.95億</t>
        </is>
      </c>
      <c r="H209" t="n">
        <v>14871</v>
      </c>
      <c r="I209" t="n">
        <v>11464</v>
      </c>
      <c r="J209" t="inlineStr">
        <is>
          <t>--</t>
        </is>
      </c>
      <c r="K209" t="n">
        <v>19.98</v>
      </c>
      <c r="L209" t="n">
        <v>19.6</v>
      </c>
      <c r="M209" s="155" t="inlineStr">
        <is>
          <t>--</t>
        </is>
      </c>
      <c r="N209" t="inlineStr">
        <is>
          <t>--</t>
        </is>
      </c>
    </row>
    <row r="210">
      <c r="A210" t="n">
        <v>901</v>
      </c>
      <c r="B210" t="inlineStr">
        <is>
          <t>永豐智能車供應鏈</t>
        </is>
      </c>
      <c r="C210" t="n">
        <v>47.72</v>
      </c>
      <c r="D210" t="n">
        <v>47.53</v>
      </c>
      <c r="E210" s="730" t="n">
        <v>-0.15</v>
      </c>
      <c r="F210" s="731" t="n">
        <v>-0.31</v>
      </c>
      <c r="G210" t="inlineStr">
        <is>
          <t>2030萬</t>
        </is>
      </c>
      <c r="H210" t="n">
        <v>429</v>
      </c>
      <c r="I210" t="n">
        <v>1341</v>
      </c>
      <c r="J210" t="inlineStr">
        <is>
          <t>--</t>
        </is>
      </c>
      <c r="K210" t="n">
        <v>48.06</v>
      </c>
      <c r="L210" t="n">
        <v>46.63</v>
      </c>
      <c r="M210" s="155" t="inlineStr">
        <is>
          <t>--</t>
        </is>
      </c>
      <c r="N210" t="inlineStr">
        <is>
          <t>--</t>
        </is>
      </c>
    </row>
    <row r="211">
      <c r="A211" t="n">
        <v>902</v>
      </c>
      <c r="B211" t="inlineStr">
        <is>
          <t>中信電池及儲能</t>
        </is>
      </c>
      <c r="C211" t="n">
        <v>16.57</v>
      </c>
      <c r="D211" t="n">
        <v>16.45</v>
      </c>
      <c r="E211" s="730" t="n">
        <v>-0.31</v>
      </c>
      <c r="F211" s="731" t="n">
        <v>-1.85</v>
      </c>
      <c r="G211" t="inlineStr">
        <is>
          <t>3614萬</t>
        </is>
      </c>
      <c r="H211" t="n">
        <v>2234</v>
      </c>
      <c r="I211" t="n">
        <v>2186</v>
      </c>
      <c r="J211" t="inlineStr">
        <is>
          <t>--</t>
        </is>
      </c>
      <c r="K211" t="n">
        <v>16.57</v>
      </c>
      <c r="L211" t="n">
        <v>16.14</v>
      </c>
      <c r="M211" s="155" t="inlineStr">
        <is>
          <t>--</t>
        </is>
      </c>
      <c r="N211" t="inlineStr">
        <is>
          <t>--</t>
        </is>
      </c>
    </row>
    <row r="212">
      <c r="A212" t="n">
        <v>903</v>
      </c>
      <c r="B212" t="inlineStr">
        <is>
          <t>富邦元宇宙</t>
        </is>
      </c>
      <c r="C212" t="n">
        <v>23.05</v>
      </c>
      <c r="D212" t="n">
        <v>23.25</v>
      </c>
      <c r="E212" s="730" t="n">
        <v>0.42</v>
      </c>
      <c r="F212" s="731" t="n">
        <v>1.84</v>
      </c>
      <c r="G212" t="inlineStr">
        <is>
          <t>1525萬</t>
        </is>
      </c>
      <c r="H212" t="n">
        <v>660</v>
      </c>
      <c r="I212" t="n">
        <v>375</v>
      </c>
      <c r="J212" t="inlineStr">
        <is>
          <t>--</t>
        </is>
      </c>
      <c r="K212" t="n">
        <v>23.25</v>
      </c>
      <c r="L212" t="n">
        <v>23</v>
      </c>
      <c r="M212" s="155" t="inlineStr">
        <is>
          <t>--</t>
        </is>
      </c>
      <c r="N212" t="inlineStr">
        <is>
          <t>--</t>
        </is>
      </c>
    </row>
    <row r="213">
      <c r="A213" t="n">
        <v>904</v>
      </c>
      <c r="B213" t="inlineStr">
        <is>
          <t>新光臺灣半導體30</t>
        </is>
      </c>
      <c r="C213" t="n">
        <v>43.23</v>
      </c>
      <c r="D213" t="n">
        <v>42.68</v>
      </c>
      <c r="E213" s="730" t="n">
        <v>-0.29</v>
      </c>
      <c r="F213" s="731" t="n">
        <v>-0.67</v>
      </c>
      <c r="G213" t="inlineStr">
        <is>
          <t>8695萬</t>
        </is>
      </c>
      <c r="H213" t="n">
        <v>2037</v>
      </c>
      <c r="I213" t="n">
        <v>2831</v>
      </c>
      <c r="J213" t="inlineStr">
        <is>
          <t>--</t>
        </is>
      </c>
      <c r="K213" t="n">
        <v>43.41</v>
      </c>
      <c r="L213" t="n">
        <v>42</v>
      </c>
      <c r="M213" s="155" t="inlineStr">
        <is>
          <t>--</t>
        </is>
      </c>
      <c r="N213" t="inlineStr">
        <is>
          <t>--</t>
        </is>
      </c>
    </row>
    <row r="214">
      <c r="A214" t="n">
        <v>905</v>
      </c>
      <c r="B214" t="inlineStr">
        <is>
          <t>FT臺灣Smart</t>
        </is>
      </c>
      <c r="C214" t="n">
        <v>27.84</v>
      </c>
      <c r="D214" t="n">
        <v>27.64</v>
      </c>
      <c r="E214" s="730" t="n">
        <v>-0.12</v>
      </c>
      <c r="F214" s="731" t="n">
        <v>-0.43</v>
      </c>
      <c r="G214" t="inlineStr">
        <is>
          <t>4867萬</t>
        </is>
      </c>
      <c r="H214" t="n">
        <v>1771</v>
      </c>
      <c r="I214" t="n">
        <v>1792</v>
      </c>
      <c r="J214" t="inlineStr">
        <is>
          <t>--</t>
        </is>
      </c>
      <c r="K214" t="n">
        <v>27.9</v>
      </c>
      <c r="L214" t="n">
        <v>27.12</v>
      </c>
      <c r="M214" s="155" t="inlineStr">
        <is>
          <t>--</t>
        </is>
      </c>
      <c r="N214" t="inlineStr">
        <is>
          <t>--</t>
        </is>
      </c>
    </row>
    <row r="215">
      <c r="A215" t="n">
        <v>907</v>
      </c>
      <c r="B215" t="inlineStr">
        <is>
          <t>永豐優息存股</t>
        </is>
      </c>
      <c r="C215" t="n">
        <v>15.64</v>
      </c>
      <c r="D215" t="n">
        <v>15.8</v>
      </c>
      <c r="E215" s="730" t="n">
        <v>0.16</v>
      </c>
      <c r="F215" s="731" t="n">
        <v>1.02</v>
      </c>
      <c r="G215" t="inlineStr">
        <is>
          <t>6339萬</t>
        </is>
      </c>
      <c r="H215" t="n">
        <v>4049</v>
      </c>
      <c r="I215" t="n">
        <v>2514</v>
      </c>
      <c r="J215" t="inlineStr">
        <is>
          <t>--</t>
        </is>
      </c>
      <c r="K215" t="n">
        <v>15.8</v>
      </c>
      <c r="L215" t="n">
        <v>15.53</v>
      </c>
      <c r="M215" s="155" t="inlineStr">
        <is>
          <t>--</t>
        </is>
      </c>
      <c r="N215" t="inlineStr">
        <is>
          <t>--</t>
        </is>
      </c>
    </row>
    <row r="216">
      <c r="A216" t="n">
        <v>908</v>
      </c>
      <c r="B216" t="inlineStr">
        <is>
          <t>富邦入息REITs+</t>
        </is>
      </c>
      <c r="C216" t="n">
        <v>14.43</v>
      </c>
      <c r="D216" t="n">
        <v>14.44</v>
      </c>
      <c r="E216" s="730" t="n">
        <v>0.01</v>
      </c>
      <c r="F216" s="731" t="n">
        <v>0.07000000000000001</v>
      </c>
      <c r="G216" t="inlineStr">
        <is>
          <t>117萬</t>
        </is>
      </c>
      <c r="H216" t="n">
        <v>81</v>
      </c>
      <c r="I216" t="n">
        <v>186</v>
      </c>
      <c r="J216" t="inlineStr">
        <is>
          <t>--</t>
        </is>
      </c>
      <c r="K216" t="n">
        <v>14.44</v>
      </c>
      <c r="L216" t="n">
        <v>14.4</v>
      </c>
      <c r="M216" s="155" t="inlineStr">
        <is>
          <t>--</t>
        </is>
      </c>
      <c r="N216" t="inlineStr">
        <is>
          <t>--</t>
        </is>
      </c>
    </row>
    <row r="217">
      <c r="A217" t="n">
        <v>909</v>
      </c>
      <c r="B217" t="inlineStr">
        <is>
          <t>國泰數位支付服務</t>
        </is>
      </c>
      <c r="C217" t="n">
        <v>51.6</v>
      </c>
      <c r="D217" t="n">
        <v>52.15</v>
      </c>
      <c r="E217" s="730" t="n">
        <v>0.4</v>
      </c>
      <c r="F217" s="731" t="n">
        <v>0.77</v>
      </c>
      <c r="G217" t="inlineStr">
        <is>
          <t>1.16億</t>
        </is>
      </c>
      <c r="H217" t="n">
        <v>2226</v>
      </c>
      <c r="I217" t="n">
        <v>3013</v>
      </c>
      <c r="J217" t="inlineStr">
        <is>
          <t>--</t>
        </is>
      </c>
      <c r="K217" t="n">
        <v>52.2</v>
      </c>
      <c r="L217" t="n">
        <v>51.6</v>
      </c>
      <c r="M217" s="155" t="inlineStr">
        <is>
          <t>--</t>
        </is>
      </c>
      <c r="N217" t="inlineStr">
        <is>
          <t>--</t>
        </is>
      </c>
    </row>
    <row r="218">
      <c r="A218" t="n">
        <v>910</v>
      </c>
      <c r="B218" t="inlineStr">
        <is>
          <t>第一金太空衛星</t>
        </is>
      </c>
      <c r="C218" t="n">
        <v>78.90000000000001</v>
      </c>
      <c r="D218" t="n">
        <v>79.84999999999999</v>
      </c>
      <c r="E218" s="730" t="n">
        <v>-5.1</v>
      </c>
      <c r="F218" s="731" t="n">
        <v>-6</v>
      </c>
      <c r="G218" t="inlineStr">
        <is>
          <t>9.67億</t>
        </is>
      </c>
      <c r="H218" t="n">
        <v>12376</v>
      </c>
      <c r="I218" t="n">
        <v>4904</v>
      </c>
      <c r="J218" t="inlineStr">
        <is>
          <t>--</t>
        </is>
      </c>
      <c r="K218" t="n">
        <v>79.84999999999999</v>
      </c>
      <c r="L218" t="n">
        <v>78</v>
      </c>
      <c r="M218" s="155" t="inlineStr">
        <is>
          <t>--</t>
        </is>
      </c>
      <c r="N218" t="inlineStr">
        <is>
          <t>--</t>
        </is>
      </c>
    </row>
    <row r="219">
      <c r="A219" t="n">
        <v>911</v>
      </c>
      <c r="B219" t="inlineStr">
        <is>
          <t>兆豐洲際半導體</t>
        </is>
      </c>
      <c r="C219" t="n">
        <v>61.05</v>
      </c>
      <c r="D219" t="n">
        <v>60.55</v>
      </c>
      <c r="E219" s="730" t="n">
        <v>-0.5</v>
      </c>
      <c r="F219" s="731" t="n">
        <v>-0.82</v>
      </c>
      <c r="G219" t="inlineStr">
        <is>
          <t>2204萬</t>
        </is>
      </c>
      <c r="H219" t="n">
        <v>365</v>
      </c>
      <c r="I219" t="n">
        <v>686</v>
      </c>
      <c r="J219" t="inlineStr">
        <is>
          <t>--</t>
        </is>
      </c>
      <c r="K219" t="n">
        <v>61.05</v>
      </c>
      <c r="L219" t="n">
        <v>60</v>
      </c>
      <c r="M219" s="155" t="inlineStr">
        <is>
          <t>--</t>
        </is>
      </c>
      <c r="N219" t="inlineStr">
        <is>
          <t>--</t>
        </is>
      </c>
    </row>
    <row r="220">
      <c r="A220" t="n">
        <v>912</v>
      </c>
      <c r="B220" t="inlineStr">
        <is>
          <t>中信臺灣智慧50</t>
        </is>
      </c>
      <c r="C220" t="n">
        <v>33</v>
      </c>
      <c r="D220" t="n">
        <v>33.1</v>
      </c>
      <c r="E220" s="730" t="n">
        <v>0.16</v>
      </c>
      <c r="F220" s="731" t="n">
        <v>0.49</v>
      </c>
      <c r="G220" t="inlineStr">
        <is>
          <t>3927萬</t>
        </is>
      </c>
      <c r="H220" t="n">
        <v>1194</v>
      </c>
      <c r="I220" t="n">
        <v>1130</v>
      </c>
      <c r="J220" t="inlineStr">
        <is>
          <t>--</t>
        </is>
      </c>
      <c r="K220" t="n">
        <v>33.1</v>
      </c>
      <c r="L220" t="n">
        <v>32.57</v>
      </c>
      <c r="M220" s="155" t="inlineStr">
        <is>
          <t>--</t>
        </is>
      </c>
      <c r="N220" t="inlineStr">
        <is>
          <t>--</t>
        </is>
      </c>
    </row>
    <row r="221">
      <c r="A221" t="n">
        <v>913</v>
      </c>
      <c r="B221" t="inlineStr">
        <is>
          <t>兆豐台灣晶圓製造</t>
        </is>
      </c>
      <c r="C221" t="n">
        <v>52.95</v>
      </c>
      <c r="D221" t="n">
        <v>51.7</v>
      </c>
      <c r="E221" s="730" t="n">
        <v>-0.4</v>
      </c>
      <c r="F221" s="731" t="n">
        <v>-0.77</v>
      </c>
      <c r="G221" t="inlineStr">
        <is>
          <t>1.71億</t>
        </is>
      </c>
      <c r="H221" t="n">
        <v>3293</v>
      </c>
      <c r="I221" t="n">
        <v>2957</v>
      </c>
      <c r="J221" t="inlineStr">
        <is>
          <t>--</t>
        </is>
      </c>
      <c r="K221" t="n">
        <v>53.15</v>
      </c>
      <c r="L221" t="n">
        <v>50.8</v>
      </c>
      <c r="M221" s="155" t="inlineStr">
        <is>
          <t>--</t>
        </is>
      </c>
      <c r="N221" t="inlineStr">
        <is>
          <t>--</t>
        </is>
      </c>
    </row>
    <row r="222">
      <c r="A222" t="n">
        <v>915</v>
      </c>
      <c r="B222" t="inlineStr">
        <is>
          <t>凱基優選高股息30</t>
        </is>
      </c>
      <c r="C222" t="n">
        <v>29.72</v>
      </c>
      <c r="D222" t="n">
        <v>30.15</v>
      </c>
      <c r="E222" s="730" t="n">
        <v>0.43</v>
      </c>
      <c r="F222" s="731" t="n">
        <v>1.45</v>
      </c>
      <c r="G222" t="inlineStr">
        <is>
          <t>3.95億</t>
        </is>
      </c>
      <c r="H222" t="n">
        <v>13320</v>
      </c>
      <c r="I222" t="n">
        <v>9612</v>
      </c>
      <c r="J222" t="inlineStr">
        <is>
          <t>--</t>
        </is>
      </c>
      <c r="K222" t="n">
        <v>30.15</v>
      </c>
      <c r="L222" t="n">
        <v>29.41</v>
      </c>
      <c r="M222" s="155" t="inlineStr">
        <is>
          <t>--</t>
        </is>
      </c>
      <c r="N222" t="inlineStr">
        <is>
          <t>--</t>
        </is>
      </c>
    </row>
    <row r="223">
      <c r="A223" t="n">
        <v>916</v>
      </c>
      <c r="B223" t="inlineStr">
        <is>
          <t>國泰全球品牌50</t>
        </is>
      </c>
      <c r="C223" t="n">
        <v>30.9</v>
      </c>
      <c r="D223" t="n">
        <v>31.09</v>
      </c>
      <c r="E223" s="730" t="n">
        <v>2.53</v>
      </c>
      <c r="F223" s="731" t="n">
        <v>8.859999999999999</v>
      </c>
      <c r="G223" t="inlineStr">
        <is>
          <t>3.87億</t>
        </is>
      </c>
      <c r="H223" t="n">
        <v>12649</v>
      </c>
      <c r="I223" t="n">
        <v>416</v>
      </c>
      <c r="J223" t="inlineStr">
        <is>
          <t>--</t>
        </is>
      </c>
      <c r="K223" t="n">
        <v>31.41</v>
      </c>
      <c r="L223" t="n">
        <v>29</v>
      </c>
      <c r="M223" s="155" t="inlineStr">
        <is>
          <t>--</t>
        </is>
      </c>
      <c r="N223" t="inlineStr">
        <is>
          <t>--</t>
        </is>
      </c>
    </row>
    <row r="224">
      <c r="A224" t="n">
        <v>917</v>
      </c>
      <c r="B224" t="inlineStr">
        <is>
          <t>中信特選金融</t>
        </is>
      </c>
      <c r="C224" t="n">
        <v>21.65</v>
      </c>
      <c r="D224" t="n">
        <v>21.69</v>
      </c>
      <c r="E224" s="730" t="n">
        <v>0.06</v>
      </c>
      <c r="F224" s="731" t="n">
        <v>0.28</v>
      </c>
      <c r="G224" t="inlineStr">
        <is>
          <t>2906萬</t>
        </is>
      </c>
      <c r="H224" t="n">
        <v>1345</v>
      </c>
      <c r="I224" t="n">
        <v>818</v>
      </c>
      <c r="J224" t="inlineStr">
        <is>
          <t>--</t>
        </is>
      </c>
      <c r="K224" t="n">
        <v>21.69</v>
      </c>
      <c r="L224" t="n">
        <v>21.58</v>
      </c>
      <c r="M224" s="155" t="inlineStr">
        <is>
          <t>--</t>
        </is>
      </c>
      <c r="N224" t="inlineStr">
        <is>
          <t>--</t>
        </is>
      </c>
    </row>
    <row r="225">
      <c r="A225" t="n">
        <v>918</v>
      </c>
      <c r="B225" t="inlineStr">
        <is>
          <t>大華優利高填息30</t>
        </is>
      </c>
      <c r="C225" t="n">
        <v>30.74</v>
      </c>
      <c r="D225" t="n">
        <v>31.41</v>
      </c>
      <c r="E225" s="730" t="n">
        <v>0.95</v>
      </c>
      <c r="F225" s="731" t="n">
        <v>3.12</v>
      </c>
      <c r="G225" t="inlineStr">
        <is>
          <t>38.7億</t>
        </is>
      </c>
      <c r="H225" t="n">
        <v>125586</v>
      </c>
      <c r="I225" t="n">
        <v>46973</v>
      </c>
      <c r="J225" t="inlineStr">
        <is>
          <t>--</t>
        </is>
      </c>
      <c r="K225" t="n">
        <v>31.41</v>
      </c>
      <c r="L225" t="n">
        <v>30.44</v>
      </c>
      <c r="M225" s="155" t="inlineStr">
        <is>
          <t>--</t>
        </is>
      </c>
      <c r="N225" t="inlineStr">
        <is>
          <t>--</t>
        </is>
      </c>
    </row>
    <row r="226">
      <c r="A226" t="n">
        <v>919</v>
      </c>
      <c r="B226" t="inlineStr">
        <is>
          <t>群益台灣精選高息</t>
        </is>
      </c>
      <c r="C226" t="n">
        <v>30.35</v>
      </c>
      <c r="D226" t="n">
        <v>30.3</v>
      </c>
      <c r="E226" s="730" t="n">
        <v>0.3</v>
      </c>
      <c r="F226" s="731" t="n">
        <v>1</v>
      </c>
      <c r="G226" t="inlineStr">
        <is>
          <t>76.9億</t>
        </is>
      </c>
      <c r="H226" t="n">
        <v>255389</v>
      </c>
      <c r="I226" t="n">
        <v>150294</v>
      </c>
      <c r="J226" t="inlineStr">
        <is>
          <t>--</t>
        </is>
      </c>
      <c r="K226" t="n">
        <v>30.5</v>
      </c>
      <c r="L226" t="n">
        <v>29.85</v>
      </c>
      <c r="M226" s="155" t="inlineStr">
        <is>
          <t>--</t>
        </is>
      </c>
      <c r="N226" t="inlineStr">
        <is>
          <t>--</t>
        </is>
      </c>
    </row>
    <row r="227">
      <c r="A227" t="n">
        <v>920</v>
      </c>
      <c r="B227" t="inlineStr">
        <is>
          <t>富邦ESG綠色電力</t>
        </is>
      </c>
      <c r="C227" t="n">
        <v>27.15</v>
      </c>
      <c r="D227" t="n">
        <v>26.89</v>
      </c>
      <c r="E227" s="730" t="n">
        <v>-0.66</v>
      </c>
      <c r="F227" s="731" t="n">
        <v>-2.4</v>
      </c>
      <c r="G227" t="inlineStr">
        <is>
          <t>1551萬</t>
        </is>
      </c>
      <c r="H227" t="n">
        <v>578</v>
      </c>
      <c r="I227" t="n">
        <v>595</v>
      </c>
      <c r="J227" t="inlineStr">
        <is>
          <t>--</t>
        </is>
      </c>
      <c r="K227" t="n">
        <v>27.15</v>
      </c>
      <c r="L227" t="n">
        <v>26.78</v>
      </c>
      <c r="M227" s="155" t="inlineStr">
        <is>
          <t>--</t>
        </is>
      </c>
      <c r="N227" t="inlineStr">
        <is>
          <t>--</t>
        </is>
      </c>
    </row>
    <row r="228">
      <c r="A228" t="n">
        <v>921</v>
      </c>
      <c r="B228" t="inlineStr">
        <is>
          <t>兆豐龍頭等權重</t>
        </is>
      </c>
      <c r="C228" t="n">
        <v>23.1</v>
      </c>
      <c r="D228" t="n">
        <v>23.11</v>
      </c>
      <c r="E228" s="730" t="n">
        <v>0.06</v>
      </c>
      <c r="F228" s="731" t="n">
        <v>0.26</v>
      </c>
      <c r="G228" t="inlineStr">
        <is>
          <t>2678萬</t>
        </is>
      </c>
      <c r="H228" t="n">
        <v>1169</v>
      </c>
      <c r="I228" t="n">
        <v>870</v>
      </c>
      <c r="J228" t="inlineStr">
        <is>
          <t>--</t>
        </is>
      </c>
      <c r="K228" t="n">
        <v>23.2</v>
      </c>
      <c r="L228" t="n">
        <v>22.77</v>
      </c>
      <c r="M228" s="155" t="inlineStr">
        <is>
          <t>--</t>
        </is>
      </c>
      <c r="N228" t="inlineStr">
        <is>
          <t>--</t>
        </is>
      </c>
    </row>
    <row r="229">
      <c r="A229" t="n">
        <v>922</v>
      </c>
      <c r="B229" t="inlineStr">
        <is>
          <t>國泰台灣領袖50</t>
        </is>
      </c>
      <c r="C229" t="n">
        <v>40.29</v>
      </c>
      <c r="D229" t="n">
        <v>40.1</v>
      </c>
      <c r="E229" s="730" t="n">
        <v>-0.01</v>
      </c>
      <c r="F229" s="731" t="n">
        <v>-0.02</v>
      </c>
      <c r="G229" t="inlineStr">
        <is>
          <t>5.38億</t>
        </is>
      </c>
      <c r="H229" t="n">
        <v>13452</v>
      </c>
      <c r="I229" t="n">
        <v>12027</v>
      </c>
      <c r="J229" t="inlineStr">
        <is>
          <t>--</t>
        </is>
      </c>
      <c r="K229" t="n">
        <v>40.37</v>
      </c>
      <c r="L229" t="n">
        <v>39.57</v>
      </c>
      <c r="M229" s="155" t="inlineStr">
        <is>
          <t>--</t>
        </is>
      </c>
      <c r="N229" t="inlineStr">
        <is>
          <t>--</t>
        </is>
      </c>
    </row>
    <row r="230">
      <c r="A230" t="n">
        <v>923</v>
      </c>
      <c r="B230" t="inlineStr">
        <is>
          <t>群益台ESG低碳50</t>
        </is>
      </c>
      <c r="C230" t="n">
        <v>42.8</v>
      </c>
      <c r="D230" t="n">
        <v>42.7</v>
      </c>
      <c r="E230" s="730" t="n">
        <v>0.01</v>
      </c>
      <c r="F230" s="731" t="n">
        <v>0.02</v>
      </c>
      <c r="G230" t="inlineStr">
        <is>
          <t>2.61億</t>
        </is>
      </c>
      <c r="H230" t="n">
        <v>6118</v>
      </c>
      <c r="I230" t="n">
        <v>8464</v>
      </c>
      <c r="J230" t="inlineStr">
        <is>
          <t>--</t>
        </is>
      </c>
      <c r="K230" t="n">
        <v>43</v>
      </c>
      <c r="L230" t="n">
        <v>42</v>
      </c>
      <c r="M230" s="155" t="inlineStr">
        <is>
          <t>--</t>
        </is>
      </c>
      <c r="N230" t="inlineStr">
        <is>
          <t>--</t>
        </is>
      </c>
    </row>
    <row r="231">
      <c r="A231" t="n">
        <v>924</v>
      </c>
      <c r="B231" t="inlineStr">
        <is>
          <t>復華S＆P500成長</t>
        </is>
      </c>
      <c r="C231" t="n">
        <v>32.92</v>
      </c>
      <c r="D231" t="n">
        <v>33.07</v>
      </c>
      <c r="E231" s="730" t="n">
        <v>0.13</v>
      </c>
      <c r="F231" s="731" t="n">
        <v>0.39</v>
      </c>
      <c r="G231" t="inlineStr">
        <is>
          <t>8619萬</t>
        </is>
      </c>
      <c r="H231" t="n">
        <v>2613</v>
      </c>
      <c r="I231" t="n">
        <v>3344</v>
      </c>
      <c r="J231" t="inlineStr">
        <is>
          <t>--</t>
        </is>
      </c>
      <c r="K231" t="n">
        <v>33.08</v>
      </c>
      <c r="L231" t="n">
        <v>32.89</v>
      </c>
      <c r="M231" s="155" t="inlineStr">
        <is>
          <t>--</t>
        </is>
      </c>
      <c r="N231" t="inlineStr">
        <is>
          <t>--</t>
        </is>
      </c>
    </row>
    <row r="232">
      <c r="A232" t="n">
        <v>926</v>
      </c>
      <c r="B232" t="inlineStr">
        <is>
          <t>凱基全球菁英55</t>
        </is>
      </c>
      <c r="C232" t="n">
        <v>25.05</v>
      </c>
      <c r="D232" t="n">
        <v>25.16</v>
      </c>
      <c r="E232" s="730" t="n">
        <v>-0.09</v>
      </c>
      <c r="F232" s="731" t="n">
        <v>-0.36</v>
      </c>
      <c r="G232" t="inlineStr">
        <is>
          <t>2266萬</t>
        </is>
      </c>
      <c r="H232" t="n">
        <v>904</v>
      </c>
      <c r="I232" t="n">
        <v>1502</v>
      </c>
      <c r="J232" t="inlineStr">
        <is>
          <t>--</t>
        </is>
      </c>
      <c r="K232" t="n">
        <v>25.16</v>
      </c>
      <c r="L232" t="n">
        <v>24.99</v>
      </c>
      <c r="M232" s="155" t="inlineStr">
        <is>
          <t>--</t>
        </is>
      </c>
      <c r="N232" t="inlineStr">
        <is>
          <t>--</t>
        </is>
      </c>
    </row>
    <row r="233">
      <c r="A233" t="n">
        <v>927</v>
      </c>
      <c r="B233" t="inlineStr">
        <is>
          <t>群益半導體收益</t>
        </is>
      </c>
      <c r="C233" t="n">
        <v>41.56</v>
      </c>
      <c r="D233" t="n">
        <v>40.83</v>
      </c>
      <c r="E233" s="730" t="n">
        <v>-0.43</v>
      </c>
      <c r="F233" s="731" t="n">
        <v>-1.04</v>
      </c>
      <c r="G233" t="inlineStr">
        <is>
          <t>10.5億</t>
        </is>
      </c>
      <c r="H233" t="n">
        <v>25864</v>
      </c>
      <c r="I233" t="n">
        <v>26873</v>
      </c>
      <c r="J233" t="inlineStr">
        <is>
          <t>--</t>
        </is>
      </c>
      <c r="K233" t="n">
        <v>41.87</v>
      </c>
      <c r="L233" t="n">
        <v>39.88</v>
      </c>
      <c r="M233" s="155" t="inlineStr">
        <is>
          <t>--</t>
        </is>
      </c>
      <c r="N233" t="inlineStr">
        <is>
          <t>--</t>
        </is>
      </c>
    </row>
    <row r="234">
      <c r="A234" t="n">
        <v>928</v>
      </c>
      <c r="B234" t="inlineStr">
        <is>
          <t>中信上櫃ESG30</t>
        </is>
      </c>
      <c r="C234" t="n">
        <v>39.98</v>
      </c>
      <c r="D234" t="n">
        <v>38.9</v>
      </c>
      <c r="E234" s="730" t="n">
        <v>-1.08</v>
      </c>
      <c r="F234" s="731" t="n">
        <v>-2.7</v>
      </c>
      <c r="G234" t="inlineStr">
        <is>
          <t>7192萬</t>
        </is>
      </c>
      <c r="H234" t="n">
        <v>1840</v>
      </c>
      <c r="I234" t="n">
        <v>1470</v>
      </c>
      <c r="J234" t="inlineStr">
        <is>
          <t>--</t>
        </is>
      </c>
      <c r="K234" t="n">
        <v>40.03</v>
      </c>
      <c r="L234" t="n">
        <v>38.27</v>
      </c>
      <c r="M234" s="155" t="inlineStr">
        <is>
          <t>--</t>
        </is>
      </c>
      <c r="N234" t="inlineStr">
        <is>
          <t>--</t>
        </is>
      </c>
    </row>
    <row r="235">
      <c r="A235" t="n">
        <v>929</v>
      </c>
      <c r="B235" t="inlineStr">
        <is>
          <t>復華台灣科技優息</t>
        </is>
      </c>
      <c r="C235" t="n">
        <v>31.35</v>
      </c>
      <c r="D235" t="n">
        <v>30.94</v>
      </c>
      <c r="E235" s="730" t="n">
        <v>0.14</v>
      </c>
      <c r="F235" s="731" t="n">
        <v>0.45</v>
      </c>
      <c r="G235" t="inlineStr">
        <is>
          <t>14.4億</t>
        </is>
      </c>
      <c r="H235" t="n">
        <v>46568</v>
      </c>
      <c r="I235" t="n">
        <v>54942</v>
      </c>
      <c r="J235" t="inlineStr">
        <is>
          <t>--</t>
        </is>
      </c>
      <c r="K235" t="n">
        <v>31.49</v>
      </c>
      <c r="L235" t="n">
        <v>30.26</v>
      </c>
      <c r="M235" s="155" t="inlineStr">
        <is>
          <t>--</t>
        </is>
      </c>
      <c r="N235" t="inlineStr">
        <is>
          <t>--</t>
        </is>
      </c>
    </row>
    <row r="236">
      <c r="A236" t="n">
        <v>930</v>
      </c>
      <c r="B236" t="inlineStr">
        <is>
          <t>永豐ESG低碳高息</t>
        </is>
      </c>
      <c r="C236" t="n">
        <v>25.45</v>
      </c>
      <c r="D236" t="n">
        <v>25.56</v>
      </c>
      <c r="E236" s="730" t="n">
        <v>0.36</v>
      </c>
      <c r="F236" s="731" t="n">
        <v>1.43</v>
      </c>
      <c r="G236" t="inlineStr">
        <is>
          <t>8020萬</t>
        </is>
      </c>
      <c r="H236" t="n">
        <v>3172</v>
      </c>
      <c r="I236" t="n">
        <v>3872</v>
      </c>
      <c r="J236" t="inlineStr">
        <is>
          <t>--</t>
        </is>
      </c>
      <c r="K236" t="n">
        <v>25.67</v>
      </c>
      <c r="L236" t="n">
        <v>25.05</v>
      </c>
      <c r="M236" s="155" t="inlineStr">
        <is>
          <t>--</t>
        </is>
      </c>
      <c r="N236" t="inlineStr">
        <is>
          <t>--</t>
        </is>
      </c>
    </row>
    <row r="237">
      <c r="A237" t="inlineStr">
        <is>
          <t>00931B</t>
        </is>
      </c>
      <c r="B237" t="inlineStr">
        <is>
          <t>統一美債20年</t>
        </is>
      </c>
      <c r="C237" t="n">
        <v>13.37</v>
      </c>
      <c r="D237" t="n">
        <v>13.45</v>
      </c>
      <c r="E237" s="730" t="n">
        <v>0.13</v>
      </c>
      <c r="F237" s="731" t="n">
        <v>0.98</v>
      </c>
      <c r="G237" t="inlineStr">
        <is>
          <t>1.30億</t>
        </is>
      </c>
      <c r="H237" t="n">
        <v>9694</v>
      </c>
      <c r="I237" t="n">
        <v>7707</v>
      </c>
      <c r="J237" t="inlineStr">
        <is>
          <t>--</t>
        </is>
      </c>
      <c r="K237" t="n">
        <v>13.46</v>
      </c>
      <c r="L237" t="n">
        <v>13.37</v>
      </c>
      <c r="M237" s="155" t="inlineStr">
        <is>
          <t>--</t>
        </is>
      </c>
      <c r="N237" t="inlineStr">
        <is>
          <t>--</t>
        </is>
      </c>
    </row>
    <row r="238">
      <c r="A238" t="n">
        <v>932</v>
      </c>
      <c r="B238" t="inlineStr">
        <is>
          <t>兆豐永續高息等權</t>
        </is>
      </c>
      <c r="C238" t="n">
        <v>17.27</v>
      </c>
      <c r="D238" t="n">
        <v>17.56</v>
      </c>
      <c r="E238" s="730" t="n">
        <v>0.31</v>
      </c>
      <c r="F238" s="731" t="n">
        <v>1.8</v>
      </c>
      <c r="G238" t="inlineStr">
        <is>
          <t>7302萬</t>
        </is>
      </c>
      <c r="H238" t="n">
        <v>4196</v>
      </c>
      <c r="I238" t="n">
        <v>2972</v>
      </c>
      <c r="J238" t="inlineStr">
        <is>
          <t>--</t>
        </is>
      </c>
      <c r="K238" t="n">
        <v>17.56</v>
      </c>
      <c r="L238" t="n">
        <v>17.2</v>
      </c>
      <c r="M238" s="155" t="inlineStr">
        <is>
          <t>--</t>
        </is>
      </c>
      <c r="N238" t="inlineStr">
        <is>
          <t>--</t>
        </is>
      </c>
    </row>
    <row r="239">
      <c r="A239" t="inlineStr">
        <is>
          <t>00933B</t>
        </is>
      </c>
      <c r="B239" t="inlineStr">
        <is>
          <t>國泰10Y+金融債</t>
        </is>
      </c>
      <c r="C239" t="n">
        <v>15.96</v>
      </c>
      <c r="D239" t="n">
        <v>16.05</v>
      </c>
      <c r="E239" s="730" t="n">
        <v>0.1</v>
      </c>
      <c r="F239" s="731" t="n">
        <v>0.63</v>
      </c>
      <c r="G239" t="inlineStr">
        <is>
          <t>3.21億</t>
        </is>
      </c>
      <c r="H239" t="n">
        <v>20084</v>
      </c>
      <c r="I239" t="n">
        <v>11842</v>
      </c>
      <c r="J239" t="inlineStr">
        <is>
          <t>--</t>
        </is>
      </c>
      <c r="K239" t="n">
        <v>16.06</v>
      </c>
      <c r="L239" t="n">
        <v>15.95</v>
      </c>
      <c r="M239" s="155" t="inlineStr">
        <is>
          <t>--</t>
        </is>
      </c>
      <c r="N239" t="inlineStr">
        <is>
          <t>--</t>
        </is>
      </c>
    </row>
    <row r="240">
      <c r="A240" t="n">
        <v>934</v>
      </c>
      <c r="B240" t="inlineStr">
        <is>
          <t>中信成長高股息</t>
        </is>
      </c>
      <c r="C240" t="n">
        <v>28.4</v>
      </c>
      <c r="D240" t="n">
        <v>28.89</v>
      </c>
      <c r="E240" s="730" t="n">
        <v>0.7</v>
      </c>
      <c r="F240" s="731" t="n">
        <v>2.48</v>
      </c>
      <c r="G240" t="inlineStr">
        <is>
          <t>1.31億</t>
        </is>
      </c>
      <c r="H240" t="n">
        <v>4582</v>
      </c>
      <c r="I240" t="n">
        <v>5430</v>
      </c>
      <c r="J240" t="inlineStr">
        <is>
          <t>--</t>
        </is>
      </c>
      <c r="K240" t="n">
        <v>28.89</v>
      </c>
      <c r="L240" t="n">
        <v>28.25</v>
      </c>
      <c r="M240" s="155" t="inlineStr">
        <is>
          <t>--</t>
        </is>
      </c>
      <c r="N240" t="inlineStr">
        <is>
          <t>--</t>
        </is>
      </c>
    </row>
    <row r="241">
      <c r="A241" t="n">
        <v>935</v>
      </c>
      <c r="B241" t="inlineStr">
        <is>
          <t>野村臺灣新科技50</t>
        </is>
      </c>
      <c r="C241" t="n">
        <v>63</v>
      </c>
      <c r="D241" t="n">
        <v>62</v>
      </c>
      <c r="E241" s="730" t="n">
        <v>-0.4</v>
      </c>
      <c r="F241" s="731" t="n">
        <v>-0.64</v>
      </c>
      <c r="G241" t="inlineStr">
        <is>
          <t>14.1億</t>
        </is>
      </c>
      <c r="H241" t="n">
        <v>23132</v>
      </c>
      <c r="I241" t="n">
        <v>25894</v>
      </c>
      <c r="J241" t="inlineStr">
        <is>
          <t>--</t>
        </is>
      </c>
      <c r="K241" t="n">
        <v>63.15</v>
      </c>
      <c r="L241" t="n">
        <v>60.55</v>
      </c>
      <c r="M241" s="155" t="inlineStr">
        <is>
          <t>--</t>
        </is>
      </c>
      <c r="N241" t="inlineStr">
        <is>
          <t>--</t>
        </is>
      </c>
    </row>
    <row r="242">
      <c r="A242" t="n">
        <v>936</v>
      </c>
      <c r="B242" t="inlineStr">
        <is>
          <t>台新永續高息中小</t>
        </is>
      </c>
      <c r="C242" t="n">
        <v>21.45</v>
      </c>
      <c r="D242" t="n">
        <v>21.59</v>
      </c>
      <c r="E242" s="730" t="n">
        <v>0.22</v>
      </c>
      <c r="F242" s="731" t="n">
        <v>1.03</v>
      </c>
      <c r="G242" t="inlineStr">
        <is>
          <t>5351萬</t>
        </is>
      </c>
      <c r="H242" t="n">
        <v>2500</v>
      </c>
      <c r="I242" t="n">
        <v>4581</v>
      </c>
      <c r="J242" t="inlineStr">
        <is>
          <t>--</t>
        </is>
      </c>
      <c r="K242" t="n">
        <v>21.6</v>
      </c>
      <c r="L242" t="n">
        <v>21.24</v>
      </c>
      <c r="M242" s="155" t="inlineStr">
        <is>
          <t>--</t>
        </is>
      </c>
      <c r="N242" t="inlineStr">
        <is>
          <t>--</t>
        </is>
      </c>
    </row>
    <row r="243">
      <c r="A243" t="inlineStr">
        <is>
          <t>00937B</t>
        </is>
      </c>
      <c r="B243" t="inlineStr">
        <is>
          <t>群益ESG投等債20+</t>
        </is>
      </c>
      <c r="C243" t="n">
        <v>14.85</v>
      </c>
      <c r="D243" t="n">
        <v>14.95</v>
      </c>
      <c r="E243" s="730" t="n">
        <v>0.13</v>
      </c>
      <c r="F243" s="731" t="n">
        <v>0.88</v>
      </c>
      <c r="G243" t="inlineStr">
        <is>
          <t>18.6億</t>
        </is>
      </c>
      <c r="H243" t="n">
        <v>125225</v>
      </c>
      <c r="I243" t="n">
        <v>78098</v>
      </c>
      <c r="J243" t="inlineStr">
        <is>
          <t>--</t>
        </is>
      </c>
      <c r="K243" t="n">
        <v>14.96</v>
      </c>
      <c r="L243" t="n">
        <v>14.84</v>
      </c>
      <c r="M243" s="155" t="inlineStr">
        <is>
          <t>--</t>
        </is>
      </c>
      <c r="N243" t="inlineStr">
        <is>
          <t>--</t>
        </is>
      </c>
    </row>
    <row r="244">
      <c r="A244" t="n">
        <v>938</v>
      </c>
      <c r="B244" t="inlineStr">
        <is>
          <t>凱基優選30</t>
        </is>
      </c>
      <c r="C244" t="n">
        <v>22.21</v>
      </c>
      <c r="D244" t="n">
        <v>22.49</v>
      </c>
      <c r="E244" s="730" t="n">
        <v>0.26</v>
      </c>
      <c r="F244" s="731" t="n">
        <v>1.17</v>
      </c>
      <c r="G244" t="inlineStr">
        <is>
          <t>1323萬</t>
        </is>
      </c>
      <c r="H244" t="n">
        <v>592</v>
      </c>
      <c r="I244" t="n">
        <v>1709</v>
      </c>
      <c r="J244" t="inlineStr">
        <is>
          <t>--</t>
        </is>
      </c>
      <c r="K244" t="n">
        <v>22.49</v>
      </c>
      <c r="L244" t="n">
        <v>22.18</v>
      </c>
      <c r="M244" s="155" t="inlineStr">
        <is>
          <t>--</t>
        </is>
      </c>
      <c r="N244" t="inlineStr">
        <is>
          <t>--</t>
        </is>
      </c>
    </row>
    <row r="245">
      <c r="A245" t="n">
        <v>939</v>
      </c>
      <c r="B245" t="inlineStr">
        <is>
          <t>統一台灣高息動能</t>
        </is>
      </c>
      <c r="C245" t="n">
        <v>20.48</v>
      </c>
      <c r="D245" t="n">
        <v>20.5</v>
      </c>
      <c r="E245" s="730" t="n">
        <v>0.08</v>
      </c>
      <c r="F245" s="731" t="n">
        <v>0.39</v>
      </c>
      <c r="G245" t="inlineStr">
        <is>
          <t>1.76億</t>
        </is>
      </c>
      <c r="H245" t="n">
        <v>8637</v>
      </c>
      <c r="I245" t="n">
        <v>8836</v>
      </c>
      <c r="J245" t="inlineStr">
        <is>
          <t>--</t>
        </is>
      </c>
      <c r="K245" t="n">
        <v>20.5</v>
      </c>
      <c r="L245" t="n">
        <v>20.17</v>
      </c>
      <c r="M245" s="155" t="inlineStr">
        <is>
          <t>--</t>
        </is>
      </c>
      <c r="N245" t="inlineStr">
        <is>
          <t>--</t>
        </is>
      </c>
    </row>
    <row r="246">
      <c r="A246" t="n">
        <v>940</v>
      </c>
      <c r="B246" t="inlineStr">
        <is>
          <t>元大台灣價值高息</t>
        </is>
      </c>
      <c r="C246" t="n">
        <v>12.33</v>
      </c>
      <c r="D246" t="n">
        <v>12.49</v>
      </c>
      <c r="E246" s="730" t="n">
        <v>0.22</v>
      </c>
      <c r="F246" s="731" t="n">
        <v>1.79</v>
      </c>
      <c r="G246" t="inlineStr">
        <is>
          <t>8.11億</t>
        </is>
      </c>
      <c r="H246" t="n">
        <v>65593</v>
      </c>
      <c r="I246" t="n">
        <v>41034</v>
      </c>
      <c r="J246" t="inlineStr">
        <is>
          <t>--</t>
        </is>
      </c>
      <c r="K246" t="n">
        <v>12.49</v>
      </c>
      <c r="L246" t="n">
        <v>12.25</v>
      </c>
      <c r="M246" s="155" t="inlineStr">
        <is>
          <t>--</t>
        </is>
      </c>
      <c r="N246" t="inlineStr">
        <is>
          <t>--</t>
        </is>
      </c>
    </row>
    <row r="247">
      <c r="A247" t="n">
        <v>941</v>
      </c>
      <c r="B247" t="inlineStr">
        <is>
          <t>中信上游半導體</t>
        </is>
      </c>
      <c r="C247" t="n">
        <v>25.26</v>
      </c>
      <c r="D247" t="n">
        <v>25.13</v>
      </c>
      <c r="E247" s="730" t="n">
        <v>-0.22</v>
      </c>
      <c r="F247" s="731" t="n">
        <v>-0.87</v>
      </c>
      <c r="G247" t="inlineStr">
        <is>
          <t>5452萬</t>
        </is>
      </c>
      <c r="H247" t="n">
        <v>2190</v>
      </c>
      <c r="I247" t="n">
        <v>1691</v>
      </c>
      <c r="J247" t="inlineStr">
        <is>
          <t>--</t>
        </is>
      </c>
      <c r="K247" t="n">
        <v>25.26</v>
      </c>
      <c r="L247" t="n">
        <v>24.96</v>
      </c>
      <c r="M247" s="155" t="inlineStr">
        <is>
          <t>--</t>
        </is>
      </c>
      <c r="N247" t="inlineStr">
        <is>
          <t>--</t>
        </is>
      </c>
    </row>
    <row r="248">
      <c r="A248" t="inlineStr">
        <is>
          <t>00942B</t>
        </is>
      </c>
      <c r="B248" t="inlineStr">
        <is>
          <t>台新美A公司債20+</t>
        </is>
      </c>
      <c r="C248" t="n">
        <v>14.33</v>
      </c>
      <c r="D248" t="n">
        <v>14.43</v>
      </c>
      <c r="E248" s="730" t="n">
        <v>0.11</v>
      </c>
      <c r="F248" s="731" t="n">
        <v>0.77</v>
      </c>
      <c r="G248" t="inlineStr">
        <is>
          <t>4129萬</t>
        </is>
      </c>
      <c r="H248" t="n">
        <v>2869</v>
      </c>
      <c r="I248" t="n">
        <v>2517</v>
      </c>
      <c r="J248" t="inlineStr">
        <is>
          <t>--</t>
        </is>
      </c>
      <c r="K248" t="n">
        <v>14.44</v>
      </c>
      <c r="L248" t="n">
        <v>14.32</v>
      </c>
      <c r="M248" s="155" t="inlineStr">
        <is>
          <t>--</t>
        </is>
      </c>
      <c r="N248" t="inlineStr">
        <is>
          <t>--</t>
        </is>
      </c>
    </row>
    <row r="249">
      <c r="A249" t="n">
        <v>943</v>
      </c>
      <c r="B249" t="inlineStr">
        <is>
          <t>兆豐電子高息等權</t>
        </is>
      </c>
      <c r="C249" t="n">
        <v>22.56</v>
      </c>
      <c r="D249" t="n">
        <v>22.55</v>
      </c>
      <c r="E249" s="730" t="n">
        <v>0.13</v>
      </c>
      <c r="F249" s="731" t="n">
        <v>0.58</v>
      </c>
      <c r="G249" t="inlineStr">
        <is>
          <t>564萬</t>
        </is>
      </c>
      <c r="H249" t="n">
        <v>252</v>
      </c>
      <c r="I249" t="n">
        <v>236</v>
      </c>
      <c r="J249" t="inlineStr">
        <is>
          <t>--</t>
        </is>
      </c>
      <c r="K249" t="n">
        <v>22.59</v>
      </c>
      <c r="L249" t="n">
        <v>22.15</v>
      </c>
      <c r="M249" s="155" t="inlineStr">
        <is>
          <t>--</t>
        </is>
      </c>
      <c r="N249" t="inlineStr">
        <is>
          <t>--</t>
        </is>
      </c>
    </row>
    <row r="250">
      <c r="A250" t="n">
        <v>944</v>
      </c>
      <c r="B250" t="inlineStr">
        <is>
          <t>野村趨勢動能高息</t>
        </is>
      </c>
      <c r="C250" t="n">
        <v>20.7</v>
      </c>
      <c r="D250" t="n">
        <v>21</v>
      </c>
      <c r="E250" s="730" t="n">
        <v>0.4</v>
      </c>
      <c r="F250" s="731" t="n">
        <v>1.94</v>
      </c>
      <c r="G250" t="inlineStr">
        <is>
          <t>2219萬</t>
        </is>
      </c>
      <c r="H250" t="n">
        <v>1074</v>
      </c>
      <c r="I250" t="n">
        <v>1032</v>
      </c>
      <c r="J250" t="inlineStr">
        <is>
          <t>--</t>
        </is>
      </c>
      <c r="K250" t="n">
        <v>21</v>
      </c>
      <c r="L250" t="n">
        <v>20.42</v>
      </c>
      <c r="M250" s="155" t="inlineStr">
        <is>
          <t>--</t>
        </is>
      </c>
      <c r="N250" t="inlineStr">
        <is>
          <t>--</t>
        </is>
      </c>
    </row>
    <row r="251">
      <c r="A251" t="inlineStr">
        <is>
          <t>00945B</t>
        </is>
      </c>
      <c r="B251" t="inlineStr">
        <is>
          <t>凱基美國非投等債</t>
        </is>
      </c>
      <c r="C251" t="n">
        <v>14.35</v>
      </c>
      <c r="D251" t="n">
        <v>14.4</v>
      </c>
      <c r="E251" s="730" t="n">
        <v>0.04</v>
      </c>
      <c r="F251" s="731" t="n">
        <v>0.28</v>
      </c>
      <c r="G251" t="inlineStr">
        <is>
          <t>6810萬</t>
        </is>
      </c>
      <c r="H251" t="n">
        <v>4737</v>
      </c>
      <c r="I251" t="n">
        <v>6939</v>
      </c>
      <c r="J251" t="inlineStr">
        <is>
          <t>--</t>
        </is>
      </c>
      <c r="K251" t="n">
        <v>14.41</v>
      </c>
      <c r="L251" t="n">
        <v>14.35</v>
      </c>
      <c r="M251" s="155" t="inlineStr">
        <is>
          <t>--</t>
        </is>
      </c>
      <c r="N251" t="inlineStr">
        <is>
          <t>--</t>
        </is>
      </c>
    </row>
    <row r="252">
      <c r="A252" t="n">
        <v>946</v>
      </c>
      <c r="B252" t="inlineStr">
        <is>
          <t>群益科技高息成長</t>
        </is>
      </c>
      <c r="C252" t="n">
        <v>15.34</v>
      </c>
      <c r="D252" t="n">
        <v>15.48</v>
      </c>
      <c r="E252" s="730" t="n">
        <v>0.22</v>
      </c>
      <c r="F252" s="731" t="n">
        <v>1.44</v>
      </c>
      <c r="G252" t="inlineStr">
        <is>
          <t>1.40億</t>
        </is>
      </c>
      <c r="H252" t="n">
        <v>9130</v>
      </c>
      <c r="I252" t="n">
        <v>9117</v>
      </c>
      <c r="J252" t="inlineStr">
        <is>
          <t>--</t>
        </is>
      </c>
      <c r="K252" t="n">
        <v>15.48</v>
      </c>
      <c r="L252" t="n">
        <v>15.13</v>
      </c>
      <c r="M252" s="155" t="inlineStr">
        <is>
          <t>--</t>
        </is>
      </c>
      <c r="N252" t="inlineStr">
        <is>
          <t>--</t>
        </is>
      </c>
    </row>
    <row r="253">
      <c r="A253" t="n">
        <v>947</v>
      </c>
      <c r="B253" t="inlineStr">
        <is>
          <t>台新臺灣IC設計</t>
        </is>
      </c>
      <c r="C253" t="n">
        <v>40.94</v>
      </c>
      <c r="D253" t="n">
        <v>40.71</v>
      </c>
      <c r="E253" s="730" t="n">
        <v>0.61</v>
      </c>
      <c r="F253" s="731" t="n">
        <v>1.52</v>
      </c>
      <c r="G253" t="inlineStr">
        <is>
          <t>4.45億</t>
        </is>
      </c>
      <c r="H253" t="n">
        <v>11057</v>
      </c>
      <c r="I253" t="n">
        <v>10554</v>
      </c>
      <c r="J253" t="inlineStr">
        <is>
          <t>--</t>
        </is>
      </c>
      <c r="K253" t="n">
        <v>41.2</v>
      </c>
      <c r="L253" t="n">
        <v>39.6</v>
      </c>
      <c r="M253" s="155" t="inlineStr">
        <is>
          <t>--</t>
        </is>
      </c>
      <c r="N253" t="inlineStr">
        <is>
          <t>--</t>
        </is>
      </c>
    </row>
    <row r="254">
      <c r="A254" t="inlineStr">
        <is>
          <t>00948B</t>
        </is>
      </c>
      <c r="B254" t="inlineStr">
        <is>
          <t>中信優息投資級債</t>
        </is>
      </c>
      <c r="C254" t="n">
        <v>9.470000000000001</v>
      </c>
      <c r="D254" t="n">
        <v>9.539999999999999</v>
      </c>
      <c r="E254" s="730" t="n">
        <v>0.09</v>
      </c>
      <c r="F254" s="731" t="n">
        <v>0.95</v>
      </c>
      <c r="G254" t="inlineStr">
        <is>
          <t>1.33億</t>
        </is>
      </c>
      <c r="H254" t="n">
        <v>14021</v>
      </c>
      <c r="I254" t="n">
        <v>13053</v>
      </c>
      <c r="J254" t="inlineStr">
        <is>
          <t>--</t>
        </is>
      </c>
      <c r="K254" t="n">
        <v>9.550000000000001</v>
      </c>
      <c r="L254" t="n">
        <v>9.470000000000001</v>
      </c>
      <c r="M254" s="155" t="inlineStr">
        <is>
          <t>--</t>
        </is>
      </c>
      <c r="N254" t="inlineStr">
        <is>
          <t>--</t>
        </is>
      </c>
    </row>
    <row r="255">
      <c r="A255" t="n">
        <v>949</v>
      </c>
      <c r="B255" t="inlineStr">
        <is>
          <t>復華日本龍頭</t>
        </is>
      </c>
      <c r="C255" t="n">
        <v>20.61</v>
      </c>
      <c r="D255" t="n">
        <v>20.63</v>
      </c>
      <c r="E255" s="730" t="n">
        <v>0.02</v>
      </c>
      <c r="F255" s="731" t="n">
        <v>0.1</v>
      </c>
      <c r="G255" t="inlineStr">
        <is>
          <t>3093萬</t>
        </is>
      </c>
      <c r="H255" t="n">
        <v>1511</v>
      </c>
      <c r="I255" t="n">
        <v>1360</v>
      </c>
      <c r="J255" t="inlineStr">
        <is>
          <t>--</t>
        </is>
      </c>
      <c r="K255" t="n">
        <v>20.64</v>
      </c>
      <c r="L255" t="n">
        <v>20.38</v>
      </c>
      <c r="M255" s="155" t="inlineStr">
        <is>
          <t>--</t>
        </is>
      </c>
      <c r="N255" t="inlineStr">
        <is>
          <t>--</t>
        </is>
      </c>
    </row>
    <row r="256">
      <c r="A256" t="inlineStr">
        <is>
          <t>00950B</t>
        </is>
      </c>
      <c r="B256" t="inlineStr">
        <is>
          <t>凱基A級公司債</t>
        </is>
      </c>
      <c r="C256" t="n">
        <v>14.05</v>
      </c>
      <c r="D256" t="n">
        <v>14.09</v>
      </c>
      <c r="E256" s="730" t="n">
        <v>0.1</v>
      </c>
      <c r="F256" s="731" t="n">
        <v>0.71</v>
      </c>
      <c r="G256" t="inlineStr">
        <is>
          <t>7024萬</t>
        </is>
      </c>
      <c r="H256" t="n">
        <v>4998</v>
      </c>
      <c r="I256" t="n">
        <v>7417</v>
      </c>
      <c r="J256" t="inlineStr">
        <is>
          <t>--</t>
        </is>
      </c>
      <c r="K256" t="n">
        <v>14.1</v>
      </c>
      <c r="L256" t="n">
        <v>14</v>
      </c>
      <c r="M256" s="155" t="inlineStr">
        <is>
          <t>--</t>
        </is>
      </c>
      <c r="N256" t="inlineStr">
        <is>
          <t>--</t>
        </is>
      </c>
    </row>
    <row r="257">
      <c r="A257" t="n">
        <v>951</v>
      </c>
      <c r="B257" t="inlineStr">
        <is>
          <t>台新日本半導體</t>
        </is>
      </c>
      <c r="C257" t="n">
        <v>16.6</v>
      </c>
      <c r="D257" t="n">
        <v>16.94</v>
      </c>
      <c r="E257" s="730" t="n">
        <v>-0.03</v>
      </c>
      <c r="F257" s="731" t="n">
        <v>-0.18</v>
      </c>
      <c r="G257" t="inlineStr">
        <is>
          <t>7083萬</t>
        </is>
      </c>
      <c r="H257" t="n">
        <v>4267</v>
      </c>
      <c r="I257" t="n">
        <v>3702</v>
      </c>
      <c r="J257" t="inlineStr">
        <is>
          <t>--</t>
        </is>
      </c>
      <c r="K257" t="n">
        <v>16.94</v>
      </c>
      <c r="L257" t="n">
        <v>16.43</v>
      </c>
      <c r="M257" s="155" t="inlineStr">
        <is>
          <t>--</t>
        </is>
      </c>
      <c r="N257" t="inlineStr">
        <is>
          <t>--</t>
        </is>
      </c>
    </row>
    <row r="258">
      <c r="A258" t="n">
        <v>952</v>
      </c>
      <c r="B258" t="inlineStr">
        <is>
          <t>凱基台灣AI50</t>
        </is>
      </c>
      <c r="C258" t="n">
        <v>19.86</v>
      </c>
      <c r="D258" t="n">
        <v>19.9</v>
      </c>
      <c r="E258" s="730" t="n">
        <v>0.19</v>
      </c>
      <c r="F258" s="731" t="n">
        <v>0.96</v>
      </c>
      <c r="G258" t="inlineStr">
        <is>
          <t>1.06億</t>
        </is>
      </c>
      <c r="H258" t="n">
        <v>5370</v>
      </c>
      <c r="I258" t="n">
        <v>4348</v>
      </c>
      <c r="J258" t="inlineStr">
        <is>
          <t>--</t>
        </is>
      </c>
      <c r="K258" t="n">
        <v>19.97</v>
      </c>
      <c r="L258" t="n">
        <v>19.48</v>
      </c>
      <c r="M258" s="155" t="inlineStr">
        <is>
          <t>--</t>
        </is>
      </c>
      <c r="N258" t="inlineStr">
        <is>
          <t>--</t>
        </is>
      </c>
    </row>
    <row r="259">
      <c r="A259" t="inlineStr">
        <is>
          <t>00953B</t>
        </is>
      </c>
      <c r="B259" t="inlineStr">
        <is>
          <t>群益優選非投等債</t>
        </is>
      </c>
      <c r="C259" t="n">
        <v>9.529999999999999</v>
      </c>
      <c r="D259" t="n">
        <v>9.539999999999999</v>
      </c>
      <c r="E259" s="730" t="n">
        <v>0.03</v>
      </c>
      <c r="F259" s="731" t="n">
        <v>0.32</v>
      </c>
      <c r="G259" t="inlineStr">
        <is>
          <t>2.68億</t>
        </is>
      </c>
      <c r="H259" t="n">
        <v>28166</v>
      </c>
      <c r="I259" t="n">
        <v>35627</v>
      </c>
      <c r="J259" t="inlineStr">
        <is>
          <t>--</t>
        </is>
      </c>
      <c r="K259" t="n">
        <v>9.550000000000001</v>
      </c>
      <c r="L259" t="n">
        <v>9.52</v>
      </c>
      <c r="M259" s="155" t="inlineStr">
        <is>
          <t>--</t>
        </is>
      </c>
      <c r="N259" t="inlineStr">
        <is>
          <t>--</t>
        </is>
      </c>
    </row>
    <row r="260">
      <c r="A260" t="n">
        <v>954</v>
      </c>
      <c r="B260" t="inlineStr">
        <is>
          <t>中信日本半導體</t>
        </is>
      </c>
      <c r="C260" t="n">
        <v>17.85</v>
      </c>
      <c r="D260" t="n">
        <v>18.07</v>
      </c>
      <c r="E260" s="730" t="n">
        <v>-0.04</v>
      </c>
      <c r="F260" s="731" t="n">
        <v>-0.22</v>
      </c>
      <c r="G260" t="inlineStr">
        <is>
          <t>5834萬</t>
        </is>
      </c>
      <c r="H260" t="n">
        <v>3284</v>
      </c>
      <c r="I260" t="n">
        <v>5910</v>
      </c>
      <c r="J260" t="inlineStr">
        <is>
          <t>--</t>
        </is>
      </c>
      <c r="K260" t="n">
        <v>18.07</v>
      </c>
      <c r="L260" t="n">
        <v>17.56</v>
      </c>
      <c r="M260" s="155" t="inlineStr">
        <is>
          <t>--</t>
        </is>
      </c>
      <c r="N260" t="inlineStr">
        <is>
          <t>--</t>
        </is>
      </c>
    </row>
    <row r="261">
      <c r="A261" t="n">
        <v>955</v>
      </c>
      <c r="B261" t="inlineStr">
        <is>
          <t>中信日本商社</t>
        </is>
      </c>
      <c r="C261" t="n">
        <v>14.7</v>
      </c>
      <c r="D261" t="n">
        <v>14.66</v>
      </c>
      <c r="E261" s="730" t="n">
        <v>-0.08</v>
      </c>
      <c r="F261" s="731" t="n">
        <v>-0.54</v>
      </c>
      <c r="G261" t="inlineStr">
        <is>
          <t>1.90億</t>
        </is>
      </c>
      <c r="H261" t="n">
        <v>12939</v>
      </c>
      <c r="I261" t="n">
        <v>13950</v>
      </c>
      <c r="J261" t="inlineStr">
        <is>
          <t>--</t>
        </is>
      </c>
      <c r="K261" t="n">
        <v>14.77</v>
      </c>
      <c r="L261" t="n">
        <v>14.6</v>
      </c>
      <c r="M261" s="155" t="inlineStr">
        <is>
          <t>--</t>
        </is>
      </c>
      <c r="N261" t="inlineStr">
        <is>
          <t>--</t>
        </is>
      </c>
    </row>
    <row r="262">
      <c r="A262" t="n">
        <v>956</v>
      </c>
      <c r="B262" t="inlineStr">
        <is>
          <t>中信日經高股息</t>
        </is>
      </c>
      <c r="C262" t="n">
        <v>12.16</v>
      </c>
      <c r="D262" t="n">
        <v>12.15</v>
      </c>
      <c r="E262" s="730" t="n">
        <v>-0.04</v>
      </c>
      <c r="F262" s="731" t="n">
        <v>-0.33</v>
      </c>
      <c r="G262" t="inlineStr">
        <is>
          <t>744萬</t>
        </is>
      </c>
      <c r="H262" t="n">
        <v>615</v>
      </c>
      <c r="I262" t="n">
        <v>909</v>
      </c>
      <c r="J262" t="inlineStr">
        <is>
          <t>--</t>
        </is>
      </c>
      <c r="K262" t="n">
        <v>12.16</v>
      </c>
      <c r="L262" t="n">
        <v>12.06</v>
      </c>
      <c r="M262" s="155" t="inlineStr">
        <is>
          <t>--</t>
        </is>
      </c>
      <c r="N262" t="inlineStr">
        <is>
          <t>--</t>
        </is>
      </c>
    </row>
    <row r="263">
      <c r="A263" t="inlineStr">
        <is>
          <t>00957B</t>
        </is>
      </c>
      <c r="B263" t="inlineStr">
        <is>
          <t>兆豐US優選投等債</t>
        </is>
      </c>
      <c r="C263" t="n">
        <v>13.48</v>
      </c>
      <c r="D263" t="n">
        <v>13.56</v>
      </c>
      <c r="E263" s="730" t="n">
        <v>0.1</v>
      </c>
      <c r="F263" s="731" t="n">
        <v>0.74</v>
      </c>
      <c r="G263" t="inlineStr">
        <is>
          <t>4526萬</t>
        </is>
      </c>
      <c r="H263" t="n">
        <v>3350</v>
      </c>
      <c r="I263" t="n">
        <v>2361</v>
      </c>
      <c r="J263" t="inlineStr">
        <is>
          <t>--</t>
        </is>
      </c>
      <c r="K263" t="n">
        <v>13.56</v>
      </c>
      <c r="L263" t="n">
        <v>13.48</v>
      </c>
      <c r="M263" s="155" t="inlineStr">
        <is>
          <t>--</t>
        </is>
      </c>
      <c r="N263" t="inlineStr">
        <is>
          <t>--</t>
        </is>
      </c>
    </row>
    <row r="264">
      <c r="A264" t="inlineStr">
        <is>
          <t>00958B</t>
        </is>
      </c>
      <c r="B264" t="inlineStr">
        <is>
          <t>永豐ESG銀行債15+</t>
        </is>
      </c>
      <c r="C264" t="n">
        <v>9.24</v>
      </c>
      <c r="D264" t="n">
        <v>9.300000000000001</v>
      </c>
      <c r="E264" s="730" t="n">
        <v>0.06</v>
      </c>
      <c r="F264" s="731" t="n">
        <v>0.65</v>
      </c>
      <c r="G264" t="inlineStr">
        <is>
          <t>1241萬</t>
        </is>
      </c>
      <c r="H264" t="n">
        <v>1337</v>
      </c>
      <c r="I264" t="n">
        <v>1136</v>
      </c>
      <c r="J264" t="inlineStr">
        <is>
          <t>--</t>
        </is>
      </c>
      <c r="K264" t="n">
        <v>9.300000000000001</v>
      </c>
      <c r="L264" t="n">
        <v>9.24</v>
      </c>
      <c r="M264" s="155" t="inlineStr">
        <is>
          <t>--</t>
        </is>
      </c>
      <c r="N264" t="inlineStr">
        <is>
          <t>--</t>
        </is>
      </c>
    </row>
    <row r="265">
      <c r="A265" t="inlineStr">
        <is>
          <t>00959B</t>
        </is>
      </c>
      <c r="B265" t="inlineStr">
        <is>
          <t>大華投等美債15Y+</t>
        </is>
      </c>
      <c r="C265" t="n">
        <v>9.390000000000001</v>
      </c>
      <c r="D265" t="n">
        <v>9.460000000000001</v>
      </c>
      <c r="E265" s="730" t="n">
        <v>0.08</v>
      </c>
      <c r="F265" s="731" t="n">
        <v>0.85</v>
      </c>
      <c r="G265" t="inlineStr">
        <is>
          <t>2684萬</t>
        </is>
      </c>
      <c r="H265" t="n">
        <v>2858</v>
      </c>
      <c r="I265" t="n">
        <v>2945</v>
      </c>
      <c r="J265" t="inlineStr">
        <is>
          <t>--</t>
        </is>
      </c>
      <c r="K265" t="n">
        <v>9.460000000000001</v>
      </c>
      <c r="L265" t="n">
        <v>9.390000000000001</v>
      </c>
      <c r="M265" s="155" t="inlineStr">
        <is>
          <t>--</t>
        </is>
      </c>
      <c r="N265" t="inlineStr">
        <is>
          <t>--</t>
        </is>
      </c>
    </row>
    <row r="266">
      <c r="A266" t="n">
        <v>960</v>
      </c>
      <c r="B266" t="inlineStr">
        <is>
          <t>野村全球航運龍頭</t>
        </is>
      </c>
      <c r="C266" t="n">
        <v>17.15</v>
      </c>
      <c r="D266" t="n">
        <v>17.31</v>
      </c>
      <c r="E266" s="730" t="n">
        <v>0.26</v>
      </c>
      <c r="F266" s="731" t="n">
        <v>1.52</v>
      </c>
      <c r="G266" t="inlineStr">
        <is>
          <t>1785萬</t>
        </is>
      </c>
      <c r="H266" t="n">
        <v>1051</v>
      </c>
      <c r="I266" t="n">
        <v>667</v>
      </c>
      <c r="J266" t="inlineStr">
        <is>
          <t>--</t>
        </is>
      </c>
      <c r="K266" t="n">
        <v>17.31</v>
      </c>
      <c r="L266" t="n">
        <v>17.15</v>
      </c>
      <c r="M266" s="155" t="inlineStr">
        <is>
          <t>--</t>
        </is>
      </c>
      <c r="N266" t="inlineStr">
        <is>
          <t>--</t>
        </is>
      </c>
    </row>
    <row r="267">
      <c r="A267" t="n">
        <v>961</v>
      </c>
      <c r="B267" t="inlineStr">
        <is>
          <t>FT臺灣永續高息</t>
        </is>
      </c>
      <c r="C267" t="n">
        <v>12.96</v>
      </c>
      <c r="D267" t="n">
        <v>13.37</v>
      </c>
      <c r="E267" s="730" t="n">
        <v>0.59</v>
      </c>
      <c r="F267" s="731" t="n">
        <v>4.62</v>
      </c>
      <c r="G267" t="inlineStr">
        <is>
          <t>2.23億</t>
        </is>
      </c>
      <c r="H267" t="n">
        <v>16973</v>
      </c>
      <c r="I267" t="n">
        <v>4521</v>
      </c>
      <c r="J267" t="inlineStr">
        <is>
          <t>--</t>
        </is>
      </c>
      <c r="K267" t="n">
        <v>13.38</v>
      </c>
      <c r="L267" t="n">
        <v>12.94</v>
      </c>
      <c r="M267" s="155" t="inlineStr">
        <is>
          <t>--</t>
        </is>
      </c>
      <c r="N267" t="inlineStr">
        <is>
          <t>--</t>
        </is>
      </c>
    </row>
    <row r="268">
      <c r="A268" t="n">
        <v>962</v>
      </c>
      <c r="B268" t="inlineStr">
        <is>
          <t>台新AI優息動能</t>
        </is>
      </c>
      <c r="C268" t="n">
        <v>15.92</v>
      </c>
      <c r="D268" t="n">
        <v>16.08</v>
      </c>
      <c r="E268" s="730" t="n">
        <v>0.31</v>
      </c>
      <c r="F268" s="731" t="n">
        <v>1.97</v>
      </c>
      <c r="G268" t="inlineStr">
        <is>
          <t>7778萬</t>
        </is>
      </c>
      <c r="H268" t="n">
        <v>4874</v>
      </c>
      <c r="I268" t="n">
        <v>3382</v>
      </c>
      <c r="J268" t="inlineStr">
        <is>
          <t>--</t>
        </is>
      </c>
      <c r="K268" t="n">
        <v>16.11</v>
      </c>
      <c r="L268" t="n">
        <v>15.76</v>
      </c>
      <c r="M268" s="155" t="inlineStr">
        <is>
          <t>--</t>
        </is>
      </c>
      <c r="N268" t="inlineStr">
        <is>
          <t>--</t>
        </is>
      </c>
    </row>
    <row r="269">
      <c r="A269" t="n">
        <v>963</v>
      </c>
      <c r="B269" t="inlineStr">
        <is>
          <t>中信全球高股息</t>
        </is>
      </c>
      <c r="C269" t="n">
        <v>12.65</v>
      </c>
      <c r="D269" t="n">
        <v>12.66</v>
      </c>
      <c r="E269" s="730" t="n">
        <v>0.01</v>
      </c>
      <c r="F269" s="731" t="n">
        <v>0.08</v>
      </c>
      <c r="G269" t="inlineStr">
        <is>
          <t>1407萬</t>
        </is>
      </c>
      <c r="H269" t="n">
        <v>1113</v>
      </c>
      <c r="I269" t="n">
        <v>1074</v>
      </c>
      <c r="J269" t="inlineStr">
        <is>
          <t>--</t>
        </is>
      </c>
      <c r="K269" t="n">
        <v>12.68</v>
      </c>
      <c r="L269" t="n">
        <v>12.62</v>
      </c>
      <c r="M269" s="155" t="inlineStr">
        <is>
          <t>--</t>
        </is>
      </c>
      <c r="N269" t="inlineStr">
        <is>
          <t>--</t>
        </is>
      </c>
    </row>
    <row r="270">
      <c r="A270" t="n">
        <v>964</v>
      </c>
      <c r="B270" t="inlineStr">
        <is>
          <t>中信亞太高股息</t>
        </is>
      </c>
      <c r="C270" t="n">
        <v>14.62</v>
      </c>
      <c r="D270" t="n">
        <v>14.67</v>
      </c>
      <c r="E270" s="730" t="n">
        <v>0.05</v>
      </c>
      <c r="F270" s="731" t="n">
        <v>0.34</v>
      </c>
      <c r="G270" t="inlineStr">
        <is>
          <t>6886萬</t>
        </is>
      </c>
      <c r="H270" t="n">
        <v>4731</v>
      </c>
      <c r="I270" t="n">
        <v>4797</v>
      </c>
      <c r="J270" t="inlineStr">
        <is>
          <t>--</t>
        </is>
      </c>
      <c r="K270" t="n">
        <v>14.68</v>
      </c>
      <c r="L270" t="n">
        <v>14.46</v>
      </c>
      <c r="M270" s="155" t="inlineStr">
        <is>
          <t>--</t>
        </is>
      </c>
      <c r="N270" t="inlineStr">
        <is>
          <t>--</t>
        </is>
      </c>
    </row>
    <row r="271">
      <c r="A271" t="n">
        <v>965</v>
      </c>
      <c r="B271" t="inlineStr">
        <is>
          <t>元大航太防衛科技</t>
        </is>
      </c>
      <c r="C271" t="n">
        <v>25.26</v>
      </c>
      <c r="D271" t="n">
        <v>25.25</v>
      </c>
      <c r="E271" s="730" t="n">
        <v>-0.35</v>
      </c>
      <c r="F271" s="731" t="n">
        <v>-1.37</v>
      </c>
      <c r="G271" t="inlineStr">
        <is>
          <t>7703萬</t>
        </is>
      </c>
      <c r="H271" t="n">
        <v>3072</v>
      </c>
      <c r="I271" t="n">
        <v>3403</v>
      </c>
      <c r="J271" t="inlineStr">
        <is>
          <t>--</t>
        </is>
      </c>
      <c r="K271" t="n">
        <v>25.28</v>
      </c>
      <c r="L271" t="n">
        <v>25.03</v>
      </c>
      <c r="M271" s="155" t="inlineStr">
        <is>
          <t>--</t>
        </is>
      </c>
      <c r="N271" t="inlineStr">
        <is>
          <t>--</t>
        </is>
      </c>
    </row>
    <row r="272">
      <c r="A272" t="inlineStr">
        <is>
          <t>00966B</t>
        </is>
      </c>
      <c r="B272" t="inlineStr">
        <is>
          <t>統一ESG投等債15+</t>
        </is>
      </c>
      <c r="C272" t="n">
        <v>13.99</v>
      </c>
      <c r="D272" t="n">
        <v>14.1</v>
      </c>
      <c r="E272" s="730" t="n">
        <v>0.11</v>
      </c>
      <c r="F272" s="731" t="n">
        <v>0.79</v>
      </c>
      <c r="G272" t="inlineStr">
        <is>
          <t>1731萬</t>
        </is>
      </c>
      <c r="H272" t="n">
        <v>1232</v>
      </c>
      <c r="I272" t="n">
        <v>1187</v>
      </c>
      <c r="J272" t="inlineStr">
        <is>
          <t>--</t>
        </is>
      </c>
      <c r="K272" t="n">
        <v>14.1</v>
      </c>
      <c r="L272" t="n">
        <v>13.99</v>
      </c>
      <c r="M272" s="155" t="inlineStr">
        <is>
          <t>--</t>
        </is>
      </c>
      <c r="N272" t="inlineStr">
        <is>
          <t>--</t>
        </is>
      </c>
    </row>
    <row r="273">
      <c r="A273" t="inlineStr">
        <is>
          <t>00967B</t>
        </is>
      </c>
      <c r="B273" t="inlineStr">
        <is>
          <t>元大優息美債</t>
        </is>
      </c>
      <c r="C273" t="n">
        <v>9.02</v>
      </c>
      <c r="D273" t="n">
        <v>9.09</v>
      </c>
      <c r="E273" s="730" t="n">
        <v>0.07000000000000001</v>
      </c>
      <c r="F273" s="731" t="n">
        <v>0.78</v>
      </c>
      <c r="G273" t="inlineStr">
        <is>
          <t>559萬</t>
        </is>
      </c>
      <c r="H273" t="n">
        <v>616</v>
      </c>
      <c r="I273" t="n">
        <v>1817</v>
      </c>
      <c r="J273" t="inlineStr">
        <is>
          <t>--</t>
        </is>
      </c>
      <c r="K273" t="n">
        <v>9.09</v>
      </c>
      <c r="L273" t="n">
        <v>9.02</v>
      </c>
      <c r="M273" s="155" t="inlineStr">
        <is>
          <t>--</t>
        </is>
      </c>
      <c r="N273" t="inlineStr">
        <is>
          <t>--</t>
        </is>
      </c>
    </row>
    <row r="274">
      <c r="A274" t="inlineStr">
        <is>
          <t>00968B</t>
        </is>
      </c>
      <c r="B274" t="inlineStr">
        <is>
          <t>元大優息投等債</t>
        </is>
      </c>
      <c r="C274" t="n">
        <v>9.279999999999999</v>
      </c>
      <c r="D274" t="n">
        <v>9.32</v>
      </c>
      <c r="E274" s="730" t="n">
        <v>0.07000000000000001</v>
      </c>
      <c r="F274" s="731" t="n">
        <v>0.76</v>
      </c>
      <c r="G274" t="inlineStr">
        <is>
          <t>8400萬</t>
        </is>
      </c>
      <c r="H274" t="n">
        <v>9050</v>
      </c>
      <c r="I274" t="n">
        <v>4772</v>
      </c>
      <c r="J274" t="inlineStr">
        <is>
          <t>--</t>
        </is>
      </c>
      <c r="K274" t="n">
        <v>9.32</v>
      </c>
      <c r="L274" t="n">
        <v>9.26</v>
      </c>
      <c r="M274" s="155" t="inlineStr">
        <is>
          <t>--</t>
        </is>
      </c>
      <c r="N274" t="inlineStr">
        <is>
          <t>--</t>
        </is>
      </c>
    </row>
    <row r="275">
      <c r="A275" t="inlineStr">
        <is>
          <t>00969B</t>
        </is>
      </c>
      <c r="B275" t="inlineStr">
        <is>
          <t>元大零息超長美債</t>
        </is>
      </c>
      <c r="C275" t="n">
        <v>8.24</v>
      </c>
      <c r="D275" t="n">
        <v>8.32</v>
      </c>
      <c r="E275" s="730" t="n">
        <v>0.12</v>
      </c>
      <c r="F275" s="731" t="n">
        <v>1.46</v>
      </c>
      <c r="G275" t="inlineStr">
        <is>
          <t>1644萬</t>
        </is>
      </c>
      <c r="H275" t="n">
        <v>1985</v>
      </c>
      <c r="I275" t="n">
        <v>1135</v>
      </c>
      <c r="J275" t="inlineStr">
        <is>
          <t>--</t>
        </is>
      </c>
      <c r="K275" t="n">
        <v>8.34</v>
      </c>
      <c r="L275" t="n">
        <v>8.24</v>
      </c>
      <c r="M275" s="155" t="inlineStr">
        <is>
          <t>--</t>
        </is>
      </c>
      <c r="N275" t="inlineStr">
        <is>
          <t>--</t>
        </is>
      </c>
    </row>
    <row r="276">
      <c r="A276" t="inlineStr">
        <is>
          <t>00970B</t>
        </is>
      </c>
      <c r="B276" t="inlineStr">
        <is>
          <t>新光BBB投等債20+</t>
        </is>
      </c>
      <c r="C276" t="n">
        <v>9.369999999999999</v>
      </c>
      <c r="D276" t="n">
        <v>9.449999999999999</v>
      </c>
      <c r="E276" s="730" t="n">
        <v>0.08</v>
      </c>
      <c r="F276" s="731" t="n">
        <v>0.85</v>
      </c>
      <c r="G276" t="inlineStr">
        <is>
          <t>2186萬</t>
        </is>
      </c>
      <c r="H276" t="n">
        <v>2320</v>
      </c>
      <c r="I276" t="n">
        <v>2328</v>
      </c>
      <c r="J276" t="inlineStr">
        <is>
          <t>--</t>
        </is>
      </c>
      <c r="K276" t="n">
        <v>9.449999999999999</v>
      </c>
      <c r="L276" t="n">
        <v>9.369999999999999</v>
      </c>
      <c r="M276" s="155" t="inlineStr">
        <is>
          <t>--</t>
        </is>
      </c>
      <c r="N276" t="inlineStr">
        <is>
          <t>--</t>
        </is>
      </c>
    </row>
    <row r="277">
      <c r="A277" t="n">
        <v>971</v>
      </c>
      <c r="B277" t="inlineStr">
        <is>
          <t>野村美國研發龍頭</t>
        </is>
      </c>
      <c r="C277" t="n">
        <v>17.14</v>
      </c>
      <c r="D277" t="n">
        <v>17.1</v>
      </c>
      <c r="E277" s="730" t="n">
        <v>-0.04</v>
      </c>
      <c r="F277" s="731" t="n">
        <v>-0.23</v>
      </c>
      <c r="G277" t="inlineStr">
        <is>
          <t>1125萬</t>
        </is>
      </c>
      <c r="H277" t="n">
        <v>664</v>
      </c>
      <c r="I277" t="n">
        <v>848</v>
      </c>
      <c r="J277" t="inlineStr">
        <is>
          <t>--</t>
        </is>
      </c>
      <c r="K277" t="n">
        <v>17.14</v>
      </c>
      <c r="L277" t="n">
        <v>16.92</v>
      </c>
      <c r="M277" s="155" t="inlineStr">
        <is>
          <t>--</t>
        </is>
      </c>
      <c r="N277" t="inlineStr">
        <is>
          <t>--</t>
        </is>
      </c>
    </row>
    <row r="278">
      <c r="A278" t="n">
        <v>972</v>
      </c>
      <c r="B278" t="inlineStr">
        <is>
          <t>野村日本動能高息</t>
        </is>
      </c>
      <c r="C278" t="n">
        <v>18.97</v>
      </c>
      <c r="D278" t="n">
        <v>18.96</v>
      </c>
      <c r="E278" s="730" t="n">
        <v>0</v>
      </c>
      <c r="F278" s="731" t="n">
        <v>0</v>
      </c>
      <c r="G278" t="inlineStr">
        <is>
          <t>1346萬</t>
        </is>
      </c>
      <c r="H278" t="n">
        <v>717</v>
      </c>
      <c r="I278" t="n">
        <v>265</v>
      </c>
      <c r="J278" t="inlineStr">
        <is>
          <t>--</t>
        </is>
      </c>
      <c r="K278" t="n">
        <v>18.97</v>
      </c>
      <c r="L278" t="n">
        <v>18.59</v>
      </c>
      <c r="M278" s="155" t="inlineStr">
        <is>
          <t>--</t>
        </is>
      </c>
      <c r="N278" t="inlineStr">
        <is>
          <t>--</t>
        </is>
      </c>
    </row>
    <row r="279">
      <c r="A279" t="n">
        <v>9800</v>
      </c>
      <c r="B279" t="inlineStr">
        <is>
          <t>中信NASDAQ</t>
        </is>
      </c>
      <c r="C279" t="n">
        <v>13.23</v>
      </c>
      <c r="D279" t="n">
        <v>13.28</v>
      </c>
      <c r="E279" s="730" t="n">
        <v>0.02</v>
      </c>
      <c r="F279" s="731" t="n">
        <v>0.15</v>
      </c>
      <c r="G279" t="inlineStr">
        <is>
          <t>2181萬</t>
        </is>
      </c>
      <c r="H279" t="n">
        <v>1650</v>
      </c>
      <c r="I279" t="n">
        <v>3692</v>
      </c>
      <c r="J279" t="inlineStr">
        <is>
          <t>--</t>
        </is>
      </c>
      <c r="K279" t="n">
        <v>13.29</v>
      </c>
      <c r="L279" t="n">
        <v>13.19</v>
      </c>
      <c r="M279" s="155" t="inlineStr">
        <is>
          <t>--</t>
        </is>
      </c>
      <c r="N279" t="inlineStr">
        <is>
          <t>--</t>
        </is>
      </c>
    </row>
    <row r="280">
      <c r="A280" t="n">
        <v>9801</v>
      </c>
      <c r="B280" t="inlineStr">
        <is>
          <t>中信美國創新科技</t>
        </is>
      </c>
      <c r="C280" t="n">
        <v>12.63</v>
      </c>
      <c r="D280" t="n">
        <v>12.7</v>
      </c>
      <c r="E280" s="730" t="n">
        <v>0.08</v>
      </c>
      <c r="F280" s="731" t="n">
        <v>0.63</v>
      </c>
      <c r="G280" t="inlineStr">
        <is>
          <t>1404萬</t>
        </is>
      </c>
      <c r="H280" t="n">
        <v>1113</v>
      </c>
      <c r="I280" t="n">
        <v>1065</v>
      </c>
      <c r="J280" t="inlineStr">
        <is>
          <t>--</t>
        </is>
      </c>
      <c r="K280" t="n">
        <v>12.7</v>
      </c>
      <c r="L280" t="n">
        <v>12.6</v>
      </c>
      <c r="M280" s="155" t="inlineStr">
        <is>
          <t>--</t>
        </is>
      </c>
      <c r="N280" t="inlineStr">
        <is>
          <t>--</t>
        </is>
      </c>
    </row>
    <row r="281">
      <c r="A281" t="n">
        <v>9802</v>
      </c>
      <c r="B281" t="inlineStr">
        <is>
          <t>富邦旗艦50</t>
        </is>
      </c>
      <c r="C281" t="n">
        <v>20.94</v>
      </c>
      <c r="D281" t="n">
        <v>20.57</v>
      </c>
      <c r="E281" s="730" t="n">
        <v>-0.07000000000000001</v>
      </c>
      <c r="F281" s="731" t="n">
        <v>-0.34</v>
      </c>
      <c r="G281" t="inlineStr">
        <is>
          <t>1.67億</t>
        </is>
      </c>
      <c r="H281" t="n">
        <v>8096</v>
      </c>
      <c r="I281" t="n">
        <v>16809</v>
      </c>
      <c r="J281" t="inlineStr">
        <is>
          <t>--</t>
        </is>
      </c>
      <c r="K281" t="n">
        <v>21</v>
      </c>
      <c r="L281" t="n">
        <v>20.2</v>
      </c>
      <c r="M281" s="155" t="inlineStr">
        <is>
          <t>--</t>
        </is>
      </c>
      <c r="N281" t="inlineStr">
        <is>
          <t>--</t>
        </is>
      </c>
    </row>
    <row r="282">
      <c r="A282" t="n">
        <v>9803</v>
      </c>
      <c r="B282" t="inlineStr">
        <is>
          <t>玉山市值動能50</t>
        </is>
      </c>
      <c r="C282" t="n">
        <v>22.4</v>
      </c>
      <c r="D282" t="n">
        <v>22.11</v>
      </c>
      <c r="E282" s="730" t="n">
        <v>0</v>
      </c>
      <c r="F282" s="731" t="n">
        <v>0</v>
      </c>
      <c r="G282" t="inlineStr">
        <is>
          <t>8903萬</t>
        </is>
      </c>
      <c r="H282" t="n">
        <v>4040</v>
      </c>
      <c r="I282" t="n">
        <v>3057</v>
      </c>
      <c r="J282" t="inlineStr">
        <is>
          <t>--</t>
        </is>
      </c>
      <c r="K282" t="n">
        <v>22.4</v>
      </c>
      <c r="L282" t="n">
        <v>21.74</v>
      </c>
      <c r="M282" s="155" t="inlineStr">
        <is>
          <t>--</t>
        </is>
      </c>
      <c r="N282" t="inlineStr">
        <is>
          <t>--</t>
        </is>
      </c>
    </row>
    <row r="283">
      <c r="A283" t="n">
        <v>9804</v>
      </c>
      <c r="B283" t="inlineStr">
        <is>
          <t>聯邦台精彩50</t>
        </is>
      </c>
      <c r="C283" t="n">
        <v>23.86</v>
      </c>
      <c r="D283" t="n">
        <v>23.74</v>
      </c>
      <c r="E283" s="730" t="n">
        <v>-0.01</v>
      </c>
      <c r="F283" s="731" t="n">
        <v>-0.04</v>
      </c>
      <c r="G283" t="inlineStr">
        <is>
          <t>2284萬</t>
        </is>
      </c>
      <c r="H283" t="n">
        <v>964</v>
      </c>
      <c r="I283" t="n">
        <v>1275</v>
      </c>
      <c r="J283" t="inlineStr">
        <is>
          <t>--</t>
        </is>
      </c>
      <c r="K283" t="n">
        <v>24</v>
      </c>
      <c r="L283" t="n">
        <v>23.4</v>
      </c>
      <c r="M283" s="155" t="inlineStr">
        <is>
          <t>--</t>
        </is>
      </c>
      <c r="N283" t="inlineStr">
        <is>
          <t>--</t>
        </is>
      </c>
    </row>
    <row r="284">
      <c r="A284" t="n">
        <v>9805</v>
      </c>
      <c r="B284" t="inlineStr">
        <is>
          <t>新光美國電力基建</t>
        </is>
      </c>
      <c r="C284" t="n">
        <v>16.21</v>
      </c>
      <c r="D284" t="n">
        <v>16.3</v>
      </c>
      <c r="E284" s="730" t="n">
        <v>-0.17</v>
      </c>
      <c r="F284" s="731" t="n">
        <v>-1.03</v>
      </c>
      <c r="G284" t="inlineStr">
        <is>
          <t>2.82億</t>
        </is>
      </c>
      <c r="H284" t="n">
        <v>17384</v>
      </c>
      <c r="I284" t="n">
        <v>14502</v>
      </c>
      <c r="J284" t="inlineStr">
        <is>
          <t>--</t>
        </is>
      </c>
      <c r="K284" t="n">
        <v>16.32</v>
      </c>
      <c r="L284" t="n">
        <v>16.12</v>
      </c>
      <c r="M284" s="155" t="inlineStr">
        <is>
          <t>--</t>
        </is>
      </c>
      <c r="N284" t="inlineStr">
        <is>
          <t>--</t>
        </is>
      </c>
    </row>
    <row r="285">
      <c r="A285" t="n">
        <v>9806</v>
      </c>
      <c r="B285" t="inlineStr">
        <is>
          <t>台新標普500</t>
        </is>
      </c>
      <c r="C285" t="n">
        <v>13.19</v>
      </c>
      <c r="D285" t="n">
        <v>13.26</v>
      </c>
      <c r="E285" s="730" t="n">
        <v>0</v>
      </c>
      <c r="F285" s="731" t="n">
        <v>0</v>
      </c>
      <c r="G285" t="inlineStr">
        <is>
          <t>124萬</t>
        </is>
      </c>
      <c r="H285" t="n">
        <v>94</v>
      </c>
      <c r="I285" t="n">
        <v>54</v>
      </c>
      <c r="J285" t="inlineStr">
        <is>
          <t>--</t>
        </is>
      </c>
      <c r="K285" t="n">
        <v>13.26</v>
      </c>
      <c r="L285" t="n">
        <v>13.18</v>
      </c>
      <c r="M285" s="155" t="inlineStr">
        <is>
          <t>--</t>
        </is>
      </c>
      <c r="N285" t="inlineStr">
        <is>
          <t>--</t>
        </is>
      </c>
    </row>
    <row r="286">
      <c r="A286" t="n">
        <v>9807</v>
      </c>
      <c r="B286" t="inlineStr">
        <is>
          <t>台新標普科技精選</t>
        </is>
      </c>
      <c r="C286" t="n">
        <v>17.28</v>
      </c>
      <c r="D286" t="n">
        <v>17.34</v>
      </c>
      <c r="E286" s="730" t="n">
        <v>0.27</v>
      </c>
      <c r="F286" s="731" t="n">
        <v>1.58</v>
      </c>
      <c r="G286" t="inlineStr">
        <is>
          <t>104萬</t>
        </is>
      </c>
      <c r="H286" t="n">
        <v>60</v>
      </c>
      <c r="I286" t="n">
        <v>84</v>
      </c>
      <c r="J286" t="inlineStr">
        <is>
          <t>--</t>
        </is>
      </c>
      <c r="K286" t="n">
        <v>17.35</v>
      </c>
      <c r="L286" t="n">
        <v>17.26</v>
      </c>
      <c r="M286" s="155" t="inlineStr">
        <is>
          <t>--</t>
        </is>
      </c>
      <c r="N286" t="inlineStr">
        <is>
          <t>--</t>
        </is>
      </c>
    </row>
    <row r="287">
      <c r="A287" t="n">
        <v>9808</v>
      </c>
      <c r="B287" t="inlineStr">
        <is>
          <t>華南永昌優選50</t>
        </is>
      </c>
      <c r="C287" t="n">
        <v>31</v>
      </c>
      <c r="D287" t="n">
        <v>31.07</v>
      </c>
      <c r="E287" s="730" t="n">
        <v>0.13</v>
      </c>
      <c r="F287" s="731" t="n">
        <v>0.42</v>
      </c>
      <c r="G287" t="inlineStr">
        <is>
          <t>3325萬</t>
        </is>
      </c>
      <c r="H287" t="n">
        <v>1075</v>
      </c>
      <c r="I287" t="n">
        <v>1261</v>
      </c>
      <c r="J287" t="inlineStr">
        <is>
          <t>--</t>
        </is>
      </c>
      <c r="K287" t="n">
        <v>31.15</v>
      </c>
      <c r="L287" t="n">
        <v>30.73</v>
      </c>
      <c r="M287" s="155" t="inlineStr">
        <is>
          <t>--</t>
        </is>
      </c>
      <c r="N287" t="inlineStr">
        <is>
          <t>--</t>
        </is>
      </c>
    </row>
    <row r="288">
      <c r="A288" t="n">
        <v>9809</v>
      </c>
      <c r="B288" t="inlineStr">
        <is>
          <t>富邦淨零ESG50</t>
        </is>
      </c>
      <c r="C288" t="n">
        <v>17.44</v>
      </c>
      <c r="D288" t="n">
        <v>17.45</v>
      </c>
      <c r="E288" s="730" t="n">
        <v>0.12</v>
      </c>
      <c r="F288" s="731" t="n">
        <v>0.6899999999999999</v>
      </c>
      <c r="G288" t="inlineStr">
        <is>
          <t>2116萬</t>
        </is>
      </c>
      <c r="H288" t="n">
        <v>1215</v>
      </c>
      <c r="I288" t="n">
        <v>1094</v>
      </c>
      <c r="J288" t="inlineStr">
        <is>
          <t>--</t>
        </is>
      </c>
      <c r="K288" t="n">
        <v>17.54</v>
      </c>
      <c r="L288" t="n">
        <v>17.2</v>
      </c>
      <c r="M288" s="155" t="inlineStr">
        <is>
          <t>--</t>
        </is>
      </c>
      <c r="N288" t="inlineStr">
        <is>
          <t>--</t>
        </is>
      </c>
    </row>
    <row r="289">
      <c r="A289" t="inlineStr">
        <is>
          <t>00980A</t>
        </is>
      </c>
      <c r="B289" t="inlineStr">
        <is>
          <t>主動野村臺灣優選</t>
        </is>
      </c>
      <c r="C289" t="n">
        <v>24.91</v>
      </c>
      <c r="D289" t="n">
        <v>24.7</v>
      </c>
      <c r="E289" s="730" t="n">
        <v>-0.2</v>
      </c>
      <c r="F289" s="731" t="n">
        <v>-0.8</v>
      </c>
      <c r="G289" t="inlineStr">
        <is>
          <t>3.89億</t>
        </is>
      </c>
      <c r="H289" t="n">
        <v>15747</v>
      </c>
      <c r="I289" t="n">
        <v>19337</v>
      </c>
      <c r="J289" t="inlineStr">
        <is>
          <t>--</t>
        </is>
      </c>
      <c r="K289" t="n">
        <v>25.01</v>
      </c>
      <c r="L289" t="n">
        <v>24.26</v>
      </c>
      <c r="M289" s="155" t="inlineStr">
        <is>
          <t>--</t>
        </is>
      </c>
      <c r="N289" t="inlineStr">
        <is>
          <t>--</t>
        </is>
      </c>
    </row>
    <row r="290">
      <c r="A290" t="inlineStr">
        <is>
          <t>00980B</t>
        </is>
      </c>
      <c r="B290" t="inlineStr">
        <is>
          <t>台新特選IG債10+</t>
        </is>
      </c>
      <c r="C290" t="n">
        <v>9.49</v>
      </c>
      <c r="D290" t="n">
        <v>9.52</v>
      </c>
      <c r="E290" s="730" t="n">
        <v>0.07000000000000001</v>
      </c>
      <c r="F290" s="731" t="n">
        <v>0.74</v>
      </c>
      <c r="G290" t="inlineStr">
        <is>
          <t>1024萬</t>
        </is>
      </c>
      <c r="H290" t="n">
        <v>1078</v>
      </c>
      <c r="I290" t="n">
        <v>469</v>
      </c>
      <c r="J290" t="inlineStr">
        <is>
          <t>--</t>
        </is>
      </c>
      <c r="K290" t="n">
        <v>9.52</v>
      </c>
      <c r="L290" t="n">
        <v>9.48</v>
      </c>
      <c r="M290" s="155" t="inlineStr">
        <is>
          <t>--</t>
        </is>
      </c>
      <c r="N290" t="inlineStr">
        <is>
          <t>--</t>
        </is>
      </c>
    </row>
    <row r="291">
      <c r="A291" t="inlineStr">
        <is>
          <t>00980D</t>
        </is>
      </c>
      <c r="B291" t="inlineStr">
        <is>
          <t>主動聯博投等入息</t>
        </is>
      </c>
      <c r="C291" t="n">
        <v>20.31</v>
      </c>
      <c r="D291" t="n">
        <v>20.38</v>
      </c>
      <c r="E291" s="730" t="n">
        <v>0.07000000000000001</v>
      </c>
      <c r="F291" s="731" t="n">
        <v>0.34</v>
      </c>
      <c r="G291" t="inlineStr">
        <is>
          <t>1351萬</t>
        </is>
      </c>
      <c r="H291" t="n">
        <v>665</v>
      </c>
      <c r="I291" t="n">
        <v>1125</v>
      </c>
      <c r="J291" t="inlineStr">
        <is>
          <t>--</t>
        </is>
      </c>
      <c r="K291" t="n">
        <v>20.39</v>
      </c>
      <c r="L291" t="n">
        <v>20.31</v>
      </c>
      <c r="M291" s="155" t="inlineStr">
        <is>
          <t>--</t>
        </is>
      </c>
      <c r="N291" t="inlineStr">
        <is>
          <t>--</t>
        </is>
      </c>
    </row>
    <row r="292">
      <c r="A292" t="inlineStr">
        <is>
          <t>00980T</t>
        </is>
      </c>
      <c r="B292" t="inlineStr">
        <is>
          <t>平衡凱基美國TOP</t>
        </is>
      </c>
      <c r="C292" t="n">
        <v>11.8</v>
      </c>
      <c r="D292" t="n">
        <v>11.87</v>
      </c>
      <c r="E292" s="730" t="n">
        <v>0.06</v>
      </c>
      <c r="F292" s="731" t="n">
        <v>0.51</v>
      </c>
      <c r="G292" t="inlineStr">
        <is>
          <t>1550萬</t>
        </is>
      </c>
      <c r="H292" t="n">
        <v>1314</v>
      </c>
      <c r="I292" t="n">
        <v>711</v>
      </c>
      <c r="J292" t="inlineStr">
        <is>
          <t>--</t>
        </is>
      </c>
      <c r="K292" t="n">
        <v>11.87</v>
      </c>
      <c r="L292" t="n">
        <v>11.74</v>
      </c>
      <c r="M292" s="155" t="inlineStr">
        <is>
          <t>--</t>
        </is>
      </c>
      <c r="N292" t="inlineStr">
        <is>
          <t>--</t>
        </is>
      </c>
    </row>
    <row r="293">
      <c r="A293" t="n">
        <v>9810</v>
      </c>
      <c r="B293" t="inlineStr">
        <is>
          <t>玉山全球藍籌100</t>
        </is>
      </c>
      <c r="C293" t="n">
        <v>20.89</v>
      </c>
      <c r="D293" t="n">
        <v>20.96</v>
      </c>
      <c r="E293" s="730" t="n">
        <v>0.07000000000000001</v>
      </c>
      <c r="F293" s="731" t="n">
        <v>0.34</v>
      </c>
      <c r="G293" t="inlineStr">
        <is>
          <t>1510萬</t>
        </is>
      </c>
      <c r="H293" t="n">
        <v>722</v>
      </c>
      <c r="I293" t="n">
        <v>292</v>
      </c>
      <c r="J293" t="inlineStr">
        <is>
          <t>--</t>
        </is>
      </c>
      <c r="K293" t="n">
        <v>20.96</v>
      </c>
      <c r="L293" t="n">
        <v>20.89</v>
      </c>
      <c r="M293" s="155" t="inlineStr">
        <is>
          <t>--</t>
        </is>
      </c>
      <c r="N293" t="inlineStr">
        <is>
          <t>--</t>
        </is>
      </c>
    </row>
    <row r="294">
      <c r="A294" t="n">
        <v>9811</v>
      </c>
      <c r="B294" t="inlineStr">
        <is>
          <t>統一美國50</t>
        </is>
      </c>
      <c r="C294" t="n">
        <v>13.07</v>
      </c>
      <c r="D294" t="n">
        <v>13.1</v>
      </c>
      <c r="E294" s="730" t="n">
        <v>-0.01</v>
      </c>
      <c r="F294" s="731" t="n">
        <v>-0.08</v>
      </c>
      <c r="G294" t="inlineStr">
        <is>
          <t>2423萬</t>
        </is>
      </c>
      <c r="H294" t="n">
        <v>1863</v>
      </c>
      <c r="I294" t="n">
        <v>2712</v>
      </c>
      <c r="J294" t="inlineStr">
        <is>
          <t>--</t>
        </is>
      </c>
      <c r="K294" t="n">
        <v>13.11</v>
      </c>
      <c r="L294" t="n">
        <v>13.03</v>
      </c>
      <c r="M294" s="155" t="inlineStr">
        <is>
          <t>--</t>
        </is>
      </c>
      <c r="N294" t="inlineStr">
        <is>
          <t>--</t>
        </is>
      </c>
    </row>
    <row r="295">
      <c r="A295" t="n">
        <v>9812</v>
      </c>
      <c r="B295" t="inlineStr">
        <is>
          <t>野村日本東證</t>
        </is>
      </c>
      <c r="C295" t="n">
        <v>12.05</v>
      </c>
      <c r="D295" t="n">
        <v>12.1</v>
      </c>
      <c r="E295" s="730" t="n">
        <v>0.03</v>
      </c>
      <c r="F295" s="731" t="n">
        <v>0.25</v>
      </c>
      <c r="G295" t="inlineStr">
        <is>
          <t>1063萬</t>
        </is>
      </c>
      <c r="H295" t="n">
        <v>886</v>
      </c>
      <c r="I295" t="n">
        <v>1197</v>
      </c>
      <c r="J295" t="inlineStr">
        <is>
          <t>--</t>
        </is>
      </c>
      <c r="K295" t="n">
        <v>12.1</v>
      </c>
      <c r="L295" t="n">
        <v>11.94</v>
      </c>
      <c r="M295" s="155" t="inlineStr">
        <is>
          <t>--</t>
        </is>
      </c>
      <c r="N295" t="inlineStr">
        <is>
          <t>--</t>
        </is>
      </c>
    </row>
    <row r="296">
      <c r="A296" t="n">
        <v>9813</v>
      </c>
      <c r="B296" t="inlineStr">
        <is>
          <t>貝萊德標普卓越50</t>
        </is>
      </c>
      <c r="C296" t="n">
        <v>11.42</v>
      </c>
      <c r="D296" t="n">
        <v>11.45</v>
      </c>
      <c r="E296" s="730" t="n">
        <v>0.01</v>
      </c>
      <c r="F296" s="731" t="n">
        <v>0.09</v>
      </c>
      <c r="G296" t="inlineStr">
        <is>
          <t>3286萬</t>
        </is>
      </c>
      <c r="H296" t="n">
        <v>2882</v>
      </c>
      <c r="I296" t="n">
        <v>3882</v>
      </c>
      <c r="J296" t="inlineStr">
        <is>
          <t>--</t>
        </is>
      </c>
      <c r="K296" t="n">
        <v>11.46</v>
      </c>
      <c r="L296" t="n">
        <v>11.39</v>
      </c>
      <c r="M296" s="155" t="inlineStr">
        <is>
          <t>--</t>
        </is>
      </c>
      <c r="N296" t="inlineStr">
        <is>
          <t>--</t>
        </is>
      </c>
    </row>
    <row r="297">
      <c r="A297" t="n">
        <v>9814</v>
      </c>
      <c r="B297" t="inlineStr">
        <is>
          <t>富邦標普500</t>
        </is>
      </c>
      <c r="C297" t="n">
        <v>11.08</v>
      </c>
      <c r="D297" t="n">
        <v>11.11</v>
      </c>
      <c r="E297" s="730" t="n">
        <v>0.01</v>
      </c>
      <c r="F297" s="731" t="n">
        <v>0.09</v>
      </c>
      <c r="G297" t="inlineStr">
        <is>
          <t>1590萬</t>
        </is>
      </c>
      <c r="H297" t="n">
        <v>1439</v>
      </c>
      <c r="I297" t="n">
        <v>2112</v>
      </c>
      <c r="J297" t="inlineStr">
        <is>
          <t>--</t>
        </is>
      </c>
      <c r="K297" t="n">
        <v>11.12</v>
      </c>
      <c r="L297" t="n">
        <v>11.05</v>
      </c>
      <c r="M297" s="155" t="inlineStr">
        <is>
          <t>--</t>
        </is>
      </c>
      <c r="N297" t="inlineStr">
        <is>
          <t>--</t>
        </is>
      </c>
    </row>
    <row r="298">
      <c r="A298" t="n">
        <v>9815</v>
      </c>
      <c r="B298" t="inlineStr">
        <is>
          <t>大華美國MAG7+</t>
        </is>
      </c>
      <c r="C298" t="n">
        <v>11.68</v>
      </c>
      <c r="D298" t="n">
        <v>11.71</v>
      </c>
      <c r="E298" s="730" t="n">
        <v>0.03</v>
      </c>
      <c r="F298" s="731" t="n">
        <v>0.26</v>
      </c>
      <c r="G298" t="inlineStr">
        <is>
          <t>4913萬</t>
        </is>
      </c>
      <c r="H298" t="n">
        <v>4218</v>
      </c>
      <c r="I298" t="n">
        <v>7765</v>
      </c>
      <c r="J298" t="inlineStr">
        <is>
          <t>--</t>
        </is>
      </c>
      <c r="K298" t="n">
        <v>11.71</v>
      </c>
      <c r="L298" t="n">
        <v>11.63</v>
      </c>
      <c r="M298" s="155" t="inlineStr">
        <is>
          <t>--</t>
        </is>
      </c>
      <c r="N298" t="inlineStr">
        <is>
          <t>--</t>
        </is>
      </c>
    </row>
    <row r="299">
      <c r="A299" t="n">
        <v>9816</v>
      </c>
      <c r="B299" t="inlineStr">
        <is>
          <t>凱基台灣TOP50</t>
        </is>
      </c>
      <c r="C299" t="n">
        <v>15.54</v>
      </c>
      <c r="D299" t="n">
        <v>15.43</v>
      </c>
      <c r="E299" s="730" t="n">
        <v>0.03</v>
      </c>
      <c r="F299" s="731" t="n">
        <v>0.19</v>
      </c>
      <c r="G299" t="inlineStr">
        <is>
          <t>30.8億</t>
        </is>
      </c>
      <c r="H299" t="n">
        <v>201043</v>
      </c>
      <c r="I299" t="n">
        <v>203965</v>
      </c>
      <c r="J299" t="inlineStr">
        <is>
          <t>--</t>
        </is>
      </c>
      <c r="K299" t="n">
        <v>15.57</v>
      </c>
      <c r="L299" t="n">
        <v>15.2</v>
      </c>
      <c r="M299" s="155" t="inlineStr">
        <is>
          <t>--</t>
        </is>
      </c>
      <c r="N299" t="inlineStr">
        <is>
          <t>--</t>
        </is>
      </c>
    </row>
    <row r="300">
      <c r="A300" t="n">
        <v>9817</v>
      </c>
      <c r="B300" t="inlineStr">
        <is>
          <t>國泰日本不動產</t>
        </is>
      </c>
      <c r="C300" t="n">
        <v>8.699999999999999</v>
      </c>
      <c r="D300" t="n">
        <v>8.67</v>
      </c>
      <c r="E300" s="730" t="n">
        <v>-0.1</v>
      </c>
      <c r="F300" s="731" t="n">
        <v>-1.14</v>
      </c>
      <c r="G300" t="inlineStr">
        <is>
          <t>3788萬</t>
        </is>
      </c>
      <c r="H300" t="n">
        <v>4382</v>
      </c>
      <c r="I300" t="n">
        <v>5077</v>
      </c>
      <c r="J300" t="inlineStr">
        <is>
          <t>--</t>
        </is>
      </c>
      <c r="K300" t="n">
        <v>8.699999999999999</v>
      </c>
      <c r="L300" t="n">
        <v>8.640000000000001</v>
      </c>
      <c r="M300" s="155" t="inlineStr">
        <is>
          <t>--</t>
        </is>
      </c>
      <c r="N300" t="inlineStr">
        <is>
          <t>--</t>
        </is>
      </c>
    </row>
    <row r="301">
      <c r="A301" t="n">
        <v>9818</v>
      </c>
      <c r="B301" t="inlineStr">
        <is>
          <t>華南永昌NASDAQxT</t>
        </is>
      </c>
      <c r="C301" t="n">
        <v>20.04</v>
      </c>
      <c r="D301" t="n">
        <v>20.19</v>
      </c>
      <c r="E301" s="730" t="n">
        <v>0.15</v>
      </c>
      <c r="F301" s="731" t="n">
        <v>0.75</v>
      </c>
      <c r="G301" t="inlineStr">
        <is>
          <t>2671萬</t>
        </is>
      </c>
      <c r="H301" t="n">
        <v>1328</v>
      </c>
      <c r="I301" t="n">
        <v>667</v>
      </c>
      <c r="J301" t="inlineStr">
        <is>
          <t>--</t>
        </is>
      </c>
      <c r="K301" t="n">
        <v>20.19</v>
      </c>
      <c r="L301" t="n">
        <v>20.04</v>
      </c>
      <c r="M301" s="155" t="inlineStr">
        <is>
          <t>--</t>
        </is>
      </c>
      <c r="N301" t="inlineStr">
        <is>
          <t>--</t>
        </is>
      </c>
    </row>
    <row r="302">
      <c r="A302" t="n">
        <v>9819</v>
      </c>
      <c r="B302" t="inlineStr">
        <is>
          <t>中信數據及電力</t>
        </is>
      </c>
      <c r="C302" t="n">
        <v>10.93</v>
      </c>
      <c r="D302" t="n">
        <v>11.05</v>
      </c>
      <c r="E302" s="730" t="n">
        <v>0.26</v>
      </c>
      <c r="F302" s="731" t="n">
        <v>2.41</v>
      </c>
      <c r="G302" t="inlineStr">
        <is>
          <t>2.61億</t>
        </is>
      </c>
      <c r="H302" t="n">
        <v>23848</v>
      </c>
      <c r="I302" t="n">
        <v>20698</v>
      </c>
      <c r="J302" t="inlineStr">
        <is>
          <t>--</t>
        </is>
      </c>
      <c r="K302" t="n">
        <v>11.05</v>
      </c>
      <c r="L302" t="n">
        <v>10.88</v>
      </c>
      <c r="M302" s="155" t="inlineStr">
        <is>
          <t>--</t>
        </is>
      </c>
      <c r="N302" t="inlineStr">
        <is>
          <t>--</t>
        </is>
      </c>
    </row>
    <row r="303">
      <c r="A303" t="inlineStr">
        <is>
          <t>00981A</t>
        </is>
      </c>
      <c r="B303" t="inlineStr">
        <is>
          <t>主動統一台股增長</t>
        </is>
      </c>
      <c r="C303" t="n">
        <v>31.77</v>
      </c>
      <c r="D303" t="n">
        <v>31.33</v>
      </c>
      <c r="E303" s="730" t="n">
        <v>-0.37</v>
      </c>
      <c r="F303" s="731" t="n">
        <v>-1.17</v>
      </c>
      <c r="G303" t="inlineStr">
        <is>
          <t>96.9億</t>
        </is>
      </c>
      <c r="H303" t="n">
        <v>310281</v>
      </c>
      <c r="I303" t="n">
        <v>308578</v>
      </c>
      <c r="J303" t="inlineStr">
        <is>
          <t>--</t>
        </is>
      </c>
      <c r="K303" t="n">
        <v>31.81</v>
      </c>
      <c r="L303" t="n">
        <v>30.7</v>
      </c>
      <c r="M303" s="155" t="inlineStr">
        <is>
          <t>--</t>
        </is>
      </c>
      <c r="N303" t="inlineStr">
        <is>
          <t>--</t>
        </is>
      </c>
    </row>
    <row r="304">
      <c r="A304" t="inlineStr">
        <is>
          <t>00981B</t>
        </is>
      </c>
      <c r="B304" t="inlineStr">
        <is>
          <t>第一金優選非投債</t>
        </is>
      </c>
      <c r="C304" t="n">
        <v>9.109999999999999</v>
      </c>
      <c r="D304" t="n">
        <v>9.15</v>
      </c>
      <c r="E304" s="730" t="n">
        <v>0.04</v>
      </c>
      <c r="F304" s="731" t="n">
        <v>0.44</v>
      </c>
      <c r="G304" t="inlineStr">
        <is>
          <t>9840萬</t>
        </is>
      </c>
      <c r="H304" t="n">
        <v>10786</v>
      </c>
      <c r="I304" t="n">
        <v>13237</v>
      </c>
      <c r="J304" t="inlineStr">
        <is>
          <t>--</t>
        </is>
      </c>
      <c r="K304" t="n">
        <v>9.15</v>
      </c>
      <c r="L304" t="n">
        <v>9.109999999999999</v>
      </c>
      <c r="M304" s="155" t="inlineStr">
        <is>
          <t>--</t>
        </is>
      </c>
      <c r="N304" t="inlineStr">
        <is>
          <t>--</t>
        </is>
      </c>
    </row>
    <row r="305">
      <c r="A305" t="inlineStr">
        <is>
          <t>00981D</t>
        </is>
      </c>
      <c r="B305" t="inlineStr">
        <is>
          <t>主動中信非投等債</t>
        </is>
      </c>
      <c r="C305" t="n">
        <v>10.28</v>
      </c>
      <c r="D305" t="n">
        <v>10.29</v>
      </c>
      <c r="E305" s="730" t="n">
        <v>0.02</v>
      </c>
      <c r="F305" s="731" t="n">
        <v>0.19</v>
      </c>
      <c r="G305" t="inlineStr">
        <is>
          <t>6538萬</t>
        </is>
      </c>
      <c r="H305" t="n">
        <v>6359</v>
      </c>
      <c r="I305" t="n">
        <v>6423</v>
      </c>
      <c r="J305" t="inlineStr">
        <is>
          <t>--</t>
        </is>
      </c>
      <c r="K305" t="n">
        <v>10.3</v>
      </c>
      <c r="L305" t="n">
        <v>10.26</v>
      </c>
      <c r="M305" s="155" t="inlineStr">
        <is>
          <t>--</t>
        </is>
      </c>
      <c r="N305" t="inlineStr">
        <is>
          <t>--</t>
        </is>
      </c>
    </row>
    <row r="306">
      <c r="A306" t="inlineStr">
        <is>
          <t>00981T</t>
        </is>
      </c>
      <c r="B306" t="inlineStr">
        <is>
          <t>平衡凱基雙核收息</t>
        </is>
      </c>
      <c r="C306" t="n">
        <v>12.21</v>
      </c>
      <c r="D306" t="n">
        <v>12.18</v>
      </c>
      <c r="E306" s="730" t="n">
        <v>0.06</v>
      </c>
      <c r="F306" s="731" t="n">
        <v>0.5</v>
      </c>
      <c r="G306" t="inlineStr">
        <is>
          <t>6118萬</t>
        </is>
      </c>
      <c r="H306" t="n">
        <v>5026</v>
      </c>
      <c r="I306" t="n">
        <v>3582</v>
      </c>
      <c r="J306" t="inlineStr">
        <is>
          <t>--</t>
        </is>
      </c>
      <c r="K306" t="n">
        <v>12.21</v>
      </c>
      <c r="L306" t="n">
        <v>12.13</v>
      </c>
      <c r="M306" s="155" t="inlineStr">
        <is>
          <t>--</t>
        </is>
      </c>
      <c r="N306" t="inlineStr">
        <is>
          <t>--</t>
        </is>
      </c>
    </row>
    <row r="307">
      <c r="A307" t="n">
        <v>9820</v>
      </c>
      <c r="B307" t="inlineStr">
        <is>
          <t>元大納斯達克精選</t>
        </is>
      </c>
      <c r="C307" t="n">
        <v>10.75</v>
      </c>
      <c r="D307" t="n">
        <v>10.84</v>
      </c>
      <c r="E307" s="730" t="n">
        <v>0.15</v>
      </c>
      <c r="F307" s="731" t="n">
        <v>1.4</v>
      </c>
      <c r="G307" t="inlineStr">
        <is>
          <t>6.23億</t>
        </is>
      </c>
      <c r="H307" t="n">
        <v>57726</v>
      </c>
      <c r="I307" t="n">
        <v>33070</v>
      </c>
      <c r="J307" t="inlineStr">
        <is>
          <t>--</t>
        </is>
      </c>
      <c r="K307" t="n">
        <v>10.85</v>
      </c>
      <c r="L307" t="n">
        <v>10.75</v>
      </c>
      <c r="M307" s="155" t="inlineStr">
        <is>
          <t>--</t>
        </is>
      </c>
      <c r="N307" t="inlineStr">
        <is>
          <t>--</t>
        </is>
      </c>
    </row>
    <row r="308">
      <c r="A308" t="inlineStr">
        <is>
          <t>00982A</t>
        </is>
      </c>
      <c r="B308" t="inlineStr">
        <is>
          <t>主動群益台灣強棒</t>
        </is>
      </c>
      <c r="C308" t="n">
        <v>24.46</v>
      </c>
      <c r="D308" t="n">
        <v>23.83</v>
      </c>
      <c r="E308" s="730" t="n">
        <v>-0.52</v>
      </c>
      <c r="F308" s="731" t="n">
        <v>-2.14</v>
      </c>
      <c r="G308" t="inlineStr">
        <is>
          <t>15.1億</t>
        </is>
      </c>
      <c r="H308" t="n">
        <v>63170</v>
      </c>
      <c r="I308" t="n">
        <v>59230</v>
      </c>
      <c r="J308" t="inlineStr">
        <is>
          <t>--</t>
        </is>
      </c>
      <c r="K308" t="n">
        <v>24.5</v>
      </c>
      <c r="L308" t="n">
        <v>23.4</v>
      </c>
      <c r="M308" s="155" t="inlineStr">
        <is>
          <t>--</t>
        </is>
      </c>
      <c r="N308" t="inlineStr">
        <is>
          <t>--</t>
        </is>
      </c>
    </row>
    <row r="309">
      <c r="A309" t="inlineStr">
        <is>
          <t>00982B</t>
        </is>
      </c>
      <c r="B309" t="inlineStr">
        <is>
          <t>FT投資級債20+</t>
        </is>
      </c>
      <c r="C309" t="n">
        <v>9.859999999999999</v>
      </c>
      <c r="D309" t="n">
        <v>9.93</v>
      </c>
      <c r="E309" s="730" t="n">
        <v>0.07000000000000001</v>
      </c>
      <c r="F309" s="731" t="n">
        <v>0.71</v>
      </c>
      <c r="G309" t="inlineStr">
        <is>
          <t>13.9萬</t>
        </is>
      </c>
      <c r="H309" t="n">
        <v>14</v>
      </c>
      <c r="I309" t="n">
        <v>134</v>
      </c>
      <c r="J309" t="inlineStr">
        <is>
          <t>--</t>
        </is>
      </c>
      <c r="K309" t="n">
        <v>9.93</v>
      </c>
      <c r="L309" t="n">
        <v>9.859999999999999</v>
      </c>
      <c r="M309" s="155" t="inlineStr">
        <is>
          <t>--</t>
        </is>
      </c>
      <c r="N309" t="inlineStr">
        <is>
          <t>--</t>
        </is>
      </c>
    </row>
    <row r="310">
      <c r="A310" t="inlineStr">
        <is>
          <t>00982D</t>
        </is>
      </c>
      <c r="B310" t="inlineStr">
        <is>
          <t>主動富邦動態入息</t>
        </is>
      </c>
      <c r="C310" t="n">
        <v>9.92</v>
      </c>
      <c r="D310" t="n">
        <v>9.970000000000001</v>
      </c>
      <c r="E310" s="730" t="n">
        <v>0.06</v>
      </c>
      <c r="F310" s="731" t="n">
        <v>0.61</v>
      </c>
      <c r="G310" t="inlineStr">
        <is>
          <t>1296萬</t>
        </is>
      </c>
      <c r="H310" t="n">
        <v>1302</v>
      </c>
      <c r="I310" t="n">
        <v>870</v>
      </c>
      <c r="J310" t="inlineStr">
        <is>
          <t>--</t>
        </is>
      </c>
      <c r="K310" t="n">
        <v>9.970000000000001</v>
      </c>
      <c r="L310" t="n">
        <v>9.92</v>
      </c>
      <c r="M310" s="155" t="inlineStr">
        <is>
          <t>--</t>
        </is>
      </c>
      <c r="N310" t="inlineStr">
        <is>
          <t>--</t>
        </is>
      </c>
    </row>
    <row r="311">
      <c r="A311" t="inlineStr">
        <is>
          <t>00982T</t>
        </is>
      </c>
      <c r="B311" t="inlineStr">
        <is>
          <t>平衡兆豐台美動能</t>
        </is>
      </c>
      <c r="C311" t="n">
        <v>15.85</v>
      </c>
      <c r="D311" t="n">
        <v>15.85</v>
      </c>
      <c r="E311" s="730" t="n">
        <v>0.06</v>
      </c>
      <c r="F311" s="731" t="n">
        <v>0.38</v>
      </c>
      <c r="G311" t="inlineStr">
        <is>
          <t>166萬</t>
        </is>
      </c>
      <c r="H311" t="n">
        <v>105</v>
      </c>
      <c r="I311" t="n">
        <v>220</v>
      </c>
      <c r="J311" t="inlineStr">
        <is>
          <t>--</t>
        </is>
      </c>
      <c r="K311" t="n">
        <v>15.85</v>
      </c>
      <c r="L311" t="n">
        <v>15.65</v>
      </c>
      <c r="M311" s="155" t="inlineStr">
        <is>
          <t>--</t>
        </is>
      </c>
      <c r="N311" t="inlineStr">
        <is>
          <t>--</t>
        </is>
      </c>
    </row>
    <row r="312">
      <c r="A312" t="inlineStr">
        <is>
          <t>00983A</t>
        </is>
      </c>
      <c r="B312" t="inlineStr">
        <is>
          <t>主動中信ARK創新</t>
        </is>
      </c>
      <c r="C312" t="n">
        <v>12.04</v>
      </c>
      <c r="D312" t="n">
        <v>12.12</v>
      </c>
      <c r="E312" s="730" t="n">
        <v>-0.16</v>
      </c>
      <c r="F312" s="731" t="n">
        <v>-1.3</v>
      </c>
      <c r="G312" t="inlineStr">
        <is>
          <t>3146萬</t>
        </is>
      </c>
      <c r="H312" t="n">
        <v>2614</v>
      </c>
      <c r="I312" t="n">
        <v>4602</v>
      </c>
      <c r="J312" t="inlineStr">
        <is>
          <t>--</t>
        </is>
      </c>
      <c r="K312" t="n">
        <v>12.12</v>
      </c>
      <c r="L312" t="n">
        <v>12.01</v>
      </c>
      <c r="M312" s="155" t="inlineStr">
        <is>
          <t>--</t>
        </is>
      </c>
      <c r="N312" t="inlineStr">
        <is>
          <t>--</t>
        </is>
      </c>
    </row>
    <row r="313">
      <c r="A313" t="inlineStr">
        <is>
          <t>00983B</t>
        </is>
      </c>
      <c r="B313" t="inlineStr">
        <is>
          <t>大華優利美公債20</t>
        </is>
      </c>
      <c r="C313" t="n">
        <v>15.55</v>
      </c>
      <c r="D313" t="n">
        <v>15.66</v>
      </c>
      <c r="E313" s="730" t="n">
        <v>0.13</v>
      </c>
      <c r="F313" s="731" t="n">
        <v>0.84</v>
      </c>
      <c r="G313" t="inlineStr">
        <is>
          <t>1383萬</t>
        </is>
      </c>
      <c r="H313" t="n">
        <v>888</v>
      </c>
      <c r="I313" t="n">
        <v>384</v>
      </c>
      <c r="J313" t="inlineStr">
        <is>
          <t>--</t>
        </is>
      </c>
      <c r="K313" t="n">
        <v>15.66</v>
      </c>
      <c r="L313" t="n">
        <v>15.55</v>
      </c>
      <c r="M313" s="155" t="inlineStr">
        <is>
          <t>--</t>
        </is>
      </c>
      <c r="N313" t="inlineStr">
        <is>
          <t>--</t>
        </is>
      </c>
    </row>
    <row r="314">
      <c r="A314" t="inlineStr">
        <is>
          <t>00983D</t>
        </is>
      </c>
      <c r="B314" t="inlineStr">
        <is>
          <t>主動富邦複合收益</t>
        </is>
      </c>
      <c r="C314" t="n">
        <v>10.05</v>
      </c>
      <c r="D314" t="n">
        <v>10.1</v>
      </c>
      <c r="E314" s="730" t="n">
        <v>0.04</v>
      </c>
      <c r="F314" s="731" t="n">
        <v>0.4</v>
      </c>
      <c r="G314" t="inlineStr">
        <is>
          <t>1793萬</t>
        </is>
      </c>
      <c r="H314" t="n">
        <v>1780</v>
      </c>
      <c r="I314" t="n">
        <v>1125</v>
      </c>
      <c r="J314" t="inlineStr">
        <is>
          <t>--</t>
        </is>
      </c>
      <c r="K314" t="n">
        <v>10.1</v>
      </c>
      <c r="L314" t="n">
        <v>10.04</v>
      </c>
      <c r="M314" s="155" t="inlineStr">
        <is>
          <t>--</t>
        </is>
      </c>
      <c r="N314" t="inlineStr">
        <is>
          <t>--</t>
        </is>
      </c>
    </row>
    <row r="315">
      <c r="A315" t="inlineStr">
        <is>
          <t>00984A</t>
        </is>
      </c>
      <c r="B315" t="inlineStr">
        <is>
          <t>主動安聯台灣高息</t>
        </is>
      </c>
      <c r="C315" t="n">
        <v>16.55</v>
      </c>
      <c r="D315" t="n">
        <v>16.51</v>
      </c>
      <c r="E315" s="730" t="n">
        <v>0.01</v>
      </c>
      <c r="F315" s="731" t="n">
        <v>0.06</v>
      </c>
      <c r="G315" t="inlineStr">
        <is>
          <t>1.30億</t>
        </is>
      </c>
      <c r="H315" t="n">
        <v>7994</v>
      </c>
      <c r="I315" t="n">
        <v>9950</v>
      </c>
      <c r="J315" t="inlineStr">
        <is>
          <t>--</t>
        </is>
      </c>
      <c r="K315" t="n">
        <v>16.59</v>
      </c>
      <c r="L315" t="n">
        <v>16.22</v>
      </c>
      <c r="M315" s="155" t="inlineStr">
        <is>
          <t>--</t>
        </is>
      </c>
      <c r="N315" t="inlineStr">
        <is>
          <t>--</t>
        </is>
      </c>
    </row>
    <row r="316">
      <c r="A316" t="inlineStr">
        <is>
          <t>00984B</t>
        </is>
      </c>
      <c r="B316" t="inlineStr">
        <is>
          <t>大華優利美A債15</t>
        </is>
      </c>
      <c r="C316" t="n">
        <v>16.4</v>
      </c>
      <c r="D316" t="n">
        <v>16.52</v>
      </c>
      <c r="E316" s="730" t="n">
        <v>0.14</v>
      </c>
      <c r="F316" s="731" t="n">
        <v>0.85</v>
      </c>
      <c r="G316" t="inlineStr">
        <is>
          <t>4883萬</t>
        </is>
      </c>
      <c r="H316" t="n">
        <v>2978</v>
      </c>
      <c r="I316" t="n">
        <v>2285</v>
      </c>
      <c r="J316" t="inlineStr">
        <is>
          <t>--</t>
        </is>
      </c>
      <c r="K316" t="n">
        <v>16.52</v>
      </c>
      <c r="L316" t="n">
        <v>16.4</v>
      </c>
      <c r="M316" s="155" t="inlineStr">
        <is>
          <t>--</t>
        </is>
      </c>
      <c r="N316" t="inlineStr">
        <is>
          <t>--</t>
        </is>
      </c>
    </row>
    <row r="317">
      <c r="A317" t="inlineStr">
        <is>
          <t>00984D</t>
        </is>
      </c>
      <c r="B317" t="inlineStr">
        <is>
          <t>主動聯博全球非投</t>
        </is>
      </c>
      <c r="C317" t="n">
        <v>10.01</v>
      </c>
      <c r="D317" t="n">
        <v>10.04</v>
      </c>
      <c r="E317" s="730" t="n">
        <v>0.03</v>
      </c>
      <c r="F317" s="731" t="n">
        <v>0.3</v>
      </c>
      <c r="G317" t="inlineStr">
        <is>
          <t>1.51億</t>
        </is>
      </c>
      <c r="H317" t="n">
        <v>15055</v>
      </c>
      <c r="I317" t="n">
        <v>16360</v>
      </c>
      <c r="J317" t="inlineStr">
        <is>
          <t>--</t>
        </is>
      </c>
      <c r="K317" t="n">
        <v>10.04</v>
      </c>
      <c r="L317" t="n">
        <v>10</v>
      </c>
      <c r="M317" s="155" t="inlineStr">
        <is>
          <t>--</t>
        </is>
      </c>
      <c r="N317" t="inlineStr">
        <is>
          <t>--</t>
        </is>
      </c>
    </row>
    <row r="318">
      <c r="A318" t="inlineStr">
        <is>
          <t>00985A</t>
        </is>
      </c>
      <c r="B318" t="inlineStr">
        <is>
          <t>主動野村台灣50</t>
        </is>
      </c>
      <c r="C318" t="n">
        <v>22.5</v>
      </c>
      <c r="D318" t="n">
        <v>22.33</v>
      </c>
      <c r="E318" s="730" t="n">
        <v>-0.09</v>
      </c>
      <c r="F318" s="731" t="n">
        <v>-0.4</v>
      </c>
      <c r="G318" t="inlineStr">
        <is>
          <t>1.07億</t>
        </is>
      </c>
      <c r="H318" t="n">
        <v>4813</v>
      </c>
      <c r="I318" t="n">
        <v>7839</v>
      </c>
      <c r="J318" t="inlineStr">
        <is>
          <t>--</t>
        </is>
      </c>
      <c r="K318" t="n">
        <v>22.52</v>
      </c>
      <c r="L318" t="n">
        <v>22.04</v>
      </c>
      <c r="M318" s="155" t="inlineStr">
        <is>
          <t>--</t>
        </is>
      </c>
      <c r="N318" t="inlineStr">
        <is>
          <t>--</t>
        </is>
      </c>
    </row>
    <row r="319">
      <c r="A319" t="inlineStr">
        <is>
          <t>00985B</t>
        </is>
      </c>
      <c r="B319" t="inlineStr">
        <is>
          <t>群益ESG投等債0-5</t>
        </is>
      </c>
      <c r="C319" t="n">
        <v>10.11</v>
      </c>
      <c r="D319" t="n">
        <v>10.13</v>
      </c>
      <c r="E319" s="730" t="n">
        <v>0.03</v>
      </c>
      <c r="F319" s="731" t="n">
        <v>0.3</v>
      </c>
      <c r="G319" t="inlineStr">
        <is>
          <t>9938萬</t>
        </is>
      </c>
      <c r="H319" t="n">
        <v>9816</v>
      </c>
      <c r="I319" t="n">
        <v>6732</v>
      </c>
      <c r="J319" t="inlineStr">
        <is>
          <t>--</t>
        </is>
      </c>
      <c r="K319" t="n">
        <v>10.14</v>
      </c>
      <c r="L319" t="n">
        <v>10.1</v>
      </c>
      <c r="M319" s="155" t="inlineStr">
        <is>
          <t>--</t>
        </is>
      </c>
      <c r="N319" t="inlineStr">
        <is>
          <t>--</t>
        </is>
      </c>
    </row>
    <row r="320">
      <c r="A320" t="inlineStr">
        <is>
          <t>00985D</t>
        </is>
      </c>
      <c r="B320" t="inlineStr">
        <is>
          <t>主動貝萊德優投等</t>
        </is>
      </c>
      <c r="C320" t="n">
        <v>10.14</v>
      </c>
      <c r="D320" t="n">
        <v>10.2</v>
      </c>
      <c r="E320" s="730" t="n">
        <v>0.07000000000000001</v>
      </c>
      <c r="F320" s="731" t="n">
        <v>0.6899999999999999</v>
      </c>
      <c r="G320" t="inlineStr">
        <is>
          <t>411萬</t>
        </is>
      </c>
      <c r="H320" t="n">
        <v>404</v>
      </c>
      <c r="I320" t="n">
        <v>970</v>
      </c>
      <c r="J320" t="inlineStr">
        <is>
          <t>--</t>
        </is>
      </c>
      <c r="K320" t="n">
        <v>10.2</v>
      </c>
      <c r="L320" t="n">
        <v>10.14</v>
      </c>
      <c r="M320" s="155" t="inlineStr">
        <is>
          <t>--</t>
        </is>
      </c>
      <c r="N320" t="inlineStr">
        <is>
          <t>--</t>
        </is>
      </c>
    </row>
    <row r="321">
      <c r="A321" t="inlineStr">
        <is>
          <t>00986A</t>
        </is>
      </c>
      <c r="B321" t="inlineStr">
        <is>
          <t>主動台新龍頭成長</t>
        </is>
      </c>
      <c r="C321" t="n">
        <v>15.38</v>
      </c>
      <c r="D321" t="n">
        <v>15.4</v>
      </c>
      <c r="E321" s="730" t="n">
        <v>0.19</v>
      </c>
      <c r="F321" s="731" t="n">
        <v>1.25</v>
      </c>
      <c r="G321" t="inlineStr">
        <is>
          <t>1221萬</t>
        </is>
      </c>
      <c r="H321" t="n">
        <v>796</v>
      </c>
      <c r="I321" t="n">
        <v>777</v>
      </c>
      <c r="J321" t="inlineStr">
        <is>
          <t>--</t>
        </is>
      </c>
      <c r="K321" t="n">
        <v>15.4</v>
      </c>
      <c r="L321" t="n">
        <v>15.3</v>
      </c>
      <c r="M321" s="155" t="inlineStr">
        <is>
          <t>--</t>
        </is>
      </c>
      <c r="N321" t="inlineStr">
        <is>
          <t>--</t>
        </is>
      </c>
    </row>
    <row r="322">
      <c r="A322" t="inlineStr">
        <is>
          <t>00986B</t>
        </is>
      </c>
      <c r="B322" t="inlineStr">
        <is>
          <t>FT金融債10+</t>
        </is>
      </c>
      <c r="C322" t="n">
        <v>9.85</v>
      </c>
      <c r="D322" t="n">
        <v>9.9</v>
      </c>
      <c r="E322" s="730" t="n">
        <v>0.04</v>
      </c>
      <c r="F322" s="731" t="n">
        <v>0.41</v>
      </c>
      <c r="G322" t="inlineStr">
        <is>
          <t>48.4萬</t>
        </is>
      </c>
      <c r="H322" t="n">
        <v>49</v>
      </c>
      <c r="I322" t="n">
        <v>31</v>
      </c>
      <c r="J322" t="inlineStr">
        <is>
          <t>--</t>
        </is>
      </c>
      <c r="K322" t="n">
        <v>9.9</v>
      </c>
      <c r="L322" t="n">
        <v>9.85</v>
      </c>
      <c r="M322" s="155" t="inlineStr">
        <is>
          <t>--</t>
        </is>
      </c>
      <c r="N322" t="inlineStr">
        <is>
          <t>--</t>
        </is>
      </c>
    </row>
    <row r="323">
      <c r="A323" t="inlineStr">
        <is>
          <t>00986D</t>
        </is>
      </c>
      <c r="B323" t="inlineStr">
        <is>
          <t>主動復華金融債息</t>
        </is>
      </c>
      <c r="C323" t="n">
        <v>14.71</v>
      </c>
      <c r="D323" t="n">
        <v>14.8</v>
      </c>
      <c r="E323" s="730" t="n">
        <v>0.09</v>
      </c>
      <c r="F323" s="731" t="n">
        <v>0.61</v>
      </c>
      <c r="G323" t="inlineStr">
        <is>
          <t>2413萬</t>
        </is>
      </c>
      <c r="H323" t="n">
        <v>1635</v>
      </c>
      <c r="I323" t="n">
        <v>1706</v>
      </c>
      <c r="J323" t="inlineStr">
        <is>
          <t>--</t>
        </is>
      </c>
      <c r="K323" t="n">
        <v>14.8</v>
      </c>
      <c r="L323" t="n">
        <v>14.71</v>
      </c>
      <c r="M323" s="155" t="inlineStr">
        <is>
          <t>--</t>
        </is>
      </c>
      <c r="N323" t="inlineStr">
        <is>
          <t>--</t>
        </is>
      </c>
    </row>
    <row r="324">
      <c r="A324" t="inlineStr">
        <is>
          <t>00987A</t>
        </is>
      </c>
      <c r="B324" t="inlineStr">
        <is>
          <t>主動台新優勢成長</t>
        </is>
      </c>
      <c r="C324" t="n">
        <v>18.18</v>
      </c>
      <c r="D324" t="n">
        <v>17.7</v>
      </c>
      <c r="E324" s="730" t="n">
        <v>-0.46</v>
      </c>
      <c r="F324" s="731" t="n">
        <v>-2.53</v>
      </c>
      <c r="G324" t="inlineStr">
        <is>
          <t>1.35億</t>
        </is>
      </c>
      <c r="H324" t="n">
        <v>7586</v>
      </c>
      <c r="I324" t="n">
        <v>7873</v>
      </c>
      <c r="J324" t="inlineStr">
        <is>
          <t>--</t>
        </is>
      </c>
      <c r="K324" t="n">
        <v>18.19</v>
      </c>
      <c r="L324" t="n">
        <v>17.45</v>
      </c>
      <c r="M324" s="155" t="inlineStr">
        <is>
          <t>--</t>
        </is>
      </c>
      <c r="N324" t="inlineStr">
        <is>
          <t>--</t>
        </is>
      </c>
    </row>
    <row r="325">
      <c r="A325" t="inlineStr">
        <is>
          <t>00987B</t>
        </is>
      </c>
      <c r="B325" t="inlineStr">
        <is>
          <t>野村10+澳洲公債</t>
        </is>
      </c>
      <c r="C325" t="n">
        <v>15.94</v>
      </c>
      <c r="D325" t="n">
        <v>16.04</v>
      </c>
      <c r="E325" s="730" t="n">
        <v>0.03</v>
      </c>
      <c r="F325" s="731" t="n">
        <v>0.19</v>
      </c>
      <c r="G325" t="inlineStr">
        <is>
          <t>1942萬</t>
        </is>
      </c>
      <c r="H325" t="n">
        <v>1212</v>
      </c>
      <c r="I325" t="n">
        <v>1989</v>
      </c>
      <c r="J325" t="inlineStr">
        <is>
          <t>--</t>
        </is>
      </c>
      <c r="K325" t="n">
        <v>16.06</v>
      </c>
      <c r="L325" t="n">
        <v>15.94</v>
      </c>
      <c r="M325" s="155" t="inlineStr">
        <is>
          <t>--</t>
        </is>
      </c>
      <c r="N325" t="inlineStr">
        <is>
          <t>--</t>
        </is>
      </c>
    </row>
    <row r="326">
      <c r="A326" t="inlineStr">
        <is>
          <t>00988A</t>
        </is>
      </c>
      <c r="B326" t="inlineStr">
        <is>
          <t>主動統一全球創新</t>
        </is>
      </c>
      <c r="C326" t="n">
        <v>21.81</v>
      </c>
      <c r="D326" t="n">
        <v>21.7</v>
      </c>
      <c r="E326" s="730" t="n">
        <v>-0.29</v>
      </c>
      <c r="F326" s="731" t="n">
        <v>-1.32</v>
      </c>
      <c r="G326" t="inlineStr">
        <is>
          <t>24.4億</t>
        </is>
      </c>
      <c r="H326" t="n">
        <v>113601</v>
      </c>
      <c r="I326" t="n">
        <v>135348</v>
      </c>
      <c r="J326" t="inlineStr">
        <is>
          <t>--</t>
        </is>
      </c>
      <c r="K326" t="n">
        <v>21.81</v>
      </c>
      <c r="L326" t="n">
        <v>21.29</v>
      </c>
      <c r="M326" s="155" t="inlineStr">
        <is>
          <t>--</t>
        </is>
      </c>
      <c r="N326" t="inlineStr">
        <is>
          <t>--</t>
        </is>
      </c>
    </row>
    <row r="327">
      <c r="A327" t="inlineStr">
        <is>
          <t>00988B</t>
        </is>
      </c>
      <c r="B327" t="inlineStr">
        <is>
          <t>玉山嚴選非投債</t>
        </is>
      </c>
      <c r="C327" t="n">
        <v>19.72</v>
      </c>
      <c r="D327" t="n">
        <v>19.82</v>
      </c>
      <c r="E327" s="730" t="n">
        <v>0.1</v>
      </c>
      <c r="F327" s="731" t="n">
        <v>0.51</v>
      </c>
      <c r="G327" t="inlineStr">
        <is>
          <t>2060萬</t>
        </is>
      </c>
      <c r="H327" t="n">
        <v>1041</v>
      </c>
      <c r="I327" t="n">
        <v>844</v>
      </c>
      <c r="J327" t="inlineStr">
        <is>
          <t>--</t>
        </is>
      </c>
      <c r="K327" t="n">
        <v>19.82</v>
      </c>
      <c r="L327" t="n">
        <v>19.72</v>
      </c>
      <c r="M327" s="155" t="inlineStr">
        <is>
          <t>--</t>
        </is>
      </c>
      <c r="N327" t="inlineStr">
        <is>
          <t>--</t>
        </is>
      </c>
    </row>
    <row r="328">
      <c r="A328" t="inlineStr">
        <is>
          <t>00989A</t>
        </is>
      </c>
      <c r="B328" t="inlineStr">
        <is>
          <t>主動摩根美國科技</t>
        </is>
      </c>
      <c r="C328" t="n">
        <v>18.25</v>
      </c>
      <c r="D328" t="n">
        <v>18.35</v>
      </c>
      <c r="E328" s="730" t="n">
        <v>0.13</v>
      </c>
      <c r="F328" s="731" t="n">
        <v>0.71</v>
      </c>
      <c r="G328" t="inlineStr">
        <is>
          <t>2287萬</t>
        </is>
      </c>
      <c r="H328" t="n">
        <v>1250</v>
      </c>
      <c r="I328" t="n">
        <v>1924</v>
      </c>
      <c r="J328" t="inlineStr">
        <is>
          <t>--</t>
        </is>
      </c>
      <c r="K328" t="n">
        <v>18.35</v>
      </c>
      <c r="L328" t="n">
        <v>18.19</v>
      </c>
      <c r="M328" s="155" t="inlineStr">
        <is>
          <t>--</t>
        </is>
      </c>
      <c r="N328" t="inlineStr">
        <is>
          <t>--</t>
        </is>
      </c>
    </row>
    <row r="329">
      <c r="A329" t="inlineStr">
        <is>
          <t>00989B</t>
        </is>
      </c>
      <c r="B329" t="inlineStr">
        <is>
          <t>台新美國非投等債</t>
        </is>
      </c>
      <c r="C329" t="n">
        <v>9.970000000000001</v>
      </c>
      <c r="D329" t="n">
        <v>10</v>
      </c>
      <c r="E329" s="730" t="n">
        <v>0.01</v>
      </c>
      <c r="F329" s="731" t="n">
        <v>0.1</v>
      </c>
      <c r="G329" t="inlineStr">
        <is>
          <t>837萬</t>
        </is>
      </c>
      <c r="H329" t="n">
        <v>837</v>
      </c>
      <c r="I329" t="n">
        <v>554</v>
      </c>
      <c r="J329" t="inlineStr">
        <is>
          <t>--</t>
        </is>
      </c>
      <c r="K329" t="n">
        <v>10.02</v>
      </c>
      <c r="L329" t="n">
        <v>9.970000000000001</v>
      </c>
      <c r="M329" s="155" t="inlineStr">
        <is>
          <t>--</t>
        </is>
      </c>
      <c r="N329" t="inlineStr">
        <is>
          <t>--</t>
        </is>
      </c>
    </row>
    <row r="330">
      <c r="A330" t="inlineStr">
        <is>
          <t>00990A</t>
        </is>
      </c>
      <c r="B330" t="inlineStr">
        <is>
          <t>主動元大AI新經濟</t>
        </is>
      </c>
      <c r="C330" t="n">
        <v>20.26</v>
      </c>
      <c r="D330" t="n">
        <v>20.17</v>
      </c>
      <c r="E330" s="730" t="n">
        <v>-0.03</v>
      </c>
      <c r="F330" s="731" t="n">
        <v>-0.15</v>
      </c>
      <c r="G330" t="inlineStr">
        <is>
          <t>12.9億</t>
        </is>
      </c>
      <c r="H330" t="n">
        <v>64863</v>
      </c>
      <c r="I330" t="n">
        <v>50448</v>
      </c>
      <c r="J330" t="inlineStr">
        <is>
          <t>--</t>
        </is>
      </c>
      <c r="K330" t="n">
        <v>20.26</v>
      </c>
      <c r="L330" t="n">
        <v>19.76</v>
      </c>
      <c r="M330" s="155" t="inlineStr">
        <is>
          <t>--</t>
        </is>
      </c>
      <c r="N330" t="inlineStr">
        <is>
          <t>--</t>
        </is>
      </c>
    </row>
    <row r="331">
      <c r="A331" t="inlineStr">
        <is>
          <t>00991A</t>
        </is>
      </c>
      <c r="B331" t="inlineStr">
        <is>
          <t>主動復華未來50</t>
        </is>
      </c>
      <c r="C331" t="n">
        <v>20</v>
      </c>
      <c r="D331" t="n">
        <v>19.81</v>
      </c>
      <c r="E331" s="730" t="n">
        <v>-0.14</v>
      </c>
      <c r="F331" s="731" t="n">
        <v>-0.7</v>
      </c>
      <c r="G331" t="inlineStr">
        <is>
          <t>26.1億</t>
        </is>
      </c>
      <c r="H331" t="n">
        <v>133140</v>
      </c>
      <c r="I331" t="n">
        <v>131420</v>
      </c>
      <c r="J331" t="inlineStr">
        <is>
          <t>--</t>
        </is>
      </c>
      <c r="K331" t="n">
        <v>20.06</v>
      </c>
      <c r="L331" t="n">
        <v>19.36</v>
      </c>
      <c r="M331" s="155" t="inlineStr">
        <is>
          <t>--</t>
        </is>
      </c>
      <c r="N331" t="inlineStr">
        <is>
          <t>--</t>
        </is>
      </c>
    </row>
    <row r="332">
      <c r="A332" t="inlineStr">
        <is>
          <t>00992A</t>
        </is>
      </c>
      <c r="B332" t="inlineStr">
        <is>
          <t>主動群益科技創新</t>
        </is>
      </c>
      <c r="C332" t="n">
        <v>18.57</v>
      </c>
      <c r="D332" t="n">
        <v>18.14</v>
      </c>
      <c r="E332" s="730" t="n">
        <v>-0.43</v>
      </c>
      <c r="F332" s="731" t="n">
        <v>-2.32</v>
      </c>
      <c r="G332" t="inlineStr">
        <is>
          <t>14.2億</t>
        </is>
      </c>
      <c r="H332" t="n">
        <v>77965</v>
      </c>
      <c r="I332" t="n">
        <v>119296</v>
      </c>
      <c r="J332" t="inlineStr">
        <is>
          <t>--</t>
        </is>
      </c>
      <c r="K332" t="n">
        <v>18.62</v>
      </c>
      <c r="L332" t="n">
        <v>17.87</v>
      </c>
      <c r="M332" s="155" t="inlineStr">
        <is>
          <t>--</t>
        </is>
      </c>
      <c r="N332" t="inlineStr">
        <is>
          <t>--</t>
        </is>
      </c>
    </row>
    <row r="333">
      <c r="A333" t="inlineStr">
        <is>
          <t>00993A</t>
        </is>
      </c>
      <c r="B333" t="inlineStr">
        <is>
          <t>主動安聯台灣</t>
        </is>
      </c>
      <c r="C333" t="n">
        <v>13.86</v>
      </c>
      <c r="D333" t="n">
        <v>13.63</v>
      </c>
      <c r="E333" s="730" t="n">
        <v>-0.23</v>
      </c>
      <c r="F333" s="731" t="n">
        <v>-1.66</v>
      </c>
      <c r="G333" t="inlineStr">
        <is>
          <t>1.30億</t>
        </is>
      </c>
      <c r="H333" t="n">
        <v>9562</v>
      </c>
      <c r="I333" t="n">
        <v>13832</v>
      </c>
      <c r="J333" t="inlineStr">
        <is>
          <t>--</t>
        </is>
      </c>
      <c r="K333" t="n">
        <v>13.91</v>
      </c>
      <c r="L333" t="n">
        <v>13.39</v>
      </c>
      <c r="M333" s="155" t="inlineStr">
        <is>
          <t>--</t>
        </is>
      </c>
      <c r="N333" t="inlineStr">
        <is>
          <t>--</t>
        </is>
      </c>
    </row>
    <row r="334">
      <c r="A334" t="inlineStr">
        <is>
          <t>00994A</t>
        </is>
      </c>
      <c r="B334" t="inlineStr">
        <is>
          <t>主動第一金台股優</t>
        </is>
      </c>
      <c r="C334" t="n">
        <v>18.67</v>
      </c>
      <c r="D334" t="n">
        <v>18.34</v>
      </c>
      <c r="E334" s="730" t="n">
        <v>-0.31</v>
      </c>
      <c r="F334" s="731" t="n">
        <v>-1.66</v>
      </c>
      <c r="G334" t="inlineStr">
        <is>
          <t>3.12億</t>
        </is>
      </c>
      <c r="H334" t="n">
        <v>17142</v>
      </c>
      <c r="I334" t="n">
        <v>13373</v>
      </c>
      <c r="J334" t="inlineStr">
        <is>
          <t>--</t>
        </is>
      </c>
      <c r="K334" t="n">
        <v>18.71</v>
      </c>
      <c r="L334" t="n">
        <v>17.96</v>
      </c>
      <c r="M334" s="155" t="inlineStr">
        <is>
          <t>--</t>
        </is>
      </c>
      <c r="N334" t="inlineStr">
        <is>
          <t>--</t>
        </is>
      </c>
    </row>
    <row r="335">
      <c r="A335" t="inlineStr">
        <is>
          <t>00995A</t>
        </is>
      </c>
      <c r="B335" t="inlineStr">
        <is>
          <t>主動中信台灣卓越</t>
        </is>
      </c>
      <c r="C335" t="n">
        <v>18.27</v>
      </c>
      <c r="D335" t="n">
        <v>17.88</v>
      </c>
      <c r="E335" s="730" t="n">
        <v>-0.38</v>
      </c>
      <c r="F335" s="731" t="n">
        <v>-2.08</v>
      </c>
      <c r="G335" t="inlineStr">
        <is>
          <t>1.58億</t>
        </is>
      </c>
      <c r="H335" t="n">
        <v>8869</v>
      </c>
      <c r="I335" t="n">
        <v>9205</v>
      </c>
      <c r="J335" t="inlineStr">
        <is>
          <t>--</t>
        </is>
      </c>
      <c r="K335" t="n">
        <v>18.28</v>
      </c>
      <c r="L335" t="n">
        <v>17.55</v>
      </c>
      <c r="M335" s="155" t="inlineStr">
        <is>
          <t>--</t>
        </is>
      </c>
      <c r="N335" t="inlineStr">
        <is>
          <t>--</t>
        </is>
      </c>
    </row>
    <row r="336">
      <c r="A336" t="inlineStr">
        <is>
          <t>00996A</t>
        </is>
      </c>
      <c r="B336" t="inlineStr">
        <is>
          <t>主動兆豐台灣豐收</t>
        </is>
      </c>
      <c r="C336" t="n">
        <v>15.81</v>
      </c>
      <c r="D336" t="n">
        <v>15.54</v>
      </c>
      <c r="E336" s="730" t="n">
        <v>-0.18</v>
      </c>
      <c r="F336" s="731" t="n">
        <v>-1.15</v>
      </c>
      <c r="G336" t="inlineStr">
        <is>
          <t>2.19億</t>
        </is>
      </c>
      <c r="H336" t="n">
        <v>14166</v>
      </c>
      <c r="I336" t="n">
        <v>18886</v>
      </c>
      <c r="J336" t="inlineStr">
        <is>
          <t>--</t>
        </is>
      </c>
      <c r="K336" t="n">
        <v>15.83</v>
      </c>
      <c r="L336" t="n">
        <v>15.18</v>
      </c>
      <c r="M336" s="155" t="inlineStr">
        <is>
          <t>--</t>
        </is>
      </c>
      <c r="N336" t="inlineStr">
        <is>
          <t>--</t>
        </is>
      </c>
    </row>
    <row r="337">
      <c r="A337" t="inlineStr">
        <is>
          <t>00997A</t>
        </is>
      </c>
      <c r="B337" t="inlineStr">
        <is>
          <t>主動群益美國增長</t>
        </is>
      </c>
      <c r="C337" t="n">
        <v>13.27</v>
      </c>
      <c r="D337" t="n">
        <v>13.26</v>
      </c>
      <c r="E337" s="730" t="n">
        <v>-0.05</v>
      </c>
      <c r="F337" s="731" t="n">
        <v>-0.38</v>
      </c>
      <c r="G337" t="inlineStr">
        <is>
          <t>2.52億</t>
        </is>
      </c>
      <c r="H337" t="n">
        <v>19122</v>
      </c>
      <c r="I337" t="n">
        <v>26546</v>
      </c>
      <c r="J337" t="inlineStr">
        <is>
          <t>--</t>
        </is>
      </c>
      <c r="K337" t="n">
        <v>13.27</v>
      </c>
      <c r="L337" t="n">
        <v>13.11</v>
      </c>
      <c r="M337" s="155" t="inlineStr">
        <is>
          <t>--</t>
        </is>
      </c>
      <c r="N337" t="inlineStr">
        <is>
          <t>--</t>
        </is>
      </c>
    </row>
    <row r="338">
      <c r="A338" t="inlineStr">
        <is>
          <t>00998A</t>
        </is>
      </c>
      <c r="B338" t="inlineStr">
        <is>
          <t>主動復華金融股息</t>
        </is>
      </c>
      <c r="C338" t="n">
        <v>16.1</v>
      </c>
      <c r="D338" t="n">
        <v>16.15</v>
      </c>
      <c r="E338" s="730" t="n">
        <v>0.12</v>
      </c>
      <c r="F338" s="731" t="n">
        <v>0.75</v>
      </c>
      <c r="G338" t="inlineStr">
        <is>
          <t>6916萬</t>
        </is>
      </c>
      <c r="H338" t="n">
        <v>4300</v>
      </c>
      <c r="I338" t="n">
        <v>2477</v>
      </c>
      <c r="J338" t="inlineStr">
        <is>
          <t>--</t>
        </is>
      </c>
      <c r="K338" t="n">
        <v>16.17</v>
      </c>
      <c r="L338" t="n">
        <v>16.03</v>
      </c>
      <c r="M338" s="155" t="inlineStr">
        <is>
          <t>--</t>
        </is>
      </c>
      <c r="N338" t="inlineStr">
        <is>
          <t>--</t>
        </is>
      </c>
    </row>
    <row r="339">
      <c r="A339" t="inlineStr">
        <is>
          <t>00999A</t>
        </is>
      </c>
      <c r="B339" t="inlineStr">
        <is>
          <t>主動野村臺灣高息</t>
        </is>
      </c>
      <c r="C339" t="n">
        <v>11.17</v>
      </c>
      <c r="D339" t="n">
        <v>11.2</v>
      </c>
      <c r="E339" s="730" t="n">
        <v>0.04</v>
      </c>
      <c r="F339" s="731" t="n">
        <v>0.36</v>
      </c>
      <c r="G339" t="inlineStr">
        <is>
          <t>4.82億</t>
        </is>
      </c>
      <c r="H339" t="n">
        <v>43342</v>
      </c>
      <c r="I339" t="n">
        <v>58982</v>
      </c>
      <c r="J339" t="inlineStr">
        <is>
          <t>--</t>
        </is>
      </c>
      <c r="K339" t="n">
        <v>11.2</v>
      </c>
      <c r="L339" t="n">
        <v>11.06</v>
      </c>
      <c r="M339" s="155" t="inlineStr">
        <is>
          <t>--</t>
        </is>
      </c>
      <c r="N339" t="inlineStr">
        <is>
          <t>--</t>
        </is>
      </c>
    </row>
    <row r="340">
      <c r="A340" t="n">
        <v>20000</v>
      </c>
      <c r="B340" t="inlineStr">
        <is>
          <t>富邦特選蘋果N</t>
        </is>
      </c>
      <c r="C340" t="n">
        <v>34.35</v>
      </c>
      <c r="D340" t="n">
        <v>34.41</v>
      </c>
      <c r="E340" s="730" t="n">
        <v>-0.31</v>
      </c>
      <c r="F340" s="731" t="n">
        <v>-0.89</v>
      </c>
      <c r="G340" t="inlineStr">
        <is>
          <t>24.0萬</t>
        </is>
      </c>
      <c r="H340" t="n">
        <v>7</v>
      </c>
      <c r="I340" t="n">
        <v>3</v>
      </c>
      <c r="J340" t="inlineStr">
        <is>
          <t>--</t>
        </is>
      </c>
      <c r="K340" t="n">
        <v>34.41</v>
      </c>
      <c r="L340" t="n">
        <v>34.12</v>
      </c>
      <c r="M340" s="155" t="inlineStr">
        <is>
          <t>--</t>
        </is>
      </c>
      <c r="N340" t="inlineStr">
        <is>
          <t>--</t>
        </is>
      </c>
    </row>
    <row r="341">
      <c r="A341" t="n">
        <v>20001</v>
      </c>
      <c r="B341" t="inlineStr">
        <is>
          <t>富邦存股雙十N</t>
        </is>
      </c>
      <c r="C341" t="n">
        <v>25.9</v>
      </c>
      <c r="D341" t="n">
        <v>25.9</v>
      </c>
      <c r="E341" s="730" t="n">
        <v>0.08</v>
      </c>
      <c r="F341" s="731" t="n">
        <v>0.31</v>
      </c>
      <c r="G341" t="inlineStr">
        <is>
          <t>28.5萬</t>
        </is>
      </c>
      <c r="H341" t="n">
        <v>11</v>
      </c>
      <c r="I341" t="n">
        <v>1</v>
      </c>
      <c r="J341" t="inlineStr">
        <is>
          <t>--</t>
        </is>
      </c>
      <c r="K341" t="n">
        <v>25.9</v>
      </c>
      <c r="L341" t="n">
        <v>25.9</v>
      </c>
      <c r="M341" s="155" t="inlineStr">
        <is>
          <t>--</t>
        </is>
      </c>
      <c r="N341" t="inlineStr">
        <is>
          <t>--</t>
        </is>
      </c>
    </row>
    <row r="342">
      <c r="A342" t="n">
        <v>20011</v>
      </c>
      <c r="B342" t="inlineStr">
        <is>
          <t>統一微波高息20N</t>
        </is>
      </c>
      <c r="C342" t="inlineStr">
        <is>
          <t>--</t>
        </is>
      </c>
      <c r="D342" t="inlineStr">
        <is>
          <t>--</t>
        </is>
      </c>
      <c r="E342" s="730" t="inlineStr">
        <is>
          <t>--</t>
        </is>
      </c>
      <c r="F342" s="731" t="inlineStr">
        <is>
          <t>--</t>
        </is>
      </c>
      <c r="G342" t="inlineStr">
        <is>
          <t>--</t>
        </is>
      </c>
      <c r="H342" t="n">
        <v>0</v>
      </c>
      <c r="I342" t="n">
        <v>1</v>
      </c>
      <c r="J342" t="inlineStr">
        <is>
          <t>--</t>
        </is>
      </c>
      <c r="K342" t="inlineStr">
        <is>
          <t>--</t>
        </is>
      </c>
      <c r="L342" t="inlineStr">
        <is>
          <t>--</t>
        </is>
      </c>
      <c r="M342" s="155" t="inlineStr">
        <is>
          <t>--</t>
        </is>
      </c>
      <c r="N342" t="inlineStr">
        <is>
          <t>--</t>
        </is>
      </c>
    </row>
    <row r="343">
      <c r="A343" t="n">
        <v>20012</v>
      </c>
      <c r="B343" t="inlineStr">
        <is>
          <t>富邦行動通訊N</t>
        </is>
      </c>
      <c r="C343" t="inlineStr">
        <is>
          <t>--</t>
        </is>
      </c>
      <c r="D343" t="inlineStr">
        <is>
          <t>--</t>
        </is>
      </c>
      <c r="E343" s="730" t="inlineStr">
        <is>
          <t>--</t>
        </is>
      </c>
      <c r="F343" s="731" t="inlineStr">
        <is>
          <t>--</t>
        </is>
      </c>
      <c r="G343" t="inlineStr">
        <is>
          <t>--</t>
        </is>
      </c>
      <c r="H343" t="n">
        <v>0</v>
      </c>
      <c r="I343" t="n">
        <v>4</v>
      </c>
      <c r="J343" t="inlineStr">
        <is>
          <t>--</t>
        </is>
      </c>
      <c r="K343" t="inlineStr">
        <is>
          <t>--</t>
        </is>
      </c>
      <c r="L343" t="inlineStr">
        <is>
          <t>--</t>
        </is>
      </c>
      <c r="M343" s="155" t="inlineStr">
        <is>
          <t>--</t>
        </is>
      </c>
      <c r="N343" t="inlineStr">
        <is>
          <t>--</t>
        </is>
      </c>
    </row>
    <row r="344">
      <c r="A344" t="inlineStr">
        <is>
          <t>02001L</t>
        </is>
      </c>
      <c r="B344" t="inlineStr">
        <is>
          <t>富邦蘋果正二N</t>
        </is>
      </c>
      <c r="C344" t="n">
        <v>178.65</v>
      </c>
      <c r="D344" t="n">
        <v>183.65</v>
      </c>
      <c r="E344" s="730" t="n">
        <v>4.3</v>
      </c>
      <c r="F344" s="731" t="n">
        <v>2.4</v>
      </c>
      <c r="G344" t="inlineStr">
        <is>
          <t>2402萬</t>
        </is>
      </c>
      <c r="H344" t="n">
        <v>135</v>
      </c>
      <c r="I344" t="n">
        <v>180</v>
      </c>
      <c r="J344" t="inlineStr">
        <is>
          <t>--</t>
        </is>
      </c>
      <c r="K344" t="n">
        <v>183.65</v>
      </c>
      <c r="L344" t="n">
        <v>171.75</v>
      </c>
      <c r="M344" s="155" t="inlineStr">
        <is>
          <t>--</t>
        </is>
      </c>
      <c r="N344" t="inlineStr">
        <is>
          <t>--</t>
        </is>
      </c>
    </row>
    <row r="345">
      <c r="A345" t="n">
        <v>20020</v>
      </c>
      <c r="B345" t="inlineStr">
        <is>
          <t>元大台股領航N</t>
        </is>
      </c>
      <c r="C345" t="n">
        <v>29.15</v>
      </c>
      <c r="D345" t="n">
        <v>28.74</v>
      </c>
      <c r="E345" s="730" t="n">
        <v>-0.25</v>
      </c>
      <c r="F345" s="731" t="n">
        <v>-0.86</v>
      </c>
      <c r="G345" t="inlineStr">
        <is>
          <t>60.6萬</t>
        </is>
      </c>
      <c r="H345" t="n">
        <v>21</v>
      </c>
      <c r="I345" t="n">
        <v>60</v>
      </c>
      <c r="J345" t="inlineStr">
        <is>
          <t>--</t>
        </is>
      </c>
      <c r="K345" t="n">
        <v>29.5</v>
      </c>
      <c r="L345" t="n">
        <v>28.55</v>
      </c>
      <c r="M345" s="155" t="inlineStr">
        <is>
          <t>--</t>
        </is>
      </c>
      <c r="N345" t="inlineStr">
        <is>
          <t>--</t>
        </is>
      </c>
    </row>
    <row r="346">
      <c r="A346" t="n">
        <v>20025</v>
      </c>
      <c r="B346" t="inlineStr">
        <is>
          <t>統一亞洲半導體N</t>
        </is>
      </c>
      <c r="C346" t="n">
        <v>41.1</v>
      </c>
      <c r="D346" t="n">
        <v>41.15</v>
      </c>
      <c r="E346" s="730" t="n">
        <v>-0.65</v>
      </c>
      <c r="F346" s="731" t="n">
        <v>-1.56</v>
      </c>
      <c r="G346" t="inlineStr">
        <is>
          <t>312萬</t>
        </is>
      </c>
      <c r="H346" t="n">
        <v>76</v>
      </c>
      <c r="I346" t="n">
        <v>168</v>
      </c>
      <c r="J346" t="inlineStr">
        <is>
          <t>--</t>
        </is>
      </c>
      <c r="K346" t="n">
        <v>41.38</v>
      </c>
      <c r="L346" t="n">
        <v>40.91</v>
      </c>
      <c r="M346" s="155" t="inlineStr">
        <is>
          <t>--</t>
        </is>
      </c>
      <c r="N346" t="inlineStr">
        <is>
          <t>--</t>
        </is>
      </c>
    </row>
    <row r="347">
      <c r="A347" t="n">
        <v>20027</v>
      </c>
      <c r="B347" t="inlineStr">
        <is>
          <t>元大上櫃ESG成長N</t>
        </is>
      </c>
      <c r="C347" t="n">
        <v>11.5</v>
      </c>
      <c r="D347" t="n">
        <v>11.34</v>
      </c>
      <c r="E347" s="730" t="n">
        <v>-0.15</v>
      </c>
      <c r="F347" s="731" t="n">
        <v>-1.31</v>
      </c>
      <c r="G347" t="inlineStr">
        <is>
          <t>216萬</t>
        </is>
      </c>
      <c r="H347" t="n">
        <v>189</v>
      </c>
      <c r="I347" t="n">
        <v>73</v>
      </c>
      <c r="J347" t="inlineStr">
        <is>
          <t>--</t>
        </is>
      </c>
      <c r="K347" t="n">
        <v>11.53</v>
      </c>
      <c r="L347" t="n">
        <v>11.3</v>
      </c>
      <c r="M347" s="155" t="inlineStr">
        <is>
          <t>--</t>
        </is>
      </c>
      <c r="N347" t="inlineStr">
        <is>
          <t>--</t>
        </is>
      </c>
    </row>
    <row r="348">
      <c r="A348" t="n">
        <v>20028</v>
      </c>
      <c r="B348" t="inlineStr">
        <is>
          <t>元大特選電動車N</t>
        </is>
      </c>
      <c r="C348" t="n">
        <v>21.94</v>
      </c>
      <c r="D348" t="n">
        <v>21.55</v>
      </c>
      <c r="E348" s="730" t="n">
        <v>-0.39</v>
      </c>
      <c r="F348" s="731" t="n">
        <v>-1.78</v>
      </c>
      <c r="G348" t="inlineStr">
        <is>
          <t>86.1萬</t>
        </is>
      </c>
      <c r="H348" t="n">
        <v>40</v>
      </c>
      <c r="I348" t="n">
        <v>27</v>
      </c>
      <c r="J348" t="inlineStr">
        <is>
          <t>--</t>
        </is>
      </c>
      <c r="K348" t="n">
        <v>21.94</v>
      </c>
      <c r="L348" t="n">
        <v>21.46</v>
      </c>
      <c r="M348" s="155" t="inlineStr">
        <is>
          <t>--</t>
        </is>
      </c>
      <c r="N348" t="inlineStr">
        <is>
          <t>--</t>
        </is>
      </c>
    </row>
    <row r="349">
      <c r="A349" t="n">
        <v>20029</v>
      </c>
      <c r="B349" t="inlineStr">
        <is>
          <t>元大ESG高股息N</t>
        </is>
      </c>
      <c r="C349" t="n">
        <v>18.5</v>
      </c>
      <c r="D349" t="n">
        <v>18.26</v>
      </c>
      <c r="E349" s="730" t="n">
        <v>-0.13</v>
      </c>
      <c r="F349" s="731" t="n">
        <v>-0.71</v>
      </c>
      <c r="G349" t="inlineStr">
        <is>
          <t>106萬</t>
        </is>
      </c>
      <c r="H349" t="n">
        <v>58</v>
      </c>
      <c r="I349" t="n">
        <v>36</v>
      </c>
      <c r="J349" t="inlineStr">
        <is>
          <t>--</t>
        </is>
      </c>
      <c r="K349" t="n">
        <v>18.78</v>
      </c>
      <c r="L349" t="n">
        <v>18</v>
      </c>
      <c r="M349" s="155" t="inlineStr">
        <is>
          <t>--</t>
        </is>
      </c>
      <c r="N349" t="inlineStr">
        <is>
          <t>--</t>
        </is>
      </c>
    </row>
    <row r="350">
      <c r="A350" t="n">
        <v>20030</v>
      </c>
      <c r="B350" t="inlineStr">
        <is>
          <t>統一智慧電動車N</t>
        </is>
      </c>
      <c r="C350" t="inlineStr">
        <is>
          <t>--</t>
        </is>
      </c>
      <c r="D350" t="inlineStr">
        <is>
          <t>--</t>
        </is>
      </c>
      <c r="E350" s="730" t="inlineStr">
        <is>
          <t>--</t>
        </is>
      </c>
      <c r="F350" s="731" t="inlineStr">
        <is>
          <t>--</t>
        </is>
      </c>
      <c r="G350" t="inlineStr">
        <is>
          <t>--</t>
        </is>
      </c>
      <c r="H350" t="n">
        <v>0</v>
      </c>
      <c r="I350" t="n">
        <v>21</v>
      </c>
      <c r="J350" t="inlineStr">
        <is>
          <t>--</t>
        </is>
      </c>
      <c r="K350" t="inlineStr">
        <is>
          <t>--</t>
        </is>
      </c>
      <c r="L350" t="inlineStr">
        <is>
          <t>--</t>
        </is>
      </c>
      <c r="M350" s="155" t="inlineStr">
        <is>
          <t>--</t>
        </is>
      </c>
      <c r="N350" t="inlineStr">
        <is>
          <t>--</t>
        </is>
      </c>
    </row>
    <row r="351">
      <c r="A351" t="n">
        <v>20031</v>
      </c>
      <c r="B351" t="inlineStr">
        <is>
          <t>統一IC設計臺灣N</t>
        </is>
      </c>
      <c r="C351" t="n">
        <v>11.06</v>
      </c>
      <c r="D351" t="n">
        <v>10.85</v>
      </c>
      <c r="E351" s="730" t="n">
        <v>-0.17</v>
      </c>
      <c r="F351" s="731" t="n">
        <v>-1.54</v>
      </c>
      <c r="G351" t="inlineStr">
        <is>
          <t>77.5萬</t>
        </is>
      </c>
      <c r="H351" t="n">
        <v>71</v>
      </c>
      <c r="I351" t="n">
        <v>52</v>
      </c>
      <c r="J351" t="inlineStr">
        <is>
          <t>--</t>
        </is>
      </c>
      <c r="K351" t="n">
        <v>11.19</v>
      </c>
      <c r="L351" t="n">
        <v>10.85</v>
      </c>
      <c r="M351" s="155" t="inlineStr">
        <is>
          <t>--</t>
        </is>
      </c>
      <c r="N351" t="inlineStr">
        <is>
          <t>--</t>
        </is>
      </c>
    </row>
    <row r="352">
      <c r="A352" t="n">
        <v>20032</v>
      </c>
      <c r="B352" t="inlineStr">
        <is>
          <t>元大綠能N</t>
        </is>
      </c>
      <c r="C352" t="inlineStr">
        <is>
          <t>--</t>
        </is>
      </c>
      <c r="D352" t="inlineStr">
        <is>
          <t>--</t>
        </is>
      </c>
      <c r="E352" s="730" t="inlineStr">
        <is>
          <t>--</t>
        </is>
      </c>
      <c r="F352" s="731" t="inlineStr">
        <is>
          <t>--</t>
        </is>
      </c>
      <c r="G352" t="inlineStr">
        <is>
          <t>--</t>
        </is>
      </c>
      <c r="H352" t="n">
        <v>0</v>
      </c>
      <c r="I352" t="n">
        <v>13</v>
      </c>
      <c r="J352" t="inlineStr">
        <is>
          <t>--</t>
        </is>
      </c>
      <c r="K352" t="inlineStr">
        <is>
          <t>--</t>
        </is>
      </c>
      <c r="L352" t="inlineStr">
        <is>
          <t>--</t>
        </is>
      </c>
      <c r="M352" s="155" t="inlineStr">
        <is>
          <t>--</t>
        </is>
      </c>
      <c r="N352" t="inlineStr">
        <is>
          <t>--</t>
        </is>
      </c>
    </row>
    <row r="353">
      <c r="A353" t="n">
        <v>20033</v>
      </c>
      <c r="B353" t="inlineStr">
        <is>
          <t>統一恒生科期N</t>
        </is>
      </c>
      <c r="C353" t="n">
        <v>4.01</v>
      </c>
      <c r="D353" t="n">
        <v>4.09</v>
      </c>
      <c r="E353" s="730" t="n">
        <v>0.12</v>
      </c>
      <c r="F353" s="731" t="n">
        <v>3.02</v>
      </c>
      <c r="G353" t="inlineStr">
        <is>
          <t>43.9萬</t>
        </is>
      </c>
      <c r="H353" t="n">
        <v>108</v>
      </c>
      <c r="I353" t="n">
        <v>11</v>
      </c>
      <c r="J353" t="inlineStr">
        <is>
          <t>--</t>
        </is>
      </c>
      <c r="K353" t="n">
        <v>4.11</v>
      </c>
      <c r="L353" t="n">
        <v>4.01</v>
      </c>
      <c r="M353" s="155" t="inlineStr">
        <is>
          <t>--</t>
        </is>
      </c>
      <c r="N353" t="inlineStr">
        <is>
          <t>--</t>
        </is>
      </c>
    </row>
    <row r="354">
      <c r="A354" t="n">
        <v>20034</v>
      </c>
      <c r="B354" t="inlineStr">
        <is>
          <t>元大IC設計N</t>
        </is>
      </c>
      <c r="C354" t="n">
        <v>15.09</v>
      </c>
      <c r="D354" t="n">
        <v>14.62</v>
      </c>
      <c r="E354" s="730" t="n">
        <v>-0.15</v>
      </c>
      <c r="F354" s="731" t="n">
        <v>-1.02</v>
      </c>
      <c r="G354" t="inlineStr">
        <is>
          <t>194萬</t>
        </is>
      </c>
      <c r="H354" t="n">
        <v>131</v>
      </c>
      <c r="I354" t="n">
        <v>48</v>
      </c>
      <c r="J354" t="inlineStr">
        <is>
          <t>--</t>
        </is>
      </c>
      <c r="K354" t="n">
        <v>15.12</v>
      </c>
      <c r="L354" t="n">
        <v>14.62</v>
      </c>
      <c r="M354" s="155" t="inlineStr">
        <is>
          <t>--</t>
        </is>
      </c>
      <c r="N354" t="inlineStr">
        <is>
          <t>--</t>
        </is>
      </c>
    </row>
    <row r="355">
      <c r="A355" t="n">
        <v>20035</v>
      </c>
      <c r="B355" t="inlineStr">
        <is>
          <t>元大上櫃ESG高息N</t>
        </is>
      </c>
      <c r="C355" t="n">
        <v>15.2</v>
      </c>
      <c r="D355" t="n">
        <v>15.2</v>
      </c>
      <c r="E355" s="730" t="n">
        <v>0.04</v>
      </c>
      <c r="F355" s="731" t="n">
        <v>0.26</v>
      </c>
      <c r="G355" t="inlineStr">
        <is>
          <t>1.52萬</t>
        </is>
      </c>
      <c r="H355" t="n">
        <v>1</v>
      </c>
      <c r="I355" t="n">
        <v>2</v>
      </c>
      <c r="J355" t="inlineStr">
        <is>
          <t>--</t>
        </is>
      </c>
      <c r="K355" t="n">
        <v>15.2</v>
      </c>
      <c r="L355" t="n">
        <v>15.2</v>
      </c>
      <c r="M355" s="155" t="inlineStr">
        <is>
          <t>--</t>
        </is>
      </c>
      <c r="N355" t="inlineStr">
        <is>
          <t>--</t>
        </is>
      </c>
    </row>
    <row r="356">
      <c r="A356" t="n">
        <v>20036</v>
      </c>
      <c r="B356" t="inlineStr">
        <is>
          <t>元大金融配息N</t>
        </is>
      </c>
      <c r="C356" t="inlineStr">
        <is>
          <t>--</t>
        </is>
      </c>
      <c r="D356" t="inlineStr">
        <is>
          <t>--</t>
        </is>
      </c>
      <c r="E356" s="730" t="inlineStr">
        <is>
          <t>--</t>
        </is>
      </c>
      <c r="F356" s="731" t="inlineStr">
        <is>
          <t>--</t>
        </is>
      </c>
      <c r="G356" t="inlineStr">
        <is>
          <t>--</t>
        </is>
      </c>
      <c r="H356" t="n">
        <v>0</v>
      </c>
      <c r="I356" t="n">
        <v>7</v>
      </c>
      <c r="J356" t="inlineStr">
        <is>
          <t>--</t>
        </is>
      </c>
      <c r="K356" t="inlineStr">
        <is>
          <t>--</t>
        </is>
      </c>
      <c r="L356" t="inlineStr">
        <is>
          <t>--</t>
        </is>
      </c>
      <c r="M356" s="155" t="inlineStr">
        <is>
          <t>--</t>
        </is>
      </c>
      <c r="N356" t="inlineStr">
        <is>
          <t>--</t>
        </is>
      </c>
    </row>
    <row r="357">
      <c r="A357" t="n">
        <v>20037</v>
      </c>
      <c r="B357" t="inlineStr">
        <is>
          <t>元大金融高股息N</t>
        </is>
      </c>
      <c r="C357" t="n">
        <v>9.24</v>
      </c>
      <c r="D357" t="n">
        <v>9.380000000000001</v>
      </c>
      <c r="E357" s="730" t="n">
        <v>0.31</v>
      </c>
      <c r="F357" s="731" t="n">
        <v>3.42</v>
      </c>
      <c r="G357" t="inlineStr">
        <is>
          <t>52.9萬</t>
        </is>
      </c>
      <c r="H357" t="n">
        <v>57</v>
      </c>
      <c r="I357" t="n">
        <v>15</v>
      </c>
      <c r="J357" t="inlineStr">
        <is>
          <t>--</t>
        </is>
      </c>
      <c r="K357" t="n">
        <v>9.41</v>
      </c>
      <c r="L357" t="n">
        <v>9.24</v>
      </c>
      <c r="M357" s="155" t="inlineStr">
        <is>
          <t>--</t>
        </is>
      </c>
      <c r="N357" t="inlineStr">
        <is>
          <t>--</t>
        </is>
      </c>
    </row>
    <row r="358">
      <c r="A358" t="n">
        <v>20038</v>
      </c>
      <c r="B358" t="inlineStr">
        <is>
          <t>元大ESG配息N</t>
        </is>
      </c>
      <c r="C358" t="n">
        <v>14.4</v>
      </c>
      <c r="D358" t="n">
        <v>14.1</v>
      </c>
      <c r="E358" s="730" t="n">
        <v>-0.05</v>
      </c>
      <c r="F358" s="731" t="n">
        <v>-0.35</v>
      </c>
      <c r="G358" t="inlineStr">
        <is>
          <t>72.0萬</t>
        </is>
      </c>
      <c r="H358" t="n">
        <v>51</v>
      </c>
      <c r="I358" t="n">
        <v>47</v>
      </c>
      <c r="J358" t="inlineStr">
        <is>
          <t>--</t>
        </is>
      </c>
      <c r="K358" t="n">
        <v>14.4</v>
      </c>
      <c r="L358" t="n">
        <v>13.82</v>
      </c>
      <c r="M358" s="155" t="inlineStr">
        <is>
          <t>--</t>
        </is>
      </c>
      <c r="N358" t="inlineStr">
        <is>
          <t>--</t>
        </is>
      </c>
    </row>
    <row r="359">
      <c r="A359" t="n">
        <v>20039</v>
      </c>
      <c r="B359" t="inlineStr">
        <is>
          <t>元大加權N</t>
        </is>
      </c>
      <c r="C359" t="n">
        <v>14.44</v>
      </c>
      <c r="D359" t="n">
        <v>14.5</v>
      </c>
      <c r="E359" s="730" t="n">
        <v>0.05</v>
      </c>
      <c r="F359" s="731" t="n">
        <v>0.35</v>
      </c>
      <c r="G359" t="inlineStr">
        <is>
          <t>37.6萬</t>
        </is>
      </c>
      <c r="H359" t="n">
        <v>26</v>
      </c>
      <c r="I359" t="n">
        <v>8</v>
      </c>
      <c r="J359" t="inlineStr">
        <is>
          <t>--</t>
        </is>
      </c>
      <c r="K359" t="n">
        <v>14.5</v>
      </c>
      <c r="L359" t="n">
        <v>14.33</v>
      </c>
      <c r="M359" s="155" t="inlineStr">
        <is>
          <t>--</t>
        </is>
      </c>
      <c r="N359" t="inlineStr">
        <is>
          <t>--</t>
        </is>
      </c>
    </row>
    <row r="360">
      <c r="A360" t="n">
        <v>20040</v>
      </c>
      <c r="B360" t="inlineStr">
        <is>
          <t>元大上櫃ESG龍頭N</t>
        </is>
      </c>
      <c r="C360" t="inlineStr">
        <is>
          <t>--</t>
        </is>
      </c>
      <c r="D360" t="inlineStr">
        <is>
          <t>--</t>
        </is>
      </c>
      <c r="E360" s="730" t="inlineStr">
        <is>
          <t>--</t>
        </is>
      </c>
      <c r="F360" s="731" t="inlineStr">
        <is>
          <t>--</t>
        </is>
      </c>
      <c r="G360" t="inlineStr">
        <is>
          <t>--</t>
        </is>
      </c>
      <c r="H360" t="n">
        <v>0</v>
      </c>
      <c r="I360" t="n">
        <v>0</v>
      </c>
      <c r="J360" t="inlineStr">
        <is>
          <t>--</t>
        </is>
      </c>
      <c r="K360" t="inlineStr">
        <is>
          <t>--</t>
        </is>
      </c>
      <c r="L360" t="inlineStr">
        <is>
          <t>--</t>
        </is>
      </c>
      <c r="M360" s="155" t="inlineStr">
        <is>
          <t>--</t>
        </is>
      </c>
      <c r="N360" t="inlineStr">
        <is>
          <t>--</t>
        </is>
      </c>
    </row>
    <row r="361">
      <c r="A361" t="n">
        <v>20041</v>
      </c>
      <c r="B361" t="inlineStr">
        <is>
          <t>兆豐半導體氣候N</t>
        </is>
      </c>
      <c r="C361" t="n">
        <v>19.8</v>
      </c>
      <c r="D361" t="n">
        <v>19.08</v>
      </c>
      <c r="E361" s="730" t="n">
        <v>-0.52</v>
      </c>
      <c r="F361" s="731" t="n">
        <v>-2.65</v>
      </c>
      <c r="G361" t="inlineStr">
        <is>
          <t>55.5萬</t>
        </is>
      </c>
      <c r="H361" t="n">
        <v>29</v>
      </c>
      <c r="I361" t="n">
        <v>43</v>
      </c>
      <c r="J361" t="inlineStr">
        <is>
          <t>--</t>
        </is>
      </c>
      <c r="K361" t="n">
        <v>19.8</v>
      </c>
      <c r="L361" t="n">
        <v>19</v>
      </c>
      <c r="M361" s="155" t="inlineStr">
        <is>
          <t>--</t>
        </is>
      </c>
      <c r="N361" t="inlineStr">
        <is>
          <t>--</t>
        </is>
      </c>
    </row>
    <row r="362">
      <c r="A362" t="n">
        <v>1101</v>
      </c>
      <c r="B362" t="inlineStr">
        <is>
          <t>台泥</t>
        </is>
      </c>
      <c r="C362" t="n">
        <v>24.55</v>
      </c>
      <c r="D362" t="n">
        <v>24.65</v>
      </c>
      <c r="E362" s="730" t="n">
        <v>0.1</v>
      </c>
      <c r="F362" s="731" t="n">
        <v>0.41</v>
      </c>
      <c r="G362" t="inlineStr">
        <is>
          <t>8.09億</t>
        </is>
      </c>
      <c r="H362" t="n">
        <v>32910</v>
      </c>
      <c r="I362" t="n">
        <v>36440</v>
      </c>
      <c r="J362" t="n">
        <v>752.3200000000001</v>
      </c>
      <c r="K362" t="n">
        <v>24.8</v>
      </c>
      <c r="L362" t="n">
        <v>24.4</v>
      </c>
      <c r="M362" s="155" t="n">
        <v>0.44</v>
      </c>
      <c r="N362" t="inlineStr">
        <is>
          <t>台灣最大水泥廠</t>
        </is>
      </c>
    </row>
    <row r="363">
      <c r="A363" t="n">
        <v>1102</v>
      </c>
      <c r="B363" t="inlineStr">
        <is>
          <t>亞泥</t>
        </is>
      </c>
      <c r="C363" t="n">
        <v>33.7</v>
      </c>
      <c r="D363" t="n">
        <v>33.8</v>
      </c>
      <c r="E363" s="730" t="n">
        <v>0</v>
      </c>
      <c r="F363" s="731" t="n">
        <v>0</v>
      </c>
      <c r="G363" t="inlineStr">
        <is>
          <t>8.95億</t>
        </is>
      </c>
      <c r="H363" t="n">
        <v>26291</v>
      </c>
      <c r="I363" t="n">
        <v>55623</v>
      </c>
      <c r="J363" t="n">
        <v>354.66</v>
      </c>
      <c r="K363" t="n">
        <v>34.4</v>
      </c>
      <c r="L363" t="n">
        <v>33.6</v>
      </c>
      <c r="M363" s="155" t="n">
        <v>0.74</v>
      </c>
      <c r="N363" t="inlineStr">
        <is>
          <t>台灣前二大水泥廠</t>
        </is>
      </c>
    </row>
    <row r="364">
      <c r="A364" t="n">
        <v>1103</v>
      </c>
      <c r="B364" t="inlineStr">
        <is>
          <t>嘉泥</t>
        </is>
      </c>
      <c r="C364" t="n">
        <v>13.4</v>
      </c>
      <c r="D364" t="n">
        <v>13.25</v>
      </c>
      <c r="E364" s="730" t="n">
        <v>-0.05</v>
      </c>
      <c r="F364" s="731" t="n">
        <v>-0.38</v>
      </c>
      <c r="G364" t="inlineStr">
        <is>
          <t>738萬</t>
        </is>
      </c>
      <c r="H364" t="n">
        <v>559</v>
      </c>
      <c r="I364" t="n">
        <v>404</v>
      </c>
      <c r="J364" t="n">
        <v>83.29000000000001</v>
      </c>
      <c r="K364" t="n">
        <v>13.4</v>
      </c>
      <c r="L364" t="n">
        <v>13.1</v>
      </c>
      <c r="M364" s="155" t="n">
        <v>0.07000000000000001</v>
      </c>
      <c r="N364" t="inlineStr">
        <is>
          <t>主要從事水泥通路貿易</t>
        </is>
      </c>
    </row>
    <row r="365">
      <c r="A365" t="n">
        <v>1104</v>
      </c>
      <c r="B365" t="inlineStr">
        <is>
          <t>環泥</t>
        </is>
      </c>
      <c r="C365" t="n">
        <v>28</v>
      </c>
      <c r="D365" t="n">
        <v>28.6</v>
      </c>
      <c r="E365" s="730" t="n">
        <v>0.7</v>
      </c>
      <c r="F365" s="731" t="n">
        <v>2.51</v>
      </c>
      <c r="G365" t="inlineStr">
        <is>
          <t>3360萬</t>
        </is>
      </c>
      <c r="H365" t="n">
        <v>1189</v>
      </c>
      <c r="I365" t="n">
        <v>834</v>
      </c>
      <c r="J365" t="n">
        <v>68.67</v>
      </c>
      <c r="K365" t="n">
        <v>28.6</v>
      </c>
      <c r="L365" t="n">
        <v>27.95</v>
      </c>
      <c r="M365" s="155" t="n">
        <v>0.17</v>
      </c>
      <c r="N365" t="inlineStr">
        <is>
          <t>台灣最大石膏板供應商</t>
        </is>
      </c>
    </row>
    <row r="366">
      <c r="A366" t="n">
        <v>1108</v>
      </c>
      <c r="B366" t="inlineStr">
        <is>
          <t>幸福</t>
        </is>
      </c>
      <c r="C366" t="n">
        <v>13.85</v>
      </c>
      <c r="D366" t="n">
        <v>13.8</v>
      </c>
      <c r="E366" s="730" t="n">
        <v>0</v>
      </c>
      <c r="F366" s="731" t="n">
        <v>0</v>
      </c>
      <c r="G366" t="inlineStr">
        <is>
          <t>412萬</t>
        </is>
      </c>
      <c r="H366" t="n">
        <v>299</v>
      </c>
      <c r="I366" t="n">
        <v>293</v>
      </c>
      <c r="J366" t="n">
        <v>40.47</v>
      </c>
      <c r="K366" t="n">
        <v>13.85</v>
      </c>
      <c r="L366" t="n">
        <v>13.75</v>
      </c>
      <c r="M366" s="155" t="n">
        <v>0.07000000000000001</v>
      </c>
      <c r="N366" t="inlineStr">
        <is>
          <t>台灣第三大水泥廠</t>
        </is>
      </c>
    </row>
    <row r="367">
      <c r="A367" t="n">
        <v>1109</v>
      </c>
      <c r="B367" t="inlineStr">
        <is>
          <t>信大</t>
        </is>
      </c>
      <c r="C367" t="n">
        <v>14.65</v>
      </c>
      <c r="D367" t="n">
        <v>14.65</v>
      </c>
      <c r="E367" s="730" t="n">
        <v>0</v>
      </c>
      <c r="F367" s="731" t="n">
        <v>0</v>
      </c>
      <c r="G367" t="inlineStr">
        <is>
          <t>131萬</t>
        </is>
      </c>
      <c r="H367" t="n">
        <v>91</v>
      </c>
      <c r="I367" t="n">
        <v>140</v>
      </c>
      <c r="J367" t="n">
        <v>34.12</v>
      </c>
      <c r="K367" t="n">
        <v>14.65</v>
      </c>
      <c r="L367" t="n">
        <v>14.5</v>
      </c>
      <c r="M367" s="155" t="n">
        <v>0.03</v>
      </c>
      <c r="N367" t="inlineStr">
        <is>
          <t>銷售市場以台北、宜蘭、基隆、桃園等為主</t>
        </is>
      </c>
    </row>
    <row r="368">
      <c r="A368" t="n">
        <v>1110</v>
      </c>
      <c r="B368" t="inlineStr">
        <is>
          <t>東泥</t>
        </is>
      </c>
      <c r="C368" t="n">
        <v>14.6</v>
      </c>
      <c r="D368" t="n">
        <v>14.5</v>
      </c>
      <c r="E368" s="730" t="n">
        <v>-0.1</v>
      </c>
      <c r="F368" s="731" t="n">
        <v>-0.68</v>
      </c>
      <c r="G368" t="inlineStr">
        <is>
          <t>238萬</t>
        </is>
      </c>
      <c r="H368" t="n">
        <v>165</v>
      </c>
      <c r="I368" t="n">
        <v>275</v>
      </c>
      <c r="J368" t="n">
        <v>57.2</v>
      </c>
      <c r="K368" t="n">
        <v>14.6</v>
      </c>
      <c r="L368" t="n">
        <v>14.25</v>
      </c>
      <c r="M368" s="155" t="n">
        <v>0.03</v>
      </c>
      <c r="N368" t="inlineStr">
        <is>
          <t>台灣中南部市場水泥供應商</t>
        </is>
      </c>
    </row>
    <row r="369">
      <c r="A369" t="n">
        <v>1201</v>
      </c>
      <c r="B369" t="inlineStr">
        <is>
          <t>味全</t>
        </is>
      </c>
      <c r="C369" t="n">
        <v>12.35</v>
      </c>
      <c r="D369" t="n">
        <v>12.2</v>
      </c>
      <c r="E369" s="730" t="n">
        <v>-0.1</v>
      </c>
      <c r="F369" s="731" t="n">
        <v>-0.8100000000000001</v>
      </c>
      <c r="G369" t="inlineStr">
        <is>
          <t>713萬</t>
        </is>
      </c>
      <c r="H369" t="n">
        <v>582</v>
      </c>
      <c r="I369" t="n">
        <v>610</v>
      </c>
      <c r="J369" t="n">
        <v>50.61</v>
      </c>
      <c r="K369" t="n">
        <v>12.35</v>
      </c>
      <c r="L369" t="n">
        <v>12.2</v>
      </c>
      <c r="M369" s="155" t="n">
        <v>0.12</v>
      </c>
      <c r="N369" t="inlineStr">
        <is>
          <t>老牌綜合食品大廠</t>
        </is>
      </c>
    </row>
    <row r="370">
      <c r="A370" t="n">
        <v>1203</v>
      </c>
      <c r="B370" t="inlineStr">
        <is>
          <t>味王</t>
        </is>
      </c>
      <c r="C370" t="n">
        <v>43.5</v>
      </c>
      <c r="D370" t="n">
        <v>44.15</v>
      </c>
      <c r="E370" s="730" t="n">
        <v>0.5</v>
      </c>
      <c r="F370" s="731" t="n">
        <v>1.15</v>
      </c>
      <c r="G370" t="inlineStr">
        <is>
          <t>74.2萬</t>
        </is>
      </c>
      <c r="H370" t="n">
        <v>17</v>
      </c>
      <c r="I370" t="n">
        <v>24</v>
      </c>
      <c r="J370" t="n">
        <v>24</v>
      </c>
      <c r="K370" t="n">
        <v>44.15</v>
      </c>
      <c r="L370" t="n">
        <v>43.4</v>
      </c>
      <c r="M370" s="155" t="n">
        <v>0.01</v>
      </c>
      <c r="N370" t="inlineStr">
        <is>
          <t>老牌食品廠</t>
        </is>
      </c>
    </row>
    <row r="371">
      <c r="A371" t="n">
        <v>1210</v>
      </c>
      <c r="B371" t="inlineStr">
        <is>
          <t>大成</t>
        </is>
      </c>
      <c r="C371" t="n">
        <v>52.2</v>
      </c>
      <c r="D371" t="n">
        <v>52.8</v>
      </c>
      <c r="E371" s="730" t="n">
        <v>0.3</v>
      </c>
      <c r="F371" s="731" t="n">
        <v>0.57</v>
      </c>
      <c r="G371" t="inlineStr">
        <is>
          <t>5.40億</t>
        </is>
      </c>
      <c r="H371" t="n">
        <v>10278</v>
      </c>
      <c r="I371" t="n">
        <v>2505</v>
      </c>
      <c r="J371" t="n">
        <v>89.48</v>
      </c>
      <c r="K371" t="n">
        <v>53.3</v>
      </c>
      <c r="L371" t="n">
        <v>51.7</v>
      </c>
      <c r="M371" s="155" t="n">
        <v>1.15</v>
      </c>
      <c r="N371" t="inlineStr">
        <is>
          <t>白肉雞電宰加工廠及飼料大廠</t>
        </is>
      </c>
    </row>
    <row r="372">
      <c r="A372" t="n">
        <v>1213</v>
      </c>
      <c r="B372" t="inlineStr">
        <is>
          <t>大飲</t>
        </is>
      </c>
      <c r="C372" t="n">
        <v>8.25</v>
      </c>
      <c r="D372" t="n">
        <v>8.44</v>
      </c>
      <c r="E372" s="730" t="n">
        <v>-0.06</v>
      </c>
      <c r="F372" s="731" t="n">
        <v>-0.71</v>
      </c>
      <c r="G372" t="inlineStr">
        <is>
          <t>4.14萬</t>
        </is>
      </c>
      <c r="H372" t="n">
        <v>5</v>
      </c>
      <c r="I372" t="n">
        <v>21</v>
      </c>
      <c r="J372" t="n">
        <v>5.66</v>
      </c>
      <c r="K372" t="n">
        <v>8.44</v>
      </c>
      <c r="L372" t="n">
        <v>8.25</v>
      </c>
      <c r="M372" s="155" t="n">
        <v>0.01</v>
      </c>
      <c r="N372" t="inlineStr">
        <is>
          <t>產品以蘋果西打為主</t>
        </is>
      </c>
    </row>
    <row r="373">
      <c r="A373" t="n">
        <v>1215</v>
      </c>
      <c r="B373" t="inlineStr">
        <is>
          <t>卜蜂</t>
        </is>
      </c>
      <c r="C373" t="n">
        <v>121</v>
      </c>
      <c r="D373" t="n">
        <v>117.5</v>
      </c>
      <c r="E373" s="730" t="n">
        <v>-4</v>
      </c>
      <c r="F373" s="731" t="n">
        <v>-3.29</v>
      </c>
      <c r="G373" t="inlineStr">
        <is>
          <t>5.15億</t>
        </is>
      </c>
      <c r="H373" t="n">
        <v>4379</v>
      </c>
      <c r="I373" t="n">
        <v>3724</v>
      </c>
      <c r="J373" t="n">
        <v>29.48</v>
      </c>
      <c r="K373" t="n">
        <v>121.5</v>
      </c>
      <c r="L373" t="n">
        <v>116.5</v>
      </c>
      <c r="M373" s="155" t="n">
        <v>1.49</v>
      </c>
      <c r="N373" t="inlineStr">
        <is>
          <t>台灣白肉雞供應商及飼料大廠</t>
        </is>
      </c>
    </row>
    <row r="374">
      <c r="A374" t="n">
        <v>1216</v>
      </c>
      <c r="B374" t="inlineStr">
        <is>
          <t>統一</t>
        </is>
      </c>
      <c r="C374" t="n">
        <v>73.3</v>
      </c>
      <c r="D374" t="n">
        <v>74.2</v>
      </c>
      <c r="E374" s="730" t="n">
        <v>0.5</v>
      </c>
      <c r="F374" s="731" t="n">
        <v>0.68</v>
      </c>
      <c r="G374" t="inlineStr">
        <is>
          <t>18.9億</t>
        </is>
      </c>
      <c r="H374" t="n">
        <v>25712</v>
      </c>
      <c r="I374" t="n">
        <v>25306</v>
      </c>
      <c r="J374" t="n">
        <v>568.2</v>
      </c>
      <c r="K374" t="n">
        <v>74.3</v>
      </c>
      <c r="L374" t="n">
        <v>72</v>
      </c>
      <c r="M374" s="155" t="n">
        <v>0.45</v>
      </c>
      <c r="N374" t="inlineStr">
        <is>
          <t>台灣食品業龍頭廠之一</t>
        </is>
      </c>
    </row>
    <row r="375">
      <c r="A375" t="n">
        <v>1217</v>
      </c>
      <c r="B375" t="inlineStr">
        <is>
          <t>愛之味</t>
        </is>
      </c>
      <c r="C375" t="n">
        <v>9.859999999999999</v>
      </c>
      <c r="D375" t="n">
        <v>9.84</v>
      </c>
      <c r="E375" s="730" t="n">
        <v>0.02</v>
      </c>
      <c r="F375" s="731" t="n">
        <v>0.2</v>
      </c>
      <c r="G375" t="inlineStr">
        <is>
          <t>845萬</t>
        </is>
      </c>
      <c r="H375" t="n">
        <v>864</v>
      </c>
      <c r="I375" t="n">
        <v>840</v>
      </c>
      <c r="J375" t="n">
        <v>49.45</v>
      </c>
      <c r="K375" t="n">
        <v>9.859999999999999</v>
      </c>
      <c r="L375" t="n">
        <v>9.75</v>
      </c>
      <c r="M375" s="155" t="n">
        <v>0.17</v>
      </c>
      <c r="N375" t="inlineStr">
        <is>
          <t>以飲料、傳統類罐頭為主的食品商</t>
        </is>
      </c>
    </row>
    <row r="376">
      <c r="A376" t="n">
        <v>1218</v>
      </c>
      <c r="B376" t="inlineStr">
        <is>
          <t>泰山</t>
        </is>
      </c>
      <c r="C376" t="n">
        <v>19.3</v>
      </c>
      <c r="D376" t="n">
        <v>19.4</v>
      </c>
      <c r="E376" s="730" t="n">
        <v>0.1</v>
      </c>
      <c r="F376" s="731" t="n">
        <v>0.52</v>
      </c>
      <c r="G376" t="inlineStr">
        <is>
          <t>2550萬</t>
        </is>
      </c>
      <c r="H376" t="n">
        <v>1317</v>
      </c>
      <c r="I376" t="n">
        <v>1003</v>
      </c>
      <c r="J376" t="n">
        <v>50</v>
      </c>
      <c r="K376" t="n">
        <v>19.5</v>
      </c>
      <c r="L376" t="n">
        <v>19.15</v>
      </c>
      <c r="M376" s="155" t="n">
        <v>0.26</v>
      </c>
      <c r="N376" t="inlineStr">
        <is>
          <t>台灣油脂、飲料大廠</t>
        </is>
      </c>
    </row>
    <row r="377">
      <c r="A377" t="n">
        <v>1219</v>
      </c>
      <c r="B377" t="inlineStr">
        <is>
          <t>福壽</t>
        </is>
      </c>
      <c r="C377" t="n">
        <v>12.7</v>
      </c>
      <c r="D377" t="n">
        <v>12.75</v>
      </c>
      <c r="E377" s="730" t="n">
        <v>0.05</v>
      </c>
      <c r="F377" s="731" t="n">
        <v>0.39</v>
      </c>
      <c r="G377" t="inlineStr">
        <is>
          <t>650萬</t>
        </is>
      </c>
      <c r="H377" t="n">
        <v>511</v>
      </c>
      <c r="I377" t="n">
        <v>455</v>
      </c>
      <c r="J377" t="n">
        <v>34.12</v>
      </c>
      <c r="K377" t="n">
        <v>12.8</v>
      </c>
      <c r="L377" t="n">
        <v>12.65</v>
      </c>
      <c r="M377" s="155" t="n">
        <v>0.15</v>
      </c>
      <c r="N377" t="inlineStr">
        <is>
          <t>台灣知名農糧油脂、寵物飼料大廠</t>
        </is>
      </c>
    </row>
    <row r="378">
      <c r="A378" t="n">
        <v>1220</v>
      </c>
      <c r="B378" t="inlineStr">
        <is>
          <t>台榮</t>
        </is>
      </c>
      <c r="C378" t="n">
        <v>11.7</v>
      </c>
      <c r="D378" t="n">
        <v>11.75</v>
      </c>
      <c r="E378" s="730" t="n">
        <v>0.05</v>
      </c>
      <c r="F378" s="731" t="n">
        <v>0.43</v>
      </c>
      <c r="G378" t="inlineStr">
        <is>
          <t>167萬</t>
        </is>
      </c>
      <c r="H378" t="n">
        <v>143</v>
      </c>
      <c r="I378" t="n">
        <v>132</v>
      </c>
      <c r="J378" t="n">
        <v>17.71</v>
      </c>
      <c r="K378" t="n">
        <v>11.75</v>
      </c>
      <c r="L378" t="n">
        <v>11.6</v>
      </c>
      <c r="M378" s="155" t="n">
        <v>0.08</v>
      </c>
      <c r="N378" t="inlineStr">
        <is>
          <t>台灣知名果糖大廠，並生產飼料及水產品</t>
        </is>
      </c>
    </row>
    <row r="379">
      <c r="A379" t="n">
        <v>1225</v>
      </c>
      <c r="B379" t="inlineStr">
        <is>
          <t>福懋油</t>
        </is>
      </c>
      <c r="C379" t="n">
        <v>29.7</v>
      </c>
      <c r="D379" t="n">
        <v>29.6</v>
      </c>
      <c r="E379" s="730" t="n">
        <v>-0.1</v>
      </c>
      <c r="F379" s="731" t="n">
        <v>-0.34</v>
      </c>
      <c r="G379" t="inlineStr">
        <is>
          <t>367萬</t>
        </is>
      </c>
      <c r="H379" t="n">
        <v>124</v>
      </c>
      <c r="I379" t="n">
        <v>182</v>
      </c>
      <c r="J379" t="n">
        <v>24.23</v>
      </c>
      <c r="K379" t="n">
        <v>29.8</v>
      </c>
      <c r="L379" t="n">
        <v>29.3</v>
      </c>
      <c r="M379" s="155" t="n">
        <v>0.05</v>
      </c>
      <c r="N379" t="inlineStr">
        <is>
          <t>台灣油脂、飼料大廠</t>
        </is>
      </c>
    </row>
    <row r="380">
      <c r="A380" t="n">
        <v>1227</v>
      </c>
      <c r="B380" t="inlineStr">
        <is>
          <t>佳格</t>
        </is>
      </c>
      <c r="C380" t="n">
        <v>28.2</v>
      </c>
      <c r="D380" t="n">
        <v>27.95</v>
      </c>
      <c r="E380" s="730" t="n">
        <v>-0.25</v>
      </c>
      <c r="F380" s="731" t="n">
        <v>-0.89</v>
      </c>
      <c r="G380" t="inlineStr">
        <is>
          <t>1.43億</t>
        </is>
      </c>
      <c r="H380" t="n">
        <v>5104</v>
      </c>
      <c r="I380" t="n">
        <v>1592</v>
      </c>
      <c r="J380" t="n">
        <v>91.51000000000001</v>
      </c>
      <c r="K380" t="n">
        <v>28.3</v>
      </c>
      <c r="L380" t="n">
        <v>27.95</v>
      </c>
      <c r="M380" s="155" t="n">
        <v>0.5600000000000001</v>
      </c>
      <c r="N380" t="inlineStr">
        <is>
          <t>台灣最大穀物營養品與油品供應商</t>
        </is>
      </c>
    </row>
    <row r="381">
      <c r="A381" t="n">
        <v>1229</v>
      </c>
      <c r="B381" t="inlineStr">
        <is>
          <t>聯華</t>
        </is>
      </c>
      <c r="C381" t="n">
        <v>40.4</v>
      </c>
      <c r="D381" t="n">
        <v>43.2</v>
      </c>
      <c r="E381" s="730" t="n">
        <v>2.8</v>
      </c>
      <c r="F381" s="731" t="n">
        <v>6.93</v>
      </c>
      <c r="G381" t="inlineStr">
        <is>
          <t>6.22億</t>
        </is>
      </c>
      <c r="H381" t="n">
        <v>14593</v>
      </c>
      <c r="I381" t="n">
        <v>3783</v>
      </c>
      <c r="J381" t="n">
        <v>179.6</v>
      </c>
      <c r="K381" t="n">
        <v>43.9</v>
      </c>
      <c r="L381" t="n">
        <v>40.05</v>
      </c>
      <c r="M381" s="155" t="n">
        <v>0.8100000000000001</v>
      </c>
      <c r="N381" t="inlineStr">
        <is>
          <t>聯華神通集團之創始公司，是台灣麵粉品牌龍頭企業</t>
        </is>
      </c>
    </row>
    <row r="382">
      <c r="A382" t="n">
        <v>1231</v>
      </c>
      <c r="B382" t="inlineStr">
        <is>
          <t>聯華食</t>
        </is>
      </c>
      <c r="C382" t="n">
        <v>85.8</v>
      </c>
      <c r="D382" t="n">
        <v>86.09999999999999</v>
      </c>
      <c r="E382" s="730" t="n">
        <v>0.1</v>
      </c>
      <c r="F382" s="731" t="n">
        <v>0.12</v>
      </c>
      <c r="G382" t="inlineStr">
        <is>
          <t>2942萬</t>
        </is>
      </c>
      <c r="H382" t="n">
        <v>343</v>
      </c>
      <c r="I382" t="n">
        <v>443</v>
      </c>
      <c r="J382" t="n">
        <v>29.85</v>
      </c>
      <c r="K382" t="n">
        <v>86.2</v>
      </c>
      <c r="L382" t="n">
        <v>85.3</v>
      </c>
      <c r="M382" s="155" t="n">
        <v>0.11</v>
      </c>
      <c r="N382" t="inlineStr">
        <is>
          <t>台灣休閒食品大廠，並供應7-11鮮食產品</t>
        </is>
      </c>
    </row>
    <row r="383">
      <c r="A383" t="n">
        <v>1232</v>
      </c>
      <c r="B383" t="inlineStr">
        <is>
          <t>大統益</t>
        </is>
      </c>
      <c r="C383" t="n">
        <v>147.5</v>
      </c>
      <c r="D383" t="n">
        <v>148</v>
      </c>
      <c r="E383" s="730" t="n">
        <v>0.5</v>
      </c>
      <c r="F383" s="731" t="n">
        <v>0.34</v>
      </c>
      <c r="G383" t="inlineStr">
        <is>
          <t>3173萬</t>
        </is>
      </c>
      <c r="H383" t="n">
        <v>215</v>
      </c>
      <c r="I383" t="n">
        <v>167</v>
      </c>
      <c r="J383" t="n">
        <v>16</v>
      </c>
      <c r="K383" t="n">
        <v>148.5</v>
      </c>
      <c r="L383" t="n">
        <v>147</v>
      </c>
      <c r="M383" s="155" t="n">
        <v>0.13</v>
      </c>
      <c r="N383" t="inlineStr">
        <is>
          <t>台灣最大黃豆加工製造廠，是豆粉與油脂製造龍頭</t>
        </is>
      </c>
    </row>
    <row r="384">
      <c r="A384" t="n">
        <v>1233</v>
      </c>
      <c r="B384" t="inlineStr">
        <is>
          <t>天仁</t>
        </is>
      </c>
      <c r="C384" t="n">
        <v>27.9</v>
      </c>
      <c r="D384" t="n">
        <v>27.6</v>
      </c>
      <c r="E384" s="730" t="n">
        <v>-0.2</v>
      </c>
      <c r="F384" s="731" t="n">
        <v>-0.72</v>
      </c>
      <c r="G384" t="inlineStr">
        <is>
          <t>139萬</t>
        </is>
      </c>
      <c r="H384" t="n">
        <v>50</v>
      </c>
      <c r="I384" t="n">
        <v>245</v>
      </c>
      <c r="J384" t="n">
        <v>9.06</v>
      </c>
      <c r="K384" t="n">
        <v>27.9</v>
      </c>
      <c r="L384" t="n">
        <v>27.6</v>
      </c>
      <c r="M384" s="155" t="n">
        <v>0.06</v>
      </c>
      <c r="N384" t="inlineStr">
        <is>
          <t>台灣知名茶葉廠並轉投資喫茶趣</t>
        </is>
      </c>
    </row>
    <row r="385">
      <c r="A385" t="n">
        <v>1234</v>
      </c>
      <c r="B385" t="inlineStr">
        <is>
          <t>黑松</t>
        </is>
      </c>
      <c r="C385" t="n">
        <v>34.5</v>
      </c>
      <c r="D385" t="n">
        <v>34.9</v>
      </c>
      <c r="E385" s="730" t="n">
        <v>0.35</v>
      </c>
      <c r="F385" s="731" t="n">
        <v>1.01</v>
      </c>
      <c r="G385" t="inlineStr">
        <is>
          <t>558萬</t>
        </is>
      </c>
      <c r="H385" t="n">
        <v>161</v>
      </c>
      <c r="I385" t="n">
        <v>177</v>
      </c>
      <c r="J385" t="n">
        <v>40.19</v>
      </c>
      <c r="K385" t="n">
        <v>34.9</v>
      </c>
      <c r="L385" t="n">
        <v>34.4</v>
      </c>
      <c r="M385" s="155" t="n">
        <v>0.04</v>
      </c>
      <c r="N385" t="inlineStr">
        <is>
          <t>主要從事黑松品牌飲料製造及酒品代理</t>
        </is>
      </c>
    </row>
    <row r="386">
      <c r="A386" t="n">
        <v>1235</v>
      </c>
      <c r="B386" t="inlineStr">
        <is>
          <t>興泰</t>
        </is>
      </c>
      <c r="C386" t="n">
        <v>41.45</v>
      </c>
      <c r="D386" t="n">
        <v>40.95</v>
      </c>
      <c r="E386" s="730" t="n">
        <v>-0.15</v>
      </c>
      <c r="F386" s="731" t="n">
        <v>-0.36</v>
      </c>
      <c r="G386" t="inlineStr">
        <is>
          <t>56.7萬</t>
        </is>
      </c>
      <c r="H386" t="n">
        <v>14</v>
      </c>
      <c r="I386" t="n">
        <v>72</v>
      </c>
      <c r="J386" t="n">
        <v>18.86</v>
      </c>
      <c r="K386" t="n">
        <v>41.45</v>
      </c>
      <c r="L386" t="n">
        <v>39.3</v>
      </c>
      <c r="M386" s="155" t="n">
        <v>0.01</v>
      </c>
      <c r="N386" t="inlineStr">
        <is>
          <t>生產畜產及水產類飼料之廠商</t>
        </is>
      </c>
    </row>
    <row r="387">
      <c r="A387" t="n">
        <v>1236</v>
      </c>
      <c r="B387" t="inlineStr">
        <is>
          <t>宏亞</t>
        </is>
      </c>
      <c r="C387" t="n">
        <v>24.85</v>
      </c>
      <c r="D387" t="n">
        <v>24.7</v>
      </c>
      <c r="E387" s="730" t="n">
        <v>0.1</v>
      </c>
      <c r="F387" s="731" t="n">
        <v>0.41</v>
      </c>
      <c r="G387" t="inlineStr">
        <is>
          <t>44.4萬</t>
        </is>
      </c>
      <c r="H387" t="n">
        <v>18</v>
      </c>
      <c r="I387" t="n">
        <v>34</v>
      </c>
      <c r="J387" t="n">
        <v>8.67</v>
      </c>
      <c r="K387" t="n">
        <v>24.85</v>
      </c>
      <c r="L387" t="n">
        <v>24.5</v>
      </c>
      <c r="M387" s="155" t="n">
        <v>0.02</v>
      </c>
      <c r="N387" t="inlineStr">
        <is>
          <t>旗下七七巧克力與禮坊喜餅為知名品牌</t>
        </is>
      </c>
    </row>
    <row r="388">
      <c r="A388" t="n">
        <v>1240</v>
      </c>
      <c r="B388" t="inlineStr">
        <is>
          <t>茂生農經</t>
        </is>
      </c>
      <c r="C388" t="n">
        <v>57</v>
      </c>
      <c r="D388" t="n">
        <v>57.2</v>
      </c>
      <c r="E388" s="730" t="n">
        <v>-0.1</v>
      </c>
      <c r="F388" s="731" t="n">
        <v>-0.17</v>
      </c>
      <c r="G388" t="inlineStr">
        <is>
          <t>137萬</t>
        </is>
      </c>
      <c r="H388" t="n">
        <v>24</v>
      </c>
      <c r="I388" t="n">
        <v>17</v>
      </c>
      <c r="J388" t="n">
        <v>4.42</v>
      </c>
      <c r="K388" t="n">
        <v>57.2</v>
      </c>
      <c r="L388" t="n">
        <v>56.9</v>
      </c>
      <c r="M388" s="155" t="n">
        <v>0.05</v>
      </c>
      <c r="N388" t="inlineStr">
        <is>
          <t>家禽家畜飼料、大宗原料供應商</t>
        </is>
      </c>
    </row>
    <row r="389">
      <c r="A389" t="n">
        <v>1256</v>
      </c>
      <c r="B389" t="inlineStr">
        <is>
          <t>鮮活果汁-KY</t>
        </is>
      </c>
      <c r="C389" t="n">
        <v>212</v>
      </c>
      <c r="D389" t="n">
        <v>203</v>
      </c>
      <c r="E389" s="730" t="n">
        <v>-6.5</v>
      </c>
      <c r="F389" s="731" t="n">
        <v>-3.1</v>
      </c>
      <c r="G389" t="inlineStr">
        <is>
          <t>3668萬</t>
        </is>
      </c>
      <c r="H389" t="n">
        <v>179</v>
      </c>
      <c r="I389" t="n">
        <v>268</v>
      </c>
      <c r="J389" t="n">
        <v>3.58</v>
      </c>
      <c r="K389" t="n">
        <v>212</v>
      </c>
      <c r="L389" t="n">
        <v>201.5</v>
      </c>
      <c r="M389" s="155" t="n">
        <v>0.5</v>
      </c>
      <c r="N389" t="inlineStr">
        <is>
          <t>大陸新茶飲上游原料供應商</t>
        </is>
      </c>
    </row>
    <row r="390">
      <c r="A390" t="n">
        <v>1259</v>
      </c>
      <c r="B390" t="inlineStr">
        <is>
          <t>安心</t>
        </is>
      </c>
      <c r="C390" t="n">
        <v>58</v>
      </c>
      <c r="D390" t="n">
        <v>57.7</v>
      </c>
      <c r="E390" s="730" t="n">
        <v>-0.3</v>
      </c>
      <c r="F390" s="731" t="n">
        <v>-0.52</v>
      </c>
      <c r="G390" t="inlineStr">
        <is>
          <t>45.7萬</t>
        </is>
      </c>
      <c r="H390" t="n">
        <v>8</v>
      </c>
      <c r="I390" t="n">
        <v>10</v>
      </c>
      <c r="J390" t="n">
        <v>3.24</v>
      </c>
      <c r="K390" t="n">
        <v>58</v>
      </c>
      <c r="L390" t="n">
        <v>56.7</v>
      </c>
      <c r="M390" s="155" t="n">
        <v>0.02</v>
      </c>
      <c r="N390" t="inlineStr">
        <is>
          <t>東元旗下，以摩斯為速食餐飲連鎖品牌</t>
        </is>
      </c>
    </row>
    <row r="391">
      <c r="A391" t="n">
        <v>1264</v>
      </c>
      <c r="B391" t="inlineStr">
        <is>
          <t>德麥</t>
        </is>
      </c>
      <c r="C391" t="n">
        <v>268</v>
      </c>
      <c r="D391" t="n">
        <v>267</v>
      </c>
      <c r="E391" s="730" t="n">
        <v>0</v>
      </c>
      <c r="F391" s="731" t="n">
        <v>0</v>
      </c>
      <c r="G391" t="inlineStr">
        <is>
          <t>1575萬</t>
        </is>
      </c>
      <c r="H391" t="n">
        <v>59</v>
      </c>
      <c r="I391" t="n">
        <v>62</v>
      </c>
      <c r="J391" t="n">
        <v>3.71</v>
      </c>
      <c r="K391" t="n">
        <v>269</v>
      </c>
      <c r="L391" t="n">
        <v>265</v>
      </c>
      <c r="M391" s="155" t="n">
        <v>0.16</v>
      </c>
      <c r="N391" t="inlineStr">
        <is>
          <t>台灣最大烘焙原物料供應商</t>
        </is>
      </c>
    </row>
    <row r="392">
      <c r="A392" t="n">
        <v>1268</v>
      </c>
      <c r="B392" t="inlineStr">
        <is>
          <t>漢來美食</t>
        </is>
      </c>
      <c r="C392" t="n">
        <v>169</v>
      </c>
      <c r="D392" t="n">
        <v>169</v>
      </c>
      <c r="E392" s="730" t="n">
        <v>0</v>
      </c>
      <c r="F392" s="731" t="n">
        <v>0</v>
      </c>
      <c r="G392" t="inlineStr">
        <is>
          <t>473萬</t>
        </is>
      </c>
      <c r="H392" t="n">
        <v>28</v>
      </c>
      <c r="I392" t="n">
        <v>33</v>
      </c>
      <c r="J392" t="n">
        <v>4.22</v>
      </c>
      <c r="K392" t="n">
        <v>169.5</v>
      </c>
      <c r="L392" t="n">
        <v>168.5</v>
      </c>
      <c r="M392" s="155" t="n">
        <v>0.07000000000000001</v>
      </c>
      <c r="N392" t="inlineStr">
        <is>
          <t>台灣知名餐飲集團，經營多元品牌</t>
        </is>
      </c>
    </row>
    <row r="393">
      <c r="A393" t="n">
        <v>1294</v>
      </c>
      <c r="B393" t="inlineStr">
        <is>
          <t>漢田生技</t>
        </is>
      </c>
      <c r="C393" t="n">
        <v>78</v>
      </c>
      <c r="D393" t="n">
        <v>78</v>
      </c>
      <c r="E393" s="730" t="n">
        <v>0</v>
      </c>
      <c r="F393" s="731" t="n">
        <v>0</v>
      </c>
      <c r="G393" t="inlineStr">
        <is>
          <t>15.6萬</t>
        </is>
      </c>
      <c r="H393" t="n">
        <v>2</v>
      </c>
      <c r="I393" t="n">
        <v>20</v>
      </c>
      <c r="J393" t="n">
        <v>3.06</v>
      </c>
      <c r="K393" t="n">
        <v>78</v>
      </c>
      <c r="L393" t="n">
        <v>78</v>
      </c>
      <c r="M393" s="155" t="n">
        <v>0.01</v>
      </c>
      <c r="N393" t="inlineStr">
        <is>
          <t>台灣知名的液劑、晶凍保健食品代工廠</t>
        </is>
      </c>
    </row>
    <row r="394">
      <c r="A394" t="n">
        <v>1295</v>
      </c>
      <c r="B394" t="inlineStr">
        <is>
          <t>生合</t>
        </is>
      </c>
      <c r="C394" t="n">
        <v>50.1</v>
      </c>
      <c r="D394" t="n">
        <v>48.5</v>
      </c>
      <c r="E394" s="730" t="n">
        <v>-1.5</v>
      </c>
      <c r="F394" s="731" t="n">
        <v>-3</v>
      </c>
      <c r="G394" t="inlineStr">
        <is>
          <t>603萬</t>
        </is>
      </c>
      <c r="H394" t="n">
        <v>123</v>
      </c>
      <c r="I394" t="n">
        <v>76</v>
      </c>
      <c r="J394" t="n">
        <v>3.45</v>
      </c>
      <c r="K394" t="n">
        <v>50.2</v>
      </c>
      <c r="L394" t="n">
        <v>48.1</v>
      </c>
      <c r="M394" s="155" t="n">
        <v>0.36</v>
      </c>
      <c r="N394" t="inlineStr">
        <is>
          <t>台灣專精乳酸菌研發與生產製造商</t>
        </is>
      </c>
    </row>
    <row r="395">
      <c r="A395" t="n">
        <v>1301</v>
      </c>
      <c r="B395" t="inlineStr">
        <is>
          <t>台塑</t>
        </is>
      </c>
      <c r="C395" t="n">
        <v>49.75</v>
      </c>
      <c r="D395" t="n">
        <v>50.9</v>
      </c>
      <c r="E395" s="730" t="n">
        <v>0.9</v>
      </c>
      <c r="F395" s="731" t="n">
        <v>1.8</v>
      </c>
      <c r="G395" t="inlineStr">
        <is>
          <t>26.1億</t>
        </is>
      </c>
      <c r="H395" t="n">
        <v>51928</v>
      </c>
      <c r="I395" t="n">
        <v>34497</v>
      </c>
      <c r="J395" t="n">
        <v>636.5700000000001</v>
      </c>
      <c r="K395" t="n">
        <v>51.1</v>
      </c>
      <c r="L395" t="n">
        <v>49.15</v>
      </c>
      <c r="M395" s="155" t="n">
        <v>0.82</v>
      </c>
      <c r="N395" t="inlineStr">
        <is>
          <t>台灣最大塑化集團，亞洲最大PVC生產商</t>
        </is>
      </c>
    </row>
    <row r="396">
      <c r="A396" t="n">
        <v>1303</v>
      </c>
      <c r="B396" t="inlineStr">
        <is>
          <t>南亞</t>
        </is>
      </c>
      <c r="C396" t="n">
        <v>110</v>
      </c>
      <c r="D396" t="n">
        <v>112.5</v>
      </c>
      <c r="E396" s="730" t="n">
        <v>5</v>
      </c>
      <c r="F396" s="731" t="n">
        <v>4.65</v>
      </c>
      <c r="G396" t="inlineStr">
        <is>
          <t>170億</t>
        </is>
      </c>
      <c r="H396" t="n">
        <v>150854</v>
      </c>
      <c r="I396" t="n">
        <v>115784</v>
      </c>
      <c r="J396" t="n">
        <v>793.08</v>
      </c>
      <c r="K396" t="n">
        <v>118</v>
      </c>
      <c r="L396" t="n">
        <v>108.5</v>
      </c>
      <c r="M396" s="155" t="n">
        <v>1.9</v>
      </c>
      <c r="N396" t="inlineStr">
        <is>
          <t>全球最大的塑膠加工廠、第四大EG廠</t>
        </is>
      </c>
    </row>
    <row r="397">
      <c r="A397" t="n">
        <v>1304</v>
      </c>
      <c r="B397" t="inlineStr">
        <is>
          <t>台聚</t>
        </is>
      </c>
      <c r="C397" t="n">
        <v>13.4</v>
      </c>
      <c r="D397" t="n">
        <v>13.3</v>
      </c>
      <c r="E397" s="730" t="n">
        <v>0.3</v>
      </c>
      <c r="F397" s="731" t="n">
        <v>2.31</v>
      </c>
      <c r="G397" t="inlineStr">
        <is>
          <t>1.36億</t>
        </is>
      </c>
      <c r="H397" t="n">
        <v>10374</v>
      </c>
      <c r="I397" t="n">
        <v>7849</v>
      </c>
      <c r="J397" t="n">
        <v>118.88</v>
      </c>
      <c r="K397" t="n">
        <v>13.4</v>
      </c>
      <c r="L397" t="n">
        <v>12.95</v>
      </c>
      <c r="M397" s="155" t="n">
        <v>0.87</v>
      </c>
      <c r="N397" t="inlineStr">
        <is>
          <t>台灣EVA、PE知名廠商</t>
        </is>
      </c>
    </row>
    <row r="398">
      <c r="A398" t="n">
        <v>1305</v>
      </c>
      <c r="B398" t="inlineStr">
        <is>
          <t>華夏</t>
        </is>
      </c>
      <c r="C398" t="n">
        <v>13.1</v>
      </c>
      <c r="D398" t="n">
        <v>13.1</v>
      </c>
      <c r="E398" s="730" t="n">
        <v>0.25</v>
      </c>
      <c r="F398" s="731" t="n">
        <v>1.95</v>
      </c>
      <c r="G398" t="inlineStr">
        <is>
          <t>5817萬</t>
        </is>
      </c>
      <c r="H398" t="n">
        <v>4478</v>
      </c>
      <c r="I398" t="n">
        <v>4530</v>
      </c>
      <c r="J398" t="n">
        <v>58.11</v>
      </c>
      <c r="K398" t="n">
        <v>13.3</v>
      </c>
      <c r="L398" t="n">
        <v>12.8</v>
      </c>
      <c r="M398" s="155" t="n">
        <v>0.77</v>
      </c>
      <c r="N398" t="inlineStr">
        <is>
          <t>台灣第二大PVC廠，轉投資台氯</t>
        </is>
      </c>
    </row>
    <row r="399">
      <c r="A399" t="n">
        <v>1307</v>
      </c>
      <c r="B399" t="inlineStr">
        <is>
          <t>三芳</t>
        </is>
      </c>
      <c r="C399" t="n">
        <v>32.55</v>
      </c>
      <c r="D399" t="n">
        <v>33.15</v>
      </c>
      <c r="E399" s="730" t="n">
        <v>0.65</v>
      </c>
      <c r="F399" s="731" t="n">
        <v>2</v>
      </c>
      <c r="G399" t="inlineStr">
        <is>
          <t>5056萬</t>
        </is>
      </c>
      <c r="H399" t="n">
        <v>1542</v>
      </c>
      <c r="I399" t="n">
        <v>1057</v>
      </c>
      <c r="J399" t="n">
        <v>39.78</v>
      </c>
      <c r="K399" t="n">
        <v>33.2</v>
      </c>
      <c r="L399" t="n">
        <v>32.15</v>
      </c>
      <c r="M399" s="155" t="n">
        <v>0.39</v>
      </c>
      <c r="N399" t="inlineStr">
        <is>
          <t>全球最大的合成皮生產商</t>
        </is>
      </c>
    </row>
    <row r="400">
      <c r="A400" t="n">
        <v>1308</v>
      </c>
      <c r="B400" t="inlineStr">
        <is>
          <t>亞聚</t>
        </is>
      </c>
      <c r="C400" t="n">
        <v>13.8</v>
      </c>
      <c r="D400" t="n">
        <v>13.85</v>
      </c>
      <c r="E400" s="730" t="n">
        <v>0.2</v>
      </c>
      <c r="F400" s="731" t="n">
        <v>1.47</v>
      </c>
      <c r="G400" t="inlineStr">
        <is>
          <t>7031萬</t>
        </is>
      </c>
      <c r="H400" t="n">
        <v>5135</v>
      </c>
      <c r="I400" t="n">
        <v>3791</v>
      </c>
      <c r="J400" t="n">
        <v>59.37</v>
      </c>
      <c r="K400" t="n">
        <v>13.95</v>
      </c>
      <c r="L400" t="n">
        <v>13.5</v>
      </c>
      <c r="M400" s="155" t="n">
        <v>0.86</v>
      </c>
      <c r="N400" t="inlineStr">
        <is>
          <t>台聚轉投資之EVA及LDPE知名廠商</t>
        </is>
      </c>
    </row>
    <row r="401">
      <c r="A401" t="n">
        <v>1309</v>
      </c>
      <c r="B401" t="inlineStr">
        <is>
          <t>台達化</t>
        </is>
      </c>
      <c r="C401" t="n">
        <v>16.4</v>
      </c>
      <c r="D401" t="n">
        <v>16.55</v>
      </c>
      <c r="E401" s="730" t="n">
        <v>0.35</v>
      </c>
      <c r="F401" s="731" t="n">
        <v>2.16</v>
      </c>
      <c r="G401" t="inlineStr">
        <is>
          <t>1.52億</t>
        </is>
      </c>
      <c r="H401" t="n">
        <v>9116</v>
      </c>
      <c r="I401" t="n">
        <v>7610</v>
      </c>
      <c r="J401" t="n">
        <v>39.76</v>
      </c>
      <c r="K401" t="n">
        <v>17.15</v>
      </c>
      <c r="L401" t="n">
        <v>16.3</v>
      </c>
      <c r="M401" s="155" t="n">
        <v>2.29</v>
      </c>
      <c r="N401" t="inlineStr">
        <is>
          <t>台灣第三大PS廠</t>
        </is>
      </c>
    </row>
    <row r="402">
      <c r="A402" t="n">
        <v>1310</v>
      </c>
      <c r="B402" t="inlineStr">
        <is>
          <t>台苯</t>
        </is>
      </c>
      <c r="C402" t="n">
        <v>8.449999999999999</v>
      </c>
      <c r="D402" t="n">
        <v>8.65</v>
      </c>
      <c r="E402" s="730" t="n">
        <v>0.32</v>
      </c>
      <c r="F402" s="731" t="n">
        <v>3.84</v>
      </c>
      <c r="G402" t="inlineStr">
        <is>
          <t>5308萬</t>
        </is>
      </c>
      <c r="H402" t="n">
        <v>6282</v>
      </c>
      <c r="I402" t="n">
        <v>4425</v>
      </c>
      <c r="J402" t="n">
        <v>52.79</v>
      </c>
      <c r="K402" t="n">
        <v>8.65</v>
      </c>
      <c r="L402" t="n">
        <v>8.390000000000001</v>
      </c>
      <c r="M402" s="155" t="n">
        <v>1.19</v>
      </c>
      <c r="N402" t="inlineStr">
        <is>
          <t>台灣第三大SM廠</t>
        </is>
      </c>
    </row>
    <row r="403">
      <c r="A403" t="n">
        <v>1312</v>
      </c>
      <c r="B403" t="inlineStr">
        <is>
          <t>國喬</t>
        </is>
      </c>
      <c r="C403" t="n">
        <v>13.25</v>
      </c>
      <c r="D403" t="n">
        <v>13.25</v>
      </c>
      <c r="E403" s="730" t="n">
        <v>1.2</v>
      </c>
      <c r="F403" s="731" t="n">
        <v>9.960000000000001</v>
      </c>
      <c r="G403" t="inlineStr">
        <is>
          <t>1.53億</t>
        </is>
      </c>
      <c r="H403" t="n">
        <v>11560</v>
      </c>
      <c r="I403" t="n">
        <v>15717</v>
      </c>
      <c r="J403" t="n">
        <v>110.66</v>
      </c>
      <c r="K403" t="n">
        <v>13.25</v>
      </c>
      <c r="L403" t="n">
        <v>13.25</v>
      </c>
      <c r="M403" s="155" t="n">
        <v>1.04</v>
      </c>
      <c r="N403" t="inlineStr">
        <is>
          <t>台灣第二大SM及ABS廠</t>
        </is>
      </c>
    </row>
    <row r="404">
      <c r="A404" t="n">
        <v>1313</v>
      </c>
      <c r="B404" t="inlineStr">
        <is>
          <t>聯成</t>
        </is>
      </c>
      <c r="C404" t="n">
        <v>11.05</v>
      </c>
      <c r="D404" t="n">
        <v>11.15</v>
      </c>
      <c r="E404" s="730" t="n">
        <v>0.2</v>
      </c>
      <c r="F404" s="731" t="n">
        <v>1.83</v>
      </c>
      <c r="G404" t="inlineStr">
        <is>
          <t>9594萬</t>
        </is>
      </c>
      <c r="H404" t="n">
        <v>8738</v>
      </c>
      <c r="I404" t="n">
        <v>3930</v>
      </c>
      <c r="J404" t="n">
        <v>133.08</v>
      </c>
      <c r="K404" t="n">
        <v>11.15</v>
      </c>
      <c r="L404" t="n">
        <v>10.8</v>
      </c>
      <c r="M404" s="155" t="n">
        <v>0.66</v>
      </c>
      <c r="N404" t="inlineStr">
        <is>
          <t>全球最大可塑劑及苯酐供應商</t>
        </is>
      </c>
    </row>
    <row r="405">
      <c r="A405" t="n">
        <v>1314</v>
      </c>
      <c r="B405" t="inlineStr">
        <is>
          <t>中石化</t>
        </is>
      </c>
      <c r="C405" t="n">
        <v>7.14</v>
      </c>
      <c r="D405" t="n">
        <v>7.53</v>
      </c>
      <c r="E405" s="730" t="n">
        <v>0.43</v>
      </c>
      <c r="F405" s="731" t="n">
        <v>6.06</v>
      </c>
      <c r="G405" t="inlineStr">
        <is>
          <t>5.17億</t>
        </is>
      </c>
      <c r="H405" t="n">
        <v>70019</v>
      </c>
      <c r="I405" t="n">
        <v>19997</v>
      </c>
      <c r="J405" t="n">
        <v>378.49</v>
      </c>
      <c r="K405" t="n">
        <v>7.54</v>
      </c>
      <c r="L405" t="n">
        <v>7.12</v>
      </c>
      <c r="M405" s="155" t="n">
        <v>1.85</v>
      </c>
      <c r="N405" t="inlineStr">
        <is>
          <t>台灣第一大CPL廠</t>
        </is>
      </c>
    </row>
    <row r="406">
      <c r="A406" t="n">
        <v>1315</v>
      </c>
      <c r="B406" t="inlineStr">
        <is>
          <t>達新</t>
        </is>
      </c>
      <c r="C406" t="n">
        <v>62.4</v>
      </c>
      <c r="D406" t="n">
        <v>62.6</v>
      </c>
      <c r="E406" s="730" t="n">
        <v>0.3</v>
      </c>
      <c r="F406" s="731" t="n">
        <v>0.48</v>
      </c>
      <c r="G406" t="inlineStr">
        <is>
          <t>175萬</t>
        </is>
      </c>
      <c r="H406" t="n">
        <v>28</v>
      </c>
      <c r="I406" t="n">
        <v>57</v>
      </c>
      <c r="J406" t="n">
        <v>9.91</v>
      </c>
      <c r="K406" t="n">
        <v>62.7</v>
      </c>
      <c r="L406" t="n">
        <v>62</v>
      </c>
      <c r="M406" s="155" t="n">
        <v>0.03</v>
      </c>
      <c r="N406" t="inlineStr">
        <is>
          <t>台灣知名雨衣及成衣製造商</t>
        </is>
      </c>
    </row>
    <row r="407">
      <c r="A407" t="n">
        <v>1316</v>
      </c>
      <c r="B407" t="inlineStr">
        <is>
          <t>上曜</t>
        </is>
      </c>
      <c r="C407" t="n">
        <v>10.45</v>
      </c>
      <c r="D407" t="n">
        <v>10.3</v>
      </c>
      <c r="E407" s="730" t="n">
        <v>-0.05</v>
      </c>
      <c r="F407" s="731" t="n">
        <v>-0.48</v>
      </c>
      <c r="G407" t="inlineStr">
        <is>
          <t>1876萬</t>
        </is>
      </c>
      <c r="H407" t="n">
        <v>1831</v>
      </c>
      <c r="I407" t="n">
        <v>2279</v>
      </c>
      <c r="J407" t="n">
        <v>40.16</v>
      </c>
      <c r="K407" t="n">
        <v>10.45</v>
      </c>
      <c r="L407" t="n">
        <v>10.15</v>
      </c>
      <c r="M407" s="155" t="n">
        <v>0.5</v>
      </c>
      <c r="N407" t="inlineStr">
        <is>
          <t>上曜集團旗下豪宅品牌</t>
        </is>
      </c>
    </row>
    <row r="408">
      <c r="A408" t="n">
        <v>1319</v>
      </c>
      <c r="B408" t="inlineStr">
        <is>
          <t>東陽</t>
        </is>
      </c>
      <c r="C408" t="n">
        <v>87.8</v>
      </c>
      <c r="D408" t="n">
        <v>92.09999999999999</v>
      </c>
      <c r="E408" s="730" t="n">
        <v>4.6</v>
      </c>
      <c r="F408" s="731" t="n">
        <v>5.26</v>
      </c>
      <c r="G408" t="inlineStr">
        <is>
          <t>13.4億</t>
        </is>
      </c>
      <c r="H408" t="n">
        <v>14653</v>
      </c>
      <c r="I408" t="n">
        <v>7831</v>
      </c>
      <c r="J408" t="n">
        <v>59.15</v>
      </c>
      <c r="K408" t="n">
        <v>93.90000000000001</v>
      </c>
      <c r="L408" t="n">
        <v>87.8</v>
      </c>
      <c r="M408" s="155" t="n">
        <v>2.48</v>
      </c>
      <c r="N408" t="inlineStr">
        <is>
          <t>全球第一大汽車AM塑膠件製造商</t>
        </is>
      </c>
    </row>
    <row r="409">
      <c r="A409" t="n">
        <v>1321</v>
      </c>
      <c r="B409" t="inlineStr">
        <is>
          <t>大洋</t>
        </is>
      </c>
      <c r="C409" t="n">
        <v>28.7</v>
      </c>
      <c r="D409" t="n">
        <v>28.45</v>
      </c>
      <c r="E409" s="730" t="n">
        <v>-0.05</v>
      </c>
      <c r="F409" s="731" t="n">
        <v>-0.18</v>
      </c>
      <c r="G409" t="inlineStr">
        <is>
          <t>674萬</t>
        </is>
      </c>
      <c r="H409" t="n">
        <v>238</v>
      </c>
      <c r="I409" t="n">
        <v>262</v>
      </c>
      <c r="J409" t="n">
        <v>22.72</v>
      </c>
      <c r="K409" t="n">
        <v>28.7</v>
      </c>
      <c r="L409" t="n">
        <v>28.2</v>
      </c>
      <c r="M409" s="155" t="n">
        <v>0.1</v>
      </c>
      <c r="N409" t="inlineStr">
        <is>
          <t>台灣第三大PVC廠，並有資產開發題材</t>
        </is>
      </c>
    </row>
    <row r="410">
      <c r="A410" t="n">
        <v>1323</v>
      </c>
      <c r="B410" t="inlineStr">
        <is>
          <t>永裕</t>
        </is>
      </c>
      <c r="C410" t="n">
        <v>20.3</v>
      </c>
      <c r="D410" t="n">
        <v>20.45</v>
      </c>
      <c r="E410" s="730" t="n">
        <v>0.4</v>
      </c>
      <c r="F410" s="731" t="n">
        <v>2</v>
      </c>
      <c r="G410" t="inlineStr">
        <is>
          <t>434萬</t>
        </is>
      </c>
      <c r="H410" t="n">
        <v>213</v>
      </c>
      <c r="I410" t="n">
        <v>131</v>
      </c>
      <c r="J410" t="n">
        <v>9.130000000000001</v>
      </c>
      <c r="K410" t="n">
        <v>20.8</v>
      </c>
      <c r="L410" t="n">
        <v>20.15</v>
      </c>
      <c r="M410" s="155" t="n">
        <v>0.23</v>
      </c>
      <c r="N410" t="inlineStr">
        <is>
          <t>台灣知名的塑膠瓶及軟管製造商</t>
        </is>
      </c>
    </row>
    <row r="411">
      <c r="A411" t="n">
        <v>1324</v>
      </c>
      <c r="B411" t="inlineStr">
        <is>
          <t>地球</t>
        </is>
      </c>
      <c r="C411" t="n">
        <v>10.45</v>
      </c>
      <c r="D411" t="n">
        <v>10.4</v>
      </c>
      <c r="E411" s="730" t="n">
        <v>0.05</v>
      </c>
      <c r="F411" s="731" t="n">
        <v>0.48</v>
      </c>
      <c r="G411" t="inlineStr">
        <is>
          <t>69.5萬</t>
        </is>
      </c>
      <c r="H411" t="n">
        <v>67</v>
      </c>
      <c r="I411" t="n">
        <v>114</v>
      </c>
      <c r="J411" t="n">
        <v>7.51</v>
      </c>
      <c r="K411" t="n">
        <v>10.5</v>
      </c>
      <c r="L411" t="n">
        <v>10.3</v>
      </c>
      <c r="M411" s="155" t="n">
        <v>0.09</v>
      </c>
      <c r="N411" t="inlineStr">
        <is>
          <t>台灣主要PVC膠帶供應商</t>
        </is>
      </c>
    </row>
    <row r="412">
      <c r="A412" t="n">
        <v>1325</v>
      </c>
      <c r="B412" t="inlineStr">
        <is>
          <t>恆大</t>
        </is>
      </c>
      <c r="C412" t="n">
        <v>26.8</v>
      </c>
      <c r="D412" t="n">
        <v>26.3</v>
      </c>
      <c r="E412" s="730" t="n">
        <v>-0.5</v>
      </c>
      <c r="F412" s="731" t="n">
        <v>-1.87</v>
      </c>
      <c r="G412" t="inlineStr">
        <is>
          <t>1491萬</t>
        </is>
      </c>
      <c r="H412" t="n">
        <v>567</v>
      </c>
      <c r="I412" t="n">
        <v>382</v>
      </c>
      <c r="J412" t="n">
        <v>8.529999999999999</v>
      </c>
      <c r="K412" t="n">
        <v>26.8</v>
      </c>
      <c r="L412" t="n">
        <v>26.25</v>
      </c>
      <c r="M412" s="155" t="n">
        <v>0.66</v>
      </c>
      <c r="N412" t="inlineStr">
        <is>
          <t>台灣最大的紡結不織布生產廠</t>
        </is>
      </c>
    </row>
    <row r="413">
      <c r="A413" t="n">
        <v>1326</v>
      </c>
      <c r="B413" t="inlineStr">
        <is>
          <t>台化</t>
        </is>
      </c>
      <c r="C413" t="n">
        <v>54</v>
      </c>
      <c r="D413" t="n">
        <v>54.4</v>
      </c>
      <c r="E413" s="730" t="n">
        <v>0.6</v>
      </c>
      <c r="F413" s="731" t="n">
        <v>1.12</v>
      </c>
      <c r="G413" t="inlineStr">
        <is>
          <t>50.7億</t>
        </is>
      </c>
      <c r="H413" t="n">
        <v>92763</v>
      </c>
      <c r="I413" t="n">
        <v>41420</v>
      </c>
      <c r="J413" t="n">
        <v>586.12</v>
      </c>
      <c r="K413" t="n">
        <v>56.9</v>
      </c>
      <c r="L413" t="n">
        <v>52.8</v>
      </c>
      <c r="M413" s="155" t="n">
        <v>1.58</v>
      </c>
      <c r="N413" t="inlineStr">
        <is>
          <t>台灣最大的PTA廠</t>
        </is>
      </c>
    </row>
    <row r="414">
      <c r="A414" t="n">
        <v>1336</v>
      </c>
      <c r="B414" t="inlineStr">
        <is>
          <t>台翰</t>
        </is>
      </c>
      <c r="C414" t="n">
        <v>13.65</v>
      </c>
      <c r="D414" t="n">
        <v>13.5</v>
      </c>
      <c r="E414" s="730" t="n">
        <v>-0.05</v>
      </c>
      <c r="F414" s="731" t="n">
        <v>-0.37</v>
      </c>
      <c r="G414" t="inlineStr">
        <is>
          <t>211萬</t>
        </is>
      </c>
      <c r="H414" t="n">
        <v>156</v>
      </c>
      <c r="I414" t="n">
        <v>119</v>
      </c>
      <c r="J414" t="n">
        <v>7.76</v>
      </c>
      <c r="K414" t="n">
        <v>13.65</v>
      </c>
      <c r="L414" t="n">
        <v>13.4</v>
      </c>
      <c r="M414" s="155" t="n">
        <v>0.2</v>
      </c>
      <c r="N414" t="inlineStr">
        <is>
          <t>宣德轉投資之消費電子產品外殼製造商</t>
        </is>
      </c>
    </row>
    <row r="415">
      <c r="A415" t="n">
        <v>1337</v>
      </c>
      <c r="B415" t="inlineStr">
        <is>
          <t>再生-KY</t>
        </is>
      </c>
      <c r="C415" t="n">
        <v>5</v>
      </c>
      <c r="D415" t="n">
        <v>5.1</v>
      </c>
      <c r="E415" s="730" t="n">
        <v>0.17</v>
      </c>
      <c r="F415" s="731" t="n">
        <v>3.45</v>
      </c>
      <c r="G415" t="inlineStr">
        <is>
          <t>476萬</t>
        </is>
      </c>
      <c r="H415" t="n">
        <v>962</v>
      </c>
      <c r="I415" t="n">
        <v>852</v>
      </c>
      <c r="J415" t="n">
        <v>26.9</v>
      </c>
      <c r="K415" t="n">
        <v>5.1</v>
      </c>
      <c r="L415" t="n">
        <v>4.95</v>
      </c>
      <c r="M415" s="155" t="n">
        <v>0.36</v>
      </c>
      <c r="N415" t="inlineStr">
        <is>
          <t>大陸第一大EVA發泡材商</t>
        </is>
      </c>
    </row>
    <row r="416">
      <c r="A416" t="n">
        <v>1338</v>
      </c>
      <c r="B416" t="inlineStr">
        <is>
          <t>廣華-KY</t>
        </is>
      </c>
      <c r="C416" t="n">
        <v>16.5</v>
      </c>
      <c r="D416" t="n">
        <v>16.45</v>
      </c>
      <c r="E416" s="730" t="n">
        <v>0.1</v>
      </c>
      <c r="F416" s="731" t="n">
        <v>0.61</v>
      </c>
      <c r="G416" t="inlineStr">
        <is>
          <t>883萬</t>
        </is>
      </c>
      <c r="H416" t="n">
        <v>544</v>
      </c>
      <c r="I416" t="n">
        <v>386</v>
      </c>
      <c r="J416" t="n">
        <v>8.380000000000001</v>
      </c>
      <c r="K416" t="n">
        <v>16.5</v>
      </c>
      <c r="L416" t="n">
        <v>16.05</v>
      </c>
      <c r="M416" s="155" t="n">
        <v>0.65</v>
      </c>
      <c r="N416" t="inlineStr">
        <is>
          <t>汽車OEM塑膠內飾件大廠，供應以大陸市場為主</t>
        </is>
      </c>
    </row>
    <row r="417">
      <c r="A417" t="n">
        <v>1339</v>
      </c>
      <c r="B417" t="inlineStr">
        <is>
          <t>昭輝</t>
        </is>
      </c>
      <c r="C417" t="n">
        <v>44.65</v>
      </c>
      <c r="D417" t="n">
        <v>44.6</v>
      </c>
      <c r="E417" s="730" t="n">
        <v>0.25</v>
      </c>
      <c r="F417" s="731" t="n">
        <v>0.5600000000000001</v>
      </c>
      <c r="G417" t="inlineStr">
        <is>
          <t>1007萬</t>
        </is>
      </c>
      <c r="H417" t="n">
        <v>227</v>
      </c>
      <c r="I417" t="n">
        <v>668</v>
      </c>
      <c r="J417" t="n">
        <v>7.41</v>
      </c>
      <c r="K417" t="n">
        <v>45.15</v>
      </c>
      <c r="L417" t="n">
        <v>43.95</v>
      </c>
      <c r="M417" s="155" t="n">
        <v>0.31</v>
      </c>
      <c r="N417" t="inlineStr">
        <is>
          <t>台灣第二大汽車AM塑膠件製造商</t>
        </is>
      </c>
    </row>
    <row r="418">
      <c r="A418" t="n">
        <v>1340</v>
      </c>
      <c r="B418" t="inlineStr">
        <is>
          <t>勝悅-KY</t>
        </is>
      </c>
      <c r="C418" t="n">
        <v>5.43</v>
      </c>
      <c r="D418" t="n">
        <v>5.49</v>
      </c>
      <c r="E418" s="730" t="n">
        <v>0.02</v>
      </c>
      <c r="F418" s="731" t="n">
        <v>0.37</v>
      </c>
      <c r="G418" t="inlineStr">
        <is>
          <t>201萬</t>
        </is>
      </c>
      <c r="H418" t="n">
        <v>367</v>
      </c>
      <c r="I418" t="n">
        <v>556</v>
      </c>
      <c r="J418" t="n">
        <v>15.29</v>
      </c>
      <c r="K418" t="n">
        <v>5.56</v>
      </c>
      <c r="L418" t="n">
        <v>5.41</v>
      </c>
      <c r="M418" s="155" t="n">
        <v>0.24</v>
      </c>
      <c r="N418" t="inlineStr">
        <is>
          <t>專注旅館及第三方物流承租收入事業</t>
        </is>
      </c>
    </row>
    <row r="419">
      <c r="A419" t="n">
        <v>1341</v>
      </c>
      <c r="B419" t="inlineStr">
        <is>
          <t>富林-KY</t>
        </is>
      </c>
      <c r="C419" t="n">
        <v>61.3</v>
      </c>
      <c r="D419" t="n">
        <v>62.2</v>
      </c>
      <c r="E419" s="730" t="n">
        <v>0.2</v>
      </c>
      <c r="F419" s="731" t="n">
        <v>0.32</v>
      </c>
      <c r="G419" t="inlineStr">
        <is>
          <t>36.8萬</t>
        </is>
      </c>
      <c r="H419" t="n">
        <v>6</v>
      </c>
      <c r="I419" t="n">
        <v>11</v>
      </c>
      <c r="J419" t="n">
        <v>5.29</v>
      </c>
      <c r="K419" t="n">
        <v>62.2</v>
      </c>
      <c r="L419" t="n">
        <v>61.2</v>
      </c>
      <c r="M419" s="155" t="n">
        <v>0.01</v>
      </c>
      <c r="N419" t="inlineStr">
        <is>
          <t>越南第一大PVC人造皮革生產商</t>
        </is>
      </c>
    </row>
    <row r="420">
      <c r="A420" t="n">
        <v>1342</v>
      </c>
      <c r="B420" t="inlineStr">
        <is>
          <t>八貫</t>
        </is>
      </c>
      <c r="C420" t="n">
        <v>93.59999999999999</v>
      </c>
      <c r="D420" t="n">
        <v>94.40000000000001</v>
      </c>
      <c r="E420" s="730" t="n">
        <v>1.6</v>
      </c>
      <c r="F420" s="731" t="n">
        <v>1.72</v>
      </c>
      <c r="G420" t="inlineStr">
        <is>
          <t>4365萬</t>
        </is>
      </c>
      <c r="H420" t="n">
        <v>465</v>
      </c>
      <c r="I420" t="n">
        <v>277</v>
      </c>
      <c r="J420" t="n">
        <v>7.8</v>
      </c>
      <c r="K420" t="n">
        <v>95</v>
      </c>
      <c r="L420" t="n">
        <v>92.90000000000001</v>
      </c>
      <c r="M420" s="155" t="n">
        <v>0.6</v>
      </c>
      <c r="N420" t="inlineStr">
        <is>
          <t>台灣機能性皮布料及薄膜製造商</t>
        </is>
      </c>
    </row>
    <row r="421">
      <c r="A421" t="n">
        <v>1402</v>
      </c>
      <c r="B421" t="inlineStr">
        <is>
          <t>遠東新</t>
        </is>
      </c>
      <c r="C421" t="n">
        <v>25.1</v>
      </c>
      <c r="D421" t="n">
        <v>26.25</v>
      </c>
      <c r="E421" s="730" t="n">
        <v>1.2</v>
      </c>
      <c r="F421" s="731" t="n">
        <v>4.79</v>
      </c>
      <c r="G421" t="inlineStr">
        <is>
          <t>32.8億</t>
        </is>
      </c>
      <c r="H421" t="n">
        <v>125232</v>
      </c>
      <c r="I421" t="n">
        <v>145879</v>
      </c>
      <c r="J421" t="n">
        <v>535.29</v>
      </c>
      <c r="K421" t="n">
        <v>26.8</v>
      </c>
      <c r="L421" t="n">
        <v>25.1</v>
      </c>
      <c r="M421" s="155" t="n">
        <v>2.34</v>
      </c>
      <c r="N421" t="inlineStr">
        <is>
          <t>全球前五大聚酯製造商，集團轉投資橫跨領域廣</t>
        </is>
      </c>
    </row>
    <row r="422">
      <c r="A422" t="n">
        <v>1409</v>
      </c>
      <c r="B422" t="inlineStr">
        <is>
          <t>新纖</t>
        </is>
      </c>
      <c r="C422" t="n">
        <v>27.55</v>
      </c>
      <c r="D422" t="n">
        <v>27.55</v>
      </c>
      <c r="E422" s="730" t="n">
        <v>2.5</v>
      </c>
      <c r="F422" s="731" t="n">
        <v>9.98</v>
      </c>
      <c r="G422" t="inlineStr">
        <is>
          <t>7.07億</t>
        </is>
      </c>
      <c r="H422" t="n">
        <v>25680</v>
      </c>
      <c r="I422" t="n">
        <v>36908</v>
      </c>
      <c r="J422" t="n">
        <v>161.84</v>
      </c>
      <c r="K422" t="n">
        <v>27.55</v>
      </c>
      <c r="L422" t="n">
        <v>27.55</v>
      </c>
      <c r="M422" s="155" t="n">
        <v>1.59</v>
      </c>
      <c r="N422" t="inlineStr">
        <is>
          <t>新光集團旗下，台灣知名化纖廠</t>
        </is>
      </c>
    </row>
    <row r="423">
      <c r="A423" t="n">
        <v>1410</v>
      </c>
      <c r="B423" t="inlineStr">
        <is>
          <t>南染</t>
        </is>
      </c>
      <c r="C423" t="n">
        <v>25.95</v>
      </c>
      <c r="D423" t="n">
        <v>25.5</v>
      </c>
      <c r="E423" s="730" t="n">
        <v>-0.4</v>
      </c>
      <c r="F423" s="731" t="n">
        <v>-1.54</v>
      </c>
      <c r="G423" t="inlineStr">
        <is>
          <t>123萬</t>
        </is>
      </c>
      <c r="H423" t="n">
        <v>48</v>
      </c>
      <c r="I423" t="n">
        <v>76</v>
      </c>
      <c r="J423" t="n">
        <v>6.2</v>
      </c>
      <c r="K423" t="n">
        <v>26</v>
      </c>
      <c r="L423" t="n">
        <v>25.4</v>
      </c>
      <c r="M423" s="155" t="n">
        <v>0.08</v>
      </c>
      <c r="N423" t="inlineStr">
        <is>
          <t>轉型為不動產租賃業務</t>
        </is>
      </c>
    </row>
    <row r="424">
      <c r="A424" t="n">
        <v>1413</v>
      </c>
      <c r="B424" t="inlineStr">
        <is>
          <t>宏洲</t>
        </is>
      </c>
      <c r="C424" t="n">
        <v>9.630000000000001</v>
      </c>
      <c r="D424" t="n">
        <v>9.49</v>
      </c>
      <c r="E424" s="730" t="n">
        <v>0.07000000000000001</v>
      </c>
      <c r="F424" s="731" t="n">
        <v>0.74</v>
      </c>
      <c r="G424" t="inlineStr">
        <is>
          <t>32.2萬</t>
        </is>
      </c>
      <c r="H424" t="n">
        <v>34</v>
      </c>
      <c r="I424" t="n">
        <v>55</v>
      </c>
      <c r="J424" t="n">
        <v>13.21</v>
      </c>
      <c r="K424" t="n">
        <v>9.69</v>
      </c>
      <c r="L424" t="n">
        <v>9.359999999999999</v>
      </c>
      <c r="M424" s="155" t="n">
        <v>0.03</v>
      </c>
      <c r="N424" t="inlineStr">
        <is>
          <t>宜進入主，聚酯粒、聚酯絲與加工絲一貫廠</t>
        </is>
      </c>
    </row>
    <row r="425">
      <c r="A425" t="n">
        <v>1414</v>
      </c>
      <c r="B425" t="inlineStr">
        <is>
          <t>東和</t>
        </is>
      </c>
      <c r="C425" t="n">
        <v>15</v>
      </c>
      <c r="D425" t="n">
        <v>15.7</v>
      </c>
      <c r="E425" s="730" t="n">
        <v>0.7</v>
      </c>
      <c r="F425" s="731" t="n">
        <v>4.67</v>
      </c>
      <c r="G425" t="inlineStr">
        <is>
          <t>594萬</t>
        </is>
      </c>
      <c r="H425" t="n">
        <v>389</v>
      </c>
      <c r="I425" t="n">
        <v>215</v>
      </c>
      <c r="J425" t="n">
        <v>19.8</v>
      </c>
      <c r="K425" t="n">
        <v>15.7</v>
      </c>
      <c r="L425" t="n">
        <v>15</v>
      </c>
      <c r="M425" s="155" t="n">
        <v>0.2</v>
      </c>
      <c r="N425" t="inlineStr">
        <is>
          <t>棉混紡紗大廠</t>
        </is>
      </c>
    </row>
    <row r="426">
      <c r="A426" t="n">
        <v>1416</v>
      </c>
      <c r="B426" t="inlineStr">
        <is>
          <t>廣豐</t>
        </is>
      </c>
      <c r="C426" t="n">
        <v>11.3</v>
      </c>
      <c r="D426" t="n">
        <v>11.5</v>
      </c>
      <c r="E426" s="730" t="n">
        <v>0.25</v>
      </c>
      <c r="F426" s="731" t="n">
        <v>2.22</v>
      </c>
      <c r="G426" t="inlineStr">
        <is>
          <t>771萬</t>
        </is>
      </c>
      <c r="H426" t="n">
        <v>675</v>
      </c>
      <c r="I426" t="n">
        <v>332</v>
      </c>
      <c r="J426" t="n">
        <v>18.53</v>
      </c>
      <c r="K426" t="n">
        <v>11.55</v>
      </c>
      <c r="L426" t="n">
        <v>11.3</v>
      </c>
      <c r="M426" s="155" t="n">
        <v>0.36</v>
      </c>
      <c r="N426" t="inlineStr">
        <is>
          <t>專注金融業應用系統開發</t>
        </is>
      </c>
    </row>
    <row r="427">
      <c r="A427" t="n">
        <v>1417</v>
      </c>
      <c r="B427" t="inlineStr">
        <is>
          <t>嘉裕</t>
        </is>
      </c>
      <c r="C427" t="n">
        <v>8.24</v>
      </c>
      <c r="D427" t="n">
        <v>8.26</v>
      </c>
      <c r="E427" s="730" t="n">
        <v>0.06</v>
      </c>
      <c r="F427" s="731" t="n">
        <v>0.73</v>
      </c>
      <c r="G427" t="inlineStr">
        <is>
          <t>189萬</t>
        </is>
      </c>
      <c r="H427" t="n">
        <v>229</v>
      </c>
      <c r="I427" t="n">
        <v>171</v>
      </c>
      <c r="J427" t="n">
        <v>18.99</v>
      </c>
      <c r="K427" t="n">
        <v>8.289999999999999</v>
      </c>
      <c r="L427" t="n">
        <v>8.199999999999999</v>
      </c>
      <c r="M427" s="155" t="n">
        <v>0.12</v>
      </c>
      <c r="N427" t="inlineStr">
        <is>
          <t>裕隆集團旗下，台灣知名男性西服供應商</t>
        </is>
      </c>
    </row>
    <row r="428">
      <c r="A428" t="n">
        <v>1418</v>
      </c>
      <c r="B428" t="inlineStr">
        <is>
          <t>東華</t>
        </is>
      </c>
      <c r="C428" t="n">
        <v>18.95</v>
      </c>
      <c r="D428" t="n">
        <v>19.1</v>
      </c>
      <c r="E428" s="730" t="n">
        <v>0</v>
      </c>
      <c r="F428" s="731" t="n">
        <v>0</v>
      </c>
      <c r="G428" t="inlineStr">
        <is>
          <t>70.0萬</t>
        </is>
      </c>
      <c r="H428" t="n">
        <v>37</v>
      </c>
      <c r="I428" t="n">
        <v>72</v>
      </c>
      <c r="J428" t="n">
        <v>5.68</v>
      </c>
      <c r="K428" t="n">
        <v>19.1</v>
      </c>
      <c r="L428" t="n">
        <v>18.55</v>
      </c>
      <c r="M428" s="155" t="n">
        <v>0.08</v>
      </c>
      <c r="N428" t="inlineStr">
        <is>
          <t>台灣老牌的亞克力棉製造商</t>
        </is>
      </c>
    </row>
    <row r="429">
      <c r="A429" t="n">
        <v>1419</v>
      </c>
      <c r="B429" t="inlineStr">
        <is>
          <t>新紡</t>
        </is>
      </c>
      <c r="C429" t="n">
        <v>65.40000000000001</v>
      </c>
      <c r="D429" t="n">
        <v>65.8</v>
      </c>
      <c r="E429" s="730" t="n">
        <v>-0.2</v>
      </c>
      <c r="F429" s="731" t="n">
        <v>-0.3</v>
      </c>
      <c r="G429" t="inlineStr">
        <is>
          <t>804萬</t>
        </is>
      </c>
      <c r="H429" t="n">
        <v>123</v>
      </c>
      <c r="I429" t="n">
        <v>277</v>
      </c>
      <c r="J429" t="n">
        <v>30</v>
      </c>
      <c r="K429" t="n">
        <v>66</v>
      </c>
      <c r="L429" t="n">
        <v>64.7</v>
      </c>
      <c r="M429" s="155" t="n">
        <v>0.04</v>
      </c>
      <c r="N429" t="inlineStr">
        <is>
          <t>新光集團旗下，平織布生產商，士林三寶之一</t>
        </is>
      </c>
    </row>
    <row r="430">
      <c r="A430" t="n">
        <v>1423</v>
      </c>
      <c r="B430" t="inlineStr">
        <is>
          <t>利華</t>
        </is>
      </c>
      <c r="C430" t="n">
        <v>41.75</v>
      </c>
      <c r="D430" t="n">
        <v>43.05</v>
      </c>
      <c r="E430" s="730" t="n">
        <v>1.6</v>
      </c>
      <c r="F430" s="731" t="n">
        <v>3.86</v>
      </c>
      <c r="G430" t="inlineStr">
        <is>
          <t>3594萬</t>
        </is>
      </c>
      <c r="H430" t="n">
        <v>847</v>
      </c>
      <c r="I430" t="n">
        <v>138</v>
      </c>
      <c r="J430" t="n">
        <v>9.960000000000001</v>
      </c>
      <c r="K430" t="n">
        <v>43.7</v>
      </c>
      <c r="L430" t="n">
        <v>41.4</v>
      </c>
      <c r="M430" s="155" t="n">
        <v>0.85</v>
      </c>
      <c r="N430" t="inlineStr">
        <is>
          <t>台灣第一大的專業毛條生產商</t>
        </is>
      </c>
    </row>
    <row r="431">
      <c r="A431" t="n">
        <v>1432</v>
      </c>
      <c r="B431" t="inlineStr">
        <is>
          <t>大魯閣</t>
        </is>
      </c>
      <c r="C431" t="n">
        <v>16.85</v>
      </c>
      <c r="D431" t="n">
        <v>16.9</v>
      </c>
      <c r="E431" s="730" t="n">
        <v>0.1</v>
      </c>
      <c r="F431" s="731" t="n">
        <v>0.6</v>
      </c>
      <c r="G431" t="inlineStr">
        <is>
          <t>522萬</t>
        </is>
      </c>
      <c r="H431" t="n">
        <v>311</v>
      </c>
      <c r="I431" t="n">
        <v>514</v>
      </c>
      <c r="J431" t="n">
        <v>10.8</v>
      </c>
      <c r="K431" t="n">
        <v>16.95</v>
      </c>
      <c r="L431" t="n">
        <v>16.8</v>
      </c>
      <c r="M431" s="155" t="n">
        <v>0.35</v>
      </c>
      <c r="N431" t="inlineStr">
        <is>
          <t>經營型娛樂購物中心事業</t>
        </is>
      </c>
    </row>
    <row r="432">
      <c r="A432" t="n">
        <v>1434</v>
      </c>
      <c r="B432" t="inlineStr">
        <is>
          <t>福懋</t>
        </is>
      </c>
      <c r="C432" t="n">
        <v>15.55</v>
      </c>
      <c r="D432" t="n">
        <v>15.75</v>
      </c>
      <c r="E432" s="730" t="n">
        <v>0.2</v>
      </c>
      <c r="F432" s="731" t="n">
        <v>1.29</v>
      </c>
      <c r="G432" t="inlineStr">
        <is>
          <t>4389萬</t>
        </is>
      </c>
      <c r="H432" t="n">
        <v>2798</v>
      </c>
      <c r="I432" t="n">
        <v>2959</v>
      </c>
      <c r="J432" t="n">
        <v>168.47</v>
      </c>
      <c r="K432" t="n">
        <v>15.8</v>
      </c>
      <c r="L432" t="n">
        <v>15.5</v>
      </c>
      <c r="M432" s="155" t="n">
        <v>0.17</v>
      </c>
      <c r="N432" t="inlineStr">
        <is>
          <t>台塑集團旗下，台灣知名輪胎簾布製造商</t>
        </is>
      </c>
    </row>
    <row r="433">
      <c r="A433" t="n">
        <v>1436</v>
      </c>
      <c r="B433" t="inlineStr">
        <is>
          <t>華友聯</t>
        </is>
      </c>
      <c r="C433" t="n">
        <v>44.7</v>
      </c>
      <c r="D433" t="n">
        <v>45</v>
      </c>
      <c r="E433" s="730" t="n">
        <v>0.3</v>
      </c>
      <c r="F433" s="731" t="n">
        <v>0.67</v>
      </c>
      <c r="G433" t="inlineStr">
        <is>
          <t>1214萬</t>
        </is>
      </c>
      <c r="H433" t="n">
        <v>270</v>
      </c>
      <c r="I433" t="n">
        <v>285</v>
      </c>
      <c r="J433" t="n">
        <v>19.42</v>
      </c>
      <c r="K433" t="n">
        <v>45.3</v>
      </c>
      <c r="L433" t="n">
        <v>44.7</v>
      </c>
      <c r="M433" s="155" t="n">
        <v>0.14</v>
      </c>
      <c r="N433" t="inlineStr">
        <is>
          <t>主打首購族及換屋族市場的建商</t>
        </is>
      </c>
    </row>
    <row r="434">
      <c r="A434" t="n">
        <v>1437</v>
      </c>
      <c r="B434" t="inlineStr">
        <is>
          <t>勤益控</t>
        </is>
      </c>
      <c r="C434" t="n">
        <v>28.45</v>
      </c>
      <c r="D434" t="n">
        <v>28.65</v>
      </c>
      <c r="E434" s="730" t="n">
        <v>0.25</v>
      </c>
      <c r="F434" s="731" t="n">
        <v>0.88</v>
      </c>
      <c r="G434" t="inlineStr">
        <is>
          <t>286萬</t>
        </is>
      </c>
      <c r="H434" t="n">
        <v>100</v>
      </c>
      <c r="I434" t="n">
        <v>343</v>
      </c>
      <c r="J434" t="n">
        <v>20.19</v>
      </c>
      <c r="K434" t="n">
        <v>28.65</v>
      </c>
      <c r="L434" t="n">
        <v>28.45</v>
      </c>
      <c r="M434" s="155" t="n">
        <v>0.05</v>
      </c>
      <c r="N434" t="inlineStr">
        <is>
          <t>投資控股公司，從事地產、紡織貿易及投資事業</t>
        </is>
      </c>
    </row>
    <row r="435">
      <c r="A435" t="n">
        <v>1438</v>
      </c>
      <c r="B435" t="inlineStr">
        <is>
          <t>三地開發</t>
        </is>
      </c>
      <c r="C435" t="n">
        <v>20.35</v>
      </c>
      <c r="D435" t="n">
        <v>19.7</v>
      </c>
      <c r="E435" s="730" t="n">
        <v>-0.3</v>
      </c>
      <c r="F435" s="731" t="n">
        <v>-1.5</v>
      </c>
      <c r="G435" t="inlineStr">
        <is>
          <t>160萬</t>
        </is>
      </c>
      <c r="H435" t="n">
        <v>81</v>
      </c>
      <c r="I435" t="n">
        <v>47</v>
      </c>
      <c r="J435" t="n">
        <v>11.12</v>
      </c>
      <c r="K435" t="n">
        <v>20.35</v>
      </c>
      <c r="L435" t="n">
        <v>19.55</v>
      </c>
      <c r="M435" s="155" t="n">
        <v>0.07000000000000001</v>
      </c>
      <c r="N435" t="inlineStr">
        <is>
          <t>開發以台南及高雄地區為主力的建商</t>
        </is>
      </c>
    </row>
    <row r="436">
      <c r="A436" t="n">
        <v>1439</v>
      </c>
      <c r="B436" t="inlineStr">
        <is>
          <t>雋揚</t>
        </is>
      </c>
      <c r="C436" t="n">
        <v>25.25</v>
      </c>
      <c r="D436" t="n">
        <v>25.6</v>
      </c>
      <c r="E436" s="730" t="n">
        <v>0</v>
      </c>
      <c r="F436" s="731" t="n">
        <v>0</v>
      </c>
      <c r="G436" t="inlineStr">
        <is>
          <t>111萬</t>
        </is>
      </c>
      <c r="H436" t="n">
        <v>44</v>
      </c>
      <c r="I436" t="n">
        <v>52</v>
      </c>
      <c r="J436" t="n">
        <v>9.199999999999999</v>
      </c>
      <c r="K436" t="n">
        <v>25.75</v>
      </c>
      <c r="L436" t="n">
        <v>25</v>
      </c>
      <c r="M436" s="155" t="n">
        <v>0.05</v>
      </c>
      <c r="N436" t="inlineStr">
        <is>
          <t>國揚集團旗下，著重開發危老及都更計畫</t>
        </is>
      </c>
    </row>
    <row r="437">
      <c r="A437" t="n">
        <v>1440</v>
      </c>
      <c r="B437" t="inlineStr">
        <is>
          <t>南紡</t>
        </is>
      </c>
      <c r="C437" t="n">
        <v>12.95</v>
      </c>
      <c r="D437" t="n">
        <v>14.2</v>
      </c>
      <c r="E437" s="730" t="n">
        <v>1.25</v>
      </c>
      <c r="F437" s="731" t="n">
        <v>9.65</v>
      </c>
      <c r="G437" t="inlineStr">
        <is>
          <t>2.56億</t>
        </is>
      </c>
      <c r="H437" t="n">
        <v>18647</v>
      </c>
      <c r="I437" t="n">
        <v>4351</v>
      </c>
      <c r="J437" t="n">
        <v>165.68</v>
      </c>
      <c r="K437" t="n">
        <v>14.2</v>
      </c>
      <c r="L437" t="n">
        <v>12.85</v>
      </c>
      <c r="M437" s="155" t="n">
        <v>1.13</v>
      </c>
      <c r="N437" t="inlineStr">
        <is>
          <t>台灣最大的聚酯棉與紡紗廠，並經營夢時代購物中心</t>
        </is>
      </c>
    </row>
    <row r="438">
      <c r="A438" t="n">
        <v>1441</v>
      </c>
      <c r="B438" t="inlineStr">
        <is>
          <t>大東</t>
        </is>
      </c>
      <c r="C438" t="n">
        <v>9.369999999999999</v>
      </c>
      <c r="D438" t="n">
        <v>9.6</v>
      </c>
      <c r="E438" s="730" t="n">
        <v>0.23</v>
      </c>
      <c r="F438" s="731" t="n">
        <v>2.45</v>
      </c>
      <c r="G438" t="inlineStr">
        <is>
          <t>15.9萬</t>
        </is>
      </c>
      <c r="H438" t="n">
        <v>18</v>
      </c>
      <c r="I438" t="n">
        <v>55</v>
      </c>
      <c r="J438" t="n">
        <v>7.17</v>
      </c>
      <c r="K438" t="n">
        <v>9.6</v>
      </c>
      <c r="L438" t="n">
        <v>9.26</v>
      </c>
      <c r="M438" s="155" t="n">
        <v>0.03</v>
      </c>
      <c r="N438" t="inlineStr">
        <is>
          <t>台灣主要棉紡生產企業</t>
        </is>
      </c>
    </row>
    <row r="439">
      <c r="A439" t="n">
        <v>1442</v>
      </c>
      <c r="B439" t="inlineStr">
        <is>
          <t>名軒</t>
        </is>
      </c>
      <c r="C439" t="n">
        <v>26.95</v>
      </c>
      <c r="D439" t="n">
        <v>27.2</v>
      </c>
      <c r="E439" s="730" t="n">
        <v>0.4</v>
      </c>
      <c r="F439" s="731" t="n">
        <v>1.49</v>
      </c>
      <c r="G439" t="inlineStr">
        <is>
          <t>1762萬</t>
        </is>
      </c>
      <c r="H439" t="n">
        <v>651</v>
      </c>
      <c r="I439" t="n">
        <v>399</v>
      </c>
      <c r="J439" t="n">
        <v>36.62</v>
      </c>
      <c r="K439" t="n">
        <v>27.3</v>
      </c>
      <c r="L439" t="n">
        <v>26.5</v>
      </c>
      <c r="M439" s="155" t="n">
        <v>0.18</v>
      </c>
      <c r="N439" t="inlineStr">
        <is>
          <t>麗寶集團旗下成員</t>
        </is>
      </c>
    </row>
    <row r="440">
      <c r="A440" t="n">
        <v>1443</v>
      </c>
      <c r="B440" t="inlineStr">
        <is>
          <t>立益物流</t>
        </is>
      </c>
      <c r="C440" t="n">
        <v>25.4</v>
      </c>
      <c r="D440" t="n">
        <v>25.2</v>
      </c>
      <c r="E440" s="730" t="n">
        <v>0.1</v>
      </c>
      <c r="F440" s="731" t="n">
        <v>0.4</v>
      </c>
      <c r="G440" t="inlineStr">
        <is>
          <t>75.0萬</t>
        </is>
      </c>
      <c r="H440" t="n">
        <v>30</v>
      </c>
      <c r="I440" t="n">
        <v>24</v>
      </c>
      <c r="J440" t="n">
        <v>13.53</v>
      </c>
      <c r="K440" t="n">
        <v>25.4</v>
      </c>
      <c r="L440" t="n">
        <v>24.6</v>
      </c>
      <c r="M440" s="155" t="n">
        <v>0.02</v>
      </c>
      <c r="N440" t="inlineStr">
        <is>
          <t>從事物流倉儲服務及經營房地產</t>
        </is>
      </c>
    </row>
    <row r="441">
      <c r="A441" t="n">
        <v>1444</v>
      </c>
      <c r="B441" t="inlineStr">
        <is>
          <t>力麗</t>
        </is>
      </c>
      <c r="C441" t="n">
        <v>6.9</v>
      </c>
      <c r="D441" t="n">
        <v>6.8</v>
      </c>
      <c r="E441" s="730" t="n">
        <v>0.06</v>
      </c>
      <c r="F441" s="731" t="n">
        <v>0.89</v>
      </c>
      <c r="G441" t="inlineStr">
        <is>
          <t>3416萬</t>
        </is>
      </c>
      <c r="H441" t="n">
        <v>5010</v>
      </c>
      <c r="I441" t="n">
        <v>2676</v>
      </c>
      <c r="J441" t="n">
        <v>99.56</v>
      </c>
      <c r="K441" t="n">
        <v>6.98</v>
      </c>
      <c r="L441" t="n">
        <v>6.62</v>
      </c>
      <c r="M441" s="155" t="n">
        <v>0.5</v>
      </c>
      <c r="N441" t="inlineStr">
        <is>
          <t>台灣聚酯加工絲龍頭廠</t>
        </is>
      </c>
    </row>
    <row r="442">
      <c r="A442" t="n">
        <v>1445</v>
      </c>
      <c r="B442" t="inlineStr">
        <is>
          <t>大宇</t>
        </is>
      </c>
      <c r="C442" t="n">
        <v>11.6</v>
      </c>
      <c r="D442" t="n">
        <v>11.6</v>
      </c>
      <c r="E442" s="730" t="n">
        <v>0</v>
      </c>
      <c r="F442" s="731" t="n">
        <v>0</v>
      </c>
      <c r="G442" t="inlineStr">
        <is>
          <t>36.3萬</t>
        </is>
      </c>
      <c r="H442" t="n">
        <v>31</v>
      </c>
      <c r="I442" t="n">
        <v>117</v>
      </c>
      <c r="J442" t="n">
        <v>13.07</v>
      </c>
      <c r="K442" t="n">
        <v>11.85</v>
      </c>
      <c r="L442" t="n">
        <v>11.6</v>
      </c>
      <c r="M442" s="155" t="n">
        <v>0.02</v>
      </c>
      <c r="N442" t="inlineStr">
        <is>
          <t>台灣專業的織布廠</t>
        </is>
      </c>
    </row>
    <row r="443">
      <c r="A443" t="n">
        <v>1446</v>
      </c>
      <c r="B443" t="inlineStr">
        <is>
          <t>宏和</t>
        </is>
      </c>
      <c r="C443" t="n">
        <v>16</v>
      </c>
      <c r="D443" t="n">
        <v>16.2</v>
      </c>
      <c r="E443" s="730" t="n">
        <v>0.1</v>
      </c>
      <c r="F443" s="731" t="n">
        <v>0.62</v>
      </c>
      <c r="G443" t="inlineStr">
        <is>
          <t>345萬</t>
        </is>
      </c>
      <c r="H443" t="n">
        <v>216</v>
      </c>
      <c r="I443" t="n">
        <v>247</v>
      </c>
      <c r="J443" t="n">
        <v>13.77</v>
      </c>
      <c r="K443" t="n">
        <v>16.3</v>
      </c>
      <c r="L443" t="n">
        <v>15.85</v>
      </c>
      <c r="M443" s="155" t="n">
        <v>0.16</v>
      </c>
      <c r="N443" t="inlineStr">
        <is>
          <t>台灣知名的長短纖布廠</t>
        </is>
      </c>
    </row>
    <row r="444">
      <c r="A444" t="n">
        <v>1447</v>
      </c>
      <c r="B444" t="inlineStr">
        <is>
          <t>力鵬</t>
        </is>
      </c>
      <c r="C444" t="n">
        <v>6.35</v>
      </c>
      <c r="D444" t="n">
        <v>6.34</v>
      </c>
      <c r="E444" s="730" t="n">
        <v>0.01</v>
      </c>
      <c r="F444" s="731" t="n">
        <v>0.16</v>
      </c>
      <c r="G444" t="inlineStr">
        <is>
          <t>1594萬</t>
        </is>
      </c>
      <c r="H444" t="n">
        <v>2506</v>
      </c>
      <c r="I444" t="n">
        <v>3198</v>
      </c>
      <c r="J444" t="n">
        <v>91.01000000000001</v>
      </c>
      <c r="K444" t="n">
        <v>6.58</v>
      </c>
      <c r="L444" t="n">
        <v>6.2</v>
      </c>
      <c r="M444" s="155" t="n">
        <v>0.28</v>
      </c>
      <c r="N444" t="inlineStr">
        <is>
          <t>力麗集團旗下，台灣知名尼龍粒大廠</t>
        </is>
      </c>
    </row>
    <row r="445">
      <c r="A445" t="n">
        <v>1449</v>
      </c>
      <c r="B445" t="inlineStr">
        <is>
          <t>佳和</t>
        </is>
      </c>
      <c r="C445" t="n">
        <v>14.7</v>
      </c>
      <c r="D445" t="n">
        <v>13.8</v>
      </c>
      <c r="E445" s="730" t="n">
        <v>-0.25</v>
      </c>
      <c r="F445" s="731" t="n">
        <v>-1.78</v>
      </c>
      <c r="G445" t="inlineStr">
        <is>
          <t>5447萬</t>
        </is>
      </c>
      <c r="H445" t="n">
        <v>3930</v>
      </c>
      <c r="I445" t="n">
        <v>1780</v>
      </c>
      <c r="J445" t="n">
        <v>12.71</v>
      </c>
      <c r="K445" t="n">
        <v>14.7</v>
      </c>
      <c r="L445" t="n">
        <v>13.3</v>
      </c>
      <c r="M445" s="155" t="n">
        <v>3.09</v>
      </c>
      <c r="N445" t="inlineStr">
        <is>
          <t>織布生產商，產品為先染及長纖織物</t>
        </is>
      </c>
    </row>
    <row r="446">
      <c r="A446" t="n">
        <v>1451</v>
      </c>
      <c r="B446" t="inlineStr">
        <is>
          <t>年興</t>
        </is>
      </c>
      <c r="C446" t="n">
        <v>16.55</v>
      </c>
      <c r="D446" t="n">
        <v>16.7</v>
      </c>
      <c r="E446" s="730" t="n">
        <v>0.05</v>
      </c>
      <c r="F446" s="731" t="n">
        <v>0.3</v>
      </c>
      <c r="G446" t="inlineStr">
        <is>
          <t>197萬</t>
        </is>
      </c>
      <c r="H446" t="n">
        <v>118</v>
      </c>
      <c r="I446" t="n">
        <v>260</v>
      </c>
      <c r="J446" t="n">
        <v>19.8</v>
      </c>
      <c r="K446" t="n">
        <v>16.75</v>
      </c>
      <c r="L446" t="n">
        <v>16.55</v>
      </c>
      <c r="M446" s="155" t="n">
        <v>0.06</v>
      </c>
      <c r="N446" t="inlineStr">
        <is>
          <t>全球最大的牛仔成衣廠</t>
        </is>
      </c>
    </row>
    <row r="447">
      <c r="A447" t="n">
        <v>1452</v>
      </c>
      <c r="B447" t="inlineStr">
        <is>
          <t>宏益</t>
        </is>
      </c>
      <c r="C447" t="n">
        <v>10.7</v>
      </c>
      <c r="D447" t="n">
        <v>10.65</v>
      </c>
      <c r="E447" s="730" t="n">
        <v>0.1</v>
      </c>
      <c r="F447" s="731" t="n">
        <v>0.95</v>
      </c>
      <c r="G447" t="inlineStr">
        <is>
          <t>88.6萬</t>
        </is>
      </c>
      <c r="H447" t="n">
        <v>83</v>
      </c>
      <c r="I447" t="n">
        <v>132</v>
      </c>
      <c r="J447" t="n">
        <v>13.26</v>
      </c>
      <c r="K447" t="n">
        <v>10.8</v>
      </c>
      <c r="L447" t="n">
        <v>10.55</v>
      </c>
      <c r="M447" s="155" t="n">
        <v>0.06</v>
      </c>
      <c r="N447" t="inlineStr">
        <is>
          <t>台灣專業的加工絲一貫廠</t>
        </is>
      </c>
    </row>
    <row r="448">
      <c r="A448" t="n">
        <v>1453</v>
      </c>
      <c r="B448" t="inlineStr">
        <is>
          <t>大將</t>
        </is>
      </c>
      <c r="C448" t="n">
        <v>11.1</v>
      </c>
      <c r="D448" t="n">
        <v>11.15</v>
      </c>
      <c r="E448" s="730" t="n">
        <v>0</v>
      </c>
      <c r="F448" s="731" t="n">
        <v>0</v>
      </c>
      <c r="G448" t="inlineStr">
        <is>
          <t>124萬</t>
        </is>
      </c>
      <c r="H448" t="n">
        <v>112</v>
      </c>
      <c r="I448" t="n">
        <v>80</v>
      </c>
      <c r="J448" t="n">
        <v>11.32</v>
      </c>
      <c r="K448" t="n">
        <v>11.15</v>
      </c>
      <c r="L448" t="n">
        <v>11.05</v>
      </c>
      <c r="M448" s="155" t="n">
        <v>0.1</v>
      </c>
      <c r="N448" t="inlineStr">
        <is>
          <t>主要經營營建開發及紡織買賣</t>
        </is>
      </c>
    </row>
    <row r="449">
      <c r="A449" t="n">
        <v>1454</v>
      </c>
      <c r="B449" t="inlineStr">
        <is>
          <t>台富</t>
        </is>
      </c>
      <c r="C449" t="n">
        <v>13.2</v>
      </c>
      <c r="D449" t="n">
        <v>13.4</v>
      </c>
      <c r="E449" s="730" t="n">
        <v>0.4</v>
      </c>
      <c r="F449" s="731" t="n">
        <v>3.08</v>
      </c>
      <c r="G449" t="inlineStr">
        <is>
          <t>336萬</t>
        </is>
      </c>
      <c r="H449" t="n">
        <v>244</v>
      </c>
      <c r="I449" t="n">
        <v>115</v>
      </c>
      <c r="J449" t="n">
        <v>12.98</v>
      </c>
      <c r="K449" t="n">
        <v>14.3</v>
      </c>
      <c r="L449" t="n">
        <v>13</v>
      </c>
      <c r="M449" s="155" t="n">
        <v>0.19</v>
      </c>
      <c r="N449" t="inlineStr">
        <is>
          <t>台灣加工絲、織布一貫廠</t>
        </is>
      </c>
    </row>
    <row r="450">
      <c r="A450" t="n">
        <v>1455</v>
      </c>
      <c r="B450" t="inlineStr">
        <is>
          <t>集盛</t>
        </is>
      </c>
      <c r="C450" t="n">
        <v>9.07</v>
      </c>
      <c r="D450" t="n">
        <v>9.199999999999999</v>
      </c>
      <c r="E450" s="730" t="n">
        <v>0.18</v>
      </c>
      <c r="F450" s="731" t="n">
        <v>2</v>
      </c>
      <c r="G450" t="inlineStr">
        <is>
          <t>1732萬</t>
        </is>
      </c>
      <c r="H450" t="n">
        <v>1894</v>
      </c>
      <c r="I450" t="n">
        <v>1225</v>
      </c>
      <c r="J450" t="n">
        <v>53.17</v>
      </c>
      <c r="K450" t="n">
        <v>9.35</v>
      </c>
      <c r="L450" t="n">
        <v>8.99</v>
      </c>
      <c r="M450" s="155" t="n">
        <v>0.36</v>
      </c>
      <c r="N450" t="inlineStr">
        <is>
          <t>台灣前三大尼龍粒廠商及前四大聚酯加工絲廠</t>
        </is>
      </c>
    </row>
    <row r="451">
      <c r="A451" t="n">
        <v>1456</v>
      </c>
      <c r="B451" t="inlineStr">
        <is>
          <t>怡華</t>
        </is>
      </c>
      <c r="C451" t="n">
        <v>12.3</v>
      </c>
      <c r="D451" t="n">
        <v>12.6</v>
      </c>
      <c r="E451" s="730" t="n">
        <v>0.1</v>
      </c>
      <c r="F451" s="731" t="n">
        <v>0.8</v>
      </c>
      <c r="G451" t="inlineStr">
        <is>
          <t>111萬</t>
        </is>
      </c>
      <c r="H451" t="n">
        <v>89</v>
      </c>
      <c r="I451" t="n">
        <v>96</v>
      </c>
      <c r="J451" t="n">
        <v>9.369999999999999</v>
      </c>
      <c r="K451" t="n">
        <v>12.6</v>
      </c>
      <c r="L451" t="n">
        <v>12.3</v>
      </c>
      <c r="M451" s="155" t="n">
        <v>0.09</v>
      </c>
      <c r="N451" t="inlineStr">
        <is>
          <t>元邦集團旗下，為綜合性紡織廠及營建商</t>
        </is>
      </c>
    </row>
    <row r="452">
      <c r="A452" t="n">
        <v>1457</v>
      </c>
      <c r="B452" t="inlineStr">
        <is>
          <t>宜進</t>
        </is>
      </c>
      <c r="C452" t="n">
        <v>13.95</v>
      </c>
      <c r="D452" t="n">
        <v>13.95</v>
      </c>
      <c r="E452" s="730" t="n">
        <v>-0.05</v>
      </c>
      <c r="F452" s="731" t="n">
        <v>-0.36</v>
      </c>
      <c r="G452" t="inlineStr">
        <is>
          <t>353萬</t>
        </is>
      </c>
      <c r="H452" t="n">
        <v>254</v>
      </c>
      <c r="I452" t="n">
        <v>158</v>
      </c>
      <c r="J452" t="n">
        <v>31.67</v>
      </c>
      <c r="K452" t="n">
        <v>14</v>
      </c>
      <c r="L452" t="n">
        <v>13.85</v>
      </c>
      <c r="M452" s="155" t="n">
        <v>0.08</v>
      </c>
      <c r="N452" t="inlineStr">
        <is>
          <t>台灣前五大加工絲廠之一</t>
        </is>
      </c>
    </row>
    <row r="453">
      <c r="A453" t="n">
        <v>1459</v>
      </c>
      <c r="B453" t="inlineStr">
        <is>
          <t>聯發</t>
        </is>
      </c>
      <c r="C453" t="n">
        <v>11.55</v>
      </c>
      <c r="D453" t="n">
        <v>11.6</v>
      </c>
      <c r="E453" s="730" t="n">
        <v>0.05</v>
      </c>
      <c r="F453" s="731" t="n">
        <v>0.43</v>
      </c>
      <c r="G453" t="inlineStr">
        <is>
          <t>209萬</t>
        </is>
      </c>
      <c r="H453" t="n">
        <v>181</v>
      </c>
      <c r="I453" t="n">
        <v>322</v>
      </c>
      <c r="J453" t="n">
        <v>35.86</v>
      </c>
      <c r="K453" t="n">
        <v>11.7</v>
      </c>
      <c r="L453" t="n">
        <v>11.5</v>
      </c>
      <c r="M453" s="155" t="n">
        <v>0.05</v>
      </c>
      <c r="N453" t="inlineStr">
        <is>
          <t>台灣十大聚酯加工絲廠之一</t>
        </is>
      </c>
    </row>
    <row r="454">
      <c r="A454" t="n">
        <v>1460</v>
      </c>
      <c r="B454" t="inlineStr">
        <is>
          <t>宏遠</t>
        </is>
      </c>
      <c r="C454" t="n">
        <v>7.04</v>
      </c>
      <c r="D454" t="n">
        <v>7.14</v>
      </c>
      <c r="E454" s="730" t="n">
        <v>0.14</v>
      </c>
      <c r="F454" s="731" t="n">
        <v>2</v>
      </c>
      <c r="G454" t="inlineStr">
        <is>
          <t>986萬</t>
        </is>
      </c>
      <c r="H454" t="n">
        <v>1394</v>
      </c>
      <c r="I454" t="n">
        <v>687</v>
      </c>
      <c r="J454" t="n">
        <v>69.45999999999999</v>
      </c>
      <c r="K454" t="n">
        <v>7.15</v>
      </c>
      <c r="L454" t="n">
        <v>6.95</v>
      </c>
      <c r="M454" s="155" t="n">
        <v>0.2</v>
      </c>
      <c r="N454" t="inlineStr">
        <is>
          <t>遠東集團旗下，是一家長短織一貫布廠</t>
        </is>
      </c>
    </row>
    <row r="455">
      <c r="A455" t="n">
        <v>1463</v>
      </c>
      <c r="B455" t="inlineStr">
        <is>
          <t>強盛新</t>
        </is>
      </c>
      <c r="C455" t="n">
        <v>17.8</v>
      </c>
      <c r="D455" t="n">
        <v>17.7</v>
      </c>
      <c r="E455" s="730" t="n">
        <v>-0.1</v>
      </c>
      <c r="F455" s="731" t="n">
        <v>-0.5600000000000001</v>
      </c>
      <c r="G455" t="inlineStr">
        <is>
          <t>81.8萬</t>
        </is>
      </c>
      <c r="H455" t="n">
        <v>46</v>
      </c>
      <c r="I455" t="n">
        <v>46</v>
      </c>
      <c r="J455" t="n">
        <v>17.33</v>
      </c>
      <c r="K455" t="n">
        <v>17.85</v>
      </c>
      <c r="L455" t="n">
        <v>17.7</v>
      </c>
      <c r="M455" s="155" t="n">
        <v>0.03</v>
      </c>
      <c r="N455" t="inlineStr">
        <is>
          <t>台灣專業的染整廠之一</t>
        </is>
      </c>
    </row>
    <row r="456">
      <c r="A456" t="n">
        <v>1464</v>
      </c>
      <c r="B456" t="inlineStr">
        <is>
          <t>得力</t>
        </is>
      </c>
      <c r="C456" t="n">
        <v>10.4</v>
      </c>
      <c r="D456" t="n">
        <v>10.3</v>
      </c>
      <c r="E456" s="730" t="n">
        <v>0.05</v>
      </c>
      <c r="F456" s="731" t="n">
        <v>0.49</v>
      </c>
      <c r="G456" t="inlineStr">
        <is>
          <t>631萬</t>
        </is>
      </c>
      <c r="H456" t="n">
        <v>614</v>
      </c>
      <c r="I456" t="n">
        <v>508</v>
      </c>
      <c r="J456" t="n">
        <v>42.56</v>
      </c>
      <c r="K456" t="n">
        <v>10.4</v>
      </c>
      <c r="L456" t="n">
        <v>10.15</v>
      </c>
      <c r="M456" s="155" t="n">
        <v>0.14</v>
      </c>
      <c r="N456" t="inlineStr">
        <is>
          <t>台灣老牌織染一貫化布廠</t>
        </is>
      </c>
    </row>
    <row r="457">
      <c r="A457" t="n">
        <v>1465</v>
      </c>
      <c r="B457" t="inlineStr">
        <is>
          <t>偉全</t>
        </is>
      </c>
      <c r="C457" t="n">
        <v>12.5</v>
      </c>
      <c r="D457" t="n">
        <v>12.5</v>
      </c>
      <c r="E457" s="730" t="n">
        <v>0</v>
      </c>
      <c r="F457" s="731" t="n">
        <v>0</v>
      </c>
      <c r="G457" t="inlineStr">
        <is>
          <t>274萬</t>
        </is>
      </c>
      <c r="H457" t="n">
        <v>221</v>
      </c>
      <c r="I457" t="n">
        <v>124</v>
      </c>
      <c r="J457" t="n">
        <v>10.36</v>
      </c>
      <c r="K457" t="n">
        <v>12.75</v>
      </c>
      <c r="L457" t="n">
        <v>12.3</v>
      </c>
      <c r="M457" s="155" t="n">
        <v>0.21</v>
      </c>
      <c r="N457" t="inlineStr">
        <is>
          <t>台灣專業的長纖布廠</t>
        </is>
      </c>
    </row>
    <row r="458">
      <c r="A458" t="n">
        <v>1466</v>
      </c>
      <c r="B458" t="inlineStr">
        <is>
          <t>聚隆</t>
        </is>
      </c>
      <c r="C458" t="n">
        <v>14.2</v>
      </c>
      <c r="D458" t="n">
        <v>14.35</v>
      </c>
      <c r="E458" s="730" t="n">
        <v>0.15</v>
      </c>
      <c r="F458" s="731" t="n">
        <v>1.06</v>
      </c>
      <c r="G458" t="inlineStr">
        <is>
          <t>243萬</t>
        </is>
      </c>
      <c r="H458" t="n">
        <v>173</v>
      </c>
      <c r="I458" t="n">
        <v>328</v>
      </c>
      <c r="J458" t="n">
        <v>11.12</v>
      </c>
      <c r="K458" t="n">
        <v>14.35</v>
      </c>
      <c r="L458" t="n">
        <v>13.95</v>
      </c>
      <c r="M458" s="155" t="n">
        <v>0.16</v>
      </c>
      <c r="N458" t="inlineStr">
        <is>
          <t>台灣前二大的尼龍加工絲廠之一</t>
        </is>
      </c>
    </row>
    <row r="459">
      <c r="A459" t="n">
        <v>1467</v>
      </c>
      <c r="B459" t="inlineStr">
        <is>
          <t>南緯</t>
        </is>
      </c>
      <c r="C459" t="n">
        <v>7.42</v>
      </c>
      <c r="D459" t="n">
        <v>7.42</v>
      </c>
      <c r="E459" s="730" t="n">
        <v>0.05</v>
      </c>
      <c r="F459" s="731" t="n">
        <v>0.68</v>
      </c>
      <c r="G459" t="inlineStr">
        <is>
          <t>349萬</t>
        </is>
      </c>
      <c r="H459" t="n">
        <v>476</v>
      </c>
      <c r="I459" t="n">
        <v>421</v>
      </c>
      <c r="J459" t="n">
        <v>23.36</v>
      </c>
      <c r="K459" t="n">
        <v>7.42</v>
      </c>
      <c r="L459" t="n">
        <v>7.26</v>
      </c>
      <c r="M459" s="155" t="n">
        <v>0.28</v>
      </c>
      <c r="N459" t="inlineStr">
        <is>
          <t>為品牌大廠代工及與Wal-mart合作的成衣廠</t>
        </is>
      </c>
    </row>
    <row r="460">
      <c r="A460" t="n">
        <v>1468</v>
      </c>
      <c r="B460" t="inlineStr">
        <is>
          <t>昶和</t>
        </is>
      </c>
      <c r="C460" t="n">
        <v>12</v>
      </c>
      <c r="D460" t="n">
        <v>12.1</v>
      </c>
      <c r="E460" s="730" t="n">
        <v>0</v>
      </c>
      <c r="F460" s="731" t="n">
        <v>0</v>
      </c>
      <c r="G460" t="inlineStr">
        <is>
          <t>65.5萬</t>
        </is>
      </c>
      <c r="H460" t="n">
        <v>55</v>
      </c>
      <c r="I460" t="n">
        <v>53</v>
      </c>
      <c r="J460" t="n">
        <v>16.04</v>
      </c>
      <c r="K460" t="n">
        <v>12.1</v>
      </c>
      <c r="L460" t="n">
        <v>11.8</v>
      </c>
      <c r="M460" s="155" t="n">
        <v>0.03</v>
      </c>
      <c r="N460" t="inlineStr">
        <is>
          <t>尼龍長織布廠</t>
        </is>
      </c>
    </row>
    <row r="461">
      <c r="A461" t="n">
        <v>1470</v>
      </c>
      <c r="B461" t="inlineStr">
        <is>
          <t>大統新創</t>
        </is>
      </c>
      <c r="C461" t="n">
        <v>22.85</v>
      </c>
      <c r="D461" t="n">
        <v>22.7</v>
      </c>
      <c r="E461" s="730" t="n">
        <v>0.05</v>
      </c>
      <c r="F461" s="731" t="n">
        <v>0.22</v>
      </c>
      <c r="G461" t="inlineStr">
        <is>
          <t>20.4萬</t>
        </is>
      </c>
      <c r="H461" t="n">
        <v>9</v>
      </c>
      <c r="I461" t="n">
        <v>11</v>
      </c>
      <c r="J461" t="n">
        <v>8.58</v>
      </c>
      <c r="K461" t="n">
        <v>22.85</v>
      </c>
      <c r="L461" t="n">
        <v>22.55</v>
      </c>
      <c r="M461" s="155" t="n">
        <v>0.01</v>
      </c>
      <c r="N461" t="inlineStr">
        <is>
          <t>台灣知名的染整廠，並跨足機能布</t>
        </is>
      </c>
    </row>
    <row r="462">
      <c r="A462" t="n">
        <v>1471</v>
      </c>
      <c r="B462" t="inlineStr">
        <is>
          <t>首利</t>
        </is>
      </c>
      <c r="C462" t="n">
        <v>12.4</v>
      </c>
      <c r="D462" t="n">
        <v>12</v>
      </c>
      <c r="E462" s="730" t="n">
        <v>-0.25</v>
      </c>
      <c r="F462" s="731" t="n">
        <v>-2.04</v>
      </c>
      <c r="G462" t="inlineStr">
        <is>
          <t>3912萬</t>
        </is>
      </c>
      <c r="H462" t="n">
        <v>3303</v>
      </c>
      <c r="I462" t="n">
        <v>1524</v>
      </c>
      <c r="J462" t="n">
        <v>15.04</v>
      </c>
      <c r="K462" t="n">
        <v>12.4</v>
      </c>
      <c r="L462" t="n">
        <v>11.3</v>
      </c>
      <c r="M462" s="155" t="n">
        <v>2.27</v>
      </c>
      <c r="N462" t="inlineStr">
        <is>
          <t>台灣電源供應器及機殼廠</t>
        </is>
      </c>
    </row>
    <row r="463">
      <c r="A463" t="n">
        <v>1472</v>
      </c>
      <c r="B463" t="inlineStr">
        <is>
          <t>三洋實業</t>
        </is>
      </c>
      <c r="C463" t="n">
        <v>90</v>
      </c>
      <c r="D463" t="n">
        <v>90</v>
      </c>
      <c r="E463" s="730" t="n">
        <v>0</v>
      </c>
      <c r="F463" s="731" t="n">
        <v>0</v>
      </c>
      <c r="G463" t="inlineStr">
        <is>
          <t>99.1萬</t>
        </is>
      </c>
      <c r="H463" t="n">
        <v>11</v>
      </c>
      <c r="I463" t="n">
        <v>38</v>
      </c>
      <c r="J463" t="n">
        <v>5.25</v>
      </c>
      <c r="K463" t="n">
        <v>90.5</v>
      </c>
      <c r="L463" t="n">
        <v>90</v>
      </c>
      <c r="M463" s="155" t="n">
        <v>0.02</v>
      </c>
      <c r="N463" t="inlineStr">
        <is>
          <t>承建公共工程、商辦、住宅等營造工程</t>
        </is>
      </c>
    </row>
    <row r="464">
      <c r="A464" t="n">
        <v>1473</v>
      </c>
      <c r="B464" t="inlineStr">
        <is>
          <t>台南</t>
        </is>
      </c>
      <c r="C464" t="n">
        <v>21.4</v>
      </c>
      <c r="D464" t="n">
        <v>21.1</v>
      </c>
      <c r="E464" s="730" t="n">
        <v>-0.1</v>
      </c>
      <c r="F464" s="731" t="n">
        <v>-0.47</v>
      </c>
      <c r="G464" t="inlineStr">
        <is>
          <t>346萬</t>
        </is>
      </c>
      <c r="H464" t="n">
        <v>165</v>
      </c>
      <c r="I464" t="n">
        <v>151</v>
      </c>
      <c r="J464" t="n">
        <v>14.62</v>
      </c>
      <c r="K464" t="n">
        <v>21.4</v>
      </c>
      <c r="L464" t="n">
        <v>20.75</v>
      </c>
      <c r="M464" s="155" t="n">
        <v>0.11</v>
      </c>
      <c r="N464" t="inlineStr">
        <is>
          <t>台灣前三大成衣製造商，在大陸有Tony wear自有品牌</t>
        </is>
      </c>
    </row>
    <row r="465">
      <c r="A465" t="n">
        <v>1474</v>
      </c>
      <c r="B465" t="inlineStr">
        <is>
          <t>弘裕</t>
        </is>
      </c>
      <c r="C465" t="n">
        <v>10.25</v>
      </c>
      <c r="D465" t="n">
        <v>10.1</v>
      </c>
      <c r="E465" s="730" t="n">
        <v>-0.1</v>
      </c>
      <c r="F465" s="731" t="n">
        <v>-0.98</v>
      </c>
      <c r="G465" t="inlineStr">
        <is>
          <t>104萬</t>
        </is>
      </c>
      <c r="H465" t="n">
        <v>103</v>
      </c>
      <c r="I465" t="n">
        <v>258</v>
      </c>
      <c r="J465" t="n">
        <v>12.99</v>
      </c>
      <c r="K465" t="n">
        <v>10.4</v>
      </c>
      <c r="L465" t="n">
        <v>10.05</v>
      </c>
      <c r="M465" s="155" t="n">
        <v>0.08</v>
      </c>
      <c r="N465" t="inlineStr">
        <is>
          <t>台灣最大的工業用布廠</t>
        </is>
      </c>
    </row>
    <row r="466">
      <c r="A466" t="n">
        <v>1475</v>
      </c>
      <c r="B466" t="inlineStr">
        <is>
          <t>業旺</t>
        </is>
      </c>
      <c r="C466" t="n">
        <v>25.05</v>
      </c>
      <c r="D466" t="n">
        <v>25</v>
      </c>
      <c r="E466" s="730" t="n">
        <v>-0.1</v>
      </c>
      <c r="F466" s="731" t="n">
        <v>-0.4</v>
      </c>
      <c r="G466" t="inlineStr">
        <is>
          <t>47.4萬</t>
        </is>
      </c>
      <c r="H466" t="n">
        <v>19</v>
      </c>
      <c r="I466" t="n">
        <v>67</v>
      </c>
      <c r="J466" t="n">
        <v>6.6</v>
      </c>
      <c r="K466" t="n">
        <v>25.05</v>
      </c>
      <c r="L466" t="n">
        <v>24.85</v>
      </c>
      <c r="M466" s="155" t="n">
        <v>0.03</v>
      </c>
      <c r="N466" t="inlineStr">
        <is>
          <t>台灣紡織助染劑廠</t>
        </is>
      </c>
    </row>
    <row r="467">
      <c r="A467" t="n">
        <v>1476</v>
      </c>
      <c r="B467" t="inlineStr">
        <is>
          <t>儒鴻</t>
        </is>
      </c>
      <c r="C467" t="n">
        <v>352.5</v>
      </c>
      <c r="D467" t="n">
        <v>351.5</v>
      </c>
      <c r="E467" s="730" t="n">
        <v>-1.5</v>
      </c>
      <c r="F467" s="731" t="n">
        <v>-0.42</v>
      </c>
      <c r="G467" t="inlineStr">
        <is>
          <t>7.41億</t>
        </is>
      </c>
      <c r="H467" t="n">
        <v>2108</v>
      </c>
      <c r="I467" t="n">
        <v>2265</v>
      </c>
      <c r="J467" t="n">
        <v>27.44</v>
      </c>
      <c r="K467" t="n">
        <v>356.5</v>
      </c>
      <c r="L467" t="n">
        <v>347.5</v>
      </c>
      <c r="M467" s="155" t="n">
        <v>0.77</v>
      </c>
      <c r="N467" t="inlineStr">
        <is>
          <t>台灣最大針織布及前二大成衣代工廠</t>
        </is>
      </c>
    </row>
    <row r="468">
      <c r="A468" t="n">
        <v>1477</v>
      </c>
      <c r="B468" t="inlineStr">
        <is>
          <t>聚陽</t>
        </is>
      </c>
      <c r="C468" t="n">
        <v>222.5</v>
      </c>
      <c r="D468" t="n">
        <v>226</v>
      </c>
      <c r="E468" s="730" t="n">
        <v>3.5</v>
      </c>
      <c r="F468" s="731" t="n">
        <v>1.57</v>
      </c>
      <c r="G468" t="inlineStr">
        <is>
          <t>5.35億</t>
        </is>
      </c>
      <c r="H468" t="n">
        <v>2405</v>
      </c>
      <c r="I468" t="n">
        <v>2820</v>
      </c>
      <c r="J468" t="n">
        <v>24.67</v>
      </c>
      <c r="K468" t="n">
        <v>226</v>
      </c>
      <c r="L468" t="n">
        <v>220.5</v>
      </c>
      <c r="M468" s="155" t="n">
        <v>0.97</v>
      </c>
      <c r="N468" t="inlineStr">
        <is>
          <t>全球前五大、台灣第一大成衣代工廠</t>
        </is>
      </c>
    </row>
    <row r="469">
      <c r="A469" t="n">
        <v>1503</v>
      </c>
      <c r="B469" t="inlineStr">
        <is>
          <t>士電</t>
        </is>
      </c>
      <c r="C469" t="n">
        <v>220.5</v>
      </c>
      <c r="D469" t="n">
        <v>222</v>
      </c>
      <c r="E469" s="730" t="n">
        <v>1.5</v>
      </c>
      <c r="F469" s="731" t="n">
        <v>0.68</v>
      </c>
      <c r="G469" t="inlineStr">
        <is>
          <t>13.7億</t>
        </is>
      </c>
      <c r="H469" t="n">
        <v>6263</v>
      </c>
      <c r="I469" t="n">
        <v>12870</v>
      </c>
      <c r="J469" t="n">
        <v>52.1</v>
      </c>
      <c r="K469" t="n">
        <v>222.5</v>
      </c>
      <c r="L469" t="n">
        <v>214</v>
      </c>
      <c r="M469" s="155" t="n">
        <v>1.2</v>
      </c>
      <c r="N469" t="inlineStr">
        <is>
          <t>屬仰德集團，本業以電機相關產品為主，為士林三寶之一</t>
        </is>
      </c>
    </row>
    <row r="470">
      <c r="A470" t="n">
        <v>1504</v>
      </c>
      <c r="B470" t="inlineStr">
        <is>
          <t>東元</t>
        </is>
      </c>
      <c r="C470" t="n">
        <v>76.59999999999999</v>
      </c>
      <c r="D470" t="n">
        <v>75.5</v>
      </c>
      <c r="E470" s="730" t="n">
        <v>-3.2</v>
      </c>
      <c r="F470" s="731" t="n">
        <v>-4.07</v>
      </c>
      <c r="G470" t="inlineStr">
        <is>
          <t>32.5億</t>
        </is>
      </c>
      <c r="H470" t="n">
        <v>42972</v>
      </c>
      <c r="I470" t="n">
        <v>60240</v>
      </c>
      <c r="J470" t="n">
        <v>237.64</v>
      </c>
      <c r="K470" t="n">
        <v>77.90000000000001</v>
      </c>
      <c r="L470" t="n">
        <v>74.40000000000001</v>
      </c>
      <c r="M470" s="155" t="n">
        <v>1.81</v>
      </c>
      <c r="N470" t="inlineStr">
        <is>
          <t>多角化經營的台灣老牌家電廠</t>
        </is>
      </c>
    </row>
    <row r="471">
      <c r="A471" t="n">
        <v>1506</v>
      </c>
      <c r="B471" t="inlineStr">
        <is>
          <t>正道</t>
        </is>
      </c>
      <c r="C471" t="n">
        <v>10.1</v>
      </c>
      <c r="D471" t="n">
        <v>10.1</v>
      </c>
      <c r="E471" s="730" t="n">
        <v>0</v>
      </c>
      <c r="F471" s="731" t="n">
        <v>0</v>
      </c>
      <c r="G471" t="inlineStr">
        <is>
          <t>763萬</t>
        </is>
      </c>
      <c r="H471" t="n">
        <v>762</v>
      </c>
      <c r="I471" t="n">
        <v>499</v>
      </c>
      <c r="J471" t="n">
        <v>30.04</v>
      </c>
      <c r="K471" t="n">
        <v>10.15</v>
      </c>
      <c r="L471" t="n">
        <v>9.9</v>
      </c>
      <c r="M471" s="155" t="n">
        <v>0.46</v>
      </c>
      <c r="N471" t="inlineStr">
        <is>
          <t>台灣知名活塞與汽車鍛件製造商</t>
        </is>
      </c>
    </row>
    <row r="472">
      <c r="A472" t="n">
        <v>1512</v>
      </c>
      <c r="B472" t="inlineStr">
        <is>
          <t>瑞利</t>
        </is>
      </c>
      <c r="C472" t="n">
        <v>6.77</v>
      </c>
      <c r="D472" t="n">
        <v>6.96</v>
      </c>
      <c r="E472" s="730" t="n">
        <v>0.16</v>
      </c>
      <c r="F472" s="731" t="n">
        <v>2.35</v>
      </c>
      <c r="G472" t="inlineStr">
        <is>
          <t>98.3萬</t>
        </is>
      </c>
      <c r="H472" t="n">
        <v>145</v>
      </c>
      <c r="I472" t="n">
        <v>166</v>
      </c>
      <c r="J472" t="n">
        <v>9.82</v>
      </c>
      <c r="K472" t="n">
        <v>6.96</v>
      </c>
      <c r="L472" t="n">
        <v>6.7</v>
      </c>
      <c r="M472" s="155" t="n">
        <v>0.15</v>
      </c>
      <c r="N472" t="inlineStr">
        <is>
          <t>主要經營體育用品零售店及汽車鈑金業務</t>
        </is>
      </c>
    </row>
    <row r="473">
      <c r="A473" t="n">
        <v>1513</v>
      </c>
      <c r="B473" t="inlineStr">
        <is>
          <t>中興電</t>
        </is>
      </c>
      <c r="C473" t="n">
        <v>169.5</v>
      </c>
      <c r="D473" t="n">
        <v>168</v>
      </c>
      <c r="E473" s="730" t="n">
        <v>-0.5</v>
      </c>
      <c r="F473" s="731" t="n">
        <v>-0.3</v>
      </c>
      <c r="G473" t="inlineStr">
        <is>
          <t>14.2億</t>
        </is>
      </c>
      <c r="H473" t="n">
        <v>8538</v>
      </c>
      <c r="I473" t="n">
        <v>23667</v>
      </c>
      <c r="J473" t="n">
        <v>50.31</v>
      </c>
      <c r="K473" t="n">
        <v>170</v>
      </c>
      <c r="L473" t="n">
        <v>165</v>
      </c>
      <c r="M473" s="155" t="n">
        <v>1.7</v>
      </c>
      <c r="N473" t="inlineStr">
        <is>
          <t>台灣知名重電及機電工程廠商</t>
        </is>
      </c>
    </row>
    <row r="474">
      <c r="A474" t="n">
        <v>1514</v>
      </c>
      <c r="B474" t="inlineStr">
        <is>
          <t>亞力</t>
        </is>
      </c>
      <c r="C474" t="n">
        <v>126</v>
      </c>
      <c r="D474" t="n">
        <v>124</v>
      </c>
      <c r="E474" s="730" t="n">
        <v>-2.5</v>
      </c>
      <c r="F474" s="731" t="n">
        <v>-1.98</v>
      </c>
      <c r="G474" t="inlineStr">
        <is>
          <t>5.59億</t>
        </is>
      </c>
      <c r="H474" t="n">
        <v>4533</v>
      </c>
      <c r="I474" t="n">
        <v>12054</v>
      </c>
      <c r="J474" t="n">
        <v>27.31</v>
      </c>
      <c r="K474" t="n">
        <v>126</v>
      </c>
      <c r="L474" t="n">
        <v>121</v>
      </c>
      <c r="M474" s="155" t="n">
        <v>1.66</v>
      </c>
      <c r="N474" t="inlineStr">
        <is>
          <t>生產配電盤、電力變壓器為主的電機公司</t>
        </is>
      </c>
    </row>
    <row r="475">
      <c r="A475" t="n">
        <v>1515</v>
      </c>
      <c r="B475" t="inlineStr">
        <is>
          <t>力山</t>
        </is>
      </c>
      <c r="C475" t="n">
        <v>22.25</v>
      </c>
      <c r="D475" t="n">
        <v>22</v>
      </c>
      <c r="E475" s="730" t="n">
        <v>-0.1</v>
      </c>
      <c r="F475" s="731" t="n">
        <v>-0.45</v>
      </c>
      <c r="G475" t="inlineStr">
        <is>
          <t>1342萬</t>
        </is>
      </c>
      <c r="H475" t="n">
        <v>619</v>
      </c>
      <c r="I475" t="n">
        <v>1153</v>
      </c>
      <c r="J475" t="n">
        <v>18.15</v>
      </c>
      <c r="K475" t="n">
        <v>22.25</v>
      </c>
      <c r="L475" t="n">
        <v>21.7</v>
      </c>
      <c r="M475" s="155" t="n">
        <v>0.34</v>
      </c>
      <c r="N475" t="inlineStr">
        <is>
          <t>台灣知名健身器材代工廠</t>
        </is>
      </c>
    </row>
    <row r="476">
      <c r="A476" t="n">
        <v>1516</v>
      </c>
      <c r="B476" t="inlineStr">
        <is>
          <t>川飛</t>
        </is>
      </c>
      <c r="C476" t="n">
        <v>21</v>
      </c>
      <c r="D476" t="n">
        <v>21</v>
      </c>
      <c r="E476" s="730" t="n">
        <v>0</v>
      </c>
      <c r="F476" s="731" t="n">
        <v>0</v>
      </c>
      <c r="G476" t="inlineStr">
        <is>
          <t>109萬</t>
        </is>
      </c>
      <c r="H476" t="n">
        <v>52</v>
      </c>
      <c r="I476" t="n">
        <v>111</v>
      </c>
      <c r="J476" t="n">
        <v>4</v>
      </c>
      <c r="K476" t="n">
        <v>21</v>
      </c>
      <c r="L476" t="n">
        <v>20.7</v>
      </c>
      <c r="M476" s="155" t="n">
        <v>0.13</v>
      </c>
      <c r="N476" t="inlineStr">
        <is>
          <t>從事電子零組件買賣，並跨足電動車電池導電柄</t>
        </is>
      </c>
    </row>
    <row r="477">
      <c r="A477" t="n">
        <v>1517</v>
      </c>
      <c r="B477" t="inlineStr">
        <is>
          <t>利奇</t>
        </is>
      </c>
      <c r="C477" t="n">
        <v>10.1</v>
      </c>
      <c r="D477" t="n">
        <v>10.2</v>
      </c>
      <c r="E477" s="730" t="n">
        <v>0</v>
      </c>
      <c r="F477" s="731" t="n">
        <v>0</v>
      </c>
      <c r="G477" t="inlineStr">
        <is>
          <t>198萬</t>
        </is>
      </c>
      <c r="H477" t="n">
        <v>196</v>
      </c>
      <c r="I477" t="n">
        <v>352</v>
      </c>
      <c r="J477" t="n">
        <v>22</v>
      </c>
      <c r="K477" t="n">
        <v>10.2</v>
      </c>
      <c r="L477" t="n">
        <v>10.05</v>
      </c>
      <c r="M477" s="155" t="n">
        <v>0.09</v>
      </c>
      <c r="N477" t="inlineStr">
        <is>
          <t>台灣老牌自行車零件廠</t>
        </is>
      </c>
    </row>
    <row r="478">
      <c r="A478" t="n">
        <v>1519</v>
      </c>
      <c r="B478" t="inlineStr">
        <is>
          <t>華城</t>
        </is>
      </c>
      <c r="C478" t="n">
        <v>874</v>
      </c>
      <c r="D478" t="n">
        <v>850</v>
      </c>
      <c r="E478" s="730" t="n">
        <v>-20</v>
      </c>
      <c r="F478" s="731" t="n">
        <v>-2.3</v>
      </c>
      <c r="G478" t="inlineStr">
        <is>
          <t>18.3億</t>
        </is>
      </c>
      <c r="H478" t="n">
        <v>2146</v>
      </c>
      <c r="I478" t="n">
        <v>4743</v>
      </c>
      <c r="J478" t="n">
        <v>31.59</v>
      </c>
      <c r="K478" t="n">
        <v>875</v>
      </c>
      <c r="L478" t="n">
        <v>839</v>
      </c>
      <c r="M478" s="155" t="n">
        <v>0.68</v>
      </c>
      <c r="N478" t="inlineStr">
        <is>
          <t>生產電力變壓器為主之重電廠</t>
        </is>
      </c>
    </row>
    <row r="479">
      <c r="A479" t="n">
        <v>1521</v>
      </c>
      <c r="B479" t="inlineStr">
        <is>
          <t>大億</t>
        </is>
      </c>
      <c r="C479" t="n">
        <v>29</v>
      </c>
      <c r="D479" t="n">
        <v>27.8</v>
      </c>
      <c r="E479" s="730" t="n">
        <v>-0.55</v>
      </c>
      <c r="F479" s="731" t="n">
        <v>-1.94</v>
      </c>
      <c r="G479" t="inlineStr">
        <is>
          <t>510萬</t>
        </is>
      </c>
      <c r="H479" t="n">
        <v>181</v>
      </c>
      <c r="I479" t="n">
        <v>259</v>
      </c>
      <c r="J479" t="n">
        <v>7.62</v>
      </c>
      <c r="K479" t="n">
        <v>29</v>
      </c>
      <c r="L479" t="n">
        <v>27.6</v>
      </c>
      <c r="M479" s="155" t="n">
        <v>0.24</v>
      </c>
      <c r="N479" t="inlineStr">
        <is>
          <t>台灣最大OEM車燈製造商</t>
        </is>
      </c>
    </row>
    <row r="480">
      <c r="A480" t="n">
        <v>1522</v>
      </c>
      <c r="B480" t="inlineStr">
        <is>
          <t>堤維西</t>
        </is>
      </c>
      <c r="C480" t="n">
        <v>32.85</v>
      </c>
      <c r="D480" t="n">
        <v>33.1</v>
      </c>
      <c r="E480" s="730" t="n">
        <v>0.25</v>
      </c>
      <c r="F480" s="731" t="n">
        <v>0.76</v>
      </c>
      <c r="G480" t="inlineStr">
        <is>
          <t>8976萬</t>
        </is>
      </c>
      <c r="H480" t="n">
        <v>2767</v>
      </c>
      <c r="I480" t="n">
        <v>4867</v>
      </c>
      <c r="J480" t="n">
        <v>31.29</v>
      </c>
      <c r="K480" t="n">
        <v>33.15</v>
      </c>
      <c r="L480" t="n">
        <v>32</v>
      </c>
      <c r="M480" s="155" t="n">
        <v>0.88</v>
      </c>
      <c r="N480" t="inlineStr">
        <is>
          <t>台灣前二大AM車燈製造商之一</t>
        </is>
      </c>
    </row>
    <row r="481">
      <c r="A481" t="n">
        <v>1524</v>
      </c>
      <c r="B481" t="inlineStr">
        <is>
          <t>耿鼎</t>
        </is>
      </c>
      <c r="C481" t="n">
        <v>32.5</v>
      </c>
      <c r="D481" t="n">
        <v>33.45</v>
      </c>
      <c r="E481" s="730" t="n">
        <v>0.75</v>
      </c>
      <c r="F481" s="731" t="n">
        <v>2.29</v>
      </c>
      <c r="G481" t="inlineStr">
        <is>
          <t>1.77億</t>
        </is>
      </c>
      <c r="H481" t="n">
        <v>5371</v>
      </c>
      <c r="I481" t="n">
        <v>6600</v>
      </c>
      <c r="J481" t="n">
        <v>16.53</v>
      </c>
      <c r="K481" t="n">
        <v>33.9</v>
      </c>
      <c r="L481" t="n">
        <v>31.85</v>
      </c>
      <c r="M481" s="155" t="n">
        <v>3.25</v>
      </c>
      <c r="N481" t="inlineStr">
        <is>
          <t>為汽車AM鈑金件製造商</t>
        </is>
      </c>
    </row>
    <row r="482">
      <c r="A482" t="n">
        <v>1525</v>
      </c>
      <c r="B482" t="inlineStr">
        <is>
          <t>江申</t>
        </is>
      </c>
      <c r="C482" t="n">
        <v>71</v>
      </c>
      <c r="D482" t="n">
        <v>70.5</v>
      </c>
      <c r="E482" s="730" t="n">
        <v>0.3</v>
      </c>
      <c r="F482" s="731" t="n">
        <v>0.43</v>
      </c>
      <c r="G482" t="inlineStr">
        <is>
          <t>302萬</t>
        </is>
      </c>
      <c r="H482" t="n">
        <v>43</v>
      </c>
      <c r="I482" t="n">
        <v>96</v>
      </c>
      <c r="J482" t="n">
        <v>7.34</v>
      </c>
      <c r="K482" t="n">
        <v>71.7</v>
      </c>
      <c r="L482" t="n">
        <v>68.59999999999999</v>
      </c>
      <c r="M482" s="155" t="n">
        <v>0.06</v>
      </c>
      <c r="N482" t="inlineStr">
        <is>
          <t>台灣最大商用車車架及木床製造商</t>
        </is>
      </c>
    </row>
    <row r="483">
      <c r="A483" t="n">
        <v>1526</v>
      </c>
      <c r="B483" t="inlineStr">
        <is>
          <t>日馳</t>
        </is>
      </c>
      <c r="C483" t="n">
        <v>14.8</v>
      </c>
      <c r="D483" t="n">
        <v>15.1</v>
      </c>
      <c r="E483" s="730" t="n">
        <v>0.45</v>
      </c>
      <c r="F483" s="731" t="n">
        <v>3.07</v>
      </c>
      <c r="G483" t="inlineStr">
        <is>
          <t>660萬</t>
        </is>
      </c>
      <c r="H483" t="n">
        <v>440</v>
      </c>
      <c r="I483" t="n">
        <v>125</v>
      </c>
      <c r="J483" t="n">
        <v>6</v>
      </c>
      <c r="K483" t="n">
        <v>15.6</v>
      </c>
      <c r="L483" t="n">
        <v>14.8</v>
      </c>
      <c r="M483" s="155" t="n">
        <v>0.73</v>
      </c>
      <c r="N483" t="inlineStr">
        <is>
          <t>全球知名的自行車內、外變速器製造商</t>
        </is>
      </c>
    </row>
    <row r="484">
      <c r="A484" t="n">
        <v>1527</v>
      </c>
      <c r="B484" t="inlineStr">
        <is>
          <t>鑽全</t>
        </is>
      </c>
      <c r="C484" t="n">
        <v>33.5</v>
      </c>
      <c r="D484" t="n">
        <v>33.45</v>
      </c>
      <c r="E484" s="730" t="n">
        <v>-0.05</v>
      </c>
      <c r="F484" s="731" t="n">
        <v>-0.15</v>
      </c>
      <c r="G484" t="inlineStr">
        <is>
          <t>904萬</t>
        </is>
      </c>
      <c r="H484" t="n">
        <v>271</v>
      </c>
      <c r="I484" t="n">
        <v>448</v>
      </c>
      <c r="J484" t="n">
        <v>13.86</v>
      </c>
      <c r="K484" t="n">
        <v>33.7</v>
      </c>
      <c r="L484" t="n">
        <v>33.1</v>
      </c>
      <c r="M484" s="155" t="n">
        <v>0.2</v>
      </c>
      <c r="N484" t="inlineStr">
        <is>
          <t>台灣最大的釘槍代工大廠</t>
        </is>
      </c>
    </row>
    <row r="485">
      <c r="A485" t="n">
        <v>1528</v>
      </c>
      <c r="B485" t="inlineStr">
        <is>
          <t>恩德</t>
        </is>
      </c>
      <c r="C485" t="n">
        <v>29.9</v>
      </c>
      <c r="D485" t="n">
        <v>30.05</v>
      </c>
      <c r="E485" s="730" t="n">
        <v>2.7</v>
      </c>
      <c r="F485" s="731" t="n">
        <v>9.869999999999999</v>
      </c>
      <c r="G485" t="inlineStr">
        <is>
          <t>4.23億</t>
        </is>
      </c>
      <c r="H485" t="n">
        <v>14104</v>
      </c>
      <c r="I485" t="n">
        <v>6060</v>
      </c>
      <c r="J485" t="n">
        <v>19.13</v>
      </c>
      <c r="K485" t="n">
        <v>30.05</v>
      </c>
      <c r="L485" t="n">
        <v>29.7</v>
      </c>
      <c r="M485" s="155" t="n">
        <v>7.37</v>
      </c>
      <c r="N485" t="inlineStr">
        <is>
          <t>台灣生產PCB鑽孔機、成型機與木工機械廠商</t>
        </is>
      </c>
    </row>
    <row r="486">
      <c r="A486" t="n">
        <v>1529</v>
      </c>
      <c r="B486" t="inlineStr">
        <is>
          <t>樂事綠能</t>
        </is>
      </c>
      <c r="C486" t="n">
        <v>22.75</v>
      </c>
      <c r="D486" t="n">
        <v>22.45</v>
      </c>
      <c r="E486" s="730" t="n">
        <v>-0.15</v>
      </c>
      <c r="F486" s="731" t="n">
        <v>-0.66</v>
      </c>
      <c r="G486" t="inlineStr">
        <is>
          <t>1664萬</t>
        </is>
      </c>
      <c r="H486" t="n">
        <v>743</v>
      </c>
      <c r="I486" t="n">
        <v>1414</v>
      </c>
      <c r="J486" t="n">
        <v>15.51</v>
      </c>
      <c r="K486" t="n">
        <v>22.75</v>
      </c>
      <c r="L486" t="n">
        <v>22.05</v>
      </c>
      <c r="M486" s="155" t="n">
        <v>0.48</v>
      </c>
      <c r="N486" t="inlineStr">
        <is>
          <t>以重電事業及太陽能光電業務為主</t>
        </is>
      </c>
    </row>
    <row r="487">
      <c r="A487" t="n">
        <v>1530</v>
      </c>
      <c r="B487" t="inlineStr">
        <is>
          <t>亞崴</t>
        </is>
      </c>
      <c r="C487" t="n">
        <v>34.6</v>
      </c>
      <c r="D487" t="n">
        <v>32.5</v>
      </c>
      <c r="E487" s="730" t="n">
        <v>-1.6</v>
      </c>
      <c r="F487" s="731" t="n">
        <v>-4.69</v>
      </c>
      <c r="G487" t="inlineStr">
        <is>
          <t>1907萬</t>
        </is>
      </c>
      <c r="H487" t="n">
        <v>572</v>
      </c>
      <c r="I487" t="n">
        <v>1360</v>
      </c>
      <c r="J487" t="n">
        <v>9.460000000000001</v>
      </c>
      <c r="K487" t="n">
        <v>35.45</v>
      </c>
      <c r="L487" t="n">
        <v>32</v>
      </c>
      <c r="M487" s="155" t="n">
        <v>0.6</v>
      </c>
      <c r="N487" t="inlineStr">
        <is>
          <t>台灣知名CNC加工機及龍門機製造商</t>
        </is>
      </c>
    </row>
    <row r="488">
      <c r="A488" t="n">
        <v>1531</v>
      </c>
      <c r="B488" t="inlineStr">
        <is>
          <t>高林股</t>
        </is>
      </c>
      <c r="C488" t="n">
        <v>12.4</v>
      </c>
      <c r="D488" t="n">
        <v>12.4</v>
      </c>
      <c r="E488" s="730" t="n">
        <v>0</v>
      </c>
      <c r="F488" s="731" t="n">
        <v>0</v>
      </c>
      <c r="G488" t="inlineStr">
        <is>
          <t>333萬</t>
        </is>
      </c>
      <c r="H488" t="n">
        <v>271</v>
      </c>
      <c r="I488" t="n">
        <v>244</v>
      </c>
      <c r="J488" t="n">
        <v>18.21</v>
      </c>
      <c r="K488" t="n">
        <v>12.45</v>
      </c>
      <c r="L488" t="n">
        <v>12.2</v>
      </c>
      <c r="M488" s="155" t="n">
        <v>0.15</v>
      </c>
      <c r="N488" t="inlineStr">
        <is>
          <t>全球前三大工業用縫紉機商 自有品牌SiRUBA</t>
        </is>
      </c>
    </row>
    <row r="489">
      <c r="A489" t="n">
        <v>1532</v>
      </c>
      <c r="B489" t="inlineStr">
        <is>
          <t>勤美</t>
        </is>
      </c>
      <c r="C489" t="n">
        <v>21.8</v>
      </c>
      <c r="D489" t="n">
        <v>21.6</v>
      </c>
      <c r="E489" s="730" t="n">
        <v>-0.1</v>
      </c>
      <c r="F489" s="731" t="n">
        <v>-0.46</v>
      </c>
      <c r="G489" t="inlineStr">
        <is>
          <t>2038萬</t>
        </is>
      </c>
      <c r="H489" t="n">
        <v>945</v>
      </c>
      <c r="I489" t="n">
        <v>950</v>
      </c>
      <c r="J489" t="n">
        <v>42.26</v>
      </c>
      <c r="K489" t="n">
        <v>21.8</v>
      </c>
      <c r="L489" t="n">
        <v>21.4</v>
      </c>
      <c r="M489" s="155" t="n">
        <v>0.22</v>
      </c>
      <c r="N489" t="inlineStr">
        <is>
          <t>事業涵蓋金屬成型、建設住宅、飯店、商場等領域</t>
        </is>
      </c>
    </row>
    <row r="490">
      <c r="A490" t="n">
        <v>1533</v>
      </c>
      <c r="B490" t="inlineStr">
        <is>
          <t>車王電</t>
        </is>
      </c>
      <c r="C490" t="n">
        <v>39.5</v>
      </c>
      <c r="D490" t="n">
        <v>38.3</v>
      </c>
      <c r="E490" s="730" t="n">
        <v>-1.55</v>
      </c>
      <c r="F490" s="731" t="n">
        <v>-3.89</v>
      </c>
      <c r="G490" t="inlineStr">
        <is>
          <t>2194萬</t>
        </is>
      </c>
      <c r="H490" t="n">
        <v>574</v>
      </c>
      <c r="I490" t="n">
        <v>845</v>
      </c>
      <c r="J490" t="n">
        <v>9.85</v>
      </c>
      <c r="K490" t="n">
        <v>39.55</v>
      </c>
      <c r="L490" t="n">
        <v>37.7</v>
      </c>
      <c r="M490" s="155" t="n">
        <v>0.58</v>
      </c>
      <c r="N490" t="inlineStr">
        <is>
          <t>主攻AM車用電子零組件之大廠</t>
        </is>
      </c>
    </row>
    <row r="491">
      <c r="A491" t="n">
        <v>1535</v>
      </c>
      <c r="B491" t="inlineStr">
        <is>
          <t>中宇</t>
        </is>
      </c>
      <c r="C491" t="n">
        <v>50</v>
      </c>
      <c r="D491" t="n">
        <v>50</v>
      </c>
      <c r="E491" s="730" t="n">
        <v>0</v>
      </c>
      <c r="F491" s="731" t="n">
        <v>0</v>
      </c>
      <c r="G491" t="inlineStr">
        <is>
          <t>320萬</t>
        </is>
      </c>
      <c r="H491" t="n">
        <v>64</v>
      </c>
      <c r="I491" t="n">
        <v>107</v>
      </c>
      <c r="J491" t="n">
        <v>12.37</v>
      </c>
      <c r="K491" t="n">
        <v>50.3</v>
      </c>
      <c r="L491" t="n">
        <v>49.8</v>
      </c>
      <c r="M491" s="155" t="n">
        <v>0.05</v>
      </c>
      <c r="N491" t="inlineStr">
        <is>
          <t>中鋼集團旗下，環保工程廠商</t>
        </is>
      </c>
    </row>
    <row r="492">
      <c r="A492" t="n">
        <v>1536</v>
      </c>
      <c r="B492" t="inlineStr">
        <is>
          <t>和大</t>
        </is>
      </c>
      <c r="C492" t="n">
        <v>54.4</v>
      </c>
      <c r="D492" t="n">
        <v>52.5</v>
      </c>
      <c r="E492" s="730" t="n">
        <v>-1.4</v>
      </c>
      <c r="F492" s="731" t="n">
        <v>-2.6</v>
      </c>
      <c r="G492" t="inlineStr">
        <is>
          <t>1.91億</t>
        </is>
      </c>
      <c r="H492" t="n">
        <v>3648</v>
      </c>
      <c r="I492" t="n">
        <v>6090</v>
      </c>
      <c r="J492" t="n">
        <v>27.9</v>
      </c>
      <c r="K492" t="n">
        <v>54.4</v>
      </c>
      <c r="L492" t="n">
        <v>51.3</v>
      </c>
      <c r="M492" s="155" t="n">
        <v>1.31</v>
      </c>
      <c r="N492" t="inlineStr">
        <is>
          <t>台灣最大、全球前十大車廠之傳動零組件供應商</t>
        </is>
      </c>
    </row>
    <row r="493">
      <c r="A493" t="n">
        <v>1537</v>
      </c>
      <c r="B493" t="inlineStr">
        <is>
          <t>廣隆</t>
        </is>
      </c>
      <c r="C493" t="n">
        <v>125</v>
      </c>
      <c r="D493" t="n">
        <v>126</v>
      </c>
      <c r="E493" s="730" t="n">
        <v>0</v>
      </c>
      <c r="F493" s="731" t="n">
        <v>0</v>
      </c>
      <c r="G493" t="inlineStr">
        <is>
          <t>1270萬</t>
        </is>
      </c>
      <c r="H493" t="n">
        <v>101</v>
      </c>
      <c r="I493" t="n">
        <v>108</v>
      </c>
      <c r="J493" t="n">
        <v>8.210000000000001</v>
      </c>
      <c r="K493" t="n">
        <v>126</v>
      </c>
      <c r="L493" t="n">
        <v>125</v>
      </c>
      <c r="M493" s="155" t="n">
        <v>0.12</v>
      </c>
      <c r="N493" t="inlineStr">
        <is>
          <t>鉛酸蓄電池專業製造商</t>
        </is>
      </c>
    </row>
    <row r="494">
      <c r="A494" t="n">
        <v>1538</v>
      </c>
      <c r="B494" t="inlineStr">
        <is>
          <t>正峰</t>
        </is>
      </c>
      <c r="C494" t="n">
        <v>11.35</v>
      </c>
      <c r="D494" t="n">
        <v>11.7</v>
      </c>
      <c r="E494" s="730" t="n">
        <v>0</v>
      </c>
      <c r="F494" s="731" t="n">
        <v>0</v>
      </c>
      <c r="G494" t="inlineStr">
        <is>
          <t>14.5萬</t>
        </is>
      </c>
      <c r="H494" t="n">
        <v>13</v>
      </c>
      <c r="I494" t="n">
        <v>7</v>
      </c>
      <c r="J494" t="n">
        <v>3.23</v>
      </c>
      <c r="K494" t="n">
        <v>11.7</v>
      </c>
      <c r="L494" t="n">
        <v>11</v>
      </c>
      <c r="M494" s="155" t="n">
        <v>0.04</v>
      </c>
      <c r="N494" t="inlineStr">
        <is>
          <t>以生產電動工具機、汽車燈具為主的廠商</t>
        </is>
      </c>
    </row>
    <row r="495">
      <c r="A495" t="n">
        <v>1539</v>
      </c>
      <c r="B495" t="inlineStr">
        <is>
          <t>巨庭</t>
        </is>
      </c>
      <c r="C495" t="n">
        <v>16.2</v>
      </c>
      <c r="D495" t="n">
        <v>16.2</v>
      </c>
      <c r="E495" s="730" t="n">
        <v>0</v>
      </c>
      <c r="F495" s="731" t="n">
        <v>0</v>
      </c>
      <c r="G495" t="inlineStr">
        <is>
          <t>192萬</t>
        </is>
      </c>
      <c r="H495" t="n">
        <v>119</v>
      </c>
      <c r="I495" t="n">
        <v>184</v>
      </c>
      <c r="J495" t="n">
        <v>6.54</v>
      </c>
      <c r="K495" t="n">
        <v>16.25</v>
      </c>
      <c r="L495" t="n">
        <v>16.05</v>
      </c>
      <c r="M495" s="155" t="n">
        <v>0.18</v>
      </c>
      <c r="N495" t="inlineStr">
        <is>
          <t>DIY鉋木機領導廠商</t>
        </is>
      </c>
    </row>
    <row r="496">
      <c r="A496" t="n">
        <v>1540</v>
      </c>
      <c r="B496" t="inlineStr">
        <is>
          <t>喬福</t>
        </is>
      </c>
      <c r="C496" t="n">
        <v>22.55</v>
      </c>
      <c r="D496" t="n">
        <v>22.75</v>
      </c>
      <c r="E496" s="730" t="n">
        <v>0.55</v>
      </c>
      <c r="F496" s="731" t="n">
        <v>2.48</v>
      </c>
      <c r="G496" t="inlineStr">
        <is>
          <t>2254萬</t>
        </is>
      </c>
      <c r="H496" t="n">
        <v>997</v>
      </c>
      <c r="I496" t="n">
        <v>515</v>
      </c>
      <c r="J496" t="n">
        <v>8.550000000000001</v>
      </c>
      <c r="K496" t="n">
        <v>23.15</v>
      </c>
      <c r="L496" t="n">
        <v>22</v>
      </c>
      <c r="M496" s="155" t="n">
        <v>1.17</v>
      </c>
      <c r="N496" t="inlineStr">
        <is>
          <t>台灣中大型工具機製造大廠，以客製化為主</t>
        </is>
      </c>
    </row>
    <row r="497">
      <c r="A497" t="n">
        <v>1541</v>
      </c>
      <c r="B497" t="inlineStr">
        <is>
          <t>錩泰</t>
        </is>
      </c>
      <c r="C497" t="n">
        <v>21.55</v>
      </c>
      <c r="D497" t="n">
        <v>22.15</v>
      </c>
      <c r="E497" s="730" t="n">
        <v>0.2</v>
      </c>
      <c r="F497" s="731" t="n">
        <v>0.91</v>
      </c>
      <c r="G497" t="inlineStr">
        <is>
          <t>183萬</t>
        </is>
      </c>
      <c r="H497" t="n">
        <v>84</v>
      </c>
      <c r="I497" t="n">
        <v>62</v>
      </c>
      <c r="J497" t="n">
        <v>7.88</v>
      </c>
      <c r="K497" t="n">
        <v>22.85</v>
      </c>
      <c r="L497" t="n">
        <v>21.35</v>
      </c>
      <c r="M497" s="155" t="n">
        <v>0.11</v>
      </c>
      <c r="N497" t="inlineStr">
        <is>
          <t>圓鋸機、線鋸機等桌上型木工機的代工廠商</t>
        </is>
      </c>
    </row>
    <row r="498">
      <c r="A498" t="n">
        <v>1558</v>
      </c>
      <c r="B498" t="inlineStr">
        <is>
          <t>伸興</t>
        </is>
      </c>
      <c r="C498" t="n">
        <v>91.5</v>
      </c>
      <c r="D498" t="n">
        <v>91.09999999999999</v>
      </c>
      <c r="E498" s="730" t="n">
        <v>-0.5</v>
      </c>
      <c r="F498" s="731" t="n">
        <v>-0.55</v>
      </c>
      <c r="G498" t="inlineStr">
        <is>
          <t>264萬</t>
        </is>
      </c>
      <c r="H498" t="n">
        <v>29</v>
      </c>
      <c r="I498" t="n">
        <v>90</v>
      </c>
      <c r="J498" t="n">
        <v>6.45</v>
      </c>
      <c r="K498" t="n">
        <v>91.5</v>
      </c>
      <c r="L498" t="n">
        <v>91</v>
      </c>
      <c r="M498" s="155" t="n">
        <v>0.04</v>
      </c>
      <c r="N498" t="inlineStr">
        <is>
          <t>全球最大家用縫紉機ODM廠</t>
        </is>
      </c>
    </row>
    <row r="499">
      <c r="A499" t="n">
        <v>1560</v>
      </c>
      <c r="B499" t="inlineStr">
        <is>
          <t>中砂</t>
        </is>
      </c>
      <c r="C499" t="n">
        <v>711</v>
      </c>
      <c r="D499" t="n">
        <v>697</v>
      </c>
      <c r="E499" s="730" t="n">
        <v>-20</v>
      </c>
      <c r="F499" s="731" t="n">
        <v>-2.79</v>
      </c>
      <c r="G499" t="inlineStr">
        <is>
          <t>19.3億</t>
        </is>
      </c>
      <c r="H499" t="n">
        <v>2753</v>
      </c>
      <c r="I499" t="n">
        <v>1723</v>
      </c>
      <c r="J499" t="n">
        <v>14.98</v>
      </c>
      <c r="K499" t="n">
        <v>715</v>
      </c>
      <c r="L499" t="n">
        <v>688</v>
      </c>
      <c r="M499" s="155" t="n">
        <v>1.87</v>
      </c>
      <c r="N499" t="inlineStr">
        <is>
          <t>台灣從事砂輪及再生晶圓生產製造廠商</t>
        </is>
      </c>
    </row>
    <row r="500">
      <c r="A500" t="n">
        <v>1563</v>
      </c>
      <c r="B500" t="inlineStr">
        <is>
          <t>巧新</t>
        </is>
      </c>
      <c r="C500" t="n">
        <v>70</v>
      </c>
      <c r="D500" t="n">
        <v>69.8</v>
      </c>
      <c r="E500" s="730" t="n">
        <v>-0.1</v>
      </c>
      <c r="F500" s="731" t="n">
        <v>-0.14</v>
      </c>
      <c r="G500" t="inlineStr">
        <is>
          <t>3.32億</t>
        </is>
      </c>
      <c r="H500" t="n">
        <v>4897</v>
      </c>
      <c r="I500" t="n">
        <v>6120</v>
      </c>
      <c r="J500" t="n">
        <v>22.56</v>
      </c>
      <c r="K500" t="n">
        <v>70</v>
      </c>
      <c r="L500" t="n">
        <v>64.90000000000001</v>
      </c>
      <c r="M500" s="155" t="n">
        <v>2.17</v>
      </c>
      <c r="N500" t="inlineStr">
        <is>
          <t>全球汽車鍛造輪圈大廠</t>
        </is>
      </c>
    </row>
    <row r="501">
      <c r="A501" t="n">
        <v>1565</v>
      </c>
      <c r="B501" t="inlineStr">
        <is>
          <t>精華</t>
        </is>
      </c>
      <c r="C501" t="n">
        <v>93.7</v>
      </c>
      <c r="D501" t="n">
        <v>94.40000000000001</v>
      </c>
      <c r="E501" s="730" t="n">
        <v>0.1</v>
      </c>
      <c r="F501" s="731" t="n">
        <v>0.11</v>
      </c>
      <c r="G501" t="inlineStr">
        <is>
          <t>2226萬</t>
        </is>
      </c>
      <c r="H501" t="n">
        <v>237</v>
      </c>
      <c r="I501" t="n">
        <v>163</v>
      </c>
      <c r="J501" t="n">
        <v>5.04</v>
      </c>
      <c r="K501" t="n">
        <v>94.40000000000001</v>
      </c>
      <c r="L501" t="n">
        <v>93.40000000000001</v>
      </c>
      <c r="M501" s="155" t="n">
        <v>0.47</v>
      </c>
      <c r="N501" t="inlineStr">
        <is>
          <t>台灣隱形眼鏡製造龍頭企業，並擁有「帝康」自有品牌</t>
        </is>
      </c>
    </row>
    <row r="502">
      <c r="A502" t="n">
        <v>1568</v>
      </c>
      <c r="B502" t="inlineStr">
        <is>
          <t>倉佑</t>
        </is>
      </c>
      <c r="C502" t="n">
        <v>50</v>
      </c>
      <c r="D502" t="n">
        <v>48.4</v>
      </c>
      <c r="E502" s="730" t="n">
        <v>-1.4</v>
      </c>
      <c r="F502" s="731" t="n">
        <v>-2.81</v>
      </c>
      <c r="G502" t="inlineStr">
        <is>
          <t>1.00億</t>
        </is>
      </c>
      <c r="H502" t="n">
        <v>2085</v>
      </c>
      <c r="I502" t="n">
        <v>4449</v>
      </c>
      <c r="J502" t="n">
        <v>10.31</v>
      </c>
      <c r="K502" t="n">
        <v>50</v>
      </c>
      <c r="L502" t="n">
        <v>46.95</v>
      </c>
      <c r="M502" s="155" t="n">
        <v>2.02</v>
      </c>
      <c r="N502" t="inlineStr">
        <is>
          <t>汽車自動變速箱零組件製造商</t>
        </is>
      </c>
    </row>
    <row r="503">
      <c r="A503" t="n">
        <v>1569</v>
      </c>
      <c r="B503" t="inlineStr">
        <is>
          <t>濱川</t>
        </is>
      </c>
      <c r="C503" t="n">
        <v>51.1</v>
      </c>
      <c r="D503" t="n">
        <v>53.6</v>
      </c>
      <c r="E503" s="730" t="n">
        <v>2.4</v>
      </c>
      <c r="F503" s="731" t="n">
        <v>4.69</v>
      </c>
      <c r="G503" t="inlineStr">
        <is>
          <t>7983萬</t>
        </is>
      </c>
      <c r="H503" t="n">
        <v>1539</v>
      </c>
      <c r="I503" t="n">
        <v>834</v>
      </c>
      <c r="J503" t="n">
        <v>14.42</v>
      </c>
      <c r="K503" t="n">
        <v>53.6</v>
      </c>
      <c r="L503" t="n">
        <v>50.5</v>
      </c>
      <c r="M503" s="155" t="n">
        <v>1.07</v>
      </c>
      <c r="N503" t="inlineStr">
        <is>
          <t>全球NB鍵盤支架領導廠商</t>
        </is>
      </c>
    </row>
    <row r="504">
      <c r="A504" t="n">
        <v>1570</v>
      </c>
      <c r="B504" t="inlineStr">
        <is>
          <t>力肯</t>
        </is>
      </c>
      <c r="C504" t="n">
        <v>54.8</v>
      </c>
      <c r="D504" t="n">
        <v>54.8</v>
      </c>
      <c r="E504" s="730" t="n">
        <v>1.8</v>
      </c>
      <c r="F504" s="731" t="n">
        <v>3.4</v>
      </c>
      <c r="G504" t="inlineStr">
        <is>
          <t>3379萬</t>
        </is>
      </c>
      <c r="H504" t="n">
        <v>620</v>
      </c>
      <c r="I504" t="n">
        <v>983</v>
      </c>
      <c r="J504" t="n">
        <v>5.15</v>
      </c>
      <c r="K504" t="n">
        <v>56.6</v>
      </c>
      <c r="L504" t="n">
        <v>52.3</v>
      </c>
      <c r="M504" s="155" t="n">
        <v>1.2</v>
      </c>
      <c r="N504" t="inlineStr">
        <is>
          <t>台灣氣動釘槍製造廠商</t>
        </is>
      </c>
    </row>
    <row r="505">
      <c r="A505" t="n">
        <v>1580</v>
      </c>
      <c r="B505" t="inlineStr">
        <is>
          <t>新麥</t>
        </is>
      </c>
      <c r="C505" t="n">
        <v>123.5</v>
      </c>
      <c r="D505" t="n">
        <v>125</v>
      </c>
      <c r="E505" s="730" t="n">
        <v>2</v>
      </c>
      <c r="F505" s="731" t="n">
        <v>1.63</v>
      </c>
      <c r="G505" t="inlineStr">
        <is>
          <t>1732萬</t>
        </is>
      </c>
      <c r="H505" t="n">
        <v>140</v>
      </c>
      <c r="I505" t="n">
        <v>91</v>
      </c>
      <c r="J505" t="n">
        <v>4.93</v>
      </c>
      <c r="K505" t="n">
        <v>125.5</v>
      </c>
      <c r="L505" t="n">
        <v>122.5</v>
      </c>
      <c r="M505" s="155" t="n">
        <v>0.28</v>
      </c>
      <c r="N505" t="inlineStr">
        <is>
          <t>亞洲最大烘焙設備製造廠</t>
        </is>
      </c>
    </row>
    <row r="506">
      <c r="A506" t="n">
        <v>1582</v>
      </c>
      <c r="B506" t="inlineStr">
        <is>
          <t>信錦</t>
        </is>
      </c>
      <c r="C506" t="n">
        <v>114.5</v>
      </c>
      <c r="D506" t="n">
        <v>112</v>
      </c>
      <c r="E506" s="730" t="n">
        <v>-2</v>
      </c>
      <c r="F506" s="731" t="n">
        <v>-1.75</v>
      </c>
      <c r="G506" t="inlineStr">
        <is>
          <t>4.78億</t>
        </is>
      </c>
      <c r="H506" t="n">
        <v>4284</v>
      </c>
      <c r="I506" t="n">
        <v>12049</v>
      </c>
      <c r="J506" t="n">
        <v>14.43</v>
      </c>
      <c r="K506" t="n">
        <v>115</v>
      </c>
      <c r="L506" t="n">
        <v>109</v>
      </c>
      <c r="M506" s="155" t="n">
        <v>2.97</v>
      </c>
      <c r="N506" t="inlineStr">
        <is>
          <t>全球螢幕架樞紐製造龍頭</t>
        </is>
      </c>
    </row>
    <row r="507">
      <c r="A507" t="n">
        <v>1583</v>
      </c>
      <c r="B507" t="inlineStr">
        <is>
          <t>程泰</t>
        </is>
      </c>
      <c r="C507" t="n">
        <v>56.5</v>
      </c>
      <c r="D507" t="n">
        <v>55.3</v>
      </c>
      <c r="E507" s="730" t="n">
        <v>-2</v>
      </c>
      <c r="F507" s="731" t="n">
        <v>-3.49</v>
      </c>
      <c r="G507" t="inlineStr">
        <is>
          <t>689萬</t>
        </is>
      </c>
      <c r="H507" t="n">
        <v>125</v>
      </c>
      <c r="I507" t="n">
        <v>315</v>
      </c>
      <c r="J507" t="n">
        <v>10.94</v>
      </c>
      <c r="K507" t="n">
        <v>57.9</v>
      </c>
      <c r="L507" t="n">
        <v>53.8</v>
      </c>
      <c r="M507" s="155" t="n">
        <v>0.11</v>
      </c>
      <c r="N507" t="inlineStr">
        <is>
          <t>台灣規模最大的專業CNC車床製造商</t>
        </is>
      </c>
    </row>
    <row r="508">
      <c r="A508" t="n">
        <v>1584</v>
      </c>
      <c r="B508" t="inlineStr">
        <is>
          <t>精剛</t>
        </is>
      </c>
      <c r="C508" t="n">
        <v>19.85</v>
      </c>
      <c r="D508" t="n">
        <v>19.85</v>
      </c>
      <c r="E508" s="730" t="n">
        <v>0</v>
      </c>
      <c r="F508" s="731" t="n">
        <v>0</v>
      </c>
      <c r="G508" t="inlineStr">
        <is>
          <t>1514萬</t>
        </is>
      </c>
      <c r="H508" t="n">
        <v>766</v>
      </c>
      <c r="I508" t="n">
        <v>1101</v>
      </c>
      <c r="J508" t="n">
        <v>23.25</v>
      </c>
      <c r="K508" t="n">
        <v>19.95</v>
      </c>
      <c r="L508" t="n">
        <v>19.65</v>
      </c>
      <c r="M508" s="155" t="n">
        <v>0.33</v>
      </c>
      <c r="N508" t="inlineStr">
        <is>
          <t>台灣鋼鐵集團旗下合金鋼廠</t>
        </is>
      </c>
    </row>
    <row r="509">
      <c r="A509" t="n">
        <v>1586</v>
      </c>
      <c r="B509" t="inlineStr">
        <is>
          <t>和勤</t>
        </is>
      </c>
      <c r="C509" t="n">
        <v>21.85</v>
      </c>
      <c r="D509" t="n">
        <v>22.1</v>
      </c>
      <c r="E509" s="730" t="n">
        <v>0.25</v>
      </c>
      <c r="F509" s="731" t="n">
        <v>1.14</v>
      </c>
      <c r="G509" t="inlineStr">
        <is>
          <t>2303萬</t>
        </is>
      </c>
      <c r="H509" t="n">
        <v>1047</v>
      </c>
      <c r="I509" t="n">
        <v>330</v>
      </c>
      <c r="J509" t="n">
        <v>10.68</v>
      </c>
      <c r="K509" t="n">
        <v>22.35</v>
      </c>
      <c r="L509" t="n">
        <v>21.8</v>
      </c>
      <c r="M509" s="155" t="n">
        <v>0.98</v>
      </c>
      <c r="N509" t="inlineStr">
        <is>
          <t>台灣汽車及硬碟零件雙核心精沖技術大廠</t>
        </is>
      </c>
    </row>
    <row r="510">
      <c r="A510" t="n">
        <v>1587</v>
      </c>
      <c r="B510" t="inlineStr">
        <is>
          <t>吉茂</t>
        </is>
      </c>
      <c r="C510" t="n">
        <v>30.75</v>
      </c>
      <c r="D510" t="n">
        <v>29.9</v>
      </c>
      <c r="E510" s="730" t="n">
        <v>-0.75</v>
      </c>
      <c r="F510" s="731" t="n">
        <v>-2.45</v>
      </c>
      <c r="G510" t="inlineStr">
        <is>
          <t>1995萬</t>
        </is>
      </c>
      <c r="H510" t="n">
        <v>667</v>
      </c>
      <c r="I510" t="n">
        <v>1751</v>
      </c>
      <c r="J510" t="n">
        <v>8.01</v>
      </c>
      <c r="K510" t="n">
        <v>30.75</v>
      </c>
      <c r="L510" t="n">
        <v>29.55</v>
      </c>
      <c r="M510" s="155" t="n">
        <v>0.83</v>
      </c>
      <c r="N510" t="inlineStr">
        <is>
          <t>台灣最大汽車水箱製造廠</t>
        </is>
      </c>
    </row>
    <row r="511">
      <c r="A511" t="n">
        <v>1590</v>
      </c>
      <c r="B511" t="inlineStr">
        <is>
          <t>亞德客-KY</t>
        </is>
      </c>
      <c r="C511" t="n">
        <v>1330</v>
      </c>
      <c r="D511" t="n">
        <v>1280</v>
      </c>
      <c r="E511" s="730" t="n">
        <v>-70</v>
      </c>
      <c r="F511" s="731" t="n">
        <v>-5.19</v>
      </c>
      <c r="G511" t="inlineStr">
        <is>
          <t>12.5億</t>
        </is>
      </c>
      <c r="H511" t="n">
        <v>979</v>
      </c>
      <c r="I511" t="n">
        <v>1154</v>
      </c>
      <c r="J511" t="n">
        <v>20</v>
      </c>
      <c r="K511" t="n">
        <v>1340</v>
      </c>
      <c r="L511" t="n">
        <v>1245</v>
      </c>
      <c r="M511" s="155" t="n">
        <v>0.49</v>
      </c>
      <c r="N511" t="inlineStr">
        <is>
          <t>大陸前三大氣動元件供應商之一</t>
        </is>
      </c>
    </row>
    <row r="512">
      <c r="A512" t="n">
        <v>1591</v>
      </c>
      <c r="B512" t="inlineStr">
        <is>
          <t>駿吉-KY</t>
        </is>
      </c>
      <c r="C512" t="n">
        <v>43.4</v>
      </c>
      <c r="D512" t="n">
        <v>41.85</v>
      </c>
      <c r="E512" s="730" t="n">
        <v>-0.1</v>
      </c>
      <c r="F512" s="731" t="n">
        <v>-0.24</v>
      </c>
      <c r="G512" t="inlineStr">
        <is>
          <t>387萬</t>
        </is>
      </c>
      <c r="H512" t="n">
        <v>93</v>
      </c>
      <c r="I512" t="n">
        <v>283</v>
      </c>
      <c r="J512" t="n">
        <v>3.8</v>
      </c>
      <c r="K512" t="n">
        <v>43.4</v>
      </c>
      <c r="L512" t="n">
        <v>40.8</v>
      </c>
      <c r="M512" s="155" t="n">
        <v>0.24</v>
      </c>
      <c r="N512" t="inlineStr">
        <is>
          <t>東南亞最大氣動式工業用槍釘供應商</t>
        </is>
      </c>
    </row>
    <row r="513">
      <c r="A513" t="n">
        <v>1593</v>
      </c>
      <c r="B513" t="inlineStr">
        <is>
          <t>祺驊</t>
        </is>
      </c>
      <c r="C513" t="n">
        <v>31.3</v>
      </c>
      <c r="D513" t="n">
        <v>31.3</v>
      </c>
      <c r="E513" s="730" t="n">
        <v>0.1</v>
      </c>
      <c r="F513" s="731" t="n">
        <v>0.32</v>
      </c>
      <c r="G513" t="inlineStr">
        <is>
          <t>113萬</t>
        </is>
      </c>
      <c r="H513" t="n">
        <v>36</v>
      </c>
      <c r="I513" t="n">
        <v>31</v>
      </c>
      <c r="J513" t="n">
        <v>3.98</v>
      </c>
      <c r="K513" t="n">
        <v>31.5</v>
      </c>
      <c r="L513" t="n">
        <v>31.15</v>
      </c>
      <c r="M513" s="155" t="n">
        <v>0.09</v>
      </c>
      <c r="N513" t="inlineStr">
        <is>
          <t>台灣運動器材零組件製造商</t>
        </is>
      </c>
    </row>
    <row r="514">
      <c r="A514" t="n">
        <v>1595</v>
      </c>
      <c r="B514" t="inlineStr">
        <is>
          <t>川寶</t>
        </is>
      </c>
      <c r="C514" t="n">
        <v>78.59999999999999</v>
      </c>
      <c r="D514" t="n">
        <v>76.40000000000001</v>
      </c>
      <c r="E514" s="730" t="n">
        <v>-3.6</v>
      </c>
      <c r="F514" s="731" t="n">
        <v>-4.5</v>
      </c>
      <c r="G514" t="inlineStr">
        <is>
          <t>1.90億</t>
        </is>
      </c>
      <c r="H514" t="n">
        <v>2479</v>
      </c>
      <c r="I514" t="n">
        <v>3502</v>
      </c>
      <c r="J514" t="n">
        <v>5.44</v>
      </c>
      <c r="K514" t="n">
        <v>79.7</v>
      </c>
      <c r="L514" t="n">
        <v>75</v>
      </c>
      <c r="M514" s="155" t="n">
        <v>4.57</v>
      </c>
      <c r="N514" t="inlineStr">
        <is>
          <t>全球知名PCB半自動曝光機廠</t>
        </is>
      </c>
    </row>
    <row r="515">
      <c r="A515" t="n">
        <v>1597</v>
      </c>
      <c r="B515" t="inlineStr">
        <is>
          <t>直得</t>
        </is>
      </c>
      <c r="C515" t="n">
        <v>181.5</v>
      </c>
      <c r="D515" t="n">
        <v>169.5</v>
      </c>
      <c r="E515" s="730" t="n">
        <v>-11</v>
      </c>
      <c r="F515" s="731" t="n">
        <v>-6.09</v>
      </c>
      <c r="G515" t="inlineStr">
        <is>
          <t>8.13億</t>
        </is>
      </c>
      <c r="H515" t="n">
        <v>4819</v>
      </c>
      <c r="I515" t="n">
        <v>7698</v>
      </c>
      <c r="J515" t="n">
        <v>8.93</v>
      </c>
      <c r="K515" t="n">
        <v>181.5</v>
      </c>
      <c r="L515" t="n">
        <v>164</v>
      </c>
      <c r="M515" s="155" t="n">
        <v>5.4</v>
      </c>
      <c r="N515" t="inlineStr">
        <is>
          <t>全球知名的微型線性滑軌元件廠商</t>
        </is>
      </c>
    </row>
    <row r="516">
      <c r="A516" t="n">
        <v>1598</v>
      </c>
      <c r="B516" t="inlineStr">
        <is>
          <t>岱宇</t>
        </is>
      </c>
      <c r="C516" t="n">
        <v>21</v>
      </c>
      <c r="D516" t="n">
        <v>20.4</v>
      </c>
      <c r="E516" s="730" t="n">
        <v>-0.25</v>
      </c>
      <c r="F516" s="731" t="n">
        <v>-1.21</v>
      </c>
      <c r="G516" t="inlineStr">
        <is>
          <t>612萬</t>
        </is>
      </c>
      <c r="H516" t="n">
        <v>299</v>
      </c>
      <c r="I516" t="n">
        <v>333</v>
      </c>
      <c r="J516" t="n">
        <v>17.91</v>
      </c>
      <c r="K516" t="n">
        <v>21</v>
      </c>
      <c r="L516" t="n">
        <v>20.2</v>
      </c>
      <c r="M516" s="155" t="n">
        <v>0.17</v>
      </c>
      <c r="N516" t="inlineStr">
        <is>
          <t>全球前三大家用健身器材廠商</t>
        </is>
      </c>
    </row>
    <row r="517">
      <c r="A517" t="n">
        <v>1599</v>
      </c>
      <c r="B517" t="inlineStr">
        <is>
          <t>宏佳騰</t>
        </is>
      </c>
      <c r="C517" t="n">
        <v>23.45</v>
      </c>
      <c r="D517" t="n">
        <v>23.8</v>
      </c>
      <c r="E517" s="730" t="n">
        <v>0.3</v>
      </c>
      <c r="F517" s="731" t="n">
        <v>1.28</v>
      </c>
      <c r="G517" t="inlineStr">
        <is>
          <t>228萬</t>
        </is>
      </c>
      <c r="H517" t="n">
        <v>96</v>
      </c>
      <c r="I517" t="n">
        <v>71</v>
      </c>
      <c r="J517" t="n">
        <v>7.3</v>
      </c>
      <c r="K517" t="n">
        <v>24</v>
      </c>
      <c r="L517" t="n">
        <v>23.45</v>
      </c>
      <c r="M517" s="155" t="n">
        <v>0.13</v>
      </c>
      <c r="N517" t="inlineStr">
        <is>
          <t>以自有品牌「AEON」沙灘車起家並跨入機車領域的業者</t>
        </is>
      </c>
    </row>
    <row r="518">
      <c r="A518" t="n">
        <v>1603</v>
      </c>
      <c r="B518" t="inlineStr">
        <is>
          <t>華電</t>
        </is>
      </c>
      <c r="C518" t="n">
        <v>32</v>
      </c>
      <c r="D518" t="n">
        <v>32.25</v>
      </c>
      <c r="E518" s="730" t="n">
        <v>0.25</v>
      </c>
      <c r="F518" s="731" t="n">
        <v>0.78</v>
      </c>
      <c r="G518" t="inlineStr">
        <is>
          <t>1348萬</t>
        </is>
      </c>
      <c r="H518" t="n">
        <v>421</v>
      </c>
      <c r="I518" t="n">
        <v>528</v>
      </c>
      <c r="J518" t="n">
        <v>19.17</v>
      </c>
      <c r="K518" t="n">
        <v>32.4</v>
      </c>
      <c r="L518" t="n">
        <v>31.7</v>
      </c>
      <c r="M518" s="155" t="n">
        <v>0.22</v>
      </c>
      <c r="N518" t="inlineStr">
        <is>
          <t>台灣老牌電線電纜業者，並跨入鋁門窗生產</t>
        </is>
      </c>
    </row>
    <row r="519">
      <c r="A519" t="n">
        <v>1604</v>
      </c>
      <c r="B519" t="inlineStr">
        <is>
          <t>聲寶</t>
        </is>
      </c>
      <c r="C519" t="n">
        <v>23.15</v>
      </c>
      <c r="D519" t="n">
        <v>23.1</v>
      </c>
      <c r="E519" s="730" t="n">
        <v>-0.1</v>
      </c>
      <c r="F519" s="731" t="n">
        <v>-0.43</v>
      </c>
      <c r="G519" t="inlineStr">
        <is>
          <t>735萬</t>
        </is>
      </c>
      <c r="H519" t="n">
        <v>322</v>
      </c>
      <c r="I519" t="n">
        <v>475</v>
      </c>
      <c r="J519" t="n">
        <v>38.42</v>
      </c>
      <c r="K519" t="n">
        <v>23.2</v>
      </c>
      <c r="L519" t="n">
        <v>23.05</v>
      </c>
      <c r="M519" s="155" t="n">
        <v>0.08</v>
      </c>
      <c r="N519" t="inlineStr">
        <is>
          <t>台灣知名家電品牌</t>
        </is>
      </c>
    </row>
    <row r="520">
      <c r="A520" t="n">
        <v>1605</v>
      </c>
      <c r="B520" t="inlineStr">
        <is>
          <t>華新</t>
        </is>
      </c>
      <c r="C520" t="n">
        <v>39.7</v>
      </c>
      <c r="D520" t="n">
        <v>40.45</v>
      </c>
      <c r="E520" s="730" t="n">
        <v>0.75</v>
      </c>
      <c r="F520" s="731" t="n">
        <v>1.89</v>
      </c>
      <c r="G520" t="inlineStr">
        <is>
          <t>32.2億</t>
        </is>
      </c>
      <c r="H520" t="n">
        <v>81379</v>
      </c>
      <c r="I520" t="n">
        <v>70960</v>
      </c>
      <c r="J520" t="n">
        <v>443.13</v>
      </c>
      <c r="K520" t="n">
        <v>40.9</v>
      </c>
      <c r="L520" t="n">
        <v>38.7</v>
      </c>
      <c r="M520" s="155" t="n">
        <v>1.84</v>
      </c>
      <c r="N520" t="inlineStr">
        <is>
          <t>大中華區電線電纜及不鏽鋼領導廠商</t>
        </is>
      </c>
    </row>
    <row r="521">
      <c r="A521" t="n">
        <v>1608</v>
      </c>
      <c r="B521" t="inlineStr">
        <is>
          <t>華榮</t>
        </is>
      </c>
      <c r="C521" t="n">
        <v>36.3</v>
      </c>
      <c r="D521" t="n">
        <v>35.85</v>
      </c>
      <c r="E521" s="730" t="n">
        <v>1.05</v>
      </c>
      <c r="F521" s="731" t="n">
        <v>3.02</v>
      </c>
      <c r="G521" t="inlineStr">
        <is>
          <t>5.87億</t>
        </is>
      </c>
      <c r="H521" t="n">
        <v>16247</v>
      </c>
      <c r="I521" t="n">
        <v>5638</v>
      </c>
      <c r="J521" t="n">
        <v>63.28</v>
      </c>
      <c r="K521" t="n">
        <v>37.2</v>
      </c>
      <c r="L521" t="n">
        <v>35.15</v>
      </c>
      <c r="M521" s="155" t="n">
        <v>2.57</v>
      </c>
      <c r="N521" t="inlineStr">
        <is>
          <t>台灣超高壓電力電纜線路統包工程知名業者</t>
        </is>
      </c>
    </row>
    <row r="522">
      <c r="A522" t="n">
        <v>1609</v>
      </c>
      <c r="B522" t="inlineStr">
        <is>
          <t>大亞</t>
        </is>
      </c>
      <c r="C522" t="n">
        <v>39</v>
      </c>
      <c r="D522" t="n">
        <v>38.35</v>
      </c>
      <c r="E522" s="730" t="n">
        <v>-0.65</v>
      </c>
      <c r="F522" s="731" t="n">
        <v>-1.67</v>
      </c>
      <c r="G522" t="inlineStr">
        <is>
          <t>4.04億</t>
        </is>
      </c>
      <c r="H522" t="n">
        <v>10569</v>
      </c>
      <c r="I522" t="n">
        <v>17877</v>
      </c>
      <c r="J522" t="n">
        <v>78.53</v>
      </c>
      <c r="K522" t="n">
        <v>39</v>
      </c>
      <c r="L522" t="n">
        <v>37.7</v>
      </c>
      <c r="M522" s="155" t="n">
        <v>1.35</v>
      </c>
      <c r="N522" t="inlineStr">
        <is>
          <t>國內電力電纜、漆包線知名廠商</t>
        </is>
      </c>
    </row>
    <row r="523">
      <c r="A523" t="n">
        <v>1611</v>
      </c>
      <c r="B523" t="inlineStr">
        <is>
          <t>中電</t>
        </is>
      </c>
      <c r="C523" t="n">
        <v>12.3</v>
      </c>
      <c r="D523" t="n">
        <v>12.45</v>
      </c>
      <c r="E523" s="730" t="n">
        <v>0.1</v>
      </c>
      <c r="F523" s="731" t="n">
        <v>0.8100000000000001</v>
      </c>
      <c r="G523" t="inlineStr">
        <is>
          <t>1583萬</t>
        </is>
      </c>
      <c r="H523" t="n">
        <v>1297</v>
      </c>
      <c r="I523" t="n">
        <v>1163</v>
      </c>
      <c r="J523" t="n">
        <v>32.27</v>
      </c>
      <c r="K523" t="n">
        <v>12.45</v>
      </c>
      <c r="L523" t="n">
        <v>12.05</v>
      </c>
      <c r="M523" s="155" t="n">
        <v>0.4</v>
      </c>
      <c r="N523" t="inlineStr">
        <is>
          <t>以東亞照明品牌銷售燈具及LED照明產品</t>
        </is>
      </c>
    </row>
    <row r="524">
      <c r="A524" t="n">
        <v>1612</v>
      </c>
      <c r="B524" t="inlineStr">
        <is>
          <t>宏泰</t>
        </is>
      </c>
      <c r="C524" t="n">
        <v>38</v>
      </c>
      <c r="D524" t="n">
        <v>37.6</v>
      </c>
      <c r="E524" s="730" t="n">
        <v>-0.05</v>
      </c>
      <c r="F524" s="731" t="n">
        <v>-0.13</v>
      </c>
      <c r="G524" t="inlineStr">
        <is>
          <t>4998萬</t>
        </is>
      </c>
      <c r="H524" t="n">
        <v>1332</v>
      </c>
      <c r="I524" t="n">
        <v>1501</v>
      </c>
      <c r="J524" t="n">
        <v>31.61</v>
      </c>
      <c r="K524" t="n">
        <v>38</v>
      </c>
      <c r="L524" t="n">
        <v>37.15</v>
      </c>
      <c r="M524" s="155" t="n">
        <v>0.42</v>
      </c>
      <c r="N524" t="inlineStr">
        <is>
          <t>台灣電力電纜業者之一</t>
        </is>
      </c>
    </row>
    <row r="525">
      <c r="A525" t="n">
        <v>1614</v>
      </c>
      <c r="B525" t="inlineStr">
        <is>
          <t>三洋電</t>
        </is>
      </c>
      <c r="C525" t="n">
        <v>32.2</v>
      </c>
      <c r="D525" t="n">
        <v>32.7</v>
      </c>
      <c r="E525" s="730" t="n">
        <v>0.55</v>
      </c>
      <c r="F525" s="731" t="n">
        <v>1.71</v>
      </c>
      <c r="G525" t="inlineStr">
        <is>
          <t>231萬</t>
        </is>
      </c>
      <c r="H525" t="n">
        <v>71</v>
      </c>
      <c r="I525" t="n">
        <v>68</v>
      </c>
      <c r="J525" t="n">
        <v>26.91</v>
      </c>
      <c r="K525" t="n">
        <v>32.8</v>
      </c>
      <c r="L525" t="n">
        <v>32.2</v>
      </c>
      <c r="M525" s="155" t="n">
        <v>0.03</v>
      </c>
      <c r="N525" t="inlineStr">
        <is>
          <t>台灣知名家電品牌</t>
        </is>
      </c>
    </row>
    <row r="526">
      <c r="A526" t="n">
        <v>1615</v>
      </c>
      <c r="B526" t="inlineStr">
        <is>
          <t>大山</t>
        </is>
      </c>
      <c r="C526" t="n">
        <v>44.15</v>
      </c>
      <c r="D526" t="n">
        <v>44.05</v>
      </c>
      <c r="E526" s="730" t="n">
        <v>0.15</v>
      </c>
      <c r="F526" s="731" t="n">
        <v>0.34</v>
      </c>
      <c r="G526" t="inlineStr">
        <is>
          <t>1011萬</t>
        </is>
      </c>
      <c r="H526" t="n">
        <v>230</v>
      </c>
      <c r="I526" t="n">
        <v>264</v>
      </c>
      <c r="J526" t="n">
        <v>19.67</v>
      </c>
      <c r="K526" t="n">
        <v>44.45</v>
      </c>
      <c r="L526" t="n">
        <v>43.55</v>
      </c>
      <c r="M526" s="155" t="n">
        <v>0.12</v>
      </c>
      <c r="N526" t="inlineStr">
        <is>
          <t>台灣知名電力電纜公司</t>
        </is>
      </c>
    </row>
    <row r="527">
      <c r="A527" t="n">
        <v>1616</v>
      </c>
      <c r="B527" t="inlineStr">
        <is>
          <t>億泰</t>
        </is>
      </c>
      <c r="C527" t="n">
        <v>22.35</v>
      </c>
      <c r="D527" t="n">
        <v>22.15</v>
      </c>
      <c r="E527" s="730" t="n">
        <v>0</v>
      </c>
      <c r="F527" s="731" t="n">
        <v>0</v>
      </c>
      <c r="G527" t="inlineStr">
        <is>
          <t>1501萬</t>
        </is>
      </c>
      <c r="H527" t="n">
        <v>683</v>
      </c>
      <c r="I527" t="n">
        <v>717</v>
      </c>
      <c r="J527" t="n">
        <v>19.41</v>
      </c>
      <c r="K527" t="n">
        <v>22.35</v>
      </c>
      <c r="L527" t="n">
        <v>21.85</v>
      </c>
      <c r="M527" s="155" t="n">
        <v>0.35</v>
      </c>
      <c r="N527" t="inlineStr">
        <is>
          <t>國內電力電纜業者</t>
        </is>
      </c>
    </row>
    <row r="528">
      <c r="A528" t="n">
        <v>1617</v>
      </c>
      <c r="B528" t="inlineStr">
        <is>
          <t>榮星</t>
        </is>
      </c>
      <c r="C528" t="n">
        <v>17</v>
      </c>
      <c r="D528" t="n">
        <v>16.5</v>
      </c>
      <c r="E528" s="730" t="n">
        <v>-0.4</v>
      </c>
      <c r="F528" s="731" t="n">
        <v>-2.37</v>
      </c>
      <c r="G528" t="inlineStr">
        <is>
          <t>901萬</t>
        </is>
      </c>
      <c r="H528" t="n">
        <v>542</v>
      </c>
      <c r="I528" t="n">
        <v>509</v>
      </c>
      <c r="J528" t="n">
        <v>16.95</v>
      </c>
      <c r="K528" t="n">
        <v>17</v>
      </c>
      <c r="L528" t="n">
        <v>16.4</v>
      </c>
      <c r="M528" s="155" t="n">
        <v>0.32</v>
      </c>
      <c r="N528" t="inlineStr">
        <is>
          <t>專業漆包線及電子用線大廠</t>
        </is>
      </c>
    </row>
    <row r="529">
      <c r="A529" t="n">
        <v>1618</v>
      </c>
      <c r="B529" t="inlineStr">
        <is>
          <t>合機</t>
        </is>
      </c>
      <c r="C529" t="n">
        <v>42.7</v>
      </c>
      <c r="D529" t="n">
        <v>42.5</v>
      </c>
      <c r="E529" s="730" t="n">
        <v>-0.1</v>
      </c>
      <c r="F529" s="731" t="n">
        <v>-0.23</v>
      </c>
      <c r="G529" t="inlineStr">
        <is>
          <t>4327萬</t>
        </is>
      </c>
      <c r="H529" t="n">
        <v>1027</v>
      </c>
      <c r="I529" t="n">
        <v>2504</v>
      </c>
      <c r="J529" t="n">
        <v>19.27</v>
      </c>
      <c r="K529" t="n">
        <v>42.7</v>
      </c>
      <c r="L529" t="n">
        <v>41.95</v>
      </c>
      <c r="M529" s="155" t="n">
        <v>0.53</v>
      </c>
      <c r="N529" t="inlineStr">
        <is>
          <t>台灣主要電力電纜廠</t>
        </is>
      </c>
    </row>
    <row r="530">
      <c r="A530" t="n">
        <v>1623</v>
      </c>
      <c r="B530" t="inlineStr">
        <is>
          <t>大東電</t>
        </is>
      </c>
      <c r="C530" t="n">
        <v>240</v>
      </c>
      <c r="D530" t="n">
        <v>234</v>
      </c>
      <c r="E530" s="730" t="n">
        <v>-6</v>
      </c>
      <c r="F530" s="731" t="n">
        <v>-2.5</v>
      </c>
      <c r="G530" t="inlineStr">
        <is>
          <t>5604萬</t>
        </is>
      </c>
      <c r="H530" t="n">
        <v>239</v>
      </c>
      <c r="I530" t="n">
        <v>455</v>
      </c>
      <c r="J530" t="n">
        <v>6.6</v>
      </c>
      <c r="K530" t="n">
        <v>240</v>
      </c>
      <c r="L530" t="n">
        <v>232</v>
      </c>
      <c r="M530" s="155" t="n">
        <v>0.36</v>
      </c>
      <c r="N530" t="inlineStr">
        <is>
          <t>台灣知名電力電纜公司</t>
        </is>
      </c>
    </row>
    <row r="531">
      <c r="A531" t="n">
        <v>1626</v>
      </c>
      <c r="B531" t="inlineStr">
        <is>
          <t>艾美特-KY</t>
        </is>
      </c>
      <c r="C531" t="n">
        <v>10</v>
      </c>
      <c r="D531" t="n">
        <v>10.1</v>
      </c>
      <c r="E531" s="730" t="n">
        <v>0.1</v>
      </c>
      <c r="F531" s="731" t="n">
        <v>1</v>
      </c>
      <c r="G531" t="inlineStr">
        <is>
          <t>144萬</t>
        </is>
      </c>
      <c r="H531" t="n">
        <v>144</v>
      </c>
      <c r="I531" t="n">
        <v>169</v>
      </c>
      <c r="J531" t="n">
        <v>14.98</v>
      </c>
      <c r="K531" t="n">
        <v>10.1</v>
      </c>
      <c r="L531" t="n">
        <v>9.99</v>
      </c>
      <c r="M531" s="155" t="n">
        <v>0.1</v>
      </c>
      <c r="N531" t="inlineStr">
        <is>
          <t>大陸「艾美特AIRMATE」品牌小家電生產商</t>
        </is>
      </c>
    </row>
    <row r="532">
      <c r="A532" t="n">
        <v>1702</v>
      </c>
      <c r="B532" t="inlineStr">
        <is>
          <t>南僑</t>
        </is>
      </c>
      <c r="C532" t="n">
        <v>30.9</v>
      </c>
      <c r="D532" t="n">
        <v>31.15</v>
      </c>
      <c r="E532" s="730" t="n">
        <v>0.35</v>
      </c>
      <c r="F532" s="731" t="n">
        <v>1.14</v>
      </c>
      <c r="G532" t="inlineStr">
        <is>
          <t>1920萬</t>
        </is>
      </c>
      <c r="H532" t="n">
        <v>622</v>
      </c>
      <c r="I532" t="n">
        <v>766</v>
      </c>
      <c r="J532" t="n">
        <v>29.41</v>
      </c>
      <c r="K532" t="n">
        <v>31.2</v>
      </c>
      <c r="L532" t="n">
        <v>30.6</v>
      </c>
      <c r="M532" s="155" t="n">
        <v>0.21</v>
      </c>
      <c r="N532" t="inlineStr">
        <is>
          <t>台灣最大烘焙用油脂廠，轉投資餐飲事業眾多品牌</t>
        </is>
      </c>
    </row>
    <row r="533">
      <c r="A533" t="n">
        <v>1707</v>
      </c>
      <c r="B533" t="inlineStr">
        <is>
          <t>葡萄王</t>
        </is>
      </c>
      <c r="C533" t="n">
        <v>100.5</v>
      </c>
      <c r="D533" t="n">
        <v>100.5</v>
      </c>
      <c r="E533" s="730" t="n">
        <v>0</v>
      </c>
      <c r="F533" s="731" t="n">
        <v>0</v>
      </c>
      <c r="G533" t="inlineStr">
        <is>
          <t>3143萬</t>
        </is>
      </c>
      <c r="H533" t="n">
        <v>312</v>
      </c>
      <c r="I533" t="n">
        <v>507</v>
      </c>
      <c r="J533" t="n">
        <v>14.81</v>
      </c>
      <c r="K533" t="n">
        <v>101.5</v>
      </c>
      <c r="L533" t="n">
        <v>100</v>
      </c>
      <c r="M533" s="155" t="n">
        <v>0.21</v>
      </c>
      <c r="N533" t="inlineStr">
        <is>
          <t>台灣保健食品製造領導廠商</t>
        </is>
      </c>
    </row>
    <row r="534">
      <c r="A534" t="n">
        <v>1708</v>
      </c>
      <c r="B534" t="inlineStr">
        <is>
          <t>東鹼</t>
        </is>
      </c>
      <c r="C534" t="n">
        <v>38.6</v>
      </c>
      <c r="D534" t="n">
        <v>39.45</v>
      </c>
      <c r="E534" s="730" t="n">
        <v>0.85</v>
      </c>
      <c r="F534" s="731" t="n">
        <v>2.2</v>
      </c>
      <c r="G534" t="inlineStr">
        <is>
          <t>1.37億</t>
        </is>
      </c>
      <c r="H534" t="n">
        <v>3539</v>
      </c>
      <c r="I534" t="n">
        <v>3376</v>
      </c>
      <c r="J534" t="n">
        <v>24.9</v>
      </c>
      <c r="K534" t="n">
        <v>39.65</v>
      </c>
      <c r="L534" t="n">
        <v>38.1</v>
      </c>
      <c r="M534" s="155" t="n">
        <v>1.42</v>
      </c>
      <c r="N534" t="inlineStr">
        <is>
          <t>台灣老牌硫酸鉀(SOP)肥料廠</t>
        </is>
      </c>
    </row>
    <row r="535">
      <c r="A535" t="n">
        <v>1709</v>
      </c>
      <c r="B535" t="inlineStr">
        <is>
          <t>和益</t>
        </is>
      </c>
      <c r="C535" t="n">
        <v>19.8</v>
      </c>
      <c r="D535" t="n">
        <v>19.75</v>
      </c>
      <c r="E535" s="730" t="n">
        <v>0.25</v>
      </c>
      <c r="F535" s="731" t="n">
        <v>1.28</v>
      </c>
      <c r="G535" t="inlineStr">
        <is>
          <t>3189萬</t>
        </is>
      </c>
      <c r="H535" t="n">
        <v>1609</v>
      </c>
      <c r="I535" t="n">
        <v>1241</v>
      </c>
      <c r="J535" t="n">
        <v>47.7</v>
      </c>
      <c r="K535" t="n">
        <v>20</v>
      </c>
      <c r="L535" t="n">
        <v>19.5</v>
      </c>
      <c r="M535" s="155" t="n">
        <v>0.34</v>
      </c>
      <c r="N535" t="inlineStr">
        <is>
          <t>台灣烷化品大廠、且為唯一氫化石油樹脂商</t>
        </is>
      </c>
    </row>
    <row r="536">
      <c r="A536" t="n">
        <v>1710</v>
      </c>
      <c r="B536" t="inlineStr">
        <is>
          <t>東聯</t>
        </is>
      </c>
      <c r="C536" t="n">
        <v>13.8</v>
      </c>
      <c r="D536" t="n">
        <v>14.55</v>
      </c>
      <c r="E536" s="730" t="n">
        <v>0.9</v>
      </c>
      <c r="F536" s="731" t="n">
        <v>6.59</v>
      </c>
      <c r="G536" t="inlineStr">
        <is>
          <t>1.99億</t>
        </is>
      </c>
      <c r="H536" t="n">
        <v>13939</v>
      </c>
      <c r="I536" t="n">
        <v>7578</v>
      </c>
      <c r="J536" t="n">
        <v>88.56999999999999</v>
      </c>
      <c r="K536" t="n">
        <v>14.6</v>
      </c>
      <c r="L536" t="n">
        <v>13.75</v>
      </c>
      <c r="M536" s="155" t="n">
        <v>1.57</v>
      </c>
      <c r="N536" t="inlineStr">
        <is>
          <t>遠東集團旗下，EG大廠</t>
        </is>
      </c>
    </row>
    <row r="537">
      <c r="A537" t="n">
        <v>1711</v>
      </c>
      <c r="B537" t="inlineStr">
        <is>
          <t>永光</t>
        </is>
      </c>
      <c r="C537" t="n">
        <v>49.7</v>
      </c>
      <c r="D537" t="n">
        <v>47.95</v>
      </c>
      <c r="E537" s="730" t="n">
        <v>-1.4</v>
      </c>
      <c r="F537" s="731" t="n">
        <v>-2.84</v>
      </c>
      <c r="G537" t="inlineStr">
        <is>
          <t>5.58億</t>
        </is>
      </c>
      <c r="H537" t="n">
        <v>11574</v>
      </c>
      <c r="I537" t="n">
        <v>14256</v>
      </c>
      <c r="J537" t="n">
        <v>54.78</v>
      </c>
      <c r="K537" t="n">
        <v>50.1</v>
      </c>
      <c r="L537" t="n">
        <v>47</v>
      </c>
      <c r="M537" s="155" t="n">
        <v>2.11</v>
      </c>
      <c r="N537" t="inlineStr">
        <is>
          <t>亞洲染料廠龍頭</t>
        </is>
      </c>
    </row>
    <row r="538">
      <c r="A538" t="n">
        <v>1712</v>
      </c>
      <c r="B538" t="inlineStr">
        <is>
          <t>興農</t>
        </is>
      </c>
      <c r="C538" t="n">
        <v>39</v>
      </c>
      <c r="D538" t="n">
        <v>39.1</v>
      </c>
      <c r="E538" s="730" t="n">
        <v>0.1</v>
      </c>
      <c r="F538" s="731" t="n">
        <v>0.26</v>
      </c>
      <c r="G538" t="inlineStr">
        <is>
          <t>4252萬</t>
        </is>
      </c>
      <c r="H538" t="n">
        <v>1092</v>
      </c>
      <c r="I538" t="n">
        <v>1319</v>
      </c>
      <c r="J538" t="n">
        <v>42.05</v>
      </c>
      <c r="K538" t="n">
        <v>39.35</v>
      </c>
      <c r="L538" t="n">
        <v>38.65</v>
      </c>
      <c r="M538" s="155" t="n">
        <v>0.26</v>
      </c>
      <c r="N538" t="inlineStr">
        <is>
          <t>台灣農藥市場龍頭公司</t>
        </is>
      </c>
    </row>
    <row r="539">
      <c r="A539" t="n">
        <v>1713</v>
      </c>
      <c r="B539" t="inlineStr">
        <is>
          <t>國化</t>
        </is>
      </c>
      <c r="C539" t="n">
        <v>49.7</v>
      </c>
      <c r="D539" t="n">
        <v>49</v>
      </c>
      <c r="E539" s="730" t="n">
        <v>-0.5</v>
      </c>
      <c r="F539" s="731" t="n">
        <v>-1.01</v>
      </c>
      <c r="G539" t="inlineStr">
        <is>
          <t>994萬</t>
        </is>
      </c>
      <c r="H539" t="n">
        <v>203</v>
      </c>
      <c r="I539" t="n">
        <v>339</v>
      </c>
      <c r="J539" t="n">
        <v>15.1</v>
      </c>
      <c r="K539" t="n">
        <v>49.7</v>
      </c>
      <c r="L539" t="n">
        <v>48.6</v>
      </c>
      <c r="M539" s="155" t="n">
        <v>0.13</v>
      </c>
      <c r="N539" t="inlineStr">
        <is>
          <t>保險粉生產商</t>
        </is>
      </c>
    </row>
    <row r="540">
      <c r="A540" t="n">
        <v>1714</v>
      </c>
      <c r="B540" t="inlineStr">
        <is>
          <t>和桐</t>
        </is>
      </c>
      <c r="C540" t="n">
        <v>9.890000000000001</v>
      </c>
      <c r="D540" t="n">
        <v>10</v>
      </c>
      <c r="E540" s="730" t="n">
        <v>0.19</v>
      </c>
      <c r="F540" s="731" t="n">
        <v>1.94</v>
      </c>
      <c r="G540" t="inlineStr">
        <is>
          <t>8804萬</t>
        </is>
      </c>
      <c r="H540" t="n">
        <v>8863</v>
      </c>
      <c r="I540" t="n">
        <v>4000</v>
      </c>
      <c r="J540" t="n">
        <v>99.18000000000001</v>
      </c>
      <c r="K540" t="n">
        <v>10.1</v>
      </c>
      <c r="L540" t="n">
        <v>9.77</v>
      </c>
      <c r="M540" s="155" t="n">
        <v>0.89</v>
      </c>
      <c r="N540" t="inlineStr">
        <is>
          <t>亞洲最大正烷屬烴供應商</t>
        </is>
      </c>
    </row>
    <row r="541">
      <c r="A541" t="n">
        <v>1717</v>
      </c>
      <c r="B541" t="inlineStr">
        <is>
          <t>長興</t>
        </is>
      </c>
      <c r="C541" t="n">
        <v>81.7</v>
      </c>
      <c r="D541" t="n">
        <v>78.7</v>
      </c>
      <c r="E541" s="730" t="n">
        <v>-2.8</v>
      </c>
      <c r="F541" s="731" t="n">
        <v>-3.44</v>
      </c>
      <c r="G541" t="inlineStr">
        <is>
          <t>22.4億</t>
        </is>
      </c>
      <c r="H541" t="n">
        <v>28470</v>
      </c>
      <c r="I541" t="n">
        <v>44348</v>
      </c>
      <c r="J541" t="n">
        <v>117.22</v>
      </c>
      <c r="K541" t="n">
        <v>81.8</v>
      </c>
      <c r="L541" t="n">
        <v>76.8</v>
      </c>
      <c r="M541" s="155" t="n">
        <v>2.43</v>
      </c>
      <c r="N541" t="inlineStr">
        <is>
          <t>亞洲最大合成樹脂廠，亦是全球最大乾膜光阻劑</t>
        </is>
      </c>
    </row>
    <row r="542">
      <c r="A542" t="n">
        <v>1718</v>
      </c>
      <c r="B542" t="inlineStr">
        <is>
          <t>中纖</t>
        </is>
      </c>
      <c r="C542" t="n">
        <v>8</v>
      </c>
      <c r="D542" t="n">
        <v>8</v>
      </c>
      <c r="E542" s="730" t="n">
        <v>0.72</v>
      </c>
      <c r="F542" s="731" t="n">
        <v>9.890000000000001</v>
      </c>
      <c r="G542" t="inlineStr">
        <is>
          <t>3.89億</t>
        </is>
      </c>
      <c r="H542" t="n">
        <v>48859</v>
      </c>
      <c r="I542" t="n">
        <v>7385</v>
      </c>
      <c r="J542" t="n">
        <v>168.59</v>
      </c>
      <c r="K542" t="n">
        <v>8</v>
      </c>
      <c r="L542" t="n">
        <v>7.7</v>
      </c>
      <c r="M542" s="155" t="n">
        <v>2.9</v>
      </c>
      <c r="N542" t="inlineStr">
        <is>
          <t>台灣化纖及EG重要供應商</t>
        </is>
      </c>
    </row>
    <row r="543">
      <c r="A543" t="n">
        <v>1720</v>
      </c>
      <c r="B543" t="inlineStr">
        <is>
          <t>生達</t>
        </is>
      </c>
      <c r="C543" t="n">
        <v>61.3</v>
      </c>
      <c r="D543" t="n">
        <v>62</v>
      </c>
      <c r="E543" s="730" t="n">
        <v>0.4</v>
      </c>
      <c r="F543" s="731" t="n">
        <v>0.65</v>
      </c>
      <c r="G543" t="inlineStr">
        <is>
          <t>1425萬</t>
        </is>
      </c>
      <c r="H543" t="n">
        <v>231</v>
      </c>
      <c r="I543" t="n">
        <v>300</v>
      </c>
      <c r="J543" t="n">
        <v>17.87</v>
      </c>
      <c r="K543" t="n">
        <v>62.1</v>
      </c>
      <c r="L543" t="n">
        <v>61.3</v>
      </c>
      <c r="M543" s="155" t="n">
        <v>0.13</v>
      </c>
      <c r="N543" t="inlineStr">
        <is>
          <t>台灣前三大學名藥廠</t>
        </is>
      </c>
    </row>
    <row r="544">
      <c r="A544" t="n">
        <v>1721</v>
      </c>
      <c r="B544" t="inlineStr">
        <is>
          <t>三晃</t>
        </is>
      </c>
      <c r="C544" t="n">
        <v>28.05</v>
      </c>
      <c r="D544" t="n">
        <v>27.35</v>
      </c>
      <c r="E544" s="730" t="n">
        <v>-0.75</v>
      </c>
      <c r="F544" s="731" t="n">
        <v>-2.67</v>
      </c>
      <c r="G544" t="inlineStr">
        <is>
          <t>9927萬</t>
        </is>
      </c>
      <c r="H544" t="n">
        <v>3639</v>
      </c>
      <c r="I544" t="n">
        <v>4896</v>
      </c>
      <c r="J544" t="n">
        <v>18.49</v>
      </c>
      <c r="K544" t="n">
        <v>28.05</v>
      </c>
      <c r="L544" t="n">
        <v>27</v>
      </c>
      <c r="M544" s="155" t="n">
        <v>1.97</v>
      </c>
      <c r="N544" t="inlineStr">
        <is>
          <t>油墨、表面處理劑、PU樹脂生產企業</t>
        </is>
      </c>
    </row>
    <row r="545">
      <c r="A545" t="n">
        <v>1722</v>
      </c>
      <c r="B545" t="inlineStr">
        <is>
          <t>台肥</t>
        </is>
      </c>
      <c r="C545" t="n">
        <v>47</v>
      </c>
      <c r="D545" t="n">
        <v>47.05</v>
      </c>
      <c r="E545" s="730" t="n">
        <v>0</v>
      </c>
      <c r="F545" s="731" t="n">
        <v>0</v>
      </c>
      <c r="G545" t="inlineStr">
        <is>
          <t>1.25億</t>
        </is>
      </c>
      <c r="H545" t="n">
        <v>2665</v>
      </c>
      <c r="I545" t="n">
        <v>3240</v>
      </c>
      <c r="J545" t="n">
        <v>98</v>
      </c>
      <c r="K545" t="n">
        <v>47.3</v>
      </c>
      <c r="L545" t="n">
        <v>46.8</v>
      </c>
      <c r="M545" s="155" t="n">
        <v>0.27</v>
      </c>
      <c r="N545" t="inlineStr">
        <is>
          <t>台灣最大肥料及化學廠商</t>
        </is>
      </c>
    </row>
    <row r="546">
      <c r="A546" t="n">
        <v>1723</v>
      </c>
      <c r="B546" t="inlineStr">
        <is>
          <t>中碳</t>
        </is>
      </c>
      <c r="C546" t="n">
        <v>83.8</v>
      </c>
      <c r="D546" t="n">
        <v>83.7</v>
      </c>
      <c r="E546" s="730" t="n">
        <v>-0.2</v>
      </c>
      <c r="F546" s="731" t="n">
        <v>-0.24</v>
      </c>
      <c r="G546" t="inlineStr">
        <is>
          <t>7398萬</t>
        </is>
      </c>
      <c r="H546" t="n">
        <v>892</v>
      </c>
      <c r="I546" t="n">
        <v>881</v>
      </c>
      <c r="J546" t="n">
        <v>23.69</v>
      </c>
      <c r="K546" t="n">
        <v>83.90000000000001</v>
      </c>
      <c r="L546" t="n">
        <v>82.2</v>
      </c>
      <c r="M546" s="155" t="n">
        <v>0.38</v>
      </c>
      <c r="N546" t="inlineStr">
        <is>
          <t>中鋼集團旗下，台灣唯一煤化工製造商</t>
        </is>
      </c>
    </row>
    <row r="547">
      <c r="A547" t="n">
        <v>1725</v>
      </c>
      <c r="B547" t="inlineStr">
        <is>
          <t>元禎</t>
        </is>
      </c>
      <c r="C547" t="n">
        <v>32.3</v>
      </c>
      <c r="D547" t="n">
        <v>32.45</v>
      </c>
      <c r="E547" s="730" t="n">
        <v>0.15</v>
      </c>
      <c r="F547" s="731" t="n">
        <v>0.46</v>
      </c>
      <c r="G547" t="inlineStr">
        <is>
          <t>522萬</t>
        </is>
      </c>
      <c r="H547" t="n">
        <v>162</v>
      </c>
      <c r="I547" t="n">
        <v>237</v>
      </c>
      <c r="J547" t="n">
        <v>18.18</v>
      </c>
      <c r="K547" t="n">
        <v>32.5</v>
      </c>
      <c r="L547" t="n">
        <v>31.85</v>
      </c>
      <c r="M547" s="155" t="n">
        <v>0.09</v>
      </c>
      <c r="N547" t="inlineStr">
        <is>
          <t>石化原料之專業代理商</t>
        </is>
      </c>
    </row>
    <row r="548">
      <c r="A548" t="n">
        <v>1726</v>
      </c>
      <c r="B548" t="inlineStr">
        <is>
          <t>永記</t>
        </is>
      </c>
      <c r="C548" t="n">
        <v>77.7</v>
      </c>
      <c r="D548" t="n">
        <v>78</v>
      </c>
      <c r="E548" s="730" t="n">
        <v>0.2</v>
      </c>
      <c r="F548" s="731" t="n">
        <v>0.26</v>
      </c>
      <c r="G548" t="inlineStr">
        <is>
          <t>203萬</t>
        </is>
      </c>
      <c r="H548" t="n">
        <v>26</v>
      </c>
      <c r="I548" t="n">
        <v>60</v>
      </c>
      <c r="J548" t="n">
        <v>16.2</v>
      </c>
      <c r="K548" t="n">
        <v>78.40000000000001</v>
      </c>
      <c r="L548" t="n">
        <v>77.5</v>
      </c>
      <c r="M548" s="155" t="n">
        <v>0.02</v>
      </c>
      <c r="N548" t="inlineStr">
        <is>
          <t>台灣最大油漆廠，主要生產防火漆</t>
        </is>
      </c>
    </row>
    <row r="549">
      <c r="A549" t="n">
        <v>1727</v>
      </c>
      <c r="B549" t="inlineStr">
        <is>
          <t>中華化</t>
        </is>
      </c>
      <c r="C549" t="n">
        <v>96.2</v>
      </c>
      <c r="D549" t="n">
        <v>95.5</v>
      </c>
      <c r="E549" s="730" t="n">
        <v>0.1</v>
      </c>
      <c r="F549" s="731" t="n">
        <v>0.1</v>
      </c>
      <c r="G549" t="inlineStr">
        <is>
          <t>6.92億</t>
        </is>
      </c>
      <c r="H549" t="n">
        <v>7228</v>
      </c>
      <c r="I549" t="n">
        <v>10254</v>
      </c>
      <c r="J549" t="n">
        <v>12.8</v>
      </c>
      <c r="K549" t="n">
        <v>98.5</v>
      </c>
      <c r="L549" t="n">
        <v>93.5</v>
      </c>
      <c r="M549" s="155" t="n">
        <v>5.65</v>
      </c>
      <c r="N549" t="inlineStr">
        <is>
          <t>台灣主要生產硫酸產品之廠商</t>
        </is>
      </c>
    </row>
    <row r="550">
      <c r="A550" t="n">
        <v>1730</v>
      </c>
      <c r="B550" t="inlineStr">
        <is>
          <t>花仙子</t>
        </is>
      </c>
      <c r="C550" t="n">
        <v>52.5</v>
      </c>
      <c r="D550" t="n">
        <v>52.6</v>
      </c>
      <c r="E550" s="730" t="n">
        <v>0.1</v>
      </c>
      <c r="F550" s="731" t="n">
        <v>0.19</v>
      </c>
      <c r="G550" t="inlineStr">
        <is>
          <t>351萬</t>
        </is>
      </c>
      <c r="H550" t="n">
        <v>67</v>
      </c>
      <c r="I550" t="n">
        <v>45</v>
      </c>
      <c r="J550" t="n">
        <v>6.32</v>
      </c>
      <c r="K550" t="n">
        <v>52.6</v>
      </c>
      <c r="L550" t="n">
        <v>52.3</v>
      </c>
      <c r="M550" s="155" t="n">
        <v>0.11</v>
      </c>
      <c r="N550" t="inlineStr">
        <is>
          <t>台灣最大家庭日用品廠商</t>
        </is>
      </c>
    </row>
    <row r="551">
      <c r="A551" t="n">
        <v>1731</v>
      </c>
      <c r="B551" t="inlineStr">
        <is>
          <t>美吾華</t>
        </is>
      </c>
      <c r="C551" t="n">
        <v>21.4</v>
      </c>
      <c r="D551" t="n">
        <v>21.3</v>
      </c>
      <c r="E551" s="730" t="n">
        <v>-0.1</v>
      </c>
      <c r="F551" s="731" t="n">
        <v>-0.47</v>
      </c>
      <c r="G551" t="inlineStr">
        <is>
          <t>503萬</t>
        </is>
      </c>
      <c r="H551" t="n">
        <v>236</v>
      </c>
      <c r="I551" t="n">
        <v>228</v>
      </c>
      <c r="J551" t="n">
        <v>13.29</v>
      </c>
      <c r="K551" t="n">
        <v>21.45</v>
      </c>
      <c r="L551" t="n">
        <v>21.2</v>
      </c>
      <c r="M551" s="155" t="n">
        <v>0.18</v>
      </c>
      <c r="N551" t="inlineStr">
        <is>
          <t>藥品代理並生產自有品牌染髮劑及沐浴用品</t>
        </is>
      </c>
    </row>
    <row r="552">
      <c r="A552" t="n">
        <v>1732</v>
      </c>
      <c r="B552" t="inlineStr">
        <is>
          <t>毛寶</t>
        </is>
      </c>
      <c r="C552" t="n">
        <v>26.45</v>
      </c>
      <c r="D552" t="n">
        <v>26.2</v>
      </c>
      <c r="E552" s="730" t="n">
        <v>-0.25</v>
      </c>
      <c r="F552" s="731" t="n">
        <v>-0.95</v>
      </c>
      <c r="G552" t="inlineStr">
        <is>
          <t>629萬</t>
        </is>
      </c>
      <c r="H552" t="n">
        <v>240</v>
      </c>
      <c r="I552" t="n">
        <v>227</v>
      </c>
      <c r="J552" t="n">
        <v>4.24</v>
      </c>
      <c r="K552" t="n">
        <v>26.45</v>
      </c>
      <c r="L552" t="n">
        <v>26.1</v>
      </c>
      <c r="M552" s="155" t="n">
        <v>0.57</v>
      </c>
      <c r="N552" t="inlineStr">
        <is>
          <t>台灣主要清潔用品大廠</t>
        </is>
      </c>
    </row>
    <row r="553">
      <c r="A553" t="n">
        <v>1733</v>
      </c>
      <c r="B553" t="inlineStr">
        <is>
          <t>五鼎</t>
        </is>
      </c>
      <c r="C553" t="n">
        <v>30.2</v>
      </c>
      <c r="D553" t="n">
        <v>30.35</v>
      </c>
      <c r="E553" s="730" t="n">
        <v>0.25</v>
      </c>
      <c r="F553" s="731" t="n">
        <v>0.83</v>
      </c>
      <c r="G553" t="inlineStr">
        <is>
          <t>815萬</t>
        </is>
      </c>
      <c r="H553" t="n">
        <v>269</v>
      </c>
      <c r="I553" t="n">
        <v>226</v>
      </c>
      <c r="J553" t="n">
        <v>10</v>
      </c>
      <c r="K553" t="n">
        <v>30.4</v>
      </c>
      <c r="L553" t="n">
        <v>30.15</v>
      </c>
      <c r="M553" s="155" t="n">
        <v>0.27</v>
      </c>
      <c r="N553" t="inlineStr">
        <is>
          <t>台灣血糖測試儀製造的龍頭企業</t>
        </is>
      </c>
    </row>
    <row r="554">
      <c r="A554" t="n">
        <v>1734</v>
      </c>
      <c r="B554" t="inlineStr">
        <is>
          <t>杏輝</t>
        </is>
      </c>
      <c r="C554" t="n">
        <v>31.1</v>
      </c>
      <c r="D554" t="n">
        <v>31.3</v>
      </c>
      <c r="E554" s="730" t="n">
        <v>0.3</v>
      </c>
      <c r="F554" s="731" t="n">
        <v>0.97</v>
      </c>
      <c r="G554" t="inlineStr">
        <is>
          <t>1723萬</t>
        </is>
      </c>
      <c r="H554" t="n">
        <v>554</v>
      </c>
      <c r="I554" t="n">
        <v>468</v>
      </c>
      <c r="J554" t="n">
        <v>19.02</v>
      </c>
      <c r="K554" t="n">
        <v>31.3</v>
      </c>
      <c r="L554" t="n">
        <v>30.85</v>
      </c>
      <c r="M554" s="155" t="n">
        <v>0.29</v>
      </c>
      <c r="N554" t="inlineStr">
        <is>
          <t>台灣老牌學名藥製造商，並跨足保健食品及中草藥原料開發</t>
        </is>
      </c>
    </row>
    <row r="555">
      <c r="A555" t="n">
        <v>1735</v>
      </c>
      <c r="B555" t="inlineStr">
        <is>
          <t>日勝化</t>
        </is>
      </c>
      <c r="C555" t="n">
        <v>25.15</v>
      </c>
      <c r="D555" t="n">
        <v>25.15</v>
      </c>
      <c r="E555" s="730" t="n">
        <v>-0.15</v>
      </c>
      <c r="F555" s="731" t="n">
        <v>-0.59</v>
      </c>
      <c r="G555" t="inlineStr">
        <is>
          <t>999萬</t>
        </is>
      </c>
      <c r="H555" t="n">
        <v>403</v>
      </c>
      <c r="I555" t="n">
        <v>595</v>
      </c>
      <c r="J555" t="n">
        <v>9.94</v>
      </c>
      <c r="K555" t="n">
        <v>25.3</v>
      </c>
      <c r="L555" t="n">
        <v>24.5</v>
      </c>
      <c r="M555" s="155" t="n">
        <v>0.41</v>
      </c>
      <c r="N555" t="inlineStr">
        <is>
          <t>專業合成皮用PU樹脂製造商</t>
        </is>
      </c>
    </row>
    <row r="556">
      <c r="A556" t="n">
        <v>1736</v>
      </c>
      <c r="B556" t="inlineStr">
        <is>
          <t>喬山</t>
        </is>
      </c>
      <c r="C556" t="n">
        <v>118</v>
      </c>
      <c r="D556" t="n">
        <v>118</v>
      </c>
      <c r="E556" s="730" t="n">
        <v>-0.5</v>
      </c>
      <c r="F556" s="731" t="n">
        <v>-0.42</v>
      </c>
      <c r="G556" t="inlineStr">
        <is>
          <t>7198萬</t>
        </is>
      </c>
      <c r="H556" t="n">
        <v>605</v>
      </c>
      <c r="I556" t="n">
        <v>692</v>
      </c>
      <c r="J556" t="n">
        <v>30.34</v>
      </c>
      <c r="K556" t="n">
        <v>122</v>
      </c>
      <c r="L556" t="n">
        <v>117</v>
      </c>
      <c r="M556" s="155" t="n">
        <v>0.2</v>
      </c>
      <c r="N556" t="inlineStr">
        <is>
          <t>全球最大商用健身器材、前三大家用健身器材廠商</t>
        </is>
      </c>
    </row>
    <row r="557">
      <c r="A557" t="n">
        <v>1737</v>
      </c>
      <c r="B557" t="inlineStr">
        <is>
          <t>臺鹽</t>
        </is>
      </c>
      <c r="C557" t="n">
        <v>31.6</v>
      </c>
      <c r="D557" t="n">
        <v>31.6</v>
      </c>
      <c r="E557" s="730" t="n">
        <v>0</v>
      </c>
      <c r="F557" s="731" t="n">
        <v>0</v>
      </c>
      <c r="G557" t="inlineStr">
        <is>
          <t>544萬</t>
        </is>
      </c>
      <c r="H557" t="n">
        <v>172</v>
      </c>
      <c r="I557" t="n">
        <v>187</v>
      </c>
      <c r="J557" t="n">
        <v>20</v>
      </c>
      <c r="K557" t="n">
        <v>31.75</v>
      </c>
      <c r="L557" t="n">
        <v>31.55</v>
      </c>
      <c r="M557" s="155" t="n">
        <v>0.09</v>
      </c>
      <c r="N557" t="inlineStr">
        <is>
          <t>台灣最大製鹽商，並跨足生技及水產品</t>
        </is>
      </c>
    </row>
    <row r="558">
      <c r="A558" t="n">
        <v>1742</v>
      </c>
      <c r="B558" t="inlineStr">
        <is>
          <t>台蠟</t>
        </is>
      </c>
      <c r="C558" t="n">
        <v>15.5</v>
      </c>
      <c r="D558" t="n">
        <v>15.5</v>
      </c>
      <c r="E558" s="730" t="n">
        <v>0.1</v>
      </c>
      <c r="F558" s="731" t="n">
        <v>0.65</v>
      </c>
      <c r="G558" t="inlineStr">
        <is>
          <t>81.8萬</t>
        </is>
      </c>
      <c r="H558" t="n">
        <v>53</v>
      </c>
      <c r="I558" t="n">
        <v>32</v>
      </c>
      <c r="J558" t="n">
        <v>9.27</v>
      </c>
      <c r="K558" t="n">
        <v>15.5</v>
      </c>
      <c r="L558" t="n">
        <v>15.3</v>
      </c>
      <c r="M558" s="155" t="n">
        <v>0.06</v>
      </c>
      <c r="N558" t="inlineStr">
        <is>
          <t>台灣唯一蠟品專業製造商</t>
        </is>
      </c>
    </row>
    <row r="559">
      <c r="A559" t="n">
        <v>1752</v>
      </c>
      <c r="B559" t="inlineStr">
        <is>
          <t>南光</t>
        </is>
      </c>
      <c r="C559" t="n">
        <v>33</v>
      </c>
      <c r="D559" t="n">
        <v>32.55</v>
      </c>
      <c r="E559" s="730" t="n">
        <v>-0.4</v>
      </c>
      <c r="F559" s="731" t="n">
        <v>-1.21</v>
      </c>
      <c r="G559" t="inlineStr">
        <is>
          <t>358萬</t>
        </is>
      </c>
      <c r="H559" t="n">
        <v>110</v>
      </c>
      <c r="I559" t="n">
        <v>91</v>
      </c>
      <c r="J559" t="n">
        <v>10.1</v>
      </c>
      <c r="K559" t="n">
        <v>33</v>
      </c>
      <c r="L559" t="n">
        <v>32.3</v>
      </c>
      <c r="M559" s="155" t="n">
        <v>0.11</v>
      </c>
      <c r="N559" t="inlineStr">
        <is>
          <t>台灣最大針劑製藥廠</t>
        </is>
      </c>
    </row>
    <row r="560">
      <c r="A560" t="n">
        <v>1760</v>
      </c>
      <c r="B560" t="inlineStr">
        <is>
          <t>寶齡富錦</t>
        </is>
      </c>
      <c r="C560" t="n">
        <v>60.9</v>
      </c>
      <c r="D560" t="n">
        <v>60.4</v>
      </c>
      <c r="E560" s="730" t="n">
        <v>-0.3</v>
      </c>
      <c r="F560" s="731" t="n">
        <v>-0.49</v>
      </c>
      <c r="G560" t="inlineStr">
        <is>
          <t>1516萬</t>
        </is>
      </c>
      <c r="H560" t="n">
        <v>252</v>
      </c>
      <c r="I560" t="n">
        <v>236</v>
      </c>
      <c r="J560" t="n">
        <v>8.57</v>
      </c>
      <c r="K560" t="n">
        <v>60.9</v>
      </c>
      <c r="L560" t="n">
        <v>60</v>
      </c>
      <c r="M560" s="155" t="n">
        <v>0.29</v>
      </c>
      <c r="N560" t="inlineStr">
        <is>
          <t>台灣老牌學名藥廠，經營西藥與醫美保健事業</t>
        </is>
      </c>
    </row>
    <row r="561">
      <c r="A561" t="n">
        <v>1762</v>
      </c>
      <c r="B561" t="inlineStr">
        <is>
          <t>中化生</t>
        </is>
      </c>
      <c r="C561" t="n">
        <v>38.75</v>
      </c>
      <c r="D561" t="n">
        <v>38.9</v>
      </c>
      <c r="E561" s="730" t="n">
        <v>0.15</v>
      </c>
      <c r="F561" s="731" t="n">
        <v>0.39</v>
      </c>
      <c r="G561" t="inlineStr">
        <is>
          <t>856萬</t>
        </is>
      </c>
      <c r="H561" t="n">
        <v>222</v>
      </c>
      <c r="I561" t="n">
        <v>515</v>
      </c>
      <c r="J561" t="n">
        <v>7.69</v>
      </c>
      <c r="K561" t="n">
        <v>39</v>
      </c>
      <c r="L561" t="n">
        <v>38.25</v>
      </c>
      <c r="M561" s="155" t="n">
        <v>0.29</v>
      </c>
      <c r="N561" t="inlineStr">
        <is>
          <t>中化旗下原料藥製造商，MMF與MCB在美國為龍頭地位</t>
        </is>
      </c>
    </row>
    <row r="562">
      <c r="A562" t="n">
        <v>1773</v>
      </c>
      <c r="B562" t="inlineStr">
        <is>
          <t>勝一</t>
        </is>
      </c>
      <c r="C562" t="n">
        <v>183</v>
      </c>
      <c r="D562" t="n">
        <v>179</v>
      </c>
      <c r="E562" s="730" t="n">
        <v>-6</v>
      </c>
      <c r="F562" s="731" t="n">
        <v>-3.24</v>
      </c>
      <c r="G562" t="inlineStr">
        <is>
          <t>1.88億</t>
        </is>
      </c>
      <c r="H562" t="n">
        <v>1049</v>
      </c>
      <c r="I562" t="n">
        <v>1756</v>
      </c>
      <c r="J562" t="n">
        <v>30</v>
      </c>
      <c r="K562" t="n">
        <v>183.5</v>
      </c>
      <c r="L562" t="n">
        <v>175.5</v>
      </c>
      <c r="M562" s="155" t="n">
        <v>0.35</v>
      </c>
      <c r="N562" t="inlineStr">
        <is>
          <t>台灣第2大溶劑廠商</t>
        </is>
      </c>
    </row>
    <row r="563">
      <c r="A563" t="n">
        <v>1776</v>
      </c>
      <c r="B563" t="inlineStr">
        <is>
          <t>展宇</t>
        </is>
      </c>
      <c r="C563" t="n">
        <v>18.2</v>
      </c>
      <c r="D563" t="n">
        <v>18.5</v>
      </c>
      <c r="E563" s="730" t="n">
        <v>0.15</v>
      </c>
      <c r="F563" s="731" t="n">
        <v>0.82</v>
      </c>
      <c r="G563" t="inlineStr">
        <is>
          <t>456萬</t>
        </is>
      </c>
      <c r="H563" t="n">
        <v>251</v>
      </c>
      <c r="I563" t="n">
        <v>145</v>
      </c>
      <c r="J563" t="n">
        <v>6.01</v>
      </c>
      <c r="K563" t="n">
        <v>18.75</v>
      </c>
      <c r="L563" t="n">
        <v>17.7</v>
      </c>
      <c r="M563" s="155" t="n">
        <v>0.42</v>
      </c>
      <c r="N563" t="inlineStr">
        <is>
          <t>台灣PU樹脂及硬化劑大廠</t>
        </is>
      </c>
    </row>
    <row r="564">
      <c r="A564" t="n">
        <v>1777</v>
      </c>
      <c r="B564" t="inlineStr">
        <is>
          <t>生泰</t>
        </is>
      </c>
      <c r="C564" t="n">
        <v>71.59999999999999</v>
      </c>
      <c r="D564" t="n">
        <v>71.7</v>
      </c>
      <c r="E564" s="730" t="n">
        <v>0.1</v>
      </c>
      <c r="F564" s="731" t="n">
        <v>0.14</v>
      </c>
      <c r="G564" t="inlineStr">
        <is>
          <t>302萬</t>
        </is>
      </c>
      <c r="H564" t="n">
        <v>42</v>
      </c>
      <c r="I564" t="n">
        <v>29</v>
      </c>
      <c r="J564" t="n">
        <v>4.46</v>
      </c>
      <c r="K564" t="n">
        <v>72.59999999999999</v>
      </c>
      <c r="L564" t="n">
        <v>71.40000000000001</v>
      </c>
      <c r="M564" s="155" t="n">
        <v>0.09</v>
      </c>
      <c r="N564" t="inlineStr">
        <is>
          <t>生達集團旗下開發及產製原料藥廠商</t>
        </is>
      </c>
    </row>
    <row r="565">
      <c r="A565" t="n">
        <v>1781</v>
      </c>
      <c r="B565" t="inlineStr">
        <is>
          <t>合世</t>
        </is>
      </c>
      <c r="C565" t="n">
        <v>10.95</v>
      </c>
      <c r="D565" t="n">
        <v>12</v>
      </c>
      <c r="E565" s="730" t="n">
        <v>1.05</v>
      </c>
      <c r="F565" s="731" t="n">
        <v>9.59</v>
      </c>
      <c r="G565" t="inlineStr">
        <is>
          <t>276萬</t>
        </is>
      </c>
      <c r="H565" t="n">
        <v>232</v>
      </c>
      <c r="I565" t="n">
        <v>54</v>
      </c>
      <c r="J565" t="n">
        <v>4.74</v>
      </c>
      <c r="K565" t="n">
        <v>12</v>
      </c>
      <c r="L565" t="n">
        <v>10.95</v>
      </c>
      <c r="M565" s="155" t="n">
        <v>0.49</v>
      </c>
      <c r="N565" t="inlineStr">
        <is>
          <t>全球前三大電子式血壓計廠</t>
        </is>
      </c>
    </row>
    <row r="566">
      <c r="A566" t="n">
        <v>1783</v>
      </c>
      <c r="B566" t="inlineStr">
        <is>
          <t>和康生</t>
        </is>
      </c>
      <c r="C566" t="n">
        <v>38.8</v>
      </c>
      <c r="D566" t="n">
        <v>38.65</v>
      </c>
      <c r="E566" s="730" t="n">
        <v>-0.15</v>
      </c>
      <c r="F566" s="731" t="n">
        <v>-0.39</v>
      </c>
      <c r="G566" t="inlineStr">
        <is>
          <t>464萬</t>
        </is>
      </c>
      <c r="H566" t="n">
        <v>120</v>
      </c>
      <c r="I566" t="n">
        <v>128</v>
      </c>
      <c r="J566" t="n">
        <v>8.970000000000001</v>
      </c>
      <c r="K566" t="n">
        <v>39</v>
      </c>
      <c r="L566" t="n">
        <v>38.45</v>
      </c>
      <c r="M566" s="155" t="n">
        <v>0.13</v>
      </c>
      <c r="N566" t="inlineStr">
        <is>
          <t>專注膠原蛋白之高階醫材及醫美保養產品</t>
        </is>
      </c>
    </row>
    <row r="567">
      <c r="A567" t="n">
        <v>1784</v>
      </c>
      <c r="B567" t="inlineStr">
        <is>
          <t>訊聯</t>
        </is>
      </c>
      <c r="C567" t="n">
        <v>66.3</v>
      </c>
      <c r="D567" t="n">
        <v>65.5</v>
      </c>
      <c r="E567" s="730" t="n">
        <v>-0.7</v>
      </c>
      <c r="F567" s="731" t="n">
        <v>-1.06</v>
      </c>
      <c r="G567" t="inlineStr">
        <is>
          <t>2139萬</t>
        </is>
      </c>
      <c r="H567" t="n">
        <v>326</v>
      </c>
      <c r="I567" t="n">
        <v>428</v>
      </c>
      <c r="J567" t="n">
        <v>5.31</v>
      </c>
      <c r="K567" t="n">
        <v>66.3</v>
      </c>
      <c r="L567" t="n">
        <v>65.2</v>
      </c>
      <c r="M567" s="155" t="n">
        <v>0.61</v>
      </c>
      <c r="N567" t="inlineStr">
        <is>
          <t>台灣首家私營臍帶血公司</t>
        </is>
      </c>
    </row>
    <row r="568">
      <c r="A568" t="n">
        <v>1785</v>
      </c>
      <c r="B568" t="inlineStr">
        <is>
          <t>光洋科</t>
        </is>
      </c>
      <c r="C568" t="n">
        <v>155.5</v>
      </c>
      <c r="D568" t="n">
        <v>144</v>
      </c>
      <c r="E568" s="730" t="n">
        <v>-13</v>
      </c>
      <c r="F568" s="731" t="n">
        <v>-8.279999999999999</v>
      </c>
      <c r="G568" t="inlineStr">
        <is>
          <t>53.6億</t>
        </is>
      </c>
      <c r="H568" t="n">
        <v>36591</v>
      </c>
      <c r="I568" t="n">
        <v>42652</v>
      </c>
      <c r="J568" t="n">
        <v>59.6</v>
      </c>
      <c r="K568" t="n">
        <v>155.5</v>
      </c>
      <c r="L568" t="n">
        <v>141.5</v>
      </c>
      <c r="M568" s="155" t="n">
        <v>6.14</v>
      </c>
      <c r="N568" t="inlineStr">
        <is>
          <t>全球最大硬碟靶材供應商</t>
        </is>
      </c>
    </row>
    <row r="569">
      <c r="A569" t="n">
        <v>1786</v>
      </c>
      <c r="B569" t="inlineStr">
        <is>
          <t>科妍</t>
        </is>
      </c>
      <c r="C569" t="n">
        <v>54.9</v>
      </c>
      <c r="D569" t="n">
        <v>54.5</v>
      </c>
      <c r="E569" s="730" t="n">
        <v>-0.3</v>
      </c>
      <c r="F569" s="731" t="n">
        <v>-0.55</v>
      </c>
      <c r="G569" t="inlineStr">
        <is>
          <t>1354萬</t>
        </is>
      </c>
      <c r="H569" t="n">
        <v>251</v>
      </c>
      <c r="I569" t="n">
        <v>323</v>
      </c>
      <c r="J569" t="n">
        <v>7.48</v>
      </c>
      <c r="K569" t="n">
        <v>55</v>
      </c>
      <c r="L569" t="n">
        <v>53.3</v>
      </c>
      <c r="M569" s="155" t="n">
        <v>0.34</v>
      </c>
      <c r="N569" t="inlineStr">
        <is>
          <t>台灣首家醫療級玻尿酸醫材廠</t>
        </is>
      </c>
    </row>
    <row r="570">
      <c r="A570" t="n">
        <v>1788</v>
      </c>
      <c r="B570" t="inlineStr">
        <is>
          <t>杏昌</t>
        </is>
      </c>
      <c r="C570" t="n">
        <v>134.5</v>
      </c>
      <c r="D570" t="n">
        <v>134</v>
      </c>
      <c r="E570" s="730" t="n">
        <v>0</v>
      </c>
      <c r="F570" s="731" t="n">
        <v>0</v>
      </c>
      <c r="G570" t="inlineStr">
        <is>
          <t>751萬</t>
        </is>
      </c>
      <c r="H570" t="n">
        <v>56</v>
      </c>
      <c r="I570" t="n">
        <v>71</v>
      </c>
      <c r="J570" t="n">
        <v>4.45</v>
      </c>
      <c r="K570" t="n">
        <v>134.5</v>
      </c>
      <c r="L570" t="n">
        <v>134</v>
      </c>
      <c r="M570" s="155" t="n">
        <v>0.13</v>
      </c>
      <c r="N570" t="inlineStr">
        <is>
          <t>代理歐美日一線廠牌醫療器材為主</t>
        </is>
      </c>
    </row>
    <row r="571">
      <c r="A571" t="n">
        <v>1789</v>
      </c>
      <c r="B571" t="inlineStr">
        <is>
          <t>神隆</t>
        </is>
      </c>
      <c r="C571" t="n">
        <v>19.85</v>
      </c>
      <c r="D571" t="n">
        <v>20.05</v>
      </c>
      <c r="E571" s="730" t="n">
        <v>0.35</v>
      </c>
      <c r="F571" s="731" t="n">
        <v>1.78</v>
      </c>
      <c r="G571" t="inlineStr">
        <is>
          <t>1412萬</t>
        </is>
      </c>
      <c r="H571" t="n">
        <v>713</v>
      </c>
      <c r="I571" t="n">
        <v>826</v>
      </c>
      <c r="J571" t="n">
        <v>79.06999999999999</v>
      </c>
      <c r="K571" t="n">
        <v>20.05</v>
      </c>
      <c r="L571" t="n">
        <v>19.5</v>
      </c>
      <c r="M571" s="155" t="n">
        <v>0.09</v>
      </c>
      <c r="N571" t="inlineStr">
        <is>
          <t>台灣原料藥龍頭企業</t>
        </is>
      </c>
    </row>
    <row r="572">
      <c r="A572" t="n">
        <v>1795</v>
      </c>
      <c r="B572" t="inlineStr">
        <is>
          <t>美時</t>
        </is>
      </c>
      <c r="C572" t="n">
        <v>198.5</v>
      </c>
      <c r="D572" t="n">
        <v>196</v>
      </c>
      <c r="E572" s="730" t="n">
        <v>-2.5</v>
      </c>
      <c r="F572" s="731" t="n">
        <v>-1.26</v>
      </c>
      <c r="G572" t="inlineStr">
        <is>
          <t>2.42億</t>
        </is>
      </c>
      <c r="H572" t="n">
        <v>1237</v>
      </c>
      <c r="I572" t="n">
        <v>1866</v>
      </c>
      <c r="J572" t="n">
        <v>26.69</v>
      </c>
      <c r="K572" t="n">
        <v>198.5</v>
      </c>
      <c r="L572" t="n">
        <v>194.5</v>
      </c>
      <c r="M572" s="155" t="n">
        <v>0.46</v>
      </c>
      <c r="N572" t="inlineStr">
        <is>
          <t>台灣老牌學名藥廠，從事困難學名藥與癌症學名藥之製造</t>
        </is>
      </c>
    </row>
    <row r="573">
      <c r="A573" t="n">
        <v>1796</v>
      </c>
      <c r="B573" t="inlineStr">
        <is>
          <t>金穎生技</t>
        </is>
      </c>
      <c r="C573" t="n">
        <v>35.5</v>
      </c>
      <c r="D573" t="n">
        <v>36.15</v>
      </c>
      <c r="E573" s="730" t="n">
        <v>0.65</v>
      </c>
      <c r="F573" s="731" t="n">
        <v>1.83</v>
      </c>
      <c r="G573" t="inlineStr">
        <is>
          <t>64.7萬</t>
        </is>
      </c>
      <c r="H573" t="n">
        <v>18</v>
      </c>
      <c r="I573" t="n">
        <v>16</v>
      </c>
      <c r="J573" t="n">
        <v>4.15</v>
      </c>
      <c r="K573" t="n">
        <v>36.4</v>
      </c>
      <c r="L573" t="n">
        <v>35.5</v>
      </c>
      <c r="M573" s="155" t="n">
        <v>0.04</v>
      </c>
      <c r="N573" t="inlineStr">
        <is>
          <t>為醱酵原料及保健品廠商</t>
        </is>
      </c>
    </row>
    <row r="574">
      <c r="A574" t="n">
        <v>1799</v>
      </c>
      <c r="B574" t="inlineStr">
        <is>
          <t>易威</t>
        </is>
      </c>
      <c r="C574" t="n">
        <v>32.85</v>
      </c>
      <c r="D574" t="n">
        <v>33.4</v>
      </c>
      <c r="E574" s="730" t="n">
        <v>0.35</v>
      </c>
      <c r="F574" s="731" t="n">
        <v>1.06</v>
      </c>
      <c r="G574" t="inlineStr">
        <is>
          <t>701萬</t>
        </is>
      </c>
      <c r="H574" t="n">
        <v>207</v>
      </c>
      <c r="I574" t="n">
        <v>151</v>
      </c>
      <c r="J574" t="n">
        <v>12.47</v>
      </c>
      <c r="K574" t="n">
        <v>34.65</v>
      </c>
      <c r="L574" t="n">
        <v>32.75</v>
      </c>
      <c r="M574" s="155" t="n">
        <v>0.17</v>
      </c>
      <c r="N574" t="inlineStr">
        <is>
          <t>台灣特殊學名藥研發廠</t>
        </is>
      </c>
    </row>
    <row r="575">
      <c r="A575" t="n">
        <v>1802</v>
      </c>
      <c r="B575" t="inlineStr">
        <is>
          <t>台玻</t>
        </is>
      </c>
      <c r="C575" t="n">
        <v>75.5</v>
      </c>
      <c r="D575" t="n">
        <v>71</v>
      </c>
      <c r="E575" s="730" t="n">
        <v>-3.8</v>
      </c>
      <c r="F575" s="731" t="n">
        <v>-5.08</v>
      </c>
      <c r="G575" t="inlineStr">
        <is>
          <t>109億</t>
        </is>
      </c>
      <c r="H575" t="n">
        <v>148403</v>
      </c>
      <c r="I575" t="n">
        <v>180590</v>
      </c>
      <c r="J575" t="n">
        <v>290.81</v>
      </c>
      <c r="K575" t="n">
        <v>76.8</v>
      </c>
      <c r="L575" t="n">
        <v>70.59999999999999</v>
      </c>
      <c r="M575" s="155" t="n">
        <v>5.1</v>
      </c>
      <c r="N575" t="inlineStr">
        <is>
          <t>台灣第一大玻璃生產商</t>
        </is>
      </c>
    </row>
    <row r="576">
      <c r="A576" t="n">
        <v>1805</v>
      </c>
      <c r="B576" t="inlineStr">
        <is>
          <t>寶徠</t>
        </is>
      </c>
      <c r="C576" t="n">
        <v>10</v>
      </c>
      <c r="D576" t="n">
        <v>10.05</v>
      </c>
      <c r="E576" s="730" t="n">
        <v>0</v>
      </c>
      <c r="F576" s="731" t="n">
        <v>0</v>
      </c>
      <c r="G576" t="inlineStr">
        <is>
          <t>93.0萬</t>
        </is>
      </c>
      <c r="H576" t="n">
        <v>93</v>
      </c>
      <c r="I576" t="n">
        <v>112</v>
      </c>
      <c r="J576" t="n">
        <v>13.5</v>
      </c>
      <c r="K576" t="n">
        <v>10.05</v>
      </c>
      <c r="L576" t="n">
        <v>9.970000000000001</v>
      </c>
      <c r="M576" s="155" t="n">
        <v>0.07000000000000001</v>
      </c>
      <c r="N576" t="inlineStr">
        <is>
          <t>知名建案「寶徠花園廣場」建商</t>
        </is>
      </c>
    </row>
    <row r="577">
      <c r="A577" t="n">
        <v>1806</v>
      </c>
      <c r="B577" t="inlineStr">
        <is>
          <t>冠軍</t>
        </is>
      </c>
      <c r="C577" t="n">
        <v>8.09</v>
      </c>
      <c r="D577" t="n">
        <v>8.16</v>
      </c>
      <c r="E577" s="730" t="n">
        <v>0.07000000000000001</v>
      </c>
      <c r="F577" s="731" t="n">
        <v>0.87</v>
      </c>
      <c r="G577" t="inlineStr">
        <is>
          <t>456萬</t>
        </is>
      </c>
      <c r="H577" t="n">
        <v>571</v>
      </c>
      <c r="I577" t="n">
        <v>419</v>
      </c>
      <c r="J577" t="n">
        <v>39.04</v>
      </c>
      <c r="K577" t="n">
        <v>8.16</v>
      </c>
      <c r="L577" t="n">
        <v>8.06</v>
      </c>
      <c r="M577" s="155" t="n">
        <v>0.15</v>
      </c>
      <c r="N577" t="inlineStr">
        <is>
          <t>台灣最大瓷磚廠商</t>
        </is>
      </c>
    </row>
    <row r="578">
      <c r="A578" t="n">
        <v>1808</v>
      </c>
      <c r="B578" t="inlineStr">
        <is>
          <t>潤隆</t>
        </is>
      </c>
      <c r="C578" t="n">
        <v>29</v>
      </c>
      <c r="D578" t="n">
        <v>29.25</v>
      </c>
      <c r="E578" s="730" t="n">
        <v>0.15</v>
      </c>
      <c r="F578" s="731" t="n">
        <v>0.52</v>
      </c>
      <c r="G578" t="inlineStr">
        <is>
          <t>3747萬</t>
        </is>
      </c>
      <c r="H578" t="n">
        <v>1310</v>
      </c>
      <c r="I578" t="n">
        <v>1776</v>
      </c>
      <c r="J578" t="n">
        <v>89.3</v>
      </c>
      <c r="K578" t="n">
        <v>29.3</v>
      </c>
      <c r="L578" t="n">
        <v>28.75</v>
      </c>
      <c r="M578" s="155" t="n">
        <v>0.15</v>
      </c>
      <c r="N578" t="inlineStr">
        <is>
          <t>興富發集團旗下建商</t>
        </is>
      </c>
    </row>
    <row r="579">
      <c r="A579" t="n">
        <v>1809</v>
      </c>
      <c r="B579" t="inlineStr">
        <is>
          <t>中釉</t>
        </is>
      </c>
      <c r="C579" t="n">
        <v>49.9</v>
      </c>
      <c r="D579" t="n">
        <v>52.6</v>
      </c>
      <c r="E579" s="730" t="n">
        <v>4.7</v>
      </c>
      <c r="F579" s="731" t="n">
        <v>9.81</v>
      </c>
      <c r="G579" t="inlineStr">
        <is>
          <t>3.85億</t>
        </is>
      </c>
      <c r="H579" t="n">
        <v>7371</v>
      </c>
      <c r="I579" t="n">
        <v>10810</v>
      </c>
      <c r="J579" t="n">
        <v>16.7</v>
      </c>
      <c r="K579" t="n">
        <v>52.6</v>
      </c>
      <c r="L579" t="n">
        <v>49.9</v>
      </c>
      <c r="M579" s="155" t="n">
        <v>4.41</v>
      </c>
      <c r="N579" t="inlineStr">
        <is>
          <t>亞洲最大色釉料廠</t>
        </is>
      </c>
    </row>
    <row r="580">
      <c r="A580" t="n">
        <v>1810</v>
      </c>
      <c r="B580" t="inlineStr">
        <is>
          <t>和成</t>
        </is>
      </c>
      <c r="C580" t="n">
        <v>20.3</v>
      </c>
      <c r="D580" t="n">
        <v>19.6</v>
      </c>
      <c r="E580" s="730" t="n">
        <v>-0.45</v>
      </c>
      <c r="F580" s="731" t="n">
        <v>-2.24</v>
      </c>
      <c r="G580" t="inlineStr">
        <is>
          <t>6939萬</t>
        </is>
      </c>
      <c r="H580" t="n">
        <v>3539</v>
      </c>
      <c r="I580" t="n">
        <v>6695</v>
      </c>
      <c r="J580" t="n">
        <v>30.23</v>
      </c>
      <c r="K580" t="n">
        <v>20.3</v>
      </c>
      <c r="L580" t="n">
        <v>19.3</v>
      </c>
      <c r="M580" s="155" t="n">
        <v>1.17</v>
      </c>
      <c r="N580" t="inlineStr">
        <is>
          <t>台灣衛浴設備大廠</t>
        </is>
      </c>
    </row>
    <row r="581">
      <c r="A581" t="n">
        <v>1813</v>
      </c>
      <c r="B581" t="inlineStr">
        <is>
          <t>寶利徠</t>
        </is>
      </c>
      <c r="C581" t="n">
        <v>11.9</v>
      </c>
      <c r="D581" t="n">
        <v>11.95</v>
      </c>
      <c r="E581" s="730" t="n">
        <v>0.05</v>
      </c>
      <c r="F581" s="731" t="n">
        <v>0.42</v>
      </c>
      <c r="G581" t="inlineStr">
        <is>
          <t>17.9萬</t>
        </is>
      </c>
      <c r="H581" t="n">
        <v>15</v>
      </c>
      <c r="I581" t="n">
        <v>111</v>
      </c>
      <c r="J581" t="n">
        <v>4.66</v>
      </c>
      <c r="K581" t="n">
        <v>11.95</v>
      </c>
      <c r="L581" t="n">
        <v>11.9</v>
      </c>
      <c r="M581" s="155" t="n">
        <v>0.03</v>
      </c>
      <c r="N581" t="inlineStr">
        <is>
          <t>全球第三大PC(聚碳酸酯樹脂)光學鏡片商</t>
        </is>
      </c>
    </row>
    <row r="582">
      <c r="A582" t="n">
        <v>1815</v>
      </c>
      <c r="B582" t="inlineStr">
        <is>
          <t>富喬</t>
        </is>
      </c>
      <c r="C582" t="n">
        <v>111.5</v>
      </c>
      <c r="D582" t="n">
        <v>109.5</v>
      </c>
      <c r="E582" s="730" t="n">
        <v>0.5</v>
      </c>
      <c r="F582" s="731" t="n">
        <v>0.46</v>
      </c>
      <c r="G582" t="inlineStr">
        <is>
          <t>49.3億</t>
        </is>
      </c>
      <c r="H582" t="n">
        <v>44823</v>
      </c>
      <c r="I582" t="n">
        <v>42197</v>
      </c>
      <c r="J582" t="n">
        <v>58.55</v>
      </c>
      <c r="K582" t="n">
        <v>113</v>
      </c>
      <c r="L582" t="n">
        <v>106</v>
      </c>
      <c r="M582" s="155" t="n">
        <v>7.66</v>
      </c>
      <c r="N582" t="inlineStr">
        <is>
          <t>台灣玻纖紗、玻纖布一貫廠</t>
        </is>
      </c>
    </row>
    <row r="583">
      <c r="A583" t="n">
        <v>1817</v>
      </c>
      <c r="B583" t="inlineStr">
        <is>
          <t>凱撒衛</t>
        </is>
      </c>
      <c r="C583" t="n">
        <v>39.5</v>
      </c>
      <c r="D583" t="n">
        <v>39.45</v>
      </c>
      <c r="E583" s="730" t="n">
        <v>-0.1</v>
      </c>
      <c r="F583" s="731" t="n">
        <v>-0.25</v>
      </c>
      <c r="G583" t="inlineStr">
        <is>
          <t>86.8萬</t>
        </is>
      </c>
      <c r="H583" t="n">
        <v>22</v>
      </c>
      <c r="I583" t="n">
        <v>40</v>
      </c>
      <c r="J583" t="n">
        <v>7.26</v>
      </c>
      <c r="K583" t="n">
        <v>39.55</v>
      </c>
      <c r="L583" t="n">
        <v>39.4</v>
      </c>
      <c r="M583" s="155" t="n">
        <v>0.03</v>
      </c>
      <c r="N583" t="inlineStr">
        <is>
          <t>台灣衛浴設備大廠</t>
        </is>
      </c>
    </row>
    <row r="584">
      <c r="A584" t="n">
        <v>1903</v>
      </c>
      <c r="B584" t="inlineStr">
        <is>
          <t>士紙</t>
        </is>
      </c>
      <c r="C584" t="n">
        <v>49.1</v>
      </c>
      <c r="D584" t="n">
        <v>48.95</v>
      </c>
      <c r="E584" s="730" t="n">
        <v>-0.45</v>
      </c>
      <c r="F584" s="731" t="n">
        <v>-0.91</v>
      </c>
      <c r="G584" t="inlineStr">
        <is>
          <t>1175萬</t>
        </is>
      </c>
      <c r="H584" t="n">
        <v>241</v>
      </c>
      <c r="I584" t="n">
        <v>323</v>
      </c>
      <c r="J584" t="n">
        <v>26</v>
      </c>
      <c r="K584" t="n">
        <v>49.3</v>
      </c>
      <c r="L584" t="n">
        <v>48.5</v>
      </c>
      <c r="M584" s="155" t="n">
        <v>0.09</v>
      </c>
      <c r="N584" t="inlineStr">
        <is>
          <t>從事濕紙巾、嬰幼兒洗沐與防疫用品、保養品業務</t>
        </is>
      </c>
    </row>
    <row r="585">
      <c r="A585" t="n">
        <v>1904</v>
      </c>
      <c r="B585" t="inlineStr">
        <is>
          <t>正隆</t>
        </is>
      </c>
      <c r="C585" t="n">
        <v>20</v>
      </c>
      <c r="D585" t="n">
        <v>20.05</v>
      </c>
      <c r="E585" s="730" t="n">
        <v>0.4</v>
      </c>
      <c r="F585" s="731" t="n">
        <v>2.04</v>
      </c>
      <c r="G585" t="inlineStr">
        <is>
          <t>9563萬</t>
        </is>
      </c>
      <c r="H585" t="n">
        <v>4764</v>
      </c>
      <c r="I585" t="n">
        <v>1723</v>
      </c>
      <c r="J585" t="n">
        <v>110.83</v>
      </c>
      <c r="K585" t="n">
        <v>20.35</v>
      </c>
      <c r="L585" t="n">
        <v>19.7</v>
      </c>
      <c r="M585" s="155" t="n">
        <v>0.43</v>
      </c>
      <c r="N585" t="inlineStr">
        <is>
          <t>台灣最大工業用紙生產商</t>
        </is>
      </c>
    </row>
    <row r="586">
      <c r="A586" t="n">
        <v>1905</v>
      </c>
      <c r="B586" t="inlineStr">
        <is>
          <t>華紙</t>
        </is>
      </c>
      <c r="C586" t="n">
        <v>12.15</v>
      </c>
      <c r="D586" t="n">
        <v>12.25</v>
      </c>
      <c r="E586" s="730" t="n">
        <v>0.1</v>
      </c>
      <c r="F586" s="731" t="n">
        <v>0.82</v>
      </c>
      <c r="G586" t="inlineStr">
        <is>
          <t>4017萬</t>
        </is>
      </c>
      <c r="H586" t="n">
        <v>3335</v>
      </c>
      <c r="I586" t="n">
        <v>3836</v>
      </c>
      <c r="J586" t="n">
        <v>110.28</v>
      </c>
      <c r="K586" t="n">
        <v>12.25</v>
      </c>
      <c r="L586" t="n">
        <v>12</v>
      </c>
      <c r="M586" s="155" t="n">
        <v>0.3</v>
      </c>
      <c r="N586" t="inlineStr">
        <is>
          <t>紙漿及文化用紙一貫廠，亦為永豐餘子公司</t>
        </is>
      </c>
    </row>
    <row r="587">
      <c r="A587" t="n">
        <v>1906</v>
      </c>
      <c r="B587" t="inlineStr">
        <is>
          <t>寶隆</t>
        </is>
      </c>
      <c r="C587" t="n">
        <v>10.3</v>
      </c>
      <c r="D587" t="n">
        <v>10.45</v>
      </c>
      <c r="E587" s="730" t="n">
        <v>0.15</v>
      </c>
      <c r="F587" s="731" t="n">
        <v>1.46</v>
      </c>
      <c r="G587" t="inlineStr">
        <is>
          <t>73.2萬</t>
        </is>
      </c>
      <c r="H587" t="n">
        <v>72</v>
      </c>
      <c r="I587" t="n">
        <v>169</v>
      </c>
      <c r="J587" t="n">
        <v>15.1</v>
      </c>
      <c r="K587" t="n">
        <v>10.45</v>
      </c>
      <c r="L587" t="n">
        <v>10.25</v>
      </c>
      <c r="M587" s="155" t="n">
        <v>0.05</v>
      </c>
      <c r="N587" t="inlineStr">
        <is>
          <t>榮成轉投資之工業用紙代銷商</t>
        </is>
      </c>
    </row>
    <row r="588">
      <c r="A588" t="n">
        <v>1907</v>
      </c>
      <c r="B588" t="inlineStr">
        <is>
          <t>永豐餘</t>
        </is>
      </c>
      <c r="C588" t="n">
        <v>24.3</v>
      </c>
      <c r="D588" t="n">
        <v>24.35</v>
      </c>
      <c r="E588" s="730" t="n">
        <v>-0.1</v>
      </c>
      <c r="F588" s="731" t="n">
        <v>-0.41</v>
      </c>
      <c r="G588" t="inlineStr">
        <is>
          <t>4431萬</t>
        </is>
      </c>
      <c r="H588" t="n">
        <v>1814</v>
      </c>
      <c r="I588" t="n">
        <v>1417</v>
      </c>
      <c r="J588" t="n">
        <v>166.04</v>
      </c>
      <c r="K588" t="n">
        <v>24.55</v>
      </c>
      <c r="L588" t="n">
        <v>24.2</v>
      </c>
      <c r="M588" s="155" t="n">
        <v>0.11</v>
      </c>
      <c r="N588" t="inlineStr">
        <is>
          <t>台灣第一大造紙集團</t>
        </is>
      </c>
    </row>
    <row r="589">
      <c r="A589" t="n">
        <v>1909</v>
      </c>
      <c r="B589" t="inlineStr">
        <is>
          <t>榮成</t>
        </is>
      </c>
      <c r="C589" t="n">
        <v>9</v>
      </c>
      <c r="D589" t="n">
        <v>9.08</v>
      </c>
      <c r="E589" s="730" t="n">
        <v>0.04</v>
      </c>
      <c r="F589" s="731" t="n">
        <v>0.44</v>
      </c>
      <c r="G589" t="inlineStr">
        <is>
          <t>2145萬</t>
        </is>
      </c>
      <c r="H589" t="n">
        <v>2386</v>
      </c>
      <c r="I589" t="n">
        <v>3530</v>
      </c>
      <c r="J589" t="n">
        <v>132.77</v>
      </c>
      <c r="K589" t="n">
        <v>9.09</v>
      </c>
      <c r="L589" t="n">
        <v>8.970000000000001</v>
      </c>
      <c r="M589" s="155" t="n">
        <v>0.18</v>
      </c>
      <c r="N589" t="inlineStr">
        <is>
          <t>國內前三大工業用紙生產商</t>
        </is>
      </c>
    </row>
    <row r="590">
      <c r="A590" t="n">
        <v>2002</v>
      </c>
      <c r="B590" t="inlineStr">
        <is>
          <t>中鋼</t>
        </is>
      </c>
      <c r="C590" t="n">
        <v>19.1</v>
      </c>
      <c r="D590" t="n">
        <v>18.95</v>
      </c>
      <c r="E590" s="730" t="n">
        <v>-0.15</v>
      </c>
      <c r="F590" s="731" t="n">
        <v>-0.79</v>
      </c>
      <c r="G590" t="inlineStr">
        <is>
          <t>13.2億</t>
        </is>
      </c>
      <c r="H590" t="n">
        <v>70335</v>
      </c>
      <c r="I590" t="n">
        <v>122093</v>
      </c>
      <c r="J590" t="n">
        <v>1573.49</v>
      </c>
      <c r="K590" t="n">
        <v>19.1</v>
      </c>
      <c r="L590" t="n">
        <v>18.8</v>
      </c>
      <c r="M590" s="155" t="n">
        <v>0.45</v>
      </c>
      <c r="N590" t="inlineStr">
        <is>
          <t>台灣最大設有高爐的一貫作業鋼廠</t>
        </is>
      </c>
    </row>
    <row r="591">
      <c r="A591" t="n">
        <v>2006</v>
      </c>
      <c r="B591" t="inlineStr">
        <is>
          <t>東和鋼鐵</t>
        </is>
      </c>
      <c r="C591" t="n">
        <v>67.5</v>
      </c>
      <c r="D591" t="n">
        <v>66.5</v>
      </c>
      <c r="E591" s="730" t="n">
        <v>-1.1</v>
      </c>
      <c r="F591" s="731" t="n">
        <v>-1.63</v>
      </c>
      <c r="G591" t="inlineStr">
        <is>
          <t>2.11億</t>
        </is>
      </c>
      <c r="H591" t="n">
        <v>3165</v>
      </c>
      <c r="I591" t="n">
        <v>3068</v>
      </c>
      <c r="J591" t="n">
        <v>73.02</v>
      </c>
      <c r="K591" t="n">
        <v>67.59999999999999</v>
      </c>
      <c r="L591" t="n">
        <v>65.8</v>
      </c>
      <c r="M591" s="155" t="n">
        <v>0.43</v>
      </c>
      <c r="N591" t="inlineStr">
        <is>
          <t>台灣最大型鋼廠及三大鋼筋廠之一</t>
        </is>
      </c>
    </row>
    <row r="592">
      <c r="A592" t="n">
        <v>2007</v>
      </c>
      <c r="B592" t="inlineStr">
        <is>
          <t>燁興</t>
        </is>
      </c>
      <c r="C592" t="n">
        <v>7.74</v>
      </c>
      <c r="D592" t="n">
        <v>7.6</v>
      </c>
      <c r="E592" s="730" t="n">
        <v>-0.04</v>
      </c>
      <c r="F592" s="731" t="n">
        <v>-0.52</v>
      </c>
      <c r="G592" t="inlineStr">
        <is>
          <t>346萬</t>
        </is>
      </c>
      <c r="H592" t="n">
        <v>457</v>
      </c>
      <c r="I592" t="n">
        <v>790</v>
      </c>
      <c r="J592" t="n">
        <v>53.07</v>
      </c>
      <c r="K592" t="n">
        <v>7.74</v>
      </c>
      <c r="L592" t="n">
        <v>7.52</v>
      </c>
      <c r="M592" s="155" t="n">
        <v>0.09</v>
      </c>
      <c r="N592" t="inlineStr">
        <is>
          <t>台灣不鏽鋼線材盤元大廠之一</t>
        </is>
      </c>
    </row>
    <row r="593">
      <c r="A593" t="n">
        <v>2008</v>
      </c>
      <c r="B593" t="inlineStr">
        <is>
          <t>高興昌</t>
        </is>
      </c>
      <c r="C593" t="n">
        <v>29</v>
      </c>
      <c r="D593" t="n">
        <v>29.2</v>
      </c>
      <c r="E593" s="730" t="n">
        <v>0.2</v>
      </c>
      <c r="F593" s="731" t="n">
        <v>0.6899999999999999</v>
      </c>
      <c r="G593" t="inlineStr">
        <is>
          <t>209萬</t>
        </is>
      </c>
      <c r="H593" t="n">
        <v>72</v>
      </c>
      <c r="I593" t="n">
        <v>29</v>
      </c>
      <c r="J593" t="n">
        <v>19.09</v>
      </c>
      <c r="K593" t="n">
        <v>29.2</v>
      </c>
      <c r="L593" t="n">
        <v>28.75</v>
      </c>
      <c r="M593" s="155" t="n">
        <v>0.04</v>
      </c>
      <c r="N593" t="inlineStr">
        <is>
          <t>台灣製管專業製造廠商</t>
        </is>
      </c>
    </row>
    <row r="594">
      <c r="A594" t="n">
        <v>2009</v>
      </c>
      <c r="B594" t="inlineStr">
        <is>
          <t>第一銅</t>
        </is>
      </c>
      <c r="C594" t="n">
        <v>40.9</v>
      </c>
      <c r="D594" t="n">
        <v>41.1</v>
      </c>
      <c r="E594" s="730" t="n">
        <v>1.05</v>
      </c>
      <c r="F594" s="731" t="n">
        <v>2.62</v>
      </c>
      <c r="G594" t="inlineStr">
        <is>
          <t>1.88億</t>
        </is>
      </c>
      <c r="H594" t="n">
        <v>4605</v>
      </c>
      <c r="I594" t="n">
        <v>2055</v>
      </c>
      <c r="J594" t="n">
        <v>35.96</v>
      </c>
      <c r="K594" t="n">
        <v>41.9</v>
      </c>
      <c r="L594" t="n">
        <v>39.6</v>
      </c>
      <c r="M594" s="155" t="n">
        <v>1.28</v>
      </c>
      <c r="N594" t="inlineStr">
        <is>
          <t>台灣銅產品線最完整的企業</t>
        </is>
      </c>
    </row>
    <row r="595">
      <c r="A595" t="n">
        <v>2010</v>
      </c>
      <c r="B595" t="inlineStr">
        <is>
          <t>春源</t>
        </is>
      </c>
      <c r="C595" t="n">
        <v>23.75</v>
      </c>
      <c r="D595" t="n">
        <v>23.55</v>
      </c>
      <c r="E595" s="730" t="n">
        <v>-0.2</v>
      </c>
      <c r="F595" s="731" t="n">
        <v>-0.84</v>
      </c>
      <c r="G595" t="inlineStr">
        <is>
          <t>4369萬</t>
        </is>
      </c>
      <c r="H595" t="n">
        <v>1857</v>
      </c>
      <c r="I595" t="n">
        <v>1914</v>
      </c>
      <c r="J595" t="n">
        <v>64.77</v>
      </c>
      <c r="K595" t="n">
        <v>23.75</v>
      </c>
      <c r="L595" t="n">
        <v>23.4</v>
      </c>
      <c r="M595" s="155" t="n">
        <v>0.29</v>
      </c>
      <c r="N595" t="inlineStr">
        <is>
          <t>台灣最具規模鋼鐵裁剪及通路業者</t>
        </is>
      </c>
    </row>
    <row r="596">
      <c r="A596" t="n">
        <v>2012</v>
      </c>
      <c r="B596" t="inlineStr">
        <is>
          <t>春雨</t>
        </is>
      </c>
      <c r="C596" t="n">
        <v>14.5</v>
      </c>
      <c r="D596" t="n">
        <v>14.5</v>
      </c>
      <c r="E596" s="730" t="n">
        <v>0</v>
      </c>
      <c r="F596" s="731" t="n">
        <v>0</v>
      </c>
      <c r="G596" t="inlineStr">
        <is>
          <t>109萬</t>
        </is>
      </c>
      <c r="H596" t="n">
        <v>75</v>
      </c>
      <c r="I596" t="n">
        <v>95</v>
      </c>
      <c r="J596" t="n">
        <v>30.22</v>
      </c>
      <c r="K596" t="n">
        <v>14.55</v>
      </c>
      <c r="L596" t="n">
        <v>14.4</v>
      </c>
      <c r="M596" s="155" t="n">
        <v>0.02</v>
      </c>
      <c r="N596" t="inlineStr">
        <is>
          <t>主要外銷歐美及東南亞的線材螺絲廠</t>
        </is>
      </c>
    </row>
    <row r="597">
      <c r="A597" t="n">
        <v>2013</v>
      </c>
      <c r="B597" t="inlineStr">
        <is>
          <t>中鋼構</t>
        </is>
      </c>
      <c r="C597" t="n">
        <v>42.7</v>
      </c>
      <c r="D597" t="n">
        <v>42.6</v>
      </c>
      <c r="E597" s="730" t="n">
        <v>0.05</v>
      </c>
      <c r="F597" s="731" t="n">
        <v>0.12</v>
      </c>
      <c r="G597" t="inlineStr">
        <is>
          <t>706萬</t>
        </is>
      </c>
      <c r="H597" t="n">
        <v>166</v>
      </c>
      <c r="I597" t="n">
        <v>127</v>
      </c>
      <c r="J597" t="n">
        <v>20</v>
      </c>
      <c r="K597" t="n">
        <v>42.7</v>
      </c>
      <c r="L597" t="n">
        <v>42.35</v>
      </c>
      <c r="M597" s="155" t="n">
        <v>0.08</v>
      </c>
      <c r="N597" t="inlineStr">
        <is>
          <t>台灣鋼結構大廠</t>
        </is>
      </c>
    </row>
    <row r="598">
      <c r="A598" t="n">
        <v>2014</v>
      </c>
      <c r="B598" t="inlineStr">
        <is>
          <t>中鴻</t>
        </is>
      </c>
      <c r="C598" t="n">
        <v>18.5</v>
      </c>
      <c r="D598" t="n">
        <v>18.2</v>
      </c>
      <c r="E598" s="730" t="n">
        <v>-0.3</v>
      </c>
      <c r="F598" s="731" t="n">
        <v>-1.62</v>
      </c>
      <c r="G598" t="inlineStr">
        <is>
          <t>1.57億</t>
        </is>
      </c>
      <c r="H598" t="n">
        <v>8681</v>
      </c>
      <c r="I598" t="n">
        <v>13325</v>
      </c>
      <c r="J598" t="n">
        <v>143.55</v>
      </c>
      <c r="K598" t="n">
        <v>18.5</v>
      </c>
      <c r="L598" t="n">
        <v>17.9</v>
      </c>
      <c r="M598" s="155" t="n">
        <v>0.6</v>
      </c>
      <c r="N598" t="inlineStr">
        <is>
          <t>中鋼集團旗下，熱軋產品大廠</t>
        </is>
      </c>
    </row>
    <row r="599">
      <c r="A599" t="n">
        <v>2015</v>
      </c>
      <c r="B599" t="inlineStr">
        <is>
          <t>豐興</t>
        </is>
      </c>
      <c r="C599" t="n">
        <v>62.5</v>
      </c>
      <c r="D599" t="n">
        <v>63</v>
      </c>
      <c r="E599" s="730" t="n">
        <v>0.1</v>
      </c>
      <c r="F599" s="731" t="n">
        <v>0.16</v>
      </c>
      <c r="G599" t="inlineStr">
        <is>
          <t>1149萬</t>
        </is>
      </c>
      <c r="H599" t="n">
        <v>183</v>
      </c>
      <c r="I599" t="n">
        <v>461</v>
      </c>
      <c r="J599" t="n">
        <v>58.16</v>
      </c>
      <c r="K599" t="n">
        <v>63.2</v>
      </c>
      <c r="L599" t="n">
        <v>62.5</v>
      </c>
      <c r="M599" s="155" t="n">
        <v>0.03</v>
      </c>
      <c r="N599" t="inlineStr">
        <is>
          <t>台灣三大鋼筋廠之一</t>
        </is>
      </c>
    </row>
    <row r="600">
      <c r="A600" t="n">
        <v>2017</v>
      </c>
      <c r="B600" t="inlineStr">
        <is>
          <t>官田鋼</t>
        </is>
      </c>
      <c r="C600" t="n">
        <v>9.039999999999999</v>
      </c>
      <c r="D600" t="n">
        <v>9.050000000000001</v>
      </c>
      <c r="E600" s="730" t="n">
        <v>0.01</v>
      </c>
      <c r="F600" s="731" t="n">
        <v>0.11</v>
      </c>
      <c r="G600" t="inlineStr">
        <is>
          <t>931萬</t>
        </is>
      </c>
      <c r="H600" t="n">
        <v>1038</v>
      </c>
      <c r="I600" t="n">
        <v>1129</v>
      </c>
      <c r="J600" t="n">
        <v>44.69</v>
      </c>
      <c r="K600" t="n">
        <v>9.06</v>
      </c>
      <c r="L600" t="n">
        <v>8.85</v>
      </c>
      <c r="M600" s="155" t="n">
        <v>0.23</v>
      </c>
      <c r="N600" t="inlineStr">
        <is>
          <t>台灣盤元及鐵絲大廠</t>
        </is>
      </c>
    </row>
    <row r="601">
      <c r="A601" t="n">
        <v>2020</v>
      </c>
      <c r="B601" t="inlineStr">
        <is>
          <t>美亞</t>
        </is>
      </c>
      <c r="C601" t="n">
        <v>21.3</v>
      </c>
      <c r="D601" t="n">
        <v>21.2</v>
      </c>
      <c r="E601" s="730" t="n">
        <v>-0.05</v>
      </c>
      <c r="F601" s="731" t="n">
        <v>-0.24</v>
      </c>
      <c r="G601" t="inlineStr">
        <is>
          <t>866萬</t>
        </is>
      </c>
      <c r="H601" t="n">
        <v>411</v>
      </c>
      <c r="I601" t="n">
        <v>685</v>
      </c>
      <c r="J601" t="n">
        <v>26.7</v>
      </c>
      <c r="K601" t="n">
        <v>21.3</v>
      </c>
      <c r="L601" t="n">
        <v>20.9</v>
      </c>
      <c r="M601" s="155" t="n">
        <v>0.15</v>
      </c>
      <c r="N601" t="inlineStr">
        <is>
          <t>台灣第一家鋼管專業製造廠</t>
        </is>
      </c>
    </row>
    <row r="602">
      <c r="A602" t="n">
        <v>2022</v>
      </c>
      <c r="B602" t="inlineStr">
        <is>
          <t>聚亨</t>
        </is>
      </c>
      <c r="C602" t="n">
        <v>7.89</v>
      </c>
      <c r="D602" t="n">
        <v>7.74</v>
      </c>
      <c r="E602" s="730" t="n">
        <v>-0.1</v>
      </c>
      <c r="F602" s="731" t="n">
        <v>-1.28</v>
      </c>
      <c r="G602" t="inlineStr">
        <is>
          <t>968萬</t>
        </is>
      </c>
      <c r="H602" t="n">
        <v>1255</v>
      </c>
      <c r="I602" t="n">
        <v>1366</v>
      </c>
      <c r="J602" t="n">
        <v>33.72</v>
      </c>
      <c r="K602" t="n">
        <v>7.89</v>
      </c>
      <c r="L602" t="n">
        <v>7.64</v>
      </c>
      <c r="M602" s="155" t="n">
        <v>0.37</v>
      </c>
      <c r="N602" t="inlineStr">
        <is>
          <t>以泰國為生產基地的線材盤元大廠</t>
        </is>
      </c>
    </row>
    <row r="603">
      <c r="A603" t="n">
        <v>2023</v>
      </c>
      <c r="B603" t="inlineStr">
        <is>
          <t>燁輝</t>
        </is>
      </c>
      <c r="C603" t="n">
        <v>13.9</v>
      </c>
      <c r="D603" t="n">
        <v>13.7</v>
      </c>
      <c r="E603" s="730" t="n">
        <v>-0.25</v>
      </c>
      <c r="F603" s="731" t="n">
        <v>-1.79</v>
      </c>
      <c r="G603" t="inlineStr">
        <is>
          <t>1979萬</t>
        </is>
      </c>
      <c r="H603" t="n">
        <v>1440</v>
      </c>
      <c r="I603" t="n">
        <v>2791</v>
      </c>
      <c r="J603" t="n">
        <v>184.12</v>
      </c>
      <c r="K603" t="n">
        <v>13.9</v>
      </c>
      <c r="L603" t="n">
        <v>13.7</v>
      </c>
      <c r="M603" s="155" t="n">
        <v>0.08</v>
      </c>
      <c r="N603" t="inlineStr">
        <is>
          <t>全球最大鍍面鋼廠</t>
        </is>
      </c>
    </row>
    <row r="604">
      <c r="A604" t="n">
        <v>2024</v>
      </c>
      <c r="B604" t="inlineStr">
        <is>
          <t>志聯</t>
        </is>
      </c>
      <c r="C604" t="n">
        <v>14.1</v>
      </c>
      <c r="D604" t="n">
        <v>14.35</v>
      </c>
      <c r="E604" s="730" t="n">
        <v>0.25</v>
      </c>
      <c r="F604" s="731" t="n">
        <v>1.77</v>
      </c>
      <c r="G604" t="inlineStr">
        <is>
          <t>21.2萬</t>
        </is>
      </c>
      <c r="H604" t="n">
        <v>15</v>
      </c>
      <c r="I604" t="n">
        <v>26</v>
      </c>
      <c r="J604" t="n">
        <v>9.75</v>
      </c>
      <c r="K604" t="n">
        <v>14.35</v>
      </c>
      <c r="L604" t="n">
        <v>14.1</v>
      </c>
      <c r="M604" s="155" t="n">
        <v>0.02</v>
      </c>
      <c r="N604" t="inlineStr">
        <is>
          <t>主要從事鋼棒及鋼線生產之廠商</t>
        </is>
      </c>
    </row>
    <row r="605">
      <c r="A605" t="n">
        <v>2025</v>
      </c>
      <c r="B605" t="inlineStr">
        <is>
          <t>千興</t>
        </is>
      </c>
      <c r="C605" t="n">
        <v>12</v>
      </c>
      <c r="D605" t="n">
        <v>12.1</v>
      </c>
      <c r="E605" s="730" t="n">
        <v>0.2</v>
      </c>
      <c r="F605" s="731" t="n">
        <v>1.68</v>
      </c>
      <c r="G605" t="inlineStr">
        <is>
          <t>272萬</t>
        </is>
      </c>
      <c r="H605" t="n">
        <v>227</v>
      </c>
      <c r="I605" t="n">
        <v>341</v>
      </c>
      <c r="J605" t="n">
        <v>17.27</v>
      </c>
      <c r="K605" t="n">
        <v>12.1</v>
      </c>
      <c r="L605" t="n">
        <v>11.9</v>
      </c>
      <c r="M605" s="155" t="n">
        <v>0.13</v>
      </c>
      <c r="N605" t="inlineStr">
        <is>
          <t>台灣不鏽鋼板冷軋廠</t>
        </is>
      </c>
    </row>
    <row r="606">
      <c r="A606" t="n">
        <v>2027</v>
      </c>
      <c r="B606" t="inlineStr">
        <is>
          <t>大成鋼</t>
        </is>
      </c>
      <c r="C606" t="n">
        <v>43.6</v>
      </c>
      <c r="D606" t="n">
        <v>43.65</v>
      </c>
      <c r="E606" s="730" t="n">
        <v>0.45</v>
      </c>
      <c r="F606" s="731" t="n">
        <v>1.04</v>
      </c>
      <c r="G606" t="inlineStr">
        <is>
          <t>14.4億</t>
        </is>
      </c>
      <c r="H606" t="n">
        <v>33676</v>
      </c>
      <c r="I606" t="n">
        <v>25743</v>
      </c>
      <c r="J606" t="n">
        <v>258.43</v>
      </c>
      <c r="K606" t="n">
        <v>43.65</v>
      </c>
      <c r="L606" t="n">
        <v>42.05</v>
      </c>
      <c r="M606" s="155" t="n">
        <v>1.3</v>
      </c>
      <c r="N606" t="inlineStr">
        <is>
          <t>美國最大不鏽鋼產品通路商及最大鋁捲板廠</t>
        </is>
      </c>
    </row>
    <row r="607">
      <c r="A607" t="n">
        <v>2028</v>
      </c>
      <c r="B607" t="inlineStr">
        <is>
          <t>威致</t>
        </is>
      </c>
      <c r="C607" t="n">
        <v>17.1</v>
      </c>
      <c r="D607" t="n">
        <v>16.9</v>
      </c>
      <c r="E607" s="730" t="n">
        <v>-0.2</v>
      </c>
      <c r="F607" s="731" t="n">
        <v>-1.17</v>
      </c>
      <c r="G607" t="inlineStr">
        <is>
          <t>236萬</t>
        </is>
      </c>
      <c r="H607" t="n">
        <v>140</v>
      </c>
      <c r="I607" t="n">
        <v>233</v>
      </c>
      <c r="J607" t="n">
        <v>32.57</v>
      </c>
      <c r="K607" t="n">
        <v>17.1</v>
      </c>
      <c r="L607" t="n">
        <v>16.7</v>
      </c>
      <c r="M607" s="155" t="n">
        <v>0.04</v>
      </c>
      <c r="N607" t="inlineStr">
        <is>
          <t>台灣三大電爐廠之一，主要銷售鋼筋及鋼胚</t>
        </is>
      </c>
    </row>
    <row r="608">
      <c r="A608" t="n">
        <v>2029</v>
      </c>
      <c r="B608" t="inlineStr">
        <is>
          <t>盛餘</t>
        </is>
      </c>
      <c r="C608" t="n">
        <v>20.45</v>
      </c>
      <c r="D608" t="n">
        <v>20.5</v>
      </c>
      <c r="E608" s="730" t="n">
        <v>0</v>
      </c>
      <c r="F608" s="731" t="n">
        <v>0</v>
      </c>
      <c r="G608" t="inlineStr">
        <is>
          <t>597萬</t>
        </is>
      </c>
      <c r="H608" t="n">
        <v>293</v>
      </c>
      <c r="I608" t="n">
        <v>431</v>
      </c>
      <c r="J608" t="n">
        <v>32.12</v>
      </c>
      <c r="K608" t="n">
        <v>20.5</v>
      </c>
      <c r="L608" t="n">
        <v>20.25</v>
      </c>
      <c r="M608" s="155" t="n">
        <v>0.09</v>
      </c>
      <c r="N608" t="inlineStr">
        <is>
          <t>台灣鍍面一貫化處理鋼捲製造商</t>
        </is>
      </c>
    </row>
    <row r="609">
      <c r="A609" t="n">
        <v>2030</v>
      </c>
      <c r="B609" t="inlineStr">
        <is>
          <t>彰源</t>
        </is>
      </c>
      <c r="C609" t="n">
        <v>18.45</v>
      </c>
      <c r="D609" t="n">
        <v>18.25</v>
      </c>
      <c r="E609" s="730" t="n">
        <v>-0.05</v>
      </c>
      <c r="F609" s="731" t="n">
        <v>-0.27</v>
      </c>
      <c r="G609" t="inlineStr">
        <is>
          <t>2461萬</t>
        </is>
      </c>
      <c r="H609" t="n">
        <v>1355</v>
      </c>
      <c r="I609" t="n">
        <v>1580</v>
      </c>
      <c r="J609" t="n">
        <v>28.05</v>
      </c>
      <c r="K609" t="n">
        <v>18.45</v>
      </c>
      <c r="L609" t="n">
        <v>18</v>
      </c>
      <c r="M609" s="155" t="n">
        <v>0.48</v>
      </c>
      <c r="N609" t="inlineStr">
        <is>
          <t>台灣不鏽鋼管、不鏽鋼板製造大廠</t>
        </is>
      </c>
    </row>
    <row r="610">
      <c r="A610" t="n">
        <v>2031</v>
      </c>
      <c r="B610" t="inlineStr">
        <is>
          <t>新光鋼</t>
        </is>
      </c>
      <c r="C610" t="n">
        <v>39.6</v>
      </c>
      <c r="D610" t="n">
        <v>39.65</v>
      </c>
      <c r="E610" s="730" t="n">
        <v>-0.15</v>
      </c>
      <c r="F610" s="731" t="n">
        <v>-0.38</v>
      </c>
      <c r="G610" t="inlineStr">
        <is>
          <t>3649萬</t>
        </is>
      </c>
      <c r="H610" t="n">
        <v>922</v>
      </c>
      <c r="I610" t="n">
        <v>1201</v>
      </c>
      <c r="J610" t="n">
        <v>32.11</v>
      </c>
      <c r="K610" t="n">
        <v>39.8</v>
      </c>
      <c r="L610" t="n">
        <v>39.3</v>
      </c>
      <c r="M610" s="155" t="n">
        <v>0.29</v>
      </c>
      <c r="N610" t="inlineStr">
        <is>
          <t>台灣鋼剪裁大廠，以內銷為主</t>
        </is>
      </c>
    </row>
    <row r="611">
      <c r="A611" t="n">
        <v>2032</v>
      </c>
      <c r="B611" t="inlineStr">
        <is>
          <t>新鋼</t>
        </is>
      </c>
      <c r="C611" t="n">
        <v>18.45</v>
      </c>
      <c r="D611" t="n">
        <v>18</v>
      </c>
      <c r="E611" s="730" t="n">
        <v>-0.2</v>
      </c>
      <c r="F611" s="731" t="n">
        <v>-1.1</v>
      </c>
      <c r="G611" t="inlineStr">
        <is>
          <t>1725萬</t>
        </is>
      </c>
      <c r="H611" t="n">
        <v>969</v>
      </c>
      <c r="I611" t="n">
        <v>2259</v>
      </c>
      <c r="J611" t="n">
        <v>13.05</v>
      </c>
      <c r="K611" t="n">
        <v>18.45</v>
      </c>
      <c r="L611" t="n">
        <v>17.6</v>
      </c>
      <c r="M611" s="155" t="n">
        <v>0.74</v>
      </c>
      <c r="N611" t="inlineStr">
        <is>
          <t>以內銷為主的不鏽鋼裁剪加工廠</t>
        </is>
      </c>
    </row>
    <row r="612">
      <c r="A612" t="n">
        <v>2033</v>
      </c>
      <c r="B612" t="inlineStr">
        <is>
          <t>佳大</t>
        </is>
      </c>
      <c r="C612" t="n">
        <v>15.3</v>
      </c>
      <c r="D612" t="n">
        <v>15.2</v>
      </c>
      <c r="E612" s="730" t="n">
        <v>-0.15</v>
      </c>
      <c r="F612" s="731" t="n">
        <v>-0.98</v>
      </c>
      <c r="G612" t="inlineStr">
        <is>
          <t>247萬</t>
        </is>
      </c>
      <c r="H612" t="n">
        <v>164</v>
      </c>
      <c r="I612" t="n">
        <v>146</v>
      </c>
      <c r="J612" t="n">
        <v>8.07</v>
      </c>
      <c r="K612" t="n">
        <v>15.3</v>
      </c>
      <c r="L612" t="n">
        <v>15.1</v>
      </c>
      <c r="M612" s="155" t="n">
        <v>0.2</v>
      </c>
      <c r="N612" t="inlineStr">
        <is>
          <t>致力於鋼線鋼纜產品業務</t>
        </is>
      </c>
    </row>
    <row r="613">
      <c r="A613" t="n">
        <v>2034</v>
      </c>
      <c r="B613" t="inlineStr">
        <is>
          <t>允強</t>
        </is>
      </c>
      <c r="C613" t="n">
        <v>20.2</v>
      </c>
      <c r="D613" t="n">
        <v>20.1</v>
      </c>
      <c r="E613" s="730" t="n">
        <v>-0.1</v>
      </c>
      <c r="F613" s="731" t="n">
        <v>-0.5</v>
      </c>
      <c r="G613" t="inlineStr">
        <is>
          <t>3707萬</t>
        </is>
      </c>
      <c r="H613" t="n">
        <v>1853</v>
      </c>
      <c r="I613" t="n">
        <v>1862</v>
      </c>
      <c r="J613" t="n">
        <v>52.9</v>
      </c>
      <c r="K613" t="n">
        <v>20.25</v>
      </c>
      <c r="L613" t="n">
        <v>19.95</v>
      </c>
      <c r="M613" s="155" t="n">
        <v>0.35</v>
      </c>
      <c r="N613" t="inlineStr">
        <is>
          <t>全球前五大不鏽鋼管製造商及不鏽鋼加工廠</t>
        </is>
      </c>
    </row>
    <row r="614">
      <c r="A614" t="n">
        <v>2035</v>
      </c>
      <c r="B614" t="inlineStr">
        <is>
          <t>唐榮</t>
        </is>
      </c>
      <c r="C614" t="n">
        <v>27.65</v>
      </c>
      <c r="D614" t="n">
        <v>28</v>
      </c>
      <c r="E614" s="730" t="n">
        <v>0</v>
      </c>
      <c r="F614" s="731" t="n">
        <v>0</v>
      </c>
      <c r="G614" t="inlineStr">
        <is>
          <t>63.7萬</t>
        </is>
      </c>
      <c r="H614" t="n">
        <v>23</v>
      </c>
      <c r="I614" t="n">
        <v>5</v>
      </c>
      <c r="J614" t="n">
        <v>35</v>
      </c>
      <c r="K614" t="n">
        <v>28</v>
      </c>
      <c r="L614" t="n">
        <v>27.65</v>
      </c>
      <c r="M614" s="155" t="n">
        <v>0.01</v>
      </c>
      <c r="N614" t="inlineStr">
        <is>
          <t>台灣知名不鏽鋼大廠</t>
        </is>
      </c>
    </row>
    <row r="615">
      <c r="A615" t="n">
        <v>2038</v>
      </c>
      <c r="B615" t="inlineStr">
        <is>
          <t>海光</t>
        </is>
      </c>
      <c r="C615" t="n">
        <v>14</v>
      </c>
      <c r="D615" t="n">
        <v>13.85</v>
      </c>
      <c r="E615" s="730" t="n">
        <v>-0.1</v>
      </c>
      <c r="F615" s="731" t="n">
        <v>-0.72</v>
      </c>
      <c r="G615" t="inlineStr">
        <is>
          <t>760萬</t>
        </is>
      </c>
      <c r="H615" t="n">
        <v>551</v>
      </c>
      <c r="I615" t="n">
        <v>1445</v>
      </c>
      <c r="J615" t="n">
        <v>19.41</v>
      </c>
      <c r="K615" t="n">
        <v>14.05</v>
      </c>
      <c r="L615" t="n">
        <v>13.65</v>
      </c>
      <c r="M615" s="155" t="n">
        <v>0.28</v>
      </c>
      <c r="N615" t="inlineStr">
        <is>
          <t>台灣鋼筋大廠之一</t>
        </is>
      </c>
    </row>
    <row r="616">
      <c r="A616" t="n">
        <v>2049</v>
      </c>
      <c r="B616" t="inlineStr">
        <is>
          <t>上銀</t>
        </is>
      </c>
      <c r="C616" t="n">
        <v>391</v>
      </c>
      <c r="D616" t="n">
        <v>364</v>
      </c>
      <c r="E616" s="730" t="n">
        <v>-23.5</v>
      </c>
      <c r="F616" s="731" t="n">
        <v>-6.06</v>
      </c>
      <c r="G616" t="inlineStr">
        <is>
          <t>35.8億</t>
        </is>
      </c>
      <c r="H616" t="n">
        <v>9787</v>
      </c>
      <c r="I616" t="n">
        <v>8203</v>
      </c>
      <c r="J616" t="n">
        <v>35.38</v>
      </c>
      <c r="K616" t="n">
        <v>393.5</v>
      </c>
      <c r="L616" t="n">
        <v>354</v>
      </c>
      <c r="M616" s="155" t="n">
        <v>2.77</v>
      </c>
      <c r="N616" t="inlineStr">
        <is>
          <t>全球前三大滾珠螺桿廠商</t>
        </is>
      </c>
    </row>
    <row r="617">
      <c r="A617" t="n">
        <v>2059</v>
      </c>
      <c r="B617" t="inlineStr">
        <is>
          <t>川湖</t>
        </is>
      </c>
      <c r="C617" t="n">
        <v>5130</v>
      </c>
      <c r="D617" t="n">
        <v>5075</v>
      </c>
      <c r="E617" s="730" t="n">
        <v>-140</v>
      </c>
      <c r="F617" s="731" t="n">
        <v>-2.68</v>
      </c>
      <c r="G617" t="inlineStr">
        <is>
          <t>16.9億</t>
        </is>
      </c>
      <c r="H617" t="n">
        <v>332</v>
      </c>
      <c r="I617" t="n">
        <v>605</v>
      </c>
      <c r="J617" t="n">
        <v>9.529999999999999</v>
      </c>
      <c r="K617" t="n">
        <v>5205</v>
      </c>
      <c r="L617" t="n">
        <v>4985</v>
      </c>
      <c r="M617" s="155" t="n">
        <v>0.35</v>
      </c>
      <c r="N617" t="inlineStr">
        <is>
          <t>全球知名伺服器導軌廠</t>
        </is>
      </c>
    </row>
    <row r="618">
      <c r="A618" t="n">
        <v>2061</v>
      </c>
      <c r="B618" t="inlineStr">
        <is>
          <t>風青</t>
        </is>
      </c>
      <c r="C618" t="n">
        <v>40.2</v>
      </c>
      <c r="D618" t="n">
        <v>38.65</v>
      </c>
      <c r="E618" s="730" t="n">
        <v>-1.25</v>
      </c>
      <c r="F618" s="731" t="n">
        <v>-3.13</v>
      </c>
      <c r="G618" t="inlineStr">
        <is>
          <t>4522萬</t>
        </is>
      </c>
      <c r="H618" t="n">
        <v>1122</v>
      </c>
      <c r="I618" t="n">
        <v>4005</v>
      </c>
      <c r="J618" t="n">
        <v>5.74</v>
      </c>
      <c r="K618" t="n">
        <v>42.9</v>
      </c>
      <c r="L618" t="n">
        <v>38.55</v>
      </c>
      <c r="M618" s="155" t="n">
        <v>1.96</v>
      </c>
      <c r="N618" t="inlineStr">
        <is>
          <t>台灣知名漆包線供應商</t>
        </is>
      </c>
    </row>
    <row r="619">
      <c r="A619" t="n">
        <v>2062</v>
      </c>
      <c r="B619" t="inlineStr">
        <is>
          <t>橋椿</t>
        </is>
      </c>
      <c r="C619" t="n">
        <v>18.85</v>
      </c>
      <c r="D619" t="n">
        <v>19</v>
      </c>
      <c r="E619" s="730" t="n">
        <v>0.15</v>
      </c>
      <c r="F619" s="731" t="n">
        <v>0.8</v>
      </c>
      <c r="G619" t="inlineStr">
        <is>
          <t>756萬</t>
        </is>
      </c>
      <c r="H619" t="n">
        <v>403</v>
      </c>
      <c r="I619" t="n">
        <v>518</v>
      </c>
      <c r="J619" t="n">
        <v>20</v>
      </c>
      <c r="K619" t="n">
        <v>19.1</v>
      </c>
      <c r="L619" t="n">
        <v>18.65</v>
      </c>
      <c r="M619" s="155" t="n">
        <v>0.2</v>
      </c>
      <c r="N619" t="inlineStr">
        <is>
          <t>全球最大鋅合金水龍頭零組件廠</t>
        </is>
      </c>
    </row>
    <row r="620">
      <c r="A620" t="n">
        <v>2063</v>
      </c>
      <c r="B620" t="inlineStr">
        <is>
          <t>世鎧</t>
        </is>
      </c>
      <c r="C620" t="n">
        <v>25.25</v>
      </c>
      <c r="D620" t="n">
        <v>25.7</v>
      </c>
      <c r="E620" s="730" t="n">
        <v>0.5</v>
      </c>
      <c r="F620" s="731" t="n">
        <v>1.98</v>
      </c>
      <c r="G620" t="inlineStr">
        <is>
          <t>70.5萬</t>
        </is>
      </c>
      <c r="H620" t="n">
        <v>28</v>
      </c>
      <c r="I620" t="n">
        <v>29</v>
      </c>
      <c r="J620" t="n">
        <v>4.81</v>
      </c>
      <c r="K620" t="n">
        <v>25.7</v>
      </c>
      <c r="L620" t="n">
        <v>24.95</v>
      </c>
      <c r="M620" s="155" t="n">
        <v>0.06</v>
      </c>
      <c r="N620" t="inlineStr">
        <is>
          <t>台灣螺絲及螺栓廠</t>
        </is>
      </c>
    </row>
    <row r="621">
      <c r="A621" t="n">
        <v>2064</v>
      </c>
      <c r="B621" t="inlineStr">
        <is>
          <t>晉椿</t>
        </is>
      </c>
      <c r="C621" t="n">
        <v>15.15</v>
      </c>
      <c r="D621" t="n">
        <v>14.8</v>
      </c>
      <c r="E621" s="730" t="n">
        <v>-0.35</v>
      </c>
      <c r="F621" s="731" t="n">
        <v>-2.31</v>
      </c>
      <c r="G621" t="inlineStr">
        <is>
          <t>46.6萬</t>
        </is>
      </c>
      <c r="H621" t="n">
        <v>31</v>
      </c>
      <c r="I621" t="n">
        <v>44</v>
      </c>
      <c r="J621" t="n">
        <v>6.93</v>
      </c>
      <c r="K621" t="n">
        <v>15.35</v>
      </c>
      <c r="L621" t="n">
        <v>14.75</v>
      </c>
      <c r="M621" s="155" t="n">
        <v>0.04</v>
      </c>
      <c r="N621" t="inlineStr">
        <is>
          <t>高階棒鋼龍頭大廠</t>
        </is>
      </c>
    </row>
    <row r="622">
      <c r="A622" t="n">
        <v>2065</v>
      </c>
      <c r="B622" t="inlineStr">
        <is>
          <t>世豐</t>
        </is>
      </c>
      <c r="C622" t="n">
        <v>36</v>
      </c>
      <c r="D622" t="n">
        <v>35.3</v>
      </c>
      <c r="E622" s="730" t="n">
        <v>-0.7</v>
      </c>
      <c r="F622" s="731" t="n">
        <v>-1.94</v>
      </c>
      <c r="G622" t="inlineStr">
        <is>
          <t>226萬</t>
        </is>
      </c>
      <c r="H622" t="n">
        <v>63</v>
      </c>
      <c r="I622" t="n">
        <v>162</v>
      </c>
      <c r="J622" t="n">
        <v>6.35</v>
      </c>
      <c r="K622" t="n">
        <v>36.1</v>
      </c>
      <c r="L622" t="n">
        <v>35.3</v>
      </c>
      <c r="M622" s="155" t="n">
        <v>0.1</v>
      </c>
      <c r="N622" t="inlineStr">
        <is>
          <t>台灣最大烤漆、噴頭表面塗裝螺絲廠</t>
        </is>
      </c>
    </row>
    <row r="623">
      <c r="A623" t="n">
        <v>2066</v>
      </c>
      <c r="B623" t="inlineStr">
        <is>
          <t>世德</t>
        </is>
      </c>
      <c r="C623" t="n">
        <v>58.4</v>
      </c>
      <c r="D623" t="n">
        <v>59.8</v>
      </c>
      <c r="E623" s="730" t="n">
        <v>1.4</v>
      </c>
      <c r="F623" s="731" t="n">
        <v>2.4</v>
      </c>
      <c r="G623" t="inlineStr">
        <is>
          <t>2653萬</t>
        </is>
      </c>
      <c r="H623" t="n">
        <v>450</v>
      </c>
      <c r="I623" t="n">
        <v>175</v>
      </c>
      <c r="J623" t="n">
        <v>4.44</v>
      </c>
      <c r="K623" t="n">
        <v>60.3</v>
      </c>
      <c r="L623" t="n">
        <v>58</v>
      </c>
      <c r="M623" s="155" t="n">
        <v>1.01</v>
      </c>
      <c r="N623" t="inlineStr">
        <is>
          <t>全球汽車大廠之第一階扣件及金屬零件供應商</t>
        </is>
      </c>
    </row>
    <row r="624">
      <c r="A624" t="n">
        <v>2067</v>
      </c>
      <c r="B624" t="inlineStr">
        <is>
          <t>嘉鋼</t>
        </is>
      </c>
      <c r="C624" t="n">
        <v>6.5</v>
      </c>
      <c r="D624" t="n">
        <v>6.5</v>
      </c>
      <c r="E624" s="730" t="n">
        <v>0</v>
      </c>
      <c r="F624" s="731" t="n">
        <v>0</v>
      </c>
      <c r="G624" t="inlineStr">
        <is>
          <t>43.4萬</t>
        </is>
      </c>
      <c r="H624" t="n">
        <v>67</v>
      </c>
      <c r="I624" t="n">
        <v>70</v>
      </c>
      <c r="J624" t="n">
        <v>4.51</v>
      </c>
      <c r="K624" t="n">
        <v>6.6</v>
      </c>
      <c r="L624" t="n">
        <v>6.45</v>
      </c>
      <c r="M624" s="155" t="n">
        <v>0.15</v>
      </c>
      <c r="N624" t="inlineStr">
        <is>
          <t>台灣小型鑄件廠</t>
        </is>
      </c>
    </row>
    <row r="625">
      <c r="A625" t="n">
        <v>2069</v>
      </c>
      <c r="B625" t="inlineStr">
        <is>
          <t>運錩</t>
        </is>
      </c>
      <c r="C625" t="n">
        <v>19.65</v>
      </c>
      <c r="D625" t="n">
        <v>19.7</v>
      </c>
      <c r="E625" s="730" t="n">
        <v>0.1</v>
      </c>
      <c r="F625" s="731" t="n">
        <v>0.51</v>
      </c>
      <c r="G625" t="inlineStr">
        <is>
          <t>896萬</t>
        </is>
      </c>
      <c r="H625" t="n">
        <v>461</v>
      </c>
      <c r="I625" t="n">
        <v>441</v>
      </c>
      <c r="J625" t="n">
        <v>16.64</v>
      </c>
      <c r="K625" t="n">
        <v>19.7</v>
      </c>
      <c r="L625" t="n">
        <v>19.25</v>
      </c>
      <c r="M625" s="155" t="n">
        <v>0.28</v>
      </c>
      <c r="N625" t="inlineStr">
        <is>
          <t>台灣不鏽鋼材料加工製造廠</t>
        </is>
      </c>
    </row>
    <row r="626">
      <c r="A626" t="n">
        <v>2070</v>
      </c>
      <c r="B626" t="inlineStr">
        <is>
          <t>精湛</t>
        </is>
      </c>
      <c r="C626" t="n">
        <v>75.5</v>
      </c>
      <c r="D626" t="n">
        <v>71.5</v>
      </c>
      <c r="E626" s="730" t="n">
        <v>-4</v>
      </c>
      <c r="F626" s="731" t="n">
        <v>-5.3</v>
      </c>
      <c r="G626" t="inlineStr">
        <is>
          <t>7174萬</t>
        </is>
      </c>
      <c r="H626" t="n">
        <v>992</v>
      </c>
      <c r="I626" t="n">
        <v>5204</v>
      </c>
      <c r="J626" t="n">
        <v>4.18</v>
      </c>
      <c r="K626" t="n">
        <v>75.5</v>
      </c>
      <c r="L626" t="n">
        <v>70.59999999999999</v>
      </c>
      <c r="M626" s="155" t="n">
        <v>2.37</v>
      </c>
      <c r="N626" t="inlineStr">
        <is>
          <t>全球扣件篩選設備大廠</t>
        </is>
      </c>
    </row>
    <row r="627">
      <c r="A627" t="n">
        <v>2072</v>
      </c>
      <c r="B627" t="inlineStr">
        <is>
          <t>世紀風電</t>
        </is>
      </c>
      <c r="C627" t="n">
        <v>174</v>
      </c>
      <c r="D627" t="n">
        <v>175</v>
      </c>
      <c r="E627" s="730" t="n">
        <v>1</v>
      </c>
      <c r="F627" s="731" t="n">
        <v>0.57</v>
      </c>
      <c r="G627" t="inlineStr">
        <is>
          <t>1.08億</t>
        </is>
      </c>
      <c r="H627" t="n">
        <v>619</v>
      </c>
      <c r="I627" t="n">
        <v>521</v>
      </c>
      <c r="J627" t="n">
        <v>19.2</v>
      </c>
      <c r="K627" t="n">
        <v>177</v>
      </c>
      <c r="L627" t="n">
        <v>170.5</v>
      </c>
      <c r="M627" s="155" t="n">
        <v>0.32</v>
      </c>
      <c r="N627" t="inlineStr">
        <is>
          <t>世紀鋼旗下，專注風電鋼結構領域</t>
        </is>
      </c>
    </row>
    <row r="628">
      <c r="A628" t="n">
        <v>2073</v>
      </c>
      <c r="B628" t="inlineStr">
        <is>
          <t>雄順</t>
        </is>
      </c>
      <c r="C628" t="n">
        <v>25.85</v>
      </c>
      <c r="D628" t="n">
        <v>25.85</v>
      </c>
      <c r="E628" s="730" t="n">
        <v>-0.1</v>
      </c>
      <c r="F628" s="731" t="n">
        <v>-0.39</v>
      </c>
      <c r="G628" t="inlineStr">
        <is>
          <t>2.58萬</t>
        </is>
      </c>
      <c r="H628" t="n">
        <v>1</v>
      </c>
      <c r="I628" t="n">
        <v>2</v>
      </c>
      <c r="J628" t="n">
        <v>2.75</v>
      </c>
      <c r="K628" t="n">
        <v>25.85</v>
      </c>
      <c r="L628" t="n">
        <v>25.85</v>
      </c>
      <c r="M628" s="155" t="n">
        <v>0</v>
      </c>
      <c r="N628" t="inlineStr">
        <is>
          <t>台灣金屬線製品加工商</t>
        </is>
      </c>
    </row>
    <row r="629">
      <c r="A629" t="n">
        <v>2101</v>
      </c>
      <c r="B629" t="inlineStr">
        <is>
          <t>南港</t>
        </is>
      </c>
      <c r="C629" t="n">
        <v>32</v>
      </c>
      <c r="D629" t="n">
        <v>32.2</v>
      </c>
      <c r="E629" s="730" t="n">
        <v>0.2</v>
      </c>
      <c r="F629" s="731" t="n">
        <v>0.63</v>
      </c>
      <c r="G629" t="inlineStr">
        <is>
          <t>1.27億</t>
        </is>
      </c>
      <c r="H629" t="n">
        <v>3950</v>
      </c>
      <c r="I629" t="n">
        <v>3329</v>
      </c>
      <c r="J629" t="n">
        <v>73.39</v>
      </c>
      <c r="K629" t="n">
        <v>32.55</v>
      </c>
      <c r="L629" t="n">
        <v>31.7</v>
      </c>
      <c r="M629" s="155" t="n">
        <v>0.54</v>
      </c>
      <c r="N629" t="inlineStr">
        <is>
          <t>台灣擁有土地資產的老牌輪胎廠</t>
        </is>
      </c>
    </row>
    <row r="630">
      <c r="A630" t="n">
        <v>2102</v>
      </c>
      <c r="B630" t="inlineStr">
        <is>
          <t>泰豐</t>
        </is>
      </c>
      <c r="C630" t="n">
        <v>18</v>
      </c>
      <c r="D630" t="n">
        <v>17.95</v>
      </c>
      <c r="E630" s="730" t="n">
        <v>0</v>
      </c>
      <c r="F630" s="731" t="n">
        <v>0</v>
      </c>
      <c r="G630" t="inlineStr">
        <is>
          <t>667萬</t>
        </is>
      </c>
      <c r="H630" t="n">
        <v>371</v>
      </c>
      <c r="I630" t="n">
        <v>433</v>
      </c>
      <c r="J630" t="n">
        <v>47.33</v>
      </c>
      <c r="K630" t="n">
        <v>18.15</v>
      </c>
      <c r="L630" t="n">
        <v>17.85</v>
      </c>
      <c r="M630" s="155" t="n">
        <v>0.08</v>
      </c>
      <c r="N630" t="inlineStr">
        <is>
          <t>台灣輪胎製造商</t>
        </is>
      </c>
    </row>
    <row r="631">
      <c r="A631" t="n">
        <v>2103</v>
      </c>
      <c r="B631" t="inlineStr">
        <is>
          <t>台橡</t>
        </is>
      </c>
      <c r="C631" t="n">
        <v>19.55</v>
      </c>
      <c r="D631" t="n">
        <v>20.25</v>
      </c>
      <c r="E631" s="730" t="n">
        <v>0.8</v>
      </c>
      <c r="F631" s="731" t="n">
        <v>4.11</v>
      </c>
      <c r="G631" t="inlineStr">
        <is>
          <t>1.16億</t>
        </is>
      </c>
      <c r="H631" t="n">
        <v>5813</v>
      </c>
      <c r="I631" t="n">
        <v>4011</v>
      </c>
      <c r="J631" t="n">
        <v>82.56999999999999</v>
      </c>
      <c r="K631" t="n">
        <v>20.25</v>
      </c>
      <c r="L631" t="n">
        <v>19.4</v>
      </c>
      <c r="M631" s="155" t="n">
        <v>0.7</v>
      </c>
      <c r="N631" t="inlineStr">
        <is>
          <t>全球前七大橡膠生產製造商</t>
        </is>
      </c>
    </row>
    <row r="632">
      <c r="A632" t="n">
        <v>2104</v>
      </c>
      <c r="B632" t="inlineStr">
        <is>
          <t>國際中橡</t>
        </is>
      </c>
      <c r="C632" t="n">
        <v>10.55</v>
      </c>
      <c r="D632" t="n">
        <v>10.9</v>
      </c>
      <c r="E632" s="730" t="n">
        <v>0.4</v>
      </c>
      <c r="F632" s="731" t="n">
        <v>3.81</v>
      </c>
      <c r="G632" t="inlineStr">
        <is>
          <t>6579萬</t>
        </is>
      </c>
      <c r="H632" t="n">
        <v>6160</v>
      </c>
      <c r="I632" t="n">
        <v>3139</v>
      </c>
      <c r="J632" t="n">
        <v>98.47</v>
      </c>
      <c r="K632" t="n">
        <v>10.9</v>
      </c>
      <c r="L632" t="n">
        <v>10.5</v>
      </c>
      <c r="M632" s="155" t="n">
        <v>0.63</v>
      </c>
      <c r="N632" t="inlineStr">
        <is>
          <t>全球市佔率前五大的碳煙公司</t>
        </is>
      </c>
    </row>
    <row r="633">
      <c r="A633" t="n">
        <v>2105</v>
      </c>
      <c r="B633" t="inlineStr">
        <is>
          <t>正新</t>
        </is>
      </c>
      <c r="C633" t="n">
        <v>33</v>
      </c>
      <c r="D633" t="n">
        <v>34</v>
      </c>
      <c r="E633" s="730" t="n">
        <v>1</v>
      </c>
      <c r="F633" s="731" t="n">
        <v>3.03</v>
      </c>
      <c r="G633" t="inlineStr">
        <is>
          <t>13.0億</t>
        </is>
      </c>
      <c r="H633" t="n">
        <v>38226</v>
      </c>
      <c r="I633" t="n">
        <v>11995</v>
      </c>
      <c r="J633" t="n">
        <v>324.14</v>
      </c>
      <c r="K633" t="n">
        <v>34.45</v>
      </c>
      <c r="L633" t="n">
        <v>32.7</v>
      </c>
      <c r="M633" s="155" t="n">
        <v>1.18</v>
      </c>
      <c r="N633" t="inlineStr">
        <is>
          <t>台灣最大、全球前十大輪胎製造商</t>
        </is>
      </c>
    </row>
    <row r="634">
      <c r="A634" t="n">
        <v>2106</v>
      </c>
      <c r="B634" t="inlineStr">
        <is>
          <t>建大</t>
        </is>
      </c>
      <c r="C634" t="n">
        <v>17.15</v>
      </c>
      <c r="D634" t="n">
        <v>18.1</v>
      </c>
      <c r="E634" s="730" t="n">
        <v>1.05</v>
      </c>
      <c r="F634" s="731" t="n">
        <v>6.16</v>
      </c>
      <c r="G634" t="inlineStr">
        <is>
          <t>5507萬</t>
        </is>
      </c>
      <c r="H634" t="n">
        <v>3087</v>
      </c>
      <c r="I634" t="n">
        <v>1138</v>
      </c>
      <c r="J634" t="n">
        <v>95.48999999999999</v>
      </c>
      <c r="K634" t="n">
        <v>18.2</v>
      </c>
      <c r="L634" t="n">
        <v>17.15</v>
      </c>
      <c r="M634" s="155" t="n">
        <v>0.32</v>
      </c>
      <c r="N634" t="inlineStr">
        <is>
          <t>台灣第二大輪胎廠</t>
        </is>
      </c>
    </row>
    <row r="635">
      <c r="A635" t="n">
        <v>2107</v>
      </c>
      <c r="B635" t="inlineStr">
        <is>
          <t>厚生</t>
        </is>
      </c>
      <c r="C635" t="n">
        <v>25.5</v>
      </c>
      <c r="D635" t="n">
        <v>25.6</v>
      </c>
      <c r="E635" s="730" t="n">
        <v>-0.05</v>
      </c>
      <c r="F635" s="731" t="n">
        <v>-0.19</v>
      </c>
      <c r="G635" t="inlineStr">
        <is>
          <t>624萬</t>
        </is>
      </c>
      <c r="H635" t="n">
        <v>244</v>
      </c>
      <c r="I635" t="n">
        <v>273</v>
      </c>
      <c r="J635" t="n">
        <v>30.36</v>
      </c>
      <c r="K635" t="n">
        <v>25.7</v>
      </c>
      <c r="L635" t="n">
        <v>25.45</v>
      </c>
      <c r="M635" s="155" t="n">
        <v>0.08</v>
      </c>
      <c r="N635" t="inlineStr">
        <is>
          <t>主要從事營建與倉儲業務，也從事於橡膠與塑膠皮加工</t>
        </is>
      </c>
    </row>
    <row r="636">
      <c r="A636" t="n">
        <v>2108</v>
      </c>
      <c r="B636" t="inlineStr">
        <is>
          <t>南帝</t>
        </is>
      </c>
      <c r="C636" t="n">
        <v>27.55</v>
      </c>
      <c r="D636" t="n">
        <v>27.6</v>
      </c>
      <c r="E636" s="730" t="n">
        <v>0.35</v>
      </c>
      <c r="F636" s="731" t="n">
        <v>1.28</v>
      </c>
      <c r="G636" t="inlineStr">
        <is>
          <t>3409萬</t>
        </is>
      </c>
      <c r="H636" t="n">
        <v>1252</v>
      </c>
      <c r="I636" t="n">
        <v>1274</v>
      </c>
      <c r="J636" t="n">
        <v>49.24</v>
      </c>
      <c r="K636" t="n">
        <v>27.6</v>
      </c>
      <c r="L636" t="n">
        <v>27</v>
      </c>
      <c r="M636" s="155" t="n">
        <v>0.25</v>
      </c>
      <c r="N636" t="inlineStr">
        <is>
          <t>全球前五大NBR乳膠廠</t>
        </is>
      </c>
    </row>
    <row r="637">
      <c r="A637" t="n">
        <v>2109</v>
      </c>
      <c r="B637" t="inlineStr">
        <is>
          <t>華豐</t>
        </is>
      </c>
      <c r="C637" t="n">
        <v>14.1</v>
      </c>
      <c r="D637" t="n">
        <v>14.3</v>
      </c>
      <c r="E637" s="730" t="n">
        <v>0.25</v>
      </c>
      <c r="F637" s="731" t="n">
        <v>1.78</v>
      </c>
      <c r="G637" t="inlineStr">
        <is>
          <t>554萬</t>
        </is>
      </c>
      <c r="H637" t="n">
        <v>390</v>
      </c>
      <c r="I637" t="n">
        <v>195</v>
      </c>
      <c r="J637" t="n">
        <v>27.93</v>
      </c>
      <c r="K637" t="n">
        <v>14.45</v>
      </c>
      <c r="L637" t="n">
        <v>14.05</v>
      </c>
      <c r="M637" s="155" t="n">
        <v>0.14</v>
      </c>
      <c r="N637" t="inlineStr">
        <is>
          <t>台灣前六大輪胎廠</t>
        </is>
      </c>
    </row>
    <row r="638">
      <c r="A638" t="n">
        <v>2114</v>
      </c>
      <c r="B638" t="inlineStr">
        <is>
          <t>鑫永銓</t>
        </is>
      </c>
      <c r="C638" t="n">
        <v>94.40000000000001</v>
      </c>
      <c r="D638" t="n">
        <v>92.90000000000001</v>
      </c>
      <c r="E638" s="730" t="n">
        <v>-1.5</v>
      </c>
      <c r="F638" s="731" t="n">
        <v>-1.59</v>
      </c>
      <c r="G638" t="inlineStr">
        <is>
          <t>1127萬</t>
        </is>
      </c>
      <c r="H638" t="n">
        <v>121</v>
      </c>
      <c r="I638" t="n">
        <v>193</v>
      </c>
      <c r="J638" t="n">
        <v>7.8</v>
      </c>
      <c r="K638" t="n">
        <v>94.40000000000001</v>
      </c>
      <c r="L638" t="n">
        <v>92.3</v>
      </c>
      <c r="M638" s="155" t="n">
        <v>0.16</v>
      </c>
      <c r="N638" t="inlineStr">
        <is>
          <t>台灣最大、全球前十大橡膠輸送帶商</t>
        </is>
      </c>
    </row>
    <row r="639">
      <c r="A639" t="n">
        <v>2115</v>
      </c>
      <c r="B639" t="inlineStr">
        <is>
          <t>六暉-KY</t>
        </is>
      </c>
      <c r="C639" t="n">
        <v>21.65</v>
      </c>
      <c r="D639" t="n">
        <v>21.65</v>
      </c>
      <c r="E639" s="730" t="n">
        <v>0</v>
      </c>
      <c r="F639" s="731" t="n">
        <v>0</v>
      </c>
      <c r="G639" t="inlineStr">
        <is>
          <t>317萬</t>
        </is>
      </c>
      <c r="H639" t="n">
        <v>147</v>
      </c>
      <c r="I639" t="n">
        <v>223</v>
      </c>
      <c r="J639" t="n">
        <v>10.44</v>
      </c>
      <c r="K639" t="n">
        <v>21.7</v>
      </c>
      <c r="L639" t="n">
        <v>21.45</v>
      </c>
      <c r="M639" s="155" t="n">
        <v>0.14</v>
      </c>
      <c r="N639" t="inlineStr">
        <is>
          <t>全球最大氣門嘴製造商</t>
        </is>
      </c>
    </row>
    <row r="640">
      <c r="A640" t="n">
        <v>2201</v>
      </c>
      <c r="B640" t="inlineStr">
        <is>
          <t>裕隆</t>
        </is>
      </c>
      <c r="C640" t="n">
        <v>27.8</v>
      </c>
      <c r="D640" t="n">
        <v>28.15</v>
      </c>
      <c r="E640" s="730" t="n">
        <v>0.3</v>
      </c>
      <c r="F640" s="731" t="n">
        <v>1.08</v>
      </c>
      <c r="G640" t="inlineStr">
        <is>
          <t>1.25億</t>
        </is>
      </c>
      <c r="H640" t="n">
        <v>4465</v>
      </c>
      <c r="I640" t="n">
        <v>4038</v>
      </c>
      <c r="J640" t="n">
        <v>107</v>
      </c>
      <c r="K640" t="n">
        <v>28.2</v>
      </c>
      <c r="L640" t="n">
        <v>27.55</v>
      </c>
      <c r="M640" s="155" t="n">
        <v>0.42</v>
      </c>
      <c r="N640" t="inlineStr">
        <is>
          <t>與日本日產技術合作之汽車製造商</t>
        </is>
      </c>
    </row>
    <row r="641">
      <c r="A641" t="n">
        <v>2204</v>
      </c>
      <c r="B641" t="inlineStr">
        <is>
          <t>中華</t>
        </is>
      </c>
      <c r="C641" t="n">
        <v>53.4</v>
      </c>
      <c r="D641" t="n">
        <v>54</v>
      </c>
      <c r="E641" s="730" t="n">
        <v>0.4</v>
      </c>
      <c r="F641" s="731" t="n">
        <v>0.75</v>
      </c>
      <c r="G641" t="inlineStr">
        <is>
          <t>1.61億</t>
        </is>
      </c>
      <c r="H641" t="n">
        <v>2988</v>
      </c>
      <c r="I641" t="n">
        <v>1788</v>
      </c>
      <c r="J641" t="n">
        <v>55.36</v>
      </c>
      <c r="K641" t="n">
        <v>54.3</v>
      </c>
      <c r="L641" t="n">
        <v>53</v>
      </c>
      <c r="M641" s="155" t="n">
        <v>0.54</v>
      </c>
      <c r="N641" t="inlineStr">
        <is>
          <t>裕隆集團與日本三菱技術合作之汽車製造廠</t>
        </is>
      </c>
    </row>
    <row r="642">
      <c r="A642" t="n">
        <v>2206</v>
      </c>
      <c r="B642" t="inlineStr">
        <is>
          <t>三陽工業</t>
        </is>
      </c>
      <c r="C642" t="n">
        <v>60.6</v>
      </c>
      <c r="D642" t="n">
        <v>61.6</v>
      </c>
      <c r="E642" s="730" t="n">
        <v>0.6</v>
      </c>
      <c r="F642" s="731" t="n">
        <v>0.98</v>
      </c>
      <c r="G642" t="inlineStr">
        <is>
          <t>7642萬</t>
        </is>
      </c>
      <c r="H642" t="n">
        <v>1243</v>
      </c>
      <c r="I642" t="n">
        <v>1884</v>
      </c>
      <c r="J642" t="n">
        <v>77.37</v>
      </c>
      <c r="K642" t="n">
        <v>61.9</v>
      </c>
      <c r="L642" t="n">
        <v>60.6</v>
      </c>
      <c r="M642" s="155" t="n">
        <v>0.16</v>
      </c>
      <c r="N642" t="inlineStr">
        <is>
          <t>現代汽車台灣代理商及台灣知名機車製造商</t>
        </is>
      </c>
    </row>
    <row r="643">
      <c r="A643" t="n">
        <v>2207</v>
      </c>
      <c r="B643" t="inlineStr">
        <is>
          <t>和泰車</t>
        </is>
      </c>
      <c r="C643" t="n">
        <v>472</v>
      </c>
      <c r="D643" t="n">
        <v>471.5</v>
      </c>
      <c r="E643" s="730" t="n">
        <v>-2</v>
      </c>
      <c r="F643" s="731" t="n">
        <v>-0.42</v>
      </c>
      <c r="G643" t="inlineStr">
        <is>
          <t>3.86億</t>
        </is>
      </c>
      <c r="H643" t="n">
        <v>816</v>
      </c>
      <c r="I643" t="n">
        <v>1376</v>
      </c>
      <c r="J643" t="n">
        <v>55.71</v>
      </c>
      <c r="K643" t="n">
        <v>479.5</v>
      </c>
      <c r="L643" t="n">
        <v>466.5</v>
      </c>
      <c r="M643" s="155" t="n">
        <v>0.15</v>
      </c>
      <c r="N643" t="inlineStr">
        <is>
          <t>TOYOTA台灣獨家代理商</t>
        </is>
      </c>
    </row>
    <row r="644">
      <c r="A644" t="n">
        <v>2208</v>
      </c>
      <c r="B644" t="inlineStr">
        <is>
          <t>台船</t>
        </is>
      </c>
      <c r="C644" t="n">
        <v>18.35</v>
      </c>
      <c r="D644" t="n">
        <v>17.95</v>
      </c>
      <c r="E644" s="730" t="n">
        <v>-0.35</v>
      </c>
      <c r="F644" s="731" t="n">
        <v>-1.91</v>
      </c>
      <c r="G644" t="inlineStr">
        <is>
          <t>1.47億</t>
        </is>
      </c>
      <c r="H644" t="n">
        <v>8215</v>
      </c>
      <c r="I644" t="n">
        <v>8371</v>
      </c>
      <c r="J644" t="n">
        <v>127.45</v>
      </c>
      <c r="K644" t="n">
        <v>18.35</v>
      </c>
      <c r="L644" t="n">
        <v>17.7</v>
      </c>
      <c r="M644" s="155" t="n">
        <v>0.71</v>
      </c>
      <c r="N644" t="inlineStr">
        <is>
          <t>台灣第一大造船公司</t>
        </is>
      </c>
    </row>
    <row r="645">
      <c r="A645" t="n">
        <v>2211</v>
      </c>
      <c r="B645" t="inlineStr">
        <is>
          <t>長榮鋼</t>
        </is>
      </c>
      <c r="C645" t="n">
        <v>93.09999999999999</v>
      </c>
      <c r="D645" t="n">
        <v>93.8</v>
      </c>
      <c r="E645" s="730" t="n">
        <v>-0.1</v>
      </c>
      <c r="F645" s="731" t="n">
        <v>-0.11</v>
      </c>
      <c r="G645" t="inlineStr">
        <is>
          <t>1.91億</t>
        </is>
      </c>
      <c r="H645" t="n">
        <v>2058</v>
      </c>
      <c r="I645" t="n">
        <v>806</v>
      </c>
      <c r="J645" t="n">
        <v>41.71</v>
      </c>
      <c r="K645" t="n">
        <v>93.8</v>
      </c>
      <c r="L645" t="n">
        <v>91.59999999999999</v>
      </c>
      <c r="M645" s="155" t="n">
        <v>0.49</v>
      </c>
      <c r="N645" t="inlineStr">
        <is>
          <t>長榮集團旗下之鋼結構製造廠</t>
        </is>
      </c>
    </row>
    <row r="646">
      <c r="A646" t="n">
        <v>2221</v>
      </c>
      <c r="B646" t="inlineStr">
        <is>
          <t>大甲</t>
        </is>
      </c>
      <c r="C646" t="n">
        <v>44.7</v>
      </c>
      <c r="D646" t="n">
        <v>42.35</v>
      </c>
      <c r="E646" s="730" t="n">
        <v>-1.3</v>
      </c>
      <c r="F646" s="731" t="n">
        <v>-2.98</v>
      </c>
      <c r="G646" t="inlineStr">
        <is>
          <t>1874萬</t>
        </is>
      </c>
      <c r="H646" t="n">
        <v>439</v>
      </c>
      <c r="I646" t="n">
        <v>481</v>
      </c>
      <c r="J646" t="n">
        <v>4.23</v>
      </c>
      <c r="K646" t="n">
        <v>44.7</v>
      </c>
      <c r="L646" t="n">
        <v>42</v>
      </c>
      <c r="M646" s="155" t="n">
        <v>1.04</v>
      </c>
      <c r="N646" t="inlineStr">
        <is>
          <t>台灣最大不鏽鋼管配件製造商</t>
        </is>
      </c>
    </row>
    <row r="647">
      <c r="A647" t="n">
        <v>2227</v>
      </c>
      <c r="B647" t="inlineStr">
        <is>
          <t>裕日車</t>
        </is>
      </c>
      <c r="C647" t="n">
        <v>49.9</v>
      </c>
      <c r="D647" t="n">
        <v>50.5</v>
      </c>
      <c r="E647" s="730" t="n">
        <v>0.5</v>
      </c>
      <c r="F647" s="731" t="n">
        <v>1</v>
      </c>
      <c r="G647" t="inlineStr">
        <is>
          <t>185萬</t>
        </is>
      </c>
      <c r="H647" t="n">
        <v>37</v>
      </c>
      <c r="I647" t="n">
        <v>62</v>
      </c>
      <c r="J647" t="n">
        <v>30</v>
      </c>
      <c r="K647" t="n">
        <v>50.5</v>
      </c>
      <c r="L647" t="n">
        <v>49.5</v>
      </c>
      <c r="M647" s="155" t="n">
        <v>0.01</v>
      </c>
      <c r="N647" t="inlineStr">
        <is>
          <t>裕隆集團為NISSAN在台灣地區研發及銷售成立之公司</t>
        </is>
      </c>
    </row>
    <row r="648">
      <c r="A648" t="n">
        <v>2228</v>
      </c>
      <c r="B648" t="inlineStr">
        <is>
          <t>劍麟</t>
        </is>
      </c>
      <c r="C648" t="n">
        <v>85.5</v>
      </c>
      <c r="D648" t="n">
        <v>86.7</v>
      </c>
      <c r="E648" s="730" t="n">
        <v>1.5</v>
      </c>
      <c r="F648" s="731" t="n">
        <v>1.76</v>
      </c>
      <c r="G648" t="inlineStr">
        <is>
          <t>2681萬</t>
        </is>
      </c>
      <c r="H648" t="n">
        <v>312</v>
      </c>
      <c r="I648" t="n">
        <v>321</v>
      </c>
      <c r="J648" t="n">
        <v>7.98</v>
      </c>
      <c r="K648" t="n">
        <v>86.8</v>
      </c>
      <c r="L648" t="n">
        <v>84.90000000000001</v>
      </c>
      <c r="M648" s="155" t="n">
        <v>0.39</v>
      </c>
      <c r="N648" t="inlineStr">
        <is>
          <t>為汽車安全氣囊零組件製造商</t>
        </is>
      </c>
    </row>
    <row r="649">
      <c r="A649" t="n">
        <v>2230</v>
      </c>
      <c r="B649" t="inlineStr">
        <is>
          <t>泰茂</t>
        </is>
      </c>
      <c r="C649" t="n">
        <v>28.5</v>
      </c>
      <c r="D649" t="n">
        <v>28.05</v>
      </c>
      <c r="E649" s="730" t="n">
        <v>-0.1</v>
      </c>
      <c r="F649" s="731" t="n">
        <v>-0.36</v>
      </c>
      <c r="G649" t="inlineStr">
        <is>
          <t>888萬</t>
        </is>
      </c>
      <c r="H649" t="n">
        <v>316</v>
      </c>
      <c r="I649" t="n">
        <v>319</v>
      </c>
      <c r="J649" t="n">
        <v>6.8</v>
      </c>
      <c r="K649" t="n">
        <v>28.5</v>
      </c>
      <c r="L649" t="n">
        <v>27.9</v>
      </c>
      <c r="M649" s="155" t="n">
        <v>0.46</v>
      </c>
      <c r="N649" t="inlineStr">
        <is>
          <t>台灣知名汽車活塞環廠商</t>
        </is>
      </c>
    </row>
    <row r="650">
      <c r="A650" t="n">
        <v>2231</v>
      </c>
      <c r="B650" t="inlineStr">
        <is>
          <t>為升</t>
        </is>
      </c>
      <c r="C650" t="n">
        <v>109</v>
      </c>
      <c r="D650" t="n">
        <v>104.5</v>
      </c>
      <c r="E650" s="730" t="n">
        <v>-4.5</v>
      </c>
      <c r="F650" s="731" t="n">
        <v>-4.13</v>
      </c>
      <c r="G650" t="inlineStr">
        <is>
          <t>9080萬</t>
        </is>
      </c>
      <c r="H650" t="n">
        <v>864</v>
      </c>
      <c r="I650" t="n">
        <v>904</v>
      </c>
      <c r="J650" t="n">
        <v>13.59</v>
      </c>
      <c r="K650" t="n">
        <v>109</v>
      </c>
      <c r="L650" t="n">
        <v>102.5</v>
      </c>
      <c r="M650" s="155" t="n">
        <v>0.64</v>
      </c>
      <c r="N650" t="inlineStr">
        <is>
          <t>主要經營電裝品、TPMS及毫米波雷達銷售</t>
        </is>
      </c>
    </row>
    <row r="651">
      <c r="A651" t="n">
        <v>2233</v>
      </c>
      <c r="B651" t="inlineStr">
        <is>
          <t>宇隆</t>
        </is>
      </c>
      <c r="C651" t="n">
        <v>351.5</v>
      </c>
      <c r="D651" t="n">
        <v>329</v>
      </c>
      <c r="E651" s="730" t="n">
        <v>-26</v>
      </c>
      <c r="F651" s="731" t="n">
        <v>-7.32</v>
      </c>
      <c r="G651" t="inlineStr">
        <is>
          <t>10.4億</t>
        </is>
      </c>
      <c r="H651" t="n">
        <v>3184</v>
      </c>
      <c r="I651" t="n">
        <v>2235</v>
      </c>
      <c r="J651" t="n">
        <v>6.03</v>
      </c>
      <c r="K651" t="n">
        <v>351.5</v>
      </c>
      <c r="L651" t="n">
        <v>319.5</v>
      </c>
      <c r="M651" s="155" t="n">
        <v>5.28</v>
      </c>
      <c r="N651" t="inlineStr">
        <is>
          <t>汽車噴油嘴零件大廠</t>
        </is>
      </c>
    </row>
    <row r="652">
      <c r="A652" t="n">
        <v>2235</v>
      </c>
      <c r="B652" t="inlineStr">
        <is>
          <t>謚源</t>
        </is>
      </c>
      <c r="C652" t="n">
        <v>30.3</v>
      </c>
      <c r="D652" t="n">
        <v>30.5</v>
      </c>
      <c r="E652" s="730" t="n">
        <v>0</v>
      </c>
      <c r="F652" s="731" t="n">
        <v>0</v>
      </c>
      <c r="G652" t="inlineStr">
        <is>
          <t>280萬</t>
        </is>
      </c>
      <c r="H652" t="n">
        <v>92</v>
      </c>
      <c r="I652" t="n">
        <v>10</v>
      </c>
      <c r="J652" t="n">
        <v>3.59</v>
      </c>
      <c r="K652" t="n">
        <v>30.5</v>
      </c>
      <c r="L652" t="n">
        <v>30.05</v>
      </c>
      <c r="M652" s="155" t="n">
        <v>0.26</v>
      </c>
      <c r="N652" t="inlineStr">
        <is>
          <t>為車用水箱風扇製造商，堤維西為其最大股東</t>
        </is>
      </c>
    </row>
    <row r="653">
      <c r="A653" t="n">
        <v>2236</v>
      </c>
      <c r="B653" t="inlineStr">
        <is>
          <t>百達-KY</t>
        </is>
      </c>
      <c r="C653" t="n">
        <v>140</v>
      </c>
      <c r="D653" t="n">
        <v>139</v>
      </c>
      <c r="E653" s="730" t="n">
        <v>-1.5</v>
      </c>
      <c r="F653" s="731" t="n">
        <v>-1.07</v>
      </c>
      <c r="G653" t="inlineStr">
        <is>
          <t>4979萬</t>
        </is>
      </c>
      <c r="H653" t="n">
        <v>356</v>
      </c>
      <c r="I653" t="n">
        <v>475</v>
      </c>
      <c r="J653" t="n">
        <v>6.21</v>
      </c>
      <c r="K653" t="n">
        <v>144.5</v>
      </c>
      <c r="L653" t="n">
        <v>137.5</v>
      </c>
      <c r="M653" s="155" t="n">
        <v>0.58</v>
      </c>
      <c r="N653" t="inlineStr">
        <is>
          <t>全球唯二汽車零組件一條龍之新加坡商</t>
        </is>
      </c>
    </row>
    <row r="654">
      <c r="A654" t="n">
        <v>2239</v>
      </c>
      <c r="B654" t="inlineStr">
        <is>
          <t>英利-KY</t>
        </is>
      </c>
      <c r="C654" t="n">
        <v>24.75</v>
      </c>
      <c r="D654" t="n">
        <v>25</v>
      </c>
      <c r="E654" s="730" t="n">
        <v>0.5</v>
      </c>
      <c r="F654" s="731" t="n">
        <v>2.04</v>
      </c>
      <c r="G654" t="inlineStr">
        <is>
          <t>394萬</t>
        </is>
      </c>
      <c r="H654" t="n">
        <v>159</v>
      </c>
      <c r="I654" t="n">
        <v>149</v>
      </c>
      <c r="J654" t="n">
        <v>11.77</v>
      </c>
      <c r="K654" t="n">
        <v>25.7</v>
      </c>
      <c r="L654" t="n">
        <v>24.3</v>
      </c>
      <c r="M654" s="155" t="n">
        <v>0.14</v>
      </c>
      <c r="N654" t="inlineStr">
        <is>
          <t>台商企業，為大陸整車廠提供汽車結構件</t>
        </is>
      </c>
    </row>
    <row r="655">
      <c r="A655" t="n">
        <v>2241</v>
      </c>
      <c r="B655" t="inlineStr">
        <is>
          <t>艾姆勒</t>
        </is>
      </c>
      <c r="C655" t="n">
        <v>34.55</v>
      </c>
      <c r="D655" t="n">
        <v>32.35</v>
      </c>
      <c r="E655" s="730" t="n">
        <v>-2.3</v>
      </c>
      <c r="F655" s="731" t="n">
        <v>-6.64</v>
      </c>
      <c r="G655" t="inlineStr">
        <is>
          <t>7472萬</t>
        </is>
      </c>
      <c r="H655" t="n">
        <v>2282</v>
      </c>
      <c r="I655" t="n">
        <v>5071</v>
      </c>
      <c r="J655" t="n">
        <v>10.46</v>
      </c>
      <c r="K655" t="n">
        <v>34.6</v>
      </c>
      <c r="L655" t="n">
        <v>31.55</v>
      </c>
      <c r="M655" s="155" t="n">
        <v>2.18</v>
      </c>
      <c r="N655" t="inlineStr">
        <is>
          <t>主要生產電動車及油電混合車的逆變器散熱產品</t>
        </is>
      </c>
    </row>
    <row r="656">
      <c r="A656" t="n">
        <v>2243</v>
      </c>
      <c r="B656" t="inlineStr">
        <is>
          <t>宏旭-KY</t>
        </is>
      </c>
      <c r="C656" t="n">
        <v>29.35</v>
      </c>
      <c r="D656" t="n">
        <v>28</v>
      </c>
      <c r="E656" s="730" t="n">
        <v>-1.95</v>
      </c>
      <c r="F656" s="731" t="n">
        <v>-6.51</v>
      </c>
      <c r="G656" t="inlineStr">
        <is>
          <t>8461萬</t>
        </is>
      </c>
      <c r="H656" t="n">
        <v>3038</v>
      </c>
      <c r="I656" t="n">
        <v>1742</v>
      </c>
      <c r="J656" t="n">
        <v>6.94</v>
      </c>
      <c r="K656" t="n">
        <v>29.45</v>
      </c>
      <c r="L656" t="n">
        <v>27.1</v>
      </c>
      <c r="M656" s="155" t="n">
        <v>4.38</v>
      </c>
      <c r="N656" t="inlineStr">
        <is>
          <t>大陸台資第一大、行業前五大的車身模具廠</t>
        </is>
      </c>
    </row>
    <row r="657">
      <c r="A657" t="n">
        <v>2247</v>
      </c>
      <c r="B657" t="inlineStr">
        <is>
          <t>汎德永業</t>
        </is>
      </c>
      <c r="C657" t="n">
        <v>216</v>
      </c>
      <c r="D657" t="n">
        <v>220</v>
      </c>
      <c r="E657" s="730" t="n">
        <v>2.5</v>
      </c>
      <c r="F657" s="731" t="n">
        <v>1.15</v>
      </c>
      <c r="G657" t="inlineStr">
        <is>
          <t>1263萬</t>
        </is>
      </c>
      <c r="H657" t="n">
        <v>58</v>
      </c>
      <c r="I657" t="n">
        <v>264</v>
      </c>
      <c r="J657" t="n">
        <v>8.07</v>
      </c>
      <c r="K657" t="n">
        <v>220</v>
      </c>
      <c r="L657" t="n">
        <v>216</v>
      </c>
      <c r="M657" s="155" t="n">
        <v>0.07000000000000001</v>
      </c>
      <c r="N657" t="inlineStr">
        <is>
          <t>豪華進口車代理商</t>
        </is>
      </c>
    </row>
    <row r="658">
      <c r="A658" t="n">
        <v>2248</v>
      </c>
      <c r="B658" t="inlineStr">
        <is>
          <t>華勝-KY</t>
        </is>
      </c>
      <c r="C658" t="n">
        <v>55.1</v>
      </c>
      <c r="D658" t="n">
        <v>55.4</v>
      </c>
      <c r="E658" s="730" t="n">
        <v>0.3</v>
      </c>
      <c r="F658" s="731" t="n">
        <v>0.54</v>
      </c>
      <c r="G658" t="inlineStr">
        <is>
          <t>121萬</t>
        </is>
      </c>
      <c r="H658" t="n">
        <v>22</v>
      </c>
      <c r="I658" t="n">
        <v>69</v>
      </c>
      <c r="J658" t="n">
        <v>4.76</v>
      </c>
      <c r="K658" t="n">
        <v>55.4</v>
      </c>
      <c r="L658" t="n">
        <v>54.8</v>
      </c>
      <c r="M658" s="155" t="n">
        <v>0.05</v>
      </c>
      <c r="N658" t="inlineStr">
        <is>
          <t>LED汽車門檻踏板供應商</t>
        </is>
      </c>
    </row>
    <row r="659">
      <c r="A659" t="n">
        <v>2250</v>
      </c>
      <c r="B659" t="inlineStr">
        <is>
          <t>IKKA-KY</t>
        </is>
      </c>
      <c r="C659" t="n">
        <v>64.3</v>
      </c>
      <c r="D659" t="n">
        <v>63.6</v>
      </c>
      <c r="E659" s="730" t="n">
        <v>-0.7</v>
      </c>
      <c r="F659" s="731" t="n">
        <v>-1.09</v>
      </c>
      <c r="G659" t="inlineStr">
        <is>
          <t>578萬</t>
        </is>
      </c>
      <c r="H659" t="n">
        <v>91</v>
      </c>
      <c r="I659" t="n">
        <v>170</v>
      </c>
      <c r="J659" t="n">
        <v>3.64</v>
      </c>
      <c r="K659" t="n">
        <v>64.3</v>
      </c>
      <c r="L659" t="n">
        <v>63.1</v>
      </c>
      <c r="M659" s="155" t="n">
        <v>0.25</v>
      </c>
      <c r="N659" t="inlineStr">
        <is>
          <t>能率集團旗下，日本車用沖壓件OEM廠商</t>
        </is>
      </c>
    </row>
    <row r="660">
      <c r="A660" t="n">
        <v>2301</v>
      </c>
      <c r="B660" t="inlineStr">
        <is>
          <t>光寶科</t>
        </is>
      </c>
      <c r="C660" t="n">
        <v>225</v>
      </c>
      <c r="D660" t="n">
        <v>227.5</v>
      </c>
      <c r="E660" s="730" t="n">
        <v>-7</v>
      </c>
      <c r="F660" s="731" t="n">
        <v>-2.99</v>
      </c>
      <c r="G660" t="inlineStr">
        <is>
          <t>105億</t>
        </is>
      </c>
      <c r="H660" t="n">
        <v>46187</v>
      </c>
      <c r="I660" t="n">
        <v>54087</v>
      </c>
      <c r="J660" t="n">
        <v>231.61</v>
      </c>
      <c r="K660" t="n">
        <v>230</v>
      </c>
      <c r="L660" t="n">
        <v>223</v>
      </c>
      <c r="M660" s="155" t="n">
        <v>1.99</v>
      </c>
      <c r="N660" t="inlineStr">
        <is>
          <t>台灣電源供應器大廠</t>
        </is>
      </c>
    </row>
    <row r="661">
      <c r="A661" t="n">
        <v>2302</v>
      </c>
      <c r="B661" t="inlineStr">
        <is>
          <t>麗正</t>
        </is>
      </c>
      <c r="C661" t="n">
        <v>38</v>
      </c>
      <c r="D661" t="n">
        <v>37</v>
      </c>
      <c r="E661" s="730" t="n">
        <v>-1.25</v>
      </c>
      <c r="F661" s="731" t="n">
        <v>-3.27</v>
      </c>
      <c r="G661" t="inlineStr">
        <is>
          <t>1.57億</t>
        </is>
      </c>
      <c r="H661" t="n">
        <v>4338</v>
      </c>
      <c r="I661" t="n">
        <v>15734</v>
      </c>
      <c r="J661" t="n">
        <v>16.63</v>
      </c>
      <c r="K661" t="n">
        <v>38</v>
      </c>
      <c r="L661" t="n">
        <v>35.15</v>
      </c>
      <c r="M661" s="155" t="n">
        <v>2.61</v>
      </c>
      <c r="N661" t="inlineStr">
        <is>
          <t>台灣整流二極體廠商</t>
        </is>
      </c>
    </row>
    <row r="662">
      <c r="A662" t="n">
        <v>2303</v>
      </c>
      <c r="B662" t="inlineStr">
        <is>
          <t>聯電</t>
        </is>
      </c>
      <c r="C662" t="n">
        <v>147</v>
      </c>
      <c r="D662" t="n">
        <v>141.5</v>
      </c>
      <c r="E662" s="730" t="n">
        <v>-4.5</v>
      </c>
      <c r="F662" s="731" t="n">
        <v>-3.08</v>
      </c>
      <c r="G662" t="inlineStr">
        <is>
          <t>527億</t>
        </is>
      </c>
      <c r="H662" t="n">
        <v>376046</v>
      </c>
      <c r="I662" t="n">
        <v>329245</v>
      </c>
      <c r="J662" t="n">
        <v>1257.7</v>
      </c>
      <c r="K662" t="n">
        <v>150</v>
      </c>
      <c r="L662" t="n">
        <v>133.5</v>
      </c>
      <c r="M662" s="155" t="n">
        <v>2.99</v>
      </c>
      <c r="N662" t="inlineStr">
        <is>
          <t>全球前十大晶圓代工廠之一</t>
        </is>
      </c>
    </row>
    <row r="663">
      <c r="A663" t="n">
        <v>2305</v>
      </c>
      <c r="B663" t="inlineStr">
        <is>
          <t>全友</t>
        </is>
      </c>
      <c r="C663" t="n">
        <v>22.55</v>
      </c>
      <c r="D663" t="n">
        <v>23.4</v>
      </c>
      <c r="E663" s="730" t="n">
        <v>0.35</v>
      </c>
      <c r="F663" s="731" t="n">
        <v>1.52</v>
      </c>
      <c r="G663" t="inlineStr">
        <is>
          <t>1.38億</t>
        </is>
      </c>
      <c r="H663" t="n">
        <v>6089</v>
      </c>
      <c r="I663" t="n">
        <v>15750</v>
      </c>
      <c r="J663" t="n">
        <v>20.57</v>
      </c>
      <c r="K663" t="n">
        <v>23.45</v>
      </c>
      <c r="L663" t="n">
        <v>21.85</v>
      </c>
      <c r="M663" s="155" t="n">
        <v>2.96</v>
      </c>
      <c r="N663" t="inlineStr">
        <is>
          <t>光罩持股，經營工業用、醫療等數位掃描器</t>
        </is>
      </c>
    </row>
    <row r="664">
      <c r="A664" t="n">
        <v>2308</v>
      </c>
      <c r="B664" t="inlineStr">
        <is>
          <t>台達電</t>
        </is>
      </c>
      <c r="C664" t="n">
        <v>2430</v>
      </c>
      <c r="D664" t="n">
        <v>2360</v>
      </c>
      <c r="E664" s="730" t="n">
        <v>-60</v>
      </c>
      <c r="F664" s="731" t="n">
        <v>-2.48</v>
      </c>
      <c r="G664" t="inlineStr">
        <is>
          <t>262億</t>
        </is>
      </c>
      <c r="H664" t="n">
        <v>10974</v>
      </c>
      <c r="I664" t="n">
        <v>12967</v>
      </c>
      <c r="J664" t="n">
        <v>259.75</v>
      </c>
      <c r="K664" t="n">
        <v>2455</v>
      </c>
      <c r="L664" t="n">
        <v>2330</v>
      </c>
      <c r="M664" s="155" t="n">
        <v>0.42</v>
      </c>
      <c r="N664" t="inlineStr">
        <is>
          <t>全球最大的交換式電源供應器廠商</t>
        </is>
      </c>
    </row>
    <row r="665">
      <c r="A665" t="n">
        <v>2312</v>
      </c>
      <c r="B665" t="inlineStr">
        <is>
          <t>金寶</t>
        </is>
      </c>
      <c r="C665" t="n">
        <v>40.95</v>
      </c>
      <c r="D665" t="n">
        <v>41.3</v>
      </c>
      <c r="E665" s="730" t="n">
        <v>0.7</v>
      </c>
      <c r="F665" s="731" t="n">
        <v>1.72</v>
      </c>
      <c r="G665" t="inlineStr">
        <is>
          <t>54.8億</t>
        </is>
      </c>
      <c r="H665" t="n">
        <v>134675</v>
      </c>
      <c r="I665" t="n">
        <v>152210</v>
      </c>
      <c r="J665" t="n">
        <v>150.58</v>
      </c>
      <c r="K665" t="n">
        <v>43.5</v>
      </c>
      <c r="L665" t="n">
        <v>38.85</v>
      </c>
      <c r="M665" s="155" t="n">
        <v>8.949999999999999</v>
      </c>
      <c r="N665" t="inlineStr">
        <is>
          <t>金寶集團旗下消費性電子代工廠</t>
        </is>
      </c>
    </row>
    <row r="666">
      <c r="A666" t="n">
        <v>2313</v>
      </c>
      <c r="B666" t="inlineStr">
        <is>
          <t>華通</t>
        </is>
      </c>
      <c r="C666" t="n">
        <v>284</v>
      </c>
      <c r="D666" t="n">
        <v>270.5</v>
      </c>
      <c r="E666" s="730" t="n">
        <v>-8.5</v>
      </c>
      <c r="F666" s="731" t="n">
        <v>-3.05</v>
      </c>
      <c r="G666" t="inlineStr">
        <is>
          <t>123億</t>
        </is>
      </c>
      <c r="H666" t="n">
        <v>44542</v>
      </c>
      <c r="I666" t="n">
        <v>88077</v>
      </c>
      <c r="J666" t="n">
        <v>119.18</v>
      </c>
      <c r="K666" t="n">
        <v>289</v>
      </c>
      <c r="L666" t="n">
        <v>268.5</v>
      </c>
      <c r="M666" s="155" t="n">
        <v>3.74</v>
      </c>
      <c r="N666" t="inlineStr">
        <is>
          <t>全球HDI板龍頭公司</t>
        </is>
      </c>
    </row>
    <row r="667">
      <c r="A667" t="n">
        <v>2314</v>
      </c>
      <c r="B667" t="inlineStr">
        <is>
          <t>台揚</t>
        </is>
      </c>
      <c r="C667" t="n">
        <v>16.5</v>
      </c>
      <c r="D667" t="n">
        <v>16.3</v>
      </c>
      <c r="E667" s="730" t="n">
        <v>0.15</v>
      </c>
      <c r="F667" s="731" t="n">
        <v>0.93</v>
      </c>
      <c r="G667" t="inlineStr">
        <is>
          <t>786萬</t>
        </is>
      </c>
      <c r="H667" t="n">
        <v>479</v>
      </c>
      <c r="I667" t="n">
        <v>521</v>
      </c>
      <c r="J667" t="n">
        <v>10.61</v>
      </c>
      <c r="K667" t="n">
        <v>16.55</v>
      </c>
      <c r="L667" t="n">
        <v>16.15</v>
      </c>
      <c r="M667" s="155" t="n">
        <v>0.45</v>
      </c>
      <c r="N667" t="inlineStr">
        <is>
          <t>鴻海轉投資衛星、微波通訊設備製造商</t>
        </is>
      </c>
    </row>
    <row r="668">
      <c r="A668" t="n">
        <v>2316</v>
      </c>
      <c r="B668" t="inlineStr">
        <is>
          <t>楠梓電</t>
        </is>
      </c>
      <c r="C668" t="n">
        <v>167</v>
      </c>
      <c r="D668" t="n">
        <v>161</v>
      </c>
      <c r="E668" s="730" t="n">
        <v>-5</v>
      </c>
      <c r="F668" s="731" t="n">
        <v>-3.01</v>
      </c>
      <c r="G668" t="inlineStr">
        <is>
          <t>7.20億</t>
        </is>
      </c>
      <c r="H668" t="n">
        <v>4485</v>
      </c>
      <c r="I668" t="n">
        <v>8780</v>
      </c>
      <c r="J668" t="n">
        <v>18.27</v>
      </c>
      <c r="K668" t="n">
        <v>167</v>
      </c>
      <c r="L668" t="n">
        <v>157.5</v>
      </c>
      <c r="M668" s="155" t="n">
        <v>2.45</v>
      </c>
      <c r="N668" t="inlineStr">
        <is>
          <t>台灣PCB大廠，並轉投資於深交所掛牌之滬電股份</t>
        </is>
      </c>
    </row>
    <row r="669">
      <c r="A669" t="n">
        <v>2317</v>
      </c>
      <c r="B669" t="inlineStr">
        <is>
          <t>鴻海</t>
        </is>
      </c>
      <c r="C669" t="n">
        <v>297.5</v>
      </c>
      <c r="D669" t="n">
        <v>301.5</v>
      </c>
      <c r="E669" s="730" t="n">
        <v>8</v>
      </c>
      <c r="F669" s="731" t="n">
        <v>2.73</v>
      </c>
      <c r="G669" t="inlineStr">
        <is>
          <t>328億</t>
        </is>
      </c>
      <c r="H669" t="n">
        <v>110301</v>
      </c>
      <c r="I669" t="n">
        <v>140617</v>
      </c>
      <c r="J669" t="n">
        <v>1402.86</v>
      </c>
      <c r="K669" t="n">
        <v>302</v>
      </c>
      <c r="L669" t="n">
        <v>293</v>
      </c>
      <c r="M669" s="155" t="n">
        <v>0.79</v>
      </c>
      <c r="N669" t="inlineStr">
        <is>
          <t>全球最大EMS電子專業代工廠</t>
        </is>
      </c>
    </row>
    <row r="670">
      <c r="A670" t="n">
        <v>2321</v>
      </c>
      <c r="B670" t="inlineStr">
        <is>
          <t>東訊</t>
        </is>
      </c>
      <c r="C670" t="n">
        <v>14.95</v>
      </c>
      <c r="D670" t="n">
        <v>14.95</v>
      </c>
      <c r="E670" s="730" t="n">
        <v>0</v>
      </c>
      <c r="F670" s="731" t="n">
        <v>0</v>
      </c>
      <c r="G670" t="inlineStr">
        <is>
          <t>1.50萬</t>
        </is>
      </c>
      <c r="H670" t="n">
        <v>1</v>
      </c>
      <c r="I670" t="n">
        <v>18</v>
      </c>
      <c r="J670" t="n">
        <v>3.03</v>
      </c>
      <c r="K670" t="n">
        <v>14.95</v>
      </c>
      <c r="L670" t="n">
        <v>14.95</v>
      </c>
      <c r="M670" s="155" t="n">
        <v>0.01</v>
      </c>
      <c r="N670" t="inlineStr">
        <is>
          <t>東元集團旗下台灣最大總機系統供應商</t>
        </is>
      </c>
    </row>
    <row r="671">
      <c r="A671" t="n">
        <v>2323</v>
      </c>
      <c r="B671" t="inlineStr">
        <is>
          <t>中環</t>
        </is>
      </c>
      <c r="C671" t="n">
        <v>10.7</v>
      </c>
      <c r="D671" t="n">
        <v>11.6</v>
      </c>
      <c r="E671" s="730" t="n">
        <v>1.05</v>
      </c>
      <c r="F671" s="731" t="n">
        <v>9.949999999999999</v>
      </c>
      <c r="G671" t="inlineStr">
        <is>
          <t>3.69億</t>
        </is>
      </c>
      <c r="H671" t="n">
        <v>33082</v>
      </c>
      <c r="I671" t="n">
        <v>8893</v>
      </c>
      <c r="J671" t="n">
        <v>108.93</v>
      </c>
      <c r="K671" t="n">
        <v>11.6</v>
      </c>
      <c r="L671" t="n">
        <v>10.55</v>
      </c>
      <c r="M671" s="155" t="n">
        <v>3.04</v>
      </c>
      <c r="N671" t="inlineStr">
        <is>
          <t>全球前三大光碟片製造商之一</t>
        </is>
      </c>
    </row>
    <row r="672">
      <c r="A672" t="n">
        <v>2324</v>
      </c>
      <c r="B672" t="inlineStr">
        <is>
          <t>仁寶</t>
        </is>
      </c>
      <c r="C672" t="n">
        <v>44.3</v>
      </c>
      <c r="D672" t="n">
        <v>44.35</v>
      </c>
      <c r="E672" s="730" t="n">
        <v>4</v>
      </c>
      <c r="F672" s="731" t="n">
        <v>9.91</v>
      </c>
      <c r="G672" t="inlineStr">
        <is>
          <t>78.5億</t>
        </is>
      </c>
      <c r="H672" t="n">
        <v>177437</v>
      </c>
      <c r="I672" t="n">
        <v>264914</v>
      </c>
      <c r="J672" t="n">
        <v>440.71</v>
      </c>
      <c r="K672" t="n">
        <v>44.35</v>
      </c>
      <c r="L672" t="n">
        <v>43.1</v>
      </c>
      <c r="M672" s="155" t="n">
        <v>4.03</v>
      </c>
      <c r="N672" t="inlineStr">
        <is>
          <t>全球前五大NB代工廠</t>
        </is>
      </c>
    </row>
    <row r="673">
      <c r="A673" t="n">
        <v>2327</v>
      </c>
      <c r="B673" t="inlineStr">
        <is>
          <t>國巨*</t>
        </is>
      </c>
      <c r="C673" t="n">
        <v>771</v>
      </c>
      <c r="D673" t="n">
        <v>846</v>
      </c>
      <c r="E673" s="730" t="n">
        <v>56</v>
      </c>
      <c r="F673" s="731" t="n">
        <v>7.09</v>
      </c>
      <c r="G673" t="inlineStr">
        <is>
          <t>168億</t>
        </is>
      </c>
      <c r="H673" t="n">
        <v>21609</v>
      </c>
      <c r="I673" t="n">
        <v>28104</v>
      </c>
      <c r="J673" t="n">
        <v>51.79</v>
      </c>
      <c r="K673" t="n">
        <v>847</v>
      </c>
      <c r="L673" t="n">
        <v>757</v>
      </c>
      <c r="M673" s="155" t="n">
        <v>1.04</v>
      </c>
      <c r="N673" t="inlineStr">
        <is>
          <t>全球被動元件供應商，亦為全球晶片電阻大廠</t>
        </is>
      </c>
    </row>
    <row r="674">
      <c r="A674" t="n">
        <v>2328</v>
      </c>
      <c r="B674" t="inlineStr">
        <is>
          <t>廣宇</t>
        </is>
      </c>
      <c r="C674" t="n">
        <v>64.40000000000001</v>
      </c>
      <c r="D674" t="n">
        <v>61.7</v>
      </c>
      <c r="E674" s="730" t="n">
        <v>0.7</v>
      </c>
      <c r="F674" s="731" t="n">
        <v>1.15</v>
      </c>
      <c r="G674" t="inlineStr">
        <is>
          <t>44.5億</t>
        </is>
      </c>
      <c r="H674" t="n">
        <v>72270</v>
      </c>
      <c r="I674" t="n">
        <v>14775</v>
      </c>
      <c r="J674" t="n">
        <v>51.83</v>
      </c>
      <c r="K674" t="n">
        <v>64.5</v>
      </c>
      <c r="L674" t="n">
        <v>59</v>
      </c>
      <c r="M674" s="155" t="n">
        <v>13.94</v>
      </c>
      <c r="N674" t="inlineStr">
        <is>
          <t>鴻海旗下電子零件代工、PCB及連接器廠</t>
        </is>
      </c>
    </row>
    <row r="675">
      <c r="A675" t="n">
        <v>2329</v>
      </c>
      <c r="B675" t="inlineStr">
        <is>
          <t>華泰</t>
        </is>
      </c>
      <c r="C675" t="n">
        <v>61.1</v>
      </c>
      <c r="D675" t="n">
        <v>58.9</v>
      </c>
      <c r="E675" s="730" t="n">
        <v>-2.1</v>
      </c>
      <c r="F675" s="731" t="n">
        <v>-3.44</v>
      </c>
      <c r="G675" t="inlineStr">
        <is>
          <t>9.02億</t>
        </is>
      </c>
      <c r="H675" t="n">
        <v>15324</v>
      </c>
      <c r="I675" t="n">
        <v>26352</v>
      </c>
      <c r="J675" t="n">
        <v>65.89</v>
      </c>
      <c r="K675" t="n">
        <v>61.3</v>
      </c>
      <c r="L675" t="n">
        <v>57.2</v>
      </c>
      <c r="M675" s="155" t="n">
        <v>2.33</v>
      </c>
      <c r="N675" t="inlineStr">
        <is>
          <t>半導體封測及EMS廠</t>
        </is>
      </c>
    </row>
    <row r="676">
      <c r="A676" t="n">
        <v>2330</v>
      </c>
      <c r="B676" t="inlineStr">
        <is>
          <t>台積電</t>
        </is>
      </c>
      <c r="C676" t="n">
        <v>2390</v>
      </c>
      <c r="D676" t="n">
        <v>2380</v>
      </c>
      <c r="E676" s="730" t="n">
        <v>25</v>
      </c>
      <c r="F676" s="731" t="n">
        <v>1.06</v>
      </c>
      <c r="G676" t="inlineStr">
        <is>
          <t>704億</t>
        </is>
      </c>
      <c r="H676" t="n">
        <v>29567</v>
      </c>
      <c r="I676" t="n">
        <v>56218</v>
      </c>
      <c r="J676" t="n">
        <v>2593.24</v>
      </c>
      <c r="K676" t="n">
        <v>2400</v>
      </c>
      <c r="L676" t="n">
        <v>2360</v>
      </c>
      <c r="M676" s="155" t="n">
        <v>0.11</v>
      </c>
      <c r="N676" t="inlineStr">
        <is>
          <t>全球第一大晶圓代工廠</t>
        </is>
      </c>
    </row>
    <row r="677">
      <c r="A677" t="n">
        <v>2331</v>
      </c>
      <c r="B677" t="inlineStr">
        <is>
          <t>精英</t>
        </is>
      </c>
      <c r="C677" t="n">
        <v>26</v>
      </c>
      <c r="D677" t="n">
        <v>25.6</v>
      </c>
      <c r="E677" s="730" t="n">
        <v>1.2</v>
      </c>
      <c r="F677" s="731" t="n">
        <v>4.92</v>
      </c>
      <c r="G677" t="inlineStr">
        <is>
          <t>9.29億</t>
        </is>
      </c>
      <c r="H677" t="n">
        <v>36492</v>
      </c>
      <c r="I677" t="n">
        <v>6510</v>
      </c>
      <c r="J677" t="n">
        <v>55.74</v>
      </c>
      <c r="K677" t="n">
        <v>26.5</v>
      </c>
      <c r="L677" t="n">
        <v>24.8</v>
      </c>
      <c r="M677" s="155" t="n">
        <v>6.55</v>
      </c>
      <c r="N677" t="inlineStr">
        <is>
          <t>大同轉投資主機板及電腦產品專業代工廠</t>
        </is>
      </c>
    </row>
    <row r="678">
      <c r="A678" t="n">
        <v>2332</v>
      </c>
      <c r="B678" t="inlineStr">
        <is>
          <t>友訊</t>
        </is>
      </c>
      <c r="C678" t="n">
        <v>17</v>
      </c>
      <c r="D678" t="n">
        <v>17.3</v>
      </c>
      <c r="E678" s="730" t="n">
        <v>0.6</v>
      </c>
      <c r="F678" s="731" t="n">
        <v>3.59</v>
      </c>
      <c r="G678" t="inlineStr">
        <is>
          <t>1.68億</t>
        </is>
      </c>
      <c r="H678" t="n">
        <v>9869</v>
      </c>
      <c r="I678" t="n">
        <v>10408</v>
      </c>
      <c r="J678" t="n">
        <v>60.22</v>
      </c>
      <c r="K678" t="n">
        <v>17.4</v>
      </c>
      <c r="L678" t="n">
        <v>16.55</v>
      </c>
      <c r="M678" s="155" t="n">
        <v>1.64</v>
      </c>
      <c r="N678" t="inlineStr">
        <is>
          <t>以D-Link品牌行銷網通設備之全球領導廠商</t>
        </is>
      </c>
    </row>
    <row r="679">
      <c r="A679" t="n">
        <v>2337</v>
      </c>
      <c r="B679" t="inlineStr">
        <is>
          <t>旺宏</t>
        </is>
      </c>
      <c r="C679" t="n">
        <v>173</v>
      </c>
      <c r="D679" t="n">
        <v>175.5</v>
      </c>
      <c r="E679" s="730" t="n">
        <v>8</v>
      </c>
      <c r="F679" s="731" t="n">
        <v>4.78</v>
      </c>
      <c r="G679" t="inlineStr">
        <is>
          <t>430億</t>
        </is>
      </c>
      <c r="H679" t="n">
        <v>245056</v>
      </c>
      <c r="I679" t="n">
        <v>197619</v>
      </c>
      <c r="J679" t="n">
        <v>198.13</v>
      </c>
      <c r="K679" t="n">
        <v>180</v>
      </c>
      <c r="L679" t="n">
        <v>170</v>
      </c>
      <c r="M679" s="155" t="n">
        <v>12.37</v>
      </c>
      <c r="N679" t="inlineStr">
        <is>
          <t>全球非揮發性記憶體整合元件領導廠</t>
        </is>
      </c>
    </row>
    <row r="680">
      <c r="A680" t="n">
        <v>2338</v>
      </c>
      <c r="B680" t="inlineStr">
        <is>
          <t>光罩</t>
        </is>
      </c>
      <c r="C680" t="n">
        <v>56.9</v>
      </c>
      <c r="D680" t="n">
        <v>54.5</v>
      </c>
      <c r="E680" s="730" t="n">
        <v>-2.7</v>
      </c>
      <c r="F680" s="731" t="n">
        <v>-4.72</v>
      </c>
      <c r="G680" t="inlineStr">
        <is>
          <t>4.56億</t>
        </is>
      </c>
      <c r="H680" t="n">
        <v>8332</v>
      </c>
      <c r="I680" t="n">
        <v>12249</v>
      </c>
      <c r="J680" t="n">
        <v>36.68</v>
      </c>
      <c r="K680" t="n">
        <v>57</v>
      </c>
      <c r="L680" t="n">
        <v>53.1</v>
      </c>
      <c r="M680" s="155" t="n">
        <v>2.27</v>
      </c>
      <c r="N680" t="inlineStr">
        <is>
          <t>光聚晶電旗下專業光罩廠</t>
        </is>
      </c>
    </row>
    <row r="681">
      <c r="A681" t="n">
        <v>2340</v>
      </c>
      <c r="B681" t="inlineStr">
        <is>
          <t>台亞</t>
        </is>
      </c>
      <c r="C681" t="n">
        <v>36.5</v>
      </c>
      <c r="D681" t="n">
        <v>35.3</v>
      </c>
      <c r="E681" s="730" t="n">
        <v>-1.3</v>
      </c>
      <c r="F681" s="731" t="n">
        <v>-3.55</v>
      </c>
      <c r="G681" t="inlineStr">
        <is>
          <t>2.71億</t>
        </is>
      </c>
      <c r="H681" t="n">
        <v>7662</v>
      </c>
      <c r="I681" t="n">
        <v>9563</v>
      </c>
      <c r="J681" t="n">
        <v>43.86</v>
      </c>
      <c r="K681" t="n">
        <v>36.8</v>
      </c>
      <c r="L681" t="n">
        <v>34.45</v>
      </c>
      <c r="M681" s="155" t="n">
        <v>2.02</v>
      </c>
      <c r="N681" t="inlineStr">
        <is>
          <t>日亞化轉投資感測元件與LED發光元件公司</t>
        </is>
      </c>
    </row>
    <row r="682">
      <c r="A682" t="n">
        <v>2342</v>
      </c>
      <c r="B682" t="inlineStr">
        <is>
          <t>茂矽</t>
        </is>
      </c>
      <c r="C682" t="n">
        <v>41.75</v>
      </c>
      <c r="D682" t="n">
        <v>40.6</v>
      </c>
      <c r="E682" s="730" t="n">
        <v>-1.1</v>
      </c>
      <c r="F682" s="731" t="n">
        <v>-2.64</v>
      </c>
      <c r="G682" t="inlineStr">
        <is>
          <t>1.93億</t>
        </is>
      </c>
      <c r="H682" t="n">
        <v>4755</v>
      </c>
      <c r="I682" t="n">
        <v>11471</v>
      </c>
      <c r="J682" t="n">
        <v>15.75</v>
      </c>
      <c r="K682" t="n">
        <v>42.4</v>
      </c>
      <c r="L682" t="n">
        <v>39.7</v>
      </c>
      <c r="M682" s="155" t="n">
        <v>3.02</v>
      </c>
      <c r="N682" t="inlineStr">
        <is>
          <t>功率元件及電源管理IC之晶圓代工廠</t>
        </is>
      </c>
    </row>
    <row r="683">
      <c r="A683" t="n">
        <v>2344</v>
      </c>
      <c r="B683" t="inlineStr">
        <is>
          <t>華邦電</t>
        </is>
      </c>
      <c r="C683" t="n">
        <v>174</v>
      </c>
      <c r="D683" t="n">
        <v>184.5</v>
      </c>
      <c r="E683" s="730" t="n">
        <v>16.5</v>
      </c>
      <c r="F683" s="731" t="n">
        <v>9.82</v>
      </c>
      <c r="G683" t="inlineStr">
        <is>
          <t>488億</t>
        </is>
      </c>
      <c r="H683" t="n">
        <v>267800</v>
      </c>
      <c r="I683" t="n">
        <v>336552</v>
      </c>
      <c r="J683" t="n">
        <v>450</v>
      </c>
      <c r="K683" t="n">
        <v>184.5</v>
      </c>
      <c r="L683" t="n">
        <v>171.5</v>
      </c>
      <c r="M683" s="155" t="n">
        <v>5.95</v>
      </c>
      <c r="N683" t="inlineStr">
        <is>
          <t>專注於利基型DRAM與NOR Flash市場</t>
        </is>
      </c>
    </row>
    <row r="684">
      <c r="A684" t="n">
        <v>2345</v>
      </c>
      <c r="B684" t="inlineStr">
        <is>
          <t>智邦</t>
        </is>
      </c>
      <c r="C684" t="n">
        <v>2505</v>
      </c>
      <c r="D684" t="n">
        <v>2425</v>
      </c>
      <c r="E684" s="730" t="n">
        <v>-85</v>
      </c>
      <c r="F684" s="731" t="n">
        <v>-3.39</v>
      </c>
      <c r="G684" t="inlineStr">
        <is>
          <t>87.8億</t>
        </is>
      </c>
      <c r="H684" t="n">
        <v>3598</v>
      </c>
      <c r="I684" t="n">
        <v>4491</v>
      </c>
      <c r="J684" t="n">
        <v>56.11</v>
      </c>
      <c r="K684" t="n">
        <v>2520</v>
      </c>
      <c r="L684" t="n">
        <v>2390</v>
      </c>
      <c r="M684" s="155" t="n">
        <v>0.64</v>
      </c>
      <c r="N684" t="inlineStr">
        <is>
          <t>以網路交換器為主產品的網通設備代工大廠</t>
        </is>
      </c>
    </row>
    <row r="685">
      <c r="A685" t="n">
        <v>2347</v>
      </c>
      <c r="B685" t="inlineStr">
        <is>
          <t>聯強</t>
        </is>
      </c>
      <c r="C685" t="n">
        <v>86.40000000000001</v>
      </c>
      <c r="D685" t="n">
        <v>91.5</v>
      </c>
      <c r="E685" s="730" t="n">
        <v>5</v>
      </c>
      <c r="F685" s="731" t="n">
        <v>5.78</v>
      </c>
      <c r="G685" t="inlineStr">
        <is>
          <t>18.5億</t>
        </is>
      </c>
      <c r="H685" t="n">
        <v>20223</v>
      </c>
      <c r="I685" t="n">
        <v>4693</v>
      </c>
      <c r="J685" t="n">
        <v>166.79</v>
      </c>
      <c r="K685" t="n">
        <v>94</v>
      </c>
      <c r="L685" t="n">
        <v>86.40000000000001</v>
      </c>
      <c r="M685" s="155" t="n">
        <v>1.21</v>
      </c>
      <c r="N685" t="inlineStr">
        <is>
          <t>亞太最大、全球前三大3C產品通路商</t>
        </is>
      </c>
    </row>
    <row r="686">
      <c r="A686" t="n">
        <v>2348</v>
      </c>
      <c r="B686" t="inlineStr">
        <is>
          <t>海悅</t>
        </is>
      </c>
      <c r="C686" t="n">
        <v>69.90000000000001</v>
      </c>
      <c r="D686" t="n">
        <v>70.7</v>
      </c>
      <c r="E686" s="730" t="n">
        <v>0.8</v>
      </c>
      <c r="F686" s="731" t="n">
        <v>1.14</v>
      </c>
      <c r="G686" t="inlineStr">
        <is>
          <t>2304萬</t>
        </is>
      </c>
      <c r="H686" t="n">
        <v>328</v>
      </c>
      <c r="I686" t="n">
        <v>294</v>
      </c>
      <c r="J686" t="n">
        <v>15.19</v>
      </c>
      <c r="K686" t="n">
        <v>70.7</v>
      </c>
      <c r="L686" t="n">
        <v>69.3</v>
      </c>
      <c r="M686" s="155" t="n">
        <v>0.22</v>
      </c>
      <c r="N686" t="inlineStr">
        <is>
          <t>台灣房屋代銷龍頭業者</t>
        </is>
      </c>
    </row>
    <row r="687">
      <c r="A687" t="n">
        <v>2349</v>
      </c>
      <c r="B687" t="inlineStr">
        <is>
          <t>錸德</t>
        </is>
      </c>
      <c r="C687" t="n">
        <v>14.45</v>
      </c>
      <c r="D687" t="n">
        <v>14.7</v>
      </c>
      <c r="E687" s="730" t="n">
        <v>0.4</v>
      </c>
      <c r="F687" s="731" t="n">
        <v>2.8</v>
      </c>
      <c r="G687" t="inlineStr">
        <is>
          <t>1.77億</t>
        </is>
      </c>
      <c r="H687" t="n">
        <v>12293</v>
      </c>
      <c r="I687" t="n">
        <v>11772</v>
      </c>
      <c r="J687" t="n">
        <v>69.37</v>
      </c>
      <c r="K687" t="n">
        <v>15</v>
      </c>
      <c r="L687" t="n">
        <v>13.85</v>
      </c>
      <c r="M687" s="155" t="n">
        <v>1.77</v>
      </c>
      <c r="N687" t="inlineStr">
        <is>
          <t>全球前三大光碟片製造商之一</t>
        </is>
      </c>
    </row>
    <row r="688">
      <c r="A688" t="n">
        <v>2351</v>
      </c>
      <c r="B688" t="inlineStr">
        <is>
          <t>順德</t>
        </is>
      </c>
      <c r="C688" t="n">
        <v>202</v>
      </c>
      <c r="D688" t="n">
        <v>200</v>
      </c>
      <c r="E688" s="730" t="n">
        <v>-2</v>
      </c>
      <c r="F688" s="731" t="n">
        <v>-0.99</v>
      </c>
      <c r="G688" t="inlineStr">
        <is>
          <t>10.2億</t>
        </is>
      </c>
      <c r="H688" t="n">
        <v>5143</v>
      </c>
      <c r="I688" t="n">
        <v>9761</v>
      </c>
      <c r="J688" t="n">
        <v>19.05</v>
      </c>
      <c r="K688" t="n">
        <v>206</v>
      </c>
      <c r="L688" t="n">
        <v>192</v>
      </c>
      <c r="M688" s="155" t="n">
        <v>2.82</v>
      </c>
      <c r="N688" t="inlineStr">
        <is>
          <t>全球導線架前五大供應商之一</t>
        </is>
      </c>
    </row>
    <row r="689">
      <c r="A689" t="n">
        <v>2352</v>
      </c>
      <c r="B689" t="inlineStr">
        <is>
          <t>佳世達</t>
        </is>
      </c>
      <c r="C689" t="n">
        <v>30.65</v>
      </c>
      <c r="D689" t="n">
        <v>31.5</v>
      </c>
      <c r="E689" s="730" t="n">
        <v>0.85</v>
      </c>
      <c r="F689" s="731" t="n">
        <v>2.77</v>
      </c>
      <c r="G689" t="inlineStr">
        <is>
          <t>6.70億</t>
        </is>
      </c>
      <c r="H689" t="n">
        <v>21712</v>
      </c>
      <c r="I689" t="n">
        <v>14084</v>
      </c>
      <c r="J689" t="n">
        <v>158.05</v>
      </c>
      <c r="K689" t="n">
        <v>31.5</v>
      </c>
      <c r="L689" t="n">
        <v>30.15</v>
      </c>
      <c r="M689" s="155" t="n">
        <v>1.37</v>
      </c>
      <c r="N689" t="inlineStr">
        <is>
          <t>LCD顯示器及投影機大廠</t>
        </is>
      </c>
    </row>
    <row r="690">
      <c r="A690" t="n">
        <v>2353</v>
      </c>
      <c r="B690" t="inlineStr">
        <is>
          <t>宏碁</t>
        </is>
      </c>
      <c r="C690" t="n">
        <v>42.55</v>
      </c>
      <c r="D690" t="n">
        <v>42.55</v>
      </c>
      <c r="E690" s="730" t="n">
        <v>3.85</v>
      </c>
      <c r="F690" s="731" t="n">
        <v>9.949999999999999</v>
      </c>
      <c r="G690" t="inlineStr">
        <is>
          <t>92.1億</t>
        </is>
      </c>
      <c r="H690" t="n">
        <v>216733</v>
      </c>
      <c r="I690" t="n">
        <v>72560</v>
      </c>
      <c r="J690" t="n">
        <v>304.79</v>
      </c>
      <c r="K690" t="n">
        <v>42.55</v>
      </c>
      <c r="L690" t="n">
        <v>41.6</v>
      </c>
      <c r="M690" s="155" t="n">
        <v>7.11</v>
      </c>
      <c r="N690" t="inlineStr">
        <is>
          <t>全球前五大NB品牌廠</t>
        </is>
      </c>
    </row>
    <row r="691">
      <c r="A691" t="n">
        <v>2354</v>
      </c>
      <c r="B691" t="inlineStr">
        <is>
          <t>鴻準</t>
        </is>
      </c>
      <c r="C691" t="n">
        <v>63.5</v>
      </c>
      <c r="D691" t="n">
        <v>64</v>
      </c>
      <c r="E691" s="730" t="n">
        <v>1.2</v>
      </c>
      <c r="F691" s="731" t="n">
        <v>1.91</v>
      </c>
      <c r="G691" t="inlineStr">
        <is>
          <t>19.1億</t>
        </is>
      </c>
      <c r="H691" t="n">
        <v>30001</v>
      </c>
      <c r="I691" t="n">
        <v>16953</v>
      </c>
      <c r="J691" t="n">
        <v>141.45</v>
      </c>
      <c r="K691" t="n">
        <v>64.5</v>
      </c>
      <c r="L691" t="n">
        <v>62.8</v>
      </c>
      <c r="M691" s="155" t="n">
        <v>2.12</v>
      </c>
      <c r="N691" t="inlineStr">
        <is>
          <t>鴻海旗下散熱模組及鋁鎂合金廠</t>
        </is>
      </c>
    </row>
    <row r="692">
      <c r="A692" t="n">
        <v>2355</v>
      </c>
      <c r="B692" t="inlineStr">
        <is>
          <t>敬鵬</t>
        </is>
      </c>
      <c r="C692" t="n">
        <v>60.5</v>
      </c>
      <c r="D692" t="n">
        <v>60.1</v>
      </c>
      <c r="E692" s="730" t="n">
        <v>-0.1</v>
      </c>
      <c r="F692" s="731" t="n">
        <v>-0.17</v>
      </c>
      <c r="G692" t="inlineStr">
        <is>
          <t>9.83億</t>
        </is>
      </c>
      <c r="H692" t="n">
        <v>16440</v>
      </c>
      <c r="I692" t="n">
        <v>27376</v>
      </c>
      <c r="J692" t="n">
        <v>39.75</v>
      </c>
      <c r="K692" t="n">
        <v>61.8</v>
      </c>
      <c r="L692" t="n">
        <v>58.7</v>
      </c>
      <c r="M692" s="155" t="n">
        <v>4.14</v>
      </c>
      <c r="N692" t="inlineStr">
        <is>
          <t>全球車用PCB龍頭廠</t>
        </is>
      </c>
    </row>
    <row r="693">
      <c r="A693" t="n">
        <v>2356</v>
      </c>
      <c r="B693" t="inlineStr">
        <is>
          <t>英業達</t>
        </is>
      </c>
      <c r="C693" t="n">
        <v>77</v>
      </c>
      <c r="D693" t="n">
        <v>80.59999999999999</v>
      </c>
      <c r="E693" s="730" t="n">
        <v>3.4</v>
      </c>
      <c r="F693" s="731" t="n">
        <v>4.4</v>
      </c>
      <c r="G693" t="inlineStr">
        <is>
          <t>236億</t>
        </is>
      </c>
      <c r="H693" t="n">
        <v>293868</v>
      </c>
      <c r="I693" t="n">
        <v>174169</v>
      </c>
      <c r="J693" t="n">
        <v>358.75</v>
      </c>
      <c r="K693" t="n">
        <v>83.5</v>
      </c>
      <c r="L693" t="n">
        <v>75.3</v>
      </c>
      <c r="M693" s="155" t="n">
        <v>8.19</v>
      </c>
      <c r="N693" t="inlineStr">
        <is>
          <t>全球前五大NB代工廠</t>
        </is>
      </c>
    </row>
    <row r="694">
      <c r="A694" t="n">
        <v>2357</v>
      </c>
      <c r="B694" t="inlineStr">
        <is>
          <t>華碩</t>
        </is>
      </c>
      <c r="C694" t="n">
        <v>914</v>
      </c>
      <c r="D694" t="n">
        <v>920</v>
      </c>
      <c r="E694" s="730" t="n">
        <v>83</v>
      </c>
      <c r="F694" s="731" t="n">
        <v>9.92</v>
      </c>
      <c r="G694" t="inlineStr">
        <is>
          <t>102億</t>
        </is>
      </c>
      <c r="H694" t="n">
        <v>11117</v>
      </c>
      <c r="I694" t="n">
        <v>6300</v>
      </c>
      <c r="J694" t="n">
        <v>74.28</v>
      </c>
      <c r="K694" t="n">
        <v>920</v>
      </c>
      <c r="L694" t="n">
        <v>883</v>
      </c>
      <c r="M694" s="155" t="n">
        <v>1.5</v>
      </c>
      <c r="N694" t="inlineStr">
        <is>
          <t>全球最大自有品牌主機板兼NB廠</t>
        </is>
      </c>
    </row>
    <row r="695">
      <c r="A695" t="n">
        <v>2359</v>
      </c>
      <c r="B695" t="inlineStr">
        <is>
          <t>所羅門</t>
        </is>
      </c>
      <c r="C695" t="n">
        <v>151</v>
      </c>
      <c r="D695" t="n">
        <v>143.5</v>
      </c>
      <c r="E695" s="730" t="n">
        <v>-7</v>
      </c>
      <c r="F695" s="731" t="n">
        <v>-4.65</v>
      </c>
      <c r="G695" t="inlineStr">
        <is>
          <t>9.60億</t>
        </is>
      </c>
      <c r="H695" t="n">
        <v>6696</v>
      </c>
      <c r="I695" t="n">
        <v>8535</v>
      </c>
      <c r="J695" t="n">
        <v>17.15</v>
      </c>
      <c r="K695" t="n">
        <v>151</v>
      </c>
      <c r="L695" t="n">
        <v>139</v>
      </c>
      <c r="M695" s="155" t="n">
        <v>3.91</v>
      </c>
      <c r="N695" t="inlineStr">
        <is>
          <t>電子零組件專業代理商</t>
        </is>
      </c>
    </row>
    <row r="696">
      <c r="A696" t="n">
        <v>2360</v>
      </c>
      <c r="B696" t="inlineStr">
        <is>
          <t>致茂</t>
        </is>
      </c>
      <c r="C696" t="n">
        <v>2570</v>
      </c>
      <c r="D696" t="n">
        <v>2420</v>
      </c>
      <c r="E696" s="730" t="n">
        <v>-160</v>
      </c>
      <c r="F696" s="731" t="n">
        <v>-6.2</v>
      </c>
      <c r="G696" t="inlineStr">
        <is>
          <t>69.4億</t>
        </is>
      </c>
      <c r="H696" t="n">
        <v>2825</v>
      </c>
      <c r="I696" t="n">
        <v>3915</v>
      </c>
      <c r="J696" t="n">
        <v>42.52</v>
      </c>
      <c r="K696" t="n">
        <v>2605</v>
      </c>
      <c r="L696" t="n">
        <v>2390</v>
      </c>
      <c r="M696" s="155" t="n">
        <v>0.66</v>
      </c>
      <c r="N696" t="inlineStr">
        <is>
          <t>全球知名的自動測試設備品牌大廠</t>
        </is>
      </c>
    </row>
    <row r="697">
      <c r="A697" t="n">
        <v>2362</v>
      </c>
      <c r="B697" t="inlineStr">
        <is>
          <t>藍天</t>
        </is>
      </c>
      <c r="C697" t="n">
        <v>46.95</v>
      </c>
      <c r="D697" t="n">
        <v>51.9</v>
      </c>
      <c r="E697" s="730" t="n">
        <v>4.65</v>
      </c>
      <c r="F697" s="731" t="n">
        <v>9.84</v>
      </c>
      <c r="G697" t="inlineStr">
        <is>
          <t>6.29億</t>
        </is>
      </c>
      <c r="H697" t="n">
        <v>12817</v>
      </c>
      <c r="I697" t="n">
        <v>3845</v>
      </c>
      <c r="J697" t="n">
        <v>62.23</v>
      </c>
      <c r="K697" t="n">
        <v>51.9</v>
      </c>
      <c r="L697" t="n">
        <v>45.85</v>
      </c>
      <c r="M697" s="155" t="n">
        <v>2.06</v>
      </c>
      <c r="N697" t="inlineStr">
        <is>
          <t>筆電製造商，並轉投資大陸最大IT賣場百腦匯</t>
        </is>
      </c>
    </row>
    <row r="698">
      <c r="A698" t="n">
        <v>2363</v>
      </c>
      <c r="B698" t="inlineStr">
        <is>
          <t>矽統</t>
        </is>
      </c>
      <c r="C698" t="n">
        <v>68.2</v>
      </c>
      <c r="D698" t="n">
        <v>66.8</v>
      </c>
      <c r="E698" s="730" t="n">
        <v>-0.3</v>
      </c>
      <c r="F698" s="731" t="n">
        <v>-0.45</v>
      </c>
      <c r="G698" t="inlineStr">
        <is>
          <t>12.1億</t>
        </is>
      </c>
      <c r="H698" t="n">
        <v>18018</v>
      </c>
      <c r="I698" t="n">
        <v>20612</v>
      </c>
      <c r="J698" t="n">
        <v>51.5</v>
      </c>
      <c r="K698" t="n">
        <v>69.8</v>
      </c>
      <c r="L698" t="n">
        <v>64.09999999999999</v>
      </c>
      <c r="M698" s="155" t="n">
        <v>3.5</v>
      </c>
      <c r="N698" t="inlineStr">
        <is>
          <t>轉型為觸控IC設計廠商</t>
        </is>
      </c>
    </row>
    <row r="699">
      <c r="A699" t="n">
        <v>2364</v>
      </c>
      <c r="B699" t="inlineStr">
        <is>
          <t>倫飛</t>
        </is>
      </c>
      <c r="C699" t="n">
        <v>72.5</v>
      </c>
      <c r="D699" t="n">
        <v>70.90000000000001</v>
      </c>
      <c r="E699" s="730" t="n">
        <v>-0.7</v>
      </c>
      <c r="F699" s="731" t="n">
        <v>-0.98</v>
      </c>
      <c r="G699" t="inlineStr">
        <is>
          <t>2194萬</t>
        </is>
      </c>
      <c r="H699" t="n">
        <v>311</v>
      </c>
      <c r="I699" t="n">
        <v>289</v>
      </c>
      <c r="J699" t="n">
        <v>5.24</v>
      </c>
      <c r="K699" t="n">
        <v>72.5</v>
      </c>
      <c r="L699" t="n">
        <v>69.59999999999999</v>
      </c>
      <c r="M699" s="155" t="n">
        <v>0.59</v>
      </c>
      <c r="N699" t="inlineStr">
        <is>
          <t>主攻軍工規格NB廠商</t>
        </is>
      </c>
    </row>
    <row r="700">
      <c r="A700" t="n">
        <v>2365</v>
      </c>
      <c r="B700" t="inlineStr">
        <is>
          <t>昆盈</t>
        </is>
      </c>
      <c r="C700" t="n">
        <v>38.45</v>
      </c>
      <c r="D700" t="n">
        <v>37.05</v>
      </c>
      <c r="E700" s="730" t="n">
        <v>-0.95</v>
      </c>
      <c r="F700" s="731" t="n">
        <v>-2.5</v>
      </c>
      <c r="G700" t="inlineStr">
        <is>
          <t>1.68億</t>
        </is>
      </c>
      <c r="H700" t="n">
        <v>4542</v>
      </c>
      <c r="I700" t="n">
        <v>6987</v>
      </c>
      <c r="J700" t="n">
        <v>22.15</v>
      </c>
      <c r="K700" t="n">
        <v>38.45</v>
      </c>
      <c r="L700" t="n">
        <v>36.1</v>
      </c>
      <c r="M700" s="155" t="n">
        <v>2.05</v>
      </c>
      <c r="N700" t="inlineStr">
        <is>
          <t>「Genius」電腦週邊產品商</t>
        </is>
      </c>
    </row>
    <row r="701">
      <c r="A701" t="n">
        <v>2367</v>
      </c>
      <c r="B701" t="inlineStr">
        <is>
          <t>燿華</t>
        </is>
      </c>
      <c r="C701" t="n">
        <v>67.59999999999999</v>
      </c>
      <c r="D701" t="n">
        <v>65.8</v>
      </c>
      <c r="E701" s="730" t="n">
        <v>-1.6</v>
      </c>
      <c r="F701" s="731" t="n">
        <v>-2.37</v>
      </c>
      <c r="G701" t="inlineStr">
        <is>
          <t>17.4億</t>
        </is>
      </c>
      <c r="H701" t="n">
        <v>26318</v>
      </c>
      <c r="I701" t="n">
        <v>52324</v>
      </c>
      <c r="J701" t="n">
        <v>70.63</v>
      </c>
      <c r="K701" t="n">
        <v>68.7</v>
      </c>
      <c r="L701" t="n">
        <v>65</v>
      </c>
      <c r="M701" s="155" t="n">
        <v>3.73</v>
      </c>
      <c r="N701" t="inlineStr">
        <is>
          <t>台灣前三大手機印刷電路板廠之一</t>
        </is>
      </c>
    </row>
    <row r="702">
      <c r="A702" t="n">
        <v>2368</v>
      </c>
      <c r="B702" t="inlineStr">
        <is>
          <t>金像電</t>
        </is>
      </c>
      <c r="C702" t="n">
        <v>1330</v>
      </c>
      <c r="D702" t="n">
        <v>1275</v>
      </c>
      <c r="E702" s="730" t="n">
        <v>-50</v>
      </c>
      <c r="F702" s="731" t="n">
        <v>-3.77</v>
      </c>
      <c r="G702" t="inlineStr">
        <is>
          <t>86.5億</t>
        </is>
      </c>
      <c r="H702" t="n">
        <v>6804</v>
      </c>
      <c r="I702" t="n">
        <v>5594</v>
      </c>
      <c r="J702" t="n">
        <v>52.11</v>
      </c>
      <c r="K702" t="n">
        <v>1330</v>
      </c>
      <c r="L702" t="n">
        <v>1235</v>
      </c>
      <c r="M702" s="155" t="n">
        <v>1.32</v>
      </c>
      <c r="N702" t="inlineStr">
        <is>
          <t>全球最大伺服器用板製造商</t>
        </is>
      </c>
    </row>
    <row r="703">
      <c r="A703" t="n">
        <v>2369</v>
      </c>
      <c r="B703" t="inlineStr">
        <is>
          <t>菱生</t>
        </is>
      </c>
      <c r="C703" t="n">
        <v>39.35</v>
      </c>
      <c r="D703" t="n">
        <v>36.65</v>
      </c>
      <c r="E703" s="730" t="n">
        <v>-3.05</v>
      </c>
      <c r="F703" s="731" t="n">
        <v>-7.68</v>
      </c>
      <c r="G703" t="inlineStr">
        <is>
          <t>9.69億</t>
        </is>
      </c>
      <c r="H703" t="n">
        <v>26222</v>
      </c>
      <c r="I703" t="n">
        <v>55368</v>
      </c>
      <c r="J703" t="n">
        <v>38.01</v>
      </c>
      <c r="K703" t="n">
        <v>39.35</v>
      </c>
      <c r="L703" t="n">
        <v>35.9</v>
      </c>
      <c r="M703" s="155" t="n">
        <v>6.9</v>
      </c>
      <c r="N703" t="inlineStr">
        <is>
          <t>台灣專注於類比IC的小型封裝廠</t>
        </is>
      </c>
    </row>
    <row r="704">
      <c r="A704" t="n">
        <v>2371</v>
      </c>
      <c r="B704" t="inlineStr">
        <is>
          <t>大同</t>
        </is>
      </c>
      <c r="C704" t="n">
        <v>30.25</v>
      </c>
      <c r="D704" t="n">
        <v>29.85</v>
      </c>
      <c r="E704" s="730" t="n">
        <v>-0.4</v>
      </c>
      <c r="F704" s="731" t="n">
        <v>-1.32</v>
      </c>
      <c r="G704" t="inlineStr">
        <is>
          <t>5.33億</t>
        </is>
      </c>
      <c r="H704" t="n">
        <v>17895</v>
      </c>
      <c r="I704" t="n">
        <v>19504</v>
      </c>
      <c r="J704" t="n">
        <v>215.08</v>
      </c>
      <c r="K704" t="n">
        <v>30.35</v>
      </c>
      <c r="L704" t="n">
        <v>29.5</v>
      </c>
      <c r="M704" s="155" t="n">
        <v>0.83</v>
      </c>
      <c r="N704" t="inlineStr">
        <is>
          <t>台灣重電及家電大廠，並擁有土地資產</t>
        </is>
      </c>
    </row>
    <row r="705">
      <c r="A705" t="n">
        <v>2373</v>
      </c>
      <c r="B705" t="inlineStr">
        <is>
          <t>震旦行</t>
        </is>
      </c>
      <c r="C705" t="n">
        <v>58.3</v>
      </c>
      <c r="D705" t="n">
        <v>58.4</v>
      </c>
      <c r="E705" s="730" t="n">
        <v>0</v>
      </c>
      <c r="F705" s="731" t="n">
        <v>0</v>
      </c>
      <c r="G705" t="inlineStr">
        <is>
          <t>418萬</t>
        </is>
      </c>
      <c r="H705" t="n">
        <v>72</v>
      </c>
      <c r="I705" t="n">
        <v>73</v>
      </c>
      <c r="J705" t="n">
        <v>23.62</v>
      </c>
      <c r="K705" t="n">
        <v>58.5</v>
      </c>
      <c r="L705" t="n">
        <v>57.4</v>
      </c>
      <c r="M705" s="155" t="n">
        <v>0.03</v>
      </c>
      <c r="N705" t="inlineStr">
        <is>
          <t>台灣最大的辦公設備與辦公家俱通路商</t>
        </is>
      </c>
    </row>
    <row r="706">
      <c r="A706" t="n">
        <v>2374</v>
      </c>
      <c r="B706" t="inlineStr">
        <is>
          <t>佳能</t>
        </is>
      </c>
      <c r="C706" t="n">
        <v>85.40000000000001</v>
      </c>
      <c r="D706" t="n">
        <v>82.5</v>
      </c>
      <c r="E706" s="730" t="n">
        <v>-2.2</v>
      </c>
      <c r="F706" s="731" t="n">
        <v>-2.6</v>
      </c>
      <c r="G706" t="inlineStr">
        <is>
          <t>11.7億</t>
        </is>
      </c>
      <c r="H706" t="n">
        <v>14129</v>
      </c>
      <c r="I706" t="n">
        <v>14725</v>
      </c>
      <c r="J706" t="n">
        <v>33.8</v>
      </c>
      <c r="K706" t="n">
        <v>85.40000000000001</v>
      </c>
      <c r="L706" t="n">
        <v>81.40000000000001</v>
      </c>
      <c r="M706" s="155" t="n">
        <v>4.2</v>
      </c>
      <c r="N706" t="inlineStr">
        <is>
          <t>以車載鏡頭及AI相機應用為主</t>
        </is>
      </c>
    </row>
    <row r="707">
      <c r="A707" t="n">
        <v>2375</v>
      </c>
      <c r="B707" t="inlineStr">
        <is>
          <t>凱美</t>
        </is>
      </c>
      <c r="C707" t="n">
        <v>160.5</v>
      </c>
      <c r="D707" t="n">
        <v>162.5</v>
      </c>
      <c r="E707" s="730" t="n">
        <v>-1.5</v>
      </c>
      <c r="F707" s="731" t="n">
        <v>-0.91</v>
      </c>
      <c r="G707" t="inlineStr">
        <is>
          <t>6.95億</t>
        </is>
      </c>
      <c r="H707" t="n">
        <v>4491</v>
      </c>
      <c r="I707" t="n">
        <v>27190</v>
      </c>
      <c r="J707" t="n">
        <v>10.87</v>
      </c>
      <c r="K707" t="n">
        <v>162.5</v>
      </c>
      <c r="L707" t="n">
        <v>150</v>
      </c>
      <c r="M707" s="155" t="n">
        <v>4.13</v>
      </c>
      <c r="N707" t="inlineStr">
        <is>
          <t>國巨旗下的專業鋁質電容廠</t>
        </is>
      </c>
    </row>
    <row r="708">
      <c r="A708" t="n">
        <v>2376</v>
      </c>
      <c r="B708" t="inlineStr">
        <is>
          <t>技嘉</t>
        </is>
      </c>
      <c r="C708" t="n">
        <v>387.5</v>
      </c>
      <c r="D708" t="n">
        <v>390.5</v>
      </c>
      <c r="E708" s="730" t="n">
        <v>3.5</v>
      </c>
      <c r="F708" s="731" t="n">
        <v>0.9</v>
      </c>
      <c r="G708" t="inlineStr">
        <is>
          <t>97.5億</t>
        </is>
      </c>
      <c r="H708" t="n">
        <v>25152</v>
      </c>
      <c r="I708" t="n">
        <v>21917</v>
      </c>
      <c r="J708" t="n">
        <v>66.98999999999999</v>
      </c>
      <c r="K708" t="n">
        <v>395</v>
      </c>
      <c r="L708" t="n">
        <v>379.5</v>
      </c>
      <c r="M708" s="155" t="n">
        <v>3.75</v>
      </c>
      <c r="N708" t="inlineStr">
        <is>
          <t>全球前四大主機板廠商之一</t>
        </is>
      </c>
    </row>
    <row r="709">
      <c r="A709" t="n">
        <v>2377</v>
      </c>
      <c r="B709" t="inlineStr">
        <is>
          <t>微星</t>
        </is>
      </c>
      <c r="C709" t="n">
        <v>145</v>
      </c>
      <c r="D709" t="n">
        <v>149</v>
      </c>
      <c r="E709" s="730" t="n">
        <v>7.5</v>
      </c>
      <c r="F709" s="731" t="n">
        <v>5.3</v>
      </c>
      <c r="G709" t="inlineStr">
        <is>
          <t>144億</t>
        </is>
      </c>
      <c r="H709" t="n">
        <v>97187</v>
      </c>
      <c r="I709" t="n">
        <v>41868</v>
      </c>
      <c r="J709" t="n">
        <v>84.48999999999999</v>
      </c>
      <c r="K709" t="n">
        <v>152.5</v>
      </c>
      <c r="L709" t="n">
        <v>142</v>
      </c>
      <c r="M709" s="155" t="n">
        <v>11.5</v>
      </c>
      <c r="N709" t="inlineStr">
        <is>
          <t>台灣知名主機板及電競筆電廠</t>
        </is>
      </c>
    </row>
    <row r="710">
      <c r="A710" t="n">
        <v>2379</v>
      </c>
      <c r="B710" t="inlineStr">
        <is>
          <t>瑞昱</t>
        </is>
      </c>
      <c r="C710" t="n">
        <v>612</v>
      </c>
      <c r="D710" t="n">
        <v>653</v>
      </c>
      <c r="E710" s="730" t="n">
        <v>44</v>
      </c>
      <c r="F710" s="731" t="n">
        <v>7.22</v>
      </c>
      <c r="G710" t="inlineStr">
        <is>
          <t>70.7億</t>
        </is>
      </c>
      <c r="H710" t="n">
        <v>11124</v>
      </c>
      <c r="I710" t="n">
        <v>5261</v>
      </c>
      <c r="J710" t="n">
        <v>51.55</v>
      </c>
      <c r="K710" t="n">
        <v>653</v>
      </c>
      <c r="L710" t="n">
        <v>602</v>
      </c>
      <c r="M710" s="155" t="n">
        <v>2.16</v>
      </c>
      <c r="N710" t="inlineStr">
        <is>
          <t>全球超高速乙太網路IC設計龍頭廠商</t>
        </is>
      </c>
    </row>
    <row r="711">
      <c r="A711" t="n">
        <v>2380</v>
      </c>
      <c r="B711" t="inlineStr">
        <is>
          <t>虹光</t>
        </is>
      </c>
      <c r="C711" t="n">
        <v>5.3</v>
      </c>
      <c r="D711" t="n">
        <v>5.77</v>
      </c>
      <c r="E711" s="730" t="n">
        <v>0.44</v>
      </c>
      <c r="F711" s="731" t="n">
        <v>8.26</v>
      </c>
      <c r="G711" t="inlineStr">
        <is>
          <t>123萬</t>
        </is>
      </c>
      <c r="H711" t="n">
        <v>228</v>
      </c>
      <c r="I711" t="n">
        <v>360</v>
      </c>
      <c r="J711" t="n">
        <v>21.69</v>
      </c>
      <c r="K711" t="n">
        <v>5.77</v>
      </c>
      <c r="L711" t="n">
        <v>5.3</v>
      </c>
      <c r="M711" s="155" t="n">
        <v>0.11</v>
      </c>
      <c r="N711" t="inlineStr">
        <is>
          <t>提供掃瞄器、MFP等數位化辦公設備供應商</t>
        </is>
      </c>
    </row>
    <row r="712">
      <c r="A712" t="n">
        <v>2382</v>
      </c>
      <c r="B712" t="inlineStr">
        <is>
          <t>廣達</t>
        </is>
      </c>
      <c r="C712" t="n">
        <v>375</v>
      </c>
      <c r="D712" t="n">
        <v>400.5</v>
      </c>
      <c r="E712" s="730" t="n">
        <v>28</v>
      </c>
      <c r="F712" s="731" t="n">
        <v>7.52</v>
      </c>
      <c r="G712" t="inlineStr">
        <is>
          <t>584億</t>
        </is>
      </c>
      <c r="H712" t="n">
        <v>149282</v>
      </c>
      <c r="I712" t="n">
        <v>59474</v>
      </c>
      <c r="J712" t="n">
        <v>386.26</v>
      </c>
      <c r="K712" t="n">
        <v>409.5</v>
      </c>
      <c r="L712" t="n">
        <v>369.5</v>
      </c>
      <c r="M712" s="155" t="n">
        <v>3.86</v>
      </c>
      <c r="N712" t="inlineStr">
        <is>
          <t>全球前五大NB代工廠</t>
        </is>
      </c>
    </row>
    <row r="713">
      <c r="A713" t="n">
        <v>2383</v>
      </c>
      <c r="B713" t="inlineStr">
        <is>
          <t>台光電</t>
        </is>
      </c>
      <c r="C713" t="n">
        <v>5060</v>
      </c>
      <c r="D713" t="n">
        <v>4860</v>
      </c>
      <c r="E713" s="730" t="n">
        <v>-210</v>
      </c>
      <c r="F713" s="731" t="n">
        <v>-4.14</v>
      </c>
      <c r="G713" t="inlineStr">
        <is>
          <t>91.6億</t>
        </is>
      </c>
      <c r="H713" t="n">
        <v>1862</v>
      </c>
      <c r="I713" t="n">
        <v>2702</v>
      </c>
      <c r="J713" t="n">
        <v>35.83</v>
      </c>
      <c r="K713" t="n">
        <v>5075</v>
      </c>
      <c r="L713" t="n">
        <v>4820</v>
      </c>
      <c r="M713" s="155" t="n">
        <v>0.52</v>
      </c>
      <c r="N713" t="inlineStr">
        <is>
          <t>全球第一大無鹵素板廠、台灣第二大CCL廠</t>
        </is>
      </c>
    </row>
    <row r="714">
      <c r="A714" t="n">
        <v>2385</v>
      </c>
      <c r="B714" t="inlineStr">
        <is>
          <t>群光</t>
        </is>
      </c>
      <c r="C714" t="n">
        <v>141.5</v>
      </c>
      <c r="D714" t="n">
        <v>143.5</v>
      </c>
      <c r="E714" s="730" t="n">
        <v>2</v>
      </c>
      <c r="F714" s="731" t="n">
        <v>1.41</v>
      </c>
      <c r="G714" t="inlineStr">
        <is>
          <t>7.45億</t>
        </is>
      </c>
      <c r="H714" t="n">
        <v>5263</v>
      </c>
      <c r="I714" t="n">
        <v>4735</v>
      </c>
      <c r="J714" t="n">
        <v>76.56999999999999</v>
      </c>
      <c r="K714" t="n">
        <v>143.5</v>
      </c>
      <c r="L714" t="n">
        <v>138.5</v>
      </c>
      <c r="M714" s="155" t="n">
        <v>0.6899999999999999</v>
      </c>
      <c r="N714" t="inlineStr">
        <is>
          <t>全球鍵盤及電源供應器大廠</t>
        </is>
      </c>
    </row>
    <row r="715">
      <c r="A715" t="n">
        <v>2387</v>
      </c>
      <c r="B715" t="inlineStr">
        <is>
          <t>精元</t>
        </is>
      </c>
      <c r="C715" t="n">
        <v>42.6</v>
      </c>
      <c r="D715" t="n">
        <v>43.25</v>
      </c>
      <c r="E715" s="730" t="n">
        <v>0.8</v>
      </c>
      <c r="F715" s="731" t="n">
        <v>1.88</v>
      </c>
      <c r="G715" t="inlineStr">
        <is>
          <t>7390萬</t>
        </is>
      </c>
      <c r="H715" t="n">
        <v>1720</v>
      </c>
      <c r="I715" t="n">
        <v>1259</v>
      </c>
      <c r="J715" t="n">
        <v>19.53</v>
      </c>
      <c r="K715" t="n">
        <v>43.5</v>
      </c>
      <c r="L715" t="n">
        <v>42.45</v>
      </c>
      <c r="M715" s="155" t="n">
        <v>0.88</v>
      </c>
      <c r="N715" t="inlineStr">
        <is>
          <t>全球知名NB鍵盤廠</t>
        </is>
      </c>
    </row>
    <row r="716">
      <c r="A716" t="n">
        <v>2388</v>
      </c>
      <c r="B716" t="inlineStr">
        <is>
          <t>威盛</t>
        </is>
      </c>
      <c r="C716" t="n">
        <v>75</v>
      </c>
      <c r="D716" t="n">
        <v>75.40000000000001</v>
      </c>
      <c r="E716" s="730" t="n">
        <v>0.6</v>
      </c>
      <c r="F716" s="731" t="n">
        <v>0.8</v>
      </c>
      <c r="G716" t="inlineStr">
        <is>
          <t>8.44億</t>
        </is>
      </c>
      <c r="H716" t="n">
        <v>11097</v>
      </c>
      <c r="I716" t="n">
        <v>12158</v>
      </c>
      <c r="J716" t="n">
        <v>55.6</v>
      </c>
      <c r="K716" t="n">
        <v>78.5</v>
      </c>
      <c r="L716" t="n">
        <v>74.7</v>
      </c>
      <c r="M716" s="155" t="n">
        <v>2</v>
      </c>
      <c r="N716" t="inlineStr">
        <is>
          <t>支援x86平台之IC解決方案廠商</t>
        </is>
      </c>
    </row>
    <row r="717">
      <c r="A717" t="n">
        <v>2390</v>
      </c>
      <c r="B717" t="inlineStr">
        <is>
          <t>云辰</t>
        </is>
      </c>
      <c r="C717" t="n">
        <v>11.65</v>
      </c>
      <c r="D717" t="n">
        <v>11.7</v>
      </c>
      <c r="E717" s="730" t="n">
        <v>0.45</v>
      </c>
      <c r="F717" s="731" t="n">
        <v>4</v>
      </c>
      <c r="G717" t="inlineStr">
        <is>
          <t>2367萬</t>
        </is>
      </c>
      <c r="H717" t="n">
        <v>2069</v>
      </c>
      <c r="I717" t="n">
        <v>1495</v>
      </c>
      <c r="J717" t="n">
        <v>19.26</v>
      </c>
      <c r="K717" t="n">
        <v>11.7</v>
      </c>
      <c r="L717" t="n">
        <v>11.2</v>
      </c>
      <c r="M717" s="155" t="n">
        <v>1.07</v>
      </c>
      <c r="N717" t="inlineStr">
        <is>
          <t>從事智慧安防系統及智慧控制系統業務</t>
        </is>
      </c>
    </row>
    <row r="718">
      <c r="A718" t="n">
        <v>2392</v>
      </c>
      <c r="B718" t="inlineStr">
        <is>
          <t>正崴</t>
        </is>
      </c>
      <c r="C718" t="n">
        <v>42.3</v>
      </c>
      <c r="D718" t="n">
        <v>41.75</v>
      </c>
      <c r="E718" s="730" t="n">
        <v>-0.1</v>
      </c>
      <c r="F718" s="731" t="n">
        <v>-0.24</v>
      </c>
      <c r="G718" t="inlineStr">
        <is>
          <t>1.61億</t>
        </is>
      </c>
      <c r="H718" t="n">
        <v>3911</v>
      </c>
      <c r="I718" t="n">
        <v>3922</v>
      </c>
      <c r="J718" t="n">
        <v>51.23</v>
      </c>
      <c r="K718" t="n">
        <v>42.3</v>
      </c>
      <c r="L718" t="n">
        <v>40.4</v>
      </c>
      <c r="M718" s="155" t="n">
        <v>0.76</v>
      </c>
      <c r="N718" t="inlineStr">
        <is>
          <t>生產3C產品連接器、電池模組、電源管理模組之廠商</t>
        </is>
      </c>
    </row>
    <row r="719">
      <c r="A719" t="n">
        <v>2393</v>
      </c>
      <c r="B719" t="inlineStr">
        <is>
          <t>億光</t>
        </is>
      </c>
      <c r="C719" t="n">
        <v>64.5</v>
      </c>
      <c r="D719" t="n">
        <v>64.59999999999999</v>
      </c>
      <c r="E719" s="730" t="n">
        <v>0.2</v>
      </c>
      <c r="F719" s="731" t="n">
        <v>0.31</v>
      </c>
      <c r="G719" t="inlineStr">
        <is>
          <t>2.12億</t>
        </is>
      </c>
      <c r="H719" t="n">
        <v>3316</v>
      </c>
      <c r="I719" t="n">
        <v>3192</v>
      </c>
      <c r="J719" t="n">
        <v>44.34</v>
      </c>
      <c r="K719" t="n">
        <v>64.8</v>
      </c>
      <c r="L719" t="n">
        <v>63.2</v>
      </c>
      <c r="M719" s="155" t="n">
        <v>0.75</v>
      </c>
      <c r="N719" t="inlineStr">
        <is>
          <t>全球前十大LED封裝廠</t>
        </is>
      </c>
    </row>
    <row r="720">
      <c r="A720" t="n">
        <v>2395</v>
      </c>
      <c r="B720" t="inlineStr">
        <is>
          <t>研華</t>
        </is>
      </c>
      <c r="C720" t="n">
        <v>520</v>
      </c>
      <c r="D720" t="n">
        <v>515</v>
      </c>
      <c r="E720" s="730" t="n">
        <v>-2</v>
      </c>
      <c r="F720" s="731" t="n">
        <v>-0.39</v>
      </c>
      <c r="G720" t="inlineStr">
        <is>
          <t>34.0億</t>
        </is>
      </c>
      <c r="H720" t="n">
        <v>6555</v>
      </c>
      <c r="I720" t="n">
        <v>5536</v>
      </c>
      <c r="J720" t="n">
        <v>86.83</v>
      </c>
      <c r="K720" t="n">
        <v>530</v>
      </c>
      <c r="L720" t="n">
        <v>508</v>
      </c>
      <c r="M720" s="155" t="n">
        <v>0.75</v>
      </c>
      <c r="N720" t="inlineStr">
        <is>
          <t>全球工業電腦龍頭廠商</t>
        </is>
      </c>
    </row>
    <row r="721">
      <c r="A721" t="n">
        <v>2397</v>
      </c>
      <c r="B721" t="inlineStr">
        <is>
          <t>友通</t>
        </is>
      </c>
      <c r="C721" t="n">
        <v>65.59999999999999</v>
      </c>
      <c r="D721" t="n">
        <v>64.5</v>
      </c>
      <c r="E721" s="730" t="n">
        <v>-0.3</v>
      </c>
      <c r="F721" s="731" t="n">
        <v>-0.46</v>
      </c>
      <c r="G721" t="inlineStr">
        <is>
          <t>4693萬</t>
        </is>
      </c>
      <c r="H721" t="n">
        <v>725</v>
      </c>
      <c r="I721" t="n">
        <v>554</v>
      </c>
      <c r="J721" t="n">
        <v>11.45</v>
      </c>
      <c r="K721" t="n">
        <v>66.2</v>
      </c>
      <c r="L721" t="n">
        <v>63.8</v>
      </c>
      <c r="M721" s="155" t="n">
        <v>0.63</v>
      </c>
      <c r="N721" t="inlineStr">
        <is>
          <t>佳世達轉投資工業電腦嵌入式解決方案供應商</t>
        </is>
      </c>
    </row>
    <row r="722">
      <c r="A722" t="n">
        <v>2399</v>
      </c>
      <c r="B722" t="inlineStr">
        <is>
          <t>映泰</t>
        </is>
      </c>
      <c r="C722" t="n">
        <v>51</v>
      </c>
      <c r="D722" t="n">
        <v>50.1</v>
      </c>
      <c r="E722" s="730" t="n">
        <v>-0.1</v>
      </c>
      <c r="F722" s="731" t="n">
        <v>-0.2</v>
      </c>
      <c r="G722" t="inlineStr">
        <is>
          <t>5.64億</t>
        </is>
      </c>
      <c r="H722" t="n">
        <v>11186</v>
      </c>
      <c r="I722" t="n">
        <v>14883</v>
      </c>
      <c r="J722" t="n">
        <v>17.81</v>
      </c>
      <c r="K722" t="n">
        <v>51.9</v>
      </c>
      <c r="L722" t="n">
        <v>49.05</v>
      </c>
      <c r="M722" s="155" t="n">
        <v>6.28</v>
      </c>
      <c r="N722" t="inlineStr">
        <is>
          <t>台灣主機板、顯示卡廠商</t>
        </is>
      </c>
    </row>
    <row r="723">
      <c r="A723" t="n">
        <v>2401</v>
      </c>
      <c r="B723" t="inlineStr">
        <is>
          <t>凌陽</t>
        </is>
      </c>
      <c r="C723" t="n">
        <v>29.65</v>
      </c>
      <c r="D723" t="n">
        <v>28.9</v>
      </c>
      <c r="E723" s="730" t="n">
        <v>-0.75</v>
      </c>
      <c r="F723" s="731" t="n">
        <v>-2.53</v>
      </c>
      <c r="G723" t="inlineStr">
        <is>
          <t>3.40億</t>
        </is>
      </c>
      <c r="H723" t="n">
        <v>11759</v>
      </c>
      <c r="I723" t="n">
        <v>18842</v>
      </c>
      <c r="J723" t="n">
        <v>59.2</v>
      </c>
      <c r="K723" t="n">
        <v>30.1</v>
      </c>
      <c r="L723" t="n">
        <v>28.2</v>
      </c>
      <c r="M723" s="155" t="n">
        <v>1.99</v>
      </c>
      <c r="N723" t="inlineStr">
        <is>
          <t>台灣多媒體IC設計廠商</t>
        </is>
      </c>
    </row>
    <row r="724">
      <c r="A724" t="n">
        <v>2402</v>
      </c>
      <c r="B724" t="inlineStr">
        <is>
          <t>毅嘉</t>
        </is>
      </c>
      <c r="C724" t="n">
        <v>70</v>
      </c>
      <c r="D724" t="n">
        <v>68.7</v>
      </c>
      <c r="E724" s="730" t="n">
        <v>-1.2</v>
      </c>
      <c r="F724" s="731" t="n">
        <v>-1.72</v>
      </c>
      <c r="G724" t="inlineStr">
        <is>
          <t>4.52億</t>
        </is>
      </c>
      <c r="H724" t="n">
        <v>6587</v>
      </c>
      <c r="I724" t="n">
        <v>13955</v>
      </c>
      <c r="J724" t="n">
        <v>30.75</v>
      </c>
      <c r="K724" t="n">
        <v>70.09999999999999</v>
      </c>
      <c r="L724" t="n">
        <v>68</v>
      </c>
      <c r="M724" s="155" t="n">
        <v>2.14</v>
      </c>
      <c r="N724" t="inlineStr">
        <is>
          <t>軟板及塑膠機構件廠</t>
        </is>
      </c>
    </row>
    <row r="725">
      <c r="A725" t="n">
        <v>2404</v>
      </c>
      <c r="B725" t="inlineStr">
        <is>
          <t>漢唐</t>
        </is>
      </c>
      <c r="C725" t="n">
        <v>1175</v>
      </c>
      <c r="D725" t="n">
        <v>1150</v>
      </c>
      <c r="E725" s="730" t="n">
        <v>-25</v>
      </c>
      <c r="F725" s="731" t="n">
        <v>-2.13</v>
      </c>
      <c r="G725" t="inlineStr">
        <is>
          <t>41.1億</t>
        </is>
      </c>
      <c r="H725" t="n">
        <v>3571</v>
      </c>
      <c r="I725" t="n">
        <v>4717</v>
      </c>
      <c r="J725" t="n">
        <v>19.06</v>
      </c>
      <c r="K725" t="n">
        <v>1180</v>
      </c>
      <c r="L725" t="n">
        <v>1135</v>
      </c>
      <c r="M725" s="155" t="n">
        <v>1.87</v>
      </c>
      <c r="N725" t="inlineStr">
        <is>
          <t>台積電最大的無塵室供應商</t>
        </is>
      </c>
    </row>
    <row r="726">
      <c r="A726" t="n">
        <v>2405</v>
      </c>
      <c r="B726" t="inlineStr">
        <is>
          <t>輔信</t>
        </is>
      </c>
      <c r="C726" t="n">
        <v>18.55</v>
      </c>
      <c r="D726" t="n">
        <v>20.2</v>
      </c>
      <c r="E726" s="730" t="n">
        <v>1.8</v>
      </c>
      <c r="F726" s="731" t="n">
        <v>9.779999999999999</v>
      </c>
      <c r="G726" t="inlineStr">
        <is>
          <t>6.59億</t>
        </is>
      </c>
      <c r="H726" t="n">
        <v>33802</v>
      </c>
      <c r="I726" t="n">
        <v>8964</v>
      </c>
      <c r="J726" t="n">
        <v>34.34</v>
      </c>
      <c r="K726" t="n">
        <v>20.2</v>
      </c>
      <c r="L726" t="n">
        <v>18.45</v>
      </c>
      <c r="M726" s="155" t="n">
        <v>9.84</v>
      </c>
      <c r="N726" t="inlineStr">
        <is>
          <t>台灣準系統廠</t>
        </is>
      </c>
    </row>
    <row r="727">
      <c r="A727" t="n">
        <v>2406</v>
      </c>
      <c r="B727" t="inlineStr">
        <is>
          <t>國碩</t>
        </is>
      </c>
      <c r="C727" t="n">
        <v>36.2</v>
      </c>
      <c r="D727" t="n">
        <v>35.8</v>
      </c>
      <c r="E727" s="730" t="n">
        <v>-0.1</v>
      </c>
      <c r="F727" s="731" t="n">
        <v>-0.28</v>
      </c>
      <c r="G727" t="inlineStr">
        <is>
          <t>7.11億</t>
        </is>
      </c>
      <c r="H727" t="n">
        <v>19787</v>
      </c>
      <c r="I727" t="n">
        <v>18539</v>
      </c>
      <c r="J727" t="n">
        <v>35.09</v>
      </c>
      <c r="K727" t="n">
        <v>37.65</v>
      </c>
      <c r="L727" t="n">
        <v>34.2</v>
      </c>
      <c r="M727" s="155" t="n">
        <v>5.64</v>
      </c>
      <c r="N727" t="inlineStr">
        <is>
          <t>提供太陽電池關鍵材料與發電系統整合服務商</t>
        </is>
      </c>
    </row>
    <row r="728">
      <c r="A728" t="n">
        <v>2408</v>
      </c>
      <c r="B728" t="inlineStr">
        <is>
          <t>南亞科</t>
        </is>
      </c>
      <c r="C728" t="n">
        <v>401</v>
      </c>
      <c r="D728" t="n">
        <v>419.5</v>
      </c>
      <c r="E728" s="730" t="n">
        <v>38</v>
      </c>
      <c r="F728" s="731" t="n">
        <v>9.960000000000001</v>
      </c>
      <c r="G728" t="inlineStr">
        <is>
          <t>692億</t>
        </is>
      </c>
      <c r="H728" t="n">
        <v>168828</v>
      </c>
      <c r="I728" t="n">
        <v>171183</v>
      </c>
      <c r="J728" t="n">
        <v>345.02</v>
      </c>
      <c r="K728" t="n">
        <v>419.5</v>
      </c>
      <c r="L728" t="n">
        <v>395</v>
      </c>
      <c r="M728" s="155" t="n">
        <v>5.45</v>
      </c>
      <c r="N728" t="inlineStr">
        <is>
          <t>台塑集團旗下DRAM大廠</t>
        </is>
      </c>
    </row>
    <row r="729">
      <c r="A729" t="n">
        <v>2409</v>
      </c>
      <c r="B729" t="inlineStr">
        <is>
          <t>友達</t>
        </is>
      </c>
      <c r="C729" t="n">
        <v>24.05</v>
      </c>
      <c r="D729" t="n">
        <v>26.15</v>
      </c>
      <c r="E729" s="730" t="n">
        <v>2.35</v>
      </c>
      <c r="F729" s="731" t="n">
        <v>9.869999999999999</v>
      </c>
      <c r="G729" t="inlineStr">
        <is>
          <t>177億</t>
        </is>
      </c>
      <c r="H729" t="n">
        <v>718138</v>
      </c>
      <c r="I729" t="n">
        <v>593932</v>
      </c>
      <c r="J729" t="n">
        <v>754.71</v>
      </c>
      <c r="K729" t="n">
        <v>26.15</v>
      </c>
      <c r="L729" t="n">
        <v>23.3</v>
      </c>
      <c r="M729" s="155" t="n">
        <v>9.52</v>
      </c>
      <c r="N729" t="inlineStr">
        <is>
          <t>全球前五大面板大廠之一</t>
        </is>
      </c>
    </row>
    <row r="730">
      <c r="A730" t="n">
        <v>2412</v>
      </c>
      <c r="B730" t="inlineStr">
        <is>
          <t>中華電</t>
        </is>
      </c>
      <c r="C730" t="n">
        <v>140</v>
      </c>
      <c r="D730" t="n">
        <v>142</v>
      </c>
      <c r="E730" s="730" t="n">
        <v>1.5</v>
      </c>
      <c r="F730" s="731" t="n">
        <v>1.07</v>
      </c>
      <c r="G730" t="inlineStr">
        <is>
          <t>27.6億</t>
        </is>
      </c>
      <c r="H730" t="n">
        <v>19447</v>
      </c>
      <c r="I730" t="n">
        <v>21235</v>
      </c>
      <c r="J730" t="n">
        <v>775.74</v>
      </c>
      <c r="K730" t="n">
        <v>142.5</v>
      </c>
      <c r="L730" t="n">
        <v>140</v>
      </c>
      <c r="M730" s="155" t="n">
        <v>0.25</v>
      </c>
      <c r="N730" t="inlineStr">
        <is>
          <t>台灣電信業龍頭</t>
        </is>
      </c>
    </row>
    <row r="731">
      <c r="A731" t="n">
        <v>2413</v>
      </c>
      <c r="B731" t="inlineStr">
        <is>
          <t>環科</t>
        </is>
      </c>
      <c r="C731" t="n">
        <v>53</v>
      </c>
      <c r="D731" t="n">
        <v>53.3</v>
      </c>
      <c r="E731" s="730" t="n">
        <v>0.1</v>
      </c>
      <c r="F731" s="731" t="n">
        <v>0.19</v>
      </c>
      <c r="G731" t="inlineStr">
        <is>
          <t>3.04億</t>
        </is>
      </c>
      <c r="H731" t="n">
        <v>5842</v>
      </c>
      <c r="I731" t="n">
        <v>5284</v>
      </c>
      <c r="J731" t="n">
        <v>12.74</v>
      </c>
      <c r="K731" t="n">
        <v>53.4</v>
      </c>
      <c r="L731" t="n">
        <v>50.7</v>
      </c>
      <c r="M731" s="155" t="n">
        <v>4.59</v>
      </c>
      <c r="N731" t="inlineStr">
        <is>
          <t>電源供應器及變壓器製造廠商</t>
        </is>
      </c>
    </row>
    <row r="732">
      <c r="A732" t="n">
        <v>2414</v>
      </c>
      <c r="B732" t="inlineStr">
        <is>
          <t>精技</t>
        </is>
      </c>
      <c r="C732" t="n">
        <v>52.4</v>
      </c>
      <c r="D732" t="n">
        <v>51.8</v>
      </c>
      <c r="E732" s="730" t="n">
        <v>0.3</v>
      </c>
      <c r="F732" s="731" t="n">
        <v>0.58</v>
      </c>
      <c r="G732" t="inlineStr">
        <is>
          <t>1360萬</t>
        </is>
      </c>
      <c r="H732" t="n">
        <v>264</v>
      </c>
      <c r="I732" t="n">
        <v>309</v>
      </c>
      <c r="J732" t="n">
        <v>16.17</v>
      </c>
      <c r="K732" t="n">
        <v>52.4</v>
      </c>
      <c r="L732" t="n">
        <v>51.4</v>
      </c>
      <c r="M732" s="155" t="n">
        <v>0.16</v>
      </c>
      <c r="N732" t="inlineStr">
        <is>
          <t>台灣前三大資訊通路經營商</t>
        </is>
      </c>
    </row>
    <row r="733">
      <c r="A733" t="n">
        <v>2415</v>
      </c>
      <c r="B733" t="inlineStr">
        <is>
          <t>錩新</t>
        </is>
      </c>
      <c r="C733" t="n">
        <v>27.25</v>
      </c>
      <c r="D733" t="n">
        <v>27.6</v>
      </c>
      <c r="E733" s="730" t="n">
        <v>0.45</v>
      </c>
      <c r="F733" s="731" t="n">
        <v>1.66</v>
      </c>
      <c r="G733" t="inlineStr">
        <is>
          <t>593萬</t>
        </is>
      </c>
      <c r="H733" t="n">
        <v>217</v>
      </c>
      <c r="I733" t="n">
        <v>153</v>
      </c>
      <c r="J733" t="n">
        <v>9</v>
      </c>
      <c r="K733" t="n">
        <v>27.75</v>
      </c>
      <c r="L733" t="n">
        <v>26.9</v>
      </c>
      <c r="M733" s="155" t="n">
        <v>0.24</v>
      </c>
      <c r="N733" t="inlineStr">
        <is>
          <t>全球最大揚聲器鍛造零組件廠</t>
        </is>
      </c>
    </row>
    <row r="734">
      <c r="A734" t="n">
        <v>2417</v>
      </c>
      <c r="B734" t="inlineStr">
        <is>
          <t>圓剛</t>
        </is>
      </c>
      <c r="C734" t="n">
        <v>54.2</v>
      </c>
      <c r="D734" t="n">
        <v>52</v>
      </c>
      <c r="E734" s="730" t="n">
        <v>-1.9</v>
      </c>
      <c r="F734" s="731" t="n">
        <v>-3.53</v>
      </c>
      <c r="G734" t="inlineStr">
        <is>
          <t>5.12億</t>
        </is>
      </c>
      <c r="H734" t="n">
        <v>9668</v>
      </c>
      <c r="I734" t="n">
        <v>4902</v>
      </c>
      <c r="J734" t="n">
        <v>15.72</v>
      </c>
      <c r="K734" t="n">
        <v>54.4</v>
      </c>
      <c r="L734" t="n">
        <v>51.3</v>
      </c>
      <c r="M734" s="155" t="n">
        <v>6.15</v>
      </c>
      <c r="N734" t="inlineStr">
        <is>
          <t>台灣知名影音視訊媒體解決方案商</t>
        </is>
      </c>
    </row>
    <row r="735">
      <c r="A735" t="n">
        <v>2419</v>
      </c>
      <c r="B735" t="inlineStr">
        <is>
          <t>仲琦</t>
        </is>
      </c>
      <c r="C735" t="n">
        <v>32.5</v>
      </c>
      <c r="D735" t="n">
        <v>33.15</v>
      </c>
      <c r="E735" s="730" t="n">
        <v>0.15</v>
      </c>
      <c r="F735" s="731" t="n">
        <v>0.45</v>
      </c>
      <c r="G735" t="inlineStr">
        <is>
          <t>1.19億</t>
        </is>
      </c>
      <c r="H735" t="n">
        <v>3691</v>
      </c>
      <c r="I735" t="n">
        <v>4891</v>
      </c>
      <c r="J735" t="n">
        <v>32.13</v>
      </c>
      <c r="K735" t="n">
        <v>33.25</v>
      </c>
      <c r="L735" t="n">
        <v>31.5</v>
      </c>
      <c r="M735" s="155" t="n">
        <v>1.15</v>
      </c>
      <c r="N735" t="inlineStr">
        <is>
          <t>台灣Cable CPE與系統整合業者</t>
        </is>
      </c>
    </row>
    <row r="736">
      <c r="A736" t="n">
        <v>2420</v>
      </c>
      <c r="B736" t="inlineStr">
        <is>
          <t>新巨</t>
        </is>
      </c>
      <c r="C736" t="n">
        <v>64</v>
      </c>
      <c r="D736" t="n">
        <v>63.8</v>
      </c>
      <c r="E736" s="730" t="n">
        <v>0.1</v>
      </c>
      <c r="F736" s="731" t="n">
        <v>0.16</v>
      </c>
      <c r="G736" t="inlineStr">
        <is>
          <t>4418萬</t>
        </is>
      </c>
      <c r="H736" t="n">
        <v>692</v>
      </c>
      <c r="I736" t="n">
        <v>1002</v>
      </c>
      <c r="J736" t="n">
        <v>15.26</v>
      </c>
      <c r="K736" t="n">
        <v>64.5</v>
      </c>
      <c r="L736" t="n">
        <v>63.3</v>
      </c>
      <c r="M736" s="155" t="n">
        <v>0.45</v>
      </c>
      <c r="N736" t="inlineStr">
        <is>
          <t>台灣聚焦高階電源供應器與知名微動開關廠</t>
        </is>
      </c>
    </row>
    <row r="737">
      <c r="A737" t="n">
        <v>2421</v>
      </c>
      <c r="B737" t="inlineStr">
        <is>
          <t>建準</t>
        </is>
      </c>
      <c r="C737" t="n">
        <v>166</v>
      </c>
      <c r="D737" t="n">
        <v>164.5</v>
      </c>
      <c r="E737" s="730" t="n">
        <v>-0.5</v>
      </c>
      <c r="F737" s="731" t="n">
        <v>-0.3</v>
      </c>
      <c r="G737" t="inlineStr">
        <is>
          <t>14.0億</t>
        </is>
      </c>
      <c r="H737" t="n">
        <v>8445</v>
      </c>
      <c r="I737" t="n">
        <v>7700</v>
      </c>
      <c r="J737" t="n">
        <v>28.69</v>
      </c>
      <c r="K737" t="n">
        <v>171</v>
      </c>
      <c r="L737" t="n">
        <v>162.5</v>
      </c>
      <c r="M737" s="155" t="n">
        <v>2.94</v>
      </c>
      <c r="N737" t="inlineStr">
        <is>
          <t>PC散熱風扇知名廠商</t>
        </is>
      </c>
    </row>
    <row r="738">
      <c r="A738" t="n">
        <v>2423</v>
      </c>
      <c r="B738" t="inlineStr">
        <is>
          <t>固緯</t>
        </is>
      </c>
      <c r="C738" t="n">
        <v>82.90000000000001</v>
      </c>
      <c r="D738" t="n">
        <v>81.40000000000001</v>
      </c>
      <c r="E738" s="730" t="n">
        <v>0.7</v>
      </c>
      <c r="F738" s="731" t="n">
        <v>0.87</v>
      </c>
      <c r="G738" t="inlineStr">
        <is>
          <t>2118萬</t>
        </is>
      </c>
      <c r="H738" t="n">
        <v>263</v>
      </c>
      <c r="I738" t="n">
        <v>532</v>
      </c>
      <c r="J738" t="n">
        <v>14.5</v>
      </c>
      <c r="K738" t="n">
        <v>82.90000000000001</v>
      </c>
      <c r="L738" t="n">
        <v>79.59999999999999</v>
      </c>
      <c r="M738" s="155" t="n">
        <v>0.18</v>
      </c>
      <c r="N738" t="inlineStr">
        <is>
          <t>台灣知名的電子量測儀器廠</t>
        </is>
      </c>
    </row>
    <row r="739">
      <c r="A739" t="n">
        <v>2424</v>
      </c>
      <c r="B739" t="inlineStr">
        <is>
          <t>隴華</t>
        </is>
      </c>
      <c r="C739" t="n">
        <v>13.55</v>
      </c>
      <c r="D739" t="n">
        <v>12.75</v>
      </c>
      <c r="E739" s="730" t="n">
        <v>-0.2</v>
      </c>
      <c r="F739" s="731" t="n">
        <v>-1.54</v>
      </c>
      <c r="G739" t="inlineStr">
        <is>
          <t>202萬</t>
        </is>
      </c>
      <c r="H739" t="n">
        <v>155</v>
      </c>
      <c r="I739" t="n">
        <v>358</v>
      </c>
      <c r="J739" t="n">
        <v>5.96</v>
      </c>
      <c r="K739" t="n">
        <v>13.55</v>
      </c>
      <c r="L739" t="n">
        <v>12.75</v>
      </c>
      <c r="M739" s="155" t="n">
        <v>0.86</v>
      </c>
      <c r="N739" t="inlineStr">
        <is>
          <t>海上衛星寬頻營運商</t>
        </is>
      </c>
    </row>
    <row r="740">
      <c r="A740" t="n">
        <v>2425</v>
      </c>
      <c r="B740" t="inlineStr">
        <is>
          <t>承啟</t>
        </is>
      </c>
      <c r="C740" t="n">
        <v>37</v>
      </c>
      <c r="D740" t="n">
        <v>36.05</v>
      </c>
      <c r="E740" s="730" t="n">
        <v>-0.65</v>
      </c>
      <c r="F740" s="731" t="n">
        <v>-1.77</v>
      </c>
      <c r="G740" t="inlineStr">
        <is>
          <t>4380萬</t>
        </is>
      </c>
      <c r="H740" t="n">
        <v>1197</v>
      </c>
      <c r="I740" t="n">
        <v>1217</v>
      </c>
      <c r="J740" t="n">
        <v>9.65</v>
      </c>
      <c r="K740" t="n">
        <v>37.55</v>
      </c>
      <c r="L740" t="n">
        <v>35.55</v>
      </c>
      <c r="M740" s="155" t="n">
        <v>1.24</v>
      </c>
      <c r="N740" t="inlineStr">
        <is>
          <t>七彩虹轉投資顯示卡、主機板、伺服器公司</t>
        </is>
      </c>
    </row>
    <row r="741">
      <c r="A741" t="n">
        <v>2426</v>
      </c>
      <c r="B741" t="inlineStr">
        <is>
          <t>鼎元</t>
        </is>
      </c>
      <c r="C741" t="n">
        <v>78</v>
      </c>
      <c r="D741" t="n">
        <v>71.5</v>
      </c>
      <c r="E741" s="730" t="n">
        <v>-5.5</v>
      </c>
      <c r="F741" s="731" t="n">
        <v>-7.14</v>
      </c>
      <c r="G741" t="inlineStr">
        <is>
          <t>13.8億</t>
        </is>
      </c>
      <c r="H741" t="n">
        <v>18602</v>
      </c>
      <c r="I741" t="n">
        <v>23360</v>
      </c>
      <c r="J741" t="n">
        <v>30.06</v>
      </c>
      <c r="K741" t="n">
        <v>79.90000000000001</v>
      </c>
      <c r="L741" t="n">
        <v>70</v>
      </c>
      <c r="M741" s="155" t="n">
        <v>6.19</v>
      </c>
      <c r="N741" t="inlineStr">
        <is>
          <t>台灣大型LED晶粒切割、檢測廠</t>
        </is>
      </c>
    </row>
    <row r="742">
      <c r="A742" t="n">
        <v>2427</v>
      </c>
      <c r="B742" t="inlineStr">
        <is>
          <t>三商電</t>
        </is>
      </c>
      <c r="C742" t="n">
        <v>22.1</v>
      </c>
      <c r="D742" t="n">
        <v>24.25</v>
      </c>
      <c r="E742" s="730" t="n">
        <v>2.2</v>
      </c>
      <c r="F742" s="731" t="n">
        <v>9.98</v>
      </c>
      <c r="G742" t="inlineStr">
        <is>
          <t>1.26億</t>
        </is>
      </c>
      <c r="H742" t="n">
        <v>5384</v>
      </c>
      <c r="I742" t="n">
        <v>999</v>
      </c>
      <c r="J742" t="n">
        <v>19.8</v>
      </c>
      <c r="K742" t="n">
        <v>24.25</v>
      </c>
      <c r="L742" t="n">
        <v>21.85</v>
      </c>
      <c r="M742" s="155" t="n">
        <v>2.72</v>
      </c>
      <c r="N742" t="inlineStr">
        <is>
          <t>以金融、電訊與交通產業為主之系統整合商</t>
        </is>
      </c>
    </row>
    <row r="743">
      <c r="A743" t="n">
        <v>2428</v>
      </c>
      <c r="B743" t="inlineStr">
        <is>
          <t>興勤</t>
        </is>
      </c>
      <c r="C743" t="n">
        <v>285.5</v>
      </c>
      <c r="D743" t="n">
        <v>276.5</v>
      </c>
      <c r="E743" s="730" t="n">
        <v>-6.5</v>
      </c>
      <c r="F743" s="731" t="n">
        <v>-2.3</v>
      </c>
      <c r="G743" t="inlineStr">
        <is>
          <t>7.82億</t>
        </is>
      </c>
      <c r="H743" t="n">
        <v>2852</v>
      </c>
      <c r="I743" t="n">
        <v>3964</v>
      </c>
      <c r="J743" t="n">
        <v>12.81</v>
      </c>
      <c r="K743" t="n">
        <v>292</v>
      </c>
      <c r="L743" t="n">
        <v>267</v>
      </c>
      <c r="M743" s="155" t="n">
        <v>2.23</v>
      </c>
      <c r="N743" t="inlineStr">
        <is>
          <t>全球知名熱敏電阻廠</t>
        </is>
      </c>
    </row>
    <row r="744">
      <c r="A744" t="n">
        <v>2429</v>
      </c>
      <c r="B744" t="inlineStr">
        <is>
          <t>銘旺科</t>
        </is>
      </c>
      <c r="C744" t="n">
        <v>49.1</v>
      </c>
      <c r="D744" t="n">
        <v>45.9</v>
      </c>
      <c r="E744" s="730" t="n">
        <v>-2.95</v>
      </c>
      <c r="F744" s="731" t="n">
        <v>-6.04</v>
      </c>
      <c r="G744" t="inlineStr">
        <is>
          <t>5305萬</t>
        </is>
      </c>
      <c r="H744" t="n">
        <v>1142</v>
      </c>
      <c r="I744" t="n">
        <v>876</v>
      </c>
      <c r="J744" t="n">
        <v>8.550000000000001</v>
      </c>
      <c r="K744" t="n">
        <v>49.1</v>
      </c>
      <c r="L744" t="n">
        <v>45.4</v>
      </c>
      <c r="M744" s="155" t="n">
        <v>1.36</v>
      </c>
      <c r="N744" t="inlineStr">
        <is>
          <t>玻璃基板及加工製造商</t>
        </is>
      </c>
    </row>
    <row r="745">
      <c r="A745" t="n">
        <v>2430</v>
      </c>
      <c r="B745" t="inlineStr">
        <is>
          <t>燦坤</t>
        </is>
      </c>
      <c r="C745" t="n">
        <v>18.35</v>
      </c>
      <c r="D745" t="n">
        <v>18.55</v>
      </c>
      <c r="E745" s="730" t="n">
        <v>0.2</v>
      </c>
      <c r="F745" s="731" t="n">
        <v>1.09</v>
      </c>
      <c r="G745" t="inlineStr">
        <is>
          <t>293萬</t>
        </is>
      </c>
      <c r="H745" t="n">
        <v>158</v>
      </c>
      <c r="I745" t="n">
        <v>206</v>
      </c>
      <c r="J745" t="n">
        <v>11.68</v>
      </c>
      <c r="K745" t="n">
        <v>18.65</v>
      </c>
      <c r="L745" t="n">
        <v>18.35</v>
      </c>
      <c r="M745" s="155" t="n">
        <v>0.14</v>
      </c>
      <c r="N745" t="inlineStr">
        <is>
          <t>全台最大3C連鎖通路</t>
        </is>
      </c>
    </row>
    <row r="746">
      <c r="A746" t="n">
        <v>2431</v>
      </c>
      <c r="B746" t="inlineStr">
        <is>
          <t>聯昌</t>
        </is>
      </c>
      <c r="C746" t="n">
        <v>10.9</v>
      </c>
      <c r="D746" t="n">
        <v>10.95</v>
      </c>
      <c r="E746" s="730" t="n">
        <v>0.05</v>
      </c>
      <c r="F746" s="731" t="n">
        <v>0.46</v>
      </c>
      <c r="G746" t="inlineStr">
        <is>
          <t>900萬</t>
        </is>
      </c>
      <c r="H746" t="n">
        <v>844</v>
      </c>
      <c r="I746" t="n">
        <v>735</v>
      </c>
      <c r="J746" t="n">
        <v>11.09</v>
      </c>
      <c r="K746" t="n">
        <v>10.95</v>
      </c>
      <c r="L746" t="n">
        <v>10.55</v>
      </c>
      <c r="M746" s="155" t="n">
        <v>0.76</v>
      </c>
      <c r="N746" t="inlineStr">
        <is>
          <t>東元轉投資，為一家電源電控廠</t>
        </is>
      </c>
    </row>
    <row r="747">
      <c r="A747" t="n">
        <v>2433</v>
      </c>
      <c r="B747" t="inlineStr">
        <is>
          <t>互盛電</t>
        </is>
      </c>
      <c r="C747" t="n">
        <v>43.55</v>
      </c>
      <c r="D747" t="n">
        <v>43.8</v>
      </c>
      <c r="E747" s="730" t="n">
        <v>0.3</v>
      </c>
      <c r="F747" s="731" t="n">
        <v>0.6899999999999999</v>
      </c>
      <c r="G747" t="inlineStr">
        <is>
          <t>305萬</t>
        </is>
      </c>
      <c r="H747" t="n">
        <v>70</v>
      </c>
      <c r="I747" t="n">
        <v>98</v>
      </c>
      <c r="J747" t="n">
        <v>14.45</v>
      </c>
      <c r="K747" t="n">
        <v>43.85</v>
      </c>
      <c r="L747" t="n">
        <v>43.35</v>
      </c>
      <c r="M747" s="155" t="n">
        <v>0.05</v>
      </c>
      <c r="N747" t="inlineStr">
        <is>
          <t>日本理光辦公事務機器之台灣代理商</t>
        </is>
      </c>
    </row>
    <row r="748">
      <c r="A748" t="n">
        <v>2434</v>
      </c>
      <c r="B748" t="inlineStr">
        <is>
          <t>統懋</t>
        </is>
      </c>
      <c r="C748" t="n">
        <v>37.15</v>
      </c>
      <c r="D748" t="n">
        <v>35.9</v>
      </c>
      <c r="E748" s="730" t="n">
        <v>-1.25</v>
      </c>
      <c r="F748" s="731" t="n">
        <v>-3.36</v>
      </c>
      <c r="G748" t="inlineStr">
        <is>
          <t>999萬</t>
        </is>
      </c>
      <c r="H748" t="n">
        <v>277</v>
      </c>
      <c r="I748" t="n">
        <v>498</v>
      </c>
      <c r="J748" t="n">
        <v>3.7</v>
      </c>
      <c r="K748" t="n">
        <v>37.2</v>
      </c>
      <c r="L748" t="n">
        <v>35.1</v>
      </c>
      <c r="M748" s="155" t="n">
        <v>1.63</v>
      </c>
      <c r="N748" t="inlineStr">
        <is>
          <t>台灣上下游垂直整合之二極體廠</t>
        </is>
      </c>
    </row>
    <row r="749">
      <c r="A749" t="n">
        <v>2436</v>
      </c>
      <c r="B749" t="inlineStr">
        <is>
          <t>偉詮電</t>
        </is>
      </c>
      <c r="C749" t="n">
        <v>75.90000000000001</v>
      </c>
      <c r="D749" t="n">
        <v>73.8</v>
      </c>
      <c r="E749" s="730" t="n">
        <v>-2.1</v>
      </c>
      <c r="F749" s="731" t="n">
        <v>-2.77</v>
      </c>
      <c r="G749" t="inlineStr">
        <is>
          <t>4.54億</t>
        </is>
      </c>
      <c r="H749" t="n">
        <v>6131</v>
      </c>
      <c r="I749" t="n">
        <v>9929</v>
      </c>
      <c r="J749" t="n">
        <v>20.01</v>
      </c>
      <c r="K749" t="n">
        <v>76.5</v>
      </c>
      <c r="L749" t="n">
        <v>72.8</v>
      </c>
      <c r="M749" s="155" t="n">
        <v>3.06</v>
      </c>
      <c r="N749" t="inlineStr">
        <is>
          <t>台灣類比IC暨消費性IC設計廠商</t>
        </is>
      </c>
    </row>
    <row r="750">
      <c r="A750" t="n">
        <v>2438</v>
      </c>
      <c r="B750" t="inlineStr">
        <is>
          <t>翔耀</t>
        </is>
      </c>
      <c r="C750" t="n">
        <v>27.35</v>
      </c>
      <c r="D750" t="n">
        <v>26.3</v>
      </c>
      <c r="E750" s="730" t="n">
        <v>-0.65</v>
      </c>
      <c r="F750" s="731" t="n">
        <v>-2.41</v>
      </c>
      <c r="G750" t="inlineStr">
        <is>
          <t>1421萬</t>
        </is>
      </c>
      <c r="H750" t="n">
        <v>539</v>
      </c>
      <c r="I750" t="n">
        <v>1370</v>
      </c>
      <c r="J750" t="n">
        <v>7.12</v>
      </c>
      <c r="K750" t="n">
        <v>27.35</v>
      </c>
      <c r="L750" t="n">
        <v>25.9</v>
      </c>
      <c r="M750" s="155" t="n">
        <v>0.9</v>
      </c>
      <c r="N750" t="inlineStr">
        <is>
          <t>主要經營玻璃基板薄化加工及機電設備</t>
        </is>
      </c>
    </row>
    <row r="751">
      <c r="A751" t="n">
        <v>2439</v>
      </c>
      <c r="B751" t="inlineStr">
        <is>
          <t>美律</t>
        </is>
      </c>
      <c r="C751" t="n">
        <v>92.59999999999999</v>
      </c>
      <c r="D751" t="n">
        <v>93.5</v>
      </c>
      <c r="E751" s="730" t="n">
        <v>1.9</v>
      </c>
      <c r="F751" s="731" t="n">
        <v>2.07</v>
      </c>
      <c r="G751" t="inlineStr">
        <is>
          <t>4.38億</t>
        </is>
      </c>
      <c r="H751" t="n">
        <v>4715</v>
      </c>
      <c r="I751" t="n">
        <v>5569</v>
      </c>
      <c r="J751" t="n">
        <v>25.36</v>
      </c>
      <c r="K751" t="n">
        <v>94.2</v>
      </c>
      <c r="L751" t="n">
        <v>91.2</v>
      </c>
      <c r="M751" s="155" t="n">
        <v>1.86</v>
      </c>
      <c r="N751" t="inlineStr">
        <is>
          <t>電聲元件大廠</t>
        </is>
      </c>
    </row>
    <row r="752">
      <c r="A752" t="n">
        <v>2440</v>
      </c>
      <c r="B752" t="inlineStr">
        <is>
          <t>太空梭</t>
        </is>
      </c>
      <c r="C752" t="n">
        <v>18.7</v>
      </c>
      <c r="D752" t="n">
        <v>18.15</v>
      </c>
      <c r="E752" s="730" t="n">
        <v>0</v>
      </c>
      <c r="F752" s="731" t="n">
        <v>0</v>
      </c>
      <c r="G752" t="inlineStr">
        <is>
          <t>1441萬</t>
        </is>
      </c>
      <c r="H752" t="n">
        <v>798</v>
      </c>
      <c r="I752" t="n">
        <v>872</v>
      </c>
      <c r="J752" t="n">
        <v>13.91</v>
      </c>
      <c r="K752" t="n">
        <v>18.7</v>
      </c>
      <c r="L752" t="n">
        <v>17.75</v>
      </c>
      <c r="M752" s="155" t="n">
        <v>0.57</v>
      </c>
      <c r="N752" t="inlineStr">
        <is>
          <t>台灣絞銅線及3C連接線材公司</t>
        </is>
      </c>
    </row>
    <row r="753">
      <c r="A753" t="n">
        <v>2441</v>
      </c>
      <c r="B753" t="inlineStr">
        <is>
          <t>超豐</t>
        </is>
      </c>
      <c r="C753" t="n">
        <v>136</v>
      </c>
      <c r="D753" t="n">
        <v>134</v>
      </c>
      <c r="E753" s="730" t="n">
        <v>-3.5</v>
      </c>
      <c r="F753" s="731" t="n">
        <v>-2.55</v>
      </c>
      <c r="G753" t="inlineStr">
        <is>
          <t>14.4億</t>
        </is>
      </c>
      <c r="H753" t="n">
        <v>10856</v>
      </c>
      <c r="I753" t="n">
        <v>20865</v>
      </c>
      <c r="J753" t="n">
        <v>56.88</v>
      </c>
      <c r="K753" t="n">
        <v>137.5</v>
      </c>
      <c r="L753" t="n">
        <v>129.5</v>
      </c>
      <c r="M753" s="155" t="n">
        <v>1.91</v>
      </c>
      <c r="N753" t="inlineStr">
        <is>
          <t>全球記憶體封測廠</t>
        </is>
      </c>
    </row>
    <row r="754">
      <c r="A754" t="n">
        <v>2442</v>
      </c>
      <c r="B754" t="inlineStr">
        <is>
          <t>新美齊</t>
        </is>
      </c>
      <c r="C754" t="n">
        <v>19</v>
      </c>
      <c r="D754" t="n">
        <v>18.9</v>
      </c>
      <c r="E754" s="730" t="n">
        <v>0</v>
      </c>
      <c r="F754" s="731" t="n">
        <v>0</v>
      </c>
      <c r="G754" t="inlineStr">
        <is>
          <t>3881萬</t>
        </is>
      </c>
      <c r="H754" t="n">
        <v>2071</v>
      </c>
      <c r="I754" t="n">
        <v>2179</v>
      </c>
      <c r="J754" t="n">
        <v>32.52</v>
      </c>
      <c r="K754" t="n">
        <v>19</v>
      </c>
      <c r="L754" t="n">
        <v>18.7</v>
      </c>
      <c r="M754" s="155" t="n">
        <v>0.64</v>
      </c>
      <c r="N754" t="inlineStr">
        <is>
          <t>著重於高質感不動產開發</t>
        </is>
      </c>
    </row>
    <row r="755">
      <c r="A755" t="n">
        <v>2444</v>
      </c>
      <c r="B755" t="inlineStr">
        <is>
          <t>兆勁</t>
        </is>
      </c>
      <c r="C755" t="n">
        <v>12.6</v>
      </c>
      <c r="D755" t="n">
        <v>13.2</v>
      </c>
      <c r="E755" s="730" t="n">
        <v>0.7</v>
      </c>
      <c r="F755" s="731" t="n">
        <v>5.6</v>
      </c>
      <c r="G755" t="inlineStr">
        <is>
          <t>1435萬</t>
        </is>
      </c>
      <c r="H755" t="n">
        <v>1131</v>
      </c>
      <c r="I755" t="n">
        <v>861</v>
      </c>
      <c r="J755" t="n">
        <v>10.16</v>
      </c>
      <c r="K755" t="n">
        <v>13.25</v>
      </c>
      <c r="L755" t="n">
        <v>12.35</v>
      </c>
      <c r="M755" s="155" t="n">
        <v>1.11</v>
      </c>
      <c r="N755" t="inlineStr">
        <is>
          <t>台灣無線網路設備代工廠</t>
        </is>
      </c>
    </row>
    <row r="756">
      <c r="A756" t="n">
        <v>2449</v>
      </c>
      <c r="B756" t="inlineStr">
        <is>
          <t>京元電子</t>
        </is>
      </c>
      <c r="C756" t="n">
        <v>320.5</v>
      </c>
      <c r="D756" t="n">
        <v>306.5</v>
      </c>
      <c r="E756" s="730" t="n">
        <v>-11.5</v>
      </c>
      <c r="F756" s="731" t="n">
        <v>-3.62</v>
      </c>
      <c r="G756" t="inlineStr">
        <is>
          <t>144億</t>
        </is>
      </c>
      <c r="H756" t="n">
        <v>46832</v>
      </c>
      <c r="I756" t="n">
        <v>77892</v>
      </c>
      <c r="J756" t="n">
        <v>122.27</v>
      </c>
      <c r="K756" t="n">
        <v>324</v>
      </c>
      <c r="L756" t="n">
        <v>298</v>
      </c>
      <c r="M756" s="155" t="n">
        <v>3.83</v>
      </c>
      <c r="N756" t="inlineStr">
        <is>
          <t>全球IC測試領域龍頭公司</t>
        </is>
      </c>
    </row>
    <row r="757">
      <c r="A757" t="n">
        <v>2450</v>
      </c>
      <c r="B757" t="inlineStr">
        <is>
          <t>神腦</t>
        </is>
      </c>
      <c r="C757" t="n">
        <v>30.8</v>
      </c>
      <c r="D757" t="n">
        <v>30.9</v>
      </c>
      <c r="E757" s="730" t="n">
        <v>0.1</v>
      </c>
      <c r="F757" s="731" t="n">
        <v>0.32</v>
      </c>
      <c r="G757" t="inlineStr">
        <is>
          <t>2189萬</t>
        </is>
      </c>
      <c r="H757" t="n">
        <v>716</v>
      </c>
      <c r="I757" t="n">
        <v>462</v>
      </c>
      <c r="J757" t="n">
        <v>25.83</v>
      </c>
      <c r="K757" t="n">
        <v>30.9</v>
      </c>
      <c r="L757" t="n">
        <v>30.4</v>
      </c>
      <c r="M757" s="155" t="n">
        <v>0.28</v>
      </c>
      <c r="N757" t="inlineStr">
        <is>
          <t>中華電信轉投資之數位產品通路代理商</t>
        </is>
      </c>
    </row>
    <row r="758">
      <c r="A758" t="n">
        <v>2451</v>
      </c>
      <c r="B758" t="inlineStr">
        <is>
          <t>創見</t>
        </is>
      </c>
      <c r="C758" t="n">
        <v>364</v>
      </c>
      <c r="D758" t="n">
        <v>363.5</v>
      </c>
      <c r="E758" s="730" t="n">
        <v>6</v>
      </c>
      <c r="F758" s="731" t="n">
        <v>1.68</v>
      </c>
      <c r="G758" t="inlineStr">
        <is>
          <t>50.4億</t>
        </is>
      </c>
      <c r="H758" t="n">
        <v>13880</v>
      </c>
      <c r="I758" t="n">
        <v>7742</v>
      </c>
      <c r="J758" t="n">
        <v>43.13</v>
      </c>
      <c r="K758" t="n">
        <v>379</v>
      </c>
      <c r="L758" t="n">
        <v>350.5</v>
      </c>
      <c r="M758" s="155" t="n">
        <v>3.22</v>
      </c>
      <c r="N758" t="inlineStr">
        <is>
          <t>「Transcend」品牌之記憶體模組廠</t>
        </is>
      </c>
    </row>
    <row r="759">
      <c r="A759" t="n">
        <v>2453</v>
      </c>
      <c r="B759" t="inlineStr">
        <is>
          <t>凌群</t>
        </is>
      </c>
      <c r="C759" t="n">
        <v>63.4</v>
      </c>
      <c r="D759" t="n">
        <v>61.6</v>
      </c>
      <c r="E759" s="730" t="n">
        <v>-2.3</v>
      </c>
      <c r="F759" s="731" t="n">
        <v>-3.6</v>
      </c>
      <c r="G759" t="inlineStr">
        <is>
          <t>1.17億</t>
        </is>
      </c>
      <c r="H759" t="n">
        <v>1894</v>
      </c>
      <c r="I759" t="n">
        <v>4453</v>
      </c>
      <c r="J759" t="n">
        <v>10</v>
      </c>
      <c r="K759" t="n">
        <v>63.5</v>
      </c>
      <c r="L759" t="n">
        <v>60.4</v>
      </c>
      <c r="M759" s="155" t="n">
        <v>1.89</v>
      </c>
      <c r="N759" t="inlineStr">
        <is>
          <t>以金融業為主的系統整合大廠</t>
        </is>
      </c>
    </row>
    <row r="760">
      <c r="A760" t="n">
        <v>2454</v>
      </c>
      <c r="B760" t="inlineStr">
        <is>
          <t>聯發科</t>
        </is>
      </c>
      <c r="C760" t="n">
        <v>4970</v>
      </c>
      <c r="D760" t="n">
        <v>4525</v>
      </c>
      <c r="E760" s="730" t="n">
        <v>-30</v>
      </c>
      <c r="F760" s="731" t="n">
        <v>-0.66</v>
      </c>
      <c r="G760" t="inlineStr">
        <is>
          <t>651億</t>
        </is>
      </c>
      <c r="H760" t="n">
        <v>14139</v>
      </c>
      <c r="I760" t="n">
        <v>19485</v>
      </c>
      <c r="J760" t="n">
        <v>160.39</v>
      </c>
      <c r="K760" t="n">
        <v>4970</v>
      </c>
      <c r="L760" t="n">
        <v>4380</v>
      </c>
      <c r="M760" s="155" t="n">
        <v>0.88</v>
      </c>
      <c r="N760" t="inlineStr">
        <is>
          <t>全球智慧型手機晶片大廠</t>
        </is>
      </c>
    </row>
    <row r="761">
      <c r="A761" t="n">
        <v>2455</v>
      </c>
      <c r="B761" t="inlineStr">
        <is>
          <t>全新</t>
        </is>
      </c>
      <c r="C761" t="n">
        <v>420</v>
      </c>
      <c r="D761" t="n">
        <v>399</v>
      </c>
      <c r="E761" s="730" t="n">
        <v>-16.5</v>
      </c>
      <c r="F761" s="731" t="n">
        <v>-3.97</v>
      </c>
      <c r="G761" t="inlineStr">
        <is>
          <t>5.23億</t>
        </is>
      </c>
      <c r="H761" t="n">
        <v>1305</v>
      </c>
      <c r="I761" t="n">
        <v>4403</v>
      </c>
      <c r="J761" t="n">
        <v>18.52</v>
      </c>
      <c r="K761" t="n">
        <v>420</v>
      </c>
      <c r="L761" t="n">
        <v>393.5</v>
      </c>
      <c r="M761" s="155" t="n">
        <v>0.71</v>
      </c>
      <c r="N761" t="inlineStr">
        <is>
          <t>全球前三大砷化鎵HBT磊晶片廠</t>
        </is>
      </c>
    </row>
    <row r="762">
      <c r="A762" t="n">
        <v>2457</v>
      </c>
      <c r="B762" t="inlineStr">
        <is>
          <t>飛宏</t>
        </is>
      </c>
      <c r="C762" t="n">
        <v>26.85</v>
      </c>
      <c r="D762" t="n">
        <v>26.5</v>
      </c>
      <c r="E762" s="730" t="n">
        <v>-0.35</v>
      </c>
      <c r="F762" s="731" t="n">
        <v>-1.3</v>
      </c>
      <c r="G762" t="inlineStr">
        <is>
          <t>1.10億</t>
        </is>
      </c>
      <c r="H762" t="n">
        <v>4150</v>
      </c>
      <c r="I762" t="n">
        <v>3988</v>
      </c>
      <c r="J762" t="n">
        <v>42.48</v>
      </c>
      <c r="K762" t="n">
        <v>26.85</v>
      </c>
      <c r="L762" t="n">
        <v>26</v>
      </c>
      <c r="M762" s="155" t="n">
        <v>0.98</v>
      </c>
      <c r="N762" t="inlineStr">
        <is>
          <t>電源供應器領導廠商</t>
        </is>
      </c>
    </row>
    <row r="763">
      <c r="A763" t="n">
        <v>2458</v>
      </c>
      <c r="B763" t="inlineStr">
        <is>
          <t>義隆</t>
        </is>
      </c>
      <c r="C763" t="n">
        <v>168</v>
      </c>
      <c r="D763" t="n">
        <v>167.5</v>
      </c>
      <c r="E763" s="730" t="n">
        <v>0.5</v>
      </c>
      <c r="F763" s="731" t="n">
        <v>0.3</v>
      </c>
      <c r="G763" t="inlineStr">
        <is>
          <t>5.37億</t>
        </is>
      </c>
      <c r="H763" t="n">
        <v>3248</v>
      </c>
      <c r="I763" t="n">
        <v>3423</v>
      </c>
      <c r="J763" t="n">
        <v>30.39</v>
      </c>
      <c r="K763" t="n">
        <v>168.5</v>
      </c>
      <c r="L763" t="n">
        <v>162.5</v>
      </c>
      <c r="M763" s="155" t="n">
        <v>1.07</v>
      </c>
      <c r="N763" t="inlineStr">
        <is>
          <t>全球NB觸控板模組與觸控IC龍頭</t>
        </is>
      </c>
    </row>
    <row r="764">
      <c r="A764" t="n">
        <v>2459</v>
      </c>
      <c r="B764" t="inlineStr">
        <is>
          <t>敦吉</t>
        </is>
      </c>
      <c r="C764" t="n">
        <v>67</v>
      </c>
      <c r="D764" t="n">
        <v>70.90000000000001</v>
      </c>
      <c r="E764" s="730" t="n">
        <v>3.6</v>
      </c>
      <c r="F764" s="731" t="n">
        <v>5.35</v>
      </c>
      <c r="G764" t="inlineStr">
        <is>
          <t>6327萬</t>
        </is>
      </c>
      <c r="H764" t="n">
        <v>912</v>
      </c>
      <c r="I764" t="n">
        <v>313</v>
      </c>
      <c r="J764" t="n">
        <v>10.56</v>
      </c>
      <c r="K764" t="n">
        <v>70.90000000000001</v>
      </c>
      <c r="L764" t="n">
        <v>67</v>
      </c>
      <c r="M764" s="155" t="n">
        <v>0.86</v>
      </c>
      <c r="N764" t="inlineStr">
        <is>
          <t>經營通路、製造、驗證三大事業群</t>
        </is>
      </c>
    </row>
    <row r="765">
      <c r="A765" t="n">
        <v>2460</v>
      </c>
      <c r="B765" t="inlineStr">
        <is>
          <t>建通</t>
        </is>
      </c>
      <c r="C765" t="n">
        <v>32.9</v>
      </c>
      <c r="D765" t="n">
        <v>35.7</v>
      </c>
      <c r="E765" s="730" t="n">
        <v>2.9</v>
      </c>
      <c r="F765" s="731" t="n">
        <v>8.84</v>
      </c>
      <c r="G765" t="inlineStr">
        <is>
          <t>8831萬</t>
        </is>
      </c>
      <c r="H765" t="n">
        <v>2611</v>
      </c>
      <c r="I765" t="n">
        <v>708</v>
      </c>
      <c r="J765" t="n">
        <v>16.92</v>
      </c>
      <c r="K765" t="n">
        <v>35.95</v>
      </c>
      <c r="L765" t="n">
        <v>32.25</v>
      </c>
      <c r="M765" s="155" t="n">
        <v>1.54</v>
      </c>
      <c r="N765" t="inlineStr">
        <is>
          <t>亞洲最大電器類端子製造廠</t>
        </is>
      </c>
    </row>
    <row r="766">
      <c r="A766" t="n">
        <v>2461</v>
      </c>
      <c r="B766" t="inlineStr">
        <is>
          <t>光群雷</t>
        </is>
      </c>
      <c r="C766" t="n">
        <v>17.15</v>
      </c>
      <c r="D766" t="n">
        <v>17.55</v>
      </c>
      <c r="E766" s="730" t="n">
        <v>0.75</v>
      </c>
      <c r="F766" s="731" t="n">
        <v>4.46</v>
      </c>
      <c r="G766" t="inlineStr">
        <is>
          <t>3485萬</t>
        </is>
      </c>
      <c r="H766" t="n">
        <v>2018</v>
      </c>
      <c r="I766" t="n">
        <v>1266</v>
      </c>
      <c r="J766" t="n">
        <v>19.19</v>
      </c>
      <c r="K766" t="n">
        <v>17.8</v>
      </c>
      <c r="L766" t="n">
        <v>16.9</v>
      </c>
      <c r="M766" s="155" t="n">
        <v>1.05</v>
      </c>
      <c r="N766" t="inlineStr">
        <is>
          <t>全球重要知名雷射全像材料整合供應商</t>
        </is>
      </c>
    </row>
    <row r="767">
      <c r="A767" t="n">
        <v>2462</v>
      </c>
      <c r="B767" t="inlineStr">
        <is>
          <t>良得電</t>
        </is>
      </c>
      <c r="C767" t="n">
        <v>23.8</v>
      </c>
      <c r="D767" t="n">
        <v>24.15</v>
      </c>
      <c r="E767" s="730" t="n">
        <v>1.05</v>
      </c>
      <c r="F767" s="731" t="n">
        <v>4.55</v>
      </c>
      <c r="G767" t="inlineStr">
        <is>
          <t>6456萬</t>
        </is>
      </c>
      <c r="H767" t="n">
        <v>2742</v>
      </c>
      <c r="I767" t="n">
        <v>672</v>
      </c>
      <c r="J767" t="n">
        <v>15.08</v>
      </c>
      <c r="K767" t="n">
        <v>24.45</v>
      </c>
      <c r="L767" t="n">
        <v>22.75</v>
      </c>
      <c r="M767" s="155" t="n">
        <v>1.82</v>
      </c>
      <c r="N767" t="inlineStr">
        <is>
          <t>台灣知名電源線製造商</t>
        </is>
      </c>
    </row>
    <row r="768">
      <c r="A768" t="n">
        <v>2464</v>
      </c>
      <c r="B768" t="inlineStr">
        <is>
          <t>盟立</t>
        </is>
      </c>
      <c r="C768" t="n">
        <v>200</v>
      </c>
      <c r="D768" t="n">
        <v>185</v>
      </c>
      <c r="E768" s="730" t="n">
        <v>-14</v>
      </c>
      <c r="F768" s="731" t="n">
        <v>-7.04</v>
      </c>
      <c r="G768" t="inlineStr">
        <is>
          <t>32.5億</t>
        </is>
      </c>
      <c r="H768" t="n">
        <v>17279</v>
      </c>
      <c r="I768" t="n">
        <v>21151</v>
      </c>
      <c r="J768" t="n">
        <v>20.64</v>
      </c>
      <c r="K768" t="n">
        <v>200</v>
      </c>
      <c r="L768" t="n">
        <v>182.5</v>
      </c>
      <c r="M768" s="155" t="n">
        <v>8.369999999999999</v>
      </c>
      <c r="N768" t="inlineStr">
        <is>
          <t>台灣工業自動化設備廠</t>
        </is>
      </c>
    </row>
    <row r="769">
      <c r="A769" t="n">
        <v>2465</v>
      </c>
      <c r="B769" t="inlineStr">
        <is>
          <t>麗臺</t>
        </is>
      </c>
      <c r="C769" t="n">
        <v>90.3</v>
      </c>
      <c r="D769" t="n">
        <v>89.09999999999999</v>
      </c>
      <c r="E769" s="730" t="n">
        <v>0.6</v>
      </c>
      <c r="F769" s="731" t="n">
        <v>0.68</v>
      </c>
      <c r="G769" t="inlineStr">
        <is>
          <t>3.08億</t>
        </is>
      </c>
      <c r="H769" t="n">
        <v>3476</v>
      </c>
      <c r="I769" t="n">
        <v>2531</v>
      </c>
      <c r="J769" t="n">
        <v>9.390000000000001</v>
      </c>
      <c r="K769" t="n">
        <v>92</v>
      </c>
      <c r="L769" t="n">
        <v>86.09999999999999</v>
      </c>
      <c r="M769" s="155" t="n">
        <v>3.7</v>
      </c>
      <c r="N769" t="inlineStr">
        <is>
          <t>台灣繪圖卡廠商</t>
        </is>
      </c>
    </row>
    <row r="770">
      <c r="A770" t="n">
        <v>2466</v>
      </c>
      <c r="B770" t="inlineStr">
        <is>
          <t>冠西電</t>
        </is>
      </c>
      <c r="C770" t="n">
        <v>47</v>
      </c>
      <c r="D770" t="n">
        <v>45.7</v>
      </c>
      <c r="E770" s="730" t="n">
        <v>-1.3</v>
      </c>
      <c r="F770" s="731" t="n">
        <v>-2.77</v>
      </c>
      <c r="G770" t="inlineStr">
        <is>
          <t>1202萬</t>
        </is>
      </c>
      <c r="H770" t="n">
        <v>261</v>
      </c>
      <c r="I770" t="n">
        <v>278</v>
      </c>
      <c r="J770" t="n">
        <v>17.35</v>
      </c>
      <c r="K770" t="n">
        <v>47</v>
      </c>
      <c r="L770" t="n">
        <v>45.6</v>
      </c>
      <c r="M770" s="155" t="n">
        <v>0.15</v>
      </c>
      <c r="N770" t="inlineStr">
        <is>
          <t>LED裝飾燈及光電元件製造商</t>
        </is>
      </c>
    </row>
    <row r="771">
      <c r="A771" t="n">
        <v>2467</v>
      </c>
      <c r="B771" t="inlineStr">
        <is>
          <t>志聖</t>
        </is>
      </c>
      <c r="C771" t="n">
        <v>637</v>
      </c>
      <c r="D771" t="n">
        <v>588</v>
      </c>
      <c r="E771" s="730" t="n">
        <v>-49</v>
      </c>
      <c r="F771" s="731" t="n">
        <v>-7.69</v>
      </c>
      <c r="G771" t="inlineStr">
        <is>
          <t>17.4億</t>
        </is>
      </c>
      <c r="H771" t="n">
        <v>2900</v>
      </c>
      <c r="I771" t="n">
        <v>2626</v>
      </c>
      <c r="J771" t="n">
        <v>16.12</v>
      </c>
      <c r="K771" t="n">
        <v>637</v>
      </c>
      <c r="L771" t="n">
        <v>582</v>
      </c>
      <c r="M771" s="155" t="n">
        <v>1.85</v>
      </c>
      <c r="N771" t="inlineStr">
        <is>
          <t>印刷電路板製程用壓膜機知名大廠</t>
        </is>
      </c>
    </row>
    <row r="772">
      <c r="A772" t="n">
        <v>2468</v>
      </c>
      <c r="B772" t="inlineStr">
        <is>
          <t>華經</t>
        </is>
      </c>
      <c r="C772" t="n">
        <v>40.05</v>
      </c>
      <c r="D772" t="n">
        <v>40.15</v>
      </c>
      <c r="E772" s="730" t="n">
        <v>3.65</v>
      </c>
      <c r="F772" s="731" t="n">
        <v>10</v>
      </c>
      <c r="G772" t="inlineStr">
        <is>
          <t>1.73億</t>
        </is>
      </c>
      <c r="H772" t="n">
        <v>4337</v>
      </c>
      <c r="I772" t="n">
        <v>397</v>
      </c>
      <c r="J772" t="n">
        <v>7</v>
      </c>
      <c r="K772" t="n">
        <v>40.15</v>
      </c>
      <c r="L772" t="n">
        <v>38.9</v>
      </c>
      <c r="M772" s="155" t="n">
        <v>6.2</v>
      </c>
      <c r="N772" t="inlineStr">
        <is>
          <t>以數位影像處理為主的系統整合商</t>
        </is>
      </c>
    </row>
    <row r="773">
      <c r="A773" t="n">
        <v>2471</v>
      </c>
      <c r="B773" t="inlineStr">
        <is>
          <t>資通</t>
        </is>
      </c>
      <c r="C773" t="n">
        <v>55</v>
      </c>
      <c r="D773" t="n">
        <v>54.2</v>
      </c>
      <c r="E773" s="730" t="n">
        <v>-0.4</v>
      </c>
      <c r="F773" s="731" t="n">
        <v>-0.73</v>
      </c>
      <c r="G773" t="inlineStr">
        <is>
          <t>6623萬</t>
        </is>
      </c>
      <c r="H773" t="n">
        <v>1217</v>
      </c>
      <c r="I773" t="n">
        <v>653</v>
      </c>
      <c r="J773" t="n">
        <v>4.73</v>
      </c>
      <c r="K773" t="n">
        <v>55.8</v>
      </c>
      <c r="L773" t="n">
        <v>53.4</v>
      </c>
      <c r="M773" s="155" t="n">
        <v>2.58</v>
      </c>
      <c r="N773" t="inlineStr">
        <is>
          <t>以金融業及製造業為主的系統整合廠商</t>
        </is>
      </c>
    </row>
    <row r="774">
      <c r="A774" t="n">
        <v>2472</v>
      </c>
      <c r="B774" t="inlineStr">
        <is>
          <t>立隆電</t>
        </is>
      </c>
      <c r="C774" t="n">
        <v>387</v>
      </c>
      <c r="D774" t="n">
        <v>380</v>
      </c>
      <c r="E774" s="730" t="n">
        <v>-12</v>
      </c>
      <c r="F774" s="731" t="n">
        <v>-3.06</v>
      </c>
      <c r="G774" t="inlineStr">
        <is>
          <t>16.1億</t>
        </is>
      </c>
      <c r="H774" t="n">
        <v>4400</v>
      </c>
      <c r="I774" t="n">
        <v>12358</v>
      </c>
      <c r="J774" t="n">
        <v>16.47</v>
      </c>
      <c r="K774" t="n">
        <v>387</v>
      </c>
      <c r="L774" t="n">
        <v>353</v>
      </c>
      <c r="M774" s="155" t="n">
        <v>2.67</v>
      </c>
      <c r="N774" t="inlineStr">
        <is>
          <t>台灣第一大鋁電解電容器廠</t>
        </is>
      </c>
    </row>
    <row r="775">
      <c r="A775" t="n">
        <v>2474</v>
      </c>
      <c r="B775" t="inlineStr">
        <is>
          <t>可成</t>
        </is>
      </c>
      <c r="C775" t="n">
        <v>245.5</v>
      </c>
      <c r="D775" t="n">
        <v>245.5</v>
      </c>
      <c r="E775" s="730" t="n">
        <v>22</v>
      </c>
      <c r="F775" s="731" t="n">
        <v>9.84</v>
      </c>
      <c r="G775" t="inlineStr">
        <is>
          <t>51.6億</t>
        </is>
      </c>
      <c r="H775" t="n">
        <v>21006</v>
      </c>
      <c r="I775" t="n">
        <v>26067</v>
      </c>
      <c r="J775" t="n">
        <v>53.88</v>
      </c>
      <c r="K775" t="n">
        <v>245.5</v>
      </c>
      <c r="L775" t="n">
        <v>245.5</v>
      </c>
      <c r="M775" s="155" t="n">
        <v>3.74</v>
      </c>
      <c r="N775" t="inlineStr">
        <is>
          <t>台灣知名的金屬機殼製造大廠</t>
        </is>
      </c>
    </row>
    <row r="776">
      <c r="A776" t="n">
        <v>2476</v>
      </c>
      <c r="B776" t="inlineStr">
        <is>
          <t>鉅祥</t>
        </is>
      </c>
      <c r="C776" t="n">
        <v>122.5</v>
      </c>
      <c r="D776" t="n">
        <v>119</v>
      </c>
      <c r="E776" s="730" t="n">
        <v>-3</v>
      </c>
      <c r="F776" s="731" t="n">
        <v>-2.46</v>
      </c>
      <c r="G776" t="inlineStr">
        <is>
          <t>6.58億</t>
        </is>
      </c>
      <c r="H776" t="n">
        <v>5603</v>
      </c>
      <c r="I776" t="n">
        <v>7572</v>
      </c>
      <c r="J776" t="n">
        <v>21.89</v>
      </c>
      <c r="K776" t="n">
        <v>123</v>
      </c>
      <c r="L776" t="n">
        <v>114.5</v>
      </c>
      <c r="M776" s="155" t="n">
        <v>2.57</v>
      </c>
      <c r="N776" t="inlineStr">
        <is>
          <t>台灣沖壓件暨機構件大廠</t>
        </is>
      </c>
    </row>
    <row r="777">
      <c r="A777" t="n">
        <v>2477</v>
      </c>
      <c r="B777" t="inlineStr">
        <is>
          <t>美隆電</t>
        </is>
      </c>
      <c r="C777" t="n">
        <v>22.5</v>
      </c>
      <c r="D777" t="n">
        <v>22.3</v>
      </c>
      <c r="E777" s="730" t="n">
        <v>0.15</v>
      </c>
      <c r="F777" s="731" t="n">
        <v>0.68</v>
      </c>
      <c r="G777" t="inlineStr">
        <is>
          <t>847萬</t>
        </is>
      </c>
      <c r="H777" t="n">
        <v>382</v>
      </c>
      <c r="I777" t="n">
        <v>387</v>
      </c>
      <c r="J777" t="n">
        <v>15.86</v>
      </c>
      <c r="K777" t="n">
        <v>22.5</v>
      </c>
      <c r="L777" t="n">
        <v>21.95</v>
      </c>
      <c r="M777" s="155" t="n">
        <v>0.24</v>
      </c>
      <c r="N777" t="inlineStr">
        <is>
          <t>台灣最大音箱及揚聲器製造廠之一</t>
        </is>
      </c>
    </row>
    <row r="778">
      <c r="A778" t="n">
        <v>2478</v>
      </c>
      <c r="B778" t="inlineStr">
        <is>
          <t>大毅</t>
        </is>
      </c>
      <c r="C778" t="n">
        <v>144</v>
      </c>
      <c r="D778" t="n">
        <v>143</v>
      </c>
      <c r="E778" s="730" t="n">
        <v>-1</v>
      </c>
      <c r="F778" s="731" t="n">
        <v>-0.6899999999999999</v>
      </c>
      <c r="G778" t="inlineStr">
        <is>
          <t>4.20億</t>
        </is>
      </c>
      <c r="H778" t="n">
        <v>3123</v>
      </c>
      <c r="I778" t="n">
        <v>4242</v>
      </c>
      <c r="J778" t="n">
        <v>14.47</v>
      </c>
      <c r="K778" t="n">
        <v>145</v>
      </c>
      <c r="L778" t="n">
        <v>130</v>
      </c>
      <c r="M778" s="155" t="n">
        <v>2.16</v>
      </c>
      <c r="N778" t="inlineStr">
        <is>
          <t>台灣知名晶片電阻製造商</t>
        </is>
      </c>
    </row>
    <row r="779">
      <c r="A779" t="n">
        <v>2480</v>
      </c>
      <c r="B779" t="inlineStr">
        <is>
          <t>敦陽科</t>
        </is>
      </c>
      <c r="C779" t="n">
        <v>161.5</v>
      </c>
      <c r="D779" t="n">
        <v>159.5</v>
      </c>
      <c r="E779" s="730" t="n">
        <v>-1.5</v>
      </c>
      <c r="F779" s="731" t="n">
        <v>-0.93</v>
      </c>
      <c r="G779" t="inlineStr">
        <is>
          <t>1.93億</t>
        </is>
      </c>
      <c r="H779" t="n">
        <v>1210</v>
      </c>
      <c r="I779" t="n">
        <v>775</v>
      </c>
      <c r="J779" t="n">
        <v>10.64</v>
      </c>
      <c r="K779" t="n">
        <v>162.5</v>
      </c>
      <c r="L779" t="n">
        <v>157.5</v>
      </c>
      <c r="M779" s="155" t="n">
        <v>1.14</v>
      </c>
      <c r="N779" t="inlineStr">
        <is>
          <t>台灣資訊系統整合服務大廠</t>
        </is>
      </c>
    </row>
    <row r="780">
      <c r="A780" t="n">
        <v>2481</v>
      </c>
      <c r="B780" t="inlineStr">
        <is>
          <t>強茂</t>
        </is>
      </c>
      <c r="C780" t="n">
        <v>157.5</v>
      </c>
      <c r="D780" t="n">
        <v>146</v>
      </c>
      <c r="E780" s="730" t="n">
        <v>-11</v>
      </c>
      <c r="F780" s="731" t="n">
        <v>-7.01</v>
      </c>
      <c r="G780" t="inlineStr">
        <is>
          <t>61.9億</t>
        </is>
      </c>
      <c r="H780" t="n">
        <v>41548</v>
      </c>
      <c r="I780" t="n">
        <v>62779</v>
      </c>
      <c r="J780" t="n">
        <v>38.21</v>
      </c>
      <c r="K780" t="n">
        <v>158.5</v>
      </c>
      <c r="L780" t="n">
        <v>144.5</v>
      </c>
      <c r="M780" s="155" t="n">
        <v>10.87</v>
      </c>
      <c r="N780" t="inlineStr">
        <is>
          <t>台灣最大二極體廠</t>
        </is>
      </c>
    </row>
    <row r="781">
      <c r="A781" t="n">
        <v>2482</v>
      </c>
      <c r="B781" t="inlineStr">
        <is>
          <t>連宇</t>
        </is>
      </c>
      <c r="C781" t="n">
        <v>16.8</v>
      </c>
      <c r="D781" t="n">
        <v>17.05</v>
      </c>
      <c r="E781" s="730" t="n">
        <v>0.3</v>
      </c>
      <c r="F781" s="731" t="n">
        <v>1.79</v>
      </c>
      <c r="G781" t="inlineStr">
        <is>
          <t>508萬</t>
        </is>
      </c>
      <c r="H781" t="n">
        <v>305</v>
      </c>
      <c r="I781" t="n">
        <v>227</v>
      </c>
      <c r="J781" t="n">
        <v>7.79</v>
      </c>
      <c r="K781" t="n">
        <v>17.05</v>
      </c>
      <c r="L781" t="n">
        <v>16.5</v>
      </c>
      <c r="M781" s="155" t="n">
        <v>0.39</v>
      </c>
      <c r="N781" t="inlineStr">
        <is>
          <t>台灣讀卡機等電子支付交易設備廠</t>
        </is>
      </c>
    </row>
    <row r="782">
      <c r="A782" t="n">
        <v>2483</v>
      </c>
      <c r="B782" t="inlineStr">
        <is>
          <t>百容</t>
        </is>
      </c>
      <c r="C782" t="n">
        <v>25.9</v>
      </c>
      <c r="D782" t="n">
        <v>25.5</v>
      </c>
      <c r="E782" s="730" t="n">
        <v>0</v>
      </c>
      <c r="F782" s="731" t="n">
        <v>0</v>
      </c>
      <c r="G782" t="inlineStr">
        <is>
          <t>1960萬</t>
        </is>
      </c>
      <c r="H782" t="n">
        <v>774</v>
      </c>
      <c r="I782" t="n">
        <v>697</v>
      </c>
      <c r="J782" t="n">
        <v>10.79</v>
      </c>
      <c r="K782" t="n">
        <v>25.9</v>
      </c>
      <c r="L782" t="n">
        <v>24.65</v>
      </c>
      <c r="M782" s="155" t="n">
        <v>0.72</v>
      </c>
      <c r="N782" t="inlineStr">
        <is>
          <t>台灣知名程式開關兼繼電器供應商</t>
        </is>
      </c>
    </row>
    <row r="783">
      <c r="A783" t="n">
        <v>2484</v>
      </c>
      <c r="B783" t="inlineStr">
        <is>
          <t>希華</t>
        </is>
      </c>
      <c r="C783" t="n">
        <v>53</v>
      </c>
      <c r="D783" t="n">
        <v>51.9</v>
      </c>
      <c r="E783" s="730" t="n">
        <v>-1.3</v>
      </c>
      <c r="F783" s="731" t="n">
        <v>-2.44</v>
      </c>
      <c r="G783" t="inlineStr">
        <is>
          <t>6.47億</t>
        </is>
      </c>
      <c r="H783" t="n">
        <v>12603</v>
      </c>
      <c r="I783" t="n">
        <v>29956</v>
      </c>
      <c r="J783" t="n">
        <v>15.94</v>
      </c>
      <c r="K783" t="n">
        <v>53.1</v>
      </c>
      <c r="L783" t="n">
        <v>50</v>
      </c>
      <c r="M783" s="155" t="n">
        <v>7.91</v>
      </c>
      <c r="N783" t="inlineStr">
        <is>
          <t>台灣石英元件大廠</t>
        </is>
      </c>
    </row>
    <row r="784">
      <c r="A784" t="n">
        <v>2485</v>
      </c>
      <c r="B784" t="inlineStr">
        <is>
          <t>兆赫</t>
        </is>
      </c>
      <c r="C784" t="n">
        <v>72.8</v>
      </c>
      <c r="D784" t="n">
        <v>69.90000000000001</v>
      </c>
      <c r="E784" s="730" t="n">
        <v>-2.7</v>
      </c>
      <c r="F784" s="731" t="n">
        <v>-3.72</v>
      </c>
      <c r="G784" t="inlineStr">
        <is>
          <t>10.6億</t>
        </is>
      </c>
      <c r="H784" t="n">
        <v>15040</v>
      </c>
      <c r="I784" t="n">
        <v>28640</v>
      </c>
      <c r="J784" t="n">
        <v>31.77</v>
      </c>
      <c r="K784" t="n">
        <v>73.8</v>
      </c>
      <c r="L784" t="n">
        <v>69.09999999999999</v>
      </c>
      <c r="M784" s="155" t="n">
        <v>4.73</v>
      </c>
      <c r="N784" t="inlineStr">
        <is>
          <t>機上盒、LNB、有線電視傳輸設備製造商</t>
        </is>
      </c>
    </row>
    <row r="785">
      <c r="A785" t="n">
        <v>2486</v>
      </c>
      <c r="B785" t="inlineStr">
        <is>
          <t>一詮</t>
        </is>
      </c>
      <c r="C785" t="n">
        <v>268.5</v>
      </c>
      <c r="D785" t="n">
        <v>253.5</v>
      </c>
      <c r="E785" s="730" t="n">
        <v>-13</v>
      </c>
      <c r="F785" s="731" t="n">
        <v>-4.88</v>
      </c>
      <c r="G785" t="inlineStr">
        <is>
          <t>27.2億</t>
        </is>
      </c>
      <c r="H785" t="n">
        <v>10478</v>
      </c>
      <c r="I785" t="n">
        <v>10188</v>
      </c>
      <c r="J785" t="n">
        <v>23.57</v>
      </c>
      <c r="K785" t="n">
        <v>276</v>
      </c>
      <c r="L785" t="n">
        <v>248</v>
      </c>
      <c r="M785" s="155" t="n">
        <v>4.48</v>
      </c>
      <c r="N785" t="inlineStr">
        <is>
          <t>台灣LED導線架大廠</t>
        </is>
      </c>
    </row>
    <row r="786">
      <c r="A786" t="n">
        <v>2488</v>
      </c>
      <c r="B786" t="inlineStr">
        <is>
          <t>漢平</t>
        </is>
      </c>
      <c r="C786" t="n">
        <v>54.1</v>
      </c>
      <c r="D786" t="n">
        <v>53.7</v>
      </c>
      <c r="E786" s="730" t="n">
        <v>-0.4</v>
      </c>
      <c r="F786" s="731" t="n">
        <v>-0.74</v>
      </c>
      <c r="G786" t="inlineStr">
        <is>
          <t>1191萬</t>
        </is>
      </c>
      <c r="H786" t="n">
        <v>221</v>
      </c>
      <c r="I786" t="n">
        <v>191</v>
      </c>
      <c r="J786" t="n">
        <v>8</v>
      </c>
      <c r="K786" t="n">
        <v>54.4</v>
      </c>
      <c r="L786" t="n">
        <v>53.6</v>
      </c>
      <c r="M786" s="155" t="n">
        <v>0.28</v>
      </c>
      <c r="N786" t="inlineStr">
        <is>
          <t>台灣娛樂音訊產品ODM製造商</t>
        </is>
      </c>
    </row>
    <row r="787">
      <c r="A787" t="n">
        <v>2489</v>
      </c>
      <c r="B787" t="inlineStr">
        <is>
          <t>瑞軒</t>
        </is>
      </c>
      <c r="C787" t="n">
        <v>49.7</v>
      </c>
      <c r="D787" t="n">
        <v>47.8</v>
      </c>
      <c r="E787" s="730" t="n">
        <v>-0.85</v>
      </c>
      <c r="F787" s="731" t="n">
        <v>-1.75</v>
      </c>
      <c r="G787" t="inlineStr">
        <is>
          <t>15.3億</t>
        </is>
      </c>
      <c r="H787" t="n">
        <v>31421</v>
      </c>
      <c r="I787" t="n">
        <v>69465</v>
      </c>
      <c r="J787" t="n">
        <v>61</v>
      </c>
      <c r="K787" t="n">
        <v>50.8</v>
      </c>
      <c r="L787" t="n">
        <v>47.15</v>
      </c>
      <c r="M787" s="155" t="n">
        <v>5.15</v>
      </c>
      <c r="N787" t="inlineStr">
        <is>
          <t>台灣知名液晶電視及顯示器代工廠</t>
        </is>
      </c>
    </row>
    <row r="788">
      <c r="A788" t="n">
        <v>2491</v>
      </c>
      <c r="B788" t="inlineStr">
        <is>
          <t>吉祥全</t>
        </is>
      </c>
      <c r="C788" t="n">
        <v>28.15</v>
      </c>
      <c r="D788" t="n">
        <v>28.15</v>
      </c>
      <c r="E788" s="730" t="n">
        <v>2.55</v>
      </c>
      <c r="F788" s="731" t="n">
        <v>9.960000000000001</v>
      </c>
      <c r="G788" t="inlineStr">
        <is>
          <t>7510萬</t>
        </is>
      </c>
      <c r="H788" t="n">
        <v>2668</v>
      </c>
      <c r="I788" t="n">
        <v>1361</v>
      </c>
      <c r="J788" t="n">
        <v>8.199999999999999</v>
      </c>
      <c r="K788" t="n">
        <v>28.15</v>
      </c>
      <c r="L788" t="n">
        <v>28.15</v>
      </c>
      <c r="M788" s="155" t="n">
        <v>3.25</v>
      </c>
      <c r="N788" t="inlineStr">
        <is>
          <t>主要從事照明應用產品製造及銷售</t>
        </is>
      </c>
    </row>
    <row r="789">
      <c r="A789" t="n">
        <v>2492</v>
      </c>
      <c r="B789" t="inlineStr">
        <is>
          <t>華新科</t>
        </is>
      </c>
      <c r="C789" t="n">
        <v>391</v>
      </c>
      <c r="D789" t="n">
        <v>456</v>
      </c>
      <c r="E789" s="730" t="n">
        <v>40</v>
      </c>
      <c r="F789" s="731" t="n">
        <v>9.619999999999999</v>
      </c>
      <c r="G789" t="inlineStr">
        <is>
          <t>33.7億</t>
        </is>
      </c>
      <c r="H789" t="n">
        <v>8585</v>
      </c>
      <c r="I789" t="n">
        <v>6973</v>
      </c>
      <c r="J789" t="n">
        <v>48.52</v>
      </c>
      <c r="K789" t="n">
        <v>456</v>
      </c>
      <c r="L789" t="n">
        <v>374.5</v>
      </c>
      <c r="M789" s="155" t="n">
        <v>1.77</v>
      </c>
      <c r="N789" t="inlineStr">
        <is>
          <t>全球前五大MLCC廠</t>
        </is>
      </c>
    </row>
    <row r="790">
      <c r="A790" t="n">
        <v>2493</v>
      </c>
      <c r="B790" t="inlineStr">
        <is>
          <t>揚博</t>
        </is>
      </c>
      <c r="C790" t="n">
        <v>154</v>
      </c>
      <c r="D790" t="n">
        <v>147</v>
      </c>
      <c r="E790" s="730" t="n">
        <v>-6</v>
      </c>
      <c r="F790" s="731" t="n">
        <v>-3.92</v>
      </c>
      <c r="G790" t="inlineStr">
        <is>
          <t>4.09億</t>
        </is>
      </c>
      <c r="H790" t="n">
        <v>2743</v>
      </c>
      <c r="I790" t="n">
        <v>8408</v>
      </c>
      <c r="J790" t="n">
        <v>12.68</v>
      </c>
      <c r="K790" t="n">
        <v>156.5</v>
      </c>
      <c r="L790" t="n">
        <v>146</v>
      </c>
      <c r="M790" s="155" t="n">
        <v>2.16</v>
      </c>
      <c r="N790" t="inlineStr">
        <is>
          <t>全球最大的PCB濕製程大廠</t>
        </is>
      </c>
    </row>
    <row r="791">
      <c r="A791" t="n">
        <v>2495</v>
      </c>
      <c r="B791" t="inlineStr">
        <is>
          <t>普安</t>
        </is>
      </c>
      <c r="C791" t="n">
        <v>51.2</v>
      </c>
      <c r="D791" t="n">
        <v>51.6</v>
      </c>
      <c r="E791" s="730" t="n">
        <v>0.7</v>
      </c>
      <c r="F791" s="731" t="n">
        <v>1.38</v>
      </c>
      <c r="G791" t="inlineStr">
        <is>
          <t>7.60億</t>
        </is>
      </c>
      <c r="H791" t="n">
        <v>14972</v>
      </c>
      <c r="I791" t="n">
        <v>21833</v>
      </c>
      <c r="J791" t="n">
        <v>27.36</v>
      </c>
      <c r="K791" t="n">
        <v>53</v>
      </c>
      <c r="L791" t="n">
        <v>48.75</v>
      </c>
      <c r="M791" s="155" t="n">
        <v>5.47</v>
      </c>
      <c r="N791" t="inlineStr">
        <is>
          <t>全球前十大磁碟陣列及NAS系統供應商</t>
        </is>
      </c>
    </row>
    <row r="792">
      <c r="A792" t="n">
        <v>2496</v>
      </c>
      <c r="B792" t="inlineStr">
        <is>
          <t>卓越</t>
        </is>
      </c>
      <c r="C792" t="n">
        <v>64.7</v>
      </c>
      <c r="D792" t="n">
        <v>64.59999999999999</v>
      </c>
      <c r="E792" s="730" t="n">
        <v>-0.1</v>
      </c>
      <c r="F792" s="731" t="n">
        <v>-0.15</v>
      </c>
      <c r="G792" t="inlineStr">
        <is>
          <t>220萬</t>
        </is>
      </c>
      <c r="H792" t="n">
        <v>34</v>
      </c>
      <c r="I792" t="n">
        <v>14</v>
      </c>
      <c r="J792" t="n">
        <v>1.91</v>
      </c>
      <c r="K792" t="n">
        <v>65</v>
      </c>
      <c r="L792" t="n">
        <v>64.5</v>
      </c>
      <c r="M792" s="155" t="n">
        <v>0.18</v>
      </c>
      <c r="N792" t="inlineStr">
        <is>
          <t>為補教教育服務商，旗下擁有陳立補習班</t>
        </is>
      </c>
    </row>
    <row r="793">
      <c r="A793" t="n">
        <v>2497</v>
      </c>
      <c r="B793" t="inlineStr">
        <is>
          <t>怡利電</t>
        </is>
      </c>
      <c r="C793" t="n">
        <v>64.3</v>
      </c>
      <c r="D793" t="n">
        <v>61.8</v>
      </c>
      <c r="E793" s="730" t="n">
        <v>-3.8</v>
      </c>
      <c r="F793" s="731" t="n">
        <v>-5.79</v>
      </c>
      <c r="G793" t="inlineStr">
        <is>
          <t>2.12億</t>
        </is>
      </c>
      <c r="H793" t="n">
        <v>3392</v>
      </c>
      <c r="I793" t="n">
        <v>2159</v>
      </c>
      <c r="J793" t="n">
        <v>13.09</v>
      </c>
      <c r="K793" t="n">
        <v>64.90000000000001</v>
      </c>
      <c r="L793" t="n">
        <v>60.5</v>
      </c>
      <c r="M793" s="155" t="n">
        <v>2.87</v>
      </c>
      <c r="N793" t="inlineStr">
        <is>
          <t>國內車載影音主機大廠</t>
        </is>
      </c>
    </row>
    <row r="794">
      <c r="A794" t="n">
        <v>2498</v>
      </c>
      <c r="B794" t="inlineStr">
        <is>
          <t>宏達電</t>
        </is>
      </c>
      <c r="C794" t="n">
        <v>46</v>
      </c>
      <c r="D794" t="n">
        <v>50</v>
      </c>
      <c r="E794" s="730" t="n">
        <v>4.5</v>
      </c>
      <c r="F794" s="731" t="n">
        <v>9.890000000000001</v>
      </c>
      <c r="G794" t="inlineStr">
        <is>
          <t>18.3億</t>
        </is>
      </c>
      <c r="H794" t="n">
        <v>36981</v>
      </c>
      <c r="I794" t="n">
        <v>11708</v>
      </c>
      <c r="J794" t="n">
        <v>83.61</v>
      </c>
      <c r="K794" t="n">
        <v>50</v>
      </c>
      <c r="L794" t="n">
        <v>45.9</v>
      </c>
      <c r="M794" s="155" t="n">
        <v>4.42</v>
      </c>
      <c r="N794" t="inlineStr">
        <is>
          <t>以HTC品牌行銷全球前十大智慧型手機廠商</t>
        </is>
      </c>
    </row>
    <row r="795">
      <c r="A795" t="n">
        <v>2501</v>
      </c>
      <c r="B795" t="inlineStr">
        <is>
          <t>國建</t>
        </is>
      </c>
      <c r="C795" t="n">
        <v>22.9</v>
      </c>
      <c r="D795" t="n">
        <v>22.7</v>
      </c>
      <c r="E795" s="730" t="n">
        <v>-0.25</v>
      </c>
      <c r="F795" s="731" t="n">
        <v>-1.09</v>
      </c>
      <c r="G795" t="inlineStr">
        <is>
          <t>5546萬</t>
        </is>
      </c>
      <c r="H795" t="n">
        <v>2449</v>
      </c>
      <c r="I795" t="n">
        <v>3893</v>
      </c>
      <c r="J795" t="n">
        <v>115.96</v>
      </c>
      <c r="K795" t="n">
        <v>22.9</v>
      </c>
      <c r="L795" t="n">
        <v>22.6</v>
      </c>
      <c r="M795" s="155" t="n">
        <v>0.21</v>
      </c>
      <c r="N795" t="inlineStr">
        <is>
          <t>屬霖園集團之台灣老牌營建開發業者</t>
        </is>
      </c>
    </row>
    <row r="796">
      <c r="A796" t="n">
        <v>2504</v>
      </c>
      <c r="B796" t="inlineStr">
        <is>
          <t>國產</t>
        </is>
      </c>
      <c r="C796" t="n">
        <v>35.6</v>
      </c>
      <c r="D796" t="n">
        <v>35.2</v>
      </c>
      <c r="E796" s="730" t="n">
        <v>-0.3</v>
      </c>
      <c r="F796" s="731" t="n">
        <v>-0.85</v>
      </c>
      <c r="G796" t="inlineStr">
        <is>
          <t>1.32億</t>
        </is>
      </c>
      <c r="H796" t="n">
        <v>3732</v>
      </c>
      <c r="I796" t="n">
        <v>2474</v>
      </c>
      <c r="J796" t="n">
        <v>118</v>
      </c>
      <c r="K796" t="n">
        <v>35.8</v>
      </c>
      <c r="L796" t="n">
        <v>35.2</v>
      </c>
      <c r="M796" s="155" t="n">
        <v>0.32</v>
      </c>
      <c r="N796" t="inlineStr">
        <is>
          <t>台灣知名預拌混凝土大廠</t>
        </is>
      </c>
    </row>
    <row r="797">
      <c r="A797" t="n">
        <v>2505</v>
      </c>
      <c r="B797" t="inlineStr">
        <is>
          <t>國揚</t>
        </is>
      </c>
      <c r="C797" t="n">
        <v>17.45</v>
      </c>
      <c r="D797" t="n">
        <v>17.5</v>
      </c>
      <c r="E797" s="730" t="n">
        <v>0.05</v>
      </c>
      <c r="F797" s="731" t="n">
        <v>0.29</v>
      </c>
      <c r="G797" t="inlineStr">
        <is>
          <t>366萬</t>
        </is>
      </c>
      <c r="H797" t="n">
        <v>211</v>
      </c>
      <c r="I797" t="n">
        <v>377</v>
      </c>
      <c r="J797" t="n">
        <v>38</v>
      </c>
      <c r="K797" t="n">
        <v>17.55</v>
      </c>
      <c r="L797" t="n">
        <v>17.35</v>
      </c>
      <c r="M797" s="155" t="n">
        <v>0.06</v>
      </c>
      <c r="N797" t="inlineStr">
        <is>
          <t>整合百貨、飯店、休閒、地產的營建商</t>
        </is>
      </c>
    </row>
    <row r="798">
      <c r="A798" t="n">
        <v>2506</v>
      </c>
      <c r="B798" t="inlineStr">
        <is>
          <t>太設</t>
        </is>
      </c>
      <c r="C798" t="n">
        <v>8.73</v>
      </c>
      <c r="D798" t="n">
        <v>8.73</v>
      </c>
      <c r="E798" s="730" t="n">
        <v>0.01</v>
      </c>
      <c r="F798" s="731" t="n">
        <v>0.11</v>
      </c>
      <c r="G798" t="inlineStr">
        <is>
          <t>125萬</t>
        </is>
      </c>
      <c r="H798" t="n">
        <v>144</v>
      </c>
      <c r="I798" t="n">
        <v>151</v>
      </c>
      <c r="J798" t="n">
        <v>38.7</v>
      </c>
      <c r="K798" t="n">
        <v>8.779999999999999</v>
      </c>
      <c r="L798" t="n">
        <v>8.65</v>
      </c>
      <c r="M798" s="155" t="n">
        <v>0.04</v>
      </c>
      <c r="N798" t="inlineStr">
        <is>
          <t>多角化經營建設、百貨及休閒等事業</t>
        </is>
      </c>
    </row>
    <row r="799">
      <c r="A799" t="n">
        <v>2509</v>
      </c>
      <c r="B799" t="inlineStr">
        <is>
          <t>全坤建</t>
        </is>
      </c>
      <c r="C799" t="n">
        <v>12.25</v>
      </c>
      <c r="D799" t="n">
        <v>12.35</v>
      </c>
      <c r="E799" s="730" t="n">
        <v>0.05</v>
      </c>
      <c r="F799" s="731" t="n">
        <v>0.41</v>
      </c>
      <c r="G799" t="inlineStr">
        <is>
          <t>258萬</t>
        </is>
      </c>
      <c r="H799" t="n">
        <v>210</v>
      </c>
      <c r="I799" t="n">
        <v>230</v>
      </c>
      <c r="J799" t="n">
        <v>22.46</v>
      </c>
      <c r="K799" t="n">
        <v>12.4</v>
      </c>
      <c r="L799" t="n">
        <v>12.15</v>
      </c>
      <c r="M799" s="155" t="n">
        <v>0.09</v>
      </c>
      <c r="N799" t="inlineStr">
        <is>
          <t>推案集中於大台北地區的建商</t>
        </is>
      </c>
    </row>
    <row r="800">
      <c r="A800" t="n">
        <v>2511</v>
      </c>
      <c r="B800" t="inlineStr">
        <is>
          <t>太子</t>
        </is>
      </c>
      <c r="C800" t="n">
        <v>7.84</v>
      </c>
      <c r="D800" t="n">
        <v>7.88</v>
      </c>
      <c r="E800" s="730" t="n">
        <v>0.07000000000000001</v>
      </c>
      <c r="F800" s="731" t="n">
        <v>0.9</v>
      </c>
      <c r="G800" t="inlineStr">
        <is>
          <t>1294萬</t>
        </is>
      </c>
      <c r="H800" t="n">
        <v>1651</v>
      </c>
      <c r="I800" t="n">
        <v>1435</v>
      </c>
      <c r="J800" t="n">
        <v>162.33</v>
      </c>
      <c r="K800" t="n">
        <v>7.89</v>
      </c>
      <c r="L800" t="n">
        <v>7.78</v>
      </c>
      <c r="M800" s="155" t="n">
        <v>0.1</v>
      </c>
      <c r="N800" t="inlineStr">
        <is>
          <t>統一集團旗下建商</t>
        </is>
      </c>
    </row>
    <row r="801">
      <c r="A801" t="n">
        <v>2514</v>
      </c>
      <c r="B801" t="inlineStr">
        <is>
          <t>龍邦</t>
        </is>
      </c>
      <c r="C801" t="n">
        <v>13.55</v>
      </c>
      <c r="D801" t="n">
        <v>13.35</v>
      </c>
      <c r="E801" s="730" t="n">
        <v>-0.3</v>
      </c>
      <c r="F801" s="731" t="n">
        <v>-2.2</v>
      </c>
      <c r="G801" t="inlineStr">
        <is>
          <t>464萬</t>
        </is>
      </c>
      <c r="H801" t="n">
        <v>348</v>
      </c>
      <c r="I801" t="n">
        <v>375</v>
      </c>
      <c r="J801" t="n">
        <v>39.47</v>
      </c>
      <c r="K801" t="n">
        <v>13.75</v>
      </c>
      <c r="L801" t="n">
        <v>13.15</v>
      </c>
      <c r="M801" s="155" t="n">
        <v>0.09</v>
      </c>
      <c r="N801" t="inlineStr">
        <is>
          <t>中部地區首家上市建商</t>
        </is>
      </c>
    </row>
    <row r="802">
      <c r="A802" t="n">
        <v>2515</v>
      </c>
      <c r="B802" t="inlineStr">
        <is>
          <t>中工</t>
        </is>
      </c>
      <c r="C802" t="n">
        <v>12.85</v>
      </c>
      <c r="D802" t="n">
        <v>12.75</v>
      </c>
      <c r="E802" s="730" t="n">
        <v>-0.05</v>
      </c>
      <c r="F802" s="731" t="n">
        <v>-0.39</v>
      </c>
      <c r="G802" t="inlineStr">
        <is>
          <t>9814萬</t>
        </is>
      </c>
      <c r="H802" t="n">
        <v>7724</v>
      </c>
      <c r="I802" t="n">
        <v>8391</v>
      </c>
      <c r="J802" t="n">
        <v>160.79</v>
      </c>
      <c r="K802" t="n">
        <v>12.85</v>
      </c>
      <c r="L802" t="n">
        <v>12.65</v>
      </c>
      <c r="M802" s="155" t="n">
        <v>0.48</v>
      </c>
      <c r="N802" t="inlineStr">
        <is>
          <t>威京集團旗下，建築工程廠商</t>
        </is>
      </c>
    </row>
    <row r="803">
      <c r="A803" t="n">
        <v>2516</v>
      </c>
      <c r="B803" t="inlineStr">
        <is>
          <t>新建</t>
        </is>
      </c>
      <c r="C803" t="n">
        <v>12.7</v>
      </c>
      <c r="D803" t="n">
        <v>12.45</v>
      </c>
      <c r="E803" s="730" t="n">
        <v>-0.15</v>
      </c>
      <c r="F803" s="731" t="n">
        <v>-1.19</v>
      </c>
      <c r="G803" t="inlineStr">
        <is>
          <t>236萬</t>
        </is>
      </c>
      <c r="H803" t="n">
        <v>190</v>
      </c>
      <c r="I803" t="n">
        <v>632</v>
      </c>
      <c r="J803" t="n">
        <v>22.63</v>
      </c>
      <c r="K803" t="n">
        <v>12.7</v>
      </c>
      <c r="L803" t="n">
        <v>12.3</v>
      </c>
      <c r="M803" s="155" t="n">
        <v>0.08</v>
      </c>
      <c r="N803" t="inlineStr">
        <is>
          <t>主要承攬公共工程為主之營造廠商</t>
        </is>
      </c>
    </row>
    <row r="804">
      <c r="A804" t="n">
        <v>2520</v>
      </c>
      <c r="B804" t="inlineStr">
        <is>
          <t>冠德</t>
        </is>
      </c>
      <c r="C804" t="n">
        <v>30.9</v>
      </c>
      <c r="D804" t="n">
        <v>31.2</v>
      </c>
      <c r="E804" s="730" t="n">
        <v>0.3</v>
      </c>
      <c r="F804" s="731" t="n">
        <v>0.97</v>
      </c>
      <c r="G804" t="inlineStr">
        <is>
          <t>5458萬</t>
        </is>
      </c>
      <c r="H804" t="n">
        <v>1757</v>
      </c>
      <c r="I804" t="n">
        <v>1558</v>
      </c>
      <c r="J804" t="n">
        <v>60.95</v>
      </c>
      <c r="K804" t="n">
        <v>31.35</v>
      </c>
      <c r="L804" t="n">
        <v>30.55</v>
      </c>
      <c r="M804" s="155" t="n">
        <v>0.29</v>
      </c>
      <c r="N804" t="inlineStr">
        <is>
          <t>大台北地區的中大型建商</t>
        </is>
      </c>
    </row>
    <row r="805">
      <c r="A805" t="n">
        <v>2524</v>
      </c>
      <c r="B805" t="inlineStr">
        <is>
          <t>京城</t>
        </is>
      </c>
      <c r="C805" t="n">
        <v>35.45</v>
      </c>
      <c r="D805" t="n">
        <v>33.95</v>
      </c>
      <c r="E805" s="730" t="n">
        <v>-1.5</v>
      </c>
      <c r="F805" s="731" t="n">
        <v>-4.23</v>
      </c>
      <c r="G805" t="inlineStr">
        <is>
          <t>1181萬</t>
        </is>
      </c>
      <c r="H805" t="n">
        <v>347</v>
      </c>
      <c r="I805" t="n">
        <v>110</v>
      </c>
      <c r="J805" t="n">
        <v>36.6</v>
      </c>
      <c r="K805" t="n">
        <v>35.8</v>
      </c>
      <c r="L805" t="n">
        <v>33.5</v>
      </c>
      <c r="M805" s="155" t="n">
        <v>0.09</v>
      </c>
      <c r="N805" t="inlineStr">
        <is>
          <t>高雄地區知名建商</t>
        </is>
      </c>
    </row>
    <row r="806">
      <c r="A806" t="n">
        <v>2527</v>
      </c>
      <c r="B806" t="inlineStr">
        <is>
          <t>宏璟</t>
        </is>
      </c>
      <c r="C806" t="n">
        <v>37</v>
      </c>
      <c r="D806" t="n">
        <v>36.6</v>
      </c>
      <c r="E806" s="730" t="n">
        <v>-0.15</v>
      </c>
      <c r="F806" s="731" t="n">
        <v>-0.41</v>
      </c>
      <c r="G806" t="inlineStr">
        <is>
          <t>1413萬</t>
        </is>
      </c>
      <c r="H806" t="n">
        <v>392</v>
      </c>
      <c r="I806" t="n">
        <v>644</v>
      </c>
      <c r="J806" t="n">
        <v>27.03</v>
      </c>
      <c r="K806" t="n">
        <v>37</v>
      </c>
      <c r="L806" t="n">
        <v>36.05</v>
      </c>
      <c r="M806" s="155" t="n">
        <v>0.15</v>
      </c>
      <c r="N806" t="inlineStr">
        <is>
          <t>日月光旗下建商</t>
        </is>
      </c>
    </row>
    <row r="807">
      <c r="A807" t="n">
        <v>2528</v>
      </c>
      <c r="B807" t="inlineStr">
        <is>
          <t>皇普</t>
        </is>
      </c>
      <c r="C807" t="n">
        <v>20.1</v>
      </c>
      <c r="D807" t="n">
        <v>20.2</v>
      </c>
      <c r="E807" s="730" t="n">
        <v>0.05</v>
      </c>
      <c r="F807" s="731" t="n">
        <v>0.25</v>
      </c>
      <c r="G807" t="inlineStr">
        <is>
          <t>883萬</t>
        </is>
      </c>
      <c r="H807" t="n">
        <v>436</v>
      </c>
      <c r="I807" t="n">
        <v>1363</v>
      </c>
      <c r="J807" t="n">
        <v>43.6</v>
      </c>
      <c r="K807" t="n">
        <v>20.4</v>
      </c>
      <c r="L807" t="n">
        <v>20.1</v>
      </c>
      <c r="M807" s="155" t="n">
        <v>0.1</v>
      </c>
      <c r="N807" t="inlineStr">
        <is>
          <t>以大台北地區推案為主的建商</t>
        </is>
      </c>
    </row>
    <row r="808">
      <c r="A808" t="n">
        <v>2530</v>
      </c>
      <c r="B808" t="inlineStr">
        <is>
          <t>華建</t>
        </is>
      </c>
      <c r="C808" t="n">
        <v>19.7</v>
      </c>
      <c r="D808" t="n">
        <v>18.8</v>
      </c>
      <c r="E808" s="730" t="n">
        <v>-0.9</v>
      </c>
      <c r="F808" s="731" t="n">
        <v>-4.57</v>
      </c>
      <c r="G808" t="inlineStr">
        <is>
          <t>2942萬</t>
        </is>
      </c>
      <c r="H808" t="n">
        <v>1556</v>
      </c>
      <c r="I808" t="n">
        <v>1963</v>
      </c>
      <c r="J808" t="n">
        <v>84.13</v>
      </c>
      <c r="K808" t="n">
        <v>19.7</v>
      </c>
      <c r="L808" t="n">
        <v>18.55</v>
      </c>
      <c r="M808" s="155" t="n">
        <v>0.18</v>
      </c>
      <c r="N808" t="inlineStr">
        <is>
          <t>推案集中於大台北地區的建商</t>
        </is>
      </c>
    </row>
    <row r="809">
      <c r="A809" t="n">
        <v>2534</v>
      </c>
      <c r="B809" t="inlineStr">
        <is>
          <t>宏盛</t>
        </is>
      </c>
      <c r="C809" t="n">
        <v>17.2</v>
      </c>
      <c r="D809" t="n">
        <v>17.15</v>
      </c>
      <c r="E809" s="730" t="n">
        <v>-0.15</v>
      </c>
      <c r="F809" s="731" t="n">
        <v>-0.87</v>
      </c>
      <c r="G809" t="inlineStr">
        <is>
          <t>1947萬</t>
        </is>
      </c>
      <c r="H809" t="n">
        <v>1142</v>
      </c>
      <c r="I809" t="n">
        <v>1443</v>
      </c>
      <c r="J809" t="n">
        <v>47.42</v>
      </c>
      <c r="K809" t="n">
        <v>17.2</v>
      </c>
      <c r="L809" t="n">
        <v>16.95</v>
      </c>
      <c r="M809" s="155" t="n">
        <v>0.24</v>
      </c>
      <c r="N809" t="inlineStr">
        <is>
          <t>宏泰集團旗下建商，以仁愛帝寶豪宅推案而知名</t>
        </is>
      </c>
    </row>
    <row r="810">
      <c r="A810" t="n">
        <v>2535</v>
      </c>
      <c r="B810" t="inlineStr">
        <is>
          <t>達欣工</t>
        </is>
      </c>
      <c r="C810" t="n">
        <v>82.40000000000001</v>
      </c>
      <c r="D810" t="n">
        <v>81.3</v>
      </c>
      <c r="E810" s="730" t="n">
        <v>-1.1</v>
      </c>
      <c r="F810" s="731" t="n">
        <v>-1.33</v>
      </c>
      <c r="G810" t="inlineStr">
        <is>
          <t>3951萬</t>
        </is>
      </c>
      <c r="H810" t="n">
        <v>489</v>
      </c>
      <c r="I810" t="n">
        <v>738</v>
      </c>
      <c r="J810" t="n">
        <v>27.08</v>
      </c>
      <c r="K810" t="n">
        <v>82.8</v>
      </c>
      <c r="L810" t="n">
        <v>80</v>
      </c>
      <c r="M810" s="155" t="n">
        <v>0.18</v>
      </c>
      <c r="N810" t="inlineStr">
        <is>
          <t>台灣主要甲級營造廠之一</t>
        </is>
      </c>
    </row>
    <row r="811">
      <c r="A811" t="n">
        <v>2536</v>
      </c>
      <c r="B811" t="inlineStr">
        <is>
          <t>宏普</t>
        </is>
      </c>
      <c r="C811" t="n">
        <v>19.75</v>
      </c>
      <c r="D811" t="n">
        <v>19.65</v>
      </c>
      <c r="E811" s="730" t="n">
        <v>-0.1</v>
      </c>
      <c r="F811" s="731" t="n">
        <v>-0.51</v>
      </c>
      <c r="G811" t="inlineStr">
        <is>
          <t>1063萬</t>
        </is>
      </c>
      <c r="H811" t="n">
        <v>539</v>
      </c>
      <c r="I811" t="n">
        <v>453</v>
      </c>
      <c r="J811" t="n">
        <v>33.28</v>
      </c>
      <c r="K811" t="n">
        <v>19.85</v>
      </c>
      <c r="L811" t="n">
        <v>19.6</v>
      </c>
      <c r="M811" s="155" t="n">
        <v>0.16</v>
      </c>
      <c r="N811" t="inlineStr">
        <is>
          <t>推案集中於大台北地區之建商</t>
        </is>
      </c>
    </row>
    <row r="812">
      <c r="A812" t="n">
        <v>2537</v>
      </c>
      <c r="B812" t="inlineStr">
        <is>
          <t>聯上發</t>
        </is>
      </c>
      <c r="C812" t="n">
        <v>10.05</v>
      </c>
      <c r="D812" t="n">
        <v>9.98</v>
      </c>
      <c r="E812" s="730" t="n">
        <v>-0.07000000000000001</v>
      </c>
      <c r="F812" s="731" t="n">
        <v>-0.7</v>
      </c>
      <c r="G812" t="inlineStr">
        <is>
          <t>1227萬</t>
        </is>
      </c>
      <c r="H812" t="n">
        <v>1232</v>
      </c>
      <c r="I812" t="n">
        <v>1274</v>
      </c>
      <c r="J812" t="n">
        <v>30.06</v>
      </c>
      <c r="K812" t="n">
        <v>10.15</v>
      </c>
      <c r="L812" t="n">
        <v>9.82</v>
      </c>
      <c r="M812" s="155" t="n">
        <v>0.41</v>
      </c>
      <c r="N812" t="inlineStr">
        <is>
          <t>聯上集團旗下負責大台北及桃園地區推案的建商</t>
        </is>
      </c>
    </row>
    <row r="813">
      <c r="A813" t="n">
        <v>2538</v>
      </c>
      <c r="B813" t="inlineStr">
        <is>
          <t>基泰</t>
        </is>
      </c>
      <c r="C813" t="n">
        <v>9.640000000000001</v>
      </c>
      <c r="D813" t="n">
        <v>9.51</v>
      </c>
      <c r="E813" s="730" t="n">
        <v>-0.13</v>
      </c>
      <c r="F813" s="731" t="n">
        <v>-1.35</v>
      </c>
      <c r="G813" t="inlineStr">
        <is>
          <t>1106萬</t>
        </is>
      </c>
      <c r="H813" t="n">
        <v>1152</v>
      </c>
      <c r="I813" t="n">
        <v>1027</v>
      </c>
      <c r="J813" t="n">
        <v>44.5</v>
      </c>
      <c r="K813" t="n">
        <v>9.699999999999999</v>
      </c>
      <c r="L813" t="n">
        <v>9.5</v>
      </c>
      <c r="M813" s="155" t="n">
        <v>0.26</v>
      </c>
      <c r="N813" t="inlineStr">
        <is>
          <t>推案集中於大台北地區之建商</t>
        </is>
      </c>
    </row>
    <row r="814">
      <c r="A814" t="n">
        <v>2539</v>
      </c>
      <c r="B814" t="inlineStr">
        <is>
          <t>櫻花建</t>
        </is>
      </c>
      <c r="C814" t="n">
        <v>36.8</v>
      </c>
      <c r="D814" t="n">
        <v>36</v>
      </c>
      <c r="E814" s="730" t="n">
        <v>-0.7</v>
      </c>
      <c r="F814" s="731" t="n">
        <v>-1.91</v>
      </c>
      <c r="G814" t="inlineStr">
        <is>
          <t>6565萬</t>
        </is>
      </c>
      <c r="H814" t="n">
        <v>1822</v>
      </c>
      <c r="I814" t="n">
        <v>3541</v>
      </c>
      <c r="J814" t="n">
        <v>119.31</v>
      </c>
      <c r="K814" t="n">
        <v>36.95</v>
      </c>
      <c r="L814" t="n">
        <v>35.55</v>
      </c>
      <c r="M814" s="155" t="n">
        <v>0.15</v>
      </c>
      <c r="N814" t="inlineStr">
        <is>
          <t>推案集中於大台中地區之建商</t>
        </is>
      </c>
    </row>
    <row r="815">
      <c r="A815" t="n">
        <v>2540</v>
      </c>
      <c r="B815" t="inlineStr">
        <is>
          <t>愛山林</t>
        </is>
      </c>
      <c r="C815" t="n">
        <v>54.2</v>
      </c>
      <c r="D815" t="n">
        <v>53</v>
      </c>
      <c r="E815" s="730" t="n">
        <v>-1.2</v>
      </c>
      <c r="F815" s="731" t="n">
        <v>-2.21</v>
      </c>
      <c r="G815" t="inlineStr">
        <is>
          <t>3204萬</t>
        </is>
      </c>
      <c r="H815" t="n">
        <v>600</v>
      </c>
      <c r="I815" t="n">
        <v>960</v>
      </c>
      <c r="J815" t="n">
        <v>94.48999999999999</v>
      </c>
      <c r="K815" t="n">
        <v>54.4</v>
      </c>
      <c r="L815" t="n">
        <v>53</v>
      </c>
      <c r="M815" s="155" t="n">
        <v>0.06</v>
      </c>
      <c r="N815" t="inlineStr">
        <is>
          <t>甲山林旗下建商及代銷商</t>
        </is>
      </c>
    </row>
    <row r="816">
      <c r="A816" t="n">
        <v>2542</v>
      </c>
      <c r="B816" t="inlineStr">
        <is>
          <t>興富發</t>
        </is>
      </c>
      <c r="C816" t="n">
        <v>42.5</v>
      </c>
      <c r="D816" t="n">
        <v>42.45</v>
      </c>
      <c r="E816" s="730" t="n">
        <v>-0.15</v>
      </c>
      <c r="F816" s="731" t="n">
        <v>-0.35</v>
      </c>
      <c r="G816" t="inlineStr">
        <is>
          <t>10.1億</t>
        </is>
      </c>
      <c r="H816" t="n">
        <v>23715</v>
      </c>
      <c r="I816" t="n">
        <v>11670</v>
      </c>
      <c r="J816" t="n">
        <v>217.31</v>
      </c>
      <c r="K816" t="n">
        <v>43.25</v>
      </c>
      <c r="L816" t="n">
        <v>42.25</v>
      </c>
      <c r="M816" s="155" t="n">
        <v>1.09</v>
      </c>
      <c r="N816" t="inlineStr">
        <is>
          <t>台灣前十大推案建商</t>
        </is>
      </c>
    </row>
    <row r="817">
      <c r="A817" t="n">
        <v>2543</v>
      </c>
      <c r="B817" t="inlineStr">
        <is>
          <t>皇昌</t>
        </is>
      </c>
      <c r="C817" t="n">
        <v>47</v>
      </c>
      <c r="D817" t="n">
        <v>45.75</v>
      </c>
      <c r="E817" s="730" t="n">
        <v>-1.25</v>
      </c>
      <c r="F817" s="731" t="n">
        <v>-2.66</v>
      </c>
      <c r="G817" t="inlineStr">
        <is>
          <t>8702萬</t>
        </is>
      </c>
      <c r="H817" t="n">
        <v>1891</v>
      </c>
      <c r="I817" t="n">
        <v>3404</v>
      </c>
      <c r="J817" t="n">
        <v>52.85</v>
      </c>
      <c r="K817" t="n">
        <v>47.4</v>
      </c>
      <c r="L817" t="n">
        <v>45.6</v>
      </c>
      <c r="M817" s="155" t="n">
        <v>0.36</v>
      </c>
      <c r="N817" t="inlineStr">
        <is>
          <t>主要承攬公共工程之營造廠</t>
        </is>
      </c>
    </row>
    <row r="818">
      <c r="A818" t="n">
        <v>2545</v>
      </c>
      <c r="B818" t="inlineStr">
        <is>
          <t>皇翔</t>
        </is>
      </c>
      <c r="C818" t="n">
        <v>37</v>
      </c>
      <c r="D818" t="n">
        <v>37.5</v>
      </c>
      <c r="E818" s="730" t="n">
        <v>0.55</v>
      </c>
      <c r="F818" s="731" t="n">
        <v>1.49</v>
      </c>
      <c r="G818" t="inlineStr">
        <is>
          <t>1713萬</t>
        </is>
      </c>
      <c r="H818" t="n">
        <v>458</v>
      </c>
      <c r="I818" t="n">
        <v>447</v>
      </c>
      <c r="J818" t="n">
        <v>37.97</v>
      </c>
      <c r="K818" t="n">
        <v>37.55</v>
      </c>
      <c r="L818" t="n">
        <v>37</v>
      </c>
      <c r="M818" s="155" t="n">
        <v>0.12</v>
      </c>
      <c r="N818" t="inlineStr">
        <is>
          <t>推案集中於大台北地區建商，知名推案為皇翔御琚</t>
        </is>
      </c>
    </row>
    <row r="819">
      <c r="A819" t="n">
        <v>2546</v>
      </c>
      <c r="B819" t="inlineStr">
        <is>
          <t>根基</t>
        </is>
      </c>
      <c r="C819" t="n">
        <v>87.3</v>
      </c>
      <c r="D819" t="n">
        <v>86.8</v>
      </c>
      <c r="E819" s="730" t="n">
        <v>-0.5</v>
      </c>
      <c r="F819" s="731" t="n">
        <v>-0.57</v>
      </c>
      <c r="G819" t="inlineStr">
        <is>
          <t>1263萬</t>
        </is>
      </c>
      <c r="H819" t="n">
        <v>146</v>
      </c>
      <c r="I819" t="n">
        <v>167</v>
      </c>
      <c r="J819" t="n">
        <v>13.05</v>
      </c>
      <c r="K819" t="n">
        <v>87.59999999999999</v>
      </c>
      <c r="L819" t="n">
        <v>85.59999999999999</v>
      </c>
      <c r="M819" s="155" t="n">
        <v>0.11</v>
      </c>
      <c r="N819" t="inlineStr">
        <is>
          <t>冠德旗下，住宅及土木工程營造廠</t>
        </is>
      </c>
    </row>
    <row r="820">
      <c r="A820" t="n">
        <v>2547</v>
      </c>
      <c r="B820" t="inlineStr">
        <is>
          <t>日勝生</t>
        </is>
      </c>
      <c r="C820" t="n">
        <v>9.99</v>
      </c>
      <c r="D820" t="n">
        <v>10.25</v>
      </c>
      <c r="E820" s="730" t="n">
        <v>0.33</v>
      </c>
      <c r="F820" s="731" t="n">
        <v>3.33</v>
      </c>
      <c r="G820" t="inlineStr">
        <is>
          <t>6399萬</t>
        </is>
      </c>
      <c r="H820" t="n">
        <v>6317</v>
      </c>
      <c r="I820" t="n">
        <v>2281</v>
      </c>
      <c r="J820" t="n">
        <v>103.51</v>
      </c>
      <c r="K820" t="n">
        <v>10.35</v>
      </c>
      <c r="L820" t="n">
        <v>9.98</v>
      </c>
      <c r="M820" s="155" t="n">
        <v>0.61</v>
      </c>
      <c r="N820" t="inlineStr">
        <is>
          <t>以政府開發案起家，橫跨建築、百貨及觀光的中型建商</t>
        </is>
      </c>
    </row>
    <row r="821">
      <c r="A821" t="n">
        <v>2548</v>
      </c>
      <c r="B821" t="inlineStr">
        <is>
          <t>華固</t>
        </is>
      </c>
      <c r="C821" t="n">
        <v>113</v>
      </c>
      <c r="D821" t="n">
        <v>104.5</v>
      </c>
      <c r="E821" s="730" t="n">
        <v>-10</v>
      </c>
      <c r="F821" s="731" t="n">
        <v>-8.73</v>
      </c>
      <c r="G821" t="inlineStr">
        <is>
          <t>11.5億</t>
        </is>
      </c>
      <c r="H821" t="n">
        <v>10923</v>
      </c>
      <c r="I821" t="n">
        <v>3644</v>
      </c>
      <c r="J821" t="n">
        <v>31.97</v>
      </c>
      <c r="K821" t="n">
        <v>113</v>
      </c>
      <c r="L821" t="n">
        <v>103.5</v>
      </c>
      <c r="M821" s="155" t="n">
        <v>3.42</v>
      </c>
      <c r="N821" t="inlineStr">
        <is>
          <t>大台北地區中型建商，並轉向地上權開發</t>
        </is>
      </c>
    </row>
    <row r="822">
      <c r="A822" t="n">
        <v>2596</v>
      </c>
      <c r="B822" t="inlineStr">
        <is>
          <t>綠意</t>
        </is>
      </c>
      <c r="C822" t="n">
        <v>27.85</v>
      </c>
      <c r="D822" t="n">
        <v>29.05</v>
      </c>
      <c r="E822" s="730" t="n">
        <v>1.2</v>
      </c>
      <c r="F822" s="731" t="n">
        <v>4.31</v>
      </c>
      <c r="G822" t="inlineStr">
        <is>
          <t>730萬</t>
        </is>
      </c>
      <c r="H822" t="n">
        <v>256</v>
      </c>
      <c r="I822" t="n">
        <v>217</v>
      </c>
      <c r="J822" t="n">
        <v>10</v>
      </c>
      <c r="K822" t="n">
        <v>29.1</v>
      </c>
      <c r="L822" t="n">
        <v>27.65</v>
      </c>
      <c r="M822" s="155" t="n">
        <v>0.26</v>
      </c>
      <c r="N822" t="inlineStr">
        <is>
          <t>桃園及台北地區小型建商</t>
        </is>
      </c>
    </row>
    <row r="823">
      <c r="A823" t="n">
        <v>2597</v>
      </c>
      <c r="B823" t="inlineStr">
        <is>
          <t>潤弘</t>
        </is>
      </c>
      <c r="C823" t="n">
        <v>168</v>
      </c>
      <c r="D823" t="n">
        <v>173.5</v>
      </c>
      <c r="E823" s="730" t="n">
        <v>7</v>
      </c>
      <c r="F823" s="731" t="n">
        <v>4.2</v>
      </c>
      <c r="G823" t="inlineStr">
        <is>
          <t>6.74億</t>
        </is>
      </c>
      <c r="H823" t="n">
        <v>3863</v>
      </c>
      <c r="I823" t="n">
        <v>863</v>
      </c>
      <c r="J823" t="n">
        <v>31.07</v>
      </c>
      <c r="K823" t="n">
        <v>180</v>
      </c>
      <c r="L823" t="n">
        <v>166.5</v>
      </c>
      <c r="M823" s="155" t="n">
        <v>1.24</v>
      </c>
      <c r="N823" t="inlineStr">
        <is>
          <t>潤泰集團旗下，營造廠商</t>
        </is>
      </c>
    </row>
    <row r="824">
      <c r="A824" t="n">
        <v>2601</v>
      </c>
      <c r="B824" t="inlineStr">
        <is>
          <t>益航</t>
        </is>
      </c>
      <c r="C824" t="n">
        <v>6.33</v>
      </c>
      <c r="D824" t="n">
        <v>6.33</v>
      </c>
      <c r="E824" s="730" t="n">
        <v>0.57</v>
      </c>
      <c r="F824" s="731" t="n">
        <v>9.9</v>
      </c>
      <c r="G824" t="inlineStr">
        <is>
          <t>3961萬</t>
        </is>
      </c>
      <c r="H824" t="n">
        <v>6259</v>
      </c>
      <c r="I824" t="n">
        <v>3391</v>
      </c>
      <c r="J824" t="n">
        <v>82.48</v>
      </c>
      <c r="K824" t="n">
        <v>6.33</v>
      </c>
      <c r="L824" t="n">
        <v>6.27</v>
      </c>
      <c r="M824" s="155" t="n">
        <v>0.76</v>
      </c>
      <c r="N824" t="inlineStr">
        <is>
          <t>從事散裝航運，在大陸持有大洋百貨</t>
        </is>
      </c>
    </row>
    <row r="825">
      <c r="A825" t="n">
        <v>2603</v>
      </c>
      <c r="B825" t="inlineStr">
        <is>
          <t>長榮</t>
        </is>
      </c>
      <c r="C825" t="n">
        <v>225</v>
      </c>
      <c r="D825" t="n">
        <v>231</v>
      </c>
      <c r="E825" s="730" t="n">
        <v>7</v>
      </c>
      <c r="F825" s="731" t="n">
        <v>3.13</v>
      </c>
      <c r="G825" t="inlineStr">
        <is>
          <t>80.1億</t>
        </is>
      </c>
      <c r="H825" t="n">
        <v>35246</v>
      </c>
      <c r="I825" t="n">
        <v>31670</v>
      </c>
      <c r="J825" t="n">
        <v>216.5</v>
      </c>
      <c r="K825" t="n">
        <v>231</v>
      </c>
      <c r="L825" t="n">
        <v>220.5</v>
      </c>
      <c r="M825" s="155" t="n">
        <v>1.63</v>
      </c>
      <c r="N825" t="inlineStr">
        <is>
          <t>全球前七大貨櫃航商，且為台灣最大</t>
        </is>
      </c>
    </row>
    <row r="826">
      <c r="A826" t="n">
        <v>2605</v>
      </c>
      <c r="B826" t="inlineStr">
        <is>
          <t>新興</t>
        </is>
      </c>
      <c r="C826" t="n">
        <v>33.2</v>
      </c>
      <c r="D826" t="n">
        <v>33.2</v>
      </c>
      <c r="E826" s="730" t="n">
        <v>0</v>
      </c>
      <c r="F826" s="731" t="n">
        <v>0</v>
      </c>
      <c r="G826" t="inlineStr">
        <is>
          <t>2.69億</t>
        </is>
      </c>
      <c r="H826" t="n">
        <v>8205</v>
      </c>
      <c r="I826" t="n">
        <v>7773</v>
      </c>
      <c r="J826" t="n">
        <v>58.54</v>
      </c>
      <c r="K826" t="n">
        <v>33.6</v>
      </c>
      <c r="L826" t="n">
        <v>32.25</v>
      </c>
      <c r="M826" s="155" t="n">
        <v>1.4</v>
      </c>
      <c r="N826" t="inlineStr">
        <is>
          <t>台灣前四大散裝船商</t>
        </is>
      </c>
    </row>
    <row r="827">
      <c r="A827" t="n">
        <v>2606</v>
      </c>
      <c r="B827" t="inlineStr">
        <is>
          <t>裕民</t>
        </is>
      </c>
      <c r="C827" t="n">
        <v>72</v>
      </c>
      <c r="D827" t="n">
        <v>72</v>
      </c>
      <c r="E827" s="730" t="n">
        <v>0.1</v>
      </c>
      <c r="F827" s="731" t="n">
        <v>0.14</v>
      </c>
      <c r="G827" t="inlineStr">
        <is>
          <t>4.16億</t>
        </is>
      </c>
      <c r="H827" t="n">
        <v>5832</v>
      </c>
      <c r="I827" t="n">
        <v>9099</v>
      </c>
      <c r="J827" t="n">
        <v>84.51000000000001</v>
      </c>
      <c r="K827" t="n">
        <v>72</v>
      </c>
      <c r="L827" t="n">
        <v>69.7</v>
      </c>
      <c r="M827" s="155" t="n">
        <v>0.6899999999999999</v>
      </c>
      <c r="N827" t="inlineStr">
        <is>
          <t>台灣最大散裝航運公司之一</t>
        </is>
      </c>
    </row>
    <row r="828">
      <c r="A828" t="n">
        <v>2607</v>
      </c>
      <c r="B828" t="inlineStr">
        <is>
          <t>榮運</t>
        </is>
      </c>
      <c r="C828" t="n">
        <v>48.45</v>
      </c>
      <c r="D828" t="n">
        <v>48.65</v>
      </c>
      <c r="E828" s="730" t="n">
        <v>0.1</v>
      </c>
      <c r="F828" s="731" t="n">
        <v>0.21</v>
      </c>
      <c r="G828" t="inlineStr">
        <is>
          <t>2277萬</t>
        </is>
      </c>
      <c r="H828" t="n">
        <v>469</v>
      </c>
      <c r="I828" t="n">
        <v>890</v>
      </c>
      <c r="J828" t="n">
        <v>53.36</v>
      </c>
      <c r="K828" t="n">
        <v>48.75</v>
      </c>
      <c r="L828" t="n">
        <v>48.1</v>
      </c>
      <c r="M828" s="155" t="n">
        <v>0.09</v>
      </c>
      <c r="N828" t="inlineStr">
        <is>
          <t>長榮集團旗之內陸貨櫃運輸及倉儲服務業者</t>
        </is>
      </c>
    </row>
    <row r="829">
      <c r="A829" t="n">
        <v>2608</v>
      </c>
      <c r="B829" t="inlineStr">
        <is>
          <t>嘉里大榮</t>
        </is>
      </c>
      <c r="C829" t="n">
        <v>29.4</v>
      </c>
      <c r="D829" t="n">
        <v>29.75</v>
      </c>
      <c r="E829" s="730" t="n">
        <v>0.35</v>
      </c>
      <c r="F829" s="731" t="n">
        <v>1.19</v>
      </c>
      <c r="G829" t="inlineStr">
        <is>
          <t>1169萬</t>
        </is>
      </c>
      <c r="H829" t="n">
        <v>396</v>
      </c>
      <c r="I829" t="n">
        <v>685</v>
      </c>
      <c r="J829" t="n">
        <v>46.7</v>
      </c>
      <c r="K829" t="n">
        <v>29.75</v>
      </c>
      <c r="L829" t="n">
        <v>29.3</v>
      </c>
      <c r="M829" s="155" t="n">
        <v>0.08</v>
      </c>
      <c r="N829" t="inlineStr">
        <is>
          <t>台灣大型物流貨運公司，港資嘉里物流為最大股東</t>
        </is>
      </c>
    </row>
    <row r="830">
      <c r="A830" t="n">
        <v>2609</v>
      </c>
      <c r="B830" t="inlineStr">
        <is>
          <t>陽明</t>
        </is>
      </c>
      <c r="C830" t="n">
        <v>55</v>
      </c>
      <c r="D830" t="n">
        <v>53.6</v>
      </c>
      <c r="E830" s="730" t="n">
        <v>-1.3</v>
      </c>
      <c r="F830" s="731" t="n">
        <v>-2.37</v>
      </c>
      <c r="G830" t="inlineStr">
        <is>
          <t>38.3億</t>
        </is>
      </c>
      <c r="H830" t="n">
        <v>71639</v>
      </c>
      <c r="I830" t="n">
        <v>29079</v>
      </c>
      <c r="J830" t="n">
        <v>349.21</v>
      </c>
      <c r="K830" t="n">
        <v>55</v>
      </c>
      <c r="L830" t="n">
        <v>52.9</v>
      </c>
      <c r="M830" s="155" t="n">
        <v>2.05</v>
      </c>
      <c r="N830" t="inlineStr">
        <is>
          <t>台灣第二大貨櫃海運公司</t>
        </is>
      </c>
    </row>
    <row r="831">
      <c r="A831" t="n">
        <v>2610</v>
      </c>
      <c r="B831" t="inlineStr">
        <is>
          <t>華航</t>
        </is>
      </c>
      <c r="C831" t="n">
        <v>19.5</v>
      </c>
      <c r="D831" t="n">
        <v>19.5</v>
      </c>
      <c r="E831" s="730" t="n">
        <v>-0.05</v>
      </c>
      <c r="F831" s="731" t="n">
        <v>-0.26</v>
      </c>
      <c r="G831" t="inlineStr">
        <is>
          <t>9.16億</t>
        </is>
      </c>
      <c r="H831" t="n">
        <v>47384</v>
      </c>
      <c r="I831" t="n">
        <v>107225</v>
      </c>
      <c r="J831" t="n">
        <v>614.5</v>
      </c>
      <c r="K831" t="n">
        <v>19.5</v>
      </c>
      <c r="L831" t="n">
        <v>19.15</v>
      </c>
      <c r="M831" s="155" t="n">
        <v>0.78</v>
      </c>
      <c r="N831" t="inlineStr">
        <is>
          <t>台灣前兩大航空公司</t>
        </is>
      </c>
    </row>
    <row r="832">
      <c r="A832" t="n">
        <v>2611</v>
      </c>
      <c r="B832" t="inlineStr">
        <is>
          <t>志信</t>
        </is>
      </c>
      <c r="C832" t="n">
        <v>13.9</v>
      </c>
      <c r="D832" t="n">
        <v>13.6</v>
      </c>
      <c r="E832" s="730" t="n">
        <v>-0.05</v>
      </c>
      <c r="F832" s="731" t="n">
        <v>-0.37</v>
      </c>
      <c r="G832" t="inlineStr">
        <is>
          <t>999萬</t>
        </is>
      </c>
      <c r="H832" t="n">
        <v>740</v>
      </c>
      <c r="I832" t="n">
        <v>635</v>
      </c>
      <c r="J832" t="n">
        <v>18.9</v>
      </c>
      <c r="K832" t="n">
        <v>13.9</v>
      </c>
      <c r="L832" t="n">
        <v>13.35</v>
      </c>
      <c r="M832" s="155" t="n">
        <v>0.39</v>
      </c>
      <c r="N832" t="inlineStr">
        <is>
          <t>多角化經營陸運、加油站、營建、飯店業務</t>
        </is>
      </c>
    </row>
    <row r="833">
      <c r="A833" t="n">
        <v>2612</v>
      </c>
      <c r="B833" t="inlineStr">
        <is>
          <t>中航</t>
        </is>
      </c>
      <c r="C833" t="n">
        <v>57</v>
      </c>
      <c r="D833" t="n">
        <v>56.6</v>
      </c>
      <c r="E833" s="730" t="n">
        <v>-0.7</v>
      </c>
      <c r="F833" s="731" t="n">
        <v>-1.22</v>
      </c>
      <c r="G833" t="inlineStr">
        <is>
          <t>3342萬</t>
        </is>
      </c>
      <c r="H833" t="n">
        <v>593</v>
      </c>
      <c r="I833" t="n">
        <v>1016</v>
      </c>
      <c r="J833" t="n">
        <v>19.75</v>
      </c>
      <c r="K833" t="n">
        <v>57.2</v>
      </c>
      <c r="L833" t="n">
        <v>55.9</v>
      </c>
      <c r="M833" s="155" t="n">
        <v>0.3</v>
      </c>
      <c r="N833" t="inlineStr">
        <is>
          <t>台灣散裝航運業者，且是具規模的貨櫃運輸業者</t>
        </is>
      </c>
    </row>
    <row r="834">
      <c r="A834" t="n">
        <v>2613</v>
      </c>
      <c r="B834" t="inlineStr">
        <is>
          <t>中櫃</t>
        </is>
      </c>
      <c r="C834" t="n">
        <v>22.8</v>
      </c>
      <c r="D834" t="n">
        <v>22.5</v>
      </c>
      <c r="E834" s="730" t="n">
        <v>-0.3</v>
      </c>
      <c r="F834" s="731" t="n">
        <v>-1.32</v>
      </c>
      <c r="G834" t="inlineStr">
        <is>
          <t>1185萬</t>
        </is>
      </c>
      <c r="H834" t="n">
        <v>529</v>
      </c>
      <c r="I834" t="n">
        <v>539</v>
      </c>
      <c r="J834" t="n">
        <v>14.84</v>
      </c>
      <c r="K834" t="n">
        <v>22.8</v>
      </c>
      <c r="L834" t="n">
        <v>22.15</v>
      </c>
      <c r="M834" s="155" t="n">
        <v>0.36</v>
      </c>
      <c r="N834" t="inlineStr">
        <is>
          <t>在台灣北、中、南擁有貨櫃集散場之公司</t>
        </is>
      </c>
    </row>
    <row r="835">
      <c r="A835" t="n">
        <v>2614</v>
      </c>
      <c r="B835" t="inlineStr">
        <is>
          <t>東森</t>
        </is>
      </c>
      <c r="C835" t="n">
        <v>18.75</v>
      </c>
      <c r="D835" t="n">
        <v>18.45</v>
      </c>
      <c r="E835" s="730" t="n">
        <v>-0.25</v>
      </c>
      <c r="F835" s="731" t="n">
        <v>-1.34</v>
      </c>
      <c r="G835" t="inlineStr">
        <is>
          <t>1872萬</t>
        </is>
      </c>
      <c r="H835" t="n">
        <v>1016</v>
      </c>
      <c r="I835" t="n">
        <v>1060</v>
      </c>
      <c r="J835" t="n">
        <v>32.73</v>
      </c>
      <c r="K835" t="n">
        <v>18.75</v>
      </c>
      <c r="L835" t="n">
        <v>18.3</v>
      </c>
      <c r="M835" s="155" t="n">
        <v>0.31</v>
      </c>
      <c r="N835" t="inlineStr">
        <is>
          <t>主要從事寵物用品通路、新聞網站、倉儲業務</t>
        </is>
      </c>
    </row>
    <row r="836">
      <c r="A836" t="n">
        <v>2615</v>
      </c>
      <c r="B836" t="inlineStr">
        <is>
          <t>萬海</t>
        </is>
      </c>
      <c r="C836" t="n">
        <v>84.5</v>
      </c>
      <c r="D836" t="n">
        <v>84.2</v>
      </c>
      <c r="E836" s="730" t="n">
        <v>-0.2</v>
      </c>
      <c r="F836" s="731" t="n">
        <v>-0.24</v>
      </c>
      <c r="G836" t="inlineStr">
        <is>
          <t>9.32億</t>
        </is>
      </c>
      <c r="H836" t="n">
        <v>11164</v>
      </c>
      <c r="I836" t="n">
        <v>10883</v>
      </c>
      <c r="J836" t="n">
        <v>280.61</v>
      </c>
      <c r="K836" t="n">
        <v>84.90000000000001</v>
      </c>
      <c r="L836" t="n">
        <v>82.5</v>
      </c>
      <c r="M836" s="155" t="n">
        <v>0.4</v>
      </c>
      <c r="N836" t="inlineStr">
        <is>
          <t>亞洲大型貨櫃輪航商</t>
        </is>
      </c>
    </row>
    <row r="837">
      <c r="A837" t="n">
        <v>2616</v>
      </c>
      <c r="B837" t="inlineStr">
        <is>
          <t>山隆</t>
        </is>
      </c>
      <c r="C837" t="n">
        <v>13.8</v>
      </c>
      <c r="D837" t="n">
        <v>13.6</v>
      </c>
      <c r="E837" s="730" t="n">
        <v>-0.05</v>
      </c>
      <c r="F837" s="731" t="n">
        <v>-0.37</v>
      </c>
      <c r="G837" t="inlineStr">
        <is>
          <t>571萬</t>
        </is>
      </c>
      <c r="H837" t="n">
        <v>422</v>
      </c>
      <c r="I837" t="n">
        <v>464</v>
      </c>
      <c r="J837" t="n">
        <v>13.73</v>
      </c>
      <c r="K837" t="n">
        <v>13.8</v>
      </c>
      <c r="L837" t="n">
        <v>13.4</v>
      </c>
      <c r="M837" s="155" t="n">
        <v>0.31</v>
      </c>
      <c r="N837" t="inlineStr">
        <is>
          <t>台灣知名加油站運營商</t>
        </is>
      </c>
    </row>
    <row r="838">
      <c r="A838" t="n">
        <v>2617</v>
      </c>
      <c r="B838" t="inlineStr">
        <is>
          <t>台航</t>
        </is>
      </c>
      <c r="C838" t="n">
        <v>29.7</v>
      </c>
      <c r="D838" t="n">
        <v>29.5</v>
      </c>
      <c r="E838" s="730" t="n">
        <v>-0.15</v>
      </c>
      <c r="F838" s="731" t="n">
        <v>-0.51</v>
      </c>
      <c r="G838" t="inlineStr">
        <is>
          <t>2709萬</t>
        </is>
      </c>
      <c r="H838" t="n">
        <v>923</v>
      </c>
      <c r="I838" t="n">
        <v>928</v>
      </c>
      <c r="J838" t="n">
        <v>41.73</v>
      </c>
      <c r="K838" t="n">
        <v>29.7</v>
      </c>
      <c r="L838" t="n">
        <v>29.15</v>
      </c>
      <c r="M838" s="155" t="n">
        <v>0.22</v>
      </c>
      <c r="N838" t="inlineStr">
        <is>
          <t>主營散裝航運，兼營客貨輪與特種船舶代營</t>
        </is>
      </c>
    </row>
    <row r="839">
      <c r="A839" t="n">
        <v>2618</v>
      </c>
      <c r="B839" t="inlineStr">
        <is>
          <t>長榮航</t>
        </is>
      </c>
      <c r="C839" t="n">
        <v>37.4</v>
      </c>
      <c r="D839" t="n">
        <v>37.25</v>
      </c>
      <c r="E839" s="730" t="n">
        <v>-0.45</v>
      </c>
      <c r="F839" s="731" t="n">
        <v>-1.19</v>
      </c>
      <c r="G839" t="inlineStr">
        <is>
          <t>31.5億</t>
        </is>
      </c>
      <c r="H839" t="n">
        <v>84233</v>
      </c>
      <c r="I839" t="n">
        <v>85265</v>
      </c>
      <c r="J839" t="n">
        <v>540.04</v>
      </c>
      <c r="K839" t="n">
        <v>37.8</v>
      </c>
      <c r="L839" t="n">
        <v>36.65</v>
      </c>
      <c r="M839" s="155" t="n">
        <v>1.56</v>
      </c>
      <c r="N839" t="inlineStr">
        <is>
          <t>台灣前兩大航空公司</t>
        </is>
      </c>
    </row>
    <row r="840">
      <c r="A840" t="n">
        <v>2630</v>
      </c>
      <c r="B840" t="inlineStr">
        <is>
          <t>亞航</t>
        </is>
      </c>
      <c r="C840" t="n">
        <v>44.05</v>
      </c>
      <c r="D840" t="n">
        <v>42.85</v>
      </c>
      <c r="E840" s="730" t="n">
        <v>-0.85</v>
      </c>
      <c r="F840" s="731" t="n">
        <v>-1.95</v>
      </c>
      <c r="G840" t="inlineStr">
        <is>
          <t>4021萬</t>
        </is>
      </c>
      <c r="H840" t="n">
        <v>937</v>
      </c>
      <c r="I840" t="n">
        <v>1230</v>
      </c>
      <c r="J840" t="n">
        <v>20.94</v>
      </c>
      <c r="K840" t="n">
        <v>44.05</v>
      </c>
      <c r="L840" t="n">
        <v>42.55</v>
      </c>
      <c r="M840" s="155" t="n">
        <v>0.45</v>
      </c>
      <c r="N840" t="inlineStr">
        <is>
          <t>台灣專業航空器修護公司</t>
        </is>
      </c>
    </row>
    <row r="841">
      <c r="A841" t="n">
        <v>2633</v>
      </c>
      <c r="B841" t="inlineStr">
        <is>
          <t>台灣高鐵</t>
        </is>
      </c>
      <c r="C841" t="n">
        <v>25</v>
      </c>
      <c r="D841" t="n">
        <v>25.3</v>
      </c>
      <c r="E841" s="730" t="n">
        <v>0.2</v>
      </c>
      <c r="F841" s="731" t="n">
        <v>0.8</v>
      </c>
      <c r="G841" t="inlineStr">
        <is>
          <t>3.88億</t>
        </is>
      </c>
      <c r="H841" t="n">
        <v>15355</v>
      </c>
      <c r="I841" t="n">
        <v>57903</v>
      </c>
      <c r="J841" t="n">
        <v>562.83</v>
      </c>
      <c r="K841" t="n">
        <v>25.5</v>
      </c>
      <c r="L841" t="n">
        <v>25</v>
      </c>
      <c r="M841" s="155" t="n">
        <v>0.58</v>
      </c>
      <c r="N841" t="inlineStr">
        <is>
          <t>台灣高速鐵路運輸服務公司</t>
        </is>
      </c>
    </row>
    <row r="842">
      <c r="A842" t="n">
        <v>2634</v>
      </c>
      <c r="B842" t="inlineStr">
        <is>
          <t>漢翔</t>
        </is>
      </c>
      <c r="C842" t="n">
        <v>48.15</v>
      </c>
      <c r="D842" t="n">
        <v>47.2</v>
      </c>
      <c r="E842" s="730" t="n">
        <v>-0.55</v>
      </c>
      <c r="F842" s="731" t="n">
        <v>-1.15</v>
      </c>
      <c r="G842" t="inlineStr">
        <is>
          <t>2.09億</t>
        </is>
      </c>
      <c r="H842" t="n">
        <v>4457</v>
      </c>
      <c r="I842" t="n">
        <v>5862</v>
      </c>
      <c r="J842" t="n">
        <v>94.19</v>
      </c>
      <c r="K842" t="n">
        <v>48.2</v>
      </c>
      <c r="L842" t="n">
        <v>46.95</v>
      </c>
      <c r="M842" s="155" t="n">
        <v>0.47</v>
      </c>
      <c r="N842" t="inlineStr">
        <is>
          <t>台灣航太產業領導者</t>
        </is>
      </c>
    </row>
    <row r="843">
      <c r="A843" t="n">
        <v>2636</v>
      </c>
      <c r="B843" t="inlineStr">
        <is>
          <t>台驊控股</t>
        </is>
      </c>
      <c r="C843" t="n">
        <v>69.5</v>
      </c>
      <c r="D843" t="n">
        <v>69.8</v>
      </c>
      <c r="E843" s="730" t="n">
        <v>0</v>
      </c>
      <c r="F843" s="731" t="n">
        <v>0</v>
      </c>
      <c r="G843" t="inlineStr">
        <is>
          <t>4194萬</t>
        </is>
      </c>
      <c r="H843" t="n">
        <v>605</v>
      </c>
      <c r="I843" t="n">
        <v>545</v>
      </c>
      <c r="J843" t="n">
        <v>14.18</v>
      </c>
      <c r="K843" t="n">
        <v>70</v>
      </c>
      <c r="L843" t="n">
        <v>68.59999999999999</v>
      </c>
      <c r="M843" s="155" t="n">
        <v>0.43</v>
      </c>
      <c r="N843" t="inlineStr">
        <is>
          <t>台灣第一家海運承攬上市公司，為物流控股公司</t>
        </is>
      </c>
    </row>
    <row r="844">
      <c r="A844" t="n">
        <v>2637</v>
      </c>
      <c r="B844" t="inlineStr">
        <is>
          <t>慧洋-KY</t>
        </is>
      </c>
      <c r="C844" t="n">
        <v>78.7</v>
      </c>
      <c r="D844" t="n">
        <v>77</v>
      </c>
      <c r="E844" s="730" t="n">
        <v>-1.8</v>
      </c>
      <c r="F844" s="731" t="n">
        <v>-2.28</v>
      </c>
      <c r="G844" t="inlineStr">
        <is>
          <t>4.07億</t>
        </is>
      </c>
      <c r="H844" t="n">
        <v>5326</v>
      </c>
      <c r="I844" t="n">
        <v>4539</v>
      </c>
      <c r="J844" t="n">
        <v>74.64</v>
      </c>
      <c r="K844" t="n">
        <v>78.7</v>
      </c>
      <c r="L844" t="n">
        <v>75.59999999999999</v>
      </c>
      <c r="M844" s="155" t="n">
        <v>0.71</v>
      </c>
      <c r="N844" t="inlineStr">
        <is>
          <t>台灣具規模的散裝船隊船東之一</t>
        </is>
      </c>
    </row>
    <row r="845">
      <c r="A845" t="n">
        <v>2640</v>
      </c>
      <c r="B845" t="inlineStr">
        <is>
          <t>大車隊</t>
        </is>
      </c>
      <c r="C845" t="n">
        <v>159.5</v>
      </c>
      <c r="D845" t="n">
        <v>157</v>
      </c>
      <c r="E845" s="730" t="n">
        <v>-3.5</v>
      </c>
      <c r="F845" s="731" t="n">
        <v>-2.18</v>
      </c>
      <c r="G845" t="inlineStr">
        <is>
          <t>555萬</t>
        </is>
      </c>
      <c r="H845" t="n">
        <v>35</v>
      </c>
      <c r="I845" t="n">
        <v>34</v>
      </c>
      <c r="J845" t="n">
        <v>5.93</v>
      </c>
      <c r="K845" t="n">
        <v>160</v>
      </c>
      <c r="L845" t="n">
        <v>157</v>
      </c>
      <c r="M845" s="155" t="n">
        <v>0.06</v>
      </c>
      <c r="N845" t="inlineStr">
        <is>
          <t>台灣計程車車隊龍頭企業</t>
        </is>
      </c>
    </row>
    <row r="846">
      <c r="A846" t="n">
        <v>2641</v>
      </c>
      <c r="B846" t="inlineStr">
        <is>
          <t>正德</t>
        </is>
      </c>
      <c r="C846" t="n">
        <v>19.05</v>
      </c>
      <c r="D846" t="n">
        <v>19.7</v>
      </c>
      <c r="E846" s="730" t="n">
        <v>0.35</v>
      </c>
      <c r="F846" s="731" t="n">
        <v>1.81</v>
      </c>
      <c r="G846" t="inlineStr">
        <is>
          <t>2.96億</t>
        </is>
      </c>
      <c r="H846" t="n">
        <v>15325</v>
      </c>
      <c r="I846" t="n">
        <v>4708</v>
      </c>
      <c r="J846" t="n">
        <v>33.03</v>
      </c>
      <c r="K846" t="n">
        <v>19.7</v>
      </c>
      <c r="L846" t="n">
        <v>18.85</v>
      </c>
      <c r="M846" s="155" t="n">
        <v>4.64</v>
      </c>
      <c r="N846" t="inlineStr">
        <is>
          <t>以亞洲近洋航線為主力之散裝航運業者</t>
        </is>
      </c>
    </row>
    <row r="847">
      <c r="A847" t="n">
        <v>2642</v>
      </c>
      <c r="B847" t="inlineStr">
        <is>
          <t>宅配通</t>
        </is>
      </c>
      <c r="C847" t="n">
        <v>21.5</v>
      </c>
      <c r="D847" t="n">
        <v>20.95</v>
      </c>
      <c r="E847" s="730" t="n">
        <v>0</v>
      </c>
      <c r="F847" s="731" t="n">
        <v>0</v>
      </c>
      <c r="G847" t="inlineStr">
        <is>
          <t>309萬</t>
        </is>
      </c>
      <c r="H847" t="n">
        <v>149</v>
      </c>
      <c r="I847" t="n">
        <v>189</v>
      </c>
      <c r="J847" t="n">
        <v>9.550000000000001</v>
      </c>
      <c r="K847" t="n">
        <v>21.5</v>
      </c>
      <c r="L847" t="n">
        <v>20.85</v>
      </c>
      <c r="M847" s="155" t="n">
        <v>0.16</v>
      </c>
      <c r="N847" t="inlineStr">
        <is>
          <t>東元與日本通運合資成立的宅配服務業者</t>
        </is>
      </c>
    </row>
    <row r="848">
      <c r="A848" t="n">
        <v>2643</v>
      </c>
      <c r="B848" t="inlineStr">
        <is>
          <t>捷迅</t>
        </is>
      </c>
      <c r="C848" t="n">
        <v>66.40000000000001</v>
      </c>
      <c r="D848" t="n">
        <v>66.40000000000001</v>
      </c>
      <c r="E848" s="730" t="n">
        <v>-0.5</v>
      </c>
      <c r="F848" s="731" t="n">
        <v>-0.75</v>
      </c>
      <c r="G848" t="inlineStr">
        <is>
          <t>324萬</t>
        </is>
      </c>
      <c r="H848" t="n">
        <v>49</v>
      </c>
      <c r="I848" t="n">
        <v>54</v>
      </c>
      <c r="J848" t="n">
        <v>3.5</v>
      </c>
      <c r="K848" t="n">
        <v>66.8</v>
      </c>
      <c r="L848" t="n">
        <v>65.90000000000001</v>
      </c>
      <c r="M848" s="155" t="n">
        <v>0.14</v>
      </c>
      <c r="N848" t="inlineStr">
        <is>
          <t>台灣承攬航空貨運、海運與報關業務之物流業者</t>
        </is>
      </c>
    </row>
    <row r="849">
      <c r="A849" t="n">
        <v>2645</v>
      </c>
      <c r="B849" t="inlineStr">
        <is>
          <t>長榮航太</t>
        </is>
      </c>
      <c r="C849" t="n">
        <v>172</v>
      </c>
      <c r="D849" t="n">
        <v>166</v>
      </c>
      <c r="E849" s="730" t="n">
        <v>-6.5</v>
      </c>
      <c r="F849" s="731" t="n">
        <v>-3.77</v>
      </c>
      <c r="G849" t="inlineStr">
        <is>
          <t>3.41億</t>
        </is>
      </c>
      <c r="H849" t="n">
        <v>2040</v>
      </c>
      <c r="I849" t="n">
        <v>2125</v>
      </c>
      <c r="J849" t="n">
        <v>37.46</v>
      </c>
      <c r="K849" t="n">
        <v>172</v>
      </c>
      <c r="L849" t="n">
        <v>164</v>
      </c>
      <c r="M849" s="155" t="n">
        <v>0.54</v>
      </c>
      <c r="N849" t="inlineStr">
        <is>
          <t>長榮航旗下，全球十大飛機維修公司之一</t>
        </is>
      </c>
    </row>
    <row r="850">
      <c r="A850" t="n">
        <v>2646</v>
      </c>
      <c r="B850" t="inlineStr">
        <is>
          <t>星宇航空</t>
        </is>
      </c>
      <c r="C850" t="n">
        <v>20.7</v>
      </c>
      <c r="D850" t="n">
        <v>20.9</v>
      </c>
      <c r="E850" s="730" t="n">
        <v>0.2</v>
      </c>
      <c r="F850" s="731" t="n">
        <v>0.97</v>
      </c>
      <c r="G850" t="inlineStr">
        <is>
          <t>2.05億</t>
        </is>
      </c>
      <c r="H850" t="n">
        <v>9892</v>
      </c>
      <c r="I850" t="n">
        <v>7948</v>
      </c>
      <c r="J850" t="n">
        <v>300.87</v>
      </c>
      <c r="K850" t="n">
        <v>21</v>
      </c>
      <c r="L850" t="n">
        <v>20.45</v>
      </c>
      <c r="M850" s="155" t="n">
        <v>0.33</v>
      </c>
      <c r="N850" t="inlineStr">
        <is>
          <t>主要提供國際間客、貨運輸服務</t>
        </is>
      </c>
    </row>
    <row r="851">
      <c r="A851" t="n">
        <v>2701</v>
      </c>
      <c r="B851" t="inlineStr">
        <is>
          <t>萬企</t>
        </is>
      </c>
      <c r="C851" t="n">
        <v>10.3</v>
      </c>
      <c r="D851" t="n">
        <v>10.25</v>
      </c>
      <c r="E851" s="730" t="n">
        <v>-0.05</v>
      </c>
      <c r="F851" s="731" t="n">
        <v>-0.49</v>
      </c>
      <c r="G851" t="inlineStr">
        <is>
          <t>57.7萬</t>
        </is>
      </c>
      <c r="H851" t="n">
        <v>56</v>
      </c>
      <c r="I851" t="n">
        <v>156</v>
      </c>
      <c r="J851" t="n">
        <v>45</v>
      </c>
      <c r="K851" t="n">
        <v>10.35</v>
      </c>
      <c r="L851" t="n">
        <v>10.25</v>
      </c>
      <c r="M851" s="155" t="n">
        <v>0.01</v>
      </c>
      <c r="N851" t="inlineStr">
        <is>
          <t>經營商場租賃、電影院及遊樂場業務</t>
        </is>
      </c>
    </row>
    <row r="852">
      <c r="A852" t="n">
        <v>2702</v>
      </c>
      <c r="B852" t="inlineStr">
        <is>
          <t>華園</t>
        </is>
      </c>
      <c r="C852" t="n">
        <v>13.5</v>
      </c>
      <c r="D852" t="n">
        <v>13.2</v>
      </c>
      <c r="E852" s="730" t="n">
        <v>-0.3</v>
      </c>
      <c r="F852" s="731" t="n">
        <v>-2.22</v>
      </c>
      <c r="G852" t="inlineStr">
        <is>
          <t>95.6萬</t>
        </is>
      </c>
      <c r="H852" t="n">
        <v>72</v>
      </c>
      <c r="I852" t="n">
        <v>106</v>
      </c>
      <c r="J852" t="n">
        <v>15.66</v>
      </c>
      <c r="K852" t="n">
        <v>13.5</v>
      </c>
      <c r="L852" t="n">
        <v>13.1</v>
      </c>
      <c r="M852" s="155" t="n">
        <v>0.05</v>
      </c>
      <c r="N852" t="inlineStr">
        <is>
          <t>位於高雄六合夜市及愛河中心點的國際觀光飯店</t>
        </is>
      </c>
    </row>
    <row r="853">
      <c r="A853" t="n">
        <v>2704</v>
      </c>
      <c r="B853" t="inlineStr">
        <is>
          <t>國賓</t>
        </is>
      </c>
      <c r="C853" t="n">
        <v>42.3</v>
      </c>
      <c r="D853" t="n">
        <v>42.4</v>
      </c>
      <c r="E853" s="730" t="n">
        <v>0.1</v>
      </c>
      <c r="F853" s="731" t="n">
        <v>0.24</v>
      </c>
      <c r="G853" t="inlineStr">
        <is>
          <t>588萬</t>
        </is>
      </c>
      <c r="H853" t="n">
        <v>139</v>
      </c>
      <c r="I853" t="n">
        <v>139</v>
      </c>
      <c r="J853" t="n">
        <v>36.69</v>
      </c>
      <c r="K853" t="n">
        <v>42.55</v>
      </c>
      <c r="L853" t="n">
        <v>42.15</v>
      </c>
      <c r="M853" s="155" t="n">
        <v>0.04</v>
      </c>
      <c r="N853" t="inlineStr">
        <is>
          <t>知名飯店及米其林餐廳業者</t>
        </is>
      </c>
    </row>
    <row r="854">
      <c r="A854" t="n">
        <v>2705</v>
      </c>
      <c r="B854" t="inlineStr">
        <is>
          <t>六福</t>
        </is>
      </c>
      <c r="C854" t="n">
        <v>15.35</v>
      </c>
      <c r="D854" t="n">
        <v>15.4</v>
      </c>
      <c r="E854" s="730" t="n">
        <v>0.1</v>
      </c>
      <c r="F854" s="731" t="n">
        <v>0.65</v>
      </c>
      <c r="G854" t="inlineStr">
        <is>
          <t>239萬</t>
        </is>
      </c>
      <c r="H854" t="n">
        <v>157</v>
      </c>
      <c r="I854" t="n">
        <v>987</v>
      </c>
      <c r="J854" t="n">
        <v>19.13</v>
      </c>
      <c r="K854" t="n">
        <v>15.4</v>
      </c>
      <c r="L854" t="n">
        <v>15.2</v>
      </c>
      <c r="M854" s="155" t="n">
        <v>0.08</v>
      </c>
      <c r="N854" t="inlineStr">
        <is>
          <t>集團旗下擁有遊樂園、渡假飯店及五星級飯店</t>
        </is>
      </c>
    </row>
    <row r="855">
      <c r="A855" t="n">
        <v>2706</v>
      </c>
      <c r="B855" t="inlineStr">
        <is>
          <t>第一店</t>
        </is>
      </c>
      <c r="C855" t="n">
        <v>12</v>
      </c>
      <c r="D855" t="n">
        <v>12</v>
      </c>
      <c r="E855" s="730" t="n">
        <v>0.1</v>
      </c>
      <c r="F855" s="731" t="n">
        <v>0.84</v>
      </c>
      <c r="G855" t="inlineStr">
        <is>
          <t>259萬</t>
        </is>
      </c>
      <c r="H855" t="n">
        <v>217</v>
      </c>
      <c r="I855" t="n">
        <v>171</v>
      </c>
      <c r="J855" t="n">
        <v>50</v>
      </c>
      <c r="K855" t="n">
        <v>12.05</v>
      </c>
      <c r="L855" t="n">
        <v>11.8</v>
      </c>
      <c r="M855" s="155" t="n">
        <v>0.04</v>
      </c>
      <c r="N855" t="inlineStr">
        <is>
          <t>位於台北市南京東路精華地帶之飯店</t>
        </is>
      </c>
    </row>
    <row r="856">
      <c r="A856" t="n">
        <v>2707</v>
      </c>
      <c r="B856" t="inlineStr">
        <is>
          <t>晶華</t>
        </is>
      </c>
      <c r="C856" t="n">
        <v>173.5</v>
      </c>
      <c r="D856" t="n">
        <v>174.5</v>
      </c>
      <c r="E856" s="730" t="n">
        <v>1</v>
      </c>
      <c r="F856" s="731" t="n">
        <v>0.58</v>
      </c>
      <c r="G856" t="inlineStr">
        <is>
          <t>4229萬</t>
        </is>
      </c>
      <c r="H856" t="n">
        <v>243</v>
      </c>
      <c r="I856" t="n">
        <v>215</v>
      </c>
      <c r="J856" t="n">
        <v>12.74</v>
      </c>
      <c r="K856" t="n">
        <v>175</v>
      </c>
      <c r="L856" t="n">
        <v>172.5</v>
      </c>
      <c r="M856" s="155" t="n">
        <v>0.19</v>
      </c>
      <c r="N856" t="inlineStr">
        <is>
          <t>國際五星級觀光飯店</t>
        </is>
      </c>
    </row>
    <row r="857">
      <c r="A857" t="n">
        <v>2712</v>
      </c>
      <c r="B857" t="inlineStr">
        <is>
          <t>遠雄來</t>
        </is>
      </c>
      <c r="C857" t="n">
        <v>15.35</v>
      </c>
      <c r="D857" t="n">
        <v>15.3</v>
      </c>
      <c r="E857" s="730" t="n">
        <v>-0.05</v>
      </c>
      <c r="F857" s="731" t="n">
        <v>-0.33</v>
      </c>
      <c r="G857" t="inlineStr">
        <is>
          <t>16.6萬</t>
        </is>
      </c>
      <c r="H857" t="n">
        <v>11</v>
      </c>
      <c r="I857" t="n">
        <v>12</v>
      </c>
      <c r="J857" t="n">
        <v>10.5</v>
      </c>
      <c r="K857" t="n">
        <v>15.35</v>
      </c>
      <c r="L857" t="n">
        <v>15</v>
      </c>
      <c r="M857" s="155" t="n">
        <v>0.01</v>
      </c>
      <c r="N857" t="inlineStr">
        <is>
          <t>遠雄旗下位於花蓮海洋公園旁之五星級飯店</t>
        </is>
      </c>
    </row>
    <row r="858">
      <c r="A858" t="n">
        <v>2718</v>
      </c>
      <c r="B858" t="inlineStr">
        <is>
          <t>全心投控</t>
        </is>
      </c>
      <c r="C858" t="n">
        <v>46.55</v>
      </c>
      <c r="D858" t="n">
        <v>46.75</v>
      </c>
      <c r="E858" s="730" t="n">
        <v>0.2</v>
      </c>
      <c r="F858" s="731" t="n">
        <v>0.43</v>
      </c>
      <c r="G858" t="inlineStr">
        <is>
          <t>196萬</t>
        </is>
      </c>
      <c r="H858" t="n">
        <v>42</v>
      </c>
      <c r="I858" t="n">
        <v>77</v>
      </c>
      <c r="J858" t="n">
        <v>8.76</v>
      </c>
      <c r="K858" t="n">
        <v>46.75</v>
      </c>
      <c r="L858" t="n">
        <v>46.55</v>
      </c>
      <c r="M858" s="155" t="n">
        <v>0.05</v>
      </c>
      <c r="N858" t="inlineStr">
        <is>
          <t>由飯店業跨入不動產開發產業</t>
        </is>
      </c>
    </row>
    <row r="859">
      <c r="A859" t="n">
        <v>2719</v>
      </c>
      <c r="B859" t="inlineStr">
        <is>
          <t>燦星旅</t>
        </is>
      </c>
      <c r="C859" t="n">
        <v>25</v>
      </c>
      <c r="D859" t="n">
        <v>25</v>
      </c>
      <c r="E859" s="730" t="n">
        <v>-0.1</v>
      </c>
      <c r="F859" s="731" t="n">
        <v>-0.4</v>
      </c>
      <c r="G859" t="inlineStr">
        <is>
          <t>72.5萬</t>
        </is>
      </c>
      <c r="H859" t="n">
        <v>29</v>
      </c>
      <c r="I859" t="n">
        <v>20</v>
      </c>
      <c r="J859" t="n">
        <v>6.92</v>
      </c>
      <c r="K859" t="n">
        <v>25.05</v>
      </c>
      <c r="L859" t="n">
        <v>25</v>
      </c>
      <c r="M859" s="155" t="n">
        <v>0.04</v>
      </c>
      <c r="N859" t="inlineStr">
        <is>
          <t>台鋼集團旗下旅遊公司</t>
        </is>
      </c>
    </row>
    <row r="860">
      <c r="A860" t="n">
        <v>2722</v>
      </c>
      <c r="B860" t="inlineStr">
        <is>
          <t>夏都</t>
        </is>
      </c>
      <c r="C860" t="n">
        <v>22.8</v>
      </c>
      <c r="D860" t="n">
        <v>22.6</v>
      </c>
      <c r="E860" s="730" t="n">
        <v>0.1</v>
      </c>
      <c r="F860" s="731" t="n">
        <v>0.44</v>
      </c>
      <c r="G860" t="inlineStr">
        <is>
          <t>109萬</t>
        </is>
      </c>
      <c r="H860" t="n">
        <v>48</v>
      </c>
      <c r="I860" t="n">
        <v>52</v>
      </c>
      <c r="J860" t="n">
        <v>14.32</v>
      </c>
      <c r="K860" t="n">
        <v>22.8</v>
      </c>
      <c r="L860" t="n">
        <v>22.5</v>
      </c>
      <c r="M860" s="155" t="n">
        <v>0.03</v>
      </c>
      <c r="N860" t="inlineStr">
        <is>
          <t>官田鋼轉投資，位於台灣墾丁之觀光渡假飯店</t>
        </is>
      </c>
    </row>
    <row r="861">
      <c r="A861" t="n">
        <v>2723</v>
      </c>
      <c r="B861" t="inlineStr">
        <is>
          <t>美食-KY</t>
        </is>
      </c>
      <c r="C861" t="n">
        <v>62.1</v>
      </c>
      <c r="D861" t="n">
        <v>62.8</v>
      </c>
      <c r="E861" s="730" t="n">
        <v>0.7</v>
      </c>
      <c r="F861" s="731" t="n">
        <v>1.13</v>
      </c>
      <c r="G861" t="inlineStr">
        <is>
          <t>1834萬</t>
        </is>
      </c>
      <c r="H861" t="n">
        <v>293</v>
      </c>
      <c r="I861" t="n">
        <v>491</v>
      </c>
      <c r="J861" t="n">
        <v>18</v>
      </c>
      <c r="K861" t="n">
        <v>63</v>
      </c>
      <c r="L861" t="n">
        <v>62.1</v>
      </c>
      <c r="M861" s="155" t="n">
        <v>0.16</v>
      </c>
      <c r="N861" t="inlineStr">
        <is>
          <t>以「85度C」為品牌之咖啡烘焙連鎖店</t>
        </is>
      </c>
    </row>
    <row r="862">
      <c r="A862" t="n">
        <v>2724</v>
      </c>
      <c r="B862" t="inlineStr">
        <is>
          <t>藝舍-KY</t>
        </is>
      </c>
      <c r="C862" t="inlineStr">
        <is>
          <t>--</t>
        </is>
      </c>
      <c r="D862" t="inlineStr">
        <is>
          <t>--</t>
        </is>
      </c>
      <c r="E862" s="730" t="inlineStr">
        <is>
          <t>--</t>
        </is>
      </c>
      <c r="F862" s="731" t="inlineStr">
        <is>
          <t>--</t>
        </is>
      </c>
      <c r="G862" t="inlineStr">
        <is>
          <t>--</t>
        </is>
      </c>
      <c r="H862" t="n">
        <v>0</v>
      </c>
      <c r="I862" t="n">
        <v>7</v>
      </c>
      <c r="J862" t="n">
        <v>5.97</v>
      </c>
      <c r="K862" t="inlineStr">
        <is>
          <t>--</t>
        </is>
      </c>
      <c r="L862" t="inlineStr">
        <is>
          <t>--</t>
        </is>
      </c>
      <c r="M862" s="155" t="n">
        <v>0</v>
      </c>
      <c r="N862" t="inlineStr">
        <is>
          <t>轉型為不動產代銷服務商</t>
        </is>
      </c>
    </row>
    <row r="863">
      <c r="A863" t="n">
        <v>2726</v>
      </c>
      <c r="B863" t="inlineStr">
        <is>
          <t>雅茗-KY</t>
        </is>
      </c>
      <c r="C863" t="n">
        <v>10.1</v>
      </c>
      <c r="D863" t="n">
        <v>9.98</v>
      </c>
      <c r="E863" s="730" t="n">
        <v>-0.47</v>
      </c>
      <c r="F863" s="731" t="n">
        <v>-4.5</v>
      </c>
      <c r="G863" t="inlineStr">
        <is>
          <t>26.5萬</t>
        </is>
      </c>
      <c r="H863" t="n">
        <v>27</v>
      </c>
      <c r="I863" t="n">
        <v>60</v>
      </c>
      <c r="J863" t="n">
        <v>3.79</v>
      </c>
      <c r="K863" t="n">
        <v>10.15</v>
      </c>
      <c r="L863" t="n">
        <v>9.59</v>
      </c>
      <c r="M863" s="155" t="n">
        <v>0.07000000000000001</v>
      </c>
      <c r="N863" t="inlineStr">
        <is>
          <t>在大陸以快樂檸檬品牌知名的台商茶飲料業者</t>
        </is>
      </c>
    </row>
    <row r="864">
      <c r="A864" t="n">
        <v>2727</v>
      </c>
      <c r="B864" t="inlineStr">
        <is>
          <t>王品</t>
        </is>
      </c>
      <c r="C864" t="n">
        <v>236</v>
      </c>
      <c r="D864" t="n">
        <v>237.5</v>
      </c>
      <c r="E864" s="730" t="n">
        <v>1.5</v>
      </c>
      <c r="F864" s="731" t="n">
        <v>0.64</v>
      </c>
      <c r="G864" t="inlineStr">
        <is>
          <t>9803萬</t>
        </is>
      </c>
      <c r="H864" t="n">
        <v>414</v>
      </c>
      <c r="I864" t="n">
        <v>421</v>
      </c>
      <c r="J864" t="n">
        <v>8.289999999999999</v>
      </c>
      <c r="K864" t="n">
        <v>238.5</v>
      </c>
      <c r="L864" t="n">
        <v>234.5</v>
      </c>
      <c r="M864" s="155" t="n">
        <v>0.5</v>
      </c>
      <c r="N864" t="inlineStr">
        <is>
          <t>連鎖餐飲集團，旗下擁有多個餐飲品牌</t>
        </is>
      </c>
    </row>
    <row r="865">
      <c r="A865" t="n">
        <v>2729</v>
      </c>
      <c r="B865" t="inlineStr">
        <is>
          <t>瓦城</t>
        </is>
      </c>
      <c r="C865" t="n">
        <v>158</v>
      </c>
      <c r="D865" t="n">
        <v>158.5</v>
      </c>
      <c r="E865" s="730" t="n">
        <v>0.5</v>
      </c>
      <c r="F865" s="731" t="n">
        <v>0.32</v>
      </c>
      <c r="G865" t="inlineStr">
        <is>
          <t>363萬</t>
        </is>
      </c>
      <c r="H865" t="n">
        <v>23</v>
      </c>
      <c r="I865" t="n">
        <v>44</v>
      </c>
      <c r="J865" t="n">
        <v>4.3</v>
      </c>
      <c r="K865" t="n">
        <v>158.5</v>
      </c>
      <c r="L865" t="n">
        <v>157.5</v>
      </c>
      <c r="M865" s="155" t="n">
        <v>0.05</v>
      </c>
      <c r="N865" t="inlineStr">
        <is>
          <t>泰式料理連鎖餐廳</t>
        </is>
      </c>
    </row>
    <row r="866">
      <c r="A866" t="n">
        <v>2731</v>
      </c>
      <c r="B866" t="inlineStr">
        <is>
          <t>雄獅</t>
        </is>
      </c>
      <c r="C866" t="n">
        <v>170</v>
      </c>
      <c r="D866" t="n">
        <v>169.5</v>
      </c>
      <c r="E866" s="730" t="n">
        <v>0</v>
      </c>
      <c r="F866" s="731" t="n">
        <v>0</v>
      </c>
      <c r="G866" t="inlineStr">
        <is>
          <t>2.40億</t>
        </is>
      </c>
      <c r="H866" t="n">
        <v>1414</v>
      </c>
      <c r="I866" t="n">
        <v>1649</v>
      </c>
      <c r="J866" t="n">
        <v>9.33</v>
      </c>
      <c r="K866" t="n">
        <v>171.5</v>
      </c>
      <c r="L866" t="n">
        <v>168.5</v>
      </c>
      <c r="M866" s="155" t="n">
        <v>1.52</v>
      </c>
      <c r="N866" t="inlineStr">
        <is>
          <t>台灣知名與規模最大的旅行社之一</t>
        </is>
      </c>
    </row>
    <row r="867">
      <c r="A867" t="n">
        <v>2732</v>
      </c>
      <c r="B867" t="inlineStr">
        <is>
          <t>六角</t>
        </is>
      </c>
      <c r="C867" t="n">
        <v>64.3</v>
      </c>
      <c r="D867" t="n">
        <v>64.8</v>
      </c>
      <c r="E867" s="730" t="n">
        <v>-0.2</v>
      </c>
      <c r="F867" s="731" t="n">
        <v>-0.31</v>
      </c>
      <c r="G867" t="inlineStr">
        <is>
          <t>272萬</t>
        </is>
      </c>
      <c r="H867" t="n">
        <v>42</v>
      </c>
      <c r="I867" t="n">
        <v>67</v>
      </c>
      <c r="J867" t="n">
        <v>4.65</v>
      </c>
      <c r="K867" t="n">
        <v>65.7</v>
      </c>
      <c r="L867" t="n">
        <v>64.2</v>
      </c>
      <c r="M867" s="155" t="n">
        <v>0.09</v>
      </c>
      <c r="N867" t="inlineStr">
        <is>
          <t>在全球80個城市擁有門市據點的外帶式茶飲與甜品供應商</t>
        </is>
      </c>
    </row>
    <row r="868">
      <c r="A868" t="n">
        <v>2734</v>
      </c>
      <c r="B868" t="inlineStr">
        <is>
          <t>易飛網</t>
        </is>
      </c>
      <c r="C868" t="n">
        <v>15.1</v>
      </c>
      <c r="D868" t="n">
        <v>15.1</v>
      </c>
      <c r="E868" s="730" t="n">
        <v>0</v>
      </c>
      <c r="F868" s="731" t="n">
        <v>0</v>
      </c>
      <c r="G868" t="inlineStr">
        <is>
          <t>99.3萬</t>
        </is>
      </c>
      <c r="H868" t="n">
        <v>66</v>
      </c>
      <c r="I868" t="n">
        <v>152</v>
      </c>
      <c r="J868" t="n">
        <v>5.73</v>
      </c>
      <c r="K868" t="n">
        <v>15.1</v>
      </c>
      <c r="L868" t="n">
        <v>15</v>
      </c>
      <c r="M868" s="155" t="n">
        <v>0.12</v>
      </c>
      <c r="N868" t="inlineStr">
        <is>
          <t>聚焦於線上銷售服務的旅行社業者</t>
        </is>
      </c>
    </row>
    <row r="869">
      <c r="A869" t="n">
        <v>2736</v>
      </c>
      <c r="B869" t="inlineStr">
        <is>
          <t>富野</t>
        </is>
      </c>
      <c r="C869" t="n">
        <v>12.05</v>
      </c>
      <c r="D869" t="n">
        <v>12.1</v>
      </c>
      <c r="E869" s="730" t="n">
        <v>0.1</v>
      </c>
      <c r="F869" s="731" t="n">
        <v>0.83</v>
      </c>
      <c r="G869" t="inlineStr">
        <is>
          <t>78.6萬</t>
        </is>
      </c>
      <c r="H869" t="n">
        <v>65</v>
      </c>
      <c r="I869" t="n">
        <v>83</v>
      </c>
      <c r="J869" t="n">
        <v>8</v>
      </c>
      <c r="K869" t="n">
        <v>12.2</v>
      </c>
      <c r="L869" t="n">
        <v>12</v>
      </c>
      <c r="M869" s="155" t="n">
        <v>0.08</v>
      </c>
      <c r="N869" t="inlineStr">
        <is>
          <t>台東縣知本溫泉區的知名溫泉飯店</t>
        </is>
      </c>
    </row>
    <row r="870">
      <c r="A870" t="n">
        <v>2739</v>
      </c>
      <c r="B870" t="inlineStr">
        <is>
          <t>寒舍</t>
        </is>
      </c>
      <c r="C870" t="n">
        <v>35.4</v>
      </c>
      <c r="D870" t="n">
        <v>35.35</v>
      </c>
      <c r="E870" s="730" t="n">
        <v>0</v>
      </c>
      <c r="F870" s="731" t="n">
        <v>0</v>
      </c>
      <c r="G870" t="inlineStr">
        <is>
          <t>550萬</t>
        </is>
      </c>
      <c r="H870" t="n">
        <v>156</v>
      </c>
      <c r="I870" t="n">
        <v>115</v>
      </c>
      <c r="J870" t="n">
        <v>9.15</v>
      </c>
      <c r="K870" t="n">
        <v>35.5</v>
      </c>
      <c r="L870" t="n">
        <v>34.9</v>
      </c>
      <c r="M870" s="155" t="n">
        <v>0.17</v>
      </c>
      <c r="N870" t="inlineStr">
        <is>
          <t>在台北經營管理五星級飯店及餐飲服務之業者</t>
        </is>
      </c>
    </row>
    <row r="871">
      <c r="A871" t="n">
        <v>2740</v>
      </c>
      <c r="B871" t="inlineStr">
        <is>
          <t>華軒</t>
        </is>
      </c>
      <c r="C871" t="n">
        <v>34.75</v>
      </c>
      <c r="D871" t="n">
        <v>36.4</v>
      </c>
      <c r="E871" s="730" t="n">
        <v>2.05</v>
      </c>
      <c r="F871" s="731" t="n">
        <v>5.97</v>
      </c>
      <c r="G871" t="inlineStr">
        <is>
          <t>17.7萬</t>
        </is>
      </c>
      <c r="H871" t="n">
        <v>5</v>
      </c>
      <c r="I871" t="n">
        <v>8</v>
      </c>
      <c r="J871" t="n">
        <v>1.68</v>
      </c>
      <c r="K871" t="n">
        <v>36.4</v>
      </c>
      <c r="L871" t="n">
        <v>34.75</v>
      </c>
      <c r="M871" s="155" t="n">
        <v>0.03</v>
      </c>
      <c r="N871" t="inlineStr">
        <is>
          <t>旗下「點八餐飲集團」主營港式餐飲品牌</t>
        </is>
      </c>
    </row>
    <row r="872">
      <c r="A872" t="n">
        <v>2743</v>
      </c>
      <c r="B872" t="inlineStr">
        <is>
          <t>山富</t>
        </is>
      </c>
      <c r="C872" t="n">
        <v>69.59999999999999</v>
      </c>
      <c r="D872" t="n">
        <v>69.2</v>
      </c>
      <c r="E872" s="730" t="n">
        <v>0</v>
      </c>
      <c r="F872" s="731" t="n">
        <v>0</v>
      </c>
      <c r="G872" t="inlineStr">
        <is>
          <t>744萬</t>
        </is>
      </c>
      <c r="H872" t="n">
        <v>108</v>
      </c>
      <c r="I872" t="n">
        <v>153</v>
      </c>
      <c r="J872" t="n">
        <v>4.68</v>
      </c>
      <c r="K872" t="n">
        <v>69.59999999999999</v>
      </c>
      <c r="L872" t="n">
        <v>68.59999999999999</v>
      </c>
      <c r="M872" s="155" t="n">
        <v>0.23</v>
      </c>
      <c r="N872" t="inlineStr">
        <is>
          <t>台灣知名旅行社之一</t>
        </is>
      </c>
    </row>
    <row r="873">
      <c r="A873" t="n">
        <v>2745</v>
      </c>
      <c r="B873" t="inlineStr">
        <is>
          <t>五福</t>
        </is>
      </c>
      <c r="C873" t="n">
        <v>104</v>
      </c>
      <c r="D873" t="n">
        <v>103</v>
      </c>
      <c r="E873" s="730" t="n">
        <v>-1</v>
      </c>
      <c r="F873" s="731" t="n">
        <v>-0.96</v>
      </c>
      <c r="G873" t="inlineStr">
        <is>
          <t>2974萬</t>
        </is>
      </c>
      <c r="H873" t="n">
        <v>290</v>
      </c>
      <c r="I873" t="n">
        <v>179</v>
      </c>
      <c r="J873" t="n">
        <v>3.38</v>
      </c>
      <c r="K873" t="n">
        <v>104</v>
      </c>
      <c r="L873" t="n">
        <v>102</v>
      </c>
      <c r="M873" s="155" t="n">
        <v>0.86</v>
      </c>
      <c r="N873" t="inlineStr">
        <is>
          <t>來自高雄的國內前五大旅行社</t>
        </is>
      </c>
    </row>
    <row r="874">
      <c r="A874" t="n">
        <v>2748</v>
      </c>
      <c r="B874" t="inlineStr">
        <is>
          <t>雲品</t>
        </is>
      </c>
      <c r="C874" t="n">
        <v>39.4</v>
      </c>
      <c r="D874" t="n">
        <v>39.65</v>
      </c>
      <c r="E874" s="730" t="n">
        <v>0.25</v>
      </c>
      <c r="F874" s="731" t="n">
        <v>0.63</v>
      </c>
      <c r="G874" t="inlineStr">
        <is>
          <t>347萬</t>
        </is>
      </c>
      <c r="H874" t="n">
        <v>88</v>
      </c>
      <c r="I874" t="n">
        <v>158</v>
      </c>
      <c r="J874" t="n">
        <v>10.58</v>
      </c>
      <c r="K874" t="n">
        <v>39.65</v>
      </c>
      <c r="L874" t="n">
        <v>39.2</v>
      </c>
      <c r="M874" s="155" t="n">
        <v>0.08</v>
      </c>
      <c r="N874" t="inlineStr">
        <is>
          <t>日月潭首家擁有天然溫泉的五星渡假飯店</t>
        </is>
      </c>
    </row>
    <row r="875">
      <c r="A875" t="n">
        <v>2751</v>
      </c>
      <c r="B875" t="inlineStr">
        <is>
          <t>王座</t>
        </is>
      </c>
      <c r="C875" t="n">
        <v>52.8</v>
      </c>
      <c r="D875" t="n">
        <v>52.5</v>
      </c>
      <c r="E875" s="730" t="n">
        <v>0</v>
      </c>
      <c r="F875" s="731" t="n">
        <v>0</v>
      </c>
      <c r="G875" t="inlineStr">
        <is>
          <t>47.4萬</t>
        </is>
      </c>
      <c r="H875" t="n">
        <v>9</v>
      </c>
      <c r="I875" t="n">
        <v>15</v>
      </c>
      <c r="J875" t="n">
        <v>1.98</v>
      </c>
      <c r="K875" t="n">
        <v>53.3</v>
      </c>
      <c r="L875" t="n">
        <v>52</v>
      </c>
      <c r="M875" s="155" t="n">
        <v>0.05</v>
      </c>
      <c r="N875" t="inlineStr">
        <is>
          <t>六角旗下，代理與經營海內外餐飲品牌</t>
        </is>
      </c>
    </row>
    <row r="876">
      <c r="A876" t="n">
        <v>2752</v>
      </c>
      <c r="B876" t="inlineStr">
        <is>
          <t>豆府</t>
        </is>
      </c>
      <c r="C876" t="n">
        <v>171</v>
      </c>
      <c r="D876" t="n">
        <v>172</v>
      </c>
      <c r="E876" s="730" t="n">
        <v>1</v>
      </c>
      <c r="F876" s="731" t="n">
        <v>0.58</v>
      </c>
      <c r="G876" t="inlineStr">
        <is>
          <t>532萬</t>
        </is>
      </c>
      <c r="H876" t="n">
        <v>31</v>
      </c>
      <c r="I876" t="n">
        <v>35</v>
      </c>
      <c r="J876" t="n">
        <v>2.67</v>
      </c>
      <c r="K876" t="n">
        <v>172</v>
      </c>
      <c r="L876" t="n">
        <v>171</v>
      </c>
      <c r="M876" s="155" t="n">
        <v>0.12</v>
      </c>
      <c r="N876" t="inlineStr">
        <is>
          <t>台灣規模最大韓式連鎖餐廳集團</t>
        </is>
      </c>
    </row>
    <row r="877">
      <c r="A877" t="n">
        <v>2753</v>
      </c>
      <c r="B877" t="inlineStr">
        <is>
          <t>八方雲集</t>
        </is>
      </c>
      <c r="C877" t="n">
        <v>178</v>
      </c>
      <c r="D877" t="n">
        <v>179</v>
      </c>
      <c r="E877" s="730" t="n">
        <v>2</v>
      </c>
      <c r="F877" s="731" t="n">
        <v>1.13</v>
      </c>
      <c r="G877" t="inlineStr">
        <is>
          <t>3967萬</t>
        </is>
      </c>
      <c r="H877" t="n">
        <v>226</v>
      </c>
      <c r="I877" t="n">
        <v>310</v>
      </c>
      <c r="J877" t="n">
        <v>6.66</v>
      </c>
      <c r="K877" t="n">
        <v>179</v>
      </c>
      <c r="L877" t="n">
        <v>176.5</v>
      </c>
      <c r="M877" s="155" t="n">
        <v>0.34</v>
      </c>
      <c r="N877" t="inlineStr">
        <is>
          <t>台式連鎖餐飲集團，擁有八方雲集、梁社漢排骨</t>
        </is>
      </c>
    </row>
    <row r="878">
      <c r="A878" t="n">
        <v>2754</v>
      </c>
      <c r="B878" t="inlineStr">
        <is>
          <t>亞洲藏壽司</t>
        </is>
      </c>
      <c r="C878" t="n">
        <v>67.59999999999999</v>
      </c>
      <c r="D878" t="n">
        <v>67.8</v>
      </c>
      <c r="E878" s="730" t="n">
        <v>-0.5</v>
      </c>
      <c r="F878" s="731" t="n">
        <v>-0.73</v>
      </c>
      <c r="G878" t="inlineStr">
        <is>
          <t>283萬</t>
        </is>
      </c>
      <c r="H878" t="n">
        <v>42</v>
      </c>
      <c r="I878" t="n">
        <v>96</v>
      </c>
      <c r="J878" t="n">
        <v>4.69</v>
      </c>
      <c r="K878" t="n">
        <v>67.8</v>
      </c>
      <c r="L878" t="n">
        <v>67</v>
      </c>
      <c r="M878" s="155" t="n">
        <v>0.09</v>
      </c>
      <c r="N878" t="inlineStr">
        <is>
          <t>日式迴轉壽司連鎖店，擁有品牌「藏壽司」</t>
        </is>
      </c>
    </row>
    <row r="879">
      <c r="A879" t="n">
        <v>2755</v>
      </c>
      <c r="B879" t="inlineStr">
        <is>
          <t>揚秦</t>
        </is>
      </c>
      <c r="C879" t="n">
        <v>133</v>
      </c>
      <c r="D879" t="n">
        <v>134.5</v>
      </c>
      <c r="E879" s="730" t="n">
        <v>0.5</v>
      </c>
      <c r="F879" s="731" t="n">
        <v>0.37</v>
      </c>
      <c r="G879" t="inlineStr">
        <is>
          <t>403萬</t>
        </is>
      </c>
      <c r="H879" t="n">
        <v>30</v>
      </c>
      <c r="I879" t="n">
        <v>31</v>
      </c>
      <c r="J879" t="n">
        <v>3.74</v>
      </c>
      <c r="K879" t="n">
        <v>135</v>
      </c>
      <c r="L879" t="n">
        <v>133</v>
      </c>
      <c r="M879" s="155" t="n">
        <v>0.08</v>
      </c>
      <c r="N879" t="inlineStr">
        <is>
          <t>連鎖.直營門市餐飲經營者，核心品牌「麥味登」</t>
        </is>
      </c>
    </row>
    <row r="880">
      <c r="A880" t="n">
        <v>2756</v>
      </c>
      <c r="B880" t="inlineStr">
        <is>
          <t>聯發國際</t>
        </is>
      </c>
      <c r="C880" t="n">
        <v>59.7</v>
      </c>
      <c r="D880" t="n">
        <v>59.6</v>
      </c>
      <c r="E880" s="730" t="n">
        <v>-0.6</v>
      </c>
      <c r="F880" s="731" t="n">
        <v>-1</v>
      </c>
      <c r="G880" t="inlineStr">
        <is>
          <t>29.8萬</t>
        </is>
      </c>
      <c r="H880" t="n">
        <v>5</v>
      </c>
      <c r="I880" t="n">
        <v>19</v>
      </c>
      <c r="J880" t="n">
        <v>2.46</v>
      </c>
      <c r="K880" t="n">
        <v>59.7</v>
      </c>
      <c r="L880" t="n">
        <v>59.4</v>
      </c>
      <c r="M880" s="155" t="n">
        <v>0.02</v>
      </c>
      <c r="N880" t="inlineStr">
        <is>
          <t>茶飲連鎖店，核心品牌「歇腳亭」</t>
        </is>
      </c>
    </row>
    <row r="881">
      <c r="A881" t="n">
        <v>2762</v>
      </c>
      <c r="B881" t="inlineStr">
        <is>
          <t>世界健身-KY</t>
        </is>
      </c>
      <c r="C881" t="n">
        <v>84.3</v>
      </c>
      <c r="D881" t="n">
        <v>84.5</v>
      </c>
      <c r="E881" s="730" t="n">
        <v>-1</v>
      </c>
      <c r="F881" s="731" t="n">
        <v>-1.17</v>
      </c>
      <c r="G881" t="inlineStr">
        <is>
          <t>321萬</t>
        </is>
      </c>
      <c r="H881" t="n">
        <v>38</v>
      </c>
      <c r="I881" t="n">
        <v>136</v>
      </c>
      <c r="J881" t="n">
        <v>11.25</v>
      </c>
      <c r="K881" t="n">
        <v>85.40000000000001</v>
      </c>
      <c r="L881" t="n">
        <v>84</v>
      </c>
      <c r="M881" s="155" t="n">
        <v>0.03</v>
      </c>
      <c r="N881" t="inlineStr">
        <is>
          <t>主要經營會員制連鎖健身中心</t>
        </is>
      </c>
    </row>
    <row r="882">
      <c r="A882" t="n">
        <v>2801</v>
      </c>
      <c r="B882" t="inlineStr">
        <is>
          <t>彰銀</t>
        </is>
      </c>
      <c r="C882" t="n">
        <v>20.4</v>
      </c>
      <c r="D882" t="n">
        <v>20.6</v>
      </c>
      <c r="E882" s="730" t="n">
        <v>0.15</v>
      </c>
      <c r="F882" s="731" t="n">
        <v>0.73</v>
      </c>
      <c r="G882" t="inlineStr">
        <is>
          <t>7.55億</t>
        </is>
      </c>
      <c r="H882" t="n">
        <v>36843</v>
      </c>
      <c r="I882" t="n">
        <v>30717</v>
      </c>
      <c r="J882" t="n">
        <v>1176.6</v>
      </c>
      <c r="K882" t="n">
        <v>20.65</v>
      </c>
      <c r="L882" t="n">
        <v>20.3</v>
      </c>
      <c r="M882" s="155" t="n">
        <v>0.31</v>
      </c>
      <c r="N882" t="inlineStr">
        <is>
          <t>台灣老牌銀行，為銀行界歷史悠久的三商銀之一</t>
        </is>
      </c>
    </row>
    <row r="883">
      <c r="A883" t="n">
        <v>2812</v>
      </c>
      <c r="B883" t="inlineStr">
        <is>
          <t>台中銀</t>
        </is>
      </c>
      <c r="C883" t="n">
        <v>18.35</v>
      </c>
      <c r="D883" t="n">
        <v>18.7</v>
      </c>
      <c r="E883" s="730" t="n">
        <v>0.3</v>
      </c>
      <c r="F883" s="731" t="n">
        <v>1.63</v>
      </c>
      <c r="G883" t="inlineStr">
        <is>
          <t>3.43億</t>
        </is>
      </c>
      <c r="H883" t="n">
        <v>18548</v>
      </c>
      <c r="I883" t="n">
        <v>22654</v>
      </c>
      <c r="J883" t="n">
        <v>602.16</v>
      </c>
      <c r="K883" t="n">
        <v>18.75</v>
      </c>
      <c r="L883" t="n">
        <v>18.25</v>
      </c>
      <c r="M883" s="155" t="n">
        <v>0.31</v>
      </c>
      <c r="N883" t="inlineStr">
        <is>
          <t>中纖為大股東之中小型商業銀行</t>
        </is>
      </c>
    </row>
    <row r="884">
      <c r="A884" t="n">
        <v>2816</v>
      </c>
      <c r="B884" t="inlineStr">
        <is>
          <t>旺旺保</t>
        </is>
      </c>
      <c r="C884" t="n">
        <v>33.5</v>
      </c>
      <c r="D884" t="n">
        <v>33</v>
      </c>
      <c r="E884" s="730" t="n">
        <v>-0.3</v>
      </c>
      <c r="F884" s="731" t="n">
        <v>-0.9</v>
      </c>
      <c r="G884" t="inlineStr">
        <is>
          <t>1242萬</t>
        </is>
      </c>
      <c r="H884" t="n">
        <v>504</v>
      </c>
      <c r="I884" t="n">
        <v>371</v>
      </c>
      <c r="J884" t="n">
        <v>22.36</v>
      </c>
      <c r="K884" t="n">
        <v>33.7</v>
      </c>
      <c r="L884" t="n">
        <v>32.6</v>
      </c>
      <c r="M884" s="155" t="n">
        <v>0.23</v>
      </c>
      <c r="N884" t="inlineStr">
        <is>
          <t>台灣產險業第一家上市公司，後由旺旺集團入主</t>
        </is>
      </c>
    </row>
    <row r="885">
      <c r="A885" t="n">
        <v>2820</v>
      </c>
      <c r="B885" t="inlineStr">
        <is>
          <t>華票</t>
        </is>
      </c>
      <c r="C885" t="n">
        <v>16.7</v>
      </c>
      <c r="D885" t="n">
        <v>17</v>
      </c>
      <c r="E885" s="730" t="n">
        <v>0.25</v>
      </c>
      <c r="F885" s="731" t="n">
        <v>1.49</v>
      </c>
      <c r="G885" t="inlineStr">
        <is>
          <t>3983萬</t>
        </is>
      </c>
      <c r="H885" t="n">
        <v>2362</v>
      </c>
      <c r="I885" t="n">
        <v>1345</v>
      </c>
      <c r="J885" t="n">
        <v>134.3</v>
      </c>
      <c r="K885" t="n">
        <v>17</v>
      </c>
      <c r="L885" t="n">
        <v>16.7</v>
      </c>
      <c r="M885" s="155" t="n">
        <v>0.18</v>
      </c>
      <c r="N885" t="inlineStr">
        <is>
          <t>台灣前三大票券商</t>
        </is>
      </c>
    </row>
    <row r="886">
      <c r="A886" t="n">
        <v>2832</v>
      </c>
      <c r="B886" t="inlineStr">
        <is>
          <t>台產</t>
        </is>
      </c>
      <c r="C886" t="n">
        <v>53.5</v>
      </c>
      <c r="D886" t="n">
        <v>53.7</v>
      </c>
      <c r="E886" s="730" t="n">
        <v>0.1</v>
      </c>
      <c r="F886" s="731" t="n">
        <v>0.19</v>
      </c>
      <c r="G886" t="inlineStr">
        <is>
          <t>996萬</t>
        </is>
      </c>
      <c r="H886" t="n">
        <v>186</v>
      </c>
      <c r="I886" t="n">
        <v>215</v>
      </c>
      <c r="J886" t="n">
        <v>25.35</v>
      </c>
      <c r="K886" t="n">
        <v>53.9</v>
      </c>
      <c r="L886" t="n">
        <v>53.2</v>
      </c>
      <c r="M886" s="155" t="n">
        <v>0.07000000000000001</v>
      </c>
      <c r="N886" t="inlineStr">
        <is>
          <t>台灣歷史最悠久的中小型產險公司</t>
        </is>
      </c>
    </row>
    <row r="887">
      <c r="A887" t="n">
        <v>2834</v>
      </c>
      <c r="B887" t="inlineStr">
        <is>
          <t>臺企銀</t>
        </is>
      </c>
      <c r="C887" t="n">
        <v>16.15</v>
      </c>
      <c r="D887" t="n">
        <v>16.3</v>
      </c>
      <c r="E887" s="730" t="n">
        <v>0.1</v>
      </c>
      <c r="F887" s="731" t="n">
        <v>0.62</v>
      </c>
      <c r="G887" t="inlineStr">
        <is>
          <t>4.80億</t>
        </is>
      </c>
      <c r="H887" t="n">
        <v>29654</v>
      </c>
      <c r="I887" t="n">
        <v>38518</v>
      </c>
      <c r="J887" t="n">
        <v>971.8099999999999</v>
      </c>
      <c r="K887" t="n">
        <v>16.3</v>
      </c>
      <c r="L887" t="n">
        <v>16.1</v>
      </c>
      <c r="M887" s="155" t="n">
        <v>0.31</v>
      </c>
      <c r="N887" t="inlineStr">
        <is>
          <t>台灣六大泛公股銀行之一</t>
        </is>
      </c>
    </row>
    <row r="888">
      <c r="A888" t="n">
        <v>2836</v>
      </c>
      <c r="B888" t="inlineStr">
        <is>
          <t>高雄銀</t>
        </is>
      </c>
      <c r="C888" t="n">
        <v>11.7</v>
      </c>
      <c r="D888" t="n">
        <v>11.9</v>
      </c>
      <c r="E888" s="730" t="n">
        <v>0.2</v>
      </c>
      <c r="F888" s="731" t="n">
        <v>1.71</v>
      </c>
      <c r="G888" t="inlineStr">
        <is>
          <t>3025萬</t>
        </is>
      </c>
      <c r="H888" t="n">
        <v>2557</v>
      </c>
      <c r="I888" t="n">
        <v>1725</v>
      </c>
      <c r="J888" t="n">
        <v>183.99</v>
      </c>
      <c r="K888" t="n">
        <v>11.9</v>
      </c>
      <c r="L888" t="n">
        <v>11.7</v>
      </c>
      <c r="M888" s="155" t="n">
        <v>0.14</v>
      </c>
      <c r="N888" t="inlineStr">
        <is>
          <t>高雄市政府為大股東之區域型銀行</t>
        </is>
      </c>
    </row>
    <row r="889">
      <c r="A889" t="n">
        <v>2838</v>
      </c>
      <c r="B889" t="inlineStr">
        <is>
          <t>聯邦銀</t>
        </is>
      </c>
      <c r="C889" t="n">
        <v>20.45</v>
      </c>
      <c r="D889" t="n">
        <v>20.6</v>
      </c>
      <c r="E889" s="730" t="n">
        <v>0.1</v>
      </c>
      <c r="F889" s="731" t="n">
        <v>0.49</v>
      </c>
      <c r="G889" t="inlineStr">
        <is>
          <t>3799萬</t>
        </is>
      </c>
      <c r="H889" t="n">
        <v>1853</v>
      </c>
      <c r="I889" t="n">
        <v>1806</v>
      </c>
      <c r="J889" t="n">
        <v>434.06</v>
      </c>
      <c r="K889" t="n">
        <v>20.75</v>
      </c>
      <c r="L889" t="n">
        <v>20.3</v>
      </c>
      <c r="M889" s="155" t="n">
        <v>0.04</v>
      </c>
      <c r="N889" t="inlineStr">
        <is>
          <t>三重幫林榮三家族為大股東之民營銀行</t>
        </is>
      </c>
    </row>
    <row r="890">
      <c r="A890" t="n">
        <v>2845</v>
      </c>
      <c r="B890" t="inlineStr">
        <is>
          <t>遠東銀</t>
        </is>
      </c>
      <c r="C890" t="n">
        <v>12.1</v>
      </c>
      <c r="D890" t="n">
        <v>12.1</v>
      </c>
      <c r="E890" s="730" t="n">
        <v>0</v>
      </c>
      <c r="F890" s="731" t="n">
        <v>0</v>
      </c>
      <c r="G890" t="inlineStr">
        <is>
          <t>1.22億</t>
        </is>
      </c>
      <c r="H890" t="n">
        <v>10074</v>
      </c>
      <c r="I890" t="n">
        <v>13786</v>
      </c>
      <c r="J890" t="n">
        <v>486.53</v>
      </c>
      <c r="K890" t="n">
        <v>12.15</v>
      </c>
      <c r="L890" t="n">
        <v>12</v>
      </c>
      <c r="M890" s="155" t="n">
        <v>0.21</v>
      </c>
      <c r="N890" t="inlineStr">
        <is>
          <t>遠東集團旗下之中小型商業銀行</t>
        </is>
      </c>
    </row>
    <row r="891">
      <c r="A891" t="n">
        <v>2849</v>
      </c>
      <c r="B891" t="inlineStr">
        <is>
          <t>安泰銀</t>
        </is>
      </c>
      <c r="C891" t="n">
        <v>13.95</v>
      </c>
      <c r="D891" t="n">
        <v>14</v>
      </c>
      <c r="E891" s="730" t="n">
        <v>0</v>
      </c>
      <c r="F891" s="731" t="n">
        <v>0</v>
      </c>
      <c r="G891" t="inlineStr">
        <is>
          <t>160萬</t>
        </is>
      </c>
      <c r="H891" t="n">
        <v>115</v>
      </c>
      <c r="I891" t="n">
        <v>128</v>
      </c>
      <c r="J891" t="n">
        <v>195.76</v>
      </c>
      <c r="K891" t="n">
        <v>14</v>
      </c>
      <c r="L891" t="n">
        <v>13.8</v>
      </c>
      <c r="M891" s="155" t="n">
        <v>0.01</v>
      </c>
      <c r="N891" t="inlineStr">
        <is>
          <t>私募基金隆力集團入主的中小型銀行</t>
        </is>
      </c>
    </row>
    <row r="892">
      <c r="A892" t="n">
        <v>2850</v>
      </c>
      <c r="B892" t="inlineStr">
        <is>
          <t>新產</t>
        </is>
      </c>
      <c r="C892" t="n">
        <v>140.5</v>
      </c>
      <c r="D892" t="n">
        <v>142</v>
      </c>
      <c r="E892" s="730" t="n">
        <v>-0.5</v>
      </c>
      <c r="F892" s="731" t="n">
        <v>-0.35</v>
      </c>
      <c r="G892" t="inlineStr">
        <is>
          <t>7886萬</t>
        </is>
      </c>
      <c r="H892" t="n">
        <v>561</v>
      </c>
      <c r="I892" t="n">
        <v>827</v>
      </c>
      <c r="J892" t="n">
        <v>31.6</v>
      </c>
      <c r="K892" t="n">
        <v>142</v>
      </c>
      <c r="L892" t="n">
        <v>139.5</v>
      </c>
      <c r="M892" s="155" t="n">
        <v>0.18</v>
      </c>
      <c r="N892" t="inlineStr">
        <is>
          <t>新光集團旗下，為台灣前三大產險公司</t>
        </is>
      </c>
    </row>
    <row r="893">
      <c r="A893" t="n">
        <v>2851</v>
      </c>
      <c r="B893" t="inlineStr">
        <is>
          <t>中再保</t>
        </is>
      </c>
      <c r="C893" t="n">
        <v>35.05</v>
      </c>
      <c r="D893" t="n">
        <v>35.05</v>
      </c>
      <c r="E893" s="730" t="n">
        <v>-0.1</v>
      </c>
      <c r="F893" s="731" t="n">
        <v>-0.28</v>
      </c>
      <c r="G893" t="inlineStr">
        <is>
          <t>4333萬</t>
        </is>
      </c>
      <c r="H893" t="n">
        <v>1238</v>
      </c>
      <c r="I893" t="n">
        <v>2265</v>
      </c>
      <c r="J893" t="n">
        <v>80.04000000000001</v>
      </c>
      <c r="K893" t="n">
        <v>35.1</v>
      </c>
      <c r="L893" t="n">
        <v>34.9</v>
      </c>
      <c r="M893" s="155" t="n">
        <v>0.15</v>
      </c>
      <c r="N893" t="inlineStr">
        <is>
          <t>長榮集團旗下，為台灣保險市場中唯一的本土再保險公司</t>
        </is>
      </c>
    </row>
    <row r="894">
      <c r="A894" t="n">
        <v>2852</v>
      </c>
      <c r="B894" t="inlineStr">
        <is>
          <t>第一保</t>
        </is>
      </c>
      <c r="C894" t="n">
        <v>27.5</v>
      </c>
      <c r="D894" t="n">
        <v>27.3</v>
      </c>
      <c r="E894" s="730" t="n">
        <v>0.2</v>
      </c>
      <c r="F894" s="731" t="n">
        <v>0.74</v>
      </c>
      <c r="G894" t="inlineStr">
        <is>
          <t>1603萬</t>
        </is>
      </c>
      <c r="H894" t="n">
        <v>587</v>
      </c>
      <c r="I894" t="n">
        <v>421</v>
      </c>
      <c r="J894" t="n">
        <v>30.12</v>
      </c>
      <c r="K894" t="n">
        <v>27.5</v>
      </c>
      <c r="L894" t="n">
        <v>27.05</v>
      </c>
      <c r="M894" s="155" t="n">
        <v>0.19</v>
      </c>
      <c r="N894" t="inlineStr">
        <is>
          <t>台灣排名前十大的產險公司</t>
        </is>
      </c>
    </row>
    <row r="895">
      <c r="A895" t="n">
        <v>2855</v>
      </c>
      <c r="B895" t="inlineStr">
        <is>
          <t>統一證</t>
        </is>
      </c>
      <c r="C895" t="n">
        <v>48.2</v>
      </c>
      <c r="D895" t="n">
        <v>49.45</v>
      </c>
      <c r="E895" s="730" t="n">
        <v>1.25</v>
      </c>
      <c r="F895" s="731" t="n">
        <v>2.59</v>
      </c>
      <c r="G895" t="inlineStr">
        <is>
          <t>10.3億</t>
        </is>
      </c>
      <c r="H895" t="n">
        <v>20945</v>
      </c>
      <c r="I895" t="n">
        <v>12072</v>
      </c>
      <c r="J895" t="n">
        <v>160.14</v>
      </c>
      <c r="K895" t="n">
        <v>50.5</v>
      </c>
      <c r="L895" t="n">
        <v>47.2</v>
      </c>
      <c r="M895" s="155" t="n">
        <v>1.31</v>
      </c>
      <c r="N895" t="inlineStr">
        <is>
          <t>為統一集團旗下券商，市佔排名前八大</t>
        </is>
      </c>
    </row>
    <row r="896">
      <c r="A896" t="n">
        <v>2867</v>
      </c>
      <c r="B896" t="inlineStr">
        <is>
          <t>三商壽</t>
        </is>
      </c>
      <c r="C896" t="n">
        <v>7.63</v>
      </c>
      <c r="D896" t="n">
        <v>7.79</v>
      </c>
      <c r="E896" s="730" t="n">
        <v>0.16</v>
      </c>
      <c r="F896" s="731" t="n">
        <v>2.1</v>
      </c>
      <c r="G896" t="inlineStr">
        <is>
          <t>1.55億</t>
        </is>
      </c>
      <c r="H896" t="n">
        <v>20088</v>
      </c>
      <c r="I896" t="n">
        <v>10756</v>
      </c>
      <c r="J896" t="n">
        <v>589.95</v>
      </c>
      <c r="K896" t="n">
        <v>7.8</v>
      </c>
      <c r="L896" t="n">
        <v>7.61</v>
      </c>
      <c r="M896" s="155" t="n">
        <v>0.34</v>
      </c>
      <c r="N896" t="inlineStr">
        <is>
          <t>台灣排名前七大的壽險公司，隸屬三商集團</t>
        </is>
      </c>
    </row>
    <row r="897">
      <c r="A897" t="n">
        <v>2880</v>
      </c>
      <c r="B897" t="inlineStr">
        <is>
          <t>華南金</t>
        </is>
      </c>
      <c r="C897" t="n">
        <v>32.5</v>
      </c>
      <c r="D897" t="n">
        <v>34.05</v>
      </c>
      <c r="E897" s="730" t="n">
        <v>1.2</v>
      </c>
      <c r="F897" s="731" t="n">
        <v>3.65</v>
      </c>
      <c r="G897" t="inlineStr">
        <is>
          <t>39.1億</t>
        </is>
      </c>
      <c r="H897" t="n">
        <v>115309</v>
      </c>
      <c r="I897" t="n">
        <v>95126</v>
      </c>
      <c r="J897" t="n">
        <v>1391.7</v>
      </c>
      <c r="K897" t="n">
        <v>34.4</v>
      </c>
      <c r="L897" t="n">
        <v>32.4</v>
      </c>
      <c r="M897" s="155" t="n">
        <v>0.83</v>
      </c>
      <c r="N897" t="inlineStr">
        <is>
          <t>以銀行為主體公營金控公司，為台灣銀行界歷史悠久的三商銀之一</t>
        </is>
      </c>
    </row>
    <row r="898">
      <c r="A898" t="n">
        <v>2881</v>
      </c>
      <c r="B898" t="inlineStr">
        <is>
          <t>富邦金</t>
        </is>
      </c>
      <c r="C898" t="n">
        <v>110.5</v>
      </c>
      <c r="D898" t="n">
        <v>113.5</v>
      </c>
      <c r="E898" s="730" t="n">
        <v>3</v>
      </c>
      <c r="F898" s="731" t="n">
        <v>2.71</v>
      </c>
      <c r="G898" t="inlineStr">
        <is>
          <t>108億</t>
        </is>
      </c>
      <c r="H898" t="n">
        <v>97014</v>
      </c>
      <c r="I898" t="n">
        <v>101853</v>
      </c>
      <c r="J898" t="n">
        <v>1400.74</v>
      </c>
      <c r="K898" t="n">
        <v>113.5</v>
      </c>
      <c r="L898" t="n">
        <v>109</v>
      </c>
      <c r="M898" s="155" t="n">
        <v>0.6899999999999999</v>
      </c>
      <c r="N898" t="inlineStr">
        <is>
          <t>台灣資產規模前二大的金控公司，旗下擁有台灣最大產險公司</t>
        </is>
      </c>
    </row>
    <row r="899">
      <c r="A899" t="n">
        <v>2882</v>
      </c>
      <c r="B899" t="inlineStr">
        <is>
          <t>國泰金</t>
        </is>
      </c>
      <c r="C899" t="n">
        <v>88.5</v>
      </c>
      <c r="D899" t="n">
        <v>89.2</v>
      </c>
      <c r="E899" s="730" t="n">
        <v>1</v>
      </c>
      <c r="F899" s="731" t="n">
        <v>1.13</v>
      </c>
      <c r="G899" t="inlineStr">
        <is>
          <t>50.8億</t>
        </is>
      </c>
      <c r="H899" t="n">
        <v>57649</v>
      </c>
      <c r="I899" t="n">
        <v>63171</v>
      </c>
      <c r="J899" t="n">
        <v>1466.92</v>
      </c>
      <c r="K899" t="n">
        <v>89.2</v>
      </c>
      <c r="L899" t="n">
        <v>86.59999999999999</v>
      </c>
      <c r="M899" s="155" t="n">
        <v>0.39</v>
      </c>
      <c r="N899" t="inlineStr">
        <is>
          <t>台灣資產規模前二大金控公司，旗下擁有台灣最大壽險公司</t>
        </is>
      </c>
    </row>
    <row r="900">
      <c r="A900" t="n">
        <v>2883</v>
      </c>
      <c r="B900" t="inlineStr">
        <is>
          <t>凱基金</t>
        </is>
      </c>
      <c r="C900" t="n">
        <v>22.55</v>
      </c>
      <c r="D900" t="n">
        <v>23.4</v>
      </c>
      <c r="E900" s="730" t="n">
        <v>0.75</v>
      </c>
      <c r="F900" s="731" t="n">
        <v>3.31</v>
      </c>
      <c r="G900" t="inlineStr">
        <is>
          <t>48.9億</t>
        </is>
      </c>
      <c r="H900" t="n">
        <v>212368</v>
      </c>
      <c r="I900" t="n">
        <v>91464</v>
      </c>
      <c r="J900" t="n">
        <v>1697.48</v>
      </c>
      <c r="K900" t="n">
        <v>23.45</v>
      </c>
      <c r="L900" t="n">
        <v>22.3</v>
      </c>
      <c r="M900" s="155" t="n">
        <v>1.25</v>
      </c>
      <c r="N900" t="inlineStr">
        <is>
          <t>以投資銀行業務為主之金控，並藉購併跨入證券與商業銀行領域</t>
        </is>
      </c>
    </row>
    <row r="901">
      <c r="A901" t="n">
        <v>2884</v>
      </c>
      <c r="B901" t="inlineStr">
        <is>
          <t>玉山金</t>
        </is>
      </c>
      <c r="C901" t="n">
        <v>31.4</v>
      </c>
      <c r="D901" t="n">
        <v>32.2</v>
      </c>
      <c r="E901" s="730" t="n">
        <v>0.75</v>
      </c>
      <c r="F901" s="731" t="n">
        <v>2.38</v>
      </c>
      <c r="G901" t="inlineStr">
        <is>
          <t>24.8億</t>
        </is>
      </c>
      <c r="H901" t="n">
        <v>77550</v>
      </c>
      <c r="I901" t="n">
        <v>69659</v>
      </c>
      <c r="J901" t="n">
        <v>1617.4</v>
      </c>
      <c r="K901" t="n">
        <v>32.2</v>
      </c>
      <c r="L901" t="n">
        <v>31.4</v>
      </c>
      <c r="M901" s="155" t="n">
        <v>0.48</v>
      </c>
      <c r="N901" t="inlineStr">
        <is>
          <t>以玉山銀行為主體的金控公司</t>
        </is>
      </c>
    </row>
    <row r="902">
      <c r="A902" t="n">
        <v>2885</v>
      </c>
      <c r="B902" t="inlineStr">
        <is>
          <t>元大金</t>
        </is>
      </c>
      <c r="C902" t="n">
        <v>59.1</v>
      </c>
      <c r="D902" t="n">
        <v>59.6</v>
      </c>
      <c r="E902" s="730" t="n">
        <v>0.4</v>
      </c>
      <c r="F902" s="731" t="n">
        <v>0.68</v>
      </c>
      <c r="G902" t="inlineStr">
        <is>
          <t>18.2億</t>
        </is>
      </c>
      <c r="H902" t="n">
        <v>30667</v>
      </c>
      <c r="I902" t="n">
        <v>47590</v>
      </c>
      <c r="J902" t="n">
        <v>1333.11</v>
      </c>
      <c r="K902" t="n">
        <v>59.9</v>
      </c>
      <c r="L902" t="n">
        <v>58.9</v>
      </c>
      <c r="M902" s="155" t="n">
        <v>0.23</v>
      </c>
      <c r="N902" t="inlineStr">
        <is>
          <t>以證券為主體金控公司，旗下元大證券為台灣最大券商</t>
        </is>
      </c>
    </row>
    <row r="903">
      <c r="A903" t="n">
        <v>2886</v>
      </c>
      <c r="B903" t="inlineStr">
        <is>
          <t>兆豐金</t>
        </is>
      </c>
      <c r="C903" t="n">
        <v>41.2</v>
      </c>
      <c r="D903" t="n">
        <v>41.7</v>
      </c>
      <c r="E903" s="730" t="n">
        <v>0.25</v>
      </c>
      <c r="F903" s="731" t="n">
        <v>0.6</v>
      </c>
      <c r="G903" t="inlineStr">
        <is>
          <t>29.0億</t>
        </is>
      </c>
      <c r="H903" t="n">
        <v>69117</v>
      </c>
      <c r="I903" t="n">
        <v>53698</v>
      </c>
      <c r="J903" t="n">
        <v>1483.34</v>
      </c>
      <c r="K903" t="n">
        <v>42.4</v>
      </c>
      <c r="L903" t="n">
        <v>41.05</v>
      </c>
      <c r="M903" s="155" t="n">
        <v>0.47</v>
      </c>
      <c r="N903" t="inlineStr">
        <is>
          <t>具有國營背景的金控公司，旗下銀行為台灣主要企業聯貸銀行</t>
        </is>
      </c>
    </row>
    <row r="904">
      <c r="A904" t="n">
        <v>2887</v>
      </c>
      <c r="B904" t="inlineStr">
        <is>
          <t>台新新光金</t>
        </is>
      </c>
      <c r="C904" t="n">
        <v>24.45</v>
      </c>
      <c r="D904" t="n">
        <v>26.1</v>
      </c>
      <c r="E904" s="730" t="n">
        <v>1.5</v>
      </c>
      <c r="F904" s="731" t="n">
        <v>6.1</v>
      </c>
      <c r="G904" t="inlineStr">
        <is>
          <t>63.8億</t>
        </is>
      </c>
      <c r="H904" t="n">
        <v>254002</v>
      </c>
      <c r="I904" t="n">
        <v>181871</v>
      </c>
      <c r="J904" t="n">
        <v>2486.64</v>
      </c>
      <c r="K904" t="n">
        <v>26.1</v>
      </c>
      <c r="L904" t="n">
        <v>24.3</v>
      </c>
      <c r="M904" s="155" t="n">
        <v>1.02</v>
      </c>
      <c r="N904" t="inlineStr">
        <is>
          <t>以消費金融業務為主體之台灣金控公司</t>
        </is>
      </c>
    </row>
    <row r="905">
      <c r="A905" t="n">
        <v>2889</v>
      </c>
      <c r="B905" t="inlineStr">
        <is>
          <t>國票金</t>
        </is>
      </c>
      <c r="C905" t="n">
        <v>14.65</v>
      </c>
      <c r="D905" t="n">
        <v>14.75</v>
      </c>
      <c r="E905" s="730" t="n">
        <v>0</v>
      </c>
      <c r="F905" s="731" t="n">
        <v>0</v>
      </c>
      <c r="G905" t="inlineStr">
        <is>
          <t>7528萬</t>
        </is>
      </c>
      <c r="H905" t="n">
        <v>5149</v>
      </c>
      <c r="I905" t="n">
        <v>3298</v>
      </c>
      <c r="J905" t="n">
        <v>363.36</v>
      </c>
      <c r="K905" t="n">
        <v>14.8</v>
      </c>
      <c r="L905" t="n">
        <v>14.5</v>
      </c>
      <c r="M905" s="155" t="n">
        <v>0.14</v>
      </c>
      <c r="N905" t="inlineStr">
        <is>
          <t>台灣唯一以票券業務為主體之金控公司</t>
        </is>
      </c>
    </row>
    <row r="906">
      <c r="A906" t="n">
        <v>2890</v>
      </c>
      <c r="B906" t="inlineStr">
        <is>
          <t>永豐金</t>
        </is>
      </c>
      <c r="C906" t="n">
        <v>30.4</v>
      </c>
      <c r="D906" t="n">
        <v>31</v>
      </c>
      <c r="E906" s="730" t="n">
        <v>0.55</v>
      </c>
      <c r="F906" s="731" t="n">
        <v>1.81</v>
      </c>
      <c r="G906" t="inlineStr">
        <is>
          <t>16.4億</t>
        </is>
      </c>
      <c r="H906" t="n">
        <v>53150</v>
      </c>
      <c r="I906" t="n">
        <v>39895</v>
      </c>
      <c r="J906" t="n">
        <v>1449.23</v>
      </c>
      <c r="K906" t="n">
        <v>31</v>
      </c>
      <c r="L906" t="n">
        <v>30.3</v>
      </c>
      <c r="M906" s="155" t="n">
        <v>0.37</v>
      </c>
      <c r="N906" t="inlineStr">
        <is>
          <t>以銀行為主體的的大型金控，旗下另有證券、投信業務</t>
        </is>
      </c>
    </row>
    <row r="907">
      <c r="A907" t="n">
        <v>2891</v>
      </c>
      <c r="B907" t="inlineStr">
        <is>
          <t>中信金</t>
        </is>
      </c>
      <c r="C907" t="n">
        <v>62</v>
      </c>
      <c r="D907" t="n">
        <v>64.09999999999999</v>
      </c>
      <c r="E907" s="730" t="n">
        <v>2</v>
      </c>
      <c r="F907" s="731" t="n">
        <v>3.22</v>
      </c>
      <c r="G907" t="inlineStr">
        <is>
          <t>44.5億</t>
        </is>
      </c>
      <c r="H907" t="n">
        <v>70071</v>
      </c>
      <c r="I907" t="n">
        <v>68705</v>
      </c>
      <c r="J907" t="n">
        <v>1967.69</v>
      </c>
      <c r="K907" t="n">
        <v>64.40000000000001</v>
      </c>
      <c r="L907" t="n">
        <v>61.8</v>
      </c>
      <c r="M907" s="155" t="n">
        <v>0.36</v>
      </c>
      <c r="N907" t="inlineStr">
        <is>
          <t>台灣資產規模前四大金控公司，旗下中信銀為最大信用卡發卡銀行</t>
        </is>
      </c>
    </row>
    <row r="908">
      <c r="A908" t="n">
        <v>2892</v>
      </c>
      <c r="B908" t="inlineStr">
        <is>
          <t>第一金</t>
        </is>
      </c>
      <c r="C908" t="n">
        <v>27.75</v>
      </c>
      <c r="D908" t="n">
        <v>28.15</v>
      </c>
      <c r="E908" s="730" t="n">
        <v>0.4</v>
      </c>
      <c r="F908" s="731" t="n">
        <v>1.44</v>
      </c>
      <c r="G908" t="inlineStr">
        <is>
          <t>16.1億</t>
        </is>
      </c>
      <c r="H908" t="n">
        <v>57629</v>
      </c>
      <c r="I908" t="n">
        <v>58257</v>
      </c>
      <c r="J908" t="n">
        <v>1437.95</v>
      </c>
      <c r="K908" t="n">
        <v>28.2</v>
      </c>
      <c r="L908" t="n">
        <v>27.7</v>
      </c>
      <c r="M908" s="155" t="n">
        <v>0.4</v>
      </c>
      <c r="N908" t="inlineStr">
        <is>
          <t>台灣前三大官股金控公司，旗下銀行為業界歷史悠久的三商銀之一</t>
        </is>
      </c>
    </row>
    <row r="909">
      <c r="A909" t="n">
        <v>2897</v>
      </c>
      <c r="B909" t="inlineStr">
        <is>
          <t>王道銀行</t>
        </is>
      </c>
      <c r="C909" t="n">
        <v>9.92</v>
      </c>
      <c r="D909" t="n">
        <v>10</v>
      </c>
      <c r="E909" s="730" t="n">
        <v>0.06</v>
      </c>
      <c r="F909" s="731" t="n">
        <v>0.6</v>
      </c>
      <c r="G909" t="inlineStr">
        <is>
          <t>6809萬</t>
        </is>
      </c>
      <c r="H909" t="n">
        <v>6820</v>
      </c>
      <c r="I909" t="n">
        <v>4419</v>
      </c>
      <c r="J909" t="n">
        <v>280.54</v>
      </c>
      <c r="K909" t="n">
        <v>10.05</v>
      </c>
      <c r="L909" t="n">
        <v>9.9</v>
      </c>
      <c r="M909" s="155" t="n">
        <v>0.24</v>
      </c>
      <c r="N909" t="inlineStr">
        <is>
          <t>前身為台灣工業銀行，台灣第一家數位銀行</t>
        </is>
      </c>
    </row>
    <row r="910">
      <c r="A910" t="n">
        <v>2901</v>
      </c>
      <c r="B910" t="inlineStr">
        <is>
          <t>欣欣</t>
        </is>
      </c>
      <c r="C910" t="n">
        <v>22.9</v>
      </c>
      <c r="D910" t="n">
        <v>23.5</v>
      </c>
      <c r="E910" s="730" t="n">
        <v>0</v>
      </c>
      <c r="F910" s="731" t="n">
        <v>0</v>
      </c>
      <c r="G910" t="inlineStr">
        <is>
          <t>239萬</t>
        </is>
      </c>
      <c r="H910" t="n">
        <v>103</v>
      </c>
      <c r="I910" t="n">
        <v>26</v>
      </c>
      <c r="J910" t="n">
        <v>7.3</v>
      </c>
      <c r="K910" t="n">
        <v>23.5</v>
      </c>
      <c r="L910" t="n">
        <v>22.9</v>
      </c>
      <c r="M910" s="155" t="n">
        <v>0.14</v>
      </c>
      <c r="N910" t="inlineStr">
        <is>
          <t>位於台北市中山區精華地段之百貨業者，退撫會為最大股東</t>
        </is>
      </c>
    </row>
    <row r="911">
      <c r="A911" t="n">
        <v>2903</v>
      </c>
      <c r="B911" t="inlineStr">
        <is>
          <t>遠百</t>
        </is>
      </c>
      <c r="C911" t="n">
        <v>21.8</v>
      </c>
      <c r="D911" t="n">
        <v>22.15</v>
      </c>
      <c r="E911" s="730" t="n">
        <v>0.25</v>
      </c>
      <c r="F911" s="731" t="n">
        <v>1.14</v>
      </c>
      <c r="G911" t="inlineStr">
        <is>
          <t>7286萬</t>
        </is>
      </c>
      <c r="H911" t="n">
        <v>3314</v>
      </c>
      <c r="I911" t="n">
        <v>2614</v>
      </c>
      <c r="J911" t="n">
        <v>141.69</v>
      </c>
      <c r="K911" t="n">
        <v>22.2</v>
      </c>
      <c r="L911" t="n">
        <v>21.75</v>
      </c>
      <c r="M911" s="155" t="n">
        <v>0.23</v>
      </c>
      <c r="N911" t="inlineStr">
        <is>
          <t>隸屬遠東集團，合併SOGO百貨成為台灣百貨業龍頭</t>
        </is>
      </c>
    </row>
    <row r="912">
      <c r="A912" t="n">
        <v>2904</v>
      </c>
      <c r="B912" t="inlineStr">
        <is>
          <t>匯僑</t>
        </is>
      </c>
      <c r="C912" t="n">
        <v>14.2</v>
      </c>
      <c r="D912" t="n">
        <v>14.2</v>
      </c>
      <c r="E912" s="730" t="n">
        <v>0</v>
      </c>
      <c r="F912" s="731" t="n">
        <v>0</v>
      </c>
      <c r="G912" t="inlineStr">
        <is>
          <t>53.7萬</t>
        </is>
      </c>
      <c r="H912" t="n">
        <v>38</v>
      </c>
      <c r="I912" t="n">
        <v>75</v>
      </c>
      <c r="J912" t="n">
        <v>7.78</v>
      </c>
      <c r="K912" t="n">
        <v>14.3</v>
      </c>
      <c r="L912" t="n">
        <v>14.05</v>
      </c>
      <c r="M912" s="155" t="n">
        <v>0.05</v>
      </c>
      <c r="N912" t="inlineStr">
        <is>
          <t>台灣專業的石化倉儲廠</t>
        </is>
      </c>
    </row>
    <row r="913">
      <c r="A913" t="n">
        <v>2905</v>
      </c>
      <c r="B913" t="inlineStr">
        <is>
          <t>三商</t>
        </is>
      </c>
      <c r="C913" t="n">
        <v>13.7</v>
      </c>
      <c r="D913" t="n">
        <v>14</v>
      </c>
      <c r="E913" s="730" t="n">
        <v>0.3</v>
      </c>
      <c r="F913" s="731" t="n">
        <v>2.19</v>
      </c>
      <c r="G913" t="inlineStr">
        <is>
          <t>1342萬</t>
        </is>
      </c>
      <c r="H913" t="n">
        <v>969</v>
      </c>
      <c r="I913" t="n">
        <v>682</v>
      </c>
      <c r="J913" t="n">
        <v>111.04</v>
      </c>
      <c r="K913" t="n">
        <v>14.1</v>
      </c>
      <c r="L913" t="n">
        <v>13.6</v>
      </c>
      <c r="M913" s="155" t="n">
        <v>0.09</v>
      </c>
      <c r="N913" t="inlineStr">
        <is>
          <t>轉投資子公司業務包含壽險、零售、餐飲、資訊服務、製藥等</t>
        </is>
      </c>
    </row>
    <row r="914">
      <c r="A914" t="n">
        <v>2906</v>
      </c>
      <c r="B914" t="inlineStr">
        <is>
          <t>高林</t>
        </is>
      </c>
      <c r="C914" t="n">
        <v>12.5</v>
      </c>
      <c r="D914" t="n">
        <v>12.5</v>
      </c>
      <c r="E914" s="730" t="n">
        <v>-0.05</v>
      </c>
      <c r="F914" s="731" t="n">
        <v>-0.4</v>
      </c>
      <c r="G914" t="inlineStr">
        <is>
          <t>387萬</t>
        </is>
      </c>
      <c r="H914" t="n">
        <v>309</v>
      </c>
      <c r="I914" t="n">
        <v>280</v>
      </c>
      <c r="J914" t="n">
        <v>20.91</v>
      </c>
      <c r="K914" t="n">
        <v>12.6</v>
      </c>
      <c r="L914" t="n">
        <v>12.45</v>
      </c>
      <c r="M914" s="155" t="n">
        <v>0.15</v>
      </c>
      <c r="N914" t="inlineStr">
        <is>
          <t>為國內知名貿易商，並代理G2000等多項品牌服飾</t>
        </is>
      </c>
    </row>
    <row r="915">
      <c r="A915" t="n">
        <v>2908</v>
      </c>
      <c r="B915" t="inlineStr">
        <is>
          <t>特力</t>
        </is>
      </c>
      <c r="C915" t="n">
        <v>21.5</v>
      </c>
      <c r="D915" t="n">
        <v>21.75</v>
      </c>
      <c r="E915" s="730" t="n">
        <v>0.2</v>
      </c>
      <c r="F915" s="731" t="n">
        <v>0.93</v>
      </c>
      <c r="G915" t="inlineStr">
        <is>
          <t>1072萬</t>
        </is>
      </c>
      <c r="H915" t="n">
        <v>495</v>
      </c>
      <c r="I915" t="n">
        <v>444</v>
      </c>
      <c r="J915" t="n">
        <v>50.99</v>
      </c>
      <c r="K915" t="n">
        <v>21.75</v>
      </c>
      <c r="L915" t="n">
        <v>21.45</v>
      </c>
      <c r="M915" s="155" t="n">
        <v>0.1</v>
      </c>
      <c r="N915" t="inlineStr">
        <is>
          <t>海內外家居用品貿易商，擁有特力屋、HOLA零售品牌</t>
        </is>
      </c>
    </row>
    <row r="916">
      <c r="A916" t="n">
        <v>2910</v>
      </c>
      <c r="B916" t="inlineStr">
        <is>
          <t>統領</t>
        </is>
      </c>
      <c r="C916" t="n">
        <v>22.35</v>
      </c>
      <c r="D916" t="n">
        <v>22</v>
      </c>
      <c r="E916" s="730" t="n">
        <v>0</v>
      </c>
      <c r="F916" s="731" t="n">
        <v>0</v>
      </c>
      <c r="G916" t="inlineStr">
        <is>
          <t>22.0萬</t>
        </is>
      </c>
      <c r="H916" t="n">
        <v>10</v>
      </c>
      <c r="I916" t="n">
        <v>13</v>
      </c>
      <c r="J916" t="n">
        <v>17.54</v>
      </c>
      <c r="K916" t="n">
        <v>22.35</v>
      </c>
      <c r="L916" t="n">
        <v>21.85</v>
      </c>
      <c r="M916" s="155" t="n">
        <v>0.01</v>
      </c>
      <c r="N916" t="inlineStr">
        <is>
          <t>由百貨公司跨足至營建之業者</t>
        </is>
      </c>
    </row>
    <row r="917">
      <c r="A917" t="n">
        <v>2911</v>
      </c>
      <c r="B917" t="inlineStr">
        <is>
          <t>麗嬰房</t>
        </is>
      </c>
      <c r="C917" t="n">
        <v>8.15</v>
      </c>
      <c r="D917" t="n">
        <v>8</v>
      </c>
      <c r="E917" s="730" t="n">
        <v>0.32</v>
      </c>
      <c r="F917" s="731" t="n">
        <v>4.17</v>
      </c>
      <c r="G917" t="inlineStr">
        <is>
          <t>253萬</t>
        </is>
      </c>
      <c r="H917" t="n">
        <v>319</v>
      </c>
      <c r="I917" t="n">
        <v>1453</v>
      </c>
      <c r="J917" t="n">
        <v>10.51</v>
      </c>
      <c r="K917" t="n">
        <v>8.23</v>
      </c>
      <c r="L917" t="n">
        <v>7.74</v>
      </c>
      <c r="M917" s="155" t="n">
        <v>0.3</v>
      </c>
      <c r="N917" t="inlineStr">
        <is>
          <t>台灣嬰幼童服飾第一大品牌</t>
        </is>
      </c>
    </row>
    <row r="918">
      <c r="A918" t="n">
        <v>2912</v>
      </c>
      <c r="B918" t="inlineStr">
        <is>
          <t>統一超</t>
        </is>
      </c>
      <c r="C918" t="n">
        <v>225.5</v>
      </c>
      <c r="D918" t="n">
        <v>233</v>
      </c>
      <c r="E918" s="730" t="n">
        <v>5.5</v>
      </c>
      <c r="F918" s="731" t="n">
        <v>2.42</v>
      </c>
      <c r="G918" t="inlineStr">
        <is>
          <t>31.0億</t>
        </is>
      </c>
      <c r="H918" t="n">
        <v>13500</v>
      </c>
      <c r="I918" t="n">
        <v>15188</v>
      </c>
      <c r="J918" t="n">
        <v>103.96</v>
      </c>
      <c r="K918" t="n">
        <v>233.5</v>
      </c>
      <c r="L918" t="n">
        <v>220</v>
      </c>
      <c r="M918" s="155" t="n">
        <v>1.3</v>
      </c>
      <c r="N918" t="inlineStr">
        <is>
          <t>經營7-11為台灣超商龍頭，隸屬統一集團</t>
        </is>
      </c>
    </row>
    <row r="919">
      <c r="A919" t="n">
        <v>2913</v>
      </c>
      <c r="B919" t="inlineStr">
        <is>
          <t>農林</t>
        </is>
      </c>
      <c r="C919" t="n">
        <v>11.2</v>
      </c>
      <c r="D919" t="n">
        <v>11.3</v>
      </c>
      <c r="E919" s="730" t="n">
        <v>0.2</v>
      </c>
      <c r="F919" s="731" t="n">
        <v>1.8</v>
      </c>
      <c r="G919" t="inlineStr">
        <is>
          <t>2528萬</t>
        </is>
      </c>
      <c r="H919" t="n">
        <v>2264</v>
      </c>
      <c r="I919" t="n">
        <v>2404</v>
      </c>
      <c r="J919" t="n">
        <v>79</v>
      </c>
      <c r="K919" t="n">
        <v>11.3</v>
      </c>
      <c r="L919" t="n">
        <v>11</v>
      </c>
      <c r="M919" s="155" t="n">
        <v>0.32</v>
      </c>
      <c r="N919" t="inlineStr">
        <is>
          <t>台灣茶葉產製銷一條龍企業</t>
        </is>
      </c>
    </row>
    <row r="920">
      <c r="A920" t="n">
        <v>2915</v>
      </c>
      <c r="B920" t="inlineStr">
        <is>
          <t>潤泰全</t>
        </is>
      </c>
      <c r="C920" t="n">
        <v>45.15</v>
      </c>
      <c r="D920" t="n">
        <v>45.9</v>
      </c>
      <c r="E920" s="730" t="n">
        <v>0.65</v>
      </c>
      <c r="F920" s="731" t="n">
        <v>1.44</v>
      </c>
      <c r="G920" t="inlineStr">
        <is>
          <t>1.23億</t>
        </is>
      </c>
      <c r="H920" t="n">
        <v>2711</v>
      </c>
      <c r="I920" t="n">
        <v>3514</v>
      </c>
      <c r="J920" t="n">
        <v>110.43</v>
      </c>
      <c r="K920" t="n">
        <v>46.15</v>
      </c>
      <c r="L920" t="n">
        <v>44.95</v>
      </c>
      <c r="M920" s="155" t="n">
        <v>0.25</v>
      </c>
      <c r="N920" t="inlineStr">
        <is>
          <t>潤泰集團旗下，經營紡織貿易、零售事業之控股公司</t>
        </is>
      </c>
    </row>
    <row r="921">
      <c r="A921" t="n">
        <v>2916</v>
      </c>
      <c r="B921" t="inlineStr">
        <is>
          <t>滿心</t>
        </is>
      </c>
      <c r="C921" t="n">
        <v>43.45</v>
      </c>
      <c r="D921" t="n">
        <v>43.35</v>
      </c>
      <c r="E921" s="730" t="n">
        <v>-0.1</v>
      </c>
      <c r="F921" s="731" t="n">
        <v>-0.23</v>
      </c>
      <c r="G921" t="inlineStr">
        <is>
          <t>441萬</t>
        </is>
      </c>
      <c r="H921" t="n">
        <v>103</v>
      </c>
      <c r="I921" t="n">
        <v>318</v>
      </c>
      <c r="J921" t="n">
        <v>6.46</v>
      </c>
      <c r="K921" t="n">
        <v>43.45</v>
      </c>
      <c r="L921" t="n">
        <v>43.2</v>
      </c>
      <c r="M921" s="155" t="n">
        <v>0.16</v>
      </c>
      <c r="N921" t="inlineStr">
        <is>
          <t>台灣前二大代理知名品牌服飾廠商</t>
        </is>
      </c>
    </row>
    <row r="922">
      <c r="A922" t="n">
        <v>2923</v>
      </c>
      <c r="B922" t="inlineStr">
        <is>
          <t>鼎固-KY</t>
        </is>
      </c>
      <c r="C922" t="n">
        <v>25.4</v>
      </c>
      <c r="D922" t="n">
        <v>26.2</v>
      </c>
      <c r="E922" s="730" t="n">
        <v>0.5</v>
      </c>
      <c r="F922" s="731" t="n">
        <v>1.95</v>
      </c>
      <c r="G922" t="inlineStr">
        <is>
          <t>352萬</t>
        </is>
      </c>
      <c r="H922" t="n">
        <v>136</v>
      </c>
      <c r="I922" t="n">
        <v>121</v>
      </c>
      <c r="J922" t="n">
        <v>174.03</v>
      </c>
      <c r="K922" t="n">
        <v>26.6</v>
      </c>
      <c r="L922" t="n">
        <v>25</v>
      </c>
      <c r="M922" s="155" t="n">
        <v>0.01</v>
      </c>
      <c r="N922" t="inlineStr">
        <is>
          <t>日月光轉投資的房地產開發商</t>
        </is>
      </c>
    </row>
    <row r="923">
      <c r="A923" t="n">
        <v>2924</v>
      </c>
      <c r="B923" t="inlineStr">
        <is>
          <t>宏太-KY</t>
        </is>
      </c>
      <c r="C923" t="n">
        <v>15.35</v>
      </c>
      <c r="D923" t="n">
        <v>16.3</v>
      </c>
      <c r="E923" s="730" t="n">
        <v>0.5</v>
      </c>
      <c r="F923" s="731" t="n">
        <v>3.16</v>
      </c>
      <c r="G923" t="inlineStr">
        <is>
          <t>7.79萬</t>
        </is>
      </c>
      <c r="H923" t="n">
        <v>5</v>
      </c>
      <c r="I923" t="n">
        <v>5</v>
      </c>
      <c r="J923" t="n">
        <v>5.2</v>
      </c>
      <c r="K923" t="n">
        <v>16.3</v>
      </c>
      <c r="L923" t="n">
        <v>15.25</v>
      </c>
      <c r="M923" s="155" t="n">
        <v>0.01</v>
      </c>
      <c r="N923" t="inlineStr">
        <is>
          <t>以「黃色小鴨」品牌在兩岸經營嬰童產品</t>
        </is>
      </c>
    </row>
    <row r="924">
      <c r="A924" t="n">
        <v>2926</v>
      </c>
      <c r="B924" t="inlineStr">
        <is>
          <t>誠品生活</t>
        </is>
      </c>
      <c r="C924" t="n">
        <v>34.65</v>
      </c>
      <c r="D924" t="n">
        <v>34.5</v>
      </c>
      <c r="E924" s="730" t="n">
        <v>-0.4</v>
      </c>
      <c r="F924" s="731" t="n">
        <v>-1.15</v>
      </c>
      <c r="G924" t="inlineStr">
        <is>
          <t>96.0萬</t>
        </is>
      </c>
      <c r="H924" t="n">
        <v>28</v>
      </c>
      <c r="I924" t="n">
        <v>36</v>
      </c>
      <c r="J924" t="n">
        <v>4.74</v>
      </c>
      <c r="K924" t="n">
        <v>34.65</v>
      </c>
      <c r="L924" t="n">
        <v>34</v>
      </c>
      <c r="M924" s="155" t="n">
        <v>0.06</v>
      </c>
      <c r="N924" t="inlineStr">
        <is>
          <t>誠品集團旗下百貨通路及餐旅業者</t>
        </is>
      </c>
    </row>
    <row r="925">
      <c r="A925" t="n">
        <v>2929</v>
      </c>
      <c r="B925" t="inlineStr">
        <is>
          <t>淘帝-KY</t>
        </is>
      </c>
      <c r="C925" t="n">
        <v>5.8</v>
      </c>
      <c r="D925" t="n">
        <v>6.05</v>
      </c>
      <c r="E925" s="730" t="n">
        <v>0.26</v>
      </c>
      <c r="F925" s="731" t="n">
        <v>4.49</v>
      </c>
      <c r="G925" t="inlineStr">
        <is>
          <t>413萬</t>
        </is>
      </c>
      <c r="H925" t="n">
        <v>686</v>
      </c>
      <c r="I925" t="n">
        <v>1268</v>
      </c>
      <c r="J925" t="n">
        <v>10.95</v>
      </c>
      <c r="K925" t="n">
        <v>6.2</v>
      </c>
      <c r="L925" t="n">
        <v>5.8</v>
      </c>
      <c r="M925" s="155" t="n">
        <v>0.63</v>
      </c>
      <c r="N925" t="inlineStr">
        <is>
          <t>為中國大陸童裝前十大品牌廠</t>
        </is>
      </c>
    </row>
    <row r="926">
      <c r="A926" t="n">
        <v>2937</v>
      </c>
      <c r="B926" t="inlineStr">
        <is>
          <t>集雅社</t>
        </is>
      </c>
      <c r="C926" t="n">
        <v>48.6</v>
      </c>
      <c r="D926" t="n">
        <v>48.5</v>
      </c>
      <c r="E926" s="730" t="n">
        <v>-0.1</v>
      </c>
      <c r="F926" s="731" t="n">
        <v>-0.21</v>
      </c>
      <c r="G926" t="inlineStr">
        <is>
          <t>38.8萬</t>
        </is>
      </c>
      <c r="H926" t="n">
        <v>8</v>
      </c>
      <c r="I926" t="n">
        <v>8</v>
      </c>
      <c r="J926" t="n">
        <v>4.35</v>
      </c>
      <c r="K926" t="n">
        <v>48.6</v>
      </c>
      <c r="L926" t="n">
        <v>47.95</v>
      </c>
      <c r="M926" s="155" t="n">
        <v>0.02</v>
      </c>
      <c r="N926" t="inlineStr">
        <is>
          <t>百貨家電龍頭通路商</t>
        </is>
      </c>
    </row>
    <row r="927">
      <c r="A927" t="n">
        <v>2939</v>
      </c>
      <c r="B927" t="inlineStr">
        <is>
          <t>永邑-KY</t>
        </is>
      </c>
      <c r="C927" t="n">
        <v>22.2</v>
      </c>
      <c r="D927" t="n">
        <v>21.05</v>
      </c>
      <c r="E927" s="730" t="n">
        <v>0.05</v>
      </c>
      <c r="F927" s="731" t="n">
        <v>0.24</v>
      </c>
      <c r="G927" t="inlineStr">
        <is>
          <t>51.1萬</t>
        </is>
      </c>
      <c r="H927" t="n">
        <v>24</v>
      </c>
      <c r="I927" t="n">
        <v>15</v>
      </c>
      <c r="J927" t="n">
        <v>4.55</v>
      </c>
      <c r="K927" t="n">
        <v>22.2</v>
      </c>
      <c r="L927" t="n">
        <v>21.05</v>
      </c>
      <c r="M927" s="155" t="n">
        <v>0.05</v>
      </c>
      <c r="N927" t="inlineStr">
        <is>
          <t>生活應用產品開發供應商</t>
        </is>
      </c>
    </row>
    <row r="928">
      <c r="A928" t="n">
        <v>2941</v>
      </c>
      <c r="B928" t="inlineStr">
        <is>
          <t>米斯特</t>
        </is>
      </c>
      <c r="C928" t="n">
        <v>30.35</v>
      </c>
      <c r="D928" t="n">
        <v>30.75</v>
      </c>
      <c r="E928" s="730" t="n">
        <v>-0.25</v>
      </c>
      <c r="F928" s="731" t="n">
        <v>-0.8100000000000001</v>
      </c>
      <c r="G928" t="inlineStr">
        <is>
          <t>42.3萬</t>
        </is>
      </c>
      <c r="H928" t="n">
        <v>15</v>
      </c>
      <c r="I928" t="n">
        <v>6</v>
      </c>
      <c r="J928" t="n">
        <v>1.54</v>
      </c>
      <c r="K928" t="n">
        <v>30.75</v>
      </c>
      <c r="L928" t="n">
        <v>30</v>
      </c>
      <c r="M928" s="155" t="n">
        <v>0.1</v>
      </c>
      <c r="N928" t="inlineStr">
        <is>
          <t>台灣服飾品牌OMO零售商</t>
        </is>
      </c>
    </row>
    <row r="929">
      <c r="A929" t="n">
        <v>2945</v>
      </c>
      <c r="B929" t="inlineStr">
        <is>
          <t>三商家購</t>
        </is>
      </c>
      <c r="C929" t="n">
        <v>41.7</v>
      </c>
      <c r="D929" t="n">
        <v>42.3</v>
      </c>
      <c r="E929" s="730" t="n">
        <v>0.6</v>
      </c>
      <c r="F929" s="731" t="n">
        <v>1.44</v>
      </c>
      <c r="G929" t="inlineStr">
        <is>
          <t>244萬</t>
        </is>
      </c>
      <c r="H929" t="n">
        <v>58</v>
      </c>
      <c r="I929" t="n">
        <v>15</v>
      </c>
      <c r="J929" t="n">
        <v>6.75</v>
      </c>
      <c r="K929" t="n">
        <v>42.3</v>
      </c>
      <c r="L929" t="n">
        <v>41.2</v>
      </c>
      <c r="M929" s="155" t="n">
        <v>0.09</v>
      </c>
      <c r="N929" t="inlineStr">
        <is>
          <t>三商旗下社區型連鎖超市業者</t>
        </is>
      </c>
    </row>
    <row r="930">
      <c r="A930" t="n">
        <v>2947</v>
      </c>
      <c r="B930" t="inlineStr">
        <is>
          <t>振宇五金</t>
        </is>
      </c>
      <c r="C930" t="n">
        <v>77.5</v>
      </c>
      <c r="D930" t="n">
        <v>77.3</v>
      </c>
      <c r="E930" s="730" t="n">
        <v>-0.2</v>
      </c>
      <c r="F930" s="731" t="n">
        <v>-0.26</v>
      </c>
      <c r="G930" t="inlineStr">
        <is>
          <t>101萬</t>
        </is>
      </c>
      <c r="H930" t="n">
        <v>13</v>
      </c>
      <c r="I930" t="n">
        <v>19</v>
      </c>
      <c r="J930" t="n">
        <v>2.15</v>
      </c>
      <c r="K930" t="n">
        <v>77.5</v>
      </c>
      <c r="L930" t="n">
        <v>77.3</v>
      </c>
      <c r="M930" s="155" t="n">
        <v>0.06</v>
      </c>
      <c r="N930" t="inlineStr">
        <is>
          <t>大型五金修繕專業賣場</t>
        </is>
      </c>
    </row>
    <row r="931">
      <c r="A931" t="n">
        <v>2948</v>
      </c>
      <c r="B931" t="inlineStr">
        <is>
          <t>寶陞</t>
        </is>
      </c>
      <c r="C931" t="n">
        <v>36.35</v>
      </c>
      <c r="D931" t="n">
        <v>37.9</v>
      </c>
      <c r="E931" s="730" t="n">
        <v>-0.05</v>
      </c>
      <c r="F931" s="731" t="n">
        <v>-0.13</v>
      </c>
      <c r="G931" t="inlineStr">
        <is>
          <t>7.42萬</t>
        </is>
      </c>
      <c r="H931" t="n">
        <v>2</v>
      </c>
      <c r="I931" t="n">
        <v>4</v>
      </c>
      <c r="J931" t="n">
        <v>3.1</v>
      </c>
      <c r="K931" t="n">
        <v>37.9</v>
      </c>
      <c r="L931" t="n">
        <v>36.35</v>
      </c>
      <c r="M931" s="155" t="n">
        <v>0.01</v>
      </c>
      <c r="N931" t="inlineStr">
        <is>
          <t>代理及自有地板品牌及室內建材銷售商</t>
        </is>
      </c>
    </row>
    <row r="932">
      <c r="A932" t="n">
        <v>2949</v>
      </c>
      <c r="B932" t="inlineStr">
        <is>
          <t>欣新網</t>
        </is>
      </c>
      <c r="C932" t="n">
        <v>63.5</v>
      </c>
      <c r="D932" t="n">
        <v>63.5</v>
      </c>
      <c r="E932" s="730" t="n">
        <v>0</v>
      </c>
      <c r="F932" s="731" t="n">
        <v>0</v>
      </c>
      <c r="G932" t="inlineStr">
        <is>
          <t>82.2萬</t>
        </is>
      </c>
      <c r="H932" t="n">
        <v>13</v>
      </c>
      <c r="I932" t="n">
        <v>9</v>
      </c>
      <c r="J932" t="n">
        <v>3.06</v>
      </c>
      <c r="K932" t="n">
        <v>63.5</v>
      </c>
      <c r="L932" t="n">
        <v>62.9</v>
      </c>
      <c r="M932" s="155" t="n">
        <v>0.04</v>
      </c>
      <c r="N932" t="inlineStr">
        <is>
          <t>台灣電商營運服務商</t>
        </is>
      </c>
    </row>
    <row r="933">
      <c r="A933" t="n">
        <v>3002</v>
      </c>
      <c r="B933" t="inlineStr">
        <is>
          <t>歐格</t>
        </is>
      </c>
      <c r="C933" t="n">
        <v>20.25</v>
      </c>
      <c r="D933" t="n">
        <v>20.45</v>
      </c>
      <c r="E933" s="730" t="n">
        <v>1</v>
      </c>
      <c r="F933" s="731" t="n">
        <v>5.14</v>
      </c>
      <c r="G933" t="inlineStr">
        <is>
          <t>7252萬</t>
        </is>
      </c>
      <c r="H933" t="n">
        <v>3656</v>
      </c>
      <c r="I933" t="n">
        <v>497</v>
      </c>
      <c r="J933" t="n">
        <v>10.2</v>
      </c>
      <c r="K933" t="n">
        <v>20.95</v>
      </c>
      <c r="L933" t="n">
        <v>18.45</v>
      </c>
      <c r="M933" s="155" t="n">
        <v>3.58</v>
      </c>
      <c r="N933" t="inlineStr">
        <is>
          <t>台灣電源管理與智慧家庭解決方案領導廠商</t>
        </is>
      </c>
    </row>
    <row r="934">
      <c r="A934" t="n">
        <v>3003</v>
      </c>
      <c r="B934" t="inlineStr">
        <is>
          <t>健和興</t>
        </is>
      </c>
      <c r="C934" t="n">
        <v>62.1</v>
      </c>
      <c r="D934" t="n">
        <v>61.8</v>
      </c>
      <c r="E934" s="730" t="n">
        <v>-0.3</v>
      </c>
      <c r="F934" s="731" t="n">
        <v>-0.48</v>
      </c>
      <c r="G934" t="inlineStr">
        <is>
          <t>6625萬</t>
        </is>
      </c>
      <c r="H934" t="n">
        <v>1085</v>
      </c>
      <c r="I934" t="n">
        <v>1873</v>
      </c>
      <c r="J934" t="n">
        <v>15.57</v>
      </c>
      <c r="K934" t="n">
        <v>62.1</v>
      </c>
      <c r="L934" t="n">
        <v>60.3</v>
      </c>
      <c r="M934" s="155" t="n">
        <v>0.7</v>
      </c>
      <c r="N934" t="inlineStr">
        <is>
          <t>各種應用之連接器及配線器材生產</t>
        </is>
      </c>
    </row>
    <row r="935">
      <c r="A935" t="n">
        <v>3004</v>
      </c>
      <c r="B935" t="inlineStr">
        <is>
          <t>豐達科</t>
        </is>
      </c>
      <c r="C935" t="n">
        <v>123.5</v>
      </c>
      <c r="D935" t="n">
        <v>119.5</v>
      </c>
      <c r="E935" s="730" t="n">
        <v>-4</v>
      </c>
      <c r="F935" s="731" t="n">
        <v>-3.24</v>
      </c>
      <c r="G935" t="inlineStr">
        <is>
          <t>7897萬</t>
        </is>
      </c>
      <c r="H935" t="n">
        <v>660</v>
      </c>
      <c r="I935" t="n">
        <v>1109</v>
      </c>
      <c r="J935" t="n">
        <v>6.44</v>
      </c>
      <c r="K935" t="n">
        <v>123.5</v>
      </c>
      <c r="L935" t="n">
        <v>118.5</v>
      </c>
      <c r="M935" s="155" t="n">
        <v>1.03</v>
      </c>
      <c r="N935" t="inlineStr">
        <is>
          <t>亞洲唯一合格航太扣件供應商</t>
        </is>
      </c>
    </row>
    <row r="936">
      <c r="A936" t="n">
        <v>3005</v>
      </c>
      <c r="B936" t="inlineStr">
        <is>
          <t>神基</t>
        </is>
      </c>
      <c r="C936" t="n">
        <v>108</v>
      </c>
      <c r="D936" t="n">
        <v>108.5</v>
      </c>
      <c r="E936" s="730" t="n">
        <v>1.5</v>
      </c>
      <c r="F936" s="731" t="n">
        <v>1.4</v>
      </c>
      <c r="G936" t="inlineStr">
        <is>
          <t>11.3億</t>
        </is>
      </c>
      <c r="H936" t="n">
        <v>10456</v>
      </c>
      <c r="I936" t="n">
        <v>5261</v>
      </c>
      <c r="J936" t="n">
        <v>62.43</v>
      </c>
      <c r="K936" t="n">
        <v>109.5</v>
      </c>
      <c r="L936" t="n">
        <v>106.5</v>
      </c>
      <c r="M936" s="155" t="n">
        <v>1.68</v>
      </c>
      <c r="N936" t="inlineStr">
        <is>
          <t>全球前三大軍工規電腦廠</t>
        </is>
      </c>
    </row>
    <row r="937">
      <c r="A937" t="n">
        <v>3006</v>
      </c>
      <c r="B937" t="inlineStr">
        <is>
          <t>晶豪科</t>
        </is>
      </c>
      <c r="C937" t="n">
        <v>254</v>
      </c>
      <c r="D937" t="n">
        <v>267.5</v>
      </c>
      <c r="E937" s="730" t="n">
        <v>17.5</v>
      </c>
      <c r="F937" s="731" t="n">
        <v>7</v>
      </c>
      <c r="G937" t="inlineStr">
        <is>
          <t>101億</t>
        </is>
      </c>
      <c r="H937" t="n">
        <v>38232</v>
      </c>
      <c r="I937" t="n">
        <v>25898</v>
      </c>
      <c r="J937" t="n">
        <v>29.81</v>
      </c>
      <c r="K937" t="n">
        <v>272</v>
      </c>
      <c r="L937" t="n">
        <v>249.5</v>
      </c>
      <c r="M937" s="155" t="n">
        <v>12.84</v>
      </c>
      <c r="N937" t="inlineStr">
        <is>
          <t>台灣利基型記憶體IC設計廠商</t>
        </is>
      </c>
    </row>
    <row r="938">
      <c r="A938" t="n">
        <v>3008</v>
      </c>
      <c r="B938" t="inlineStr">
        <is>
          <t>大立光</t>
        </is>
      </c>
      <c r="C938" t="n">
        <v>3780</v>
      </c>
      <c r="D938" t="n">
        <v>3850</v>
      </c>
      <c r="E938" s="730" t="n">
        <v>15</v>
      </c>
      <c r="F938" s="731" t="n">
        <v>0.39</v>
      </c>
      <c r="G938" t="inlineStr">
        <is>
          <t>29.6億</t>
        </is>
      </c>
      <c r="H938" t="n">
        <v>785</v>
      </c>
      <c r="I938" t="n">
        <v>1331</v>
      </c>
      <c r="J938" t="n">
        <v>13.08</v>
      </c>
      <c r="K938" t="n">
        <v>3850</v>
      </c>
      <c r="L938" t="n">
        <v>3705</v>
      </c>
      <c r="M938" s="155" t="n">
        <v>0.6</v>
      </c>
      <c r="N938" t="inlineStr">
        <is>
          <t>全球智慧型手機鏡頭龍頭廠</t>
        </is>
      </c>
    </row>
    <row r="939">
      <c r="A939" t="n">
        <v>3010</v>
      </c>
      <c r="B939" t="inlineStr">
        <is>
          <t>華立</t>
        </is>
      </c>
      <c r="C939" t="n">
        <v>138.5</v>
      </c>
      <c r="D939" t="n">
        <v>141</v>
      </c>
      <c r="E939" s="730" t="n">
        <v>2.5</v>
      </c>
      <c r="F939" s="731" t="n">
        <v>1.81</v>
      </c>
      <c r="G939" t="inlineStr">
        <is>
          <t>1.97億</t>
        </is>
      </c>
      <c r="H939" t="n">
        <v>1422</v>
      </c>
      <c r="I939" t="n">
        <v>1416</v>
      </c>
      <c r="J939" t="n">
        <v>25.94</v>
      </c>
      <c r="K939" t="n">
        <v>141</v>
      </c>
      <c r="L939" t="n">
        <v>136.5</v>
      </c>
      <c r="M939" s="155" t="n">
        <v>0.55</v>
      </c>
      <c r="N939" t="inlineStr">
        <is>
          <t>大中華半導體前段製程材料與化學品最大供應商</t>
        </is>
      </c>
    </row>
    <row r="940">
      <c r="A940" t="n">
        <v>3011</v>
      </c>
      <c r="B940" t="inlineStr">
        <is>
          <t>今皓</t>
        </is>
      </c>
      <c r="C940" t="n">
        <v>14.95</v>
      </c>
      <c r="D940" t="n">
        <v>14.9</v>
      </c>
      <c r="E940" s="730" t="n">
        <v>0.4</v>
      </c>
      <c r="F940" s="731" t="n">
        <v>2.76</v>
      </c>
      <c r="G940" t="inlineStr">
        <is>
          <t>1.00億</t>
        </is>
      </c>
      <c r="H940" t="n">
        <v>6773</v>
      </c>
      <c r="I940" t="n">
        <v>2467</v>
      </c>
      <c r="J940" t="n">
        <v>12.96</v>
      </c>
      <c r="K940" t="n">
        <v>15.15</v>
      </c>
      <c r="L940" t="n">
        <v>14.1</v>
      </c>
      <c r="M940" s="155" t="n">
        <v>5.78</v>
      </c>
      <c r="N940" t="inlineStr">
        <is>
          <t>3C產品之電源線供應大廠</t>
        </is>
      </c>
    </row>
    <row r="941">
      <c r="A941" t="n">
        <v>3013</v>
      </c>
      <c r="B941" t="inlineStr">
        <is>
          <t>晟銘電</t>
        </is>
      </c>
      <c r="C941" t="n">
        <v>129.5</v>
      </c>
      <c r="D941" t="n">
        <v>133.5</v>
      </c>
      <c r="E941" s="730" t="n">
        <v>10</v>
      </c>
      <c r="F941" s="731" t="n">
        <v>8.1</v>
      </c>
      <c r="G941" t="inlineStr">
        <is>
          <t>36.5億</t>
        </is>
      </c>
      <c r="H941" t="n">
        <v>27387</v>
      </c>
      <c r="I941" t="n">
        <v>8141</v>
      </c>
      <c r="J941" t="n">
        <v>20.51</v>
      </c>
      <c r="K941" t="n">
        <v>135.5</v>
      </c>
      <c r="L941" t="n">
        <v>129.5</v>
      </c>
      <c r="M941" s="155" t="n">
        <v>13.35</v>
      </c>
      <c r="N941" t="inlineStr">
        <is>
          <t>台灣伺服器機殼OEM/ODM製造商</t>
        </is>
      </c>
    </row>
    <row r="942">
      <c r="A942" t="n">
        <v>3014</v>
      </c>
      <c r="B942" t="inlineStr">
        <is>
          <t>聯陽</t>
        </is>
      </c>
      <c r="C942" t="n">
        <v>152</v>
      </c>
      <c r="D942" t="n">
        <v>151</v>
      </c>
      <c r="E942" s="730" t="n">
        <v>-1.5</v>
      </c>
      <c r="F942" s="731" t="n">
        <v>-0.98</v>
      </c>
      <c r="G942" t="inlineStr">
        <is>
          <t>3.81億</t>
        </is>
      </c>
      <c r="H942" t="n">
        <v>2541</v>
      </c>
      <c r="I942" t="n">
        <v>3053</v>
      </c>
      <c r="J942" t="n">
        <v>16.6</v>
      </c>
      <c r="K942" t="n">
        <v>153.5</v>
      </c>
      <c r="L942" t="n">
        <v>148.5</v>
      </c>
      <c r="M942" s="155" t="n">
        <v>1.53</v>
      </c>
      <c r="N942" t="inlineStr">
        <is>
          <t>全球輸出入(I/O)控制IC領導廠商</t>
        </is>
      </c>
    </row>
    <row r="943">
      <c r="A943" t="n">
        <v>3015</v>
      </c>
      <c r="B943" t="inlineStr">
        <is>
          <t>全漢</t>
        </is>
      </c>
      <c r="C943" t="n">
        <v>55.4</v>
      </c>
      <c r="D943" t="n">
        <v>54.5</v>
      </c>
      <c r="E943" s="730" t="n">
        <v>-0.7</v>
      </c>
      <c r="F943" s="731" t="n">
        <v>-1.27</v>
      </c>
      <c r="G943" t="inlineStr">
        <is>
          <t>1.80億</t>
        </is>
      </c>
      <c r="H943" t="n">
        <v>3314</v>
      </c>
      <c r="I943" t="n">
        <v>1108</v>
      </c>
      <c r="J943" t="n">
        <v>18.73</v>
      </c>
      <c r="K943" t="n">
        <v>55.5</v>
      </c>
      <c r="L943" t="n">
        <v>53.1</v>
      </c>
      <c r="M943" s="155" t="n">
        <v>1.77</v>
      </c>
      <c r="N943" t="inlineStr">
        <is>
          <t>全球前十大交換式電源供應器廠商</t>
        </is>
      </c>
    </row>
    <row r="944">
      <c r="A944" t="n">
        <v>3016</v>
      </c>
      <c r="B944" t="inlineStr">
        <is>
          <t>嘉晶</t>
        </is>
      </c>
      <c r="C944" t="n">
        <v>124.5</v>
      </c>
      <c r="D944" t="n">
        <v>118.5</v>
      </c>
      <c r="E944" s="730" t="n">
        <v>-7.5</v>
      </c>
      <c r="F944" s="731" t="n">
        <v>-5.95</v>
      </c>
      <c r="G944" t="inlineStr">
        <is>
          <t>9.45億</t>
        </is>
      </c>
      <c r="H944" t="n">
        <v>7770</v>
      </c>
      <c r="I944" t="n">
        <v>18605</v>
      </c>
      <c r="J944" t="n">
        <v>28.86</v>
      </c>
      <c r="K944" t="n">
        <v>126.5</v>
      </c>
      <c r="L944" t="n">
        <v>118.5</v>
      </c>
      <c r="M944" s="155" t="n">
        <v>2.69</v>
      </c>
      <c r="N944" t="inlineStr">
        <is>
          <t>台灣專業磊晶矽晶圓業者</t>
        </is>
      </c>
    </row>
    <row r="945">
      <c r="A945" t="n">
        <v>3017</v>
      </c>
      <c r="B945" t="inlineStr">
        <is>
          <t>奇鋐</t>
        </is>
      </c>
      <c r="C945" t="n">
        <v>2800</v>
      </c>
      <c r="D945" t="n">
        <v>2700</v>
      </c>
      <c r="E945" s="730" t="n">
        <v>-85</v>
      </c>
      <c r="F945" s="731" t="n">
        <v>-3.05</v>
      </c>
      <c r="G945" t="inlineStr">
        <is>
          <t>105億</t>
        </is>
      </c>
      <c r="H945" t="n">
        <v>3841</v>
      </c>
      <c r="I945" t="n">
        <v>6032</v>
      </c>
      <c r="J945" t="n">
        <v>39.25</v>
      </c>
      <c r="K945" t="n">
        <v>2835</v>
      </c>
      <c r="L945" t="n">
        <v>2650</v>
      </c>
      <c r="M945" s="155" t="n">
        <v>0.98</v>
      </c>
      <c r="N945" t="inlineStr">
        <is>
          <t>全球最大PC散熱模組廠</t>
        </is>
      </c>
    </row>
    <row r="946">
      <c r="A946" t="n">
        <v>3018</v>
      </c>
      <c r="B946" t="inlineStr">
        <is>
          <t>隆銘綠能</t>
        </is>
      </c>
      <c r="C946" t="n">
        <v>9.539999999999999</v>
      </c>
      <c r="D946" t="n">
        <v>9.42</v>
      </c>
      <c r="E946" s="730" t="n">
        <v>-0.12</v>
      </c>
      <c r="F946" s="731" t="n">
        <v>-1.26</v>
      </c>
      <c r="G946" t="inlineStr">
        <is>
          <t>24.8萬</t>
        </is>
      </c>
      <c r="H946" t="n">
        <v>26</v>
      </c>
      <c r="I946" t="n">
        <v>27</v>
      </c>
      <c r="J946" t="n">
        <v>7.54</v>
      </c>
      <c r="K946" t="n">
        <v>9.539999999999999</v>
      </c>
      <c r="L946" t="n">
        <v>9.42</v>
      </c>
      <c r="M946" s="155" t="n">
        <v>0.07000000000000001</v>
      </c>
      <c r="N946" t="inlineStr">
        <is>
          <t>台灣無塵室及工廠、住宅機電系統整合工程之大廠</t>
        </is>
      </c>
    </row>
    <row r="947">
      <c r="A947" t="n">
        <v>3019</v>
      </c>
      <c r="B947" t="inlineStr">
        <is>
          <t>亞光</t>
        </is>
      </c>
      <c r="C947" t="n">
        <v>157.5</v>
      </c>
      <c r="D947" t="n">
        <v>152.5</v>
      </c>
      <c r="E947" s="730" t="n">
        <v>-2.5</v>
      </c>
      <c r="F947" s="731" t="n">
        <v>-1.61</v>
      </c>
      <c r="G947" t="inlineStr">
        <is>
          <t>11.7億</t>
        </is>
      </c>
      <c r="H947" t="n">
        <v>7632</v>
      </c>
      <c r="I947" t="n">
        <v>8688</v>
      </c>
      <c r="J947" t="n">
        <v>27.92</v>
      </c>
      <c r="K947" t="n">
        <v>157.5</v>
      </c>
      <c r="L947" t="n">
        <v>150</v>
      </c>
      <c r="M947" s="155" t="n">
        <v>2.73</v>
      </c>
      <c r="N947" t="inlineStr">
        <is>
          <t>台灣光學鏡頭大廠，專注於玻璃鏡片與非球面模造玻璃</t>
        </is>
      </c>
    </row>
    <row r="948">
      <c r="A948" t="n">
        <v>3021</v>
      </c>
      <c r="B948" t="inlineStr">
        <is>
          <t>鴻名</t>
        </is>
      </c>
      <c r="C948" t="n">
        <v>36.4</v>
      </c>
      <c r="D948" t="n">
        <v>36.4</v>
      </c>
      <c r="E948" s="730" t="n">
        <v>3.3</v>
      </c>
      <c r="F948" s="731" t="n">
        <v>9.970000000000001</v>
      </c>
      <c r="G948" t="inlineStr">
        <is>
          <t>2.69億</t>
        </is>
      </c>
      <c r="H948" t="n">
        <v>7550</v>
      </c>
      <c r="I948" t="n">
        <v>740</v>
      </c>
      <c r="J948" t="n">
        <v>9.49</v>
      </c>
      <c r="K948" t="n">
        <v>36.4</v>
      </c>
      <c r="L948" t="n">
        <v>33.25</v>
      </c>
      <c r="M948" s="155" t="n">
        <v>7.96</v>
      </c>
      <c r="N948" t="inlineStr">
        <is>
          <t>提供3C產品線材、連接器及電子元件廠商</t>
        </is>
      </c>
    </row>
    <row r="949">
      <c r="A949" t="n">
        <v>3022</v>
      </c>
      <c r="B949" t="inlineStr">
        <is>
          <t>威強電</t>
        </is>
      </c>
      <c r="C949" t="n">
        <v>76.8</v>
      </c>
      <c r="D949" t="n">
        <v>77.7</v>
      </c>
      <c r="E949" s="730" t="n">
        <v>1.8</v>
      </c>
      <c r="F949" s="731" t="n">
        <v>2.37</v>
      </c>
      <c r="G949" t="inlineStr">
        <is>
          <t>1.35億</t>
        </is>
      </c>
      <c r="H949" t="n">
        <v>1759</v>
      </c>
      <c r="I949" t="n">
        <v>1275</v>
      </c>
      <c r="J949" t="n">
        <v>17.66</v>
      </c>
      <c r="K949" t="n">
        <v>77.7</v>
      </c>
      <c r="L949" t="n">
        <v>75.59999999999999</v>
      </c>
      <c r="M949" s="155" t="n">
        <v>1</v>
      </c>
      <c r="N949" t="inlineStr">
        <is>
          <t>台灣知名工業電腦廠商</t>
        </is>
      </c>
    </row>
    <row r="950">
      <c r="A950" t="n">
        <v>3023</v>
      </c>
      <c r="B950" t="inlineStr">
        <is>
          <t>信邦</t>
        </is>
      </c>
      <c r="C950" t="n">
        <v>316</v>
      </c>
      <c r="D950" t="n">
        <v>313</v>
      </c>
      <c r="E950" s="730" t="n">
        <v>-5</v>
      </c>
      <c r="F950" s="731" t="n">
        <v>-1.57</v>
      </c>
      <c r="G950" t="inlineStr">
        <is>
          <t>5.08億</t>
        </is>
      </c>
      <c r="H950" t="n">
        <v>1640</v>
      </c>
      <c r="I950" t="n">
        <v>1702</v>
      </c>
      <c r="J950" t="n">
        <v>24.01</v>
      </c>
      <c r="K950" t="n">
        <v>318</v>
      </c>
      <c r="L950" t="n">
        <v>306.5</v>
      </c>
      <c r="M950" s="155" t="n">
        <v>0.68</v>
      </c>
      <c r="N950" t="inlineStr">
        <is>
          <t>台灣知名連接線束製造廠</t>
        </is>
      </c>
    </row>
    <row r="951">
      <c r="A951" t="n">
        <v>3024</v>
      </c>
      <c r="B951" t="inlineStr">
        <is>
          <t>憶聲</t>
        </is>
      </c>
      <c r="C951" t="n">
        <v>14.15</v>
      </c>
      <c r="D951" t="n">
        <v>13.8</v>
      </c>
      <c r="E951" s="730" t="n">
        <v>-0.2</v>
      </c>
      <c r="F951" s="731" t="n">
        <v>-1.43</v>
      </c>
      <c r="G951" t="inlineStr">
        <is>
          <t>5748萬</t>
        </is>
      </c>
      <c r="H951" t="n">
        <v>4232</v>
      </c>
      <c r="I951" t="n">
        <v>3176</v>
      </c>
      <c r="J951" t="n">
        <v>27.72</v>
      </c>
      <c r="K951" t="n">
        <v>14.15</v>
      </c>
      <c r="L951" t="n">
        <v>13.3</v>
      </c>
      <c r="M951" s="155" t="n">
        <v>1.53</v>
      </c>
      <c r="N951" t="inlineStr">
        <is>
          <t>經營歌林品牌家電</t>
        </is>
      </c>
    </row>
    <row r="952">
      <c r="A952" t="n">
        <v>3025</v>
      </c>
      <c r="B952" t="inlineStr">
        <is>
          <t>星通</t>
        </is>
      </c>
      <c r="C952" t="n">
        <v>72.5</v>
      </c>
      <c r="D952" t="n">
        <v>72.09999999999999</v>
      </c>
      <c r="E952" s="730" t="n">
        <v>-0.4</v>
      </c>
      <c r="F952" s="731" t="n">
        <v>-0.55</v>
      </c>
      <c r="G952" t="inlineStr">
        <is>
          <t>7697萬</t>
        </is>
      </c>
      <c r="H952" t="n">
        <v>1076</v>
      </c>
      <c r="I952" t="n">
        <v>2974</v>
      </c>
      <c r="J952" t="n">
        <v>5.67</v>
      </c>
      <c r="K952" t="n">
        <v>73.3</v>
      </c>
      <c r="L952" t="n">
        <v>70</v>
      </c>
      <c r="M952" s="155" t="n">
        <v>1.9</v>
      </c>
      <c r="N952" t="inlineStr">
        <is>
          <t>台灣電信局端設備製造商</t>
        </is>
      </c>
    </row>
    <row r="953">
      <c r="A953" t="n">
        <v>3026</v>
      </c>
      <c r="B953" t="inlineStr">
        <is>
          <t>禾伸堂</t>
        </is>
      </c>
      <c r="C953" t="n">
        <v>640</v>
      </c>
      <c r="D953" t="n">
        <v>650</v>
      </c>
      <c r="E953" s="730" t="n">
        <v>-22</v>
      </c>
      <c r="F953" s="731" t="n">
        <v>-3.27</v>
      </c>
      <c r="G953" t="inlineStr">
        <is>
          <t>19.3億</t>
        </is>
      </c>
      <c r="H953" t="n">
        <v>3127</v>
      </c>
      <c r="I953" t="n">
        <v>2200</v>
      </c>
      <c r="J953" t="n">
        <v>16.59</v>
      </c>
      <c r="K953" t="n">
        <v>650</v>
      </c>
      <c r="L953" t="n">
        <v>605</v>
      </c>
      <c r="M953" s="155" t="n">
        <v>1.88</v>
      </c>
      <c r="N953" t="inlineStr">
        <is>
          <t>主要自製MLCC及代理電子元件</t>
        </is>
      </c>
    </row>
    <row r="954">
      <c r="A954" t="n">
        <v>3027</v>
      </c>
      <c r="B954" t="inlineStr">
        <is>
          <t>盛達</t>
        </is>
      </c>
      <c r="C954" t="n">
        <v>20</v>
      </c>
      <c r="D954" t="n">
        <v>20.05</v>
      </c>
      <c r="E954" s="730" t="n">
        <v>0.3</v>
      </c>
      <c r="F954" s="731" t="n">
        <v>1.52</v>
      </c>
      <c r="G954" t="inlineStr">
        <is>
          <t>1345萬</t>
        </is>
      </c>
      <c r="H954" t="n">
        <v>682</v>
      </c>
      <c r="I954" t="n">
        <v>849</v>
      </c>
      <c r="J954" t="n">
        <v>13</v>
      </c>
      <c r="K954" t="n">
        <v>20.05</v>
      </c>
      <c r="L954" t="n">
        <v>19.55</v>
      </c>
      <c r="M954" s="155" t="n">
        <v>0.59</v>
      </c>
      <c r="N954" t="inlineStr">
        <is>
          <t>再生能源設備銷售與系統供應商</t>
        </is>
      </c>
    </row>
    <row r="955">
      <c r="A955" t="n">
        <v>3028</v>
      </c>
      <c r="B955" t="inlineStr">
        <is>
          <t>增你強</t>
        </is>
      </c>
      <c r="C955" t="n">
        <v>81.8</v>
      </c>
      <c r="D955" t="n">
        <v>84</v>
      </c>
      <c r="E955" s="730" t="n">
        <v>2.9</v>
      </c>
      <c r="F955" s="731" t="n">
        <v>3.58</v>
      </c>
      <c r="G955" t="inlineStr">
        <is>
          <t>3.52億</t>
        </is>
      </c>
      <c r="H955" t="n">
        <v>4272</v>
      </c>
      <c r="I955" t="n">
        <v>3562</v>
      </c>
      <c r="J955" t="n">
        <v>23.72</v>
      </c>
      <c r="K955" t="n">
        <v>84</v>
      </c>
      <c r="L955" t="n">
        <v>80.59999999999999</v>
      </c>
      <c r="M955" s="155" t="n">
        <v>1.8</v>
      </c>
      <c r="N955" t="inlineStr">
        <is>
          <t>台灣半導體元件代理通路商</t>
        </is>
      </c>
    </row>
    <row r="956">
      <c r="A956" t="n">
        <v>3029</v>
      </c>
      <c r="B956" t="inlineStr">
        <is>
          <t>零壹</t>
        </is>
      </c>
      <c r="C956" t="n">
        <v>115.5</v>
      </c>
      <c r="D956" t="n">
        <v>114.5</v>
      </c>
      <c r="E956" s="730" t="n">
        <v>9</v>
      </c>
      <c r="F956" s="731" t="n">
        <v>8.529999999999999</v>
      </c>
      <c r="G956" t="inlineStr">
        <is>
          <t>14.3億</t>
        </is>
      </c>
      <c r="H956" t="n">
        <v>12535</v>
      </c>
      <c r="I956" t="n">
        <v>1877</v>
      </c>
      <c r="J956" t="n">
        <v>16.7</v>
      </c>
      <c r="K956" t="n">
        <v>116</v>
      </c>
      <c r="L956" t="n">
        <v>110</v>
      </c>
      <c r="M956" s="155" t="n">
        <v>8.09</v>
      </c>
      <c r="N956" t="inlineStr">
        <is>
          <t>台灣大型加值型網路代理商</t>
        </is>
      </c>
    </row>
    <row r="957">
      <c r="A957" t="n">
        <v>3030</v>
      </c>
      <c r="B957" t="inlineStr">
        <is>
          <t>德律</t>
        </is>
      </c>
      <c r="C957" t="n">
        <v>403</v>
      </c>
      <c r="D957" t="n">
        <v>371</v>
      </c>
      <c r="E957" s="730" t="n">
        <v>-37</v>
      </c>
      <c r="F957" s="731" t="n">
        <v>-9.07</v>
      </c>
      <c r="G957" t="inlineStr">
        <is>
          <t>31.9億</t>
        </is>
      </c>
      <c r="H957" t="n">
        <v>8434</v>
      </c>
      <c r="I957" t="n">
        <v>5135</v>
      </c>
      <c r="J957" t="n">
        <v>23.62</v>
      </c>
      <c r="K957" t="n">
        <v>403</v>
      </c>
      <c r="L957" t="n">
        <v>368</v>
      </c>
      <c r="M957" s="155" t="n">
        <v>3.57</v>
      </c>
      <c r="N957" t="inlineStr">
        <is>
          <t>電路板組裝檢測設備大廠</t>
        </is>
      </c>
    </row>
    <row r="958">
      <c r="A958" t="n">
        <v>3031</v>
      </c>
      <c r="B958" t="inlineStr">
        <is>
          <t>佰鴻</t>
        </is>
      </c>
      <c r="C958" t="n">
        <v>32.5</v>
      </c>
      <c r="D958" t="n">
        <v>31.95</v>
      </c>
      <c r="E958" s="730" t="n">
        <v>-0.45</v>
      </c>
      <c r="F958" s="731" t="n">
        <v>-1.39</v>
      </c>
      <c r="G958" t="inlineStr">
        <is>
          <t>6547萬</t>
        </is>
      </c>
      <c r="H958" t="n">
        <v>2063</v>
      </c>
      <c r="I958" t="n">
        <v>3449</v>
      </c>
      <c r="J958" t="n">
        <v>17.32</v>
      </c>
      <c r="K958" t="n">
        <v>32.65</v>
      </c>
      <c r="L958" t="n">
        <v>31.3</v>
      </c>
      <c r="M958" s="155" t="n">
        <v>1.19</v>
      </c>
      <c r="N958" t="inlineStr">
        <is>
          <t>台灣LED封裝暨紅外線傳輸模組廠商</t>
        </is>
      </c>
    </row>
    <row r="959">
      <c r="A959" t="n">
        <v>3032</v>
      </c>
      <c r="B959" t="inlineStr">
        <is>
          <t>偉訓</t>
        </is>
      </c>
      <c r="C959" t="n">
        <v>91.5</v>
      </c>
      <c r="D959" t="n">
        <v>88</v>
      </c>
      <c r="E959" s="730" t="n">
        <v>-3</v>
      </c>
      <c r="F959" s="731" t="n">
        <v>-3.3</v>
      </c>
      <c r="G959" t="inlineStr">
        <is>
          <t>2.49億</t>
        </is>
      </c>
      <c r="H959" t="n">
        <v>2806</v>
      </c>
      <c r="I959" t="n">
        <v>2241</v>
      </c>
      <c r="J959" t="n">
        <v>11.33</v>
      </c>
      <c r="K959" t="n">
        <v>92.8</v>
      </c>
      <c r="L959" t="n">
        <v>86.40000000000001</v>
      </c>
      <c r="M959" s="155" t="n">
        <v>2.72</v>
      </c>
      <c r="N959" t="inlineStr">
        <is>
          <t>台灣PC電源供應器及機殼製造廠，並跨入電競領域</t>
        </is>
      </c>
    </row>
    <row r="960">
      <c r="A960" t="n">
        <v>3033</v>
      </c>
      <c r="B960" t="inlineStr">
        <is>
          <t>威健</t>
        </is>
      </c>
      <c r="C960" t="n">
        <v>48.85</v>
      </c>
      <c r="D960" t="n">
        <v>49.7</v>
      </c>
      <c r="E960" s="730" t="n">
        <v>0.85</v>
      </c>
      <c r="F960" s="731" t="n">
        <v>1.74</v>
      </c>
      <c r="G960" t="inlineStr">
        <is>
          <t>3.78億</t>
        </is>
      </c>
      <c r="H960" t="n">
        <v>7721</v>
      </c>
      <c r="I960" t="n">
        <v>15131</v>
      </c>
      <c r="J960" t="n">
        <v>48.53</v>
      </c>
      <c r="K960" t="n">
        <v>49.7</v>
      </c>
      <c r="L960" t="n">
        <v>48.45</v>
      </c>
      <c r="M960" s="155" t="n">
        <v>1.61</v>
      </c>
      <c r="N960" t="inlineStr">
        <is>
          <t>半導體零組件專業代理商</t>
        </is>
      </c>
    </row>
    <row r="961">
      <c r="A961" t="n">
        <v>3034</v>
      </c>
      <c r="B961" t="inlineStr">
        <is>
          <t>聯詠</t>
        </is>
      </c>
      <c r="C961" t="n">
        <v>498</v>
      </c>
      <c r="D961" t="n">
        <v>507</v>
      </c>
      <c r="E961" s="730" t="n">
        <v>10.5</v>
      </c>
      <c r="F961" s="731" t="n">
        <v>2.11</v>
      </c>
      <c r="G961" t="inlineStr">
        <is>
          <t>52.9億</t>
        </is>
      </c>
      <c r="H961" t="n">
        <v>10562</v>
      </c>
      <c r="I961" t="n">
        <v>6604</v>
      </c>
      <c r="J961" t="n">
        <v>60.85</v>
      </c>
      <c r="K961" t="n">
        <v>510</v>
      </c>
      <c r="L961" t="n">
        <v>493</v>
      </c>
      <c r="M961" s="155" t="n">
        <v>1.74</v>
      </c>
      <c r="N961" t="inlineStr">
        <is>
          <t>全球面板驅動IC設計龍頭廠</t>
        </is>
      </c>
    </row>
    <row r="962">
      <c r="A962" t="n">
        <v>3035</v>
      </c>
      <c r="B962" t="inlineStr">
        <is>
          <t>智原</t>
        </is>
      </c>
      <c r="C962" t="n">
        <v>212</v>
      </c>
      <c r="D962" t="n">
        <v>209.5</v>
      </c>
      <c r="E962" s="730" t="n">
        <v>-1.5</v>
      </c>
      <c r="F962" s="731" t="n">
        <v>-0.71</v>
      </c>
      <c r="G962" t="inlineStr">
        <is>
          <t>29.7億</t>
        </is>
      </c>
      <c r="H962" t="n">
        <v>14248</v>
      </c>
      <c r="I962" t="n">
        <v>15722</v>
      </c>
      <c r="J962" t="n">
        <v>26.06</v>
      </c>
      <c r="K962" t="n">
        <v>217</v>
      </c>
      <c r="L962" t="n">
        <v>201</v>
      </c>
      <c r="M962" s="155" t="n">
        <v>5.47</v>
      </c>
      <c r="N962" t="inlineStr">
        <is>
          <t>聯電體系的ASIC及設計IP廠</t>
        </is>
      </c>
    </row>
    <row r="963">
      <c r="A963" t="n">
        <v>3036</v>
      </c>
      <c r="B963" t="inlineStr">
        <is>
          <t>文曄</t>
        </is>
      </c>
      <c r="C963" t="n">
        <v>296.5</v>
      </c>
      <c r="D963" t="n">
        <v>290.5</v>
      </c>
      <c r="E963" s="730" t="n">
        <v>3</v>
      </c>
      <c r="F963" s="731" t="n">
        <v>1.04</v>
      </c>
      <c r="G963" t="inlineStr">
        <is>
          <t>53.3億</t>
        </is>
      </c>
      <c r="H963" t="n">
        <v>18316</v>
      </c>
      <c r="I963" t="n">
        <v>8169</v>
      </c>
      <c r="J963" t="n">
        <v>126.91</v>
      </c>
      <c r="K963" t="n">
        <v>301</v>
      </c>
      <c r="L963" t="n">
        <v>285</v>
      </c>
      <c r="M963" s="155" t="n">
        <v>1.44</v>
      </c>
      <c r="N963" t="inlineStr">
        <is>
          <t>台灣前三大半導體IC通路商</t>
        </is>
      </c>
    </row>
    <row r="964">
      <c r="A964" t="n">
        <v>3037</v>
      </c>
      <c r="B964" t="inlineStr">
        <is>
          <t>欣興</t>
        </is>
      </c>
      <c r="C964" t="n">
        <v>1050</v>
      </c>
      <c r="D964" t="n">
        <v>975</v>
      </c>
      <c r="E964" s="730" t="n">
        <v>-75</v>
      </c>
      <c r="F964" s="731" t="n">
        <v>-7.14</v>
      </c>
      <c r="G964" t="inlineStr">
        <is>
          <t>253億</t>
        </is>
      </c>
      <c r="H964" t="n">
        <v>25728</v>
      </c>
      <c r="I964" t="n">
        <v>25407</v>
      </c>
      <c r="J964" t="n">
        <v>158.95</v>
      </c>
      <c r="K964" t="n">
        <v>1050</v>
      </c>
      <c r="L964" t="n">
        <v>950</v>
      </c>
      <c r="M964" s="155" t="n">
        <v>1.63</v>
      </c>
      <c r="N964" t="inlineStr">
        <is>
          <t>全球印刷電路板龍頭廠之一</t>
        </is>
      </c>
    </row>
    <row r="965">
      <c r="A965" t="n">
        <v>3038</v>
      </c>
      <c r="B965" t="inlineStr">
        <is>
          <t>全台</t>
        </is>
      </c>
      <c r="C965" t="n">
        <v>24</v>
      </c>
      <c r="D965" t="n">
        <v>23.8</v>
      </c>
      <c r="E965" s="730" t="n">
        <v>0</v>
      </c>
      <c r="F965" s="731" t="n">
        <v>0</v>
      </c>
      <c r="G965" t="inlineStr">
        <is>
          <t>1769萬</t>
        </is>
      </c>
      <c r="H965" t="n">
        <v>750</v>
      </c>
      <c r="I965" t="n">
        <v>618</v>
      </c>
      <c r="J965" t="n">
        <v>15.74</v>
      </c>
      <c r="K965" t="n">
        <v>24.15</v>
      </c>
      <c r="L965" t="n">
        <v>23.3</v>
      </c>
      <c r="M965" s="155" t="n">
        <v>0.48</v>
      </c>
      <c r="N965" t="inlineStr">
        <is>
          <t>台灣中小尺寸面板模組廠</t>
        </is>
      </c>
    </row>
    <row r="966">
      <c r="A966" t="n">
        <v>3040</v>
      </c>
      <c r="B966" t="inlineStr">
        <is>
          <t>遠見</t>
        </is>
      </c>
      <c r="C966" t="n">
        <v>41.2</v>
      </c>
      <c r="D966" t="n">
        <v>40.45</v>
      </c>
      <c r="E966" s="730" t="n">
        <v>-1.2</v>
      </c>
      <c r="F966" s="731" t="n">
        <v>-2.88</v>
      </c>
      <c r="G966" t="inlineStr">
        <is>
          <t>2143萬</t>
        </is>
      </c>
      <c r="H966" t="n">
        <v>529</v>
      </c>
      <c r="I966" t="n">
        <v>162</v>
      </c>
      <c r="J966" t="n">
        <v>6.62</v>
      </c>
      <c r="K966" t="n">
        <v>41.25</v>
      </c>
      <c r="L966" t="n">
        <v>40.05</v>
      </c>
      <c r="M966" s="155" t="n">
        <v>0.8</v>
      </c>
      <c r="N966" t="inlineStr">
        <is>
          <t>從事品牌授權、物業租賃及加值型服務</t>
        </is>
      </c>
    </row>
    <row r="967">
      <c r="A967" t="n">
        <v>3041</v>
      </c>
      <c r="B967" t="inlineStr">
        <is>
          <t>揚智</t>
        </is>
      </c>
      <c r="C967" t="n">
        <v>25.95</v>
      </c>
      <c r="D967" t="n">
        <v>25.65</v>
      </c>
      <c r="E967" s="730" t="n">
        <v>0</v>
      </c>
      <c r="F967" s="731" t="n">
        <v>0</v>
      </c>
      <c r="G967" t="inlineStr">
        <is>
          <t>3960萬</t>
        </is>
      </c>
      <c r="H967" t="n">
        <v>1557</v>
      </c>
      <c r="I967" t="n">
        <v>1791</v>
      </c>
      <c r="J967" t="n">
        <v>14.02</v>
      </c>
      <c r="K967" t="n">
        <v>26.25</v>
      </c>
      <c r="L967" t="n">
        <v>24.95</v>
      </c>
      <c r="M967" s="155" t="n">
        <v>1.33</v>
      </c>
      <c r="N967" t="inlineStr">
        <is>
          <t>專注於數位機上盒系統單晶片開發的領導廠商</t>
        </is>
      </c>
    </row>
    <row r="968">
      <c r="A968" t="n">
        <v>3042</v>
      </c>
      <c r="B968" t="inlineStr">
        <is>
          <t>晶技</t>
        </is>
      </c>
      <c r="C968" t="n">
        <v>198.5</v>
      </c>
      <c r="D968" t="n">
        <v>210</v>
      </c>
      <c r="E968" s="730" t="n">
        <v>7.5</v>
      </c>
      <c r="F968" s="731" t="n">
        <v>3.7</v>
      </c>
      <c r="G968" t="inlineStr">
        <is>
          <t>47.0億</t>
        </is>
      </c>
      <c r="H968" t="n">
        <v>22932</v>
      </c>
      <c r="I968" t="n">
        <v>36175</v>
      </c>
      <c r="J968" t="n">
        <v>34.3</v>
      </c>
      <c r="K968" t="n">
        <v>212.5</v>
      </c>
      <c r="L968" t="n">
        <v>196.5</v>
      </c>
      <c r="M968" s="155" t="n">
        <v>7.21</v>
      </c>
      <c r="N968" t="inlineStr">
        <is>
          <t>台灣最大石英元件、頻率控制元件廠商</t>
        </is>
      </c>
    </row>
    <row r="969">
      <c r="A969" t="n">
        <v>3043</v>
      </c>
      <c r="B969" t="inlineStr">
        <is>
          <t>科風</t>
        </is>
      </c>
      <c r="C969" t="n">
        <v>21.7</v>
      </c>
      <c r="D969" t="n">
        <v>21.55</v>
      </c>
      <c r="E969" s="730" t="n">
        <v>0</v>
      </c>
      <c r="F969" s="731" t="n">
        <v>0</v>
      </c>
      <c r="G969" t="inlineStr">
        <is>
          <t>342萬</t>
        </is>
      </c>
      <c r="H969" t="n">
        <v>160</v>
      </c>
      <c r="I969" t="n">
        <v>259</v>
      </c>
      <c r="J969" t="n">
        <v>3.9</v>
      </c>
      <c r="K969" t="n">
        <v>21.8</v>
      </c>
      <c r="L969" t="n">
        <v>21.15</v>
      </c>
      <c r="M969" s="155" t="n">
        <v>0.41</v>
      </c>
      <c r="N969" t="inlineStr">
        <is>
          <t>不斷電系統和電力保護產品品牌廠商</t>
        </is>
      </c>
    </row>
    <row r="970">
      <c r="A970" t="n">
        <v>3044</v>
      </c>
      <c r="B970" t="inlineStr">
        <is>
          <t>健鼎</t>
        </is>
      </c>
      <c r="C970" t="n">
        <v>516</v>
      </c>
      <c r="D970" t="n">
        <v>508</v>
      </c>
      <c r="E970" s="730" t="n">
        <v>-10</v>
      </c>
      <c r="F970" s="731" t="n">
        <v>-1.93</v>
      </c>
      <c r="G970" t="inlineStr">
        <is>
          <t>25.8億</t>
        </is>
      </c>
      <c r="H970" t="n">
        <v>5120</v>
      </c>
      <c r="I970" t="n">
        <v>5093</v>
      </c>
      <c r="J970" t="n">
        <v>52.56</v>
      </c>
      <c r="K970" t="n">
        <v>517</v>
      </c>
      <c r="L970" t="n">
        <v>497</v>
      </c>
      <c r="M970" s="155" t="n">
        <v>0.97</v>
      </c>
      <c r="N970" t="inlineStr">
        <is>
          <t>全球前十大印刷電路板廠之一</t>
        </is>
      </c>
    </row>
    <row r="971">
      <c r="A971" t="n">
        <v>3045</v>
      </c>
      <c r="B971" t="inlineStr">
        <is>
          <t>台灣大</t>
        </is>
      </c>
      <c r="C971" t="n">
        <v>114</v>
      </c>
      <c r="D971" t="n">
        <v>115.5</v>
      </c>
      <c r="E971" s="730" t="n">
        <v>1.5</v>
      </c>
      <c r="F971" s="731" t="n">
        <v>1.32</v>
      </c>
      <c r="G971" t="inlineStr">
        <is>
          <t>21.2億</t>
        </is>
      </c>
      <c r="H971" t="n">
        <v>18397</v>
      </c>
      <c r="I971" t="n">
        <v>18907</v>
      </c>
      <c r="J971" t="n">
        <v>372.33</v>
      </c>
      <c r="K971" t="n">
        <v>115.5</v>
      </c>
      <c r="L971" t="n">
        <v>114</v>
      </c>
      <c r="M971" s="155" t="n">
        <v>0.49</v>
      </c>
      <c r="N971" t="inlineStr">
        <is>
          <t>台灣前三大電信業者之一</t>
        </is>
      </c>
    </row>
    <row r="972">
      <c r="A972" t="n">
        <v>3046</v>
      </c>
      <c r="B972" t="inlineStr">
        <is>
          <t>建碁</t>
        </is>
      </c>
      <c r="C972" t="n">
        <v>63.6</v>
      </c>
      <c r="D972" t="n">
        <v>62.1</v>
      </c>
      <c r="E972" s="730" t="n">
        <v>-1.9</v>
      </c>
      <c r="F972" s="731" t="n">
        <v>-2.97</v>
      </c>
      <c r="G972" t="inlineStr">
        <is>
          <t>1.73億</t>
        </is>
      </c>
      <c r="H972" t="n">
        <v>2771</v>
      </c>
      <c r="I972" t="n">
        <v>1862</v>
      </c>
      <c r="J972" t="n">
        <v>7.84</v>
      </c>
      <c r="K972" t="n">
        <v>63.7</v>
      </c>
      <c r="L972" t="n">
        <v>61</v>
      </c>
      <c r="M972" s="155" t="n">
        <v>3.53</v>
      </c>
      <c r="N972" t="inlineStr">
        <is>
          <t>宏碁轉投資工業電腦與數位看板公司</t>
        </is>
      </c>
    </row>
    <row r="973">
      <c r="A973" t="n">
        <v>3047</v>
      </c>
      <c r="B973" t="inlineStr">
        <is>
          <t>訊舟</t>
        </is>
      </c>
      <c r="C973" t="n">
        <v>15.6</v>
      </c>
      <c r="D973" t="n">
        <v>16.95</v>
      </c>
      <c r="E973" s="730" t="n">
        <v>1.5</v>
      </c>
      <c r="F973" s="731" t="n">
        <v>9.710000000000001</v>
      </c>
      <c r="G973" t="inlineStr">
        <is>
          <t>9951萬</t>
        </is>
      </c>
      <c r="H973" t="n">
        <v>6101</v>
      </c>
      <c r="I973" t="n">
        <v>1791</v>
      </c>
      <c r="J973" t="n">
        <v>22.48</v>
      </c>
      <c r="K973" t="n">
        <v>16.95</v>
      </c>
      <c r="L973" t="n">
        <v>15.4</v>
      </c>
      <c r="M973" s="155" t="n">
        <v>2.72</v>
      </c>
      <c r="N973" t="inlineStr">
        <is>
          <t>兼營品牌(EDIMAX)與代工的網通設備廠</t>
        </is>
      </c>
    </row>
    <row r="974">
      <c r="A974" t="n">
        <v>3048</v>
      </c>
      <c r="B974" t="inlineStr">
        <is>
          <t>益登</t>
        </is>
      </c>
      <c r="C974" t="n">
        <v>70.40000000000001</v>
      </c>
      <c r="D974" t="n">
        <v>75.2</v>
      </c>
      <c r="E974" s="730" t="n">
        <v>6.8</v>
      </c>
      <c r="F974" s="731" t="n">
        <v>9.94</v>
      </c>
      <c r="G974" t="inlineStr">
        <is>
          <t>16.4億</t>
        </is>
      </c>
      <c r="H974" t="n">
        <v>22389</v>
      </c>
      <c r="I974" t="n">
        <v>18405</v>
      </c>
      <c r="J974" t="n">
        <v>26.98</v>
      </c>
      <c r="K974" t="n">
        <v>75.2</v>
      </c>
      <c r="L974" t="n">
        <v>69.90000000000001</v>
      </c>
      <c r="M974" s="155" t="n">
        <v>9.140000000000001</v>
      </c>
      <c r="N974" t="inlineStr">
        <is>
          <t>全球第十大半導體代理商</t>
        </is>
      </c>
    </row>
    <row r="975">
      <c r="A975" t="n">
        <v>3049</v>
      </c>
      <c r="B975" t="inlineStr">
        <is>
          <t>精金</t>
        </is>
      </c>
      <c r="C975" t="n">
        <v>13.5</v>
      </c>
      <c r="D975" t="n">
        <v>14.4</v>
      </c>
      <c r="E975" s="730" t="n">
        <v>1.3</v>
      </c>
      <c r="F975" s="731" t="n">
        <v>9.92</v>
      </c>
      <c r="G975" t="inlineStr">
        <is>
          <t>4.44億</t>
        </is>
      </c>
      <c r="H975" t="n">
        <v>32235</v>
      </c>
      <c r="I975" t="n">
        <v>10900</v>
      </c>
      <c r="J975" t="n">
        <v>80.2</v>
      </c>
      <c r="K975" t="n">
        <v>14.4</v>
      </c>
      <c r="L975" t="n">
        <v>12.9</v>
      </c>
      <c r="M975" s="155" t="n">
        <v>4.02</v>
      </c>
      <c r="N975" t="inlineStr">
        <is>
          <t>瀚宇彩晶關係企業，為觸控感測器製造商</t>
        </is>
      </c>
    </row>
    <row r="976">
      <c r="A976" t="n">
        <v>3050</v>
      </c>
      <c r="B976" t="inlineStr">
        <is>
          <t>鈺德</t>
        </is>
      </c>
      <c r="C976" t="n">
        <v>12.75</v>
      </c>
      <c r="D976" t="n">
        <v>13.2</v>
      </c>
      <c r="E976" s="730" t="n">
        <v>0.45</v>
      </c>
      <c r="F976" s="731" t="n">
        <v>3.53</v>
      </c>
      <c r="G976" t="inlineStr">
        <is>
          <t>1797萬</t>
        </is>
      </c>
      <c r="H976" t="n">
        <v>1404</v>
      </c>
      <c r="I976" t="n">
        <v>1171</v>
      </c>
      <c r="J976" t="n">
        <v>15.5</v>
      </c>
      <c r="K976" t="n">
        <v>13.25</v>
      </c>
      <c r="L976" t="n">
        <v>12.55</v>
      </c>
      <c r="M976" s="155" t="n">
        <v>0.91</v>
      </c>
      <c r="N976" t="inlineStr">
        <is>
          <t>錸德集團旗下台灣最大預錄碟片廠</t>
        </is>
      </c>
    </row>
    <row r="977">
      <c r="A977" t="n">
        <v>3051</v>
      </c>
      <c r="B977" t="inlineStr">
        <is>
          <t>力特</t>
        </is>
      </c>
      <c r="C977" t="n">
        <v>30.1</v>
      </c>
      <c r="D977" t="n">
        <v>29.8</v>
      </c>
      <c r="E977" s="730" t="n">
        <v>1</v>
      </c>
      <c r="F977" s="731" t="n">
        <v>3.47</v>
      </c>
      <c r="G977" t="inlineStr">
        <is>
          <t>3.49億</t>
        </is>
      </c>
      <c r="H977" t="n">
        <v>11693</v>
      </c>
      <c r="I977" t="n">
        <v>4686</v>
      </c>
      <c r="J977" t="n">
        <v>16.7</v>
      </c>
      <c r="K977" t="n">
        <v>30.4</v>
      </c>
      <c r="L977" t="n">
        <v>29.2</v>
      </c>
      <c r="M977" s="155" t="n">
        <v>7</v>
      </c>
      <c r="N977" t="inlineStr">
        <is>
          <t>全球前十大偏光板供應商之一</t>
        </is>
      </c>
    </row>
    <row r="978">
      <c r="A978" t="n">
        <v>3052</v>
      </c>
      <c r="B978" t="inlineStr">
        <is>
          <t>夆典</t>
        </is>
      </c>
      <c r="C978" t="n">
        <v>10.65</v>
      </c>
      <c r="D978" t="n">
        <v>10.6</v>
      </c>
      <c r="E978" s="730" t="n">
        <v>-0.05</v>
      </c>
      <c r="F978" s="731" t="n">
        <v>-0.47</v>
      </c>
      <c r="G978" t="inlineStr">
        <is>
          <t>600萬</t>
        </is>
      </c>
      <c r="H978" t="n">
        <v>566</v>
      </c>
      <c r="I978" t="n">
        <v>751</v>
      </c>
      <c r="J978" t="n">
        <v>23.32</v>
      </c>
      <c r="K978" t="n">
        <v>10.65</v>
      </c>
      <c r="L978" t="n">
        <v>10.55</v>
      </c>
      <c r="M978" s="155" t="n">
        <v>0.24</v>
      </c>
      <c r="N978" t="inlineStr">
        <is>
          <t>提供工程整合服務之廠商</t>
        </is>
      </c>
    </row>
    <row r="979">
      <c r="A979" t="n">
        <v>3054</v>
      </c>
      <c r="B979" t="inlineStr">
        <is>
          <t>立萬利</t>
        </is>
      </c>
      <c r="C979" t="n">
        <v>68.5</v>
      </c>
      <c r="D979" t="n">
        <v>72</v>
      </c>
      <c r="E979" s="730" t="n">
        <v>3.5</v>
      </c>
      <c r="F979" s="731" t="n">
        <v>5.11</v>
      </c>
      <c r="G979" t="inlineStr">
        <is>
          <t>3784萬</t>
        </is>
      </c>
      <c r="H979" t="n">
        <v>535</v>
      </c>
      <c r="I979" t="n">
        <v>264</v>
      </c>
      <c r="J979" t="n">
        <v>8.07</v>
      </c>
      <c r="K979" t="n">
        <v>72.90000000000001</v>
      </c>
      <c r="L979" t="n">
        <v>67.40000000000001</v>
      </c>
      <c r="M979" s="155" t="n">
        <v>0.66</v>
      </c>
      <c r="N979" t="inlineStr">
        <is>
          <t>生技保健相關產品之銷售廠商</t>
        </is>
      </c>
    </row>
    <row r="980">
      <c r="A980" t="n">
        <v>3055</v>
      </c>
      <c r="B980" t="inlineStr">
        <is>
          <t>蔚華科</t>
        </is>
      </c>
      <c r="C980" t="n">
        <v>107</v>
      </c>
      <c r="D980" t="n">
        <v>102</v>
      </c>
      <c r="E980" s="730" t="n">
        <v>-6.5</v>
      </c>
      <c r="F980" s="731" t="n">
        <v>-5.99</v>
      </c>
      <c r="G980" t="inlineStr">
        <is>
          <t>3.76億</t>
        </is>
      </c>
      <c r="H980" t="n">
        <v>3701</v>
      </c>
      <c r="I980" t="n">
        <v>3676</v>
      </c>
      <c r="J980" t="n">
        <v>11.5</v>
      </c>
      <c r="K980" t="n">
        <v>107</v>
      </c>
      <c r="L980" t="n">
        <v>98.2</v>
      </c>
      <c r="M980" s="155" t="n">
        <v>3.75</v>
      </c>
      <c r="N980" t="inlineStr">
        <is>
          <t>半導體測試解決方案商</t>
        </is>
      </c>
    </row>
    <row r="981">
      <c r="A981" t="n">
        <v>3056</v>
      </c>
      <c r="B981" t="inlineStr">
        <is>
          <t>富華新</t>
        </is>
      </c>
      <c r="C981" t="n">
        <v>13.4</v>
      </c>
      <c r="D981" t="n">
        <v>13.5</v>
      </c>
      <c r="E981" s="730" t="n">
        <v>0.1</v>
      </c>
      <c r="F981" s="731" t="n">
        <v>0.75</v>
      </c>
      <c r="G981" t="inlineStr">
        <is>
          <t>1845萬</t>
        </is>
      </c>
      <c r="H981" t="n">
        <v>1383</v>
      </c>
      <c r="I981" t="n">
        <v>1514</v>
      </c>
      <c r="J981" t="n">
        <v>48.06</v>
      </c>
      <c r="K981" t="n">
        <v>13.5</v>
      </c>
      <c r="L981" t="n">
        <v>13.25</v>
      </c>
      <c r="M981" s="155" t="n">
        <v>0.29</v>
      </c>
      <c r="N981" t="inlineStr">
        <is>
          <t>推案集中於中部地區之建商</t>
        </is>
      </c>
    </row>
    <row r="982">
      <c r="A982" t="n">
        <v>3057</v>
      </c>
      <c r="B982" t="inlineStr">
        <is>
          <t>喬鼎</t>
        </is>
      </c>
      <c r="C982" t="n">
        <v>22.4</v>
      </c>
      <c r="D982" t="n">
        <v>21.95</v>
      </c>
      <c r="E982" s="730" t="n">
        <v>-0.45</v>
      </c>
      <c r="F982" s="731" t="n">
        <v>-2.01</v>
      </c>
      <c r="G982" t="inlineStr">
        <is>
          <t>1602萬</t>
        </is>
      </c>
      <c r="H982" t="n">
        <v>722</v>
      </c>
      <c r="I982" t="n">
        <v>601</v>
      </c>
      <c r="J982" t="n">
        <v>6.79</v>
      </c>
      <c r="K982" t="n">
        <v>22.95</v>
      </c>
      <c r="L982" t="n">
        <v>21.65</v>
      </c>
      <c r="M982" s="155" t="n">
        <v>1.2</v>
      </c>
      <c r="N982" t="inlineStr">
        <is>
          <t>全球知名RAID控制器及儲存解決方案供應商</t>
        </is>
      </c>
    </row>
    <row r="983">
      <c r="A983" t="n">
        <v>3058</v>
      </c>
      <c r="B983" t="inlineStr">
        <is>
          <t>立德</t>
        </is>
      </c>
      <c r="C983" t="n">
        <v>9.99</v>
      </c>
      <c r="D983" t="n">
        <v>9.99</v>
      </c>
      <c r="E983" s="730" t="n">
        <v>0.63</v>
      </c>
      <c r="F983" s="731" t="n">
        <v>6.73</v>
      </c>
      <c r="G983" t="inlineStr">
        <is>
          <t>4990萬</t>
        </is>
      </c>
      <c r="H983" t="n">
        <v>5178</v>
      </c>
      <c r="I983" t="n">
        <v>1627</v>
      </c>
      <c r="J983" t="n">
        <v>20.17</v>
      </c>
      <c r="K983" t="n">
        <v>10</v>
      </c>
      <c r="L983" t="n">
        <v>9.33</v>
      </c>
      <c r="M983" s="155" t="n">
        <v>2.57</v>
      </c>
      <c r="N983" t="inlineStr">
        <is>
          <t>以消費性網通應用為主的電源供應器廠</t>
        </is>
      </c>
    </row>
    <row r="984">
      <c r="A984" t="n">
        <v>3059</v>
      </c>
      <c r="B984" t="inlineStr">
        <is>
          <t>華晶科</t>
        </is>
      </c>
      <c r="C984" t="n">
        <v>51</v>
      </c>
      <c r="D984" t="n">
        <v>51</v>
      </c>
      <c r="E984" s="730" t="n">
        <v>4.55</v>
      </c>
      <c r="F984" s="731" t="n">
        <v>9.800000000000001</v>
      </c>
      <c r="G984" t="inlineStr">
        <is>
          <t>7.38億</t>
        </is>
      </c>
      <c r="H984" t="n">
        <v>14466</v>
      </c>
      <c r="I984" t="n">
        <v>10613</v>
      </c>
      <c r="J984" t="n">
        <v>30.77</v>
      </c>
      <c r="K984" t="n">
        <v>51</v>
      </c>
      <c r="L984" t="n">
        <v>50.8</v>
      </c>
      <c r="M984" s="155" t="n">
        <v>4.7</v>
      </c>
      <c r="N984" t="inlineStr">
        <is>
          <t>以車用鏡頭、影像晶片與醫療產品為主軸</t>
        </is>
      </c>
    </row>
    <row r="985">
      <c r="A985" t="n">
        <v>3060</v>
      </c>
      <c r="B985" t="inlineStr">
        <is>
          <t>銘異</t>
        </is>
      </c>
      <c r="C985" t="n">
        <v>30.05</v>
      </c>
      <c r="D985" t="n">
        <v>32.6</v>
      </c>
      <c r="E985" s="730" t="n">
        <v>2.95</v>
      </c>
      <c r="F985" s="731" t="n">
        <v>9.949999999999999</v>
      </c>
      <c r="G985" t="inlineStr">
        <is>
          <t>5.02億</t>
        </is>
      </c>
      <c r="H985" t="n">
        <v>15531</v>
      </c>
      <c r="I985" t="n">
        <v>3769</v>
      </c>
      <c r="J985" t="n">
        <v>13.76</v>
      </c>
      <c r="K985" t="n">
        <v>32.6</v>
      </c>
      <c r="L985" t="n">
        <v>29.75</v>
      </c>
      <c r="M985" s="155" t="n">
        <v>11.29</v>
      </c>
      <c r="N985" t="inlineStr">
        <is>
          <t>台灣最大硬碟零組件製造商，主要產品為音圈馬達</t>
        </is>
      </c>
    </row>
    <row r="986">
      <c r="A986" t="n">
        <v>3062</v>
      </c>
      <c r="B986" t="inlineStr">
        <is>
          <t>建漢</t>
        </is>
      </c>
      <c r="C986" t="n">
        <v>31.3</v>
      </c>
      <c r="D986" t="n">
        <v>31.4</v>
      </c>
      <c r="E986" s="730" t="n">
        <v>0.3</v>
      </c>
      <c r="F986" s="731" t="n">
        <v>0.96</v>
      </c>
      <c r="G986" t="inlineStr">
        <is>
          <t>4.38億</t>
        </is>
      </c>
      <c r="H986" t="n">
        <v>14136</v>
      </c>
      <c r="I986" t="n">
        <v>12655</v>
      </c>
      <c r="J986" t="n">
        <v>33.01</v>
      </c>
      <c r="K986" t="n">
        <v>31.7</v>
      </c>
      <c r="L986" t="n">
        <v>30.1</v>
      </c>
      <c r="M986" s="155" t="n">
        <v>4.28</v>
      </c>
      <c r="N986" t="inlineStr">
        <is>
          <t>鴻海投資的無線與寬頻網路設備製造商</t>
        </is>
      </c>
    </row>
    <row r="987">
      <c r="A987" t="n">
        <v>3064</v>
      </c>
      <c r="B987" t="inlineStr">
        <is>
          <t>泰偉</t>
        </is>
      </c>
      <c r="C987" t="inlineStr">
        <is>
          <t>--</t>
        </is>
      </c>
      <c r="D987" t="inlineStr">
        <is>
          <t>--</t>
        </is>
      </c>
      <c r="E987" s="730" t="inlineStr">
        <is>
          <t>--</t>
        </is>
      </c>
      <c r="F987" s="731" t="inlineStr">
        <is>
          <t>--</t>
        </is>
      </c>
      <c r="G987" t="inlineStr">
        <is>
          <t>--</t>
        </is>
      </c>
      <c r="H987" t="n">
        <v>0</v>
      </c>
      <c r="I987" t="n">
        <v>5</v>
      </c>
      <c r="J987" t="n">
        <v>1.3</v>
      </c>
      <c r="K987" t="inlineStr">
        <is>
          <t>--</t>
        </is>
      </c>
      <c r="L987" t="inlineStr">
        <is>
          <t>--</t>
        </is>
      </c>
      <c r="M987" s="155" t="n">
        <v>0</v>
      </c>
      <c r="N987" t="inlineStr">
        <is>
          <t>台灣博奕遊戲與博奕機台公司</t>
        </is>
      </c>
    </row>
    <row r="988">
      <c r="A988" t="n">
        <v>3066</v>
      </c>
      <c r="B988" t="inlineStr">
        <is>
          <t>李洲</t>
        </is>
      </c>
      <c r="C988" t="n">
        <v>21.3</v>
      </c>
      <c r="D988" t="n">
        <v>21.75</v>
      </c>
      <c r="E988" s="730" t="n">
        <v>0.4</v>
      </c>
      <c r="F988" s="731" t="n">
        <v>1.87</v>
      </c>
      <c r="G988" t="inlineStr">
        <is>
          <t>1511萬</t>
        </is>
      </c>
      <c r="H988" t="n">
        <v>712</v>
      </c>
      <c r="I988" t="n">
        <v>705</v>
      </c>
      <c r="J988" t="n">
        <v>8.31</v>
      </c>
      <c r="K988" t="n">
        <v>21.95</v>
      </c>
      <c r="L988" t="n">
        <v>20.75</v>
      </c>
      <c r="M988" s="155" t="n">
        <v>0.86</v>
      </c>
      <c r="N988" t="inlineStr">
        <is>
          <t>台灣利基型LED封裝廠</t>
        </is>
      </c>
    </row>
    <row r="989">
      <c r="A989" t="n">
        <v>3067</v>
      </c>
      <c r="B989" t="inlineStr">
        <is>
          <t>全域</t>
        </is>
      </c>
      <c r="C989" t="n">
        <v>19.5</v>
      </c>
      <c r="D989" t="n">
        <v>19.3</v>
      </c>
      <c r="E989" s="730" t="n">
        <v>-0.2</v>
      </c>
      <c r="F989" s="731" t="n">
        <v>-1.03</v>
      </c>
      <c r="G989" t="inlineStr">
        <is>
          <t>3.88萬</t>
        </is>
      </c>
      <c r="H989" t="n">
        <v>2</v>
      </c>
      <c r="I989" t="n">
        <v>19</v>
      </c>
      <c r="J989" t="n">
        <v>2</v>
      </c>
      <c r="K989" t="n">
        <v>19.5</v>
      </c>
      <c r="L989" t="n">
        <v>19.3</v>
      </c>
      <c r="M989" s="155" t="n">
        <v>0.01</v>
      </c>
      <c r="N989" t="inlineStr">
        <is>
          <t>以Phonic為品牌行銷全球之專業音響廠商</t>
        </is>
      </c>
    </row>
    <row r="990">
      <c r="A990" t="n">
        <v>3071</v>
      </c>
      <c r="B990" t="inlineStr">
        <is>
          <t>協禧</t>
        </is>
      </c>
      <c r="C990" t="n">
        <v>33.65</v>
      </c>
      <c r="D990" t="n">
        <v>33.5</v>
      </c>
      <c r="E990" s="730" t="n">
        <v>0.05</v>
      </c>
      <c r="F990" s="731" t="n">
        <v>0.15</v>
      </c>
      <c r="G990" t="inlineStr">
        <is>
          <t>5472萬</t>
        </is>
      </c>
      <c r="H990" t="n">
        <v>1628</v>
      </c>
      <c r="I990" t="n">
        <v>1631</v>
      </c>
      <c r="J990" t="n">
        <v>11</v>
      </c>
      <c r="K990" t="n">
        <v>34.45</v>
      </c>
      <c r="L990" t="n">
        <v>33.15</v>
      </c>
      <c r="M990" s="155" t="n">
        <v>1.48</v>
      </c>
      <c r="N990" t="inlineStr">
        <is>
          <t>生產NB用散熱風扇及模組廠</t>
        </is>
      </c>
    </row>
    <row r="991">
      <c r="A991" t="n">
        <v>3073</v>
      </c>
      <c r="B991" t="inlineStr">
        <is>
          <t>天方能源</t>
        </is>
      </c>
      <c r="C991" t="n">
        <v>20.5</v>
      </c>
      <c r="D991" t="n">
        <v>20.5</v>
      </c>
      <c r="E991" s="730" t="n">
        <v>0.25</v>
      </c>
      <c r="F991" s="731" t="n">
        <v>1.23</v>
      </c>
      <c r="G991" t="inlineStr">
        <is>
          <t>277萬</t>
        </is>
      </c>
      <c r="H991" t="n">
        <v>135</v>
      </c>
      <c r="I991" t="n">
        <v>135</v>
      </c>
      <c r="J991" t="n">
        <v>3.95</v>
      </c>
      <c r="K991" t="n">
        <v>20.85</v>
      </c>
      <c r="L991" t="n">
        <v>20.3</v>
      </c>
      <c r="M991" s="155" t="n">
        <v>0.34</v>
      </c>
      <c r="N991" t="inlineStr">
        <is>
          <t>從事太陽能發電、風力發電、儲能等再生能源業務</t>
        </is>
      </c>
    </row>
    <row r="992">
      <c r="A992" t="n">
        <v>3078</v>
      </c>
      <c r="B992" t="inlineStr">
        <is>
          <t>僑威</t>
        </is>
      </c>
      <c r="C992" t="n">
        <v>59.1</v>
      </c>
      <c r="D992" t="n">
        <v>59</v>
      </c>
      <c r="E992" s="730" t="n">
        <v>0.1</v>
      </c>
      <c r="F992" s="731" t="n">
        <v>0.17</v>
      </c>
      <c r="G992" t="inlineStr">
        <is>
          <t>1.76億</t>
        </is>
      </c>
      <c r="H992" t="n">
        <v>2975</v>
      </c>
      <c r="I992" t="n">
        <v>1460</v>
      </c>
      <c r="J992" t="n">
        <v>22.74</v>
      </c>
      <c r="K992" t="n">
        <v>60.4</v>
      </c>
      <c r="L992" t="n">
        <v>58.1</v>
      </c>
      <c r="M992" s="155" t="n">
        <v>1.31</v>
      </c>
      <c r="N992" t="inlineStr">
        <is>
          <t>全球clone市場上最大電源供應器製造商</t>
        </is>
      </c>
    </row>
    <row r="993">
      <c r="A993" t="n">
        <v>3081</v>
      </c>
      <c r="B993" t="inlineStr">
        <is>
          <t>聯亞</t>
        </is>
      </c>
      <c r="C993" t="n">
        <v>2795</v>
      </c>
      <c r="D993" t="n">
        <v>2575</v>
      </c>
      <c r="E993" s="730" t="n">
        <v>-110</v>
      </c>
      <c r="F993" s="731" t="n">
        <v>-4.1</v>
      </c>
      <c r="G993" t="inlineStr">
        <is>
          <t>65.4億</t>
        </is>
      </c>
      <c r="H993" t="n">
        <v>2445</v>
      </c>
      <c r="I993" t="n">
        <v>2679</v>
      </c>
      <c r="J993" t="n">
        <v>9.25</v>
      </c>
      <c r="K993" t="n">
        <v>2865</v>
      </c>
      <c r="L993" t="n">
        <v>2525</v>
      </c>
      <c r="M993" s="155" t="n">
        <v>2.64</v>
      </c>
      <c r="N993" t="inlineStr">
        <is>
          <t>生產砷化鎵與磷化銦為基板的磊晶廠</t>
        </is>
      </c>
    </row>
    <row r="994">
      <c r="A994" t="n">
        <v>3083</v>
      </c>
      <c r="B994" t="inlineStr">
        <is>
          <t>網龍</t>
        </is>
      </c>
      <c r="C994" t="n">
        <v>28.6</v>
      </c>
      <c r="D994" t="n">
        <v>28.55</v>
      </c>
      <c r="E994" s="730" t="n">
        <v>0.45</v>
      </c>
      <c r="F994" s="731" t="n">
        <v>1.6</v>
      </c>
      <c r="G994" t="inlineStr">
        <is>
          <t>841萬</t>
        </is>
      </c>
      <c r="H994" t="n">
        <v>296</v>
      </c>
      <c r="I994" t="n">
        <v>225</v>
      </c>
      <c r="J994" t="n">
        <v>8.65</v>
      </c>
      <c r="K994" t="n">
        <v>28.7</v>
      </c>
      <c r="L994" t="n">
        <v>28.2</v>
      </c>
      <c r="M994" s="155" t="n">
        <v>0.34</v>
      </c>
      <c r="N994" t="inlineStr">
        <is>
          <t>智冠轉投資線上遊戲開發商</t>
        </is>
      </c>
    </row>
    <row r="995">
      <c r="A995" t="n">
        <v>3085</v>
      </c>
      <c r="B995" t="inlineStr">
        <is>
          <t>新零售</t>
        </is>
      </c>
      <c r="C995" t="n">
        <v>12.5</v>
      </c>
      <c r="D995" t="n">
        <v>12.5</v>
      </c>
      <c r="E995" s="730" t="n">
        <v>0</v>
      </c>
      <c r="F995" s="731" t="n">
        <v>0</v>
      </c>
      <c r="G995" t="inlineStr">
        <is>
          <t>1.25萬</t>
        </is>
      </c>
      <c r="H995" t="n">
        <v>1</v>
      </c>
      <c r="I995" t="n">
        <v>47</v>
      </c>
      <c r="J995" t="n">
        <v>6.9</v>
      </c>
      <c r="K995" t="n">
        <v>12.5</v>
      </c>
      <c r="L995" t="n">
        <v>12.5</v>
      </c>
      <c r="M995" s="155" t="n">
        <v>0</v>
      </c>
      <c r="N995" t="inlineStr">
        <is>
          <t>台灣鋼鐵集團旗下電商公司</t>
        </is>
      </c>
    </row>
    <row r="996">
      <c r="A996" t="n">
        <v>3086</v>
      </c>
      <c r="B996" t="inlineStr">
        <is>
          <t>華義*</t>
        </is>
      </c>
      <c r="C996" t="n">
        <v>37.15</v>
      </c>
      <c r="D996" t="n">
        <v>37.15</v>
      </c>
      <c r="E996" s="730" t="n">
        <v>3.35</v>
      </c>
      <c r="F996" s="731" t="n">
        <v>9.91</v>
      </c>
      <c r="G996" t="inlineStr">
        <is>
          <t>1479萬</t>
        </is>
      </c>
      <c r="H996" t="n">
        <v>398</v>
      </c>
      <c r="I996" t="n">
        <v>968</v>
      </c>
      <c r="J996" t="n">
        <v>2.73</v>
      </c>
      <c r="K996" t="n">
        <v>37.15</v>
      </c>
      <c r="L996" t="n">
        <v>37.15</v>
      </c>
      <c r="M996" s="155" t="n">
        <v>0.15</v>
      </c>
      <c r="N996" t="inlineStr">
        <is>
          <t>台灣知名遊戲軟體業者</t>
        </is>
      </c>
    </row>
    <row r="997">
      <c r="A997" t="n">
        <v>3088</v>
      </c>
      <c r="B997" t="inlineStr">
        <is>
          <t>艾訊</t>
        </is>
      </c>
      <c r="C997" t="n">
        <v>143</v>
      </c>
      <c r="D997" t="n">
        <v>141</v>
      </c>
      <c r="E997" s="730" t="n">
        <v>-0.5</v>
      </c>
      <c r="F997" s="731" t="n">
        <v>-0.35</v>
      </c>
      <c r="G997" t="inlineStr">
        <is>
          <t>2.43億</t>
        </is>
      </c>
      <c r="H997" t="n">
        <v>1739</v>
      </c>
      <c r="I997" t="n">
        <v>2123</v>
      </c>
      <c r="J997" t="n">
        <v>10.86</v>
      </c>
      <c r="K997" t="n">
        <v>144.5</v>
      </c>
      <c r="L997" t="n">
        <v>138</v>
      </c>
      <c r="M997" s="155" t="n">
        <v>1.6</v>
      </c>
      <c r="N997" t="inlineStr">
        <is>
          <t>研華轉投資工業電腦廠商</t>
        </is>
      </c>
    </row>
    <row r="998">
      <c r="A998" t="n">
        <v>3090</v>
      </c>
      <c r="B998" t="inlineStr">
        <is>
          <t>日電貿</t>
        </is>
      </c>
      <c r="C998" t="n">
        <v>233</v>
      </c>
      <c r="D998" t="n">
        <v>220</v>
      </c>
      <c r="E998" s="730" t="n">
        <v>-13.5</v>
      </c>
      <c r="F998" s="731" t="n">
        <v>-5.78</v>
      </c>
      <c r="G998" t="inlineStr">
        <is>
          <t>5.23億</t>
        </is>
      </c>
      <c r="H998" t="n">
        <v>2384</v>
      </c>
      <c r="I998" t="n">
        <v>3688</v>
      </c>
      <c r="J998" t="n">
        <v>28.76</v>
      </c>
      <c r="K998" t="n">
        <v>233</v>
      </c>
      <c r="L998" t="n">
        <v>215</v>
      </c>
      <c r="M998" s="155" t="n">
        <v>0.83</v>
      </c>
      <c r="N998" t="inlineStr">
        <is>
          <t>台灣最大的被動元件代理商</t>
        </is>
      </c>
    </row>
    <row r="999">
      <c r="A999" t="n">
        <v>3092</v>
      </c>
      <c r="B999" t="inlineStr">
        <is>
          <t>鴻碩</t>
        </is>
      </c>
      <c r="C999" t="n">
        <v>31.95</v>
      </c>
      <c r="D999" t="n">
        <v>30.75</v>
      </c>
      <c r="E999" s="730" t="n">
        <v>-1.2</v>
      </c>
      <c r="F999" s="731" t="n">
        <v>-3.76</v>
      </c>
      <c r="G999" t="inlineStr">
        <is>
          <t>3063萬</t>
        </is>
      </c>
      <c r="H999" t="n">
        <v>981</v>
      </c>
      <c r="I999" t="n">
        <v>749</v>
      </c>
      <c r="J999" t="n">
        <v>10.66</v>
      </c>
      <c r="K999" t="n">
        <v>32.35</v>
      </c>
      <c r="L999" t="n">
        <v>30.4</v>
      </c>
      <c r="M999" s="155" t="n">
        <v>0.92</v>
      </c>
      <c r="N999" t="inlineStr">
        <is>
          <t>台灣知名連接元件製造商</t>
        </is>
      </c>
    </row>
    <row r="1000">
      <c r="A1000" t="n">
        <v>3093</v>
      </c>
      <c r="B1000" t="inlineStr">
        <is>
          <t>港建*</t>
        </is>
      </c>
      <c r="C1000" t="n">
        <v>52.1</v>
      </c>
      <c r="D1000" t="n">
        <v>51</v>
      </c>
      <c r="E1000" s="730" t="n">
        <v>-1</v>
      </c>
      <c r="F1000" s="731" t="n">
        <v>-1.92</v>
      </c>
      <c r="G1000" t="inlineStr">
        <is>
          <t>4766萬</t>
        </is>
      </c>
      <c r="H1000" t="n">
        <v>939</v>
      </c>
      <c r="I1000" t="n">
        <v>1895</v>
      </c>
      <c r="J1000" t="n">
        <v>3.63</v>
      </c>
      <c r="K1000" t="n">
        <v>52.1</v>
      </c>
      <c r="L1000" t="n">
        <v>50</v>
      </c>
      <c r="M1000" s="155" t="n">
        <v>0.65</v>
      </c>
      <c r="N1000" t="inlineStr">
        <is>
          <t>PCB、IC封裝及CD-R/DVD製程設備廠</t>
        </is>
      </c>
    </row>
    <row r="1001">
      <c r="A1001" t="n">
        <v>3094</v>
      </c>
      <c r="B1001" t="inlineStr">
        <is>
          <t>聯傑</t>
        </is>
      </c>
      <c r="C1001" t="n">
        <v>34.3</v>
      </c>
      <c r="D1001" t="n">
        <v>33.75</v>
      </c>
      <c r="E1001" s="730" t="n">
        <v>-0.25</v>
      </c>
      <c r="F1001" s="731" t="n">
        <v>-0.74</v>
      </c>
      <c r="G1001" t="inlineStr">
        <is>
          <t>5812萬</t>
        </is>
      </c>
      <c r="H1001" t="n">
        <v>1713</v>
      </c>
      <c r="I1001" t="n">
        <v>2643</v>
      </c>
      <c r="J1001" t="n">
        <v>8.31</v>
      </c>
      <c r="K1001" t="n">
        <v>35.5</v>
      </c>
      <c r="L1001" t="n">
        <v>32.7</v>
      </c>
      <c r="M1001" s="155" t="n">
        <v>2.06</v>
      </c>
      <c r="N1001" t="inlineStr">
        <is>
          <t>嵌入式乙太網路IC設計廠商</t>
        </is>
      </c>
    </row>
    <row r="1002">
      <c r="A1002" t="n">
        <v>3095</v>
      </c>
      <c r="B1002" t="inlineStr">
        <is>
          <t>及成</t>
        </is>
      </c>
      <c r="C1002" t="n">
        <v>42.5</v>
      </c>
      <c r="D1002" t="n">
        <v>42.35</v>
      </c>
      <c r="E1002" s="730" t="n">
        <v>-1.65</v>
      </c>
      <c r="F1002" s="731" t="n">
        <v>-3.75</v>
      </c>
      <c r="G1002" t="inlineStr">
        <is>
          <t>246萬</t>
        </is>
      </c>
      <c r="H1002" t="n">
        <v>58</v>
      </c>
      <c r="I1002" t="n">
        <v>45</v>
      </c>
      <c r="J1002" t="n">
        <v>1</v>
      </c>
      <c r="K1002" t="n">
        <v>43.25</v>
      </c>
      <c r="L1002" t="n">
        <v>41.7</v>
      </c>
      <c r="M1002" s="155" t="n">
        <v>0.58</v>
      </c>
      <c r="N1002" t="inlineStr">
        <is>
          <t>台灣鋁合金沖壓零件廠</t>
        </is>
      </c>
    </row>
    <row r="1003">
      <c r="A1003" t="n">
        <v>3105</v>
      </c>
      <c r="B1003" t="inlineStr">
        <is>
          <t>穩懋</t>
        </is>
      </c>
      <c r="C1003" t="n">
        <v>538</v>
      </c>
      <c r="D1003" t="n">
        <v>519</v>
      </c>
      <c r="E1003" s="730" t="n">
        <v>-11</v>
      </c>
      <c r="F1003" s="731" t="n">
        <v>-2.08</v>
      </c>
      <c r="G1003" t="inlineStr">
        <is>
          <t>174億</t>
        </is>
      </c>
      <c r="H1003" t="n">
        <v>32577</v>
      </c>
      <c r="I1003" t="n">
        <v>36115</v>
      </c>
      <c r="J1003" t="n">
        <v>42.39</v>
      </c>
      <c r="K1003" t="n">
        <v>554</v>
      </c>
      <c r="L1003" t="n">
        <v>515</v>
      </c>
      <c r="M1003" s="155" t="n">
        <v>7.68</v>
      </c>
      <c r="N1003" t="inlineStr">
        <is>
          <t>全球最大砷化鎵晶圓代工廠</t>
        </is>
      </c>
    </row>
    <row r="1004">
      <c r="A1004" t="n">
        <v>3114</v>
      </c>
      <c r="B1004" t="inlineStr">
        <is>
          <t>好德</t>
        </is>
      </c>
      <c r="C1004" t="n">
        <v>32.7</v>
      </c>
      <c r="D1004" t="n">
        <v>33.6</v>
      </c>
      <c r="E1004" s="730" t="n">
        <v>0.5</v>
      </c>
      <c r="F1004" s="731" t="n">
        <v>1.51</v>
      </c>
      <c r="G1004" t="inlineStr">
        <is>
          <t>6025萬</t>
        </is>
      </c>
      <c r="H1004" t="n">
        <v>1881</v>
      </c>
      <c r="I1004" t="n">
        <v>1450</v>
      </c>
      <c r="J1004" t="n">
        <v>6.51</v>
      </c>
      <c r="K1004" t="n">
        <v>33.8</v>
      </c>
      <c r="L1004" t="n">
        <v>31</v>
      </c>
      <c r="M1004" s="155" t="n">
        <v>2.89</v>
      </c>
      <c r="N1004" t="inlineStr">
        <is>
          <t>電子零組件及製程設備與耗材之專業代理商</t>
        </is>
      </c>
    </row>
    <row r="1005">
      <c r="A1005" t="n">
        <v>3115</v>
      </c>
      <c r="B1005" t="inlineStr">
        <is>
          <t>富榮綱</t>
        </is>
      </c>
      <c r="C1005" t="n">
        <v>8.65</v>
      </c>
      <c r="D1005" t="n">
        <v>8.880000000000001</v>
      </c>
      <c r="E1005" s="730" t="n">
        <v>0.25</v>
      </c>
      <c r="F1005" s="731" t="n">
        <v>2.9</v>
      </c>
      <c r="G1005" t="inlineStr">
        <is>
          <t>12.2萬</t>
        </is>
      </c>
      <c r="H1005" t="n">
        <v>14</v>
      </c>
      <c r="I1005" t="n">
        <v>28</v>
      </c>
      <c r="J1005" t="n">
        <v>7.22</v>
      </c>
      <c r="K1005" t="n">
        <v>8.960000000000001</v>
      </c>
      <c r="L1005" t="n">
        <v>8.65</v>
      </c>
      <c r="M1005" s="155" t="n">
        <v>0.02</v>
      </c>
      <c r="N1005" t="inlineStr">
        <is>
          <t>台灣從事鋁錠等有色金屬買賣業務公司</t>
        </is>
      </c>
    </row>
    <row r="1006">
      <c r="A1006" t="n">
        <v>3118</v>
      </c>
      <c r="B1006" t="inlineStr">
        <is>
          <t>進階</t>
        </is>
      </c>
      <c r="C1006" t="n">
        <v>33.55</v>
      </c>
      <c r="D1006" t="n">
        <v>33.5</v>
      </c>
      <c r="E1006" s="730" t="n">
        <v>-0.1</v>
      </c>
      <c r="F1006" s="731" t="n">
        <v>-0.3</v>
      </c>
      <c r="G1006" t="inlineStr">
        <is>
          <t>204萬</t>
        </is>
      </c>
      <c r="H1006" t="n">
        <v>61</v>
      </c>
      <c r="I1006" t="n">
        <v>45</v>
      </c>
      <c r="J1006" t="n">
        <v>3.25</v>
      </c>
      <c r="K1006" t="n">
        <v>33.65</v>
      </c>
      <c r="L1006" t="n">
        <v>33.25</v>
      </c>
      <c r="M1006" s="155" t="n">
        <v>0.19</v>
      </c>
      <c r="N1006" t="inlineStr">
        <is>
          <t>台灣具規模的生醫實驗室儀器耗材通路商</t>
        </is>
      </c>
    </row>
    <row r="1007">
      <c r="A1007" t="n">
        <v>3122</v>
      </c>
      <c r="B1007" t="inlineStr">
        <is>
          <t>笙泉</t>
        </is>
      </c>
      <c r="C1007" t="n">
        <v>31.8</v>
      </c>
      <c r="D1007" t="n">
        <v>31.85</v>
      </c>
      <c r="E1007" s="730" t="n">
        <v>0.05</v>
      </c>
      <c r="F1007" s="731" t="n">
        <v>0.16</v>
      </c>
      <c r="G1007" t="inlineStr">
        <is>
          <t>1757萬</t>
        </is>
      </c>
      <c r="H1007" t="n">
        <v>559</v>
      </c>
      <c r="I1007" t="n">
        <v>508</v>
      </c>
      <c r="J1007" t="n">
        <v>4.08</v>
      </c>
      <c r="K1007" t="n">
        <v>32.3</v>
      </c>
      <c r="L1007" t="n">
        <v>30.8</v>
      </c>
      <c r="M1007" s="155" t="n">
        <v>1.37</v>
      </c>
      <c r="N1007" t="inlineStr">
        <is>
          <t>提供有關MCU軟硬體全方位服務的廠商</t>
        </is>
      </c>
    </row>
    <row r="1008">
      <c r="A1008" t="n">
        <v>3128</v>
      </c>
      <c r="B1008" t="inlineStr">
        <is>
          <t>昇銳</t>
        </is>
      </c>
      <c r="C1008" t="n">
        <v>23.95</v>
      </c>
      <c r="D1008" t="n">
        <v>25.6</v>
      </c>
      <c r="E1008" s="730" t="n">
        <v>2.1</v>
      </c>
      <c r="F1008" s="731" t="n">
        <v>8.94</v>
      </c>
      <c r="G1008" t="inlineStr">
        <is>
          <t>5841萬</t>
        </is>
      </c>
      <c r="H1008" t="n">
        <v>2298</v>
      </c>
      <c r="I1008" t="n">
        <v>224</v>
      </c>
      <c r="J1008" t="n">
        <v>4.73</v>
      </c>
      <c r="K1008" t="n">
        <v>25.85</v>
      </c>
      <c r="L1008" t="n">
        <v>23.8</v>
      </c>
      <c r="M1008" s="155" t="n">
        <v>4.86</v>
      </c>
      <c r="N1008" t="inlineStr">
        <is>
          <t>為監視系統領域之專業安全監控廠</t>
        </is>
      </c>
    </row>
    <row r="1009">
      <c r="A1009" t="n">
        <v>3130</v>
      </c>
      <c r="B1009" t="inlineStr">
        <is>
          <t>一零四</t>
        </is>
      </c>
      <c r="C1009" t="n">
        <v>220.5</v>
      </c>
      <c r="D1009" t="n">
        <v>221.5</v>
      </c>
      <c r="E1009" s="730" t="n">
        <v>0</v>
      </c>
      <c r="F1009" s="731" t="n">
        <v>0</v>
      </c>
      <c r="G1009" t="inlineStr">
        <is>
          <t>618萬</t>
        </is>
      </c>
      <c r="H1009" t="n">
        <v>28</v>
      </c>
      <c r="I1009" t="n">
        <v>37</v>
      </c>
      <c r="J1009" t="n">
        <v>3.32</v>
      </c>
      <c r="K1009" t="n">
        <v>221.5</v>
      </c>
      <c r="L1009" t="n">
        <v>220.5</v>
      </c>
      <c r="M1009" s="155" t="n">
        <v>0.08</v>
      </c>
      <c r="N1009" t="inlineStr">
        <is>
          <t>台灣人力資源網站第一品牌</t>
        </is>
      </c>
    </row>
    <row r="1010">
      <c r="A1010" t="n">
        <v>3131</v>
      </c>
      <c r="B1010" t="inlineStr">
        <is>
          <t>弘塑</t>
        </is>
      </c>
      <c r="C1010" t="n">
        <v>3200</v>
      </c>
      <c r="D1010" t="n">
        <v>3305</v>
      </c>
      <c r="E1010" s="730" t="n">
        <v>40</v>
      </c>
      <c r="F1010" s="731" t="n">
        <v>1.23</v>
      </c>
      <c r="G1010" t="inlineStr">
        <is>
          <t>15.2億</t>
        </is>
      </c>
      <c r="H1010" t="n">
        <v>470</v>
      </c>
      <c r="I1010" t="n">
        <v>1038</v>
      </c>
      <c r="J1010" t="n">
        <v>2.97</v>
      </c>
      <c r="K1010" t="n">
        <v>3315</v>
      </c>
      <c r="L1010" t="n">
        <v>3125</v>
      </c>
      <c r="M1010" s="155" t="n">
        <v>1.61</v>
      </c>
      <c r="N1010" t="inlineStr">
        <is>
          <t>酸槽設備在台市占率第一名</t>
        </is>
      </c>
    </row>
    <row r="1011">
      <c r="A1011" t="n">
        <v>3135</v>
      </c>
      <c r="B1011" t="inlineStr">
        <is>
          <t>凌航</t>
        </is>
      </c>
      <c r="C1011" t="n">
        <v>253</v>
      </c>
      <c r="D1011" t="n">
        <v>240</v>
      </c>
      <c r="E1011" s="730" t="n">
        <v>-10.5</v>
      </c>
      <c r="F1011" s="731" t="n">
        <v>-4.19</v>
      </c>
      <c r="G1011" t="inlineStr">
        <is>
          <t>17.4億</t>
        </is>
      </c>
      <c r="H1011" t="n">
        <v>7100</v>
      </c>
      <c r="I1011" t="n">
        <v>3822</v>
      </c>
      <c r="J1011" t="n">
        <v>9.49</v>
      </c>
      <c r="K1011" t="n">
        <v>256.5</v>
      </c>
      <c r="L1011" t="n">
        <v>235</v>
      </c>
      <c r="M1011" s="155" t="n">
        <v>9.16</v>
      </c>
      <c r="N1011" t="inlineStr">
        <is>
          <t>台灣記憶體模組生產商</t>
        </is>
      </c>
    </row>
    <row r="1012">
      <c r="A1012" t="n">
        <v>3138</v>
      </c>
      <c r="B1012" t="inlineStr">
        <is>
          <t>耀登</t>
        </is>
      </c>
      <c r="C1012" t="n">
        <v>167.5</v>
      </c>
      <c r="D1012" t="n">
        <v>165</v>
      </c>
      <c r="E1012" s="730" t="n">
        <v>-2</v>
      </c>
      <c r="F1012" s="731" t="n">
        <v>-1.2</v>
      </c>
      <c r="G1012" t="inlineStr">
        <is>
          <t>1.73億</t>
        </is>
      </c>
      <c r="H1012" t="n">
        <v>1049</v>
      </c>
      <c r="I1012" t="n">
        <v>1463</v>
      </c>
      <c r="J1012" t="n">
        <v>5.64</v>
      </c>
      <c r="K1012" t="n">
        <v>171.5</v>
      </c>
      <c r="L1012" t="n">
        <v>160</v>
      </c>
      <c r="M1012" s="155" t="n">
        <v>2.03</v>
      </c>
      <c r="N1012" t="inlineStr">
        <is>
          <t>台灣天線製造、儀器設備代理廠商</t>
        </is>
      </c>
    </row>
    <row r="1013">
      <c r="A1013" t="n">
        <v>3141</v>
      </c>
      <c r="B1013" t="inlineStr">
        <is>
          <t>晶宏</t>
        </is>
      </c>
      <c r="C1013" t="n">
        <v>78</v>
      </c>
      <c r="D1013" t="n">
        <v>77.3</v>
      </c>
      <c r="E1013" s="730" t="n">
        <v>-0.7</v>
      </c>
      <c r="F1013" s="731" t="n">
        <v>-0.9</v>
      </c>
      <c r="G1013" t="inlineStr">
        <is>
          <t>1.88億</t>
        </is>
      </c>
      <c r="H1013" t="n">
        <v>2486</v>
      </c>
      <c r="I1013" t="n">
        <v>5596</v>
      </c>
      <c r="J1013" t="n">
        <v>7.55</v>
      </c>
      <c r="K1013" t="n">
        <v>78.2</v>
      </c>
      <c r="L1013" t="n">
        <v>73.8</v>
      </c>
      <c r="M1013" s="155" t="n">
        <v>3.29</v>
      </c>
      <c r="N1013" t="inlineStr">
        <is>
          <t>LCD驅動IC設計公司，也是電子紙驅動IC重要供應商之一</t>
        </is>
      </c>
    </row>
    <row r="1014">
      <c r="A1014" t="n">
        <v>3147</v>
      </c>
      <c r="B1014" t="inlineStr">
        <is>
          <t>大綜</t>
        </is>
      </c>
      <c r="C1014" t="n">
        <v>215.5</v>
      </c>
      <c r="D1014" t="n">
        <v>220.5</v>
      </c>
      <c r="E1014" s="730" t="n">
        <v>20</v>
      </c>
      <c r="F1014" s="731" t="n">
        <v>9.98</v>
      </c>
      <c r="G1014" t="inlineStr">
        <is>
          <t>4.78億</t>
        </is>
      </c>
      <c r="H1014" t="n">
        <v>2183</v>
      </c>
      <c r="I1014" t="n">
        <v>745</v>
      </c>
      <c r="J1014" t="n">
        <v>4.37</v>
      </c>
      <c r="K1014" t="n">
        <v>220.5</v>
      </c>
      <c r="L1014" t="n">
        <v>215</v>
      </c>
      <c r="M1014" s="155" t="n">
        <v>5</v>
      </c>
      <c r="N1014" t="inlineStr">
        <is>
          <t>電腦軟硬體設備代理銷售及系統整合商</t>
        </is>
      </c>
    </row>
    <row r="1015">
      <c r="A1015" t="n">
        <v>3149</v>
      </c>
      <c r="B1015" t="inlineStr">
        <is>
          <t>正達</t>
        </is>
      </c>
      <c r="C1015" t="n">
        <v>86.09999999999999</v>
      </c>
      <c r="D1015" t="n">
        <v>86.09999999999999</v>
      </c>
      <c r="E1015" s="730" t="n">
        <v>7.8</v>
      </c>
      <c r="F1015" s="731" t="n">
        <v>9.960000000000001</v>
      </c>
      <c r="G1015" t="inlineStr">
        <is>
          <t>31.9億</t>
        </is>
      </c>
      <c r="H1015" t="n">
        <v>37283</v>
      </c>
      <c r="I1015" t="n">
        <v>27070</v>
      </c>
      <c r="J1015" t="n">
        <v>22.62</v>
      </c>
      <c r="K1015" t="n">
        <v>86.09999999999999</v>
      </c>
      <c r="L1015" t="n">
        <v>83.5</v>
      </c>
      <c r="M1015" s="155" t="n">
        <v>16.48</v>
      </c>
      <c r="N1015" t="inlineStr">
        <is>
          <t>鴻海集團旗下之玻璃加工龍頭廠商</t>
        </is>
      </c>
    </row>
    <row r="1016">
      <c r="A1016" t="n">
        <v>3152</v>
      </c>
      <c r="B1016" t="inlineStr">
        <is>
          <t>璟德</t>
        </is>
      </c>
      <c r="C1016" t="n">
        <v>185.5</v>
      </c>
      <c r="D1016" t="n">
        <v>186</v>
      </c>
      <c r="E1016" s="730" t="n">
        <v>-0.5</v>
      </c>
      <c r="F1016" s="731" t="n">
        <v>-0.27</v>
      </c>
      <c r="G1016" t="inlineStr">
        <is>
          <t>3.07億</t>
        </is>
      </c>
      <c r="H1016" t="n">
        <v>1670</v>
      </c>
      <c r="I1016" t="n">
        <v>2805</v>
      </c>
      <c r="J1016" t="n">
        <v>6.9</v>
      </c>
      <c r="K1016" t="n">
        <v>188</v>
      </c>
      <c r="L1016" t="n">
        <v>178.5</v>
      </c>
      <c r="M1016" s="155" t="n">
        <v>2.42</v>
      </c>
      <c r="N1016" t="inlineStr">
        <is>
          <t>台灣最大LTCC元件廠</t>
        </is>
      </c>
    </row>
    <row r="1017">
      <c r="A1017" t="n">
        <v>3158</v>
      </c>
      <c r="B1017" t="inlineStr">
        <is>
          <t>嘉實</t>
        </is>
      </c>
      <c r="C1017" t="n">
        <v>85.3</v>
      </c>
      <c r="D1017" t="n">
        <v>85.3</v>
      </c>
      <c r="E1017" s="730" t="n">
        <v>0</v>
      </c>
      <c r="F1017" s="731" t="n">
        <v>0</v>
      </c>
      <c r="G1017" t="inlineStr">
        <is>
          <t>704萬</t>
        </is>
      </c>
      <c r="H1017" t="n">
        <v>84</v>
      </c>
      <c r="I1017" t="n">
        <v>16</v>
      </c>
      <c r="J1017" t="n">
        <v>3.05</v>
      </c>
      <c r="K1017" t="n">
        <v>85.3</v>
      </c>
      <c r="L1017" t="n">
        <v>82.5</v>
      </c>
      <c r="M1017" s="155" t="n">
        <v>0.28</v>
      </c>
      <c r="N1017" t="inlineStr">
        <is>
          <t>金融資訊流整合系統及股市即時報價供應商</t>
        </is>
      </c>
    </row>
    <row r="1018">
      <c r="A1018" t="n">
        <v>3162</v>
      </c>
      <c r="B1018" t="inlineStr">
        <is>
          <t>精確</t>
        </is>
      </c>
      <c r="C1018" t="n">
        <v>86.3</v>
      </c>
      <c r="D1018" t="n">
        <v>83.59999999999999</v>
      </c>
      <c r="E1018" s="730" t="n">
        <v>-2.5</v>
      </c>
      <c r="F1018" s="731" t="n">
        <v>-2.9</v>
      </c>
      <c r="G1018" t="inlineStr">
        <is>
          <t>1.90億</t>
        </is>
      </c>
      <c r="H1018" t="n">
        <v>2245</v>
      </c>
      <c r="I1018" t="n">
        <v>5789</v>
      </c>
      <c r="J1018" t="n">
        <v>15.43</v>
      </c>
      <c r="K1018" t="n">
        <v>86.7</v>
      </c>
      <c r="L1018" t="n">
        <v>83</v>
      </c>
      <c r="M1018" s="155" t="n">
        <v>1.45</v>
      </c>
      <c r="N1018" t="inlineStr">
        <is>
          <t>敏實集團旗下的車用鋁壓鑄零件供應商</t>
        </is>
      </c>
    </row>
    <row r="1019">
      <c r="A1019" t="n">
        <v>3163</v>
      </c>
      <c r="B1019" t="inlineStr">
        <is>
          <t>波若威</t>
        </is>
      </c>
      <c r="C1019" t="n">
        <v>1100</v>
      </c>
      <c r="D1019" t="n">
        <v>988</v>
      </c>
      <c r="E1019" s="730" t="n">
        <v>-72</v>
      </c>
      <c r="F1019" s="731" t="n">
        <v>-6.79</v>
      </c>
      <c r="G1019" t="inlineStr">
        <is>
          <t>45.4億</t>
        </is>
      </c>
      <c r="H1019" t="n">
        <v>4431</v>
      </c>
      <c r="I1019" t="n">
        <v>4078</v>
      </c>
      <c r="J1019" t="n">
        <v>8.050000000000001</v>
      </c>
      <c r="K1019" t="n">
        <v>1120</v>
      </c>
      <c r="L1019" t="n">
        <v>982</v>
      </c>
      <c r="M1019" s="155" t="n">
        <v>5.5</v>
      </c>
      <c r="N1019" t="inlineStr">
        <is>
          <t>台灣最大光纖被動元件代工廠</t>
        </is>
      </c>
    </row>
    <row r="1020">
      <c r="A1020" t="n">
        <v>3164</v>
      </c>
      <c r="B1020" t="inlineStr">
        <is>
          <t>景岳</t>
        </is>
      </c>
      <c r="C1020" t="n">
        <v>16.35</v>
      </c>
      <c r="D1020" t="n">
        <v>16.25</v>
      </c>
      <c r="E1020" s="730" t="n">
        <v>-0.15</v>
      </c>
      <c r="F1020" s="731" t="n">
        <v>-0.91</v>
      </c>
      <c r="G1020" t="inlineStr">
        <is>
          <t>115萬</t>
        </is>
      </c>
      <c r="H1020" t="n">
        <v>71</v>
      </c>
      <c r="I1020" t="n">
        <v>133</v>
      </c>
      <c r="J1020" t="n">
        <v>8.6</v>
      </c>
      <c r="K1020" t="n">
        <v>16.35</v>
      </c>
      <c r="L1020" t="n">
        <v>16.2</v>
      </c>
      <c r="M1020" s="155" t="n">
        <v>0.08</v>
      </c>
      <c r="N1020" t="inlineStr">
        <is>
          <t>亞洲第一家益生菌原料藥GMP廠</t>
        </is>
      </c>
    </row>
    <row r="1021">
      <c r="A1021" t="n">
        <v>3167</v>
      </c>
      <c r="B1021" t="inlineStr">
        <is>
          <t>大量</t>
        </is>
      </c>
      <c r="C1021" t="n">
        <v>797</v>
      </c>
      <c r="D1021" t="n">
        <v>840</v>
      </c>
      <c r="E1021" s="730" t="n">
        <v>54</v>
      </c>
      <c r="F1021" s="731" t="n">
        <v>6.87</v>
      </c>
      <c r="G1021" t="inlineStr">
        <is>
          <t>6.54億</t>
        </is>
      </c>
      <c r="H1021" t="n">
        <v>796</v>
      </c>
      <c r="I1021" t="n">
        <v>679</v>
      </c>
      <c r="J1021" t="n">
        <v>9.039999999999999</v>
      </c>
      <c r="K1021" t="n">
        <v>845</v>
      </c>
      <c r="L1021" t="n">
        <v>784</v>
      </c>
      <c r="M1021" s="155" t="n">
        <v>0.9</v>
      </c>
      <c r="N1021" t="inlineStr">
        <is>
          <t>全球PCB成型機龍頭廠</t>
        </is>
      </c>
    </row>
    <row r="1022">
      <c r="A1022" t="n">
        <v>3168</v>
      </c>
      <c r="B1022" t="inlineStr">
        <is>
          <t>眾福科</t>
        </is>
      </c>
      <c r="C1022" t="n">
        <v>50.4</v>
      </c>
      <c r="D1022" t="n">
        <v>48.25</v>
      </c>
      <c r="E1022" s="730" t="n">
        <v>-0.7</v>
      </c>
      <c r="F1022" s="731" t="n">
        <v>-1.43</v>
      </c>
      <c r="G1022" t="inlineStr">
        <is>
          <t>550萬</t>
        </is>
      </c>
      <c r="H1022" t="n">
        <v>113</v>
      </c>
      <c r="I1022" t="n">
        <v>208</v>
      </c>
      <c r="J1022" t="n">
        <v>7.51</v>
      </c>
      <c r="K1022" t="n">
        <v>50.4</v>
      </c>
      <c r="L1022" t="n">
        <v>48</v>
      </c>
      <c r="M1022" s="155" t="n">
        <v>0.15</v>
      </c>
      <c r="N1022" t="inlineStr">
        <is>
          <t>佳世達旗下，為工控及客製化液晶顯示器之製造商</t>
        </is>
      </c>
    </row>
    <row r="1023">
      <c r="A1023" t="n">
        <v>3169</v>
      </c>
      <c r="B1023" t="inlineStr">
        <is>
          <t>亞信</t>
        </is>
      </c>
      <c r="C1023" t="n">
        <v>120</v>
      </c>
      <c r="D1023" t="n">
        <v>123</v>
      </c>
      <c r="E1023" s="730" t="n">
        <v>4</v>
      </c>
      <c r="F1023" s="731" t="n">
        <v>3.36</v>
      </c>
      <c r="G1023" t="inlineStr">
        <is>
          <t>1.01億</t>
        </is>
      </c>
      <c r="H1023" t="n">
        <v>842</v>
      </c>
      <c r="I1023" t="n">
        <v>966</v>
      </c>
      <c r="J1023" t="n">
        <v>6.33</v>
      </c>
      <c r="K1023" t="n">
        <v>123.5</v>
      </c>
      <c r="L1023" t="n">
        <v>118</v>
      </c>
      <c r="M1023" s="155" t="n">
        <v>1.33</v>
      </c>
      <c r="N1023" t="inlineStr">
        <is>
          <t>台灣乙太網路控制晶片廠</t>
        </is>
      </c>
    </row>
    <row r="1024">
      <c r="A1024" t="n">
        <v>3171</v>
      </c>
      <c r="B1024" t="inlineStr">
        <is>
          <t>炎洲流通</t>
        </is>
      </c>
      <c r="C1024" t="n">
        <v>69.09999999999999</v>
      </c>
      <c r="D1024" t="n">
        <v>72.7</v>
      </c>
      <c r="E1024" s="730" t="n">
        <v>3.2</v>
      </c>
      <c r="F1024" s="731" t="n">
        <v>4.6</v>
      </c>
      <c r="G1024" t="inlineStr">
        <is>
          <t>760萬</t>
        </is>
      </c>
      <c r="H1024" t="n">
        <v>107</v>
      </c>
      <c r="I1024" t="n">
        <v>27</v>
      </c>
      <c r="J1024" t="n">
        <v>3.31</v>
      </c>
      <c r="K1024" t="n">
        <v>72.8</v>
      </c>
      <c r="L1024" t="n">
        <v>69.09999999999999</v>
      </c>
      <c r="M1024" s="155" t="n">
        <v>0.32</v>
      </c>
      <c r="N1024" t="inlineStr">
        <is>
          <t>炎洲集團旗下的包材通路商</t>
        </is>
      </c>
    </row>
    <row r="1025">
      <c r="A1025" t="n">
        <v>3176</v>
      </c>
      <c r="B1025" t="inlineStr">
        <is>
          <t>基亞</t>
        </is>
      </c>
      <c r="C1025" t="n">
        <v>32.45</v>
      </c>
      <c r="D1025" t="n">
        <v>32.6</v>
      </c>
      <c r="E1025" s="730" t="n">
        <v>0.15</v>
      </c>
      <c r="F1025" s="731" t="n">
        <v>0.46</v>
      </c>
      <c r="G1025" t="inlineStr">
        <is>
          <t>1804萬</t>
        </is>
      </c>
      <c r="H1025" t="n">
        <v>554</v>
      </c>
      <c r="I1025" t="n">
        <v>781</v>
      </c>
      <c r="J1025" t="n">
        <v>13.93</v>
      </c>
      <c r="K1025" t="n">
        <v>33.15</v>
      </c>
      <c r="L1025" t="n">
        <v>32.25</v>
      </c>
      <c r="M1025" s="155" t="n">
        <v>0.4</v>
      </c>
      <c r="N1025" t="inlineStr">
        <is>
          <t>全球知名的核酸檢驗試劑和肝癌新藥研發廠</t>
        </is>
      </c>
    </row>
    <row r="1026">
      <c r="A1026" t="n">
        <v>3178</v>
      </c>
      <c r="B1026" t="inlineStr">
        <is>
          <t>公準</t>
        </is>
      </c>
      <c r="C1026" t="n">
        <v>70</v>
      </c>
      <c r="D1026" t="n">
        <v>68.8</v>
      </c>
      <c r="E1026" s="730" t="n">
        <v>-1.2</v>
      </c>
      <c r="F1026" s="731" t="n">
        <v>-1.71</v>
      </c>
      <c r="G1026" t="inlineStr">
        <is>
          <t>1006萬</t>
        </is>
      </c>
      <c r="H1026" t="n">
        <v>147</v>
      </c>
      <c r="I1026" t="n">
        <v>272</v>
      </c>
      <c r="J1026" t="n">
        <v>4.51</v>
      </c>
      <c r="K1026" t="n">
        <v>70</v>
      </c>
      <c r="L1026" t="n">
        <v>68</v>
      </c>
      <c r="M1026" s="155" t="n">
        <v>0.33</v>
      </c>
      <c r="N1026" t="inlineStr">
        <is>
          <t>機台設備使用之關鍵零組件、精密模具製造商</t>
        </is>
      </c>
    </row>
    <row r="1027">
      <c r="A1027" t="n">
        <v>3188</v>
      </c>
      <c r="B1027" t="inlineStr">
        <is>
          <t>鑫龍騰</t>
        </is>
      </c>
      <c r="C1027" t="n">
        <v>22.55</v>
      </c>
      <c r="D1027" t="n">
        <v>22.6</v>
      </c>
      <c r="E1027" s="730" t="n">
        <v>0.05</v>
      </c>
      <c r="F1027" s="731" t="n">
        <v>0.22</v>
      </c>
      <c r="G1027" t="inlineStr">
        <is>
          <t>556萬</t>
        </is>
      </c>
      <c r="H1027" t="n">
        <v>247</v>
      </c>
      <c r="I1027" t="n">
        <v>421</v>
      </c>
      <c r="J1027" t="n">
        <v>18.86</v>
      </c>
      <c r="K1027" t="n">
        <v>22.75</v>
      </c>
      <c r="L1027" t="n">
        <v>22.45</v>
      </c>
      <c r="M1027" s="155" t="n">
        <v>0.13</v>
      </c>
      <c r="N1027" t="inlineStr">
        <is>
          <t>以開發南部不動產商品為主</t>
        </is>
      </c>
    </row>
    <row r="1028">
      <c r="A1028" t="n">
        <v>3189</v>
      </c>
      <c r="B1028" t="inlineStr">
        <is>
          <t>景碩</t>
        </is>
      </c>
      <c r="C1028" t="n">
        <v>778</v>
      </c>
      <c r="D1028" t="n">
        <v>743</v>
      </c>
      <c r="E1028" s="730" t="n">
        <v>-31</v>
      </c>
      <c r="F1028" s="731" t="n">
        <v>-4.01</v>
      </c>
      <c r="G1028" t="inlineStr">
        <is>
          <t>44.2億</t>
        </is>
      </c>
      <c r="H1028" t="n">
        <v>6081</v>
      </c>
      <c r="I1028" t="n">
        <v>20571</v>
      </c>
      <c r="J1028" t="n">
        <v>52.69</v>
      </c>
      <c r="K1028" t="n">
        <v>778</v>
      </c>
      <c r="L1028" t="n">
        <v>710</v>
      </c>
      <c r="M1028" s="155" t="n">
        <v>1.15</v>
      </c>
      <c r="N1028" t="inlineStr">
        <is>
          <t>全球ABF載板的主要供應商</t>
        </is>
      </c>
    </row>
    <row r="1029">
      <c r="A1029" t="n">
        <v>3191</v>
      </c>
      <c r="B1029" t="inlineStr">
        <is>
          <t>雲嘉南</t>
        </is>
      </c>
      <c r="C1029" t="n">
        <v>24.25</v>
      </c>
      <c r="D1029" t="n">
        <v>22.45</v>
      </c>
      <c r="E1029" s="730" t="n">
        <v>-2.25</v>
      </c>
      <c r="F1029" s="731" t="n">
        <v>-9.109999999999999</v>
      </c>
      <c r="G1029" t="inlineStr">
        <is>
          <t>1396萬</t>
        </is>
      </c>
      <c r="H1029" t="n">
        <v>621</v>
      </c>
      <c r="I1029" t="n">
        <v>755</v>
      </c>
      <c r="J1029" t="n">
        <v>4.36</v>
      </c>
      <c r="K1029" t="n">
        <v>24.25</v>
      </c>
      <c r="L1029" t="n">
        <v>22.25</v>
      </c>
      <c r="M1029" s="155" t="n">
        <v>1.42</v>
      </c>
      <c r="N1029" t="inlineStr">
        <is>
          <t>變壓器線架專業生產商</t>
        </is>
      </c>
    </row>
    <row r="1030">
      <c r="A1030" t="n">
        <v>3205</v>
      </c>
      <c r="B1030" t="inlineStr">
        <is>
          <t>佰研</t>
        </is>
      </c>
      <c r="C1030" t="n">
        <v>53.5</v>
      </c>
      <c r="D1030" t="n">
        <v>52.3</v>
      </c>
      <c r="E1030" s="730" t="n">
        <v>-1</v>
      </c>
      <c r="F1030" s="731" t="n">
        <v>-1.88</v>
      </c>
      <c r="G1030" t="inlineStr">
        <is>
          <t>741萬</t>
        </is>
      </c>
      <c r="H1030" t="n">
        <v>140</v>
      </c>
      <c r="I1030" t="n">
        <v>129</v>
      </c>
      <c r="J1030" t="n">
        <v>6.75</v>
      </c>
      <c r="K1030" t="n">
        <v>54</v>
      </c>
      <c r="L1030" t="n">
        <v>52.3</v>
      </c>
      <c r="M1030" s="155" t="n">
        <v>0.21</v>
      </c>
      <c r="N1030" t="inlineStr">
        <is>
          <t>透過克緹直銷有機食品及保健食品</t>
        </is>
      </c>
    </row>
    <row r="1031">
      <c r="A1031" t="n">
        <v>3206</v>
      </c>
      <c r="B1031" t="inlineStr">
        <is>
          <t>志豐</t>
        </is>
      </c>
      <c r="C1031" t="n">
        <v>41</v>
      </c>
      <c r="D1031" t="n">
        <v>40.4</v>
      </c>
      <c r="E1031" s="730" t="n">
        <v>0</v>
      </c>
      <c r="F1031" s="731" t="n">
        <v>0</v>
      </c>
      <c r="G1031" t="inlineStr">
        <is>
          <t>1904萬</t>
        </is>
      </c>
      <c r="H1031" t="n">
        <v>469</v>
      </c>
      <c r="I1031" t="n">
        <v>834</v>
      </c>
      <c r="J1031" t="n">
        <v>5.89</v>
      </c>
      <c r="K1031" t="n">
        <v>41.9</v>
      </c>
      <c r="L1031" t="n">
        <v>39.7</v>
      </c>
      <c r="M1031" s="155" t="n">
        <v>0.8</v>
      </c>
      <c r="N1031" t="inlineStr">
        <is>
          <t>耳機與蜂鳴器等電聲元件廠</t>
        </is>
      </c>
    </row>
    <row r="1032">
      <c r="A1032" t="n">
        <v>3207</v>
      </c>
      <c r="B1032" t="inlineStr">
        <is>
          <t>耀勝</t>
        </is>
      </c>
      <c r="C1032" t="n">
        <v>68</v>
      </c>
      <c r="D1032" t="n">
        <v>71.7</v>
      </c>
      <c r="E1032" s="730" t="n">
        <v>3.8</v>
      </c>
      <c r="F1032" s="731" t="n">
        <v>5.6</v>
      </c>
      <c r="G1032" t="inlineStr">
        <is>
          <t>1.53億</t>
        </is>
      </c>
      <c r="H1032" t="n">
        <v>2144</v>
      </c>
      <c r="I1032" t="n">
        <v>1027</v>
      </c>
      <c r="J1032" t="n">
        <v>6.64</v>
      </c>
      <c r="K1032" t="n">
        <v>74.5</v>
      </c>
      <c r="L1032" t="n">
        <v>67.5</v>
      </c>
      <c r="M1032" s="155" t="n">
        <v>3.23</v>
      </c>
      <c r="N1032" t="inlineStr">
        <is>
          <t>變壓器及電感線圈製造生產商</t>
        </is>
      </c>
    </row>
    <row r="1033">
      <c r="A1033" t="n">
        <v>3209</v>
      </c>
      <c r="B1033" t="inlineStr">
        <is>
          <t>全科</t>
        </is>
      </c>
      <c r="C1033" t="n">
        <v>75.3</v>
      </c>
      <c r="D1033" t="n">
        <v>77.8</v>
      </c>
      <c r="E1033" s="730" t="n">
        <v>2.5</v>
      </c>
      <c r="F1033" s="731" t="n">
        <v>3.32</v>
      </c>
      <c r="G1033" t="inlineStr">
        <is>
          <t>2.01億</t>
        </is>
      </c>
      <c r="H1033" t="n">
        <v>2639</v>
      </c>
      <c r="I1033" t="n">
        <v>5194</v>
      </c>
      <c r="J1033" t="n">
        <v>23.54</v>
      </c>
      <c r="K1033" t="n">
        <v>77.8</v>
      </c>
      <c r="L1033" t="n">
        <v>74.59999999999999</v>
      </c>
      <c r="M1033" s="155" t="n">
        <v>1.12</v>
      </c>
      <c r="N1033" t="inlineStr">
        <is>
          <t>為專業通訊元件設計及通路商</t>
        </is>
      </c>
    </row>
    <row r="1034">
      <c r="A1034" t="n">
        <v>3211</v>
      </c>
      <c r="B1034" t="inlineStr">
        <is>
          <t>順達</t>
        </is>
      </c>
      <c r="C1034" t="n">
        <v>436</v>
      </c>
      <c r="D1034" t="n">
        <v>422</v>
      </c>
      <c r="E1034" s="730" t="n">
        <v>-14</v>
      </c>
      <c r="F1034" s="731" t="n">
        <v>-3.21</v>
      </c>
      <c r="G1034" t="inlineStr">
        <is>
          <t>37.9億</t>
        </is>
      </c>
      <c r="H1034" t="n">
        <v>8969</v>
      </c>
      <c r="I1034" t="n">
        <v>13966</v>
      </c>
      <c r="J1034" t="n">
        <v>15.43</v>
      </c>
      <c r="K1034" t="n">
        <v>441.5</v>
      </c>
      <c r="L1034" t="n">
        <v>416</v>
      </c>
      <c r="M1034" s="155" t="n">
        <v>5.81</v>
      </c>
      <c r="N1034" t="inlineStr">
        <is>
          <t>全球知名筆記型電腦電池組裝廠</t>
        </is>
      </c>
    </row>
    <row r="1035">
      <c r="A1035" t="n">
        <v>3213</v>
      </c>
      <c r="B1035" t="inlineStr">
        <is>
          <t>茂訊</t>
        </is>
      </c>
      <c r="C1035" t="n">
        <v>123.5</v>
      </c>
      <c r="D1035" t="n">
        <v>124</v>
      </c>
      <c r="E1035" s="730" t="n">
        <v>2</v>
      </c>
      <c r="F1035" s="731" t="n">
        <v>1.64</v>
      </c>
      <c r="G1035" t="inlineStr">
        <is>
          <t>7432萬</t>
        </is>
      </c>
      <c r="H1035" t="n">
        <v>606</v>
      </c>
      <c r="I1035" t="n">
        <v>656</v>
      </c>
      <c r="J1035" t="n">
        <v>5.87</v>
      </c>
      <c r="K1035" t="n">
        <v>124</v>
      </c>
      <c r="L1035" t="n">
        <v>121</v>
      </c>
      <c r="M1035" s="155" t="n">
        <v>1.03</v>
      </c>
      <c r="N1035" t="inlineStr">
        <is>
          <t>國內專業的強固型電腦暨電腦通路商</t>
        </is>
      </c>
    </row>
    <row r="1036">
      <c r="A1036" t="n">
        <v>3217</v>
      </c>
      <c r="B1036" t="inlineStr">
        <is>
          <t>優群</t>
        </is>
      </c>
      <c r="C1036" t="n">
        <v>193.5</v>
      </c>
      <c r="D1036" t="n">
        <v>192</v>
      </c>
      <c r="E1036" s="730" t="n">
        <v>-1.5</v>
      </c>
      <c r="F1036" s="731" t="n">
        <v>-0.78</v>
      </c>
      <c r="G1036" t="inlineStr">
        <is>
          <t>1.80億</t>
        </is>
      </c>
      <c r="H1036" t="n">
        <v>943</v>
      </c>
      <c r="I1036" t="n">
        <v>2428</v>
      </c>
      <c r="J1036" t="n">
        <v>9.01</v>
      </c>
      <c r="K1036" t="n">
        <v>194</v>
      </c>
      <c r="L1036" t="n">
        <v>189.5</v>
      </c>
      <c r="M1036" s="155" t="n">
        <v>1.05</v>
      </c>
      <c r="N1036" t="inlineStr">
        <is>
          <t>國內連接器製造商</t>
        </is>
      </c>
    </row>
    <row r="1037">
      <c r="A1037" t="n">
        <v>3218</v>
      </c>
      <c r="B1037" t="inlineStr">
        <is>
          <t>大學光</t>
        </is>
      </c>
      <c r="C1037" t="n">
        <v>140</v>
      </c>
      <c r="D1037" t="n">
        <v>138</v>
      </c>
      <c r="E1037" s="730" t="n">
        <v>-2</v>
      </c>
      <c r="F1037" s="731" t="n">
        <v>-1.43</v>
      </c>
      <c r="G1037" t="inlineStr">
        <is>
          <t>3482萬</t>
        </is>
      </c>
      <c r="H1037" t="n">
        <v>250</v>
      </c>
      <c r="I1037" t="n">
        <v>512</v>
      </c>
      <c r="J1037" t="n">
        <v>8.470000000000001</v>
      </c>
      <c r="K1037" t="n">
        <v>141.5</v>
      </c>
      <c r="L1037" t="n">
        <v>138</v>
      </c>
      <c r="M1037" s="155" t="n">
        <v>0.3</v>
      </c>
      <c r="N1037" t="inlineStr">
        <is>
          <t>台灣最大視力健康連鎖集團</t>
        </is>
      </c>
    </row>
    <row r="1038">
      <c r="A1038" t="n">
        <v>3219</v>
      </c>
      <c r="B1038" t="inlineStr">
        <is>
          <t>倚強科</t>
        </is>
      </c>
      <c r="C1038" t="n">
        <v>81.2</v>
      </c>
      <c r="D1038" t="n">
        <v>79.5</v>
      </c>
      <c r="E1038" s="730" t="n">
        <v>-1.3</v>
      </c>
      <c r="F1038" s="731" t="n">
        <v>-1.61</v>
      </c>
      <c r="G1038" t="inlineStr">
        <is>
          <t>4035萬</t>
        </is>
      </c>
      <c r="H1038" t="n">
        <v>503</v>
      </c>
      <c r="I1038" t="n">
        <v>715</v>
      </c>
      <c r="J1038" t="n">
        <v>7.18</v>
      </c>
      <c r="K1038" t="n">
        <v>84</v>
      </c>
      <c r="L1038" t="n">
        <v>78.8</v>
      </c>
      <c r="M1038" s="155" t="n">
        <v>0.71</v>
      </c>
      <c r="N1038" t="inlineStr">
        <is>
          <t>全球領先的消費電子及車電測試方案供應商</t>
        </is>
      </c>
    </row>
    <row r="1039">
      <c r="A1039" t="n">
        <v>3221</v>
      </c>
      <c r="B1039" t="inlineStr">
        <is>
          <t>台嘉碩</t>
        </is>
      </c>
      <c r="C1039" t="n">
        <v>57</v>
      </c>
      <c r="D1039" t="n">
        <v>57.3</v>
      </c>
      <c r="E1039" s="730" t="n">
        <v>-0.2</v>
      </c>
      <c r="F1039" s="731" t="n">
        <v>-0.35</v>
      </c>
      <c r="G1039" t="inlineStr">
        <is>
          <t>3.79億</t>
        </is>
      </c>
      <c r="H1039" t="n">
        <v>6789</v>
      </c>
      <c r="I1039" t="n">
        <v>14138</v>
      </c>
      <c r="J1039" t="n">
        <v>10.51</v>
      </c>
      <c r="K1039" t="n">
        <v>57.9</v>
      </c>
      <c r="L1039" t="n">
        <v>54.7</v>
      </c>
      <c r="M1039" s="155" t="n">
        <v>6.46</v>
      </c>
      <c r="N1039" t="inlineStr">
        <is>
          <t>台灣最大的表面聲波濾波器製造商</t>
        </is>
      </c>
    </row>
    <row r="1040">
      <c r="A1040" t="n">
        <v>3224</v>
      </c>
      <c r="B1040" t="inlineStr">
        <is>
          <t>三顧</t>
        </is>
      </c>
      <c r="C1040" t="n">
        <v>38.8</v>
      </c>
      <c r="D1040" t="n">
        <v>38.5</v>
      </c>
      <c r="E1040" s="730" t="n">
        <v>-0.15</v>
      </c>
      <c r="F1040" s="731" t="n">
        <v>-0.39</v>
      </c>
      <c r="G1040" t="inlineStr">
        <is>
          <t>715萬</t>
        </is>
      </c>
      <c r="H1040" t="n">
        <v>186</v>
      </c>
      <c r="I1040" t="n">
        <v>142</v>
      </c>
      <c r="J1040" t="n">
        <v>7.82</v>
      </c>
      <c r="K1040" t="n">
        <v>38.95</v>
      </c>
      <c r="L1040" t="n">
        <v>38.05</v>
      </c>
      <c r="M1040" s="155" t="n">
        <v>0.24</v>
      </c>
      <c r="N1040" t="inlineStr">
        <is>
          <t>經營電子材料代理及再生醫療業務</t>
        </is>
      </c>
    </row>
    <row r="1041">
      <c r="A1041" t="n">
        <v>3226</v>
      </c>
      <c r="B1041" t="inlineStr">
        <is>
          <t>龍鋒</t>
        </is>
      </c>
      <c r="C1041" t="n">
        <v>46</v>
      </c>
      <c r="D1041" t="n">
        <v>46.1</v>
      </c>
      <c r="E1041" s="730" t="n">
        <v>0.85</v>
      </c>
      <c r="F1041" s="731" t="n">
        <v>1.88</v>
      </c>
      <c r="G1041" t="inlineStr">
        <is>
          <t>152萬</t>
        </is>
      </c>
      <c r="H1041" t="n">
        <v>33</v>
      </c>
      <c r="I1041" t="n">
        <v>12</v>
      </c>
      <c r="J1041" t="n">
        <v>6.44</v>
      </c>
      <c r="K1041" t="n">
        <v>47</v>
      </c>
      <c r="L1041" t="n">
        <v>45.85</v>
      </c>
      <c r="M1041" s="155" t="n">
        <v>0.05</v>
      </c>
      <c r="N1041" t="inlineStr">
        <is>
          <t>台灣車燈及車用LED模組製造商</t>
        </is>
      </c>
    </row>
    <row r="1042">
      <c r="A1042" t="n">
        <v>3227</v>
      </c>
      <c r="B1042" t="inlineStr">
        <is>
          <t>原相</t>
        </is>
      </c>
      <c r="C1042" t="n">
        <v>233</v>
      </c>
      <c r="D1042" t="n">
        <v>235</v>
      </c>
      <c r="E1042" s="730" t="n">
        <v>2</v>
      </c>
      <c r="F1042" s="731" t="n">
        <v>0.86</v>
      </c>
      <c r="G1042" t="inlineStr">
        <is>
          <t>6.60億</t>
        </is>
      </c>
      <c r="H1042" t="n">
        <v>2839</v>
      </c>
      <c r="I1042" t="n">
        <v>3028</v>
      </c>
      <c r="J1042" t="n">
        <v>15.05</v>
      </c>
      <c r="K1042" t="n">
        <v>236</v>
      </c>
      <c r="L1042" t="n">
        <v>229.5</v>
      </c>
      <c r="M1042" s="155" t="n">
        <v>1.89</v>
      </c>
      <c r="N1042" t="inlineStr">
        <is>
          <t>為CMOS影像感測器及數位影像應用IC領導廠商</t>
        </is>
      </c>
    </row>
    <row r="1043">
      <c r="A1043" t="n">
        <v>3228</v>
      </c>
      <c r="B1043" t="inlineStr">
        <is>
          <t>金麗科</t>
        </is>
      </c>
      <c r="C1043" t="n">
        <v>204</v>
      </c>
      <c r="D1043" t="n">
        <v>194.5</v>
      </c>
      <c r="E1043" s="730" t="n">
        <v>-2</v>
      </c>
      <c r="F1043" s="731" t="n">
        <v>-1.02</v>
      </c>
      <c r="G1043" t="inlineStr">
        <is>
          <t>1.39億</t>
        </is>
      </c>
      <c r="H1043" t="n">
        <v>721</v>
      </c>
      <c r="I1043" t="n">
        <v>1003</v>
      </c>
      <c r="J1043" t="n">
        <v>7.19</v>
      </c>
      <c r="K1043" t="n">
        <v>204</v>
      </c>
      <c r="L1043" t="n">
        <v>189</v>
      </c>
      <c r="M1043" s="155" t="n">
        <v>1.01</v>
      </c>
      <c r="N1043" t="inlineStr">
        <is>
          <t>從事微控制器IC、嵌入式微處理器及網路單晶片IC等設計公司</t>
        </is>
      </c>
    </row>
    <row r="1044">
      <c r="A1044" t="n">
        <v>3229</v>
      </c>
      <c r="B1044" t="inlineStr">
        <is>
          <t>晟鈦</t>
        </is>
      </c>
      <c r="C1044" t="n">
        <v>50</v>
      </c>
      <c r="D1044" t="n">
        <v>50.3</v>
      </c>
      <c r="E1044" s="730" t="n">
        <v>-4.1</v>
      </c>
      <c r="F1044" s="731" t="n">
        <v>-7.54</v>
      </c>
      <c r="G1044" t="inlineStr">
        <is>
          <t>8010萬</t>
        </is>
      </c>
      <c r="H1044" t="n">
        <v>1605</v>
      </c>
      <c r="I1044" t="n">
        <v>1390</v>
      </c>
      <c r="J1044" t="n">
        <v>6.43</v>
      </c>
      <c r="K1044" t="n">
        <v>52.6</v>
      </c>
      <c r="L1044" t="n">
        <v>49</v>
      </c>
      <c r="M1044" s="155" t="n">
        <v>4.97</v>
      </c>
      <c r="N1044" t="inlineStr">
        <is>
          <t>磷銅球、小量多樣PCB供應商</t>
        </is>
      </c>
    </row>
    <row r="1045">
      <c r="A1045" t="n">
        <v>3230</v>
      </c>
      <c r="B1045" t="inlineStr">
        <is>
          <t>錦明</t>
        </is>
      </c>
      <c r="C1045" t="n">
        <v>31</v>
      </c>
      <c r="D1045" t="n">
        <v>30.7</v>
      </c>
      <c r="E1045" s="730" t="n">
        <v>0</v>
      </c>
      <c r="F1045" s="731" t="n">
        <v>0</v>
      </c>
      <c r="G1045" t="inlineStr">
        <is>
          <t>1952萬</t>
        </is>
      </c>
      <c r="H1045" t="n">
        <v>644</v>
      </c>
      <c r="I1045" t="n">
        <v>776</v>
      </c>
      <c r="J1045" t="n">
        <v>8.6</v>
      </c>
      <c r="K1045" t="n">
        <v>31</v>
      </c>
      <c r="L1045" t="n">
        <v>30.1</v>
      </c>
      <c r="M1045" s="155" t="n">
        <v>0.75</v>
      </c>
      <c r="N1045" t="inlineStr">
        <is>
          <t>生產液晶螢幕金屬機構模具廠</t>
        </is>
      </c>
    </row>
    <row r="1046">
      <c r="A1046" t="n">
        <v>3231</v>
      </c>
      <c r="B1046" t="inlineStr">
        <is>
          <t>緯創</t>
        </is>
      </c>
      <c r="C1046" t="n">
        <v>179</v>
      </c>
      <c r="D1046" t="n">
        <v>191</v>
      </c>
      <c r="E1046" s="730" t="n">
        <v>17</v>
      </c>
      <c r="F1046" s="731" t="n">
        <v>9.77</v>
      </c>
      <c r="G1046" t="inlineStr">
        <is>
          <t>526億</t>
        </is>
      </c>
      <c r="H1046" t="n">
        <v>279118</v>
      </c>
      <c r="I1046" t="n">
        <v>64772</v>
      </c>
      <c r="J1046" t="n">
        <v>318.04</v>
      </c>
      <c r="K1046" t="n">
        <v>191</v>
      </c>
      <c r="L1046" t="n">
        <v>177</v>
      </c>
      <c r="M1046" s="155" t="n">
        <v>8.779999999999999</v>
      </c>
      <c r="N1046" t="inlineStr">
        <is>
          <t>全球前五大NB代工廠</t>
        </is>
      </c>
    </row>
    <row r="1047">
      <c r="A1047" t="n">
        <v>3232</v>
      </c>
      <c r="B1047" t="inlineStr">
        <is>
          <t>昱捷</t>
        </is>
      </c>
      <c r="C1047" t="n">
        <v>22.85</v>
      </c>
      <c r="D1047" t="n">
        <v>22.8</v>
      </c>
      <c r="E1047" s="730" t="n">
        <v>-0.4</v>
      </c>
      <c r="F1047" s="731" t="n">
        <v>-1.72</v>
      </c>
      <c r="G1047" t="inlineStr">
        <is>
          <t>277萬</t>
        </is>
      </c>
      <c r="H1047" t="n">
        <v>122</v>
      </c>
      <c r="I1047" t="n">
        <v>491</v>
      </c>
      <c r="J1047" t="n">
        <v>4.66</v>
      </c>
      <c r="K1047" t="n">
        <v>23</v>
      </c>
      <c r="L1047" t="n">
        <v>22.4</v>
      </c>
      <c r="M1047" s="155" t="n">
        <v>0.26</v>
      </c>
      <c r="N1047" t="inlineStr">
        <is>
          <t>主要代理日系的電子零組件通路商</t>
        </is>
      </c>
    </row>
    <row r="1048">
      <c r="A1048" t="n">
        <v>3234</v>
      </c>
      <c r="B1048" t="inlineStr">
        <is>
          <t>光環</t>
        </is>
      </c>
      <c r="C1048" t="n">
        <v>129</v>
      </c>
      <c r="D1048" t="n">
        <v>130</v>
      </c>
      <c r="E1048" s="730" t="n">
        <v>11.5</v>
      </c>
      <c r="F1048" s="731" t="n">
        <v>9.699999999999999</v>
      </c>
      <c r="G1048" t="inlineStr">
        <is>
          <t>16.3億</t>
        </is>
      </c>
      <c r="H1048" t="n">
        <v>12690</v>
      </c>
      <c r="I1048" t="n">
        <v>2960</v>
      </c>
      <c r="J1048" t="n">
        <v>11.15</v>
      </c>
      <c r="K1048" t="n">
        <v>130</v>
      </c>
      <c r="L1048" t="n">
        <v>120</v>
      </c>
      <c r="M1048" s="155" t="n">
        <v>11.38</v>
      </c>
      <c r="N1048" t="inlineStr">
        <is>
          <t>光收發模組上游晶粒及封裝廠</t>
        </is>
      </c>
    </row>
    <row r="1049">
      <c r="A1049" t="n">
        <v>3236</v>
      </c>
      <c r="B1049" t="inlineStr">
        <is>
          <t>千如</t>
        </is>
      </c>
      <c r="C1049" t="n">
        <v>57.5</v>
      </c>
      <c r="D1049" t="n">
        <v>55</v>
      </c>
      <c r="E1049" s="730" t="n">
        <v>-2.3</v>
      </c>
      <c r="F1049" s="731" t="n">
        <v>-4.01</v>
      </c>
      <c r="G1049" t="inlineStr">
        <is>
          <t>1.45億</t>
        </is>
      </c>
      <c r="H1049" t="n">
        <v>2711</v>
      </c>
      <c r="I1049" t="n">
        <v>9263</v>
      </c>
      <c r="J1049" t="n">
        <v>10.5</v>
      </c>
      <c r="K1049" t="n">
        <v>57.5</v>
      </c>
      <c r="L1049" t="n">
        <v>52.5</v>
      </c>
      <c r="M1049" s="155" t="n">
        <v>2.58</v>
      </c>
      <c r="N1049" t="inlineStr">
        <is>
          <t>台灣SMD晶片電感廠</t>
        </is>
      </c>
    </row>
    <row r="1050">
      <c r="A1050" t="n">
        <v>3252</v>
      </c>
      <c r="B1050" t="inlineStr">
        <is>
          <t>海灣</t>
        </is>
      </c>
      <c r="C1050" t="n">
        <v>17.7</v>
      </c>
      <c r="D1050" t="n">
        <v>17.8</v>
      </c>
      <c r="E1050" s="730" t="n">
        <v>0.05</v>
      </c>
      <c r="F1050" s="731" t="n">
        <v>0.28</v>
      </c>
      <c r="G1050" t="inlineStr">
        <is>
          <t>23.0萬</t>
        </is>
      </c>
      <c r="H1050" t="n">
        <v>13</v>
      </c>
      <c r="I1050" t="n">
        <v>14</v>
      </c>
      <c r="J1050" t="n">
        <v>5.02</v>
      </c>
      <c r="K1050" t="n">
        <v>17.8</v>
      </c>
      <c r="L1050" t="n">
        <v>17.7</v>
      </c>
      <c r="M1050" s="155" t="n">
        <v>0.03</v>
      </c>
      <c r="N1050" t="inlineStr">
        <is>
          <t>知名海邊渡假飯店</t>
        </is>
      </c>
    </row>
    <row r="1051">
      <c r="A1051" t="n">
        <v>3257</v>
      </c>
      <c r="B1051" t="inlineStr">
        <is>
          <t>虹冠電</t>
        </is>
      </c>
      <c r="C1051" t="n">
        <v>66.09999999999999</v>
      </c>
      <c r="D1051" t="n">
        <v>63.1</v>
      </c>
      <c r="E1051" s="730" t="n">
        <v>-3.6</v>
      </c>
      <c r="F1051" s="731" t="n">
        <v>-5.4</v>
      </c>
      <c r="G1051" t="inlineStr">
        <is>
          <t>1.07億</t>
        </is>
      </c>
      <c r="H1051" t="n">
        <v>1682</v>
      </c>
      <c r="I1051" t="n">
        <v>4132</v>
      </c>
      <c r="J1051" t="n">
        <v>7.98</v>
      </c>
      <c r="K1051" t="n">
        <v>66.2</v>
      </c>
      <c r="L1051" t="n">
        <v>61.3</v>
      </c>
      <c r="M1051" s="155" t="n">
        <v>2.11</v>
      </c>
      <c r="N1051" t="inlineStr">
        <is>
          <t>台灣AC-DC類比電源管理IC供應商</t>
        </is>
      </c>
    </row>
    <row r="1052">
      <c r="A1052" t="n">
        <v>3259</v>
      </c>
      <c r="B1052" t="inlineStr">
        <is>
          <t>鑫創</t>
        </is>
      </c>
      <c r="C1052" t="n">
        <v>16.5</v>
      </c>
      <c r="D1052" t="n">
        <v>17.45</v>
      </c>
      <c r="E1052" s="730" t="n">
        <v>0.7</v>
      </c>
      <c r="F1052" s="731" t="n">
        <v>4.18</v>
      </c>
      <c r="G1052" t="inlineStr">
        <is>
          <t>156萬</t>
        </is>
      </c>
      <c r="H1052" t="n">
        <v>93</v>
      </c>
      <c r="I1052" t="n">
        <v>80</v>
      </c>
      <c r="J1052" t="n">
        <v>7.3</v>
      </c>
      <c r="K1052" t="n">
        <v>17.45</v>
      </c>
      <c r="L1052" t="n">
        <v>16.5</v>
      </c>
      <c r="M1052" s="155" t="n">
        <v>0.13</v>
      </c>
      <c r="N1052" t="inlineStr">
        <is>
          <t>從事NAND Flash控制IC及MEMS麥克風IC設計廠</t>
        </is>
      </c>
    </row>
    <row r="1053">
      <c r="A1053" t="n">
        <v>3260</v>
      </c>
      <c r="B1053" t="inlineStr">
        <is>
          <t>威剛</t>
        </is>
      </c>
      <c r="C1053" t="n">
        <v>434</v>
      </c>
      <c r="D1053" t="n">
        <v>469.5</v>
      </c>
      <c r="E1053" s="730" t="n">
        <v>42.5</v>
      </c>
      <c r="F1053" s="731" t="n">
        <v>9.949999999999999</v>
      </c>
      <c r="G1053" t="inlineStr">
        <is>
          <t>267億</t>
        </is>
      </c>
      <c r="H1053" t="n">
        <v>58482</v>
      </c>
      <c r="I1053" t="n">
        <v>14951</v>
      </c>
      <c r="J1053" t="n">
        <v>32.94</v>
      </c>
      <c r="K1053" t="n">
        <v>469.5</v>
      </c>
      <c r="L1053" t="n">
        <v>430</v>
      </c>
      <c r="M1053" s="155" t="n">
        <v>17.95</v>
      </c>
      <c r="N1053" t="inlineStr">
        <is>
          <t>全球前三大記憶體模組廠</t>
        </is>
      </c>
    </row>
    <row r="1054">
      <c r="A1054" t="n">
        <v>3264</v>
      </c>
      <c r="B1054" t="inlineStr">
        <is>
          <t>欣銓</t>
        </is>
      </c>
      <c r="C1054" t="n">
        <v>224.5</v>
      </c>
      <c r="D1054" t="n">
        <v>214.5</v>
      </c>
      <c r="E1054" s="730" t="n">
        <v>-8.5</v>
      </c>
      <c r="F1054" s="731" t="n">
        <v>-3.81</v>
      </c>
      <c r="G1054" t="inlineStr">
        <is>
          <t>43.7億</t>
        </is>
      </c>
      <c r="H1054" t="n">
        <v>20252</v>
      </c>
      <c r="I1054" t="n">
        <v>18170</v>
      </c>
      <c r="J1054" t="n">
        <v>49.02</v>
      </c>
      <c r="K1054" t="n">
        <v>225.5</v>
      </c>
      <c r="L1054" t="n">
        <v>213</v>
      </c>
      <c r="M1054" s="155" t="n">
        <v>4.13</v>
      </c>
      <c r="N1054" t="inlineStr">
        <is>
          <t>主攻晶圓測試，台灣前三大IC測試廠之一</t>
        </is>
      </c>
    </row>
    <row r="1055">
      <c r="A1055" t="n">
        <v>3265</v>
      </c>
      <c r="B1055" t="inlineStr">
        <is>
          <t>台星科</t>
        </is>
      </c>
      <c r="C1055" t="n">
        <v>185</v>
      </c>
      <c r="D1055" t="n">
        <v>182.5</v>
      </c>
      <c r="E1055" s="730" t="n">
        <v>-2.5</v>
      </c>
      <c r="F1055" s="731" t="n">
        <v>-1.35</v>
      </c>
      <c r="G1055" t="inlineStr">
        <is>
          <t>3.13億</t>
        </is>
      </c>
      <c r="H1055" t="n">
        <v>1719</v>
      </c>
      <c r="I1055" t="n">
        <v>2494</v>
      </c>
      <c r="J1055" t="n">
        <v>13.63</v>
      </c>
      <c r="K1055" t="n">
        <v>187.5</v>
      </c>
      <c r="L1055" t="n">
        <v>179</v>
      </c>
      <c r="M1055" s="155" t="n">
        <v>1.26</v>
      </c>
      <c r="N1055" t="inlineStr">
        <is>
          <t>淡馬錫控股之IC封測廠</t>
        </is>
      </c>
    </row>
    <row r="1056">
      <c r="A1056" t="n">
        <v>3266</v>
      </c>
      <c r="B1056" t="inlineStr">
        <is>
          <t>昇陽</t>
        </is>
      </c>
      <c r="C1056" t="n">
        <v>12.8</v>
      </c>
      <c r="D1056" t="n">
        <v>12.75</v>
      </c>
      <c r="E1056" s="730" t="n">
        <v>-0.25</v>
      </c>
      <c r="F1056" s="731" t="n">
        <v>-1.92</v>
      </c>
      <c r="G1056" t="inlineStr">
        <is>
          <t>106萬</t>
        </is>
      </c>
      <c r="H1056" t="n">
        <v>83</v>
      </c>
      <c r="I1056" t="n">
        <v>105</v>
      </c>
      <c r="J1056" t="n">
        <v>35.23</v>
      </c>
      <c r="K1056" t="n">
        <v>12.95</v>
      </c>
      <c r="L1056" t="n">
        <v>12.6</v>
      </c>
      <c r="M1056" s="155" t="n">
        <v>0.02</v>
      </c>
      <c r="N1056" t="inlineStr">
        <is>
          <t>推案集中於大台北地區之建商</t>
        </is>
      </c>
    </row>
    <row r="1057">
      <c r="A1057" t="n">
        <v>3268</v>
      </c>
      <c r="B1057" t="inlineStr">
        <is>
          <t>海德威</t>
        </is>
      </c>
      <c r="C1057" t="n">
        <v>17.5</v>
      </c>
      <c r="D1057" t="n">
        <v>19.3</v>
      </c>
      <c r="E1057" s="730" t="n">
        <v>1.75</v>
      </c>
      <c r="F1057" s="731" t="n">
        <v>9.970000000000001</v>
      </c>
      <c r="G1057" t="inlineStr">
        <is>
          <t>3358萬</t>
        </is>
      </c>
      <c r="H1057" t="n">
        <v>1769</v>
      </c>
      <c r="I1057" t="n">
        <v>164</v>
      </c>
      <c r="J1057" t="n">
        <v>3.47</v>
      </c>
      <c r="K1057" t="n">
        <v>19.3</v>
      </c>
      <c r="L1057" t="n">
        <v>17.35</v>
      </c>
      <c r="M1057" s="155" t="n">
        <v>5.09</v>
      </c>
      <c r="N1057" t="inlineStr">
        <is>
          <t>台灣消費性IC韌體設計廠</t>
        </is>
      </c>
    </row>
    <row r="1058">
      <c r="A1058" t="n">
        <v>3272</v>
      </c>
      <c r="B1058" t="inlineStr">
        <is>
          <t>東碩</t>
        </is>
      </c>
      <c r="C1058" t="n">
        <v>18.3</v>
      </c>
      <c r="D1058" t="n">
        <v>17.9</v>
      </c>
      <c r="E1058" s="730" t="n">
        <v>-0.3</v>
      </c>
      <c r="F1058" s="731" t="n">
        <v>-1.65</v>
      </c>
      <c r="G1058" t="inlineStr">
        <is>
          <t>263萬</t>
        </is>
      </c>
      <c r="H1058" t="n">
        <v>147</v>
      </c>
      <c r="I1058" t="n">
        <v>275</v>
      </c>
      <c r="J1058" t="n">
        <v>6.12</v>
      </c>
      <c r="K1058" t="n">
        <v>18.3</v>
      </c>
      <c r="L1058" t="n">
        <v>17.7</v>
      </c>
      <c r="M1058" s="155" t="n">
        <v>0.24</v>
      </c>
      <c r="N1058" t="inlineStr">
        <is>
          <t>全球PC/行動裝置擴充基座龍頭廠</t>
        </is>
      </c>
    </row>
    <row r="1059">
      <c r="A1059" t="n">
        <v>3276</v>
      </c>
      <c r="B1059" t="inlineStr">
        <is>
          <t>宇環</t>
        </is>
      </c>
      <c r="C1059" t="n">
        <v>14.9</v>
      </c>
      <c r="D1059" t="n">
        <v>14.8</v>
      </c>
      <c r="E1059" s="730" t="n">
        <v>0</v>
      </c>
      <c r="F1059" s="731" t="n">
        <v>0</v>
      </c>
      <c r="G1059" t="inlineStr">
        <is>
          <t>390萬</t>
        </is>
      </c>
      <c r="H1059" t="n">
        <v>269</v>
      </c>
      <c r="I1059" t="n">
        <v>205</v>
      </c>
      <c r="J1059" t="n">
        <v>6.97</v>
      </c>
      <c r="K1059" t="n">
        <v>15.1</v>
      </c>
      <c r="L1059" t="n">
        <v>14.25</v>
      </c>
      <c r="M1059" s="155" t="n">
        <v>0.39</v>
      </c>
      <c r="N1059" t="inlineStr">
        <is>
          <t>志超轉投資印刷電路板公司</t>
        </is>
      </c>
    </row>
    <row r="1060">
      <c r="A1060" t="n">
        <v>3284</v>
      </c>
      <c r="B1060" t="inlineStr">
        <is>
          <t>太普高</t>
        </is>
      </c>
      <c r="C1060" t="n">
        <v>16.1</v>
      </c>
      <c r="D1060" t="n">
        <v>15.85</v>
      </c>
      <c r="E1060" s="730" t="n">
        <v>0</v>
      </c>
      <c r="F1060" s="731" t="n">
        <v>0</v>
      </c>
      <c r="G1060" t="inlineStr">
        <is>
          <t>259萬</t>
        </is>
      </c>
      <c r="H1060" t="n">
        <v>165</v>
      </c>
      <c r="I1060" t="n">
        <v>212</v>
      </c>
      <c r="J1060" t="n">
        <v>10.85</v>
      </c>
      <c r="K1060" t="n">
        <v>16.1</v>
      </c>
      <c r="L1060" t="n">
        <v>15.7</v>
      </c>
      <c r="M1060" s="155" t="n">
        <v>0.15</v>
      </c>
      <c r="N1060" t="inlineStr">
        <is>
          <t>台灣最大預塗式感光平版(PS版)廠</t>
        </is>
      </c>
    </row>
    <row r="1061">
      <c r="A1061" t="n">
        <v>3285</v>
      </c>
      <c r="B1061" t="inlineStr">
        <is>
          <t>微端</t>
        </is>
      </c>
      <c r="C1061" t="n">
        <v>30.35</v>
      </c>
      <c r="D1061" t="n">
        <v>30.75</v>
      </c>
      <c r="E1061" s="730" t="n">
        <v>0.15</v>
      </c>
      <c r="F1061" s="731" t="n">
        <v>0.49</v>
      </c>
      <c r="G1061" t="inlineStr">
        <is>
          <t>248萬</t>
        </is>
      </c>
      <c r="H1061" t="n">
        <v>81</v>
      </c>
      <c r="I1061" t="n">
        <v>149</v>
      </c>
      <c r="J1061" t="n">
        <v>4.27</v>
      </c>
      <c r="K1061" t="n">
        <v>30.9</v>
      </c>
      <c r="L1061" t="n">
        <v>30.15</v>
      </c>
      <c r="M1061" s="155" t="n">
        <v>0.19</v>
      </c>
      <c r="N1061" t="inlineStr">
        <is>
          <t>數位影音產品與LCD模組製造商</t>
        </is>
      </c>
    </row>
    <row r="1062">
      <c r="A1062" t="n">
        <v>3287</v>
      </c>
      <c r="B1062" t="inlineStr">
        <is>
          <t>廣寰科</t>
        </is>
      </c>
      <c r="C1062" t="n">
        <v>38.4</v>
      </c>
      <c r="D1062" t="n">
        <v>37.2</v>
      </c>
      <c r="E1062" s="730" t="n">
        <v>-1.25</v>
      </c>
      <c r="F1062" s="731" t="n">
        <v>-3.25</v>
      </c>
      <c r="G1062" t="inlineStr">
        <is>
          <t>2423萬</t>
        </is>
      </c>
      <c r="H1062" t="n">
        <v>652</v>
      </c>
      <c r="I1062" t="n">
        <v>2010</v>
      </c>
      <c r="J1062" t="n">
        <v>4.4</v>
      </c>
      <c r="K1062" t="n">
        <v>38.4</v>
      </c>
      <c r="L1062" t="n">
        <v>36</v>
      </c>
      <c r="M1062" s="155" t="n">
        <v>1.48</v>
      </c>
      <c r="N1062" t="inlineStr">
        <is>
          <t>「GAMDIAS」電競周邊產品品牌商</t>
        </is>
      </c>
    </row>
    <row r="1063">
      <c r="A1063" t="n">
        <v>3288</v>
      </c>
      <c r="B1063" t="inlineStr">
        <is>
          <t>點晶</t>
        </is>
      </c>
      <c r="C1063" t="n">
        <v>20.05</v>
      </c>
      <c r="D1063" t="n">
        <v>20.05</v>
      </c>
      <c r="E1063" s="730" t="n">
        <v>1.8</v>
      </c>
      <c r="F1063" s="731" t="n">
        <v>9.859999999999999</v>
      </c>
      <c r="G1063" t="inlineStr">
        <is>
          <t>180萬</t>
        </is>
      </c>
      <c r="H1063" t="n">
        <v>90</v>
      </c>
      <c r="I1063" t="n">
        <v>70</v>
      </c>
      <c r="J1063" t="n">
        <v>1.64</v>
      </c>
      <c r="K1063" t="n">
        <v>20.05</v>
      </c>
      <c r="L1063" t="n">
        <v>20.05</v>
      </c>
      <c r="M1063" s="155" t="n">
        <v>0.55</v>
      </c>
      <c r="N1063" t="inlineStr">
        <is>
          <t>LED、馬達驅動應用的類比IC設計廠商</t>
        </is>
      </c>
    </row>
    <row r="1064">
      <c r="A1064" t="n">
        <v>3289</v>
      </c>
      <c r="B1064" t="inlineStr">
        <is>
          <t>宜特</t>
        </is>
      </c>
      <c r="C1064" t="n">
        <v>168.5</v>
      </c>
      <c r="D1064" t="n">
        <v>164.5</v>
      </c>
      <c r="E1064" s="730" t="n">
        <v>-2</v>
      </c>
      <c r="F1064" s="731" t="n">
        <v>-1.2</v>
      </c>
      <c r="G1064" t="inlineStr">
        <is>
          <t>2.75億</t>
        </is>
      </c>
      <c r="H1064" t="n">
        <v>1679</v>
      </c>
      <c r="I1064" t="n">
        <v>1919</v>
      </c>
      <c r="J1064" t="n">
        <v>8.67</v>
      </c>
      <c r="K1064" t="n">
        <v>169</v>
      </c>
      <c r="L1064" t="n">
        <v>160.5</v>
      </c>
      <c r="M1064" s="155" t="n">
        <v>1.94</v>
      </c>
      <c r="N1064" t="inlineStr">
        <is>
          <t>台灣半導體驗證分析大廠</t>
        </is>
      </c>
    </row>
    <row r="1065">
      <c r="A1065" t="n">
        <v>3290</v>
      </c>
      <c r="B1065" t="inlineStr">
        <is>
          <t>東浦</t>
        </is>
      </c>
      <c r="C1065" t="n">
        <v>49.25</v>
      </c>
      <c r="D1065" t="n">
        <v>48.55</v>
      </c>
      <c r="E1065" s="730" t="n">
        <v>-0.2</v>
      </c>
      <c r="F1065" s="731" t="n">
        <v>-0.41</v>
      </c>
      <c r="G1065" t="inlineStr">
        <is>
          <t>5002萬</t>
        </is>
      </c>
      <c r="H1065" t="n">
        <v>1046</v>
      </c>
      <c r="I1065" t="n">
        <v>1112</v>
      </c>
      <c r="J1065" t="n">
        <v>9.02</v>
      </c>
      <c r="K1065" t="n">
        <v>49.25</v>
      </c>
      <c r="L1065" t="n">
        <v>46.5</v>
      </c>
      <c r="M1065" s="155" t="n">
        <v>1.16</v>
      </c>
      <c r="N1065" t="inlineStr">
        <is>
          <t>塑膠精密元件模具廠</t>
        </is>
      </c>
    </row>
    <row r="1066">
      <c r="A1066" t="n">
        <v>3293</v>
      </c>
      <c r="B1066" t="inlineStr">
        <is>
          <t>鈊象</t>
        </is>
      </c>
      <c r="C1066" t="n">
        <v>772</v>
      </c>
      <c r="D1066" t="n">
        <v>799</v>
      </c>
      <c r="E1066" s="730" t="n">
        <v>30</v>
      </c>
      <c r="F1066" s="731" t="n">
        <v>3.9</v>
      </c>
      <c r="G1066" t="inlineStr">
        <is>
          <t>43.7億</t>
        </is>
      </c>
      <c r="H1066" t="n">
        <v>5520</v>
      </c>
      <c r="I1066" t="n">
        <v>2811</v>
      </c>
      <c r="J1066" t="n">
        <v>28.18</v>
      </c>
      <c r="K1066" t="n">
        <v>803</v>
      </c>
      <c r="L1066" t="n">
        <v>768</v>
      </c>
      <c r="M1066" s="155" t="n">
        <v>1.96</v>
      </c>
      <c r="N1066" t="inlineStr">
        <is>
          <t>台灣商用遊戲機與網路遊戲大廠</t>
        </is>
      </c>
    </row>
    <row r="1067">
      <c r="A1067" t="n">
        <v>3294</v>
      </c>
      <c r="B1067" t="inlineStr">
        <is>
          <t>英濟</t>
        </is>
      </c>
      <c r="C1067" t="n">
        <v>40.45</v>
      </c>
      <c r="D1067" t="n">
        <v>41.15</v>
      </c>
      <c r="E1067" s="730" t="n">
        <v>0.95</v>
      </c>
      <c r="F1067" s="731" t="n">
        <v>2.36</v>
      </c>
      <c r="G1067" t="inlineStr">
        <is>
          <t>2.34億</t>
        </is>
      </c>
      <c r="H1067" t="n">
        <v>5631</v>
      </c>
      <c r="I1067" t="n">
        <v>2647</v>
      </c>
      <c r="J1067" t="n">
        <v>13.2</v>
      </c>
      <c r="K1067" t="n">
        <v>42.6</v>
      </c>
      <c r="L1067" t="n">
        <v>40.25</v>
      </c>
      <c r="M1067" s="155" t="n">
        <v>4.27</v>
      </c>
      <c r="N1067" t="inlineStr">
        <is>
          <t>專營塑膠零組件射出與模具廠</t>
        </is>
      </c>
    </row>
    <row r="1068">
      <c r="A1068" t="n">
        <v>3296</v>
      </c>
      <c r="B1068" t="inlineStr">
        <is>
          <t>勝德</t>
        </is>
      </c>
      <c r="C1068" t="n">
        <v>22.5</v>
      </c>
      <c r="D1068" t="n">
        <v>21.65</v>
      </c>
      <c r="E1068" s="730" t="n">
        <v>-0.15</v>
      </c>
      <c r="F1068" s="731" t="n">
        <v>-0.6899999999999999</v>
      </c>
      <c r="G1068" t="inlineStr">
        <is>
          <t>727萬</t>
        </is>
      </c>
      <c r="H1068" t="n">
        <v>332</v>
      </c>
      <c r="I1068" t="n">
        <v>181</v>
      </c>
      <c r="J1068" t="n">
        <v>9.67</v>
      </c>
      <c r="K1068" t="n">
        <v>23.2</v>
      </c>
      <c r="L1068" t="n">
        <v>21.5</v>
      </c>
      <c r="M1068" s="155" t="n">
        <v>0.34</v>
      </c>
      <c r="N1068" t="inlineStr">
        <is>
          <t>以PC應用為主的電源保護器廠</t>
        </is>
      </c>
    </row>
    <row r="1069">
      <c r="A1069" t="n">
        <v>3297</v>
      </c>
      <c r="B1069" t="inlineStr">
        <is>
          <t>杭特</t>
        </is>
      </c>
      <c r="C1069" t="n">
        <v>31.1</v>
      </c>
      <c r="D1069" t="n">
        <v>34.2</v>
      </c>
      <c r="E1069" s="730" t="n">
        <v>3.1</v>
      </c>
      <c r="F1069" s="731" t="n">
        <v>9.970000000000001</v>
      </c>
      <c r="G1069" t="inlineStr">
        <is>
          <t>1310萬</t>
        </is>
      </c>
      <c r="H1069" t="n">
        <v>391</v>
      </c>
      <c r="I1069" t="n">
        <v>128</v>
      </c>
      <c r="J1069" t="n">
        <v>3.6</v>
      </c>
      <c r="K1069" t="n">
        <v>34.2</v>
      </c>
      <c r="L1069" t="n">
        <v>30.7</v>
      </c>
      <c r="M1069" s="155" t="n">
        <v>1.08</v>
      </c>
      <c r="N1069" t="inlineStr">
        <is>
          <t>台灣安全監控系統製造商</t>
        </is>
      </c>
    </row>
    <row r="1070">
      <c r="A1070" t="n">
        <v>3303</v>
      </c>
      <c r="B1070" t="inlineStr">
        <is>
          <t>岱稜</t>
        </is>
      </c>
      <c r="C1070" t="n">
        <v>49.2</v>
      </c>
      <c r="D1070" t="n">
        <v>48.9</v>
      </c>
      <c r="E1070" s="730" t="n">
        <v>-0.3</v>
      </c>
      <c r="F1070" s="731" t="n">
        <v>-0.61</v>
      </c>
      <c r="G1070" t="inlineStr">
        <is>
          <t>2694萬</t>
        </is>
      </c>
      <c r="H1070" t="n">
        <v>551</v>
      </c>
      <c r="I1070" t="n">
        <v>366</v>
      </c>
      <c r="J1070" t="n">
        <v>9.41</v>
      </c>
      <c r="K1070" t="n">
        <v>49.4</v>
      </c>
      <c r="L1070" t="n">
        <v>48.7</v>
      </c>
      <c r="M1070" s="155" t="n">
        <v>0.59</v>
      </c>
      <c r="N1070" t="inlineStr">
        <is>
          <t>全球前三大的燙金箔領導商</t>
        </is>
      </c>
    </row>
    <row r="1071">
      <c r="A1071" t="n">
        <v>3305</v>
      </c>
      <c r="B1071" t="inlineStr">
        <is>
          <t>昇貿</t>
        </is>
      </c>
      <c r="C1071" t="n">
        <v>168</v>
      </c>
      <c r="D1071" t="n">
        <v>157.5</v>
      </c>
      <c r="E1071" s="730" t="n">
        <v>-10</v>
      </c>
      <c r="F1071" s="731" t="n">
        <v>-5.97</v>
      </c>
      <c r="G1071" t="inlineStr">
        <is>
          <t>17.1億</t>
        </is>
      </c>
      <c r="H1071" t="n">
        <v>10750</v>
      </c>
      <c r="I1071" t="n">
        <v>12285</v>
      </c>
      <c r="J1071" t="n">
        <v>14.46</v>
      </c>
      <c r="K1071" t="n">
        <v>168</v>
      </c>
      <c r="L1071" t="n">
        <v>155</v>
      </c>
      <c r="M1071" s="155" t="n">
        <v>7.43</v>
      </c>
      <c r="N1071" t="inlineStr">
        <is>
          <t>半導體封裝材料之錫膏、錫球生產商</t>
        </is>
      </c>
    </row>
    <row r="1072">
      <c r="A1072" t="n">
        <v>3306</v>
      </c>
      <c r="B1072" t="inlineStr">
        <is>
          <t>鼎天</t>
        </is>
      </c>
      <c r="C1072" t="n">
        <v>49.5</v>
      </c>
      <c r="D1072" t="n">
        <v>49.4</v>
      </c>
      <c r="E1072" s="730" t="n">
        <v>0.5</v>
      </c>
      <c r="F1072" s="731" t="n">
        <v>1.02</v>
      </c>
      <c r="G1072" t="inlineStr">
        <is>
          <t>2531萬</t>
        </is>
      </c>
      <c r="H1072" t="n">
        <v>516</v>
      </c>
      <c r="I1072" t="n">
        <v>364</v>
      </c>
      <c r="J1072" t="n">
        <v>5.06</v>
      </c>
      <c r="K1072" t="n">
        <v>49.6</v>
      </c>
      <c r="L1072" t="n">
        <v>48.4</v>
      </c>
      <c r="M1072" s="155" t="n">
        <v>1.02</v>
      </c>
      <c r="N1072" t="inlineStr">
        <is>
          <t>廣達旗下GPS接收機大廠</t>
        </is>
      </c>
    </row>
    <row r="1073">
      <c r="A1073" t="n">
        <v>3308</v>
      </c>
      <c r="B1073" t="inlineStr">
        <is>
          <t>聯德</t>
        </is>
      </c>
      <c r="C1073" t="n">
        <v>21.45</v>
      </c>
      <c r="D1073" t="n">
        <v>21.35</v>
      </c>
      <c r="E1073" s="730" t="n">
        <v>0.25</v>
      </c>
      <c r="F1073" s="731" t="n">
        <v>1.18</v>
      </c>
      <c r="G1073" t="inlineStr">
        <is>
          <t>523萬</t>
        </is>
      </c>
      <c r="H1073" t="n">
        <v>250</v>
      </c>
      <c r="I1073" t="n">
        <v>209</v>
      </c>
      <c r="J1073" t="n">
        <v>6</v>
      </c>
      <c r="K1073" t="n">
        <v>21.45</v>
      </c>
      <c r="L1073" t="n">
        <v>20.7</v>
      </c>
      <c r="M1073" s="155" t="n">
        <v>0.42</v>
      </c>
      <c r="N1073" t="inlineStr">
        <is>
          <t>台灣PC電源供應器供應商</t>
        </is>
      </c>
    </row>
    <row r="1074">
      <c r="A1074" t="n">
        <v>3310</v>
      </c>
      <c r="B1074" t="inlineStr">
        <is>
          <t>佳穎</t>
        </is>
      </c>
      <c r="C1074" t="n">
        <v>72.8</v>
      </c>
      <c r="D1074" t="n">
        <v>71.2</v>
      </c>
      <c r="E1074" s="730" t="n">
        <v>-1.6</v>
      </c>
      <c r="F1074" s="731" t="n">
        <v>-2.2</v>
      </c>
      <c r="G1074" t="inlineStr">
        <is>
          <t>7610萬</t>
        </is>
      </c>
      <c r="H1074" t="n">
        <v>1045</v>
      </c>
      <c r="I1074" t="n">
        <v>951</v>
      </c>
      <c r="J1074" t="n">
        <v>7.49</v>
      </c>
      <c r="K1074" t="n">
        <v>73.40000000000001</v>
      </c>
      <c r="L1074" t="n">
        <v>71.2</v>
      </c>
      <c r="M1074" s="155" t="n">
        <v>1.39</v>
      </c>
      <c r="N1074" t="inlineStr">
        <is>
          <t>台灣LED導線架及沖壓零件供應商</t>
        </is>
      </c>
    </row>
    <row r="1075">
      <c r="A1075" t="n">
        <v>3311</v>
      </c>
      <c r="B1075" t="inlineStr">
        <is>
          <t>閎暉</t>
        </is>
      </c>
      <c r="C1075" t="n">
        <v>35.9</v>
      </c>
      <c r="D1075" t="n">
        <v>36.75</v>
      </c>
      <c r="E1075" s="730" t="n">
        <v>0.8</v>
      </c>
      <c r="F1075" s="731" t="n">
        <v>2.23</v>
      </c>
      <c r="G1075" t="inlineStr">
        <is>
          <t>4383萬</t>
        </is>
      </c>
      <c r="H1075" t="n">
        <v>1216</v>
      </c>
      <c r="I1075" t="n">
        <v>2094</v>
      </c>
      <c r="J1075" t="n">
        <v>10</v>
      </c>
      <c r="K1075" t="n">
        <v>37</v>
      </c>
      <c r="L1075" t="n">
        <v>35</v>
      </c>
      <c r="M1075" s="155" t="n">
        <v>1.22</v>
      </c>
      <c r="N1075" t="inlineStr">
        <is>
          <t>聚焦於車用零組件及機構整合元件</t>
        </is>
      </c>
    </row>
    <row r="1076">
      <c r="A1076" t="n">
        <v>3312</v>
      </c>
      <c r="B1076" t="inlineStr">
        <is>
          <t>弘憶股</t>
        </is>
      </c>
      <c r="C1076" t="n">
        <v>60.6</v>
      </c>
      <c r="D1076" t="n">
        <v>60.6</v>
      </c>
      <c r="E1076" s="730" t="n">
        <v>5.5</v>
      </c>
      <c r="F1076" s="731" t="n">
        <v>9.98</v>
      </c>
      <c r="G1076" t="inlineStr">
        <is>
          <t>1.65億</t>
        </is>
      </c>
      <c r="H1076" t="n">
        <v>2717</v>
      </c>
      <c r="I1076" t="n">
        <v>5634</v>
      </c>
      <c r="J1076" t="n">
        <v>18.26</v>
      </c>
      <c r="K1076" t="n">
        <v>60.6</v>
      </c>
      <c r="L1076" t="n">
        <v>60.6</v>
      </c>
      <c r="M1076" s="155" t="n">
        <v>1.49</v>
      </c>
      <c r="N1076" t="inlineStr">
        <is>
          <t>IC通路商，主要代理數位通訊應用方案與元件</t>
        </is>
      </c>
    </row>
    <row r="1077">
      <c r="A1077" t="n">
        <v>3313</v>
      </c>
      <c r="B1077" t="inlineStr">
        <is>
          <t>斐成</t>
        </is>
      </c>
      <c r="C1077" t="n">
        <v>11.15</v>
      </c>
      <c r="D1077" t="n">
        <v>11.2</v>
      </c>
      <c r="E1077" s="730" t="n">
        <v>0.05</v>
      </c>
      <c r="F1077" s="731" t="n">
        <v>0.45</v>
      </c>
      <c r="G1077" t="inlineStr">
        <is>
          <t>210萬</t>
        </is>
      </c>
      <c r="H1077" t="n">
        <v>189</v>
      </c>
      <c r="I1077" t="n">
        <v>938</v>
      </c>
      <c r="J1077" t="n">
        <v>22.11</v>
      </c>
      <c r="K1077" t="n">
        <v>11.4</v>
      </c>
      <c r="L1077" t="n">
        <v>10.9</v>
      </c>
      <c r="M1077" s="155" t="n">
        <v>0.09</v>
      </c>
      <c r="N1077" t="inlineStr">
        <is>
          <t>上曜集團旗下以危老都更為主的建商</t>
        </is>
      </c>
    </row>
    <row r="1078">
      <c r="A1078" t="n">
        <v>3317</v>
      </c>
      <c r="B1078" t="inlineStr">
        <is>
          <t>尼克森</t>
        </is>
      </c>
      <c r="C1078" t="n">
        <v>80.5</v>
      </c>
      <c r="D1078" t="n">
        <v>82.2</v>
      </c>
      <c r="E1078" s="730" t="n">
        <v>2.4</v>
      </c>
      <c r="F1078" s="731" t="n">
        <v>3.01</v>
      </c>
      <c r="G1078" t="inlineStr">
        <is>
          <t>4.53億</t>
        </is>
      </c>
      <c r="H1078" t="n">
        <v>5677</v>
      </c>
      <c r="I1078" t="n">
        <v>7313</v>
      </c>
      <c r="J1078" t="n">
        <v>9</v>
      </c>
      <c r="K1078" t="n">
        <v>82.40000000000001</v>
      </c>
      <c r="L1078" t="n">
        <v>77.5</v>
      </c>
      <c r="M1078" s="155" t="n">
        <v>6.31</v>
      </c>
      <c r="N1078" t="inlineStr">
        <is>
          <t>電源管理功率元件公司</t>
        </is>
      </c>
    </row>
    <row r="1079">
      <c r="A1079" t="n">
        <v>3321</v>
      </c>
      <c r="B1079" t="inlineStr">
        <is>
          <t>同泰</t>
        </is>
      </c>
      <c r="C1079" t="n">
        <v>20.1</v>
      </c>
      <c r="D1079" t="n">
        <v>20.75</v>
      </c>
      <c r="E1079" s="730" t="n">
        <v>0.95</v>
      </c>
      <c r="F1079" s="731" t="n">
        <v>4.8</v>
      </c>
      <c r="G1079" t="inlineStr">
        <is>
          <t>3858萬</t>
        </is>
      </c>
      <c r="H1079" t="n">
        <v>1866</v>
      </c>
      <c r="I1079" t="n">
        <v>1674</v>
      </c>
      <c r="J1079" t="n">
        <v>8.609999999999999</v>
      </c>
      <c r="K1079" t="n">
        <v>21.1</v>
      </c>
      <c r="L1079" t="n">
        <v>20.05</v>
      </c>
      <c r="M1079" s="155" t="n">
        <v>2.17</v>
      </c>
      <c r="N1079" t="inlineStr">
        <is>
          <t>欣興、台表科轉投資的軟板公司</t>
        </is>
      </c>
    </row>
    <row r="1080">
      <c r="A1080" t="n">
        <v>3322</v>
      </c>
      <c r="B1080" t="inlineStr">
        <is>
          <t>建舜電</t>
        </is>
      </c>
      <c r="C1080" t="n">
        <v>13.5</v>
      </c>
      <c r="D1080" t="n">
        <v>14.3</v>
      </c>
      <c r="E1080" s="730" t="n">
        <v>0.8</v>
      </c>
      <c r="F1080" s="731" t="n">
        <v>5.93</v>
      </c>
      <c r="G1080" t="inlineStr">
        <is>
          <t>2755萬</t>
        </is>
      </c>
      <c r="H1080" t="n">
        <v>1988</v>
      </c>
      <c r="I1080" t="n">
        <v>899</v>
      </c>
      <c r="J1080" t="n">
        <v>13.76</v>
      </c>
      <c r="K1080" t="n">
        <v>14.3</v>
      </c>
      <c r="L1080" t="n">
        <v>13.3</v>
      </c>
      <c r="M1080" s="155" t="n">
        <v>1.44</v>
      </c>
      <c r="N1080" t="inlineStr">
        <is>
          <t>台灣連接元件及電子週邊元件廠</t>
        </is>
      </c>
    </row>
    <row r="1081">
      <c r="A1081" t="n">
        <v>3323</v>
      </c>
      <c r="B1081" t="inlineStr">
        <is>
          <t>加百裕</t>
        </is>
      </c>
      <c r="C1081" t="n">
        <v>39.6</v>
      </c>
      <c r="D1081" t="n">
        <v>37.95</v>
      </c>
      <c r="E1081" s="730" t="n">
        <v>-1.65</v>
      </c>
      <c r="F1081" s="731" t="n">
        <v>-4.17</v>
      </c>
      <c r="G1081" t="inlineStr">
        <is>
          <t>1.42億</t>
        </is>
      </c>
      <c r="H1081" t="n">
        <v>3665</v>
      </c>
      <c r="I1081" t="n">
        <v>5065</v>
      </c>
      <c r="J1081" t="n">
        <v>9.949999999999999</v>
      </c>
      <c r="K1081" t="n">
        <v>40.35</v>
      </c>
      <c r="L1081" t="n">
        <v>37.15</v>
      </c>
      <c r="M1081" s="155" t="n">
        <v>3.69</v>
      </c>
      <c r="N1081" t="inlineStr">
        <is>
          <t>台灣三大NB電池模組廠之一</t>
        </is>
      </c>
    </row>
    <row r="1082">
      <c r="A1082" t="n">
        <v>3324</v>
      </c>
      <c r="B1082" t="inlineStr">
        <is>
          <t>雙鴻</t>
        </is>
      </c>
      <c r="C1082" t="n">
        <v>1155</v>
      </c>
      <c r="D1082" t="n">
        <v>1165</v>
      </c>
      <c r="E1082" s="730" t="n">
        <v>20</v>
      </c>
      <c r="F1082" s="731" t="n">
        <v>1.75</v>
      </c>
      <c r="G1082" t="inlineStr">
        <is>
          <t>79.5億</t>
        </is>
      </c>
      <c r="H1082" t="n">
        <v>6767</v>
      </c>
      <c r="I1082" t="n">
        <v>3574</v>
      </c>
      <c r="J1082" t="n">
        <v>9.31</v>
      </c>
      <c r="K1082" t="n">
        <v>1220</v>
      </c>
      <c r="L1082" t="n">
        <v>1135</v>
      </c>
      <c r="M1082" s="155" t="n">
        <v>7.27</v>
      </c>
      <c r="N1082" t="inlineStr">
        <is>
          <t>台灣前二大散熱模組廠商</t>
        </is>
      </c>
    </row>
    <row r="1083">
      <c r="A1083" t="n">
        <v>3325</v>
      </c>
      <c r="B1083" t="inlineStr">
        <is>
          <t>旭品</t>
        </is>
      </c>
      <c r="C1083" t="n">
        <v>12</v>
      </c>
      <c r="D1083" t="n">
        <v>13.3</v>
      </c>
      <c r="E1083" s="730" t="n">
        <v>1.2</v>
      </c>
      <c r="F1083" s="731" t="n">
        <v>9.92</v>
      </c>
      <c r="G1083" t="inlineStr">
        <is>
          <t>1913萬</t>
        </is>
      </c>
      <c r="H1083" t="n">
        <v>1482</v>
      </c>
      <c r="I1083" t="n">
        <v>342</v>
      </c>
      <c r="J1083" t="n">
        <v>11.02</v>
      </c>
      <c r="K1083" t="n">
        <v>13.3</v>
      </c>
      <c r="L1083" t="n">
        <v>11.95</v>
      </c>
      <c r="M1083" s="155" t="n">
        <v>1.35</v>
      </c>
      <c r="N1083" t="inlineStr">
        <is>
          <t>電腦機殼製造商</t>
        </is>
      </c>
    </row>
    <row r="1084">
      <c r="A1084" t="n">
        <v>3332</v>
      </c>
      <c r="B1084" t="inlineStr">
        <is>
          <t>幸康</t>
        </is>
      </c>
      <c r="C1084" t="n">
        <v>65.3</v>
      </c>
      <c r="D1084" t="n">
        <v>65.5</v>
      </c>
      <c r="E1084" s="730" t="n">
        <v>-0.2</v>
      </c>
      <c r="F1084" s="731" t="n">
        <v>-0.3</v>
      </c>
      <c r="G1084" t="inlineStr">
        <is>
          <t>71.8萬</t>
        </is>
      </c>
      <c r="H1084" t="n">
        <v>11</v>
      </c>
      <c r="I1084" t="n">
        <v>40</v>
      </c>
      <c r="J1084" t="n">
        <v>4.81</v>
      </c>
      <c r="K1084" t="n">
        <v>65.59999999999999</v>
      </c>
      <c r="L1084" t="n">
        <v>64.8</v>
      </c>
      <c r="M1084" s="155" t="n">
        <v>0.02</v>
      </c>
      <c r="N1084" t="inlineStr">
        <is>
          <t>台灣專攻工業電源供應器廠，主銷歐美市場</t>
        </is>
      </c>
    </row>
    <row r="1085">
      <c r="A1085" t="n">
        <v>3338</v>
      </c>
      <c r="B1085" t="inlineStr">
        <is>
          <t>泰碩</t>
        </is>
      </c>
      <c r="C1085" t="n">
        <v>88.7</v>
      </c>
      <c r="D1085" t="n">
        <v>88.7</v>
      </c>
      <c r="E1085" s="730" t="n">
        <v>8</v>
      </c>
      <c r="F1085" s="731" t="n">
        <v>9.91</v>
      </c>
      <c r="G1085" t="inlineStr">
        <is>
          <t>5.55億</t>
        </is>
      </c>
      <c r="H1085" t="n">
        <v>6263</v>
      </c>
      <c r="I1085" t="n">
        <v>1728</v>
      </c>
      <c r="J1085" t="n">
        <v>8.789999999999999</v>
      </c>
      <c r="K1085" t="n">
        <v>88.7</v>
      </c>
      <c r="L1085" t="n">
        <v>87.8</v>
      </c>
      <c r="M1085" s="155" t="n">
        <v>7.12</v>
      </c>
      <c r="N1085" t="inlineStr">
        <is>
          <t>台灣生產散熱器及PC用連接器廠</t>
        </is>
      </c>
    </row>
    <row r="1086">
      <c r="A1086" t="n">
        <v>3339</v>
      </c>
      <c r="B1086" t="inlineStr">
        <is>
          <t>泰谷</t>
        </is>
      </c>
      <c r="C1086" t="n">
        <v>44.8</v>
      </c>
      <c r="D1086" t="n">
        <v>48.5</v>
      </c>
      <c r="E1086" s="730" t="n">
        <v>4.4</v>
      </c>
      <c r="F1086" s="731" t="n">
        <v>9.98</v>
      </c>
      <c r="G1086" t="inlineStr">
        <is>
          <t>1.85億</t>
        </is>
      </c>
      <c r="H1086" t="n">
        <v>4032</v>
      </c>
      <c r="I1086" t="n">
        <v>2750</v>
      </c>
      <c r="J1086" t="n">
        <v>6.66</v>
      </c>
      <c r="K1086" t="n">
        <v>48.5</v>
      </c>
      <c r="L1086" t="n">
        <v>43.2</v>
      </c>
      <c r="M1086" s="155" t="n">
        <v>6.06</v>
      </c>
      <c r="N1086" t="inlineStr">
        <is>
          <t>台灣專業生產綠光、藍光、紫外光LED磊晶片及晶粒供應廠</t>
        </is>
      </c>
    </row>
    <row r="1087">
      <c r="A1087" t="n">
        <v>3346</v>
      </c>
      <c r="B1087" t="inlineStr">
        <is>
          <t>麗清</t>
        </is>
      </c>
      <c r="C1087" t="n">
        <v>24.45</v>
      </c>
      <c r="D1087" t="n">
        <v>23</v>
      </c>
      <c r="E1087" s="730" t="n">
        <v>-0.55</v>
      </c>
      <c r="F1087" s="731" t="n">
        <v>-2.34</v>
      </c>
      <c r="G1087" t="inlineStr">
        <is>
          <t>2.28億</t>
        </is>
      </c>
      <c r="H1087" t="n">
        <v>9892</v>
      </c>
      <c r="I1087" t="n">
        <v>960</v>
      </c>
      <c r="J1087" t="n">
        <v>12.12</v>
      </c>
      <c r="K1087" t="n">
        <v>24.45</v>
      </c>
      <c r="L1087" t="n">
        <v>21.8</v>
      </c>
      <c r="M1087" s="155" t="n">
        <v>8.16</v>
      </c>
      <c r="N1087" t="inlineStr">
        <is>
          <t>LED車燈模組製造廠</t>
        </is>
      </c>
    </row>
    <row r="1088">
      <c r="A1088" t="n">
        <v>3349</v>
      </c>
      <c r="B1088" t="inlineStr">
        <is>
          <t>寶德</t>
        </is>
      </c>
      <c r="C1088" t="n">
        <v>17.7</v>
      </c>
      <c r="D1088" t="n">
        <v>17.7</v>
      </c>
      <c r="E1088" s="730" t="n">
        <v>-0.2</v>
      </c>
      <c r="F1088" s="731" t="n">
        <v>-1.12</v>
      </c>
      <c r="G1088" t="inlineStr">
        <is>
          <t>136萬</t>
        </is>
      </c>
      <c r="H1088" t="n">
        <v>77</v>
      </c>
      <c r="I1088" t="n">
        <v>211</v>
      </c>
      <c r="J1088" t="n">
        <v>4.61</v>
      </c>
      <c r="K1088" t="n">
        <v>17.9</v>
      </c>
      <c r="L1088" t="n">
        <v>17.6</v>
      </c>
      <c r="M1088" s="155" t="n">
        <v>0.17</v>
      </c>
      <c r="N1088" t="inlineStr">
        <is>
          <t>電競週邊產品製造商</t>
        </is>
      </c>
    </row>
    <row r="1089">
      <c r="A1089" t="n">
        <v>3354</v>
      </c>
      <c r="B1089" t="inlineStr">
        <is>
          <t>律勝</t>
        </is>
      </c>
      <c r="C1089" t="n">
        <v>35.1</v>
      </c>
      <c r="D1089" t="n">
        <v>33.2</v>
      </c>
      <c r="E1089" s="730" t="n">
        <v>-1.4</v>
      </c>
      <c r="F1089" s="731" t="n">
        <v>-4.05</v>
      </c>
      <c r="G1089" t="inlineStr">
        <is>
          <t>7943萬</t>
        </is>
      </c>
      <c r="H1089" t="n">
        <v>2411</v>
      </c>
      <c r="I1089" t="n">
        <v>1976</v>
      </c>
      <c r="J1089" t="n">
        <v>7.01</v>
      </c>
      <c r="K1089" t="n">
        <v>35.1</v>
      </c>
      <c r="L1089" t="n">
        <v>31.45</v>
      </c>
      <c r="M1089" s="155" t="n">
        <v>3.44</v>
      </c>
      <c r="N1089" t="inlineStr">
        <is>
          <t>台灣軟式印刷電路板基材製造商</t>
        </is>
      </c>
    </row>
    <row r="1090">
      <c r="A1090" t="n">
        <v>3356</v>
      </c>
      <c r="B1090" t="inlineStr">
        <is>
          <t>奇偶</t>
        </is>
      </c>
      <c r="C1090" t="n">
        <v>62.6</v>
      </c>
      <c r="D1090" t="n">
        <v>62.4</v>
      </c>
      <c r="E1090" s="730" t="n">
        <v>0.2</v>
      </c>
      <c r="F1090" s="731" t="n">
        <v>0.32</v>
      </c>
      <c r="G1090" t="inlineStr">
        <is>
          <t>9532萬</t>
        </is>
      </c>
      <c r="H1090" t="n">
        <v>1544</v>
      </c>
      <c r="I1090" t="n">
        <v>1416</v>
      </c>
      <c r="J1090" t="n">
        <v>8.050000000000001</v>
      </c>
      <c r="K1090" t="n">
        <v>62.7</v>
      </c>
      <c r="L1090" t="n">
        <v>61</v>
      </c>
      <c r="M1090" s="155" t="n">
        <v>1.93</v>
      </c>
      <c r="N1090" t="inlineStr">
        <is>
          <t>台灣專業安控廠，擁有自有品牌GeoVision</t>
        </is>
      </c>
    </row>
    <row r="1091">
      <c r="A1091" t="n">
        <v>3357</v>
      </c>
      <c r="B1091" t="inlineStr">
        <is>
          <t>臺慶科</t>
        </is>
      </c>
      <c r="C1091" t="n">
        <v>280</v>
      </c>
      <c r="D1091" t="n">
        <v>289.5</v>
      </c>
      <c r="E1091" s="730" t="n">
        <v>5</v>
      </c>
      <c r="F1091" s="731" t="n">
        <v>1.76</v>
      </c>
      <c r="G1091" t="inlineStr">
        <is>
          <t>15.1億</t>
        </is>
      </c>
      <c r="H1091" t="n">
        <v>5455</v>
      </c>
      <c r="I1091" t="n">
        <v>8749</v>
      </c>
      <c r="J1091" t="n">
        <v>11.62</v>
      </c>
      <c r="K1091" t="n">
        <v>290</v>
      </c>
      <c r="L1091" t="n">
        <v>270</v>
      </c>
      <c r="M1091" s="155" t="n">
        <v>4.75</v>
      </c>
      <c r="N1091" t="inlineStr">
        <is>
          <t>台灣全系列電感元件製造商</t>
        </is>
      </c>
    </row>
    <row r="1092">
      <c r="A1092" t="n">
        <v>3360</v>
      </c>
      <c r="B1092" t="inlineStr">
        <is>
          <t>尚立</t>
        </is>
      </c>
      <c r="C1092" t="n">
        <v>14.15</v>
      </c>
      <c r="D1092" t="n">
        <v>14.4</v>
      </c>
      <c r="E1092" s="730" t="n">
        <v>0.3</v>
      </c>
      <c r="F1092" s="731" t="n">
        <v>2.13</v>
      </c>
      <c r="G1092" t="inlineStr">
        <is>
          <t>625萬</t>
        </is>
      </c>
      <c r="H1092" t="n">
        <v>442</v>
      </c>
      <c r="I1092" t="n">
        <v>454</v>
      </c>
      <c r="J1092" t="n">
        <v>7.64</v>
      </c>
      <c r="K1092" t="n">
        <v>14.4</v>
      </c>
      <c r="L1092" t="n">
        <v>14</v>
      </c>
      <c r="M1092" s="155" t="n">
        <v>0.58</v>
      </c>
      <c r="N1092" t="inlineStr">
        <is>
          <t>代理影像感測元件和專注於網通設備和服務的企業</t>
        </is>
      </c>
    </row>
    <row r="1093">
      <c r="A1093" t="n">
        <v>3362</v>
      </c>
      <c r="B1093" t="inlineStr">
        <is>
          <t>先進光</t>
        </is>
      </c>
      <c r="C1093" t="n">
        <v>127</v>
      </c>
      <c r="D1093" t="n">
        <v>119.5</v>
      </c>
      <c r="E1093" s="730" t="n">
        <v>-1.5</v>
      </c>
      <c r="F1093" s="731" t="n">
        <v>-1.24</v>
      </c>
      <c r="G1093" t="inlineStr">
        <is>
          <t>3.17億</t>
        </is>
      </c>
      <c r="H1093" t="n">
        <v>2647</v>
      </c>
      <c r="I1093" t="n">
        <v>1420</v>
      </c>
      <c r="J1093" t="n">
        <v>14.74</v>
      </c>
      <c r="K1093" t="n">
        <v>127.5</v>
      </c>
      <c r="L1093" t="n">
        <v>117.5</v>
      </c>
      <c r="M1093" s="155" t="n">
        <v>1.8</v>
      </c>
      <c r="N1093" t="inlineStr">
        <is>
          <t>台灣光學鏡頭研發及製造廠商</t>
        </is>
      </c>
    </row>
    <row r="1094">
      <c r="A1094" t="n">
        <v>3363</v>
      </c>
      <c r="B1094" t="inlineStr">
        <is>
          <t>上詮</t>
        </is>
      </c>
      <c r="C1094" t="n">
        <v>829</v>
      </c>
      <c r="D1094" t="n">
        <v>804</v>
      </c>
      <c r="E1094" s="730" t="n">
        <v>-5</v>
      </c>
      <c r="F1094" s="731" t="n">
        <v>-0.62</v>
      </c>
      <c r="G1094" t="inlineStr">
        <is>
          <t>33.0億</t>
        </is>
      </c>
      <c r="H1094" t="n">
        <v>3952</v>
      </c>
      <c r="I1094" t="n">
        <v>3426</v>
      </c>
      <c r="J1094" t="n">
        <v>11.36</v>
      </c>
      <c r="K1094" t="n">
        <v>864</v>
      </c>
      <c r="L1094" t="n">
        <v>804</v>
      </c>
      <c r="M1094" s="155" t="n">
        <v>3.48</v>
      </c>
      <c r="N1094" t="inlineStr">
        <is>
          <t>台灣光纖被動元件大廠</t>
        </is>
      </c>
    </row>
    <row r="1095">
      <c r="A1095" t="n">
        <v>3372</v>
      </c>
      <c r="B1095" t="inlineStr">
        <is>
          <t>典範</t>
        </is>
      </c>
      <c r="C1095" t="n">
        <v>22.05</v>
      </c>
      <c r="D1095" t="n">
        <v>22.25</v>
      </c>
      <c r="E1095" s="730" t="n">
        <v>0.25</v>
      </c>
      <c r="F1095" s="731" t="n">
        <v>1.14</v>
      </c>
      <c r="G1095" t="inlineStr">
        <is>
          <t>4512萬</t>
        </is>
      </c>
      <c r="H1095" t="n">
        <v>2057</v>
      </c>
      <c r="I1095" t="n">
        <v>2095</v>
      </c>
      <c r="J1095" t="n">
        <v>17.53</v>
      </c>
      <c r="K1095" t="n">
        <v>22.4</v>
      </c>
      <c r="L1095" t="n">
        <v>21.2</v>
      </c>
      <c r="M1095" s="155" t="n">
        <v>1.17</v>
      </c>
      <c r="N1095" t="inlineStr">
        <is>
          <t>記憶卡、影像感測元件封裝廠</t>
        </is>
      </c>
    </row>
    <row r="1096">
      <c r="A1096" t="n">
        <v>3373</v>
      </c>
      <c r="B1096" t="inlineStr">
        <is>
          <t>熱映</t>
        </is>
      </c>
      <c r="C1096" t="n">
        <v>16.85</v>
      </c>
      <c r="D1096" t="n">
        <v>16.8</v>
      </c>
      <c r="E1096" s="730" t="n">
        <v>-0.1</v>
      </c>
      <c r="F1096" s="731" t="n">
        <v>-0.59</v>
      </c>
      <c r="G1096" t="inlineStr">
        <is>
          <t>129萬</t>
        </is>
      </c>
      <c r="H1096" t="n">
        <v>77</v>
      </c>
      <c r="I1096" t="n">
        <v>89</v>
      </c>
      <c r="J1096" t="n">
        <v>4.76</v>
      </c>
      <c r="K1096" t="n">
        <v>16.85</v>
      </c>
      <c r="L1096" t="n">
        <v>16.75</v>
      </c>
      <c r="M1096" s="155" t="n">
        <v>0.16</v>
      </c>
      <c r="N1096" t="inlineStr">
        <is>
          <t>主營紅外線精密量測技術產品</t>
        </is>
      </c>
    </row>
    <row r="1097">
      <c r="A1097" t="n">
        <v>3374</v>
      </c>
      <c r="B1097" t="inlineStr">
        <is>
          <t>精材</t>
        </is>
      </c>
      <c r="C1097" t="n">
        <v>261.5</v>
      </c>
      <c r="D1097" t="n">
        <v>254.5</v>
      </c>
      <c r="E1097" s="730" t="n">
        <v>-6</v>
      </c>
      <c r="F1097" s="731" t="n">
        <v>-2.3</v>
      </c>
      <c r="G1097" t="inlineStr">
        <is>
          <t>29.4億</t>
        </is>
      </c>
      <c r="H1097" t="n">
        <v>11559</v>
      </c>
      <c r="I1097" t="n">
        <v>18874</v>
      </c>
      <c r="J1097" t="n">
        <v>27.14</v>
      </c>
      <c r="K1097" t="n">
        <v>262.5</v>
      </c>
      <c r="L1097" t="n">
        <v>246.5</v>
      </c>
      <c r="M1097" s="155" t="n">
        <v>4.26</v>
      </c>
      <c r="N1097" t="inlineStr">
        <is>
          <t>台積電轉投資的封測廠</t>
        </is>
      </c>
    </row>
    <row r="1098">
      <c r="A1098" t="n">
        <v>3376</v>
      </c>
      <c r="B1098" t="inlineStr">
        <is>
          <t>新日興</t>
        </is>
      </c>
      <c r="C1098" t="n">
        <v>215</v>
      </c>
      <c r="D1098" t="n">
        <v>211.5</v>
      </c>
      <c r="E1098" s="730" t="n">
        <v>-3.5</v>
      </c>
      <c r="F1098" s="731" t="n">
        <v>-1.63</v>
      </c>
      <c r="G1098" t="inlineStr">
        <is>
          <t>8.10億</t>
        </is>
      </c>
      <c r="H1098" t="n">
        <v>3835</v>
      </c>
      <c r="I1098" t="n">
        <v>5935</v>
      </c>
      <c r="J1098" t="n">
        <v>19.58</v>
      </c>
      <c r="K1098" t="n">
        <v>217</v>
      </c>
      <c r="L1098" t="n">
        <v>206.5</v>
      </c>
      <c r="M1098" s="155" t="n">
        <v>1.96</v>
      </c>
      <c r="N1098" t="inlineStr">
        <is>
          <t>全球NB樞紐大廠</t>
        </is>
      </c>
    </row>
    <row r="1099">
      <c r="A1099" t="n">
        <v>3379</v>
      </c>
      <c r="B1099" t="inlineStr">
        <is>
          <t>彬台</t>
        </is>
      </c>
      <c r="C1099" t="n">
        <v>41.8</v>
      </c>
      <c r="D1099" t="n">
        <v>40</v>
      </c>
      <c r="E1099" s="730" t="n">
        <v>-1.35</v>
      </c>
      <c r="F1099" s="731" t="n">
        <v>-3.26</v>
      </c>
      <c r="G1099" t="inlineStr">
        <is>
          <t>1417萬</t>
        </is>
      </c>
      <c r="H1099" t="n">
        <v>351</v>
      </c>
      <c r="I1099" t="n">
        <v>604</v>
      </c>
      <c r="J1099" t="n">
        <v>3.8</v>
      </c>
      <c r="K1099" t="n">
        <v>41.8</v>
      </c>
      <c r="L1099" t="n">
        <v>39.55</v>
      </c>
      <c r="M1099" s="155" t="n">
        <v>0.92</v>
      </c>
      <c r="N1099" t="inlineStr">
        <is>
          <t>食品飲料機械設備供應大廠</t>
        </is>
      </c>
    </row>
    <row r="1100">
      <c r="A1100" t="n">
        <v>3380</v>
      </c>
      <c r="B1100" t="inlineStr">
        <is>
          <t>明泰</t>
        </is>
      </c>
      <c r="C1100" t="n">
        <v>38.85</v>
      </c>
      <c r="D1100" t="n">
        <v>40.2</v>
      </c>
      <c r="E1100" s="730" t="n">
        <v>1.4</v>
      </c>
      <c r="F1100" s="731" t="n">
        <v>3.61</v>
      </c>
      <c r="G1100" t="inlineStr">
        <is>
          <t>3.59億</t>
        </is>
      </c>
      <c r="H1100" t="n">
        <v>9117</v>
      </c>
      <c r="I1100" t="n">
        <v>7728</v>
      </c>
      <c r="J1100" t="n">
        <v>54.17</v>
      </c>
      <c r="K1100" t="n">
        <v>40.3</v>
      </c>
      <c r="L1100" t="n">
        <v>38.45</v>
      </c>
      <c r="M1100" s="155" t="n">
        <v>1.68</v>
      </c>
      <c r="N1100" t="inlineStr">
        <is>
          <t>佳世達轉投資的網通設備代工大廠</t>
        </is>
      </c>
    </row>
    <row r="1101">
      <c r="A1101" t="n">
        <v>3388</v>
      </c>
      <c r="B1101" t="inlineStr">
        <is>
          <t>崇越電</t>
        </is>
      </c>
      <c r="C1101" t="n">
        <v>105</v>
      </c>
      <c r="D1101" t="n">
        <v>102</v>
      </c>
      <c r="E1101" s="730" t="n">
        <v>-4</v>
      </c>
      <c r="F1101" s="731" t="n">
        <v>-3.77</v>
      </c>
      <c r="G1101" t="inlineStr">
        <is>
          <t>1.83億</t>
        </is>
      </c>
      <c r="H1101" t="n">
        <v>1809</v>
      </c>
      <c r="I1101" t="n">
        <v>3532</v>
      </c>
      <c r="J1101" t="n">
        <v>7.41</v>
      </c>
      <c r="K1101" t="n">
        <v>105</v>
      </c>
      <c r="L1101" t="n">
        <v>99.8</v>
      </c>
      <c r="M1101" s="155" t="n">
        <v>2.44</v>
      </c>
      <c r="N1101" t="inlineStr">
        <is>
          <t>日本信越的矽利光產品專業代理商</t>
        </is>
      </c>
    </row>
    <row r="1102">
      <c r="A1102" t="n">
        <v>3390</v>
      </c>
      <c r="B1102" t="inlineStr">
        <is>
          <t>旭軟</t>
        </is>
      </c>
      <c r="C1102" t="n">
        <v>29.05</v>
      </c>
      <c r="D1102" t="n">
        <v>28.15</v>
      </c>
      <c r="E1102" s="730" t="n">
        <v>-0.6</v>
      </c>
      <c r="F1102" s="731" t="n">
        <v>-2.09</v>
      </c>
      <c r="G1102" t="inlineStr">
        <is>
          <t>2949萬</t>
        </is>
      </c>
      <c r="H1102" t="n">
        <v>1049</v>
      </c>
      <c r="I1102" t="n">
        <v>2355</v>
      </c>
      <c r="J1102" t="n">
        <v>7.93</v>
      </c>
      <c r="K1102" t="n">
        <v>29.05</v>
      </c>
      <c r="L1102" t="n">
        <v>27.5</v>
      </c>
      <c r="M1102" s="155" t="n">
        <v>1.32</v>
      </c>
      <c r="N1102" t="inlineStr">
        <is>
          <t>專攻LCM模組的軟板廠</t>
        </is>
      </c>
    </row>
    <row r="1103">
      <c r="A1103" t="n">
        <v>3402</v>
      </c>
      <c r="B1103" t="inlineStr">
        <is>
          <t>漢科</t>
        </is>
      </c>
      <c r="C1103" t="n">
        <v>146</v>
      </c>
      <c r="D1103" t="n">
        <v>144</v>
      </c>
      <c r="E1103" s="730" t="n">
        <v>-2</v>
      </c>
      <c r="F1103" s="731" t="n">
        <v>-1.37</v>
      </c>
      <c r="G1103" t="inlineStr">
        <is>
          <t>1.55億</t>
        </is>
      </c>
      <c r="H1103" t="n">
        <v>1073</v>
      </c>
      <c r="I1103" t="n">
        <v>2865</v>
      </c>
      <c r="J1103" t="n">
        <v>7.3</v>
      </c>
      <c r="K1103" t="n">
        <v>147.5</v>
      </c>
      <c r="L1103" t="n">
        <v>141</v>
      </c>
      <c r="M1103" s="155" t="n">
        <v>1.47</v>
      </c>
      <c r="N1103" t="inlineStr">
        <is>
          <t>專注於特殊氣體輸配工程設備廠商</t>
        </is>
      </c>
    </row>
    <row r="1104">
      <c r="A1104" t="n">
        <v>3406</v>
      </c>
      <c r="B1104" t="inlineStr">
        <is>
          <t>玉晶光</t>
        </is>
      </c>
      <c r="C1104" t="n">
        <v>603</v>
      </c>
      <c r="D1104" t="n">
        <v>595</v>
      </c>
      <c r="E1104" s="730" t="n">
        <v>-8</v>
      </c>
      <c r="F1104" s="731" t="n">
        <v>-1.33</v>
      </c>
      <c r="G1104" t="inlineStr">
        <is>
          <t>8.35億</t>
        </is>
      </c>
      <c r="H1104" t="n">
        <v>1412</v>
      </c>
      <c r="I1104" t="n">
        <v>1978</v>
      </c>
      <c r="J1104" t="n">
        <v>11.27</v>
      </c>
      <c r="K1104" t="n">
        <v>609</v>
      </c>
      <c r="L1104" t="n">
        <v>582</v>
      </c>
      <c r="M1104" s="155" t="n">
        <v>1.25</v>
      </c>
      <c r="N1104" t="inlineStr">
        <is>
          <t>台灣光學鏡頭大廠，專注於手機鏡頭與AR/VR透鏡</t>
        </is>
      </c>
    </row>
    <row r="1105">
      <c r="A1105" t="n">
        <v>3413</v>
      </c>
      <c r="B1105" t="inlineStr">
        <is>
          <t>京鼎</t>
        </is>
      </c>
      <c r="C1105" t="n">
        <v>317.5</v>
      </c>
      <c r="D1105" t="n">
        <v>312.5</v>
      </c>
      <c r="E1105" s="730" t="n">
        <v>-4</v>
      </c>
      <c r="F1105" s="731" t="n">
        <v>-1.26</v>
      </c>
      <c r="G1105" t="inlineStr">
        <is>
          <t>9.35億</t>
        </is>
      </c>
      <c r="H1105" t="n">
        <v>2976</v>
      </c>
      <c r="I1105" t="n">
        <v>4979</v>
      </c>
      <c r="J1105" t="n">
        <v>11.08</v>
      </c>
      <c r="K1105" t="n">
        <v>320</v>
      </c>
      <c r="L1105" t="n">
        <v>311</v>
      </c>
      <c r="M1105" s="155" t="n">
        <v>2.69</v>
      </c>
      <c r="N1105" t="inlineStr">
        <is>
          <t>鴻海集團旗下，美商應材的相關供應商</t>
        </is>
      </c>
    </row>
    <row r="1106">
      <c r="A1106" t="n">
        <v>3416</v>
      </c>
      <c r="B1106" t="inlineStr">
        <is>
          <t>融程電</t>
        </is>
      </c>
      <c r="C1106" t="n">
        <v>186</v>
      </c>
      <c r="D1106" t="n">
        <v>182.5</v>
      </c>
      <c r="E1106" s="730" t="n">
        <v>-1.5</v>
      </c>
      <c r="F1106" s="731" t="n">
        <v>-0.82</v>
      </c>
      <c r="G1106" t="inlineStr">
        <is>
          <t>9050萬</t>
        </is>
      </c>
      <c r="H1106" t="n">
        <v>494</v>
      </c>
      <c r="I1106" t="n">
        <v>748</v>
      </c>
      <c r="J1106" t="n">
        <v>8.050000000000001</v>
      </c>
      <c r="K1106" t="n">
        <v>186.5</v>
      </c>
      <c r="L1106" t="n">
        <v>180.5</v>
      </c>
      <c r="M1106" s="155" t="n">
        <v>0.61</v>
      </c>
      <c r="N1106" t="inlineStr">
        <is>
          <t>台灣強固型工業用行動電腦及顯示器廠商</t>
        </is>
      </c>
    </row>
    <row r="1107">
      <c r="A1107" t="n">
        <v>3419</v>
      </c>
      <c r="B1107" t="inlineStr">
        <is>
          <t>譁裕</t>
        </is>
      </c>
      <c r="C1107" t="n">
        <v>14.35</v>
      </c>
      <c r="D1107" t="n">
        <v>14.3</v>
      </c>
      <c r="E1107" s="730" t="n">
        <v>0.05</v>
      </c>
      <c r="F1107" s="731" t="n">
        <v>0.35</v>
      </c>
      <c r="G1107" t="inlineStr">
        <is>
          <t>491萬</t>
        </is>
      </c>
      <c r="H1107" t="n">
        <v>347</v>
      </c>
      <c r="I1107" t="n">
        <v>466</v>
      </c>
      <c r="J1107" t="n">
        <v>12.05</v>
      </c>
      <c r="K1107" t="n">
        <v>14.4</v>
      </c>
      <c r="L1107" t="n">
        <v>13.95</v>
      </c>
      <c r="M1107" s="155" t="n">
        <v>0.29</v>
      </c>
      <c r="N1107" t="inlineStr">
        <is>
          <t>網通天線大廠</t>
        </is>
      </c>
    </row>
    <row r="1108">
      <c r="A1108" t="n">
        <v>3426</v>
      </c>
      <c r="B1108" t="inlineStr">
        <is>
          <t>台興</t>
        </is>
      </c>
      <c r="C1108" t="inlineStr">
        <is>
          <t>--</t>
        </is>
      </c>
      <c r="D1108" t="inlineStr">
        <is>
          <t>--</t>
        </is>
      </c>
      <c r="E1108" s="730" t="inlineStr">
        <is>
          <t>--</t>
        </is>
      </c>
      <c r="F1108" s="731" t="inlineStr">
        <is>
          <t>--</t>
        </is>
      </c>
      <c r="G1108" t="inlineStr">
        <is>
          <t>--</t>
        </is>
      </c>
      <c r="H1108" t="n">
        <v>0</v>
      </c>
      <c r="I1108" t="n">
        <v>6</v>
      </c>
      <c r="J1108" t="n">
        <v>2.64</v>
      </c>
      <c r="K1108" t="inlineStr">
        <is>
          <t>--</t>
        </is>
      </c>
      <c r="L1108" t="inlineStr">
        <is>
          <t>--</t>
        </is>
      </c>
      <c r="M1108" s="155" t="n">
        <v>0</v>
      </c>
      <c r="N1108" t="inlineStr">
        <is>
          <t>台灣專業電磁閥製造商</t>
        </is>
      </c>
    </row>
    <row r="1109">
      <c r="A1109" t="n">
        <v>3430</v>
      </c>
      <c r="B1109" t="inlineStr">
        <is>
          <t>奇鈦科</t>
        </is>
      </c>
      <c r="C1109" t="n">
        <v>164</v>
      </c>
      <c r="D1109" t="n">
        <v>149.5</v>
      </c>
      <c r="E1109" s="730" t="n">
        <v>-14.5</v>
      </c>
      <c r="F1109" s="731" t="n">
        <v>-8.84</v>
      </c>
      <c r="G1109" t="inlineStr">
        <is>
          <t>4.58億</t>
        </is>
      </c>
      <c r="H1109" t="n">
        <v>3034</v>
      </c>
      <c r="I1109" t="n">
        <v>2239</v>
      </c>
      <c r="J1109" t="n">
        <v>3.37</v>
      </c>
      <c r="K1109" t="n">
        <v>165</v>
      </c>
      <c r="L1109" t="n">
        <v>148</v>
      </c>
      <c r="M1109" s="155" t="n">
        <v>9</v>
      </c>
      <c r="N1109" t="inlineStr">
        <is>
          <t>台灣橡塑、UV化學添加劑生產廠</t>
        </is>
      </c>
    </row>
    <row r="1110">
      <c r="A1110" t="n">
        <v>3432</v>
      </c>
      <c r="B1110" t="inlineStr">
        <is>
          <t>台端</t>
        </is>
      </c>
      <c r="C1110" t="n">
        <v>19.15</v>
      </c>
      <c r="D1110" t="n">
        <v>18.8</v>
      </c>
      <c r="E1110" s="730" t="n">
        <v>0</v>
      </c>
      <c r="F1110" s="731" t="n">
        <v>0</v>
      </c>
      <c r="G1110" t="inlineStr">
        <is>
          <t>166萬</t>
        </is>
      </c>
      <c r="H1110" t="n">
        <v>88</v>
      </c>
      <c r="I1110" t="n">
        <v>84</v>
      </c>
      <c r="J1110" t="n">
        <v>4.22</v>
      </c>
      <c r="K1110" t="n">
        <v>19.15</v>
      </c>
      <c r="L1110" t="n">
        <v>18.65</v>
      </c>
      <c r="M1110" s="155" t="n">
        <v>0.24</v>
      </c>
      <c r="N1110" t="inlineStr">
        <is>
          <t>國內連接器製造商，並跨足電動二輪車銷售</t>
        </is>
      </c>
    </row>
    <row r="1111">
      <c r="A1111" t="n">
        <v>3434</v>
      </c>
      <c r="B1111" t="inlineStr">
        <is>
          <t>哲固</t>
        </is>
      </c>
      <c r="C1111" t="n">
        <v>30</v>
      </c>
      <c r="D1111" t="n">
        <v>33.15</v>
      </c>
      <c r="E1111" s="730" t="n">
        <v>3</v>
      </c>
      <c r="F1111" s="731" t="n">
        <v>9.949999999999999</v>
      </c>
      <c r="G1111" t="inlineStr">
        <is>
          <t>2079萬</t>
        </is>
      </c>
      <c r="H1111" t="n">
        <v>638</v>
      </c>
      <c r="I1111" t="n">
        <v>113</v>
      </c>
      <c r="J1111" t="n">
        <v>3.58</v>
      </c>
      <c r="K1111" t="n">
        <v>33.15</v>
      </c>
      <c r="L1111" t="n">
        <v>30</v>
      </c>
      <c r="M1111" s="155" t="n">
        <v>1.78</v>
      </c>
      <c r="N1111" t="inlineStr">
        <is>
          <t>台灣安全監控顯示器廠商</t>
        </is>
      </c>
    </row>
    <row r="1112">
      <c r="A1112" t="n">
        <v>3437</v>
      </c>
      <c r="B1112" t="inlineStr">
        <is>
          <t>榮創</t>
        </is>
      </c>
      <c r="C1112" t="n">
        <v>24.5</v>
      </c>
      <c r="D1112" t="n">
        <v>23.95</v>
      </c>
      <c r="E1112" s="730" t="n">
        <v>-0.4</v>
      </c>
      <c r="F1112" s="731" t="n">
        <v>-1.64</v>
      </c>
      <c r="G1112" t="inlineStr">
        <is>
          <t>3769萬</t>
        </is>
      </c>
      <c r="H1112" t="n">
        <v>1571</v>
      </c>
      <c r="I1112" t="n">
        <v>2135</v>
      </c>
      <c r="J1112" t="n">
        <v>14.45</v>
      </c>
      <c r="K1112" t="n">
        <v>24.9</v>
      </c>
      <c r="L1112" t="n">
        <v>23.6</v>
      </c>
      <c r="M1112" s="155" t="n">
        <v>1.09</v>
      </c>
      <c r="N1112" t="inlineStr">
        <is>
          <t>專注於SMD LED研究、開發和製造</t>
        </is>
      </c>
    </row>
    <row r="1113">
      <c r="A1113" t="n">
        <v>3438</v>
      </c>
      <c r="B1113" t="inlineStr">
        <is>
          <t>類比科</t>
        </is>
      </c>
      <c r="C1113" t="n">
        <v>76.09999999999999</v>
      </c>
      <c r="D1113" t="n">
        <v>79</v>
      </c>
      <c r="E1113" s="730" t="n">
        <v>4.6</v>
      </c>
      <c r="F1113" s="731" t="n">
        <v>6.18</v>
      </c>
      <c r="G1113" t="inlineStr">
        <is>
          <t>1.52億</t>
        </is>
      </c>
      <c r="H1113" t="n">
        <v>1949</v>
      </c>
      <c r="I1113" t="n">
        <v>915</v>
      </c>
      <c r="J1113" t="n">
        <v>4.72</v>
      </c>
      <c r="K1113" t="n">
        <v>80.40000000000001</v>
      </c>
      <c r="L1113" t="n">
        <v>76.09999999999999</v>
      </c>
      <c r="M1113" s="155" t="n">
        <v>4.13</v>
      </c>
      <c r="N1113" t="inlineStr">
        <is>
          <t>台灣面板電源管理IC龍頭</t>
        </is>
      </c>
    </row>
    <row r="1114">
      <c r="A1114" t="n">
        <v>3441</v>
      </c>
      <c r="B1114" t="inlineStr">
        <is>
          <t>聯一光</t>
        </is>
      </c>
      <c r="C1114" t="n">
        <v>56.5</v>
      </c>
      <c r="D1114" t="n">
        <v>54.7</v>
      </c>
      <c r="E1114" s="730" t="n">
        <v>0.5</v>
      </c>
      <c r="F1114" s="731" t="n">
        <v>0.92</v>
      </c>
      <c r="G1114" t="inlineStr">
        <is>
          <t>1.81億</t>
        </is>
      </c>
      <c r="H1114" t="n">
        <v>3310</v>
      </c>
      <c r="I1114" t="n">
        <v>3143</v>
      </c>
      <c r="J1114" t="n">
        <v>4</v>
      </c>
      <c r="K1114" t="n">
        <v>58.5</v>
      </c>
      <c r="L1114" t="n">
        <v>51.7</v>
      </c>
      <c r="M1114" s="155" t="n">
        <v>8.27</v>
      </c>
      <c r="N1114" t="inlineStr">
        <is>
          <t>台灣光學鏡頭上游專業光學毛胚廠</t>
        </is>
      </c>
    </row>
    <row r="1115">
      <c r="A1115" t="n">
        <v>3443</v>
      </c>
      <c r="B1115" t="inlineStr">
        <is>
          <t>創意</t>
        </is>
      </c>
      <c r="C1115" t="n">
        <v>4745</v>
      </c>
      <c r="D1115" t="n">
        <v>4535</v>
      </c>
      <c r="E1115" s="730" t="n">
        <v>-120</v>
      </c>
      <c r="F1115" s="731" t="n">
        <v>-2.58</v>
      </c>
      <c r="G1115" t="inlineStr">
        <is>
          <t>121億</t>
        </is>
      </c>
      <c r="H1115" t="n">
        <v>2656</v>
      </c>
      <c r="I1115" t="n">
        <v>3859</v>
      </c>
      <c r="J1115" t="n">
        <v>13.4</v>
      </c>
      <c r="K1115" t="n">
        <v>4795</v>
      </c>
      <c r="L1115" t="n">
        <v>4420</v>
      </c>
      <c r="M1115" s="155" t="n">
        <v>1.98</v>
      </c>
      <c r="N1115" t="inlineStr">
        <is>
          <t>台積電轉投資之設計IP與客製化ASIC廠</t>
        </is>
      </c>
    </row>
    <row r="1116">
      <c r="A1116" t="n">
        <v>3444</v>
      </c>
      <c r="B1116" t="inlineStr">
        <is>
          <t>利機</t>
        </is>
      </c>
      <c r="C1116" t="n">
        <v>103.5</v>
      </c>
      <c r="D1116" t="n">
        <v>105</v>
      </c>
      <c r="E1116" s="730" t="n">
        <v>0.5</v>
      </c>
      <c r="F1116" s="731" t="n">
        <v>0.48</v>
      </c>
      <c r="G1116" t="inlineStr">
        <is>
          <t>9133萬</t>
        </is>
      </c>
      <c r="H1116" t="n">
        <v>887</v>
      </c>
      <c r="I1116" t="n">
        <v>2569</v>
      </c>
      <c r="J1116" t="n">
        <v>4.5</v>
      </c>
      <c r="K1116" t="n">
        <v>106</v>
      </c>
      <c r="L1116" t="n">
        <v>100</v>
      </c>
      <c r="M1116" s="155" t="n">
        <v>1.97</v>
      </c>
      <c r="N1116" t="inlineStr">
        <is>
          <t>國內半導體封測材料通路商</t>
        </is>
      </c>
    </row>
    <row r="1117">
      <c r="A1117" t="n">
        <v>3447</v>
      </c>
      <c r="B1117" t="inlineStr">
        <is>
          <t>展達</t>
        </is>
      </c>
      <c r="C1117" t="n">
        <v>39.35</v>
      </c>
      <c r="D1117" t="n">
        <v>40.4</v>
      </c>
      <c r="E1117" s="730" t="n">
        <v>1.8</v>
      </c>
      <c r="F1117" s="731" t="n">
        <v>4.66</v>
      </c>
      <c r="G1117" t="inlineStr">
        <is>
          <t>4334萬</t>
        </is>
      </c>
      <c r="H1117" t="n">
        <v>1088</v>
      </c>
      <c r="I1117" t="n">
        <v>292</v>
      </c>
      <c r="J1117" t="n">
        <v>7.74</v>
      </c>
      <c r="K1117" t="n">
        <v>40.8</v>
      </c>
      <c r="L1117" t="n">
        <v>39.15</v>
      </c>
      <c r="M1117" s="155" t="n">
        <v>1.4</v>
      </c>
      <c r="N1117" t="inlineStr">
        <is>
          <t>群光轉投資網通設備廠</t>
        </is>
      </c>
    </row>
    <row r="1118">
      <c r="A1118" t="n">
        <v>3450</v>
      </c>
      <c r="B1118" t="inlineStr">
        <is>
          <t>聯鈞</t>
        </is>
      </c>
      <c r="C1118" t="n">
        <v>555</v>
      </c>
      <c r="D1118" t="n">
        <v>548</v>
      </c>
      <c r="E1118" s="730" t="n">
        <v>9</v>
      </c>
      <c r="F1118" s="731" t="n">
        <v>1.67</v>
      </c>
      <c r="G1118" t="inlineStr">
        <is>
          <t>164億</t>
        </is>
      </c>
      <c r="H1118" t="n">
        <v>28863</v>
      </c>
      <c r="I1118" t="n">
        <v>11452</v>
      </c>
      <c r="J1118" t="n">
        <v>14.57</v>
      </c>
      <c r="K1118" t="n">
        <v>592</v>
      </c>
      <c r="L1118" t="n">
        <v>540</v>
      </c>
      <c r="M1118" s="155" t="n">
        <v>19.81</v>
      </c>
      <c r="N1118" t="inlineStr">
        <is>
          <t>全球前三大雷射二極體封測代工廠</t>
        </is>
      </c>
    </row>
    <row r="1119">
      <c r="A1119" t="n">
        <v>3455</v>
      </c>
      <c r="B1119" t="inlineStr">
        <is>
          <t>由田</t>
        </is>
      </c>
      <c r="C1119" t="n">
        <v>248</v>
      </c>
      <c r="D1119" t="n">
        <v>232.5</v>
      </c>
      <c r="E1119" s="730" t="n">
        <v>-11.5</v>
      </c>
      <c r="F1119" s="731" t="n">
        <v>-4.71</v>
      </c>
      <c r="G1119" t="inlineStr">
        <is>
          <t>4.29億</t>
        </is>
      </c>
      <c r="H1119" t="n">
        <v>1832</v>
      </c>
      <c r="I1119" t="n">
        <v>2647</v>
      </c>
      <c r="J1119" t="n">
        <v>5.99</v>
      </c>
      <c r="K1119" t="n">
        <v>248.5</v>
      </c>
      <c r="L1119" t="n">
        <v>229.5</v>
      </c>
      <c r="M1119" s="155" t="n">
        <v>3.06</v>
      </c>
      <c r="N1119" t="inlineStr">
        <is>
          <t>應用於載板、PCB、面板的AOI檢測設備商</t>
        </is>
      </c>
    </row>
    <row r="1120">
      <c r="A1120" t="n">
        <v>3465</v>
      </c>
      <c r="B1120" t="inlineStr">
        <is>
          <t>進泰電子</t>
        </is>
      </c>
      <c r="C1120" t="n">
        <v>30.5</v>
      </c>
      <c r="D1120" t="n">
        <v>32</v>
      </c>
      <c r="E1120" s="730" t="n">
        <v>2.2</v>
      </c>
      <c r="F1120" s="731" t="n">
        <v>7.38</v>
      </c>
      <c r="G1120" t="inlineStr">
        <is>
          <t>646萬</t>
        </is>
      </c>
      <c r="H1120" t="n">
        <v>201</v>
      </c>
      <c r="I1120" t="n">
        <v>49</v>
      </c>
      <c r="J1120" t="n">
        <v>3.53</v>
      </c>
      <c r="K1120" t="n">
        <v>32.75</v>
      </c>
      <c r="L1120" t="n">
        <v>30.5</v>
      </c>
      <c r="M1120" s="155" t="n">
        <v>0.57</v>
      </c>
      <c r="N1120" t="inlineStr">
        <is>
          <t>專業音響OEM/ODM製造商</t>
        </is>
      </c>
    </row>
    <row r="1121">
      <c r="A1121" t="n">
        <v>3466</v>
      </c>
      <c r="B1121" t="inlineStr">
        <is>
          <t>德晉</t>
        </is>
      </c>
      <c r="C1121" t="n">
        <v>32.65</v>
      </c>
      <c r="D1121" t="n">
        <v>32.65</v>
      </c>
      <c r="E1121" s="730" t="n">
        <v>0.05</v>
      </c>
      <c r="F1121" s="731" t="n">
        <v>0.15</v>
      </c>
      <c r="G1121" t="inlineStr">
        <is>
          <t>908萬</t>
        </is>
      </c>
      <c r="H1121" t="n">
        <v>279</v>
      </c>
      <c r="I1121" t="n">
        <v>689</v>
      </c>
      <c r="J1121" t="n">
        <v>7.79</v>
      </c>
      <c r="K1121" t="n">
        <v>32.95</v>
      </c>
      <c r="L1121" t="n">
        <v>32.45</v>
      </c>
      <c r="M1121" s="155" t="n">
        <v>0.36</v>
      </c>
      <c r="N1121" t="inlineStr">
        <is>
          <t>台灣機上盒製造廠</t>
        </is>
      </c>
    </row>
    <row r="1122">
      <c r="A1122" t="n">
        <v>3467</v>
      </c>
      <c r="B1122" t="inlineStr">
        <is>
          <t>台灣精材</t>
        </is>
      </c>
      <c r="C1122" t="n">
        <v>71.7</v>
      </c>
      <c r="D1122" t="n">
        <v>70.7</v>
      </c>
      <c r="E1122" s="730" t="n">
        <v>-0.9</v>
      </c>
      <c r="F1122" s="731" t="n">
        <v>-1.26</v>
      </c>
      <c r="G1122" t="inlineStr">
        <is>
          <t>1694萬</t>
        </is>
      </c>
      <c r="H1122" t="n">
        <v>240</v>
      </c>
      <c r="I1122" t="n">
        <v>1010</v>
      </c>
      <c r="J1122" t="n">
        <v>3.11</v>
      </c>
      <c r="K1122" t="n">
        <v>71.90000000000001</v>
      </c>
      <c r="L1122" t="n">
        <v>69.59999999999999</v>
      </c>
      <c r="M1122" s="155" t="n">
        <v>0.77</v>
      </c>
      <c r="N1122" t="inlineStr">
        <is>
          <t>半導體設備使用的精密陶瓷零組件耗材廠</t>
        </is>
      </c>
    </row>
    <row r="1123">
      <c r="A1123" t="n">
        <v>3479</v>
      </c>
      <c r="B1123" t="inlineStr">
        <is>
          <t>安勤</t>
        </is>
      </c>
      <c r="C1123" t="n">
        <v>132</v>
      </c>
      <c r="D1123" t="n">
        <v>132</v>
      </c>
      <c r="E1123" s="730" t="n">
        <v>0</v>
      </c>
      <c r="F1123" s="731" t="n">
        <v>0</v>
      </c>
      <c r="G1123" t="inlineStr">
        <is>
          <t>1.54億</t>
        </is>
      </c>
      <c r="H1123" t="n">
        <v>1169</v>
      </c>
      <c r="I1123" t="n">
        <v>3045</v>
      </c>
      <c r="J1123" t="n">
        <v>7.26</v>
      </c>
      <c r="K1123" t="n">
        <v>134</v>
      </c>
      <c r="L1123" t="n">
        <v>130.5</v>
      </c>
      <c r="M1123" s="155" t="n">
        <v>1.61</v>
      </c>
      <c r="N1123" t="inlineStr">
        <is>
          <t>仁寶轉投資工業電腦廠商</t>
        </is>
      </c>
    </row>
    <row r="1124">
      <c r="A1124" t="n">
        <v>3481</v>
      </c>
      <c r="B1124" t="inlineStr">
        <is>
          <t>群創</t>
        </is>
      </c>
      <c r="C1124" t="n">
        <v>58</v>
      </c>
      <c r="D1124" t="n">
        <v>56.2</v>
      </c>
      <c r="E1124" s="730" t="n">
        <v>0.1</v>
      </c>
      <c r="F1124" s="731" t="n">
        <v>0.18</v>
      </c>
      <c r="G1124" t="inlineStr">
        <is>
          <t>644億</t>
        </is>
      </c>
      <c r="H1124" t="n">
        <v>1155361</v>
      </c>
      <c r="I1124" t="n">
        <v>1093754</v>
      </c>
      <c r="J1124" t="n">
        <v>798.92</v>
      </c>
      <c r="K1124" t="n">
        <v>58.8</v>
      </c>
      <c r="L1124" t="n">
        <v>53.6</v>
      </c>
      <c r="M1124" s="155" t="n">
        <v>14.46</v>
      </c>
      <c r="N1124" t="inlineStr">
        <is>
          <t>全球知名面板大廠</t>
        </is>
      </c>
    </row>
    <row r="1125">
      <c r="A1125" t="n">
        <v>3483</v>
      </c>
      <c r="B1125" t="inlineStr">
        <is>
          <t>力致</t>
        </is>
      </c>
      <c r="C1125" t="n">
        <v>103</v>
      </c>
      <c r="D1125" t="n">
        <v>100.5</v>
      </c>
      <c r="E1125" s="730" t="n">
        <v>-2.5</v>
      </c>
      <c r="F1125" s="731" t="n">
        <v>-2.43</v>
      </c>
      <c r="G1125" t="inlineStr">
        <is>
          <t>2.08億</t>
        </is>
      </c>
      <c r="H1125" t="n">
        <v>2087</v>
      </c>
      <c r="I1125" t="n">
        <v>1532</v>
      </c>
      <c r="J1125" t="n">
        <v>9.9</v>
      </c>
      <c r="K1125" t="n">
        <v>103</v>
      </c>
      <c r="L1125" t="n">
        <v>98</v>
      </c>
      <c r="M1125" s="155" t="n">
        <v>2.11</v>
      </c>
      <c r="N1125" t="inlineStr">
        <is>
          <t>具風扇及熱導管自製能力的散熱廠商</t>
        </is>
      </c>
    </row>
    <row r="1126">
      <c r="A1126" t="n">
        <v>3484</v>
      </c>
      <c r="B1126" t="inlineStr">
        <is>
          <t>崧騰</t>
        </is>
      </c>
      <c r="C1126" t="n">
        <v>44.4</v>
      </c>
      <c r="D1126" t="n">
        <v>44.65</v>
      </c>
      <c r="E1126" s="730" t="n">
        <v>0.25</v>
      </c>
      <c r="F1126" s="731" t="n">
        <v>0.5600000000000001</v>
      </c>
      <c r="G1126" t="inlineStr">
        <is>
          <t>2064萬</t>
        </is>
      </c>
      <c r="H1126" t="n">
        <v>462</v>
      </c>
      <c r="I1126" t="n">
        <v>268</v>
      </c>
      <c r="J1126" t="n">
        <v>7.88</v>
      </c>
      <c r="K1126" t="n">
        <v>45.4</v>
      </c>
      <c r="L1126" t="n">
        <v>44.2</v>
      </c>
      <c r="M1126" s="155" t="n">
        <v>0.59</v>
      </c>
      <c r="N1126" t="inlineStr">
        <is>
          <t>全球知名工具機開關領導廠商</t>
        </is>
      </c>
    </row>
    <row r="1127">
      <c r="A1127" t="n">
        <v>3485</v>
      </c>
      <c r="B1127" t="inlineStr">
        <is>
          <t>敘豐</t>
        </is>
      </c>
      <c r="C1127" t="n">
        <v>364</v>
      </c>
      <c r="D1127" t="n">
        <v>359</v>
      </c>
      <c r="E1127" s="730" t="n">
        <v>-8</v>
      </c>
      <c r="F1127" s="731" t="n">
        <v>-2.18</v>
      </c>
      <c r="G1127" t="inlineStr">
        <is>
          <t>2.40億</t>
        </is>
      </c>
      <c r="H1127" t="n">
        <v>675</v>
      </c>
      <c r="I1127" t="n">
        <v>1184</v>
      </c>
      <c r="J1127" t="n">
        <v>3.85</v>
      </c>
      <c r="K1127" t="n">
        <v>364</v>
      </c>
      <c r="L1127" t="n">
        <v>351</v>
      </c>
      <c r="M1127" s="155" t="n">
        <v>1.75</v>
      </c>
      <c r="N1127" t="inlineStr">
        <is>
          <t>高階IC覆晶載板設備供應商</t>
        </is>
      </c>
    </row>
    <row r="1128">
      <c r="A1128" t="n">
        <v>3489</v>
      </c>
      <c r="B1128" t="inlineStr">
        <is>
          <t>森寶</t>
        </is>
      </c>
      <c r="C1128" t="n">
        <v>21.7</v>
      </c>
      <c r="D1128" t="n">
        <v>21.65</v>
      </c>
      <c r="E1128" s="730" t="n">
        <v>-0.05</v>
      </c>
      <c r="F1128" s="731" t="n">
        <v>-0.23</v>
      </c>
      <c r="G1128" t="inlineStr">
        <is>
          <t>418萬</t>
        </is>
      </c>
      <c r="H1128" t="n">
        <v>194</v>
      </c>
      <c r="I1128" t="n">
        <v>177</v>
      </c>
      <c r="J1128" t="n">
        <v>9.050000000000001</v>
      </c>
      <c r="K1128" t="n">
        <v>21.8</v>
      </c>
      <c r="L1128" t="n">
        <v>21.4</v>
      </c>
      <c r="M1128" s="155" t="n">
        <v>0.21</v>
      </c>
      <c r="N1128" t="inlineStr">
        <is>
          <t>森聯旗下，房地產開發商</t>
        </is>
      </c>
    </row>
    <row r="1129">
      <c r="A1129" t="n">
        <v>3490</v>
      </c>
      <c r="B1129" t="inlineStr">
        <is>
          <t>單井</t>
        </is>
      </c>
      <c r="C1129" t="n">
        <v>37.7</v>
      </c>
      <c r="D1129" t="n">
        <v>37.5</v>
      </c>
      <c r="E1129" s="730" t="n">
        <v>-0.5</v>
      </c>
      <c r="F1129" s="731" t="n">
        <v>-1.32</v>
      </c>
      <c r="G1129" t="inlineStr">
        <is>
          <t>7172萬</t>
        </is>
      </c>
      <c r="H1129" t="n">
        <v>1938</v>
      </c>
      <c r="I1129" t="n">
        <v>3004</v>
      </c>
      <c r="J1129" t="n">
        <v>5.5</v>
      </c>
      <c r="K1129" t="n">
        <v>37.95</v>
      </c>
      <c r="L1129" t="n">
        <v>36.2</v>
      </c>
      <c r="M1129" s="155" t="n">
        <v>3.52</v>
      </c>
      <c r="N1129" t="inlineStr">
        <is>
          <t>LED及半導體封裝模具及設備供應商</t>
        </is>
      </c>
    </row>
    <row r="1130">
      <c r="A1130" t="n">
        <v>3491</v>
      </c>
      <c r="B1130" t="inlineStr">
        <is>
          <t>昇達科</t>
        </is>
      </c>
      <c r="C1130" t="n">
        <v>2150</v>
      </c>
      <c r="D1130" t="n">
        <v>2070</v>
      </c>
      <c r="E1130" s="730" t="n">
        <v>-95</v>
      </c>
      <c r="F1130" s="731" t="n">
        <v>-4.39</v>
      </c>
      <c r="G1130" t="inlineStr">
        <is>
          <t>14.5億</t>
        </is>
      </c>
      <c r="H1130" t="n">
        <v>700</v>
      </c>
      <c r="I1130" t="n">
        <v>998</v>
      </c>
      <c r="J1130" t="n">
        <v>6.88</v>
      </c>
      <c r="K1130" t="n">
        <v>2175</v>
      </c>
      <c r="L1130" t="n">
        <v>2000</v>
      </c>
      <c r="M1130" s="155" t="n">
        <v>1.02</v>
      </c>
      <c r="N1130" t="inlineStr">
        <is>
          <t>台灣微波及毫米波元件廠商</t>
        </is>
      </c>
    </row>
    <row r="1131">
      <c r="A1131" t="n">
        <v>3492</v>
      </c>
      <c r="B1131" t="inlineStr">
        <is>
          <t>長盛</t>
        </is>
      </c>
      <c r="C1131" t="n">
        <v>23.4</v>
      </c>
      <c r="D1131" t="n">
        <v>22.7</v>
      </c>
      <c r="E1131" s="730" t="n">
        <v>-0.7</v>
      </c>
      <c r="F1131" s="731" t="n">
        <v>-2.99</v>
      </c>
      <c r="G1131" t="inlineStr">
        <is>
          <t>617萬</t>
        </is>
      </c>
      <c r="H1131" t="n">
        <v>270</v>
      </c>
      <c r="I1131" t="n">
        <v>219</v>
      </c>
      <c r="J1131" t="n">
        <v>3.55</v>
      </c>
      <c r="K1131" t="n">
        <v>23.4</v>
      </c>
      <c r="L1131" t="n">
        <v>22.65</v>
      </c>
      <c r="M1131" s="155" t="n">
        <v>0.76</v>
      </c>
      <c r="N1131" t="inlineStr">
        <is>
          <t>台灣連接器與線組製造商</t>
        </is>
      </c>
    </row>
    <row r="1132">
      <c r="A1132" t="n">
        <v>3494</v>
      </c>
      <c r="B1132" t="inlineStr">
        <is>
          <t>誠研</t>
        </is>
      </c>
      <c r="C1132" t="n">
        <v>8.050000000000001</v>
      </c>
      <c r="D1132" t="n">
        <v>8.039999999999999</v>
      </c>
      <c r="E1132" s="730" t="n">
        <v>-0.01</v>
      </c>
      <c r="F1132" s="731" t="n">
        <v>-0.12</v>
      </c>
      <c r="G1132" t="inlineStr">
        <is>
          <t>84.8萬</t>
        </is>
      </c>
      <c r="H1132" t="n">
        <v>106</v>
      </c>
      <c r="I1132" t="n">
        <v>191</v>
      </c>
      <c r="J1132" t="n">
        <v>9.48</v>
      </c>
      <c r="K1132" t="n">
        <v>8.09</v>
      </c>
      <c r="L1132" t="n">
        <v>7.94</v>
      </c>
      <c r="M1132" s="155" t="n">
        <v>0.16</v>
      </c>
      <c r="N1132" t="inlineStr">
        <is>
          <t>熱昇華式數位相片印表機供應商</t>
        </is>
      </c>
    </row>
    <row r="1133">
      <c r="A1133" t="n">
        <v>3498</v>
      </c>
      <c r="B1133" t="inlineStr">
        <is>
          <t>陽程</t>
        </is>
      </c>
      <c r="C1133" t="n">
        <v>144</v>
      </c>
      <c r="D1133" t="n">
        <v>140.5</v>
      </c>
      <c r="E1133" s="730" t="n">
        <v>-3.5</v>
      </c>
      <c r="F1133" s="731" t="n">
        <v>-2.43</v>
      </c>
      <c r="G1133" t="inlineStr">
        <is>
          <t>5.48億</t>
        </is>
      </c>
      <c r="H1133" t="n">
        <v>3870</v>
      </c>
      <c r="I1133" t="n">
        <v>1043</v>
      </c>
      <c r="J1133" t="n">
        <v>6.13</v>
      </c>
      <c r="K1133" t="n">
        <v>149.5</v>
      </c>
      <c r="L1133" t="n">
        <v>136</v>
      </c>
      <c r="M1133" s="155" t="n">
        <v>6.32</v>
      </c>
      <c r="N1133" t="inlineStr">
        <is>
          <t>台灣PCB暨CCL、環境工程及物流等自動化設備廠</t>
        </is>
      </c>
    </row>
    <row r="1134">
      <c r="A1134" t="n">
        <v>3499</v>
      </c>
      <c r="B1134" t="inlineStr">
        <is>
          <t>環天科</t>
        </is>
      </c>
      <c r="C1134" t="n">
        <v>14.8</v>
      </c>
      <c r="D1134" t="n">
        <v>14.55</v>
      </c>
      <c r="E1134" s="730" t="n">
        <v>-0.2</v>
      </c>
      <c r="F1134" s="731" t="n">
        <v>-1.36</v>
      </c>
      <c r="G1134" t="inlineStr">
        <is>
          <t>402萬</t>
        </is>
      </c>
      <c r="H1134" t="n">
        <v>280</v>
      </c>
      <c r="I1134" t="n">
        <v>130</v>
      </c>
      <c r="J1134" t="n">
        <v>5.5</v>
      </c>
      <c r="K1134" t="n">
        <v>14.8</v>
      </c>
      <c r="L1134" t="n">
        <v>14.1</v>
      </c>
      <c r="M1134" s="155" t="n">
        <v>0.51</v>
      </c>
      <c r="N1134" t="inlineStr">
        <is>
          <t>台灣GPS相關應用製造業者</t>
        </is>
      </c>
    </row>
    <row r="1135">
      <c r="A1135" t="n">
        <v>3501</v>
      </c>
      <c r="B1135" t="inlineStr">
        <is>
          <t>維熹</t>
        </is>
      </c>
      <c r="C1135" t="n">
        <v>41.55</v>
      </c>
      <c r="D1135" t="n">
        <v>41.6</v>
      </c>
      <c r="E1135" s="730" t="n">
        <v>0.3</v>
      </c>
      <c r="F1135" s="731" t="n">
        <v>0.73</v>
      </c>
      <c r="G1135" t="inlineStr">
        <is>
          <t>1403萬</t>
        </is>
      </c>
      <c r="H1135" t="n">
        <v>339</v>
      </c>
      <c r="I1135" t="n">
        <v>427</v>
      </c>
      <c r="J1135" t="n">
        <v>11.83</v>
      </c>
      <c r="K1135" t="n">
        <v>41.65</v>
      </c>
      <c r="L1135" t="n">
        <v>40.9</v>
      </c>
      <c r="M1135" s="155" t="n">
        <v>0.29</v>
      </c>
      <c r="N1135" t="inlineStr">
        <is>
          <t>正崴集團之連接線廠</t>
        </is>
      </c>
    </row>
    <row r="1136">
      <c r="A1136" t="n">
        <v>3504</v>
      </c>
      <c r="B1136" t="inlineStr">
        <is>
          <t>揚明光</t>
        </is>
      </c>
      <c r="C1136" t="n">
        <v>78.8</v>
      </c>
      <c r="D1136" t="n">
        <v>79.40000000000001</v>
      </c>
      <c r="E1136" s="730" t="n">
        <v>1</v>
      </c>
      <c r="F1136" s="731" t="n">
        <v>1.28</v>
      </c>
      <c r="G1136" t="inlineStr">
        <is>
          <t>1.31億</t>
        </is>
      </c>
      <c r="H1136" t="n">
        <v>1668</v>
      </c>
      <c r="I1136" t="n">
        <v>1659</v>
      </c>
      <c r="J1136" t="n">
        <v>11.41</v>
      </c>
      <c r="K1136" t="n">
        <v>79.90000000000001</v>
      </c>
      <c r="L1136" t="n">
        <v>76.2</v>
      </c>
      <c r="M1136" s="155" t="n">
        <v>1.46</v>
      </c>
      <c r="N1136" t="inlineStr">
        <is>
          <t>中光電旗下微投光機及光學元件生產廠商</t>
        </is>
      </c>
    </row>
    <row r="1137">
      <c r="A1137" t="n">
        <v>3508</v>
      </c>
      <c r="B1137" t="inlineStr">
        <is>
          <t>位速</t>
        </is>
      </c>
      <c r="C1137" t="n">
        <v>19.9</v>
      </c>
      <c r="D1137" t="n">
        <v>20.4</v>
      </c>
      <c r="E1137" s="730" t="n">
        <v>0.5</v>
      </c>
      <c r="F1137" s="731" t="n">
        <v>2.51</v>
      </c>
      <c r="G1137" t="inlineStr">
        <is>
          <t>566萬</t>
        </is>
      </c>
      <c r="H1137" t="n">
        <v>282</v>
      </c>
      <c r="I1137" t="n">
        <v>410</v>
      </c>
      <c r="J1137" t="n">
        <v>10.43</v>
      </c>
      <c r="K1137" t="n">
        <v>20.4</v>
      </c>
      <c r="L1137" t="n">
        <v>19.85</v>
      </c>
      <c r="M1137" s="155" t="n">
        <v>0.27</v>
      </c>
      <c r="N1137" t="inlineStr">
        <is>
          <t>手機外殼電鍍、濺鍍與塗裝之表面處理專業廠</t>
        </is>
      </c>
    </row>
    <row r="1138">
      <c r="A1138" t="n">
        <v>3511</v>
      </c>
      <c r="B1138" t="inlineStr">
        <is>
          <t>矽瑪</t>
        </is>
      </c>
      <c r="C1138" t="n">
        <v>24</v>
      </c>
      <c r="D1138" t="n">
        <v>24</v>
      </c>
      <c r="E1138" s="730" t="n">
        <v>2.15</v>
      </c>
      <c r="F1138" s="731" t="n">
        <v>9.84</v>
      </c>
      <c r="G1138" t="inlineStr">
        <is>
          <t>1788萬</t>
        </is>
      </c>
      <c r="H1138" t="n">
        <v>745</v>
      </c>
      <c r="I1138" t="n">
        <v>410</v>
      </c>
      <c r="J1138" t="n">
        <v>8</v>
      </c>
      <c r="K1138" t="n">
        <v>24</v>
      </c>
      <c r="L1138" t="n">
        <v>24</v>
      </c>
      <c r="M1138" s="155" t="n">
        <v>0.93</v>
      </c>
      <c r="N1138" t="inlineStr">
        <is>
          <t>佳世達旗下連接器廠</t>
        </is>
      </c>
    </row>
    <row r="1139">
      <c r="A1139" t="n">
        <v>3512</v>
      </c>
      <c r="B1139" t="inlineStr">
        <is>
          <t>皇龍</t>
        </is>
      </c>
      <c r="C1139" t="n">
        <v>20.7</v>
      </c>
      <c r="D1139" t="n">
        <v>20.35</v>
      </c>
      <c r="E1139" s="730" t="n">
        <v>-0.25</v>
      </c>
      <c r="F1139" s="731" t="n">
        <v>-1.21</v>
      </c>
      <c r="G1139" t="inlineStr">
        <is>
          <t>211萬</t>
        </is>
      </c>
      <c r="H1139" t="n">
        <v>104</v>
      </c>
      <c r="I1139" t="n">
        <v>82</v>
      </c>
      <c r="J1139" t="n">
        <v>11.31</v>
      </c>
      <c r="K1139" t="n">
        <v>20.7</v>
      </c>
      <c r="L1139" t="n">
        <v>20.05</v>
      </c>
      <c r="M1139" s="155" t="n">
        <v>0.09</v>
      </c>
      <c r="N1139" t="inlineStr">
        <is>
          <t>從事營建事業及散熱片設計製造</t>
        </is>
      </c>
    </row>
    <row r="1140">
      <c r="A1140" t="n">
        <v>3515</v>
      </c>
      <c r="B1140" t="inlineStr">
        <is>
          <t>華擎</t>
        </is>
      </c>
      <c r="C1140" t="n">
        <v>255</v>
      </c>
      <c r="D1140" t="n">
        <v>273.5</v>
      </c>
      <c r="E1140" s="730" t="n">
        <v>20</v>
      </c>
      <c r="F1140" s="731" t="n">
        <v>7.89</v>
      </c>
      <c r="G1140" t="inlineStr">
        <is>
          <t>10.4億</t>
        </is>
      </c>
      <c r="H1140" t="n">
        <v>3984</v>
      </c>
      <c r="I1140" t="n">
        <v>1275</v>
      </c>
      <c r="J1140" t="n">
        <v>12.35</v>
      </c>
      <c r="K1140" t="n">
        <v>273.5</v>
      </c>
      <c r="L1140" t="n">
        <v>252</v>
      </c>
      <c r="M1140" s="155" t="n">
        <v>3.22</v>
      </c>
      <c r="N1140" t="inlineStr">
        <is>
          <t>全球前四大主機板廠商之一</t>
        </is>
      </c>
    </row>
    <row r="1141">
      <c r="A1141" t="n">
        <v>3516</v>
      </c>
      <c r="B1141" t="inlineStr">
        <is>
          <t>亞帝歐</t>
        </is>
      </c>
      <c r="C1141" t="n">
        <v>23.2</v>
      </c>
      <c r="D1141" t="n">
        <v>23.15</v>
      </c>
      <c r="E1141" s="730" t="n">
        <v>-0.1</v>
      </c>
      <c r="F1141" s="731" t="n">
        <v>-0.43</v>
      </c>
      <c r="G1141" t="inlineStr">
        <is>
          <t>292萬</t>
        </is>
      </c>
      <c r="H1141" t="n">
        <v>126</v>
      </c>
      <c r="I1141" t="n">
        <v>153</v>
      </c>
      <c r="J1141" t="n">
        <v>5.96</v>
      </c>
      <c r="K1141" t="n">
        <v>23.35</v>
      </c>
      <c r="L1141" t="n">
        <v>22.95</v>
      </c>
      <c r="M1141" s="155" t="n">
        <v>0.21</v>
      </c>
      <c r="N1141" t="inlineStr">
        <is>
          <t>台灣連接線材及LED照明廠商</t>
        </is>
      </c>
    </row>
    <row r="1142">
      <c r="A1142" t="n">
        <v>3518</v>
      </c>
      <c r="B1142" t="inlineStr">
        <is>
          <t>柏騰</t>
        </is>
      </c>
      <c r="C1142" t="n">
        <v>32.05</v>
      </c>
      <c r="D1142" t="n">
        <v>33.75</v>
      </c>
      <c r="E1142" s="730" t="n">
        <v>1.85</v>
      </c>
      <c r="F1142" s="731" t="n">
        <v>5.8</v>
      </c>
      <c r="G1142" t="inlineStr">
        <is>
          <t>6037萬</t>
        </is>
      </c>
      <c r="H1142" t="n">
        <v>1861</v>
      </c>
      <c r="I1142" t="n">
        <v>1967</v>
      </c>
      <c r="J1142" t="n">
        <v>10.25</v>
      </c>
      <c r="K1142" t="n">
        <v>33.8</v>
      </c>
      <c r="L1142" t="n">
        <v>31.5</v>
      </c>
      <c r="M1142" s="155" t="n">
        <v>1.91</v>
      </c>
      <c r="N1142" t="inlineStr">
        <is>
          <t>為台灣第一家具備低溫真空濺鍍之專業廠商</t>
        </is>
      </c>
    </row>
    <row r="1143">
      <c r="A1143" t="n">
        <v>3520</v>
      </c>
      <c r="B1143" t="inlineStr">
        <is>
          <t>華盈</t>
        </is>
      </c>
      <c r="C1143" t="n">
        <v>14.6</v>
      </c>
      <c r="D1143" t="n">
        <v>14.45</v>
      </c>
      <c r="E1143" s="730" t="n">
        <v>0</v>
      </c>
      <c r="F1143" s="731" t="n">
        <v>0</v>
      </c>
      <c r="G1143" t="inlineStr">
        <is>
          <t>280萬</t>
        </is>
      </c>
      <c r="H1143" t="n">
        <v>194</v>
      </c>
      <c r="I1143" t="n">
        <v>264</v>
      </c>
      <c r="J1143" t="n">
        <v>6.88</v>
      </c>
      <c r="K1143" t="n">
        <v>14.65</v>
      </c>
      <c r="L1143" t="n">
        <v>14.35</v>
      </c>
      <c r="M1143" s="155" t="n">
        <v>0.28</v>
      </c>
      <c r="N1143" t="inlineStr">
        <is>
          <t>台灣各種應用連接線材供應商</t>
        </is>
      </c>
    </row>
    <row r="1144">
      <c r="A1144" t="n">
        <v>3521</v>
      </c>
      <c r="B1144" t="inlineStr">
        <is>
          <t>台鋼建設</t>
        </is>
      </c>
      <c r="C1144" t="n">
        <v>11.95</v>
      </c>
      <c r="D1144" t="n">
        <v>11.8</v>
      </c>
      <c r="E1144" s="730" t="n">
        <v>-0.15</v>
      </c>
      <c r="F1144" s="731" t="n">
        <v>-1.26</v>
      </c>
      <c r="G1144" t="inlineStr">
        <is>
          <t>202萬</t>
        </is>
      </c>
      <c r="H1144" t="n">
        <v>170</v>
      </c>
      <c r="I1144" t="n">
        <v>125</v>
      </c>
      <c r="J1144" t="n">
        <v>18.58</v>
      </c>
      <c r="K1144" t="n">
        <v>12</v>
      </c>
      <c r="L1144" t="n">
        <v>11.8</v>
      </c>
      <c r="M1144" s="155" t="n">
        <v>0.12</v>
      </c>
      <c r="N1144" t="inlineStr">
        <is>
          <t>從事營建及POS機系統業務</t>
        </is>
      </c>
    </row>
    <row r="1145">
      <c r="A1145" t="n">
        <v>3522</v>
      </c>
      <c r="B1145" t="inlineStr">
        <is>
          <t>御嵿</t>
        </is>
      </c>
      <c r="C1145" t="n">
        <v>11.85</v>
      </c>
      <c r="D1145" t="n">
        <v>11.4</v>
      </c>
      <c r="E1145" s="730" t="n">
        <v>-0.1</v>
      </c>
      <c r="F1145" s="731" t="n">
        <v>-0.87</v>
      </c>
      <c r="G1145" t="inlineStr">
        <is>
          <t>116萬</t>
        </is>
      </c>
      <c r="H1145" t="n">
        <v>102</v>
      </c>
      <c r="I1145" t="n">
        <v>174</v>
      </c>
      <c r="J1145" t="n">
        <v>10.41</v>
      </c>
      <c r="K1145" t="n">
        <v>11.85</v>
      </c>
      <c r="L1145" t="n">
        <v>11.2</v>
      </c>
      <c r="M1145" s="155" t="n">
        <v>0.1</v>
      </c>
      <c r="N1145" t="inlineStr">
        <is>
          <t>連鎖餐飲事業，擁有頂鮮餐廳及晶宴會館</t>
        </is>
      </c>
    </row>
    <row r="1146">
      <c r="A1146" t="n">
        <v>3523</v>
      </c>
      <c r="B1146" t="inlineStr">
        <is>
          <t>迎輝</t>
        </is>
      </c>
      <c r="C1146" t="n">
        <v>19.25</v>
      </c>
      <c r="D1146" t="n">
        <v>19.25</v>
      </c>
      <c r="E1146" s="730" t="n">
        <v>1.75</v>
      </c>
      <c r="F1146" s="731" t="n">
        <v>10</v>
      </c>
      <c r="G1146" t="inlineStr">
        <is>
          <t>150萬</t>
        </is>
      </c>
      <c r="H1146" t="n">
        <v>78</v>
      </c>
      <c r="I1146" t="n">
        <v>200</v>
      </c>
      <c r="J1146" t="n">
        <v>6.43</v>
      </c>
      <c r="K1146" t="n">
        <v>19.25</v>
      </c>
      <c r="L1146" t="n">
        <v>19.25</v>
      </c>
      <c r="M1146" s="155" t="n">
        <v>0.12</v>
      </c>
      <c r="N1146" t="inlineStr">
        <is>
          <t>各式光學與光電膜產品製造商</t>
        </is>
      </c>
    </row>
    <row r="1147">
      <c r="A1147" t="n">
        <v>3526</v>
      </c>
      <c r="B1147" t="inlineStr">
        <is>
          <t>凡甲</t>
        </is>
      </c>
      <c r="C1147" t="n">
        <v>364.5</v>
      </c>
      <c r="D1147" t="n">
        <v>370.5</v>
      </c>
      <c r="E1147" s="730" t="n">
        <v>6.5</v>
      </c>
      <c r="F1147" s="731" t="n">
        <v>1.79</v>
      </c>
      <c r="G1147" t="inlineStr">
        <is>
          <t>3.12億</t>
        </is>
      </c>
      <c r="H1147" t="n">
        <v>853</v>
      </c>
      <c r="I1147" t="n">
        <v>1056</v>
      </c>
      <c r="J1147" t="n">
        <v>6.58</v>
      </c>
      <c r="K1147" t="n">
        <v>372</v>
      </c>
      <c r="L1147" t="n">
        <v>360</v>
      </c>
      <c r="M1147" s="155" t="n">
        <v>1.3</v>
      </c>
      <c r="N1147" t="inlineStr">
        <is>
          <t>強茂轉投資之連接器廠</t>
        </is>
      </c>
    </row>
    <row r="1148">
      <c r="A1148" t="n">
        <v>3527</v>
      </c>
      <c r="B1148" t="inlineStr">
        <is>
          <t>聚積</t>
        </is>
      </c>
      <c r="C1148" t="n">
        <v>57.2</v>
      </c>
      <c r="D1148" t="n">
        <v>58.6</v>
      </c>
      <c r="E1148" s="730" t="n">
        <v>1.9</v>
      </c>
      <c r="F1148" s="731" t="n">
        <v>3.35</v>
      </c>
      <c r="G1148" t="inlineStr">
        <is>
          <t>2182萬</t>
        </is>
      </c>
      <c r="H1148" t="n">
        <v>381</v>
      </c>
      <c r="I1148" t="n">
        <v>242</v>
      </c>
      <c r="J1148" t="n">
        <v>4.44</v>
      </c>
      <c r="K1148" t="n">
        <v>58.6</v>
      </c>
      <c r="L1148" t="n">
        <v>56.2</v>
      </c>
      <c r="M1148" s="155" t="n">
        <v>0.86</v>
      </c>
      <c r="N1148" t="inlineStr">
        <is>
          <t>全球LED顯示屏驅動IC設計龍頭廠</t>
        </is>
      </c>
    </row>
    <row r="1149">
      <c r="A1149" t="n">
        <v>3528</v>
      </c>
      <c r="B1149" t="inlineStr">
        <is>
          <t>安馳</t>
        </is>
      </c>
      <c r="C1149" t="n">
        <v>128.5</v>
      </c>
      <c r="D1149" t="n">
        <v>127</v>
      </c>
      <c r="E1149" s="730" t="n">
        <v>-2</v>
      </c>
      <c r="F1149" s="731" t="n">
        <v>-1.55</v>
      </c>
      <c r="G1149" t="inlineStr">
        <is>
          <t>1.77億</t>
        </is>
      </c>
      <c r="H1149" t="n">
        <v>1433</v>
      </c>
      <c r="I1149" t="n">
        <v>2509</v>
      </c>
      <c r="J1149" t="n">
        <v>6.66</v>
      </c>
      <c r="K1149" t="n">
        <v>128.5</v>
      </c>
      <c r="L1149" t="n">
        <v>120</v>
      </c>
      <c r="M1149" s="155" t="n">
        <v>2.15</v>
      </c>
      <c r="N1149" t="inlineStr">
        <is>
          <t>台灣前5大IC通路商</t>
        </is>
      </c>
    </row>
    <row r="1150">
      <c r="A1150" t="n">
        <v>3529</v>
      </c>
      <c r="B1150" t="inlineStr">
        <is>
          <t>力旺</t>
        </is>
      </c>
      <c r="C1150" t="n">
        <v>3345</v>
      </c>
      <c r="D1150" t="n">
        <v>3530</v>
      </c>
      <c r="E1150" s="730" t="n">
        <v>250</v>
      </c>
      <c r="F1150" s="731" t="n">
        <v>7.62</v>
      </c>
      <c r="G1150" t="inlineStr">
        <is>
          <t>32.9億</t>
        </is>
      </c>
      <c r="H1150" t="n">
        <v>949</v>
      </c>
      <c r="I1150" t="n">
        <v>1141</v>
      </c>
      <c r="J1150" t="n">
        <v>7.47</v>
      </c>
      <c r="K1150" t="n">
        <v>3530</v>
      </c>
      <c r="L1150" t="n">
        <v>3345</v>
      </c>
      <c r="M1150" s="155" t="n">
        <v>1.27</v>
      </c>
      <c r="N1150" t="inlineStr">
        <is>
          <t>全球嵌入式非揮發性記憶體矽智財(eNVM IP)領導廠</t>
        </is>
      </c>
    </row>
    <row r="1151">
      <c r="A1151" t="n">
        <v>3530</v>
      </c>
      <c r="B1151" t="inlineStr">
        <is>
          <t>晶相光</t>
        </is>
      </c>
      <c r="C1151" t="n">
        <v>68.5</v>
      </c>
      <c r="D1151" t="n">
        <v>68.3</v>
      </c>
      <c r="E1151" s="730" t="n">
        <v>0.3</v>
      </c>
      <c r="F1151" s="731" t="n">
        <v>0.44</v>
      </c>
      <c r="G1151" t="inlineStr">
        <is>
          <t>2192萬</t>
        </is>
      </c>
      <c r="H1151" t="n">
        <v>327</v>
      </c>
      <c r="I1151" t="n">
        <v>347</v>
      </c>
      <c r="J1151" t="n">
        <v>7.75</v>
      </c>
      <c r="K1151" t="n">
        <v>69</v>
      </c>
      <c r="L1151" t="n">
        <v>66.8</v>
      </c>
      <c r="M1151" s="155" t="n">
        <v>0.42</v>
      </c>
      <c r="N1151" t="inlineStr">
        <is>
          <t>神盾旗下CMOS晶片廠</t>
        </is>
      </c>
    </row>
    <row r="1152">
      <c r="A1152" t="n">
        <v>3531</v>
      </c>
      <c r="B1152" t="inlineStr">
        <is>
          <t>先益</t>
        </is>
      </c>
      <c r="C1152" t="n">
        <v>22.85</v>
      </c>
      <c r="D1152" t="n">
        <v>23.4</v>
      </c>
      <c r="E1152" s="730" t="n">
        <v>-0.3</v>
      </c>
      <c r="F1152" s="731" t="n">
        <v>-1.27</v>
      </c>
      <c r="G1152" t="inlineStr">
        <is>
          <t>23.1萬</t>
        </is>
      </c>
      <c r="H1152" t="n">
        <v>10</v>
      </c>
      <c r="I1152" t="n">
        <v>15</v>
      </c>
      <c r="J1152" t="n">
        <v>6.12</v>
      </c>
      <c r="K1152" t="n">
        <v>23.4</v>
      </c>
      <c r="L1152" t="n">
        <v>22.85</v>
      </c>
      <c r="M1152" s="155" t="n">
        <v>0.02</v>
      </c>
      <c r="N1152" t="inlineStr">
        <is>
          <t>LED中小尺寸背光模組專業製造廠</t>
        </is>
      </c>
    </row>
    <row r="1153">
      <c r="A1153" t="n">
        <v>3532</v>
      </c>
      <c r="B1153" t="inlineStr">
        <is>
          <t>台勝科</t>
        </is>
      </c>
      <c r="C1153" t="n">
        <v>324.5</v>
      </c>
      <c r="D1153" t="n">
        <v>315.5</v>
      </c>
      <c r="E1153" s="730" t="n">
        <v>-35</v>
      </c>
      <c r="F1153" s="731" t="n">
        <v>-9.99</v>
      </c>
      <c r="G1153" t="inlineStr">
        <is>
          <t>4.64億</t>
        </is>
      </c>
      <c r="H1153" t="n">
        <v>1448</v>
      </c>
      <c r="I1153" t="n">
        <v>5577</v>
      </c>
      <c r="J1153" t="n">
        <v>38.78</v>
      </c>
      <c r="K1153" t="n">
        <v>328.5</v>
      </c>
      <c r="L1153" t="n">
        <v>315.5</v>
      </c>
      <c r="M1153" s="155" t="n">
        <v>0.37</v>
      </c>
      <c r="N1153" t="inlineStr">
        <is>
          <t>台塑與Sumco合資成立的矽晶圓製造商</t>
        </is>
      </c>
    </row>
    <row r="1154">
      <c r="A1154" t="n">
        <v>3533</v>
      </c>
      <c r="B1154" t="inlineStr">
        <is>
          <t>嘉澤</t>
        </is>
      </c>
      <c r="C1154" t="n">
        <v>2655</v>
      </c>
      <c r="D1154" t="n">
        <v>2615</v>
      </c>
      <c r="E1154" s="730" t="n">
        <v>-60</v>
      </c>
      <c r="F1154" s="731" t="n">
        <v>-2.24</v>
      </c>
      <c r="G1154" t="inlineStr">
        <is>
          <t>23.5億</t>
        </is>
      </c>
      <c r="H1154" t="n">
        <v>908</v>
      </c>
      <c r="I1154" t="n">
        <v>1136</v>
      </c>
      <c r="J1154" t="n">
        <v>11.25</v>
      </c>
      <c r="K1154" t="n">
        <v>2655</v>
      </c>
      <c r="L1154" t="n">
        <v>2505</v>
      </c>
      <c r="M1154" s="155" t="n">
        <v>0.8100000000000001</v>
      </c>
      <c r="N1154" t="inlineStr">
        <is>
          <t>全球前三大CPU Socket製造商</t>
        </is>
      </c>
    </row>
    <row r="1155">
      <c r="A1155" t="n">
        <v>3535</v>
      </c>
      <c r="B1155" t="inlineStr">
        <is>
          <t>晶彩科</t>
        </is>
      </c>
      <c r="C1155" t="n">
        <v>135</v>
      </c>
      <c r="D1155" t="n">
        <v>137.5</v>
      </c>
      <c r="E1155" s="730" t="n">
        <v>3</v>
      </c>
      <c r="F1155" s="731" t="n">
        <v>2.23</v>
      </c>
      <c r="G1155" t="inlineStr">
        <is>
          <t>25.2億</t>
        </is>
      </c>
      <c r="H1155" t="n">
        <v>18459</v>
      </c>
      <c r="I1155" t="n">
        <v>3572</v>
      </c>
      <c r="J1155" t="n">
        <v>7.91</v>
      </c>
      <c r="K1155" t="n">
        <v>140</v>
      </c>
      <c r="L1155" t="n">
        <v>132.5</v>
      </c>
      <c r="M1155" s="155" t="n">
        <v>23.35</v>
      </c>
      <c r="N1155" t="inlineStr">
        <is>
          <t>國內面板前段自動光學檢測設備大廠</t>
        </is>
      </c>
    </row>
    <row r="1156">
      <c r="A1156" t="n">
        <v>3537</v>
      </c>
      <c r="B1156" t="inlineStr">
        <is>
          <t>堡達</t>
        </is>
      </c>
      <c r="C1156" t="n">
        <v>80</v>
      </c>
      <c r="D1156" t="n">
        <v>78.5</v>
      </c>
      <c r="E1156" s="730" t="n">
        <v>-0.6</v>
      </c>
      <c r="F1156" s="731" t="n">
        <v>-0.76</v>
      </c>
      <c r="G1156" t="inlineStr">
        <is>
          <t>3.94億</t>
        </is>
      </c>
      <c r="H1156" t="n">
        <v>5164</v>
      </c>
      <c r="I1156" t="n">
        <v>7851</v>
      </c>
      <c r="J1156" t="n">
        <v>5.62</v>
      </c>
      <c r="K1156" t="n">
        <v>80.40000000000001</v>
      </c>
      <c r="L1156" t="n">
        <v>73.5</v>
      </c>
      <c r="M1156" s="155" t="n">
        <v>9.18</v>
      </c>
      <c r="N1156" t="inlineStr">
        <is>
          <t>為日商松下被動元件的代理商</t>
        </is>
      </c>
    </row>
    <row r="1157">
      <c r="A1157" t="n">
        <v>3540</v>
      </c>
      <c r="B1157" t="inlineStr">
        <is>
          <t>曜越</t>
        </is>
      </c>
      <c r="C1157" t="n">
        <v>27.5</v>
      </c>
      <c r="D1157" t="n">
        <v>27.75</v>
      </c>
      <c r="E1157" s="730" t="n">
        <v>0.25</v>
      </c>
      <c r="F1157" s="731" t="n">
        <v>0.91</v>
      </c>
      <c r="G1157" t="inlineStr">
        <is>
          <t>987萬</t>
        </is>
      </c>
      <c r="H1157" t="n">
        <v>365</v>
      </c>
      <c r="I1157" t="n">
        <v>405</v>
      </c>
      <c r="J1157" t="n">
        <v>7.25</v>
      </c>
      <c r="K1157" t="n">
        <v>27.9</v>
      </c>
      <c r="L1157" t="n">
        <v>26.9</v>
      </c>
      <c r="M1157" s="155" t="n">
        <v>0.5</v>
      </c>
      <c r="N1157" t="inlineStr">
        <is>
          <t>電競品牌廠</t>
        </is>
      </c>
    </row>
    <row r="1158">
      <c r="A1158" t="n">
        <v>3541</v>
      </c>
      <c r="B1158" t="inlineStr">
        <is>
          <t>西柏</t>
        </is>
      </c>
      <c r="C1158" t="n">
        <v>21.6</v>
      </c>
      <c r="D1158" t="n">
        <v>21.3</v>
      </c>
      <c r="E1158" s="730" t="n">
        <v>-0.6</v>
      </c>
      <c r="F1158" s="731" t="n">
        <v>-2.74</v>
      </c>
      <c r="G1158" t="inlineStr">
        <is>
          <t>709萬</t>
        </is>
      </c>
      <c r="H1158" t="n">
        <v>336</v>
      </c>
      <c r="I1158" t="n">
        <v>101</v>
      </c>
      <c r="J1158" t="n">
        <v>5.63</v>
      </c>
      <c r="K1158" t="n">
        <v>21.65</v>
      </c>
      <c r="L1158" t="n">
        <v>21.05</v>
      </c>
      <c r="M1158" s="155" t="n">
        <v>0.6</v>
      </c>
      <c r="N1158" t="inlineStr">
        <is>
          <t>台灣專業智慧型影音訊號產品製造商</t>
        </is>
      </c>
    </row>
    <row r="1159">
      <c r="A1159" t="n">
        <v>3543</v>
      </c>
      <c r="B1159" t="inlineStr">
        <is>
          <t>州巧</t>
        </is>
      </c>
      <c r="C1159" t="n">
        <v>36.3</v>
      </c>
      <c r="D1159" t="n">
        <v>35.85</v>
      </c>
      <c r="E1159" s="730" t="n">
        <v>-0.15</v>
      </c>
      <c r="F1159" s="731" t="n">
        <v>-0.42</v>
      </c>
      <c r="G1159" t="inlineStr">
        <is>
          <t>2169萬</t>
        </is>
      </c>
      <c r="H1159" t="n">
        <v>609</v>
      </c>
      <c r="I1159" t="n">
        <v>824</v>
      </c>
      <c r="J1159" t="n">
        <v>11.03</v>
      </c>
      <c r="K1159" t="n">
        <v>36.3</v>
      </c>
      <c r="L1159" t="n">
        <v>35.2</v>
      </c>
      <c r="M1159" s="155" t="n">
        <v>0.55</v>
      </c>
      <c r="N1159" t="inlineStr">
        <is>
          <t>專注LCD TV面板沖壓件製造商</t>
        </is>
      </c>
    </row>
    <row r="1160">
      <c r="A1160" t="n">
        <v>3545</v>
      </c>
      <c r="B1160" t="inlineStr">
        <is>
          <t>敦泰</t>
        </is>
      </c>
      <c r="C1160" t="n">
        <v>59.6</v>
      </c>
      <c r="D1160" t="n">
        <v>59.5</v>
      </c>
      <c r="E1160" s="730" t="n">
        <v>-0.1</v>
      </c>
      <c r="F1160" s="731" t="n">
        <v>-0.17</v>
      </c>
      <c r="G1160" t="inlineStr">
        <is>
          <t>1.50億</t>
        </is>
      </c>
      <c r="H1160" t="n">
        <v>2542</v>
      </c>
      <c r="I1160" t="n">
        <v>2658</v>
      </c>
      <c r="J1160" t="n">
        <v>22.11</v>
      </c>
      <c r="K1160" t="n">
        <v>60.7</v>
      </c>
      <c r="L1160" t="n">
        <v>57.8</v>
      </c>
      <c r="M1160" s="155" t="n">
        <v>1.15</v>
      </c>
      <c r="N1160" t="inlineStr">
        <is>
          <t>台灣中小尺寸LCD驅動IC廠</t>
        </is>
      </c>
    </row>
    <row r="1161">
      <c r="A1161" t="n">
        <v>3546</v>
      </c>
      <c r="B1161" t="inlineStr">
        <is>
          <t>宇峻</t>
        </is>
      </c>
      <c r="C1161" t="n">
        <v>82</v>
      </c>
      <c r="D1161" t="n">
        <v>83.8</v>
      </c>
      <c r="E1161" s="730" t="n">
        <v>2.1</v>
      </c>
      <c r="F1161" s="731" t="n">
        <v>2.57</v>
      </c>
      <c r="G1161" t="inlineStr">
        <is>
          <t>5018萬</t>
        </is>
      </c>
      <c r="H1161" t="n">
        <v>612</v>
      </c>
      <c r="I1161" t="n">
        <v>433</v>
      </c>
      <c r="J1161" t="n">
        <v>5.84</v>
      </c>
      <c r="K1161" t="n">
        <v>84</v>
      </c>
      <c r="L1161" t="n">
        <v>81.09999999999999</v>
      </c>
      <c r="M1161" s="155" t="n">
        <v>1.05</v>
      </c>
      <c r="N1161" t="inlineStr">
        <is>
          <t>台灣知名線上遊戲開發商</t>
        </is>
      </c>
    </row>
    <row r="1162">
      <c r="A1162" t="n">
        <v>3548</v>
      </c>
      <c r="B1162" t="inlineStr">
        <is>
          <t>兆利</t>
        </is>
      </c>
      <c r="C1162" t="n">
        <v>96.90000000000001</v>
      </c>
      <c r="D1162" t="n">
        <v>96</v>
      </c>
      <c r="E1162" s="730" t="n">
        <v>-0.5</v>
      </c>
      <c r="F1162" s="731" t="n">
        <v>-0.52</v>
      </c>
      <c r="G1162" t="inlineStr">
        <is>
          <t>3960萬</t>
        </is>
      </c>
      <c r="H1162" t="n">
        <v>415</v>
      </c>
      <c r="I1162" t="n">
        <v>604</v>
      </c>
      <c r="J1162" t="n">
        <v>6.77</v>
      </c>
      <c r="K1162" t="n">
        <v>97</v>
      </c>
      <c r="L1162" t="n">
        <v>93.59999999999999</v>
      </c>
      <c r="M1162" s="155" t="n">
        <v>0.61</v>
      </c>
      <c r="N1162" t="inlineStr">
        <is>
          <t>全球前三大NB樞紐生產商</t>
        </is>
      </c>
    </row>
    <row r="1163">
      <c r="A1163" t="n">
        <v>3550</v>
      </c>
      <c r="B1163" t="inlineStr">
        <is>
          <t>聯穎</t>
        </is>
      </c>
      <c r="C1163" t="n">
        <v>21.8</v>
      </c>
      <c r="D1163" t="n">
        <v>21</v>
      </c>
      <c r="E1163" s="730" t="n">
        <v>-0.45</v>
      </c>
      <c r="F1163" s="731" t="n">
        <v>-2.1</v>
      </c>
      <c r="G1163" t="inlineStr">
        <is>
          <t>5414萬</t>
        </is>
      </c>
      <c r="H1163" t="n">
        <v>2589</v>
      </c>
      <c r="I1163" t="n">
        <v>2518</v>
      </c>
      <c r="J1163" t="n">
        <v>10.76</v>
      </c>
      <c r="K1163" t="n">
        <v>21.8</v>
      </c>
      <c r="L1163" t="n">
        <v>20.45</v>
      </c>
      <c r="M1163" s="155" t="n">
        <v>2.41</v>
      </c>
      <c r="N1163" t="inlineStr">
        <is>
          <t>3C影音傳輸線材專業供應商</t>
        </is>
      </c>
    </row>
    <row r="1164">
      <c r="A1164" t="n">
        <v>3551</v>
      </c>
      <c r="B1164" t="inlineStr">
        <is>
          <t>世禾</t>
        </is>
      </c>
      <c r="C1164" t="n">
        <v>219</v>
      </c>
      <c r="D1164" t="n">
        <v>214.5</v>
      </c>
      <c r="E1164" s="730" t="n">
        <v>-4</v>
      </c>
      <c r="F1164" s="731" t="n">
        <v>-1.83</v>
      </c>
      <c r="G1164" t="inlineStr">
        <is>
          <t>3.53億</t>
        </is>
      </c>
      <c r="H1164" t="n">
        <v>1655</v>
      </c>
      <c r="I1164" t="n">
        <v>3372</v>
      </c>
      <c r="J1164" t="n">
        <v>6.23</v>
      </c>
      <c r="K1164" t="n">
        <v>219</v>
      </c>
      <c r="L1164" t="n">
        <v>210.5</v>
      </c>
      <c r="M1164" s="155" t="n">
        <v>2.66</v>
      </c>
      <c r="N1164" t="inlineStr">
        <is>
          <t>精密洗淨及再生處理加工的龍頭廠商</t>
        </is>
      </c>
    </row>
    <row r="1165">
      <c r="A1165" t="n">
        <v>3552</v>
      </c>
      <c r="B1165" t="inlineStr">
        <is>
          <t>同致</t>
        </is>
      </c>
      <c r="C1165" t="n">
        <v>54.2</v>
      </c>
      <c r="D1165" t="n">
        <v>53.8</v>
      </c>
      <c r="E1165" s="730" t="n">
        <v>-0.7</v>
      </c>
      <c r="F1165" s="731" t="n">
        <v>-1.28</v>
      </c>
      <c r="G1165" t="inlineStr">
        <is>
          <t>1463萬</t>
        </is>
      </c>
      <c r="H1165" t="n">
        <v>273</v>
      </c>
      <c r="I1165" t="n">
        <v>629</v>
      </c>
      <c r="J1165" t="n">
        <v>9.789999999999999</v>
      </c>
      <c r="K1165" t="n">
        <v>54.2</v>
      </c>
      <c r="L1165" t="n">
        <v>53.5</v>
      </c>
      <c r="M1165" s="155" t="n">
        <v>0.28</v>
      </c>
      <c r="N1165" t="inlineStr">
        <is>
          <t>全球知名倒車雷達大廠</t>
        </is>
      </c>
    </row>
    <row r="1166">
      <c r="A1166" t="n">
        <v>3555</v>
      </c>
      <c r="B1166" t="inlineStr">
        <is>
          <t>博士旺</t>
        </is>
      </c>
      <c r="C1166" t="n">
        <v>217</v>
      </c>
      <c r="D1166" t="n">
        <v>211.5</v>
      </c>
      <c r="E1166" s="730" t="n">
        <v>0.5</v>
      </c>
      <c r="F1166" s="731" t="n">
        <v>0.24</v>
      </c>
      <c r="G1166" t="inlineStr">
        <is>
          <t>3225萬</t>
        </is>
      </c>
      <c r="H1166" t="n">
        <v>152</v>
      </c>
      <c r="I1166" t="n">
        <v>272</v>
      </c>
      <c r="J1166" t="n">
        <v>4</v>
      </c>
      <c r="K1166" t="n">
        <v>218</v>
      </c>
      <c r="L1166" t="n">
        <v>208.5</v>
      </c>
      <c r="M1166" s="155" t="n">
        <v>0.38</v>
      </c>
      <c r="N1166" t="inlineStr">
        <is>
          <t>區塊鏈金融科技解決方案應用開發與相關專案委託開發</t>
        </is>
      </c>
    </row>
    <row r="1167">
      <c r="A1167" t="n">
        <v>3556</v>
      </c>
      <c r="B1167" t="inlineStr">
        <is>
          <t>禾瑞亞</t>
        </is>
      </c>
      <c r="C1167" t="n">
        <v>81</v>
      </c>
      <c r="D1167" t="n">
        <v>80.40000000000001</v>
      </c>
      <c r="E1167" s="730" t="n">
        <v>6.5</v>
      </c>
      <c r="F1167" s="731" t="n">
        <v>8.800000000000001</v>
      </c>
      <c r="G1167" t="inlineStr">
        <is>
          <t>8.47億</t>
        </is>
      </c>
      <c r="H1167" t="n">
        <v>10747</v>
      </c>
      <c r="I1167" t="n">
        <v>1481</v>
      </c>
      <c r="J1167" t="n">
        <v>6.37</v>
      </c>
      <c r="K1167" t="n">
        <v>81</v>
      </c>
      <c r="L1167" t="n">
        <v>75</v>
      </c>
      <c r="M1167" s="155" t="n">
        <v>16.87</v>
      </c>
      <c r="N1167" t="inlineStr">
        <is>
          <t>禾伸堂轉投資的觸控IC設計公司</t>
        </is>
      </c>
    </row>
    <row r="1168">
      <c r="A1168" t="n">
        <v>3557</v>
      </c>
      <c r="B1168" t="inlineStr">
        <is>
          <t>嘉威</t>
        </is>
      </c>
      <c r="C1168" t="n">
        <v>24</v>
      </c>
      <c r="D1168" t="n">
        <v>24.4</v>
      </c>
      <c r="E1168" s="730" t="n">
        <v>0.5</v>
      </c>
      <c r="F1168" s="731" t="n">
        <v>2.09</v>
      </c>
      <c r="G1168" t="inlineStr">
        <is>
          <t>178萬</t>
        </is>
      </c>
      <c r="H1168" t="n">
        <v>74</v>
      </c>
      <c r="I1168" t="n">
        <v>207</v>
      </c>
      <c r="J1168" t="n">
        <v>8.43</v>
      </c>
      <c r="K1168" t="n">
        <v>24.4</v>
      </c>
      <c r="L1168" t="n">
        <v>23.9</v>
      </c>
      <c r="M1168" s="155" t="n">
        <v>0.09</v>
      </c>
      <c r="N1168" t="inlineStr">
        <is>
          <t>家居餐飲用品生產及銷售商</t>
        </is>
      </c>
    </row>
    <row r="1169">
      <c r="A1169" t="n">
        <v>3558</v>
      </c>
      <c r="B1169" t="inlineStr">
        <is>
          <t>神準</t>
        </is>
      </c>
      <c r="C1169" t="n">
        <v>140.5</v>
      </c>
      <c r="D1169" t="n">
        <v>140</v>
      </c>
      <c r="E1169" s="730" t="n">
        <v>-0.5</v>
      </c>
      <c r="F1169" s="731" t="n">
        <v>-0.36</v>
      </c>
      <c r="G1169" t="inlineStr">
        <is>
          <t>5079萬</t>
        </is>
      </c>
      <c r="H1169" t="n">
        <v>368</v>
      </c>
      <c r="I1169" t="n">
        <v>1255</v>
      </c>
      <c r="J1169" t="n">
        <v>5.91</v>
      </c>
      <c r="K1169" t="n">
        <v>141</v>
      </c>
      <c r="L1169" t="n">
        <v>138</v>
      </c>
      <c r="M1169" s="155" t="n">
        <v>0.62</v>
      </c>
      <c r="N1169" t="inlineStr">
        <is>
          <t>神腦轉投資的網路通訊及網路安全設備廠</t>
        </is>
      </c>
    </row>
    <row r="1170">
      <c r="A1170" t="n">
        <v>3563</v>
      </c>
      <c r="B1170" t="inlineStr">
        <is>
          <t>牧德</t>
        </is>
      </c>
      <c r="C1170" t="n">
        <v>828</v>
      </c>
      <c r="D1170" t="n">
        <v>807</v>
      </c>
      <c r="E1170" s="730" t="n">
        <v>-18</v>
      </c>
      <c r="F1170" s="731" t="n">
        <v>-2.18</v>
      </c>
      <c r="G1170" t="inlineStr">
        <is>
          <t>7.19億</t>
        </is>
      </c>
      <c r="H1170" t="n">
        <v>890</v>
      </c>
      <c r="I1170" t="n">
        <v>1531</v>
      </c>
      <c r="J1170" t="n">
        <v>6.4</v>
      </c>
      <c r="K1170" t="n">
        <v>828</v>
      </c>
      <c r="L1170" t="n">
        <v>793</v>
      </c>
      <c r="M1170" s="155" t="n">
        <v>1.39</v>
      </c>
      <c r="N1170" t="inlineStr">
        <is>
          <t>台灣最大的PCB光學檢測設備供應商</t>
        </is>
      </c>
    </row>
    <row r="1171">
      <c r="A1171" t="n">
        <v>3564</v>
      </c>
      <c r="B1171" t="inlineStr">
        <is>
          <t>其陽</t>
        </is>
      </c>
      <c r="C1171" t="n">
        <v>55</v>
      </c>
      <c r="D1171" t="n">
        <v>57.6</v>
      </c>
      <c r="E1171" s="730" t="n">
        <v>5.2</v>
      </c>
      <c r="F1171" s="731" t="n">
        <v>9.92</v>
      </c>
      <c r="G1171" t="inlineStr">
        <is>
          <t>1.31億</t>
        </is>
      </c>
      <c r="H1171" t="n">
        <v>2306</v>
      </c>
      <c r="I1171" t="n">
        <v>664</v>
      </c>
      <c r="J1171" t="n">
        <v>5.91</v>
      </c>
      <c r="K1171" t="n">
        <v>57.6</v>
      </c>
      <c r="L1171" t="n">
        <v>54</v>
      </c>
      <c r="M1171" s="155" t="n">
        <v>3.9</v>
      </c>
      <c r="N1171" t="inlineStr">
        <is>
          <t>友通轉投資的網路安全設備廠</t>
        </is>
      </c>
    </row>
    <row r="1172">
      <c r="A1172" t="n">
        <v>3567</v>
      </c>
      <c r="B1172" t="inlineStr">
        <is>
          <t>逸昌</t>
        </is>
      </c>
      <c r="C1172" t="n">
        <v>29.35</v>
      </c>
      <c r="D1172" t="n">
        <v>29.25</v>
      </c>
      <c r="E1172" s="730" t="n">
        <v>-0.05</v>
      </c>
      <c r="F1172" s="731" t="n">
        <v>-0.17</v>
      </c>
      <c r="G1172" t="inlineStr">
        <is>
          <t>765萬</t>
        </is>
      </c>
      <c r="H1172" t="n">
        <v>264</v>
      </c>
      <c r="I1172" t="n">
        <v>192</v>
      </c>
      <c r="J1172" t="n">
        <v>3.4</v>
      </c>
      <c r="K1172" t="n">
        <v>29.35</v>
      </c>
      <c r="L1172" t="n">
        <v>28.5</v>
      </c>
      <c r="M1172" s="155" t="n">
        <v>0.78</v>
      </c>
      <c r="N1172" t="inlineStr">
        <is>
          <t>專注類比與混合訊號IC測試廠</t>
        </is>
      </c>
    </row>
    <row r="1173">
      <c r="A1173" t="n">
        <v>3570</v>
      </c>
      <c r="B1173" t="inlineStr">
        <is>
          <t>大塚</t>
        </is>
      </c>
      <c r="C1173" t="n">
        <v>181.5</v>
      </c>
      <c r="D1173" t="n">
        <v>182.5</v>
      </c>
      <c r="E1173" s="730" t="n">
        <v>3</v>
      </c>
      <c r="F1173" s="731" t="n">
        <v>1.67</v>
      </c>
      <c r="G1173" t="inlineStr">
        <is>
          <t>2609萬</t>
        </is>
      </c>
      <c r="H1173" t="n">
        <v>144</v>
      </c>
      <c r="I1173" t="n">
        <v>86</v>
      </c>
      <c r="J1173" t="n">
        <v>1.71</v>
      </c>
      <c r="K1173" t="n">
        <v>183</v>
      </c>
      <c r="L1173" t="n">
        <v>179.5</v>
      </c>
      <c r="M1173" s="155" t="n">
        <v>0.84</v>
      </c>
      <c r="N1173" t="inlineStr">
        <is>
          <t>工程繪圖CAD/CAM/CAE/CAID軟體代理商</t>
        </is>
      </c>
    </row>
    <row r="1174">
      <c r="A1174" t="n">
        <v>3576</v>
      </c>
      <c r="B1174" t="inlineStr">
        <is>
          <t>聯合再生</t>
        </is>
      </c>
      <c r="C1174" t="n">
        <v>18.5</v>
      </c>
      <c r="D1174" t="n">
        <v>18.2</v>
      </c>
      <c r="E1174" s="730" t="n">
        <v>-0.3</v>
      </c>
      <c r="F1174" s="731" t="n">
        <v>-1.62</v>
      </c>
      <c r="G1174" t="inlineStr">
        <is>
          <t>4.64億</t>
        </is>
      </c>
      <c r="H1174" t="n">
        <v>25805</v>
      </c>
      <c r="I1174" t="n">
        <v>27863</v>
      </c>
      <c r="J1174" t="n">
        <v>162.78</v>
      </c>
      <c r="K1174" t="n">
        <v>18.5</v>
      </c>
      <c r="L1174" t="n">
        <v>17.5</v>
      </c>
      <c r="M1174" s="155" t="n">
        <v>1.59</v>
      </c>
      <c r="N1174" t="inlineStr">
        <is>
          <t>台灣太陽能電池模組龍頭</t>
        </is>
      </c>
    </row>
    <row r="1175">
      <c r="A1175" t="n">
        <v>3577</v>
      </c>
      <c r="B1175" t="inlineStr">
        <is>
          <t>泓格</t>
        </is>
      </c>
      <c r="C1175" t="n">
        <v>152.5</v>
      </c>
      <c r="D1175" t="n">
        <v>145</v>
      </c>
      <c r="E1175" s="730" t="n">
        <v>-8</v>
      </c>
      <c r="F1175" s="731" t="n">
        <v>-5.23</v>
      </c>
      <c r="G1175" t="inlineStr">
        <is>
          <t>1.32億</t>
        </is>
      </c>
      <c r="H1175" t="n">
        <v>906</v>
      </c>
      <c r="I1175" t="n">
        <v>1862</v>
      </c>
      <c r="J1175" t="n">
        <v>6.4</v>
      </c>
      <c r="K1175" t="n">
        <v>152.5</v>
      </c>
      <c r="L1175" t="n">
        <v>142</v>
      </c>
      <c r="M1175" s="155" t="n">
        <v>1.42</v>
      </c>
      <c r="N1175" t="inlineStr">
        <is>
          <t>專攻PAC遠端控制器的IPC廠</t>
        </is>
      </c>
    </row>
    <row r="1176">
      <c r="A1176" t="n">
        <v>3580</v>
      </c>
      <c r="B1176" t="inlineStr">
        <is>
          <t>友威科</t>
        </is>
      </c>
      <c r="C1176" t="n">
        <v>113</v>
      </c>
      <c r="D1176" t="n">
        <v>108.5</v>
      </c>
      <c r="E1176" s="730" t="n">
        <v>-4.5</v>
      </c>
      <c r="F1176" s="731" t="n">
        <v>-3.98</v>
      </c>
      <c r="G1176" t="inlineStr">
        <is>
          <t>4.41億</t>
        </is>
      </c>
      <c r="H1176" t="n">
        <v>3965</v>
      </c>
      <c r="I1176" t="n">
        <v>3260</v>
      </c>
      <c r="J1176" t="n">
        <v>3.95</v>
      </c>
      <c r="K1176" t="n">
        <v>118</v>
      </c>
      <c r="L1176" t="n">
        <v>108</v>
      </c>
      <c r="M1176" s="155" t="n">
        <v>10.05</v>
      </c>
      <c r="N1176" t="inlineStr">
        <is>
          <t>台灣真空設備與真空濺鍍供應商</t>
        </is>
      </c>
    </row>
    <row r="1177">
      <c r="A1177" t="n">
        <v>3581</v>
      </c>
      <c r="B1177" t="inlineStr">
        <is>
          <t>博磊</t>
        </is>
      </c>
      <c r="C1177" t="n">
        <v>240</v>
      </c>
      <c r="D1177" t="n">
        <v>221.5</v>
      </c>
      <c r="E1177" s="730" t="n">
        <v>-22.5</v>
      </c>
      <c r="F1177" s="731" t="n">
        <v>-9.220000000000001</v>
      </c>
      <c r="G1177" t="inlineStr">
        <is>
          <t>3.60億</t>
        </is>
      </c>
      <c r="H1177" t="n">
        <v>1571</v>
      </c>
      <c r="I1177" t="n">
        <v>2306</v>
      </c>
      <c r="J1177" t="n">
        <v>5.1</v>
      </c>
      <c r="K1177" t="n">
        <v>250</v>
      </c>
      <c r="L1177" t="n">
        <v>220</v>
      </c>
      <c r="M1177" s="155" t="n">
        <v>3.08</v>
      </c>
      <c r="N1177" t="inlineStr">
        <is>
          <t>國內提供封裝測試設備及治具之專業製造商</t>
        </is>
      </c>
    </row>
    <row r="1178">
      <c r="A1178" t="n">
        <v>3583</v>
      </c>
      <c r="B1178" t="inlineStr">
        <is>
          <t>辛耘</t>
        </is>
      </c>
      <c r="C1178" t="n">
        <v>874</v>
      </c>
      <c r="D1178" t="n">
        <v>845</v>
      </c>
      <c r="E1178" s="730" t="n">
        <v>-22</v>
      </c>
      <c r="F1178" s="731" t="n">
        <v>-2.54</v>
      </c>
      <c r="G1178" t="inlineStr">
        <is>
          <t>14.7億</t>
        </is>
      </c>
      <c r="H1178" t="n">
        <v>1723</v>
      </c>
      <c r="I1178" t="n">
        <v>3031</v>
      </c>
      <c r="J1178" t="n">
        <v>8.029999999999999</v>
      </c>
      <c r="K1178" t="n">
        <v>882</v>
      </c>
      <c r="L1178" t="n">
        <v>835</v>
      </c>
      <c r="M1178" s="155" t="n">
        <v>2.14</v>
      </c>
      <c r="N1178" t="inlineStr">
        <is>
          <t>再生晶圓暨半導體設備廠</t>
        </is>
      </c>
    </row>
    <row r="1179">
      <c r="A1179" t="n">
        <v>3587</v>
      </c>
      <c r="B1179" t="inlineStr">
        <is>
          <t>閎康</t>
        </is>
      </c>
      <c r="C1179" t="n">
        <v>328</v>
      </c>
      <c r="D1179" t="n">
        <v>317</v>
      </c>
      <c r="E1179" s="730" t="n">
        <v>-6.5</v>
      </c>
      <c r="F1179" s="731" t="n">
        <v>-2.01</v>
      </c>
      <c r="G1179" t="inlineStr">
        <is>
          <t>4.14億</t>
        </is>
      </c>
      <c r="H1179" t="n">
        <v>1299</v>
      </c>
      <c r="I1179" t="n">
        <v>1410</v>
      </c>
      <c r="J1179" t="n">
        <v>7.12</v>
      </c>
      <c r="K1179" t="n">
        <v>330</v>
      </c>
      <c r="L1179" t="n">
        <v>311</v>
      </c>
      <c r="M1179" s="155" t="n">
        <v>1.87</v>
      </c>
      <c r="N1179" t="inlineStr">
        <is>
          <t>以材料分析為主之專業獨立實驗室</t>
        </is>
      </c>
    </row>
    <row r="1180">
      <c r="A1180" t="n">
        <v>3588</v>
      </c>
      <c r="B1180" t="inlineStr">
        <is>
          <t>通嘉</t>
        </is>
      </c>
      <c r="C1180" t="n">
        <v>64</v>
      </c>
      <c r="D1180" t="n">
        <v>63.9</v>
      </c>
      <c r="E1180" s="730" t="n">
        <v>0.3</v>
      </c>
      <c r="F1180" s="731" t="n">
        <v>0.47</v>
      </c>
      <c r="G1180" t="inlineStr">
        <is>
          <t>8408萬</t>
        </is>
      </c>
      <c r="H1180" t="n">
        <v>1302</v>
      </c>
      <c r="I1180" t="n">
        <v>880</v>
      </c>
      <c r="J1180" t="n">
        <v>6.2</v>
      </c>
      <c r="K1180" t="n">
        <v>68</v>
      </c>
      <c r="L1180" t="n">
        <v>61.8</v>
      </c>
      <c r="M1180" s="155" t="n">
        <v>2.1</v>
      </c>
      <c r="N1180" t="inlineStr">
        <is>
          <t>台灣少數跨AC/DC及DC/DC的電源管理IC設計廠商</t>
        </is>
      </c>
    </row>
    <row r="1181">
      <c r="A1181" t="n">
        <v>3591</v>
      </c>
      <c r="B1181" t="inlineStr">
        <is>
          <t>艾笛森</t>
        </is>
      </c>
      <c r="C1181" t="n">
        <v>25.9</v>
      </c>
      <c r="D1181" t="n">
        <v>24.9</v>
      </c>
      <c r="E1181" s="730" t="n">
        <v>-0.95</v>
      </c>
      <c r="F1181" s="731" t="n">
        <v>-3.68</v>
      </c>
      <c r="G1181" t="inlineStr">
        <is>
          <t>6455萬</t>
        </is>
      </c>
      <c r="H1181" t="n">
        <v>2612</v>
      </c>
      <c r="I1181" t="n">
        <v>1908</v>
      </c>
      <c r="J1181" t="n">
        <v>14.54</v>
      </c>
      <c r="K1181" t="n">
        <v>25.9</v>
      </c>
      <c r="L1181" t="n">
        <v>23.85</v>
      </c>
      <c r="M1181" s="155" t="n">
        <v>1.8</v>
      </c>
      <c r="N1181" t="inlineStr">
        <is>
          <t>台灣最大高功率LED產品設計製造廠商</t>
        </is>
      </c>
    </row>
    <row r="1182">
      <c r="A1182" t="n">
        <v>3592</v>
      </c>
      <c r="B1182" t="inlineStr">
        <is>
          <t>瑞鼎</t>
        </is>
      </c>
      <c r="C1182" t="n">
        <v>283</v>
      </c>
      <c r="D1182" t="n">
        <v>281.5</v>
      </c>
      <c r="E1182" s="730" t="n">
        <v>-3.5</v>
      </c>
      <c r="F1182" s="731" t="n">
        <v>-1.23</v>
      </c>
      <c r="G1182" t="inlineStr">
        <is>
          <t>1.93億</t>
        </is>
      </c>
      <c r="H1182" t="n">
        <v>686</v>
      </c>
      <c r="I1182" t="n">
        <v>1299</v>
      </c>
      <c r="J1182" t="n">
        <v>7.59</v>
      </c>
      <c r="K1182" t="n">
        <v>283</v>
      </c>
      <c r="L1182" t="n">
        <v>278</v>
      </c>
      <c r="M1182" s="155" t="n">
        <v>0.9</v>
      </c>
      <c r="N1182" t="inlineStr">
        <is>
          <t>友達集團旗下驅動IC設計公司</t>
        </is>
      </c>
    </row>
    <row r="1183">
      <c r="A1183" t="n">
        <v>3593</v>
      </c>
      <c r="B1183" t="inlineStr">
        <is>
          <t>力銘</t>
        </is>
      </c>
      <c r="C1183" t="n">
        <v>16.7</v>
      </c>
      <c r="D1183" t="n">
        <v>16.7</v>
      </c>
      <c r="E1183" s="730" t="n">
        <v>-0.15</v>
      </c>
      <c r="F1183" s="731" t="n">
        <v>-0.89</v>
      </c>
      <c r="G1183" t="inlineStr">
        <is>
          <t>37.9萬</t>
        </is>
      </c>
      <c r="H1183" t="n">
        <v>23</v>
      </c>
      <c r="I1183" t="n">
        <v>43</v>
      </c>
      <c r="J1183" t="n">
        <v>6.08</v>
      </c>
      <c r="K1183" t="n">
        <v>16.7</v>
      </c>
      <c r="L1183" t="n">
        <v>16.1</v>
      </c>
      <c r="M1183" s="155" t="n">
        <v>0.04</v>
      </c>
      <c r="N1183" t="inlineStr">
        <is>
          <t>台灣塑膠射出成型零組件廠</t>
        </is>
      </c>
    </row>
    <row r="1184">
      <c r="A1184" t="n">
        <v>3594</v>
      </c>
      <c r="B1184" t="inlineStr">
        <is>
          <t>磐儀</t>
        </is>
      </c>
      <c r="C1184" t="n">
        <v>51.9</v>
      </c>
      <c r="D1184" t="n">
        <v>49.95</v>
      </c>
      <c r="E1184" s="730" t="n">
        <v>-1.15</v>
      </c>
      <c r="F1184" s="731" t="n">
        <v>-2.25</v>
      </c>
      <c r="G1184" t="inlineStr">
        <is>
          <t>2518萬</t>
        </is>
      </c>
      <c r="H1184" t="n">
        <v>504</v>
      </c>
      <c r="I1184" t="n">
        <v>544</v>
      </c>
      <c r="J1184" t="n">
        <v>9.59</v>
      </c>
      <c r="K1184" t="n">
        <v>52</v>
      </c>
      <c r="L1184" t="n">
        <v>48.75</v>
      </c>
      <c r="M1184" s="155" t="n">
        <v>0.53</v>
      </c>
      <c r="N1184" t="inlineStr">
        <is>
          <t>專攻系統產品的工業電腦廠</t>
        </is>
      </c>
    </row>
    <row r="1185">
      <c r="A1185" t="n">
        <v>3596</v>
      </c>
      <c r="B1185" t="inlineStr">
        <is>
          <t>智易</t>
        </is>
      </c>
      <c r="C1185" t="n">
        <v>195</v>
      </c>
      <c r="D1185" t="n">
        <v>191.5</v>
      </c>
      <c r="E1185" s="730" t="n">
        <v>-2</v>
      </c>
      <c r="F1185" s="731" t="n">
        <v>-1.03</v>
      </c>
      <c r="G1185" t="inlineStr">
        <is>
          <t>3.40億</t>
        </is>
      </c>
      <c r="H1185" t="n">
        <v>1783</v>
      </c>
      <c r="I1185" t="n">
        <v>1942</v>
      </c>
      <c r="J1185" t="n">
        <v>22.04</v>
      </c>
      <c r="K1185" t="n">
        <v>195</v>
      </c>
      <c r="L1185" t="n">
        <v>189</v>
      </c>
      <c r="M1185" s="155" t="n">
        <v>0.8100000000000001</v>
      </c>
      <c r="N1185" t="inlineStr">
        <is>
          <t>仁寶集團旗下網通廠</t>
        </is>
      </c>
    </row>
    <row r="1186">
      <c r="A1186" t="n">
        <v>3597</v>
      </c>
      <c r="B1186" t="inlineStr">
        <is>
          <t>映興</t>
        </is>
      </c>
      <c r="C1186" t="n">
        <v>27.35</v>
      </c>
      <c r="D1186" t="n">
        <v>27.55</v>
      </c>
      <c r="E1186" s="730" t="n">
        <v>0.05</v>
      </c>
      <c r="F1186" s="731" t="n">
        <v>0.18</v>
      </c>
      <c r="G1186" t="inlineStr">
        <is>
          <t>335萬</t>
        </is>
      </c>
      <c r="H1186" t="n">
        <v>123</v>
      </c>
      <c r="I1186" t="n">
        <v>176</v>
      </c>
      <c r="J1186" t="n">
        <v>3.92</v>
      </c>
      <c r="K1186" t="n">
        <v>27.55</v>
      </c>
      <c r="L1186" t="n">
        <v>27.05</v>
      </c>
      <c r="M1186" s="155" t="n">
        <v>0.31</v>
      </c>
      <c r="N1186" t="inlineStr">
        <is>
          <t>台灣連接元件廠商</t>
        </is>
      </c>
    </row>
    <row r="1187">
      <c r="A1187" t="n">
        <v>3605</v>
      </c>
      <c r="B1187" t="inlineStr">
        <is>
          <t>宏致</t>
        </is>
      </c>
      <c r="C1187" t="n">
        <v>79.90000000000001</v>
      </c>
      <c r="D1187" t="n">
        <v>77.5</v>
      </c>
      <c r="E1187" s="730" t="n">
        <v>-1.7</v>
      </c>
      <c r="F1187" s="731" t="n">
        <v>-2.15</v>
      </c>
      <c r="G1187" t="inlineStr">
        <is>
          <t>2.29億</t>
        </is>
      </c>
      <c r="H1187" t="n">
        <v>2962</v>
      </c>
      <c r="I1187" t="n">
        <v>4155</v>
      </c>
      <c r="J1187" t="n">
        <v>17.47</v>
      </c>
      <c r="K1187" t="n">
        <v>79.90000000000001</v>
      </c>
      <c r="L1187" t="n">
        <v>76.09999999999999</v>
      </c>
      <c r="M1187" s="155" t="n">
        <v>1.69</v>
      </c>
      <c r="N1187" t="inlineStr">
        <is>
          <t>國內連接器及連接線組、配件製造商</t>
        </is>
      </c>
    </row>
    <row r="1188">
      <c r="A1188" t="n">
        <v>3607</v>
      </c>
      <c r="B1188" t="inlineStr">
        <is>
          <t>谷崧</t>
        </is>
      </c>
      <c r="C1188" t="n">
        <v>16.9</v>
      </c>
      <c r="D1188" t="n">
        <v>17.8</v>
      </c>
      <c r="E1188" s="730" t="n">
        <v>1.6</v>
      </c>
      <c r="F1188" s="731" t="n">
        <v>9.880000000000001</v>
      </c>
      <c r="G1188" t="inlineStr">
        <is>
          <t>3596萬</t>
        </is>
      </c>
      <c r="H1188" t="n">
        <v>2040</v>
      </c>
      <c r="I1188" t="n">
        <v>849</v>
      </c>
      <c r="J1188" t="n">
        <v>12.17</v>
      </c>
      <c r="K1188" t="n">
        <v>17.8</v>
      </c>
      <c r="L1188" t="n">
        <v>16.75</v>
      </c>
      <c r="M1188" s="155" t="n">
        <v>1.68</v>
      </c>
      <c r="N1188" t="inlineStr">
        <is>
          <t>為3C塑膠零組件製造廠</t>
        </is>
      </c>
    </row>
    <row r="1189">
      <c r="A1189" t="n">
        <v>3609</v>
      </c>
      <c r="B1189" t="inlineStr">
        <is>
          <t>三一東林</t>
        </is>
      </c>
      <c r="C1189" t="n">
        <v>29.5</v>
      </c>
      <c r="D1189" t="n">
        <v>28.75</v>
      </c>
      <c r="E1189" s="730" t="n">
        <v>-0.75</v>
      </c>
      <c r="F1189" s="731" t="n">
        <v>-2.54</v>
      </c>
      <c r="G1189" t="inlineStr">
        <is>
          <t>399萬</t>
        </is>
      </c>
      <c r="H1189" t="n">
        <v>138</v>
      </c>
      <c r="I1189" t="n">
        <v>439</v>
      </c>
      <c r="J1189" t="n">
        <v>3.84</v>
      </c>
      <c r="K1189" t="n">
        <v>29.5</v>
      </c>
      <c r="L1189" t="n">
        <v>28.6</v>
      </c>
      <c r="M1189" s="155" t="n">
        <v>0.36</v>
      </c>
      <c r="N1189" t="inlineStr">
        <is>
          <t>從事電光源驅動元件製造及汽車改裝銷售業務</t>
        </is>
      </c>
    </row>
    <row r="1190">
      <c r="A1190" t="n">
        <v>3611</v>
      </c>
      <c r="B1190" t="inlineStr">
        <is>
          <t>鼎翰</t>
        </is>
      </c>
      <c r="C1190" t="n">
        <v>192</v>
      </c>
      <c r="D1190" t="n">
        <v>191.5</v>
      </c>
      <c r="E1190" s="730" t="n">
        <v>-0.5</v>
      </c>
      <c r="F1190" s="731" t="n">
        <v>-0.26</v>
      </c>
      <c r="G1190" t="inlineStr">
        <is>
          <t>1302萬</t>
        </is>
      </c>
      <c r="H1190" t="n">
        <v>68</v>
      </c>
      <c r="I1190" t="n">
        <v>59</v>
      </c>
      <c r="J1190" t="n">
        <v>4.76</v>
      </c>
      <c r="K1190" t="n">
        <v>193</v>
      </c>
      <c r="L1190" t="n">
        <v>190</v>
      </c>
      <c r="M1190" s="155" t="n">
        <v>0.14</v>
      </c>
      <c r="N1190" t="inlineStr">
        <is>
          <t>台半轉投資的條碼印表機製造廠</t>
        </is>
      </c>
    </row>
    <row r="1191">
      <c r="A1191" t="n">
        <v>3615</v>
      </c>
      <c r="B1191" t="inlineStr">
        <is>
          <t>安可</t>
        </is>
      </c>
      <c r="C1191" t="n">
        <v>50.5</v>
      </c>
      <c r="D1191" t="n">
        <v>50.3</v>
      </c>
      <c r="E1191" s="730" t="n">
        <v>-0.4</v>
      </c>
      <c r="F1191" s="731" t="n">
        <v>-0.79</v>
      </c>
      <c r="G1191" t="inlineStr">
        <is>
          <t>3.29億</t>
        </is>
      </c>
      <c r="H1191" t="n">
        <v>6700</v>
      </c>
      <c r="I1191" t="n">
        <v>11212</v>
      </c>
      <c r="J1191" t="n">
        <v>6.85</v>
      </c>
      <c r="K1191" t="n">
        <v>51.4</v>
      </c>
      <c r="L1191" t="n">
        <v>46.35</v>
      </c>
      <c r="M1191" s="155" t="n">
        <v>9.789999999999999</v>
      </c>
      <c r="N1191" t="inlineStr">
        <is>
          <t>錸德轉投資的ITO導電玻璃專業鍍膜廠</t>
        </is>
      </c>
    </row>
    <row r="1192">
      <c r="A1192" t="n">
        <v>3617</v>
      </c>
      <c r="B1192" t="inlineStr">
        <is>
          <t>碩天</t>
        </is>
      </c>
      <c r="C1192" t="n">
        <v>214.5</v>
      </c>
      <c r="D1192" t="n">
        <v>212.5</v>
      </c>
      <c r="E1192" s="730" t="n">
        <v>0.5</v>
      </c>
      <c r="F1192" s="731" t="n">
        <v>0.24</v>
      </c>
      <c r="G1192" t="inlineStr">
        <is>
          <t>8482萬</t>
        </is>
      </c>
      <c r="H1192" t="n">
        <v>399</v>
      </c>
      <c r="I1192" t="n">
        <v>582</v>
      </c>
      <c r="J1192" t="n">
        <v>9.48</v>
      </c>
      <c r="K1192" t="n">
        <v>216</v>
      </c>
      <c r="L1192" t="n">
        <v>209</v>
      </c>
      <c r="M1192" s="155" t="n">
        <v>0.42</v>
      </c>
      <c r="N1192" t="inlineStr">
        <is>
          <t>北美地區UPS市場前三大品牌之一</t>
        </is>
      </c>
    </row>
    <row r="1193">
      <c r="A1193" t="n">
        <v>3622</v>
      </c>
      <c r="B1193" t="inlineStr">
        <is>
          <t>洋華</t>
        </is>
      </c>
      <c r="C1193" t="n">
        <v>58.8</v>
      </c>
      <c r="D1193" t="n">
        <v>58.4</v>
      </c>
      <c r="E1193" s="730" t="n">
        <v>0</v>
      </c>
      <c r="F1193" s="731" t="n">
        <v>0</v>
      </c>
      <c r="G1193" t="inlineStr">
        <is>
          <t>2747萬</t>
        </is>
      </c>
      <c r="H1193" t="n">
        <v>473</v>
      </c>
      <c r="I1193" t="n">
        <v>701</v>
      </c>
      <c r="J1193" t="n">
        <v>15.13</v>
      </c>
      <c r="K1193" t="n">
        <v>59</v>
      </c>
      <c r="L1193" t="n">
        <v>57</v>
      </c>
      <c r="M1193" s="155" t="n">
        <v>0.31</v>
      </c>
      <c r="N1193" t="inlineStr">
        <is>
          <t>台灣中小尺寸觸控面板廠</t>
        </is>
      </c>
    </row>
    <row r="1194">
      <c r="A1194" t="n">
        <v>3623</v>
      </c>
      <c r="B1194" t="inlineStr">
        <is>
          <t>富晶通</t>
        </is>
      </c>
      <c r="C1194" t="n">
        <v>23.8</v>
      </c>
      <c r="D1194" t="n">
        <v>24.25</v>
      </c>
      <c r="E1194" s="730" t="n">
        <v>1</v>
      </c>
      <c r="F1194" s="731" t="n">
        <v>4.3</v>
      </c>
      <c r="G1194" t="inlineStr">
        <is>
          <t>2619萬</t>
        </is>
      </c>
      <c r="H1194" t="n">
        <v>1045</v>
      </c>
      <c r="I1194" t="n">
        <v>78</v>
      </c>
      <c r="J1194" t="n">
        <v>2.92</v>
      </c>
      <c r="K1194" t="n">
        <v>25.55</v>
      </c>
      <c r="L1194" t="n">
        <v>23.7</v>
      </c>
      <c r="M1194" s="155" t="n">
        <v>3.58</v>
      </c>
      <c r="N1194" t="inlineStr">
        <is>
          <t>中環與富士通合資之觸控面板廠</t>
        </is>
      </c>
    </row>
    <row r="1195">
      <c r="A1195" t="n">
        <v>3624</v>
      </c>
      <c r="B1195" t="inlineStr">
        <is>
          <t>光頡</t>
        </is>
      </c>
      <c r="C1195" t="n">
        <v>107</v>
      </c>
      <c r="D1195" t="n">
        <v>122</v>
      </c>
      <c r="E1195" s="730" t="n">
        <v>9</v>
      </c>
      <c r="F1195" s="731" t="n">
        <v>7.96</v>
      </c>
      <c r="G1195" t="inlineStr">
        <is>
          <t>5.75億</t>
        </is>
      </c>
      <c r="H1195" t="n">
        <v>5330</v>
      </c>
      <c r="I1195" t="n">
        <v>6028</v>
      </c>
      <c r="J1195" t="n">
        <v>11.73</v>
      </c>
      <c r="K1195" t="n">
        <v>122</v>
      </c>
      <c r="L1195" t="n">
        <v>102</v>
      </c>
      <c r="M1195" s="155" t="n">
        <v>4.54</v>
      </c>
      <c r="N1195" t="inlineStr">
        <is>
          <t>利基型薄膜電阻廠</t>
        </is>
      </c>
    </row>
    <row r="1196">
      <c r="A1196" t="n">
        <v>3625</v>
      </c>
      <c r="B1196" t="inlineStr">
        <is>
          <t>西勝</t>
        </is>
      </c>
      <c r="C1196" t="n">
        <v>15.65</v>
      </c>
      <c r="D1196" t="n">
        <v>15.5</v>
      </c>
      <c r="E1196" s="730" t="n">
        <v>0</v>
      </c>
      <c r="F1196" s="731" t="n">
        <v>0</v>
      </c>
      <c r="G1196" t="inlineStr">
        <is>
          <t>758萬</t>
        </is>
      </c>
      <c r="H1196" t="n">
        <v>491</v>
      </c>
      <c r="I1196" t="n">
        <v>652</v>
      </c>
      <c r="J1196" t="n">
        <v>11.42</v>
      </c>
      <c r="K1196" t="n">
        <v>15.85</v>
      </c>
      <c r="L1196" t="n">
        <v>15.3</v>
      </c>
      <c r="M1196" s="155" t="n">
        <v>0.43</v>
      </c>
      <c r="N1196" t="inlineStr">
        <is>
          <t>筆電電池模組及充電器供應商</t>
        </is>
      </c>
    </row>
    <row r="1197">
      <c r="A1197" t="n">
        <v>3628</v>
      </c>
      <c r="B1197" t="inlineStr">
        <is>
          <t>盈正</t>
        </is>
      </c>
      <c r="C1197" t="n">
        <v>69.2</v>
      </c>
      <c r="D1197" t="n">
        <v>68.90000000000001</v>
      </c>
      <c r="E1197" s="730" t="n">
        <v>-0.3</v>
      </c>
      <c r="F1197" s="731" t="n">
        <v>-0.43</v>
      </c>
      <c r="G1197" t="inlineStr">
        <is>
          <t>1286萬</t>
        </is>
      </c>
      <c r="H1197" t="n">
        <v>187</v>
      </c>
      <c r="I1197" t="n">
        <v>165</v>
      </c>
      <c r="J1197" t="n">
        <v>4.5</v>
      </c>
      <c r="K1197" t="n">
        <v>70</v>
      </c>
      <c r="L1197" t="n">
        <v>68.09999999999999</v>
      </c>
      <c r="M1197" s="155" t="n">
        <v>0.42</v>
      </c>
      <c r="N1197" t="inlineStr">
        <is>
          <t>UPS設備製造商兼專案工程商</t>
        </is>
      </c>
    </row>
    <row r="1198">
      <c r="A1198" t="n">
        <v>3629</v>
      </c>
      <c r="B1198" t="inlineStr">
        <is>
          <t>地心引力</t>
        </is>
      </c>
      <c r="C1198" t="n">
        <v>15.9</v>
      </c>
      <c r="D1198" t="n">
        <v>16.4</v>
      </c>
      <c r="E1198" s="730" t="n">
        <v>-0.05</v>
      </c>
      <c r="F1198" s="731" t="n">
        <v>-0.3</v>
      </c>
      <c r="G1198" t="inlineStr">
        <is>
          <t>19.1萬</t>
        </is>
      </c>
      <c r="H1198" t="n">
        <v>12</v>
      </c>
      <c r="I1198" t="n">
        <v>13</v>
      </c>
      <c r="J1198" t="n">
        <v>3.3</v>
      </c>
      <c r="K1198" t="n">
        <v>16.4</v>
      </c>
      <c r="L1198" t="n">
        <v>15.7</v>
      </c>
      <c r="M1198" s="155" t="n">
        <v>0.04</v>
      </c>
      <c r="N1198" t="inlineStr">
        <is>
          <t>主要從事整合行銷公關服務</t>
        </is>
      </c>
    </row>
    <row r="1199">
      <c r="A1199" t="n">
        <v>3630</v>
      </c>
      <c r="B1199" t="inlineStr">
        <is>
          <t>新鉅科</t>
        </is>
      </c>
      <c r="C1199" t="n">
        <v>26.8</v>
      </c>
      <c r="D1199" t="n">
        <v>27.05</v>
      </c>
      <c r="E1199" s="730" t="n">
        <v>0.55</v>
      </c>
      <c r="F1199" s="731" t="n">
        <v>2.08</v>
      </c>
      <c r="G1199" t="inlineStr">
        <is>
          <t>2536萬</t>
        </is>
      </c>
      <c r="H1199" t="n">
        <v>949</v>
      </c>
      <c r="I1199" t="n">
        <v>712</v>
      </c>
      <c r="J1199" t="n">
        <v>20.42</v>
      </c>
      <c r="K1199" t="n">
        <v>27.2</v>
      </c>
      <c r="L1199" t="n">
        <v>26.2</v>
      </c>
      <c r="M1199" s="155" t="n">
        <v>0.46</v>
      </c>
      <c r="N1199" t="inlineStr">
        <is>
          <t>台灣感測鏡頭供應商</t>
        </is>
      </c>
    </row>
    <row r="1200">
      <c r="A1200" t="n">
        <v>3631</v>
      </c>
      <c r="B1200" t="inlineStr">
        <is>
          <t>晟楠</t>
        </is>
      </c>
      <c r="C1200" t="n">
        <v>36.3</v>
      </c>
      <c r="D1200" t="n">
        <v>34.9</v>
      </c>
      <c r="E1200" s="730" t="n">
        <v>-1.5</v>
      </c>
      <c r="F1200" s="731" t="n">
        <v>-4.12</v>
      </c>
      <c r="G1200" t="inlineStr">
        <is>
          <t>846萬</t>
        </is>
      </c>
      <c r="H1200" t="n">
        <v>240</v>
      </c>
      <c r="I1200" t="n">
        <v>202</v>
      </c>
      <c r="J1200" t="n">
        <v>8.18</v>
      </c>
      <c r="K1200" t="n">
        <v>36.4</v>
      </c>
      <c r="L1200" t="n">
        <v>34.35</v>
      </c>
      <c r="M1200" s="155" t="n">
        <v>0.29</v>
      </c>
      <c r="N1200" t="inlineStr">
        <is>
          <t>錫條、錫絲、錫膏及鉛助焊劑供應商</t>
        </is>
      </c>
    </row>
    <row r="1201">
      <c r="A1201" t="n">
        <v>3632</v>
      </c>
      <c r="B1201" t="inlineStr">
        <is>
          <t>研勤</t>
        </is>
      </c>
      <c r="C1201" t="n">
        <v>8.58</v>
      </c>
      <c r="D1201" t="n">
        <v>8.4</v>
      </c>
      <c r="E1201" s="730" t="n">
        <v>0.46</v>
      </c>
      <c r="F1201" s="731" t="n">
        <v>5.79</v>
      </c>
      <c r="G1201" t="inlineStr">
        <is>
          <t>12.4萬</t>
        </is>
      </c>
      <c r="H1201" t="n">
        <v>15</v>
      </c>
      <c r="I1201" t="n">
        <v>96</v>
      </c>
      <c r="J1201" t="n">
        <v>4.09</v>
      </c>
      <c r="K1201" t="n">
        <v>8.58</v>
      </c>
      <c r="L1201" t="n">
        <v>7.95</v>
      </c>
      <c r="M1201" s="155" t="n">
        <v>0.04</v>
      </c>
      <c r="N1201" t="inlineStr">
        <is>
          <t>以PAPAGO為品牌之行車紀錄器及導航軟體廠商</t>
        </is>
      </c>
    </row>
    <row r="1202">
      <c r="A1202" t="n">
        <v>3645</v>
      </c>
      <c r="B1202" t="inlineStr">
        <is>
          <t>達邁</t>
        </is>
      </c>
      <c r="C1202" t="n">
        <v>108</v>
      </c>
      <c r="D1202" t="n">
        <v>101.5</v>
      </c>
      <c r="E1202" s="730" t="n">
        <v>-5.5</v>
      </c>
      <c r="F1202" s="731" t="n">
        <v>-5.14</v>
      </c>
      <c r="G1202" t="inlineStr">
        <is>
          <t>5.40億</t>
        </is>
      </c>
      <c r="H1202" t="n">
        <v>5308</v>
      </c>
      <c r="I1202" t="n">
        <v>9556</v>
      </c>
      <c r="J1202" t="n">
        <v>13.68</v>
      </c>
      <c r="K1202" t="n">
        <v>108</v>
      </c>
      <c r="L1202" t="n">
        <v>99.3</v>
      </c>
      <c r="M1202" s="155" t="n">
        <v>3.88</v>
      </c>
      <c r="N1202" t="inlineStr">
        <is>
          <t>全球第四大聚醯亞胺薄膜生產廠商</t>
        </is>
      </c>
    </row>
    <row r="1203">
      <c r="A1203" t="n">
        <v>3646</v>
      </c>
      <c r="B1203" t="inlineStr">
        <is>
          <t>艾恩特</t>
        </is>
      </c>
      <c r="C1203" t="n">
        <v>23.5</v>
      </c>
      <c r="D1203" t="n">
        <v>23.6</v>
      </c>
      <c r="E1203" s="730" t="n">
        <v>0</v>
      </c>
      <c r="F1203" s="731" t="n">
        <v>0</v>
      </c>
      <c r="G1203" t="inlineStr">
        <is>
          <t>129萬</t>
        </is>
      </c>
      <c r="H1203" t="n">
        <v>55</v>
      </c>
      <c r="I1203" t="n">
        <v>36</v>
      </c>
      <c r="J1203" t="n">
        <v>3.93</v>
      </c>
      <c r="K1203" t="n">
        <v>23.6</v>
      </c>
      <c r="L1203" t="n">
        <v>23.4</v>
      </c>
      <c r="M1203" s="155" t="n">
        <v>0.14</v>
      </c>
      <c r="N1203" t="inlineStr">
        <is>
          <t>台灣工業及汽車用連接器製造廠</t>
        </is>
      </c>
    </row>
    <row r="1204">
      <c r="A1204" t="n">
        <v>3652</v>
      </c>
      <c r="B1204" t="inlineStr">
        <is>
          <t>精聯</t>
        </is>
      </c>
      <c r="C1204" t="n">
        <v>36.5</v>
      </c>
      <c r="D1204" t="n">
        <v>35.5</v>
      </c>
      <c r="E1204" s="730" t="n">
        <v>-0.9</v>
      </c>
      <c r="F1204" s="731" t="n">
        <v>-2.47</v>
      </c>
      <c r="G1204" t="inlineStr">
        <is>
          <t>1112萬</t>
        </is>
      </c>
      <c r="H1204" t="n">
        <v>314</v>
      </c>
      <c r="I1204" t="n">
        <v>569</v>
      </c>
      <c r="J1204" t="n">
        <v>7.51</v>
      </c>
      <c r="K1204" t="n">
        <v>36.5</v>
      </c>
      <c r="L1204" t="n">
        <v>34.9</v>
      </c>
      <c r="M1204" s="155" t="n">
        <v>0.42</v>
      </c>
      <c r="N1204" t="inlineStr">
        <is>
          <t>台灣條碼識別與自動資料收集設備(AIDC)領導品牌</t>
        </is>
      </c>
    </row>
    <row r="1205">
      <c r="A1205" t="n">
        <v>3653</v>
      </c>
      <c r="B1205" t="inlineStr">
        <is>
          <t>健策</t>
        </is>
      </c>
      <c r="C1205" t="n">
        <v>3995</v>
      </c>
      <c r="D1205" t="n">
        <v>3990</v>
      </c>
      <c r="E1205" s="730" t="n">
        <v>150</v>
      </c>
      <c r="F1205" s="731" t="n">
        <v>3.91</v>
      </c>
      <c r="G1205" t="inlineStr">
        <is>
          <t>110億</t>
        </is>
      </c>
      <c r="H1205" t="n">
        <v>2735</v>
      </c>
      <c r="I1205" t="n">
        <v>2158</v>
      </c>
      <c r="J1205" t="n">
        <v>14.67</v>
      </c>
      <c r="K1205" t="n">
        <v>4165</v>
      </c>
      <c r="L1205" t="n">
        <v>3880</v>
      </c>
      <c r="M1205" s="155" t="n">
        <v>1.86</v>
      </c>
      <c r="N1205" t="inlineStr">
        <is>
          <t>台灣均熱片兼LED導線架供應商</t>
        </is>
      </c>
    </row>
    <row r="1206">
      <c r="A1206" t="n">
        <v>3661</v>
      </c>
      <c r="B1206" t="inlineStr">
        <is>
          <t>世芯-KY</t>
        </is>
      </c>
      <c r="C1206" t="n">
        <v>4870</v>
      </c>
      <c r="D1206" t="n">
        <v>4575</v>
      </c>
      <c r="E1206" s="730" t="n">
        <v>-280</v>
      </c>
      <c r="F1206" s="731" t="n">
        <v>-5.77</v>
      </c>
      <c r="G1206" t="inlineStr">
        <is>
          <t>86.2億</t>
        </is>
      </c>
      <c r="H1206" t="n">
        <v>1859</v>
      </c>
      <c r="I1206" t="n">
        <v>2298</v>
      </c>
      <c r="J1206" t="n">
        <v>8.210000000000001</v>
      </c>
      <c r="K1206" t="n">
        <v>4870</v>
      </c>
      <c r="L1206" t="n">
        <v>4500</v>
      </c>
      <c r="M1206" s="155" t="n">
        <v>2.34</v>
      </c>
      <c r="N1206" t="inlineStr">
        <is>
          <t>全球ASIC及設計IP業者</t>
        </is>
      </c>
    </row>
    <row r="1207">
      <c r="A1207" t="n">
        <v>3663</v>
      </c>
      <c r="B1207" t="inlineStr">
        <is>
          <t>鑫科</t>
        </is>
      </c>
      <c r="C1207" t="n">
        <v>90.09999999999999</v>
      </c>
      <c r="D1207" t="n">
        <v>86.3</v>
      </c>
      <c r="E1207" s="730" t="n">
        <v>-3.2</v>
      </c>
      <c r="F1207" s="731" t="n">
        <v>-3.58</v>
      </c>
      <c r="G1207" t="inlineStr">
        <is>
          <t>4.00億</t>
        </is>
      </c>
      <c r="H1207" t="n">
        <v>4611</v>
      </c>
      <c r="I1207" t="n">
        <v>6173</v>
      </c>
      <c r="J1207" t="n">
        <v>10.85</v>
      </c>
      <c r="K1207" t="n">
        <v>91.40000000000001</v>
      </c>
      <c r="L1207" t="n">
        <v>84.40000000000001</v>
      </c>
      <c r="M1207" s="155" t="n">
        <v>4.25</v>
      </c>
      <c r="N1207" t="inlineStr">
        <is>
          <t>屬中鋼集團之台灣前兩大濺鍍靶材廠</t>
        </is>
      </c>
    </row>
    <row r="1208">
      <c r="A1208" t="n">
        <v>3664</v>
      </c>
      <c r="B1208" t="inlineStr">
        <is>
          <t>安瑞-KY</t>
        </is>
      </c>
      <c r="C1208" t="n">
        <v>8.300000000000001</v>
      </c>
      <c r="D1208" t="n">
        <v>7.75</v>
      </c>
      <c r="E1208" s="730" t="n">
        <v>-0.05</v>
      </c>
      <c r="F1208" s="731" t="n">
        <v>-0.64</v>
      </c>
      <c r="G1208" t="inlineStr">
        <is>
          <t>28.8萬</t>
        </is>
      </c>
      <c r="H1208" t="n">
        <v>37</v>
      </c>
      <c r="I1208" t="n">
        <v>34</v>
      </c>
      <c r="J1208" t="n">
        <v>7.19</v>
      </c>
      <c r="K1208" t="n">
        <v>8.300000000000001</v>
      </c>
      <c r="L1208" t="n">
        <v>7.75</v>
      </c>
      <c r="M1208" s="155" t="n">
        <v>0.05</v>
      </c>
      <c r="N1208" t="inlineStr">
        <is>
          <t>光聚晶電旗下雲端ADC設備廠</t>
        </is>
      </c>
    </row>
    <row r="1209">
      <c r="A1209" t="n">
        <v>3665</v>
      </c>
      <c r="B1209" t="inlineStr">
        <is>
          <t>貿聯-KY</t>
        </is>
      </c>
      <c r="C1209" t="n">
        <v>2110</v>
      </c>
      <c r="D1209" t="n">
        <v>2195</v>
      </c>
      <c r="E1209" s="730" t="n">
        <v>75</v>
      </c>
      <c r="F1209" s="731" t="n">
        <v>3.54</v>
      </c>
      <c r="G1209" t="inlineStr">
        <is>
          <t>37.7億</t>
        </is>
      </c>
      <c r="H1209" t="n">
        <v>1770</v>
      </c>
      <c r="I1209" t="n">
        <v>2247</v>
      </c>
      <c r="J1209" t="n">
        <v>19.51</v>
      </c>
      <c r="K1209" t="n">
        <v>2200</v>
      </c>
      <c r="L1209" t="n">
        <v>2095</v>
      </c>
      <c r="M1209" s="155" t="n">
        <v>0.91</v>
      </c>
      <c r="N1209" t="inlineStr">
        <is>
          <t>Tesla電池線束主力供應商</t>
        </is>
      </c>
    </row>
    <row r="1210">
      <c r="A1210" t="n">
        <v>3666</v>
      </c>
      <c r="B1210" t="inlineStr">
        <is>
          <t>光耀</t>
        </is>
      </c>
      <c r="C1210" t="n">
        <v>27.5</v>
      </c>
      <c r="D1210" t="n">
        <v>27.3</v>
      </c>
      <c r="E1210" s="730" t="n">
        <v>0.1</v>
      </c>
      <c r="F1210" s="731" t="n">
        <v>0.37</v>
      </c>
      <c r="G1210" t="inlineStr">
        <is>
          <t>210萬</t>
        </is>
      </c>
      <c r="H1210" t="n">
        <v>77</v>
      </c>
      <c r="I1210" t="n">
        <v>215</v>
      </c>
      <c r="J1210" t="n">
        <v>13.89</v>
      </c>
      <c r="K1210" t="n">
        <v>27.5</v>
      </c>
      <c r="L1210" t="n">
        <v>27.1</v>
      </c>
      <c r="M1210" s="155" t="n">
        <v>0.06</v>
      </c>
      <c r="N1210" t="inlineStr">
        <is>
          <t>為光群雷轉投資之聚光片廠</t>
        </is>
      </c>
    </row>
    <row r="1211">
      <c r="A1211" t="n">
        <v>3669</v>
      </c>
      <c r="B1211" t="inlineStr">
        <is>
          <t>圓展</t>
        </is>
      </c>
      <c r="C1211" t="n">
        <v>41.6</v>
      </c>
      <c r="D1211" t="n">
        <v>41.7</v>
      </c>
      <c r="E1211" s="730" t="n">
        <v>0.1</v>
      </c>
      <c r="F1211" s="731" t="n">
        <v>0.24</v>
      </c>
      <c r="G1211" t="inlineStr">
        <is>
          <t>3703萬</t>
        </is>
      </c>
      <c r="H1211" t="n">
        <v>885</v>
      </c>
      <c r="I1211" t="n">
        <v>354</v>
      </c>
      <c r="J1211" t="n">
        <v>9.289999999999999</v>
      </c>
      <c r="K1211" t="n">
        <v>42.9</v>
      </c>
      <c r="L1211" t="n">
        <v>40.5</v>
      </c>
      <c r="M1211" s="155" t="n">
        <v>0.95</v>
      </c>
      <c r="N1211" t="inlineStr">
        <is>
          <t>圓剛轉投資之視訊會議與教學簡報系統供應商</t>
        </is>
      </c>
    </row>
    <row r="1212">
      <c r="A1212" t="n">
        <v>3672</v>
      </c>
      <c r="B1212" t="inlineStr">
        <is>
          <t>康聯訊</t>
        </is>
      </c>
      <c r="C1212" t="n">
        <v>11</v>
      </c>
      <c r="D1212" t="n">
        <v>11.2</v>
      </c>
      <c r="E1212" s="730" t="n">
        <v>0</v>
      </c>
      <c r="F1212" s="731" t="n">
        <v>0</v>
      </c>
      <c r="G1212" t="inlineStr">
        <is>
          <t>3.34萬</t>
        </is>
      </c>
      <c r="H1212" t="n">
        <v>3</v>
      </c>
      <c r="I1212" t="n">
        <v>57</v>
      </c>
      <c r="J1212" t="n">
        <v>4.08</v>
      </c>
      <c r="K1212" t="n">
        <v>11.2</v>
      </c>
      <c r="L1212" t="n">
        <v>11</v>
      </c>
      <c r="M1212" s="155" t="n">
        <v>0.01</v>
      </c>
      <c r="N1212" t="inlineStr">
        <is>
          <t>台灣光纖網路設備製造商</t>
        </is>
      </c>
    </row>
    <row r="1213">
      <c r="A1213" t="n">
        <v>3673</v>
      </c>
      <c r="B1213" t="inlineStr">
        <is>
          <t>TPK-KY</t>
        </is>
      </c>
      <c r="C1213" t="n">
        <v>88</v>
      </c>
      <c r="D1213" t="n">
        <v>92</v>
      </c>
      <c r="E1213" s="730" t="n">
        <v>2.5</v>
      </c>
      <c r="F1213" s="731" t="n">
        <v>2.79</v>
      </c>
      <c r="G1213" t="inlineStr">
        <is>
          <t>43.7億</t>
        </is>
      </c>
      <c r="H1213" t="n">
        <v>49578</v>
      </c>
      <c r="I1213" t="n">
        <v>44364</v>
      </c>
      <c r="J1213" t="n">
        <v>40.67</v>
      </c>
      <c r="K1213" t="n">
        <v>92.40000000000001</v>
      </c>
      <c r="L1213" t="n">
        <v>83.3</v>
      </c>
      <c r="M1213" s="155" t="n">
        <v>12.19</v>
      </c>
      <c r="N1213" t="inlineStr">
        <is>
          <t>全球最大玻璃投射電容觸控模組廠</t>
        </is>
      </c>
    </row>
    <row r="1214">
      <c r="A1214" t="n">
        <v>3675</v>
      </c>
      <c r="B1214" t="inlineStr">
        <is>
          <t>德微</t>
        </is>
      </c>
      <c r="C1214" t="n">
        <v>365</v>
      </c>
      <c r="D1214" t="n">
        <v>370.5</v>
      </c>
      <c r="E1214" s="730" t="n">
        <v>-1.5</v>
      </c>
      <c r="F1214" s="731" t="n">
        <v>-0.4</v>
      </c>
      <c r="G1214" t="inlineStr">
        <is>
          <t>4.49億</t>
        </is>
      </c>
      <c r="H1214" t="n">
        <v>1269</v>
      </c>
      <c r="I1214" t="n">
        <v>1487</v>
      </c>
      <c r="J1214" t="n">
        <v>5.31</v>
      </c>
      <c r="K1214" t="n">
        <v>370.5</v>
      </c>
      <c r="L1214" t="n">
        <v>338</v>
      </c>
      <c r="M1214" s="155" t="n">
        <v>2.39</v>
      </c>
      <c r="N1214" t="inlineStr">
        <is>
          <t>台灣整流二極體供應商</t>
        </is>
      </c>
    </row>
    <row r="1215">
      <c r="A1215" t="n">
        <v>3679</v>
      </c>
      <c r="B1215" t="inlineStr">
        <is>
          <t>新至陞</t>
        </is>
      </c>
      <c r="C1215" t="n">
        <v>124</v>
      </c>
      <c r="D1215" t="n">
        <v>125</v>
      </c>
      <c r="E1215" s="730" t="n">
        <v>0.5</v>
      </c>
      <c r="F1215" s="731" t="n">
        <v>0.4</v>
      </c>
      <c r="G1215" t="inlineStr">
        <is>
          <t>2829萬</t>
        </is>
      </c>
      <c r="H1215" t="n">
        <v>226</v>
      </c>
      <c r="I1215" t="n">
        <v>101</v>
      </c>
      <c r="J1215" t="n">
        <v>6.3</v>
      </c>
      <c r="K1215" t="n">
        <v>126.5</v>
      </c>
      <c r="L1215" t="n">
        <v>123</v>
      </c>
      <c r="M1215" s="155" t="n">
        <v>0.36</v>
      </c>
      <c r="N1215" t="inlineStr">
        <is>
          <t>為塑膠模具設計及射出廠商</t>
        </is>
      </c>
    </row>
    <row r="1216">
      <c r="A1216" t="n">
        <v>3680</v>
      </c>
      <c r="B1216" t="inlineStr">
        <is>
          <t>家登</t>
        </is>
      </c>
      <c r="C1216" t="n">
        <v>543</v>
      </c>
      <c r="D1216" t="n">
        <v>527</v>
      </c>
      <c r="E1216" s="730" t="n">
        <v>-9</v>
      </c>
      <c r="F1216" s="731" t="n">
        <v>-1.68</v>
      </c>
      <c r="G1216" t="inlineStr">
        <is>
          <t>10.1億</t>
        </is>
      </c>
      <c r="H1216" t="n">
        <v>1911</v>
      </c>
      <c r="I1216" t="n">
        <v>2489</v>
      </c>
      <c r="J1216" t="n">
        <v>9.6</v>
      </c>
      <c r="K1216" t="n">
        <v>544</v>
      </c>
      <c r="L1216" t="n">
        <v>515</v>
      </c>
      <c r="M1216" s="155" t="n">
        <v>1.99</v>
      </c>
      <c r="N1216" t="inlineStr">
        <is>
          <t>全球第一大半導體光罩載具廠</t>
        </is>
      </c>
    </row>
    <row r="1217">
      <c r="A1217" t="n">
        <v>3684</v>
      </c>
      <c r="B1217" t="inlineStr">
        <is>
          <t>榮昌</t>
        </is>
      </c>
      <c r="C1217" t="n">
        <v>59.3</v>
      </c>
      <c r="D1217" t="n">
        <v>59.1</v>
      </c>
      <c r="E1217" s="730" t="n">
        <v>-0.6</v>
      </c>
      <c r="F1217" s="731" t="n">
        <v>-1.01</v>
      </c>
      <c r="G1217" t="inlineStr">
        <is>
          <t>212萬</t>
        </is>
      </c>
      <c r="H1217" t="n">
        <v>36</v>
      </c>
      <c r="I1217" t="n">
        <v>115</v>
      </c>
      <c r="J1217" t="n">
        <v>3.03</v>
      </c>
      <c r="K1217" t="n">
        <v>59.6</v>
      </c>
      <c r="L1217" t="n">
        <v>58.7</v>
      </c>
      <c r="M1217" s="155" t="n">
        <v>0.12</v>
      </c>
      <c r="N1217" t="inlineStr">
        <is>
          <t>高頻連接線及無線通訊整合次系統廠商</t>
        </is>
      </c>
    </row>
    <row r="1218">
      <c r="A1218" t="n">
        <v>3685</v>
      </c>
      <c r="B1218" t="inlineStr">
        <is>
          <t>元創精密</t>
        </is>
      </c>
      <c r="C1218" t="n">
        <v>27.8</v>
      </c>
      <c r="D1218" t="n">
        <v>26.7</v>
      </c>
      <c r="E1218" s="730" t="n">
        <v>-1.1</v>
      </c>
      <c r="F1218" s="731" t="n">
        <v>-3.96</v>
      </c>
      <c r="G1218" t="inlineStr">
        <is>
          <t>1079萬</t>
        </is>
      </c>
      <c r="H1218" t="n">
        <v>401</v>
      </c>
      <c r="I1218" t="n">
        <v>363</v>
      </c>
      <c r="J1218" t="n">
        <v>7.96</v>
      </c>
      <c r="K1218" t="n">
        <v>27.8</v>
      </c>
      <c r="L1218" t="n">
        <v>26.55</v>
      </c>
      <c r="M1218" s="155" t="n">
        <v>0.5</v>
      </c>
      <c r="N1218" t="inlineStr">
        <is>
          <t>車用導光板及沖焊零件供應商</t>
        </is>
      </c>
    </row>
    <row r="1219">
      <c r="A1219" t="n">
        <v>3686</v>
      </c>
      <c r="B1219" t="inlineStr">
        <is>
          <t>達能</t>
        </is>
      </c>
      <c r="C1219" t="n">
        <v>17.7</v>
      </c>
      <c r="D1219" t="n">
        <v>17.25</v>
      </c>
      <c r="E1219" s="730" t="n">
        <v>-0.35</v>
      </c>
      <c r="F1219" s="731" t="n">
        <v>-1.99</v>
      </c>
      <c r="G1219" t="inlineStr">
        <is>
          <t>1357萬</t>
        </is>
      </c>
      <c r="H1219" t="n">
        <v>800</v>
      </c>
      <c r="I1219" t="n">
        <v>328</v>
      </c>
      <c r="J1219" t="n">
        <v>7.65</v>
      </c>
      <c r="K1219" t="n">
        <v>17.7</v>
      </c>
      <c r="L1219" t="n">
        <v>16.7</v>
      </c>
      <c r="M1219" s="155" t="n">
        <v>1.05</v>
      </c>
      <c r="N1219" t="inlineStr">
        <is>
          <t>轉型發展太陽能EPC業務、記憶體通路</t>
        </is>
      </c>
    </row>
    <row r="1220">
      <c r="A1220" t="n">
        <v>3687</v>
      </c>
      <c r="B1220" t="inlineStr">
        <is>
          <t>歐買尬</t>
        </is>
      </c>
      <c r="C1220" t="n">
        <v>75.90000000000001</v>
      </c>
      <c r="D1220" t="n">
        <v>74.59999999999999</v>
      </c>
      <c r="E1220" s="730" t="n">
        <v>-1.8</v>
      </c>
      <c r="F1220" s="731" t="n">
        <v>-2.36</v>
      </c>
      <c r="G1220" t="inlineStr">
        <is>
          <t>2214萬</t>
        </is>
      </c>
      <c r="H1220" t="n">
        <v>297</v>
      </c>
      <c r="I1220" t="n">
        <v>488</v>
      </c>
      <c r="J1220" t="n">
        <v>3.01</v>
      </c>
      <c r="K1220" t="n">
        <v>75.90000000000001</v>
      </c>
      <c r="L1220" t="n">
        <v>73.90000000000001</v>
      </c>
      <c r="M1220" s="155" t="n">
        <v>0.99</v>
      </c>
      <c r="N1220" t="inlineStr">
        <is>
          <t>第三方金流服務及遊戲代理商</t>
        </is>
      </c>
    </row>
    <row r="1221">
      <c r="A1221" t="n">
        <v>3689</v>
      </c>
      <c r="B1221" t="inlineStr">
        <is>
          <t>湧德</t>
        </is>
      </c>
      <c r="C1221" t="n">
        <v>138</v>
      </c>
      <c r="D1221" t="n">
        <v>136</v>
      </c>
      <c r="E1221" s="730" t="n">
        <v>-1.5</v>
      </c>
      <c r="F1221" s="731" t="n">
        <v>-1.09</v>
      </c>
      <c r="G1221" t="inlineStr">
        <is>
          <t>5.16億</t>
        </is>
      </c>
      <c r="H1221" t="n">
        <v>3815</v>
      </c>
      <c r="I1221" t="n">
        <v>6980</v>
      </c>
      <c r="J1221" t="n">
        <v>8.94</v>
      </c>
      <c r="K1221" t="n">
        <v>138.5</v>
      </c>
      <c r="L1221" t="n">
        <v>133</v>
      </c>
      <c r="M1221" s="155" t="n">
        <v>4.27</v>
      </c>
      <c r="N1221" t="inlineStr">
        <is>
          <t>主要生產DT、網通及消費電子用連接器</t>
        </is>
      </c>
    </row>
    <row r="1222">
      <c r="A1222" t="n">
        <v>3691</v>
      </c>
      <c r="B1222" t="inlineStr">
        <is>
          <t>碩禾</t>
        </is>
      </c>
      <c r="C1222" t="n">
        <v>173</v>
      </c>
      <c r="D1222" t="n">
        <v>159</v>
      </c>
      <c r="E1222" s="730" t="n">
        <v>-10.5</v>
      </c>
      <c r="F1222" s="731" t="n">
        <v>-6.19</v>
      </c>
      <c r="G1222" t="inlineStr">
        <is>
          <t>8.89億</t>
        </is>
      </c>
      <c r="H1222" t="n">
        <v>5446</v>
      </c>
      <c r="I1222" t="n">
        <v>5056</v>
      </c>
      <c r="J1222" t="n">
        <v>9.19</v>
      </c>
      <c r="K1222" t="n">
        <v>173</v>
      </c>
      <c r="L1222" t="n">
        <v>155</v>
      </c>
      <c r="M1222" s="155" t="n">
        <v>5.93</v>
      </c>
      <c r="N1222" t="inlineStr">
        <is>
          <t>國碩轉投資太陽能導電漿大廠</t>
        </is>
      </c>
    </row>
    <row r="1223">
      <c r="A1223" t="n">
        <v>3693</v>
      </c>
      <c r="B1223" t="inlineStr">
        <is>
          <t>營邦</t>
        </is>
      </c>
      <c r="C1223" t="n">
        <v>655</v>
      </c>
      <c r="D1223" t="n">
        <v>598</v>
      </c>
      <c r="E1223" s="730" t="n">
        <v>-34</v>
      </c>
      <c r="F1223" s="731" t="n">
        <v>-5.38</v>
      </c>
      <c r="G1223" t="inlineStr">
        <is>
          <t>19.7億</t>
        </is>
      </c>
      <c r="H1223" t="n">
        <v>3160</v>
      </c>
      <c r="I1223" t="n">
        <v>1516</v>
      </c>
      <c r="J1223" t="n">
        <v>4.3</v>
      </c>
      <c r="K1223" t="n">
        <v>656</v>
      </c>
      <c r="L1223" t="n">
        <v>593</v>
      </c>
      <c r="M1223" s="155" t="n">
        <v>7.35</v>
      </c>
      <c r="N1223" t="inlineStr">
        <is>
          <t>台灣伺服器機箱兼系統平台服務商</t>
        </is>
      </c>
    </row>
    <row r="1224">
      <c r="A1224" t="n">
        <v>3694</v>
      </c>
      <c r="B1224" t="inlineStr">
        <is>
          <t>海華</t>
        </is>
      </c>
      <c r="C1224" t="n">
        <v>68.90000000000001</v>
      </c>
      <c r="D1224" t="n">
        <v>69.09999999999999</v>
      </c>
      <c r="E1224" s="730" t="n">
        <v>0.2</v>
      </c>
      <c r="F1224" s="731" t="n">
        <v>0.29</v>
      </c>
      <c r="G1224" t="inlineStr">
        <is>
          <t>1.38億</t>
        </is>
      </c>
      <c r="H1224" t="n">
        <v>2025</v>
      </c>
      <c r="I1224" t="n">
        <v>2790</v>
      </c>
      <c r="J1224" t="n">
        <v>15.49</v>
      </c>
      <c r="K1224" t="n">
        <v>69.8</v>
      </c>
      <c r="L1224" t="n">
        <v>66.90000000000001</v>
      </c>
      <c r="M1224" s="155" t="n">
        <v>1.31</v>
      </c>
      <c r="N1224" t="inlineStr">
        <is>
          <t>和碩旗下無線通訊模組廠</t>
        </is>
      </c>
    </row>
    <row r="1225">
      <c r="A1225" t="n">
        <v>3701</v>
      </c>
      <c r="B1225" t="inlineStr">
        <is>
          <t>大眾控</t>
        </is>
      </c>
      <c r="C1225" t="n">
        <v>56.3</v>
      </c>
      <c r="D1225" t="n">
        <v>56.6</v>
      </c>
      <c r="E1225" s="730" t="n">
        <v>0.9</v>
      </c>
      <c r="F1225" s="731" t="n">
        <v>1.62</v>
      </c>
      <c r="G1225" t="inlineStr">
        <is>
          <t>1.01億</t>
        </is>
      </c>
      <c r="H1225" t="n">
        <v>1817</v>
      </c>
      <c r="I1225" t="n">
        <v>1921</v>
      </c>
      <c r="J1225" t="n">
        <v>23.67</v>
      </c>
      <c r="K1225" t="n">
        <v>56.9</v>
      </c>
      <c r="L1225" t="n">
        <v>53.9</v>
      </c>
      <c r="M1225" s="155" t="n">
        <v>0.77</v>
      </c>
      <c r="N1225" t="inlineStr">
        <is>
          <t>轉投資製造工程、設計製造及系統整合等產業</t>
        </is>
      </c>
    </row>
    <row r="1226">
      <c r="A1226" t="n">
        <v>3702</v>
      </c>
      <c r="B1226" t="inlineStr">
        <is>
          <t>大聯大</t>
        </is>
      </c>
      <c r="C1226" t="n">
        <v>118.5</v>
      </c>
      <c r="D1226" t="n">
        <v>119</v>
      </c>
      <c r="E1226" s="730" t="n">
        <v>0.5</v>
      </c>
      <c r="F1226" s="731" t="n">
        <v>0.42</v>
      </c>
      <c r="G1226" t="inlineStr">
        <is>
          <t>18.4億</t>
        </is>
      </c>
      <c r="H1226" t="n">
        <v>15594</v>
      </c>
      <c r="I1226" t="n">
        <v>10047</v>
      </c>
      <c r="J1226" t="n">
        <v>168.23</v>
      </c>
      <c r="K1226" t="n">
        <v>119.5</v>
      </c>
      <c r="L1226" t="n">
        <v>115.5</v>
      </c>
      <c r="M1226" s="155" t="n">
        <v>0.93</v>
      </c>
      <c r="N1226" t="inlineStr">
        <is>
          <t>全球暨亞太區第一大的半導體零組件通路商</t>
        </is>
      </c>
    </row>
    <row r="1227">
      <c r="A1227" t="n">
        <v>3703</v>
      </c>
      <c r="B1227" t="inlineStr">
        <is>
          <t>欣陸</t>
        </is>
      </c>
      <c r="C1227" t="n">
        <v>20.45</v>
      </c>
      <c r="D1227" t="n">
        <v>20.7</v>
      </c>
      <c r="E1227" s="730" t="n">
        <v>0.3</v>
      </c>
      <c r="F1227" s="731" t="n">
        <v>1.47</v>
      </c>
      <c r="G1227" t="inlineStr">
        <is>
          <t>1906萬</t>
        </is>
      </c>
      <c r="H1227" t="n">
        <v>924</v>
      </c>
      <c r="I1227" t="n">
        <v>1967</v>
      </c>
      <c r="J1227" t="n">
        <v>82.31999999999999</v>
      </c>
      <c r="K1227" t="n">
        <v>20.85</v>
      </c>
      <c r="L1227" t="n">
        <v>20.35</v>
      </c>
      <c r="M1227" s="155" t="n">
        <v>0.11</v>
      </c>
      <c r="N1227" t="inlineStr">
        <is>
          <t>由大陸建設換股成立之建設、營造控股公司</t>
        </is>
      </c>
    </row>
    <row r="1228">
      <c r="A1228" t="n">
        <v>3704</v>
      </c>
      <c r="B1228" t="inlineStr">
        <is>
          <t>合勤控</t>
        </is>
      </c>
      <c r="C1228" t="n">
        <v>47</v>
      </c>
      <c r="D1228" t="n">
        <v>48</v>
      </c>
      <c r="E1228" s="730" t="n">
        <v>1.2</v>
      </c>
      <c r="F1228" s="731" t="n">
        <v>2.56</v>
      </c>
      <c r="G1228" t="inlineStr">
        <is>
          <t>3.46億</t>
        </is>
      </c>
      <c r="H1228" t="n">
        <v>7299</v>
      </c>
      <c r="I1228" t="n">
        <v>7607</v>
      </c>
      <c r="J1228" t="n">
        <v>41.54</v>
      </c>
      <c r="K1228" t="n">
        <v>48.3</v>
      </c>
      <c r="L1228" t="n">
        <v>46.6</v>
      </c>
      <c r="M1228" s="155" t="n">
        <v>1.76</v>
      </c>
      <c r="N1228" t="inlineStr">
        <is>
          <t>兼營品牌「ZyXEL」與代工業務之網通設備廠</t>
        </is>
      </c>
    </row>
    <row r="1229">
      <c r="A1229" t="n">
        <v>3705</v>
      </c>
      <c r="B1229" t="inlineStr">
        <is>
          <t>永信</t>
        </is>
      </c>
      <c r="C1229" t="n">
        <v>55.9</v>
      </c>
      <c r="D1229" t="n">
        <v>56.3</v>
      </c>
      <c r="E1229" s="730" t="n">
        <v>0.3</v>
      </c>
      <c r="F1229" s="731" t="n">
        <v>0.54</v>
      </c>
      <c r="G1229" t="inlineStr">
        <is>
          <t>763萬</t>
        </is>
      </c>
      <c r="H1229" t="n">
        <v>136</v>
      </c>
      <c r="I1229" t="n">
        <v>223</v>
      </c>
      <c r="J1229" t="n">
        <v>26.64</v>
      </c>
      <c r="K1229" t="n">
        <v>56.4</v>
      </c>
      <c r="L1229" t="n">
        <v>55.8</v>
      </c>
      <c r="M1229" s="155" t="n">
        <v>0.05</v>
      </c>
      <c r="N1229" t="inlineStr">
        <is>
          <t>台灣人用學名藥與動物用藥之龍頭企業</t>
        </is>
      </c>
    </row>
    <row r="1230">
      <c r="A1230" t="n">
        <v>3706</v>
      </c>
      <c r="B1230" t="inlineStr">
        <is>
          <t>神達</t>
        </is>
      </c>
      <c r="C1230" t="n">
        <v>94.5</v>
      </c>
      <c r="D1230" t="n">
        <v>95.2</v>
      </c>
      <c r="E1230" s="730" t="n">
        <v>1.7</v>
      </c>
      <c r="F1230" s="731" t="n">
        <v>1.82</v>
      </c>
      <c r="G1230" t="inlineStr">
        <is>
          <t>64.2億</t>
        </is>
      </c>
      <c r="H1230" t="n">
        <v>68063</v>
      </c>
      <c r="I1230" t="n">
        <v>35980</v>
      </c>
      <c r="J1230" t="n">
        <v>132.72</v>
      </c>
      <c r="K1230" t="n">
        <v>97.3</v>
      </c>
      <c r="L1230" t="n">
        <v>91.59999999999999</v>
      </c>
      <c r="M1230" s="155" t="n">
        <v>5.13</v>
      </c>
      <c r="N1230" t="inlineStr">
        <is>
          <t>控股子公司從事伺服器、車用電子、工業電腦等業務</t>
        </is>
      </c>
    </row>
    <row r="1231">
      <c r="A1231" t="n">
        <v>3707</v>
      </c>
      <c r="B1231" t="inlineStr">
        <is>
          <t>漢磊</t>
        </is>
      </c>
      <c r="C1231" t="n">
        <v>83.2</v>
      </c>
      <c r="D1231" t="n">
        <v>81.90000000000001</v>
      </c>
      <c r="E1231" s="730" t="n">
        <v>-1.4</v>
      </c>
      <c r="F1231" s="731" t="n">
        <v>-1.68</v>
      </c>
      <c r="G1231" t="inlineStr">
        <is>
          <t>10.1億</t>
        </is>
      </c>
      <c r="H1231" t="n">
        <v>12424</v>
      </c>
      <c r="I1231" t="n">
        <v>34441</v>
      </c>
      <c r="J1231" t="n">
        <v>39.66</v>
      </c>
      <c r="K1231" t="n">
        <v>84.8</v>
      </c>
      <c r="L1231" t="n">
        <v>80</v>
      </c>
      <c r="M1231" s="155" t="n">
        <v>3.13</v>
      </c>
      <c r="N1231" t="inlineStr">
        <is>
          <t>中小型晶圓代工與磊晶供應商</t>
        </is>
      </c>
    </row>
    <row r="1232">
      <c r="A1232" t="n">
        <v>3708</v>
      </c>
      <c r="B1232" t="inlineStr">
        <is>
          <t>上緯投控</t>
        </is>
      </c>
      <c r="C1232" t="n">
        <v>120</v>
      </c>
      <c r="D1232" t="n">
        <v>119.5</v>
      </c>
      <c r="E1232" s="730" t="n">
        <v>0.5</v>
      </c>
      <c r="F1232" s="731" t="n">
        <v>0.42</v>
      </c>
      <c r="G1232" t="inlineStr">
        <is>
          <t>1.61億</t>
        </is>
      </c>
      <c r="H1232" t="n">
        <v>1365</v>
      </c>
      <c r="I1232" t="n">
        <v>2849</v>
      </c>
      <c r="J1232" t="n">
        <v>9.210000000000001</v>
      </c>
      <c r="K1232" t="n">
        <v>120.5</v>
      </c>
      <c r="L1232" t="n">
        <v>116</v>
      </c>
      <c r="M1232" s="155" t="n">
        <v>1.48</v>
      </c>
      <c r="N1232" t="inlineStr">
        <is>
          <t>全球第二、亞洲最大環保耐蝕樹脂商</t>
        </is>
      </c>
    </row>
    <row r="1233">
      <c r="A1233" t="n">
        <v>3709</v>
      </c>
      <c r="B1233" t="inlineStr">
        <is>
          <t>鑫聯大投控</t>
        </is>
      </c>
      <c r="C1233" t="n">
        <v>87</v>
      </c>
      <c r="D1233" t="n">
        <v>88.40000000000001</v>
      </c>
      <c r="E1233" s="730" t="n">
        <v>1.7</v>
      </c>
      <c r="F1233" s="731" t="n">
        <v>1.96</v>
      </c>
      <c r="G1233" t="inlineStr">
        <is>
          <t>2.12億</t>
        </is>
      </c>
      <c r="H1233" t="n">
        <v>2423</v>
      </c>
      <c r="I1233" t="n">
        <v>2272</v>
      </c>
      <c r="J1233" t="n">
        <v>14.56</v>
      </c>
      <c r="K1233" t="n">
        <v>89.09999999999999</v>
      </c>
      <c r="L1233" t="n">
        <v>86.09999999999999</v>
      </c>
      <c r="M1233" s="155" t="n">
        <v>1.66</v>
      </c>
      <c r="N1233" t="inlineStr">
        <is>
          <t>大聯大旗下，經營3C通路及室內樂園</t>
        </is>
      </c>
    </row>
    <row r="1234">
      <c r="A1234" t="n">
        <v>3710</v>
      </c>
      <c r="B1234" t="inlineStr">
        <is>
          <t>連展投控</t>
        </is>
      </c>
      <c r="C1234" t="n">
        <v>6.28</v>
      </c>
      <c r="D1234" t="n">
        <v>6.87</v>
      </c>
      <c r="E1234" s="730" t="n">
        <v>0.62</v>
      </c>
      <c r="F1234" s="731" t="n">
        <v>9.92</v>
      </c>
      <c r="G1234" t="inlineStr">
        <is>
          <t>824萬</t>
        </is>
      </c>
      <c r="H1234" t="n">
        <v>1242</v>
      </c>
      <c r="I1234" t="n">
        <v>496</v>
      </c>
      <c r="J1234" t="n">
        <v>28.73</v>
      </c>
      <c r="K1234" t="n">
        <v>6.87</v>
      </c>
      <c r="L1234" t="n">
        <v>6.24</v>
      </c>
      <c r="M1234" s="155" t="n">
        <v>0.43</v>
      </c>
      <c r="N1234" t="inlineStr">
        <is>
          <t>控股公司，運營連接器及通訊零件等業務</t>
        </is>
      </c>
    </row>
    <row r="1235">
      <c r="A1235" t="n">
        <v>3711</v>
      </c>
      <c r="B1235" t="inlineStr">
        <is>
          <t>日月光投控</t>
        </is>
      </c>
      <c r="C1235" t="n">
        <v>600</v>
      </c>
      <c r="D1235" t="n">
        <v>590</v>
      </c>
      <c r="E1235" s="730" t="n">
        <v>-11</v>
      </c>
      <c r="F1235" s="731" t="n">
        <v>-1.83</v>
      </c>
      <c r="G1235" t="inlineStr">
        <is>
          <t>149億</t>
        </is>
      </c>
      <c r="H1235" t="n">
        <v>25323</v>
      </c>
      <c r="I1235" t="n">
        <v>34901</v>
      </c>
      <c r="J1235" t="n">
        <v>447.06</v>
      </c>
      <c r="K1235" t="n">
        <v>608</v>
      </c>
      <c r="L1235" t="n">
        <v>577</v>
      </c>
      <c r="M1235" s="155" t="n">
        <v>0.57</v>
      </c>
      <c r="N1235" t="inlineStr">
        <is>
          <t>全球封測龍頭</t>
        </is>
      </c>
    </row>
    <row r="1236">
      <c r="A1236" t="n">
        <v>3712</v>
      </c>
      <c r="B1236" t="inlineStr">
        <is>
          <t>永崴投控</t>
        </is>
      </c>
      <c r="C1236" t="n">
        <v>19.85</v>
      </c>
      <c r="D1236" t="n">
        <v>19.1</v>
      </c>
      <c r="E1236" s="730" t="n">
        <v>-0.8</v>
      </c>
      <c r="F1236" s="731" t="n">
        <v>-4.02</v>
      </c>
      <c r="G1236" t="inlineStr">
        <is>
          <t>2827萬</t>
        </is>
      </c>
      <c r="H1236" t="n">
        <v>1487</v>
      </c>
      <c r="I1236" t="n">
        <v>1738</v>
      </c>
      <c r="J1236" t="n">
        <v>24.62</v>
      </c>
      <c r="K1236" t="n">
        <v>19.85</v>
      </c>
      <c r="L1236" t="n">
        <v>18.6</v>
      </c>
      <c r="M1236" s="155" t="n">
        <v>0.6</v>
      </c>
      <c r="N1236" t="inlineStr">
        <is>
          <t>轉投資業務包含能源服務、影像掃描器、3C零售等</t>
        </is>
      </c>
    </row>
    <row r="1237">
      <c r="A1237" t="n">
        <v>3713</v>
      </c>
      <c r="B1237" t="inlineStr">
        <is>
          <t>新晶投控</t>
        </is>
      </c>
      <c r="C1237" t="n">
        <v>16.05</v>
      </c>
      <c r="D1237" t="n">
        <v>17.1</v>
      </c>
      <c r="E1237" s="730" t="n">
        <v>1.05</v>
      </c>
      <c r="F1237" s="731" t="n">
        <v>6.54</v>
      </c>
      <c r="G1237" t="inlineStr">
        <is>
          <t>708萬</t>
        </is>
      </c>
      <c r="H1237" t="n">
        <v>428</v>
      </c>
      <c r="I1237" t="n">
        <v>433</v>
      </c>
      <c r="J1237" t="n">
        <v>8.81</v>
      </c>
      <c r="K1237" t="n">
        <v>17.65</v>
      </c>
      <c r="L1237" t="n">
        <v>15.8</v>
      </c>
      <c r="M1237" s="155" t="n">
        <v>0.49</v>
      </c>
      <c r="N1237" t="inlineStr">
        <is>
          <t>太陽能統包工程廠，從事太陽能電廠之投資開發、建置及維運</t>
        </is>
      </c>
    </row>
    <row r="1238">
      <c r="A1238" t="n">
        <v>3714</v>
      </c>
      <c r="B1238" t="inlineStr">
        <is>
          <t>富采</t>
        </is>
      </c>
      <c r="C1238" t="n">
        <v>71.8</v>
      </c>
      <c r="D1238" t="n">
        <v>69.2</v>
      </c>
      <c r="E1238" s="730" t="n">
        <v>-2.4</v>
      </c>
      <c r="F1238" s="731" t="n">
        <v>-3.35</v>
      </c>
      <c r="G1238" t="inlineStr">
        <is>
          <t>15.5億</t>
        </is>
      </c>
      <c r="H1238" t="n">
        <v>22364</v>
      </c>
      <c r="I1238" t="n">
        <v>31790</v>
      </c>
      <c r="J1238" t="n">
        <v>73.79000000000001</v>
      </c>
      <c r="K1238" t="n">
        <v>72.5</v>
      </c>
      <c r="L1238" t="n">
        <v>68.09999999999999</v>
      </c>
      <c r="M1238" s="155" t="n">
        <v>3.35</v>
      </c>
      <c r="N1238" t="inlineStr">
        <is>
          <t>全球前五大LED一條龍廠</t>
        </is>
      </c>
    </row>
    <row r="1239">
      <c r="A1239" t="n">
        <v>3715</v>
      </c>
      <c r="B1239" t="inlineStr">
        <is>
          <t>定穎投控</t>
        </is>
      </c>
      <c r="C1239" t="n">
        <v>185</v>
      </c>
      <c r="D1239" t="n">
        <v>173.5</v>
      </c>
      <c r="E1239" s="730" t="n">
        <v>-8.5</v>
      </c>
      <c r="F1239" s="731" t="n">
        <v>-4.67</v>
      </c>
      <c r="G1239" t="inlineStr">
        <is>
          <t>22.1億</t>
        </is>
      </c>
      <c r="H1239" t="n">
        <v>12548</v>
      </c>
      <c r="I1239" t="n">
        <v>14391</v>
      </c>
      <c r="J1239" t="n">
        <v>28.36</v>
      </c>
      <c r="K1239" t="n">
        <v>185.5</v>
      </c>
      <c r="L1239" t="n">
        <v>172</v>
      </c>
      <c r="M1239" s="155" t="n">
        <v>4.42</v>
      </c>
      <c r="N1239" t="inlineStr">
        <is>
          <t>台灣專業多層印刷電路板製造廠</t>
        </is>
      </c>
    </row>
    <row r="1240">
      <c r="A1240" t="n">
        <v>3716</v>
      </c>
      <c r="B1240" t="inlineStr">
        <is>
          <t>中化控股</t>
        </is>
      </c>
      <c r="C1240" t="n">
        <v>34.6</v>
      </c>
      <c r="D1240" t="n">
        <v>34.7</v>
      </c>
      <c r="E1240" s="730" t="n">
        <v>0.3</v>
      </c>
      <c r="F1240" s="731" t="n">
        <v>0.87</v>
      </c>
      <c r="G1240" t="inlineStr">
        <is>
          <t>768萬</t>
        </is>
      </c>
      <c r="H1240" t="n">
        <v>222</v>
      </c>
      <c r="I1240" t="n">
        <v>260</v>
      </c>
      <c r="J1240" t="n">
        <v>14.98</v>
      </c>
      <c r="K1240" t="n">
        <v>34.85</v>
      </c>
      <c r="L1240" t="n">
        <v>34.4</v>
      </c>
      <c r="M1240" s="155" t="n">
        <v>0.15</v>
      </c>
      <c r="N1240" t="inlineStr">
        <is>
          <t>台灣前三大學名藥廠</t>
        </is>
      </c>
    </row>
    <row r="1241">
      <c r="A1241" t="n">
        <v>3717</v>
      </c>
      <c r="B1241" t="inlineStr">
        <is>
          <t>聯嘉投控</t>
        </is>
      </c>
      <c r="C1241" t="n">
        <v>22.45</v>
      </c>
      <c r="D1241" t="n">
        <v>22.4</v>
      </c>
      <c r="E1241" s="730" t="n">
        <v>0</v>
      </c>
      <c r="F1241" s="731" t="n">
        <v>0</v>
      </c>
      <c r="G1241" t="inlineStr">
        <is>
          <t>3669萬</t>
        </is>
      </c>
      <c r="H1241" t="n">
        <v>1652</v>
      </c>
      <c r="I1241" t="n">
        <v>2368</v>
      </c>
      <c r="J1241" t="n">
        <v>24.98</v>
      </c>
      <c r="K1241" t="n">
        <v>22.65</v>
      </c>
      <c r="L1241" t="n">
        <v>21.9</v>
      </c>
      <c r="M1241" s="155" t="n">
        <v>0.67</v>
      </c>
      <c r="N1241" t="inlineStr">
        <is>
          <t>車用LED模組及元件廠</t>
        </is>
      </c>
    </row>
    <row r="1242">
      <c r="A1242" t="n">
        <v>4102</v>
      </c>
      <c r="B1242" t="inlineStr">
        <is>
          <t>永日</t>
        </is>
      </c>
      <c r="C1242" t="n">
        <v>16.8</v>
      </c>
      <c r="D1242" t="n">
        <v>16.8</v>
      </c>
      <c r="E1242" s="730" t="n">
        <v>0.05</v>
      </c>
      <c r="F1242" s="731" t="n">
        <v>0.3</v>
      </c>
      <c r="G1242" t="inlineStr">
        <is>
          <t>68.7萬</t>
        </is>
      </c>
      <c r="H1242" t="n">
        <v>41</v>
      </c>
      <c r="I1242" t="n">
        <v>82</v>
      </c>
      <c r="J1242" t="n">
        <v>4.24</v>
      </c>
      <c r="K1242" t="n">
        <v>16.9</v>
      </c>
      <c r="L1242" t="n">
        <v>16.65</v>
      </c>
      <c r="M1242" s="155" t="n">
        <v>0.1</v>
      </c>
      <c r="N1242" t="inlineStr">
        <is>
          <t>永信集團旗下原料藥廠</t>
        </is>
      </c>
    </row>
    <row r="1243">
      <c r="A1243" t="n">
        <v>4104</v>
      </c>
      <c r="B1243" t="inlineStr">
        <is>
          <t>佳醫</t>
        </is>
      </c>
      <c r="C1243" t="n">
        <v>70.09999999999999</v>
      </c>
      <c r="D1243" t="n">
        <v>70.40000000000001</v>
      </c>
      <c r="E1243" s="730" t="n">
        <v>0.3</v>
      </c>
      <c r="F1243" s="731" t="n">
        <v>0.43</v>
      </c>
      <c r="G1243" t="inlineStr">
        <is>
          <t>2648萬</t>
        </is>
      </c>
      <c r="H1243" t="n">
        <v>378</v>
      </c>
      <c r="I1243" t="n">
        <v>345</v>
      </c>
      <c r="J1243" t="n">
        <v>18.84</v>
      </c>
      <c r="K1243" t="n">
        <v>70.40000000000001</v>
      </c>
      <c r="L1243" t="n">
        <v>69.5</v>
      </c>
      <c r="M1243" s="155" t="n">
        <v>0.2</v>
      </c>
      <c r="N1243" t="inlineStr">
        <is>
          <t>台灣最大洗腎相關儀器及耗材代理商</t>
        </is>
      </c>
    </row>
    <row r="1244">
      <c r="A1244" t="n">
        <v>4105</v>
      </c>
      <c r="B1244" t="inlineStr">
        <is>
          <t>東洋</t>
        </is>
      </c>
      <c r="C1244" t="n">
        <v>73.59999999999999</v>
      </c>
      <c r="D1244" t="n">
        <v>74.5</v>
      </c>
      <c r="E1244" s="730" t="n">
        <v>0.8</v>
      </c>
      <c r="F1244" s="731" t="n">
        <v>1.09</v>
      </c>
      <c r="G1244" t="inlineStr">
        <is>
          <t>1.88億</t>
        </is>
      </c>
      <c r="H1244" t="n">
        <v>2547</v>
      </c>
      <c r="I1244" t="n">
        <v>807</v>
      </c>
      <c r="J1244" t="n">
        <v>24.87</v>
      </c>
      <c r="K1244" t="n">
        <v>74.59999999999999</v>
      </c>
      <c r="L1244" t="n">
        <v>73.2</v>
      </c>
      <c r="M1244" s="155" t="n">
        <v>1.02</v>
      </c>
      <c r="N1244" t="inlineStr">
        <is>
          <t>專注研發微脂體、微球注射劑困難學名藥廠</t>
        </is>
      </c>
    </row>
    <row r="1245">
      <c r="A1245" t="n">
        <v>4106</v>
      </c>
      <c r="B1245" t="inlineStr">
        <is>
          <t>雃博</t>
        </is>
      </c>
      <c r="C1245" t="n">
        <v>24.2</v>
      </c>
      <c r="D1245" t="n">
        <v>24.05</v>
      </c>
      <c r="E1245" s="730" t="n">
        <v>-0.35</v>
      </c>
      <c r="F1245" s="731" t="n">
        <v>-1.43</v>
      </c>
      <c r="G1245" t="inlineStr">
        <is>
          <t>772萬</t>
        </is>
      </c>
      <c r="H1245" t="n">
        <v>321</v>
      </c>
      <c r="I1245" t="n">
        <v>297</v>
      </c>
      <c r="J1245" t="n">
        <v>10.09</v>
      </c>
      <c r="K1245" t="n">
        <v>24.25</v>
      </c>
      <c r="L1245" t="n">
        <v>23.9</v>
      </c>
      <c r="M1245" s="155" t="n">
        <v>0.32</v>
      </c>
      <c r="N1245" t="inlineStr">
        <is>
          <t>亞洲最大防褥瘡氣墊床廠</t>
        </is>
      </c>
    </row>
    <row r="1246">
      <c r="A1246" t="n">
        <v>4107</v>
      </c>
      <c r="B1246" t="inlineStr">
        <is>
          <t>邦特</t>
        </is>
      </c>
      <c r="C1246" t="n">
        <v>114</v>
      </c>
      <c r="D1246" t="n">
        <v>114</v>
      </c>
      <c r="E1246" s="730" t="n">
        <v>0</v>
      </c>
      <c r="F1246" s="731" t="n">
        <v>0</v>
      </c>
      <c r="G1246" t="inlineStr">
        <is>
          <t>1603萬</t>
        </is>
      </c>
      <c r="H1246" t="n">
        <v>141</v>
      </c>
      <c r="I1246" t="n">
        <v>160</v>
      </c>
      <c r="J1246" t="n">
        <v>6.93</v>
      </c>
      <c r="K1246" t="n">
        <v>114</v>
      </c>
      <c r="L1246" t="n">
        <v>113.5</v>
      </c>
      <c r="M1246" s="155" t="n">
        <v>0.2</v>
      </c>
      <c r="N1246" t="inlineStr">
        <is>
          <t>台灣血液迴路管、穿刺針等血液透析耗材龍頭廠</t>
        </is>
      </c>
    </row>
    <row r="1247">
      <c r="A1247" t="n">
        <v>4108</v>
      </c>
      <c r="B1247" t="inlineStr">
        <is>
          <t>懷特</t>
        </is>
      </c>
      <c r="C1247" t="n">
        <v>12.1</v>
      </c>
      <c r="D1247" t="n">
        <v>12.15</v>
      </c>
      <c r="E1247" s="730" t="n">
        <v>0</v>
      </c>
      <c r="F1247" s="731" t="n">
        <v>0</v>
      </c>
      <c r="G1247" t="inlineStr">
        <is>
          <t>352萬</t>
        </is>
      </c>
      <c r="H1247" t="n">
        <v>292</v>
      </c>
      <c r="I1247" t="n">
        <v>291</v>
      </c>
      <c r="J1247" t="n">
        <v>19.86</v>
      </c>
      <c r="K1247" t="n">
        <v>12.15</v>
      </c>
      <c r="L1247" t="n">
        <v>12</v>
      </c>
      <c r="M1247" s="155" t="n">
        <v>0.15</v>
      </c>
      <c r="N1247" t="inlineStr">
        <is>
          <t>美吾華旗下植物新藥研發公司</t>
        </is>
      </c>
    </row>
    <row r="1248">
      <c r="A1248" t="n">
        <v>4109</v>
      </c>
      <c r="B1248" t="inlineStr">
        <is>
          <t>加捷生醫</t>
        </is>
      </c>
      <c r="C1248" t="n">
        <v>11.5</v>
      </c>
      <c r="D1248" t="n">
        <v>11.3</v>
      </c>
      <c r="E1248" s="730" t="n">
        <v>-0.2</v>
      </c>
      <c r="F1248" s="731" t="n">
        <v>-1.74</v>
      </c>
      <c r="G1248" t="inlineStr">
        <is>
          <t>218萬</t>
        </is>
      </c>
      <c r="H1248" t="n">
        <v>192</v>
      </c>
      <c r="I1248" t="n">
        <v>258</v>
      </c>
      <c r="J1248" t="n">
        <v>11.87</v>
      </c>
      <c r="K1248" t="n">
        <v>11.5</v>
      </c>
      <c r="L1248" t="n">
        <v>11.25</v>
      </c>
      <c r="M1248" s="155" t="n">
        <v>0.16</v>
      </c>
      <c r="N1248" t="inlineStr">
        <is>
          <t>台灣最大甲魚相關保健食品廠</t>
        </is>
      </c>
    </row>
    <row r="1249">
      <c r="A1249" t="n">
        <v>4111</v>
      </c>
      <c r="B1249" t="inlineStr">
        <is>
          <t>濟生</t>
        </is>
      </c>
      <c r="C1249" t="n">
        <v>30.05</v>
      </c>
      <c r="D1249" t="n">
        <v>30.05</v>
      </c>
      <c r="E1249" s="730" t="n">
        <v>0</v>
      </c>
      <c r="F1249" s="731" t="n">
        <v>0</v>
      </c>
      <c r="G1249" t="inlineStr">
        <is>
          <t>481萬</t>
        </is>
      </c>
      <c r="H1249" t="n">
        <v>161</v>
      </c>
      <c r="I1249" t="n">
        <v>74</v>
      </c>
      <c r="J1249" t="n">
        <v>5.98</v>
      </c>
      <c r="K1249" t="n">
        <v>30.05</v>
      </c>
      <c r="L1249" t="n">
        <v>29.65</v>
      </c>
      <c r="M1249" s="155" t="n">
        <v>0.27</v>
      </c>
      <c r="N1249" t="inlineStr">
        <is>
          <t>台灣洗腎血液透析粉液龍頭企業</t>
        </is>
      </c>
    </row>
    <row r="1250">
      <c r="A1250" t="n">
        <v>4113</v>
      </c>
      <c r="B1250" t="inlineStr">
        <is>
          <t>聯上</t>
        </is>
      </c>
      <c r="C1250" t="n">
        <v>14.45</v>
      </c>
      <c r="D1250" t="n">
        <v>14.4</v>
      </c>
      <c r="E1250" s="730" t="n">
        <v>-0.05</v>
      </c>
      <c r="F1250" s="731" t="n">
        <v>-0.35</v>
      </c>
      <c r="G1250" t="inlineStr">
        <is>
          <t>169萬</t>
        </is>
      </c>
      <c r="H1250" t="n">
        <v>118</v>
      </c>
      <c r="I1250" t="n">
        <v>325</v>
      </c>
      <c r="J1250" t="n">
        <v>23.11</v>
      </c>
      <c r="K1250" t="n">
        <v>14.45</v>
      </c>
      <c r="L1250" t="n">
        <v>14.2</v>
      </c>
      <c r="M1250" s="155" t="n">
        <v>0.05</v>
      </c>
      <c r="N1250" t="inlineStr">
        <is>
          <t>聯上集團旗下負責南部推案的建商</t>
        </is>
      </c>
    </row>
    <row r="1251">
      <c r="A1251" t="n">
        <v>4114</v>
      </c>
      <c r="B1251" t="inlineStr">
        <is>
          <t>健喬</t>
        </is>
      </c>
      <c r="C1251" t="n">
        <v>30.1</v>
      </c>
      <c r="D1251" t="n">
        <v>30.2</v>
      </c>
      <c r="E1251" s="730" t="n">
        <v>0.1</v>
      </c>
      <c r="F1251" s="731" t="n">
        <v>0.33</v>
      </c>
      <c r="G1251" t="inlineStr">
        <is>
          <t>3672萬</t>
        </is>
      </c>
      <c r="H1251" t="n">
        <v>1216</v>
      </c>
      <c r="I1251" t="n">
        <v>1493</v>
      </c>
      <c r="J1251" t="n">
        <v>51.02</v>
      </c>
      <c r="K1251" t="n">
        <v>30.4</v>
      </c>
      <c r="L1251" t="n">
        <v>30.05</v>
      </c>
      <c r="M1251" s="155" t="n">
        <v>0.24</v>
      </c>
      <c r="N1251" t="inlineStr">
        <is>
          <t>台灣主要學名藥產銷及代理商</t>
        </is>
      </c>
    </row>
    <row r="1252">
      <c r="A1252" t="n">
        <v>4116</v>
      </c>
      <c r="B1252" t="inlineStr">
        <is>
          <t>明基醫</t>
        </is>
      </c>
      <c r="C1252" t="n">
        <v>37.35</v>
      </c>
      <c r="D1252" t="n">
        <v>37.15</v>
      </c>
      <c r="E1252" s="730" t="n">
        <v>-0.2</v>
      </c>
      <c r="F1252" s="731" t="n">
        <v>-0.54</v>
      </c>
      <c r="G1252" t="inlineStr">
        <is>
          <t>364萬</t>
        </is>
      </c>
      <c r="H1252" t="n">
        <v>98</v>
      </c>
      <c r="I1252" t="n">
        <v>61</v>
      </c>
      <c r="J1252" t="n">
        <v>4.46</v>
      </c>
      <c r="K1252" t="n">
        <v>37.35</v>
      </c>
      <c r="L1252" t="n">
        <v>37</v>
      </c>
      <c r="M1252" s="155" t="n">
        <v>0.22</v>
      </c>
      <c r="N1252" t="inlineStr">
        <is>
          <t>明基友達集團旗下醫療設備、醫用耗材、醫療服務公司</t>
        </is>
      </c>
    </row>
    <row r="1253">
      <c r="A1253" t="n">
        <v>4119</v>
      </c>
      <c r="B1253" t="inlineStr">
        <is>
          <t>旭富</t>
        </is>
      </c>
      <c r="C1253" t="n">
        <v>40.7</v>
      </c>
      <c r="D1253" t="n">
        <v>41</v>
      </c>
      <c r="E1253" s="730" t="n">
        <v>-0.9</v>
      </c>
      <c r="F1253" s="731" t="n">
        <v>-2.15</v>
      </c>
      <c r="G1253" t="inlineStr">
        <is>
          <t>692萬</t>
        </is>
      </c>
      <c r="H1253" t="n">
        <v>169</v>
      </c>
      <c r="I1253" t="n">
        <v>244</v>
      </c>
      <c r="J1253" t="n">
        <v>11.95</v>
      </c>
      <c r="K1253" t="n">
        <v>41.35</v>
      </c>
      <c r="L1253" t="n">
        <v>40.7</v>
      </c>
      <c r="M1253" s="155" t="n">
        <v>0.14</v>
      </c>
      <c r="N1253" t="inlineStr">
        <is>
          <t>全球最大之丙戊酸一系列癲癇藥物生產者</t>
        </is>
      </c>
    </row>
    <row r="1254">
      <c r="A1254" t="n">
        <v>4120</v>
      </c>
      <c r="B1254" t="inlineStr">
        <is>
          <t>友華</t>
        </is>
      </c>
      <c r="C1254" t="n">
        <v>44</v>
      </c>
      <c r="D1254" t="n">
        <v>44.2</v>
      </c>
      <c r="E1254" s="730" t="n">
        <v>0.1</v>
      </c>
      <c r="F1254" s="731" t="n">
        <v>0.23</v>
      </c>
      <c r="G1254" t="inlineStr">
        <is>
          <t>167萬</t>
        </is>
      </c>
      <c r="H1254" t="n">
        <v>38</v>
      </c>
      <c r="I1254" t="n">
        <v>66</v>
      </c>
      <c r="J1254" t="n">
        <v>8.67</v>
      </c>
      <c r="K1254" t="n">
        <v>44.2</v>
      </c>
      <c r="L1254" t="n">
        <v>43.6</v>
      </c>
      <c r="M1254" s="155" t="n">
        <v>0.04</v>
      </c>
      <c r="N1254" t="inlineStr">
        <is>
          <t>台灣代理國際藥品與醫美玻尿酸通路商</t>
        </is>
      </c>
    </row>
    <row r="1255">
      <c r="A1255" t="n">
        <v>4121</v>
      </c>
      <c r="B1255" t="inlineStr">
        <is>
          <t>優盛</t>
        </is>
      </c>
      <c r="C1255" t="n">
        <v>14.05</v>
      </c>
      <c r="D1255" t="n">
        <v>14</v>
      </c>
      <c r="E1255" s="730" t="n">
        <v>-0.2</v>
      </c>
      <c r="F1255" s="731" t="n">
        <v>-1.41</v>
      </c>
      <c r="G1255" t="inlineStr">
        <is>
          <t>195萬</t>
        </is>
      </c>
      <c r="H1255" t="n">
        <v>139</v>
      </c>
      <c r="I1255" t="n">
        <v>230</v>
      </c>
      <c r="J1255" t="n">
        <v>8.31</v>
      </c>
      <c r="K1255" t="n">
        <v>14.3</v>
      </c>
      <c r="L1255" t="n">
        <v>13.95</v>
      </c>
      <c r="M1255" s="155" t="n">
        <v>0.17</v>
      </c>
      <c r="N1255" t="inlineStr">
        <is>
          <t>全球前三大電子式血壓計製造商</t>
        </is>
      </c>
    </row>
    <row r="1256">
      <c r="A1256" t="n">
        <v>4123</v>
      </c>
      <c r="B1256" t="inlineStr">
        <is>
          <t>晟德</t>
        </is>
      </c>
      <c r="C1256" t="n">
        <v>38.35</v>
      </c>
      <c r="D1256" t="n">
        <v>38.35</v>
      </c>
      <c r="E1256" s="730" t="n">
        <v>-0.05</v>
      </c>
      <c r="F1256" s="731" t="n">
        <v>-0.13</v>
      </c>
      <c r="G1256" t="inlineStr">
        <is>
          <t>5194萬</t>
        </is>
      </c>
      <c r="H1256" t="n">
        <v>1362</v>
      </c>
      <c r="I1256" t="n">
        <v>2263</v>
      </c>
      <c r="J1256" t="n">
        <v>76.90000000000001</v>
      </c>
      <c r="K1256" t="n">
        <v>38.35</v>
      </c>
      <c r="L1256" t="n">
        <v>38.05</v>
      </c>
      <c r="M1256" s="155" t="n">
        <v>0.18</v>
      </c>
      <c r="N1256" t="inlineStr">
        <is>
          <t>台灣最大內服液劑、水劑之製藥廠</t>
        </is>
      </c>
    </row>
    <row r="1257">
      <c r="A1257" t="n">
        <v>4126</v>
      </c>
      <c r="B1257" t="inlineStr">
        <is>
          <t>太醫</t>
        </is>
      </c>
      <c r="C1257" t="n">
        <v>79.2</v>
      </c>
      <c r="D1257" t="n">
        <v>79.90000000000001</v>
      </c>
      <c r="E1257" s="730" t="n">
        <v>0.7</v>
      </c>
      <c r="F1257" s="731" t="n">
        <v>0.88</v>
      </c>
      <c r="G1257" t="inlineStr">
        <is>
          <t>325萬</t>
        </is>
      </c>
      <c r="H1257" t="n">
        <v>41</v>
      </c>
      <c r="I1257" t="n">
        <v>32</v>
      </c>
      <c r="J1257" t="n">
        <v>7.26</v>
      </c>
      <c r="K1257" t="n">
        <v>80</v>
      </c>
      <c r="L1257" t="n">
        <v>79</v>
      </c>
      <c r="M1257" s="155" t="n">
        <v>0.06</v>
      </c>
      <c r="N1257" t="inlineStr">
        <is>
          <t>台灣最大醫療耗材製造商</t>
        </is>
      </c>
    </row>
    <row r="1258">
      <c r="A1258" t="n">
        <v>4127</v>
      </c>
      <c r="B1258" t="inlineStr">
        <is>
          <t>天良</t>
        </is>
      </c>
      <c r="C1258" t="n">
        <v>64</v>
      </c>
      <c r="D1258" t="n">
        <v>68.5</v>
      </c>
      <c r="E1258" s="730" t="n">
        <v>-0.2</v>
      </c>
      <c r="F1258" s="731" t="n">
        <v>-0.29</v>
      </c>
      <c r="G1258" t="inlineStr">
        <is>
          <t>2756萬</t>
        </is>
      </c>
      <c r="H1258" t="n">
        <v>410</v>
      </c>
      <c r="I1258" t="n">
        <v>582</v>
      </c>
      <c r="J1258" t="n">
        <v>4.58</v>
      </c>
      <c r="K1258" t="n">
        <v>69.5</v>
      </c>
      <c r="L1258" t="n">
        <v>64</v>
      </c>
      <c r="M1258" s="155" t="n">
        <v>0.9</v>
      </c>
      <c r="N1258" t="inlineStr">
        <is>
          <t>以天良牌、鐵獅牌銷售保健品及代理諾得膠囊廠商</t>
        </is>
      </c>
    </row>
    <row r="1259">
      <c r="A1259" t="n">
        <v>4128</v>
      </c>
      <c r="B1259" t="inlineStr">
        <is>
          <t>中天</t>
        </is>
      </c>
      <c r="C1259" t="n">
        <v>14.65</v>
      </c>
      <c r="D1259" t="n">
        <v>14.7</v>
      </c>
      <c r="E1259" s="730" t="n">
        <v>0.15</v>
      </c>
      <c r="F1259" s="731" t="n">
        <v>1.03</v>
      </c>
      <c r="G1259" t="inlineStr">
        <is>
          <t>1689萬</t>
        </is>
      </c>
      <c r="H1259" t="n">
        <v>1162</v>
      </c>
      <c r="I1259" t="n">
        <v>1678</v>
      </c>
      <c r="J1259" t="n">
        <v>58.82</v>
      </c>
      <c r="K1259" t="n">
        <v>14.75</v>
      </c>
      <c r="L1259" t="n">
        <v>14.4</v>
      </c>
      <c r="M1259" s="155" t="n">
        <v>0.2</v>
      </c>
      <c r="N1259" t="inlineStr">
        <is>
          <t>台灣首家符合GMP之發酵中藥廠，並經營棉花田有機食品通路</t>
        </is>
      </c>
    </row>
    <row r="1260">
      <c r="A1260" t="n">
        <v>4129</v>
      </c>
      <c r="B1260" t="inlineStr">
        <is>
          <t>聯合</t>
        </is>
      </c>
      <c r="C1260" t="n">
        <v>88.09999999999999</v>
      </c>
      <c r="D1260" t="n">
        <v>88</v>
      </c>
      <c r="E1260" s="730" t="n">
        <v>-0.8</v>
      </c>
      <c r="F1260" s="731" t="n">
        <v>-0.9</v>
      </c>
      <c r="G1260" t="inlineStr">
        <is>
          <t>3535萬</t>
        </is>
      </c>
      <c r="H1260" t="n">
        <v>401</v>
      </c>
      <c r="I1260" t="n">
        <v>345</v>
      </c>
      <c r="J1260" t="n">
        <v>9.640000000000001</v>
      </c>
      <c r="K1260" t="n">
        <v>88.8</v>
      </c>
      <c r="L1260" t="n">
        <v>87.59999999999999</v>
      </c>
      <c r="M1260" s="155" t="n">
        <v>0.42</v>
      </c>
      <c r="N1260" t="inlineStr">
        <is>
          <t>台灣骨科植入物及器材龍頭廠</t>
        </is>
      </c>
    </row>
    <row r="1261">
      <c r="A1261" t="n">
        <v>4130</v>
      </c>
      <c r="B1261" t="inlineStr">
        <is>
          <t>健亞</t>
        </is>
      </c>
      <c r="C1261" t="n">
        <v>26.1</v>
      </c>
      <c r="D1261" t="n">
        <v>25.95</v>
      </c>
      <c r="E1261" s="730" t="n">
        <v>-0.25</v>
      </c>
      <c r="F1261" s="731" t="n">
        <v>-0.95</v>
      </c>
      <c r="G1261" t="inlineStr">
        <is>
          <t>533萬</t>
        </is>
      </c>
      <c r="H1261" t="n">
        <v>205</v>
      </c>
      <c r="I1261" t="n">
        <v>238</v>
      </c>
      <c r="J1261" t="n">
        <v>13.79</v>
      </c>
      <c r="K1261" t="n">
        <v>26.55</v>
      </c>
      <c r="L1261" t="n">
        <v>25.9</v>
      </c>
      <c r="M1261" s="155" t="n">
        <v>0.15</v>
      </c>
      <c r="N1261" t="inlineStr">
        <is>
          <t>學名藥代工及新藥研發廠</t>
        </is>
      </c>
    </row>
    <row r="1262">
      <c r="A1262" t="n">
        <v>4131</v>
      </c>
      <c r="B1262" t="inlineStr">
        <is>
          <t>浩泰</t>
        </is>
      </c>
      <c r="C1262" t="n">
        <v>33.05</v>
      </c>
      <c r="D1262" t="n">
        <v>33.35</v>
      </c>
      <c r="E1262" s="730" t="n">
        <v>0.3</v>
      </c>
      <c r="F1262" s="731" t="n">
        <v>0.91</v>
      </c>
      <c r="G1262" t="inlineStr">
        <is>
          <t>72.6萬</t>
        </is>
      </c>
      <c r="H1262" t="n">
        <v>22</v>
      </c>
      <c r="I1262" t="n">
        <v>69</v>
      </c>
      <c r="J1262" t="n">
        <v>3.99</v>
      </c>
      <c r="K1262" t="n">
        <v>33.9</v>
      </c>
      <c r="L1262" t="n">
        <v>32.6</v>
      </c>
      <c r="M1262" s="155" t="n">
        <v>0.06</v>
      </c>
      <c r="N1262" t="inlineStr">
        <is>
          <t>高分子生物檢驗晶片廠</t>
        </is>
      </c>
    </row>
    <row r="1263">
      <c r="A1263" t="n">
        <v>4133</v>
      </c>
      <c r="B1263" t="inlineStr">
        <is>
          <t>亞諾法</t>
        </is>
      </c>
      <c r="C1263" t="n">
        <v>21</v>
      </c>
      <c r="D1263" t="n">
        <v>20.85</v>
      </c>
      <c r="E1263" s="730" t="n">
        <v>-0.15</v>
      </c>
      <c r="F1263" s="731" t="n">
        <v>-0.71</v>
      </c>
      <c r="G1263" t="inlineStr">
        <is>
          <t>177萬</t>
        </is>
      </c>
      <c r="H1263" t="n">
        <v>85</v>
      </c>
      <c r="I1263" t="n">
        <v>175</v>
      </c>
      <c r="J1263" t="n">
        <v>6.06</v>
      </c>
      <c r="K1263" t="n">
        <v>21</v>
      </c>
      <c r="L1263" t="n">
        <v>20.75</v>
      </c>
      <c r="M1263" s="155" t="n">
        <v>0.14</v>
      </c>
      <c r="N1263" t="inlineStr">
        <is>
          <t>全球抗體與重組蛋白製造龍頭</t>
        </is>
      </c>
    </row>
    <row r="1264">
      <c r="A1264" t="n">
        <v>4137</v>
      </c>
      <c r="B1264" t="inlineStr">
        <is>
          <t>麗豐-KY</t>
        </is>
      </c>
      <c r="C1264" t="n">
        <v>106.5</v>
      </c>
      <c r="D1264" t="n">
        <v>106</v>
      </c>
      <c r="E1264" s="730" t="n">
        <v>-0.5</v>
      </c>
      <c r="F1264" s="731" t="n">
        <v>-0.47</v>
      </c>
      <c r="G1264" t="inlineStr">
        <is>
          <t>2410萬</t>
        </is>
      </c>
      <c r="H1264" t="n">
        <v>226</v>
      </c>
      <c r="I1264" t="n">
        <v>292</v>
      </c>
      <c r="J1264" t="n">
        <v>8.25</v>
      </c>
      <c r="K1264" t="n">
        <v>107.5</v>
      </c>
      <c r="L1264" t="n">
        <v>105.5</v>
      </c>
      <c r="M1264" s="155" t="n">
        <v>0.27</v>
      </c>
      <c r="N1264" t="inlineStr">
        <is>
          <t>克麗緹娜品牌之美容護膚產品通路商</t>
        </is>
      </c>
    </row>
    <row r="1265">
      <c r="A1265" t="n">
        <v>4138</v>
      </c>
      <c r="B1265" t="inlineStr">
        <is>
          <t>曜亞</t>
        </is>
      </c>
      <c r="C1265" t="n">
        <v>50.7</v>
      </c>
      <c r="D1265" t="n">
        <v>50.6</v>
      </c>
      <c r="E1265" s="730" t="n">
        <v>-0.1</v>
      </c>
      <c r="F1265" s="731" t="n">
        <v>-0.2</v>
      </c>
      <c r="G1265" t="inlineStr">
        <is>
          <t>132萬</t>
        </is>
      </c>
      <c r="H1265" t="n">
        <v>26</v>
      </c>
      <c r="I1265" t="n">
        <v>35</v>
      </c>
      <c r="J1265" t="n">
        <v>3.99</v>
      </c>
      <c r="K1265" t="n">
        <v>51</v>
      </c>
      <c r="L1265" t="n">
        <v>50.5</v>
      </c>
      <c r="M1265" s="155" t="n">
        <v>0.07000000000000001</v>
      </c>
      <c r="N1265" t="inlineStr">
        <is>
          <t>佳醫旗下台灣最大醫學美容器材代理商</t>
        </is>
      </c>
    </row>
    <row r="1266">
      <c r="A1266" t="n">
        <v>4139</v>
      </c>
      <c r="B1266" t="inlineStr">
        <is>
          <t>馬光-KY</t>
        </is>
      </c>
      <c r="C1266" t="n">
        <v>21.55</v>
      </c>
      <c r="D1266" t="n">
        <v>21.85</v>
      </c>
      <c r="E1266" s="730" t="n">
        <v>-0.9</v>
      </c>
      <c r="F1266" s="731" t="n">
        <v>-3.96</v>
      </c>
      <c r="G1266" t="inlineStr">
        <is>
          <t>60.5萬</t>
        </is>
      </c>
      <c r="H1266" t="n">
        <v>28</v>
      </c>
      <c r="I1266" t="n">
        <v>15</v>
      </c>
      <c r="J1266" t="n">
        <v>4.5</v>
      </c>
      <c r="K1266" t="n">
        <v>21.9</v>
      </c>
      <c r="L1266" t="n">
        <v>21.55</v>
      </c>
      <c r="M1266" s="155" t="n">
        <v>0.06</v>
      </c>
      <c r="N1266" t="inlineStr">
        <is>
          <t>新加坡中醫醫療連鎖機構龍頭</t>
        </is>
      </c>
    </row>
    <row r="1267">
      <c r="A1267" t="n">
        <v>4142</v>
      </c>
      <c r="B1267" t="inlineStr">
        <is>
          <t>國光生</t>
        </is>
      </c>
      <c r="C1267" t="n">
        <v>17.2</v>
      </c>
      <c r="D1267" t="n">
        <v>17.2</v>
      </c>
      <c r="E1267" s="730" t="n">
        <v>0</v>
      </c>
      <c r="F1267" s="731" t="n">
        <v>0</v>
      </c>
      <c r="G1267" t="inlineStr">
        <is>
          <t>1709萬</t>
        </is>
      </c>
      <c r="H1267" t="n">
        <v>1002</v>
      </c>
      <c r="I1267" t="n">
        <v>1301</v>
      </c>
      <c r="J1267" t="n">
        <v>42.95</v>
      </c>
      <c r="K1267" t="n">
        <v>17.25</v>
      </c>
      <c r="L1267" t="n">
        <v>17</v>
      </c>
      <c r="M1267" s="155" t="n">
        <v>0.23</v>
      </c>
      <c r="N1267" t="inlineStr">
        <is>
          <t>台灣流感疫苗龍頭企業</t>
        </is>
      </c>
    </row>
    <row r="1268">
      <c r="A1268" t="n">
        <v>4147</v>
      </c>
      <c r="B1268" t="inlineStr">
        <is>
          <t>中裕</t>
        </is>
      </c>
      <c r="C1268" t="n">
        <v>52.9</v>
      </c>
      <c r="D1268" t="n">
        <v>52.7</v>
      </c>
      <c r="E1268" s="730" t="n">
        <v>-0.5</v>
      </c>
      <c r="F1268" s="731" t="n">
        <v>-0.9399999999999999</v>
      </c>
      <c r="G1268" t="inlineStr">
        <is>
          <t>1.12億</t>
        </is>
      </c>
      <c r="H1268" t="n">
        <v>2102</v>
      </c>
      <c r="I1268" t="n">
        <v>2792</v>
      </c>
      <c r="J1268" t="n">
        <v>27.32</v>
      </c>
      <c r="K1268" t="n">
        <v>55.2</v>
      </c>
      <c r="L1268" t="n">
        <v>51.9</v>
      </c>
      <c r="M1268" s="155" t="n">
        <v>0.77</v>
      </c>
      <c r="N1268" t="inlineStr">
        <is>
          <t>專注於愛滋新藥研發</t>
        </is>
      </c>
    </row>
    <row r="1269">
      <c r="A1269" t="n">
        <v>4148</v>
      </c>
      <c r="B1269" t="inlineStr">
        <is>
          <t>全宇生技-KY</t>
        </is>
      </c>
      <c r="C1269" t="n">
        <v>30.5</v>
      </c>
      <c r="D1269" t="n">
        <v>31</v>
      </c>
      <c r="E1269" s="730" t="n">
        <v>0.6</v>
      </c>
      <c r="F1269" s="731" t="n">
        <v>1.97</v>
      </c>
      <c r="G1269" t="inlineStr">
        <is>
          <t>83.0萬</t>
        </is>
      </c>
      <c r="H1269" t="n">
        <v>27</v>
      </c>
      <c r="I1269" t="n">
        <v>64</v>
      </c>
      <c r="J1269" t="n">
        <v>6.72</v>
      </c>
      <c r="K1269" t="n">
        <v>31.1</v>
      </c>
      <c r="L1269" t="n">
        <v>30.45</v>
      </c>
      <c r="M1269" s="155" t="n">
        <v>0.04</v>
      </c>
      <c r="N1269" t="inlineStr">
        <is>
          <t>馬來西亞生化複合肥料龍頭廠商</t>
        </is>
      </c>
    </row>
    <row r="1270">
      <c r="A1270" t="n">
        <v>4153</v>
      </c>
      <c r="B1270" t="inlineStr">
        <is>
          <t>鈺緯</t>
        </is>
      </c>
      <c r="C1270" t="n">
        <v>31.85</v>
      </c>
      <c r="D1270" t="n">
        <v>31.4</v>
      </c>
      <c r="E1270" s="730" t="n">
        <v>-0.45</v>
      </c>
      <c r="F1270" s="731" t="n">
        <v>-1.41</v>
      </c>
      <c r="G1270" t="inlineStr">
        <is>
          <t>110萬</t>
        </is>
      </c>
      <c r="H1270" t="n">
        <v>35</v>
      </c>
      <c r="I1270" t="n">
        <v>44</v>
      </c>
      <c r="J1270" t="n">
        <v>5.87</v>
      </c>
      <c r="K1270" t="n">
        <v>32</v>
      </c>
      <c r="L1270" t="n">
        <v>31.3</v>
      </c>
      <c r="M1270" s="155" t="n">
        <v>0.06</v>
      </c>
      <c r="N1270" t="inlineStr">
        <is>
          <t>佳世達旗下醫療顯示器廠</t>
        </is>
      </c>
    </row>
    <row r="1271">
      <c r="A1271" t="n">
        <v>4154</v>
      </c>
      <c r="B1271" t="inlineStr">
        <is>
          <t>樂威科-KY</t>
        </is>
      </c>
      <c r="C1271" t="inlineStr">
        <is>
          <t>--</t>
        </is>
      </c>
      <c r="D1271" t="inlineStr">
        <is>
          <t>--</t>
        </is>
      </c>
      <c r="E1271" s="730" t="inlineStr">
        <is>
          <t>--</t>
        </is>
      </c>
      <c r="F1271" s="731" t="inlineStr">
        <is>
          <t>--</t>
        </is>
      </c>
      <c r="G1271" t="inlineStr">
        <is>
          <t>--</t>
        </is>
      </c>
      <c r="H1271" t="n">
        <v>0</v>
      </c>
      <c r="I1271" t="n">
        <v>34</v>
      </c>
      <c r="J1271" t="n">
        <v>3.84</v>
      </c>
      <c r="K1271" t="inlineStr">
        <is>
          <t>--</t>
        </is>
      </c>
      <c r="L1271" t="inlineStr">
        <is>
          <t>--</t>
        </is>
      </c>
      <c r="M1271" s="155" t="n">
        <v>0</v>
      </c>
      <c r="N1271" t="inlineStr">
        <is>
          <t>精品皮件之金屬配件製造商</t>
        </is>
      </c>
    </row>
    <row r="1272">
      <c r="A1272" t="n">
        <v>4155</v>
      </c>
      <c r="B1272" t="inlineStr">
        <is>
          <t>訊映</t>
        </is>
      </c>
      <c r="C1272" t="n">
        <v>14.65</v>
      </c>
      <c r="D1272" t="n">
        <v>14.35</v>
      </c>
      <c r="E1272" s="730" t="n">
        <v>-0.3</v>
      </c>
      <c r="F1272" s="731" t="n">
        <v>-2.05</v>
      </c>
      <c r="G1272" t="inlineStr">
        <is>
          <t>904萬</t>
        </is>
      </c>
      <c r="H1272" t="n">
        <v>623</v>
      </c>
      <c r="I1272" t="n">
        <v>521</v>
      </c>
      <c r="J1272" t="n">
        <v>14.47</v>
      </c>
      <c r="K1272" t="n">
        <v>14.85</v>
      </c>
      <c r="L1272" t="n">
        <v>14.3</v>
      </c>
      <c r="M1272" s="155" t="n">
        <v>0.43</v>
      </c>
      <c r="N1272" t="inlineStr">
        <is>
          <t>血糖儀、血糖試片、居家醫療器材廠商</t>
        </is>
      </c>
    </row>
    <row r="1273">
      <c r="A1273" t="n">
        <v>4157</v>
      </c>
      <c r="B1273" t="inlineStr">
        <is>
          <t>太景*-KY</t>
        </is>
      </c>
      <c r="C1273" t="n">
        <v>9.06</v>
      </c>
      <c r="D1273" t="n">
        <v>9.06</v>
      </c>
      <c r="E1273" s="730" t="n">
        <v>0</v>
      </c>
      <c r="F1273" s="731" t="n">
        <v>0</v>
      </c>
      <c r="G1273" t="inlineStr">
        <is>
          <t>2001萬</t>
        </is>
      </c>
      <c r="H1273" t="n">
        <v>2221</v>
      </c>
      <c r="I1273" t="n">
        <v>1589</v>
      </c>
      <c r="J1273" t="n">
        <v>0.01</v>
      </c>
      <c r="K1273" t="n">
        <v>9.09</v>
      </c>
      <c r="L1273" t="n">
        <v>8.94</v>
      </c>
      <c r="M1273" s="155" t="n">
        <v>0.31</v>
      </c>
      <c r="N1273" t="inlineStr">
        <is>
          <t>小分子創新化合物新藥研發廠</t>
        </is>
      </c>
    </row>
    <row r="1274">
      <c r="A1274" t="n">
        <v>4160</v>
      </c>
      <c r="B1274" t="inlineStr">
        <is>
          <t>訊聯基因</t>
        </is>
      </c>
      <c r="C1274" t="n">
        <v>39.7</v>
      </c>
      <c r="D1274" t="n">
        <v>40</v>
      </c>
      <c r="E1274" s="730" t="n">
        <v>0.3</v>
      </c>
      <c r="F1274" s="731" t="n">
        <v>0.76</v>
      </c>
      <c r="G1274" t="inlineStr">
        <is>
          <t>609萬</t>
        </is>
      </c>
      <c r="H1274" t="n">
        <v>152</v>
      </c>
      <c r="I1274" t="n">
        <v>108</v>
      </c>
      <c r="J1274" t="n">
        <v>2.67</v>
      </c>
      <c r="K1274" t="n">
        <v>40.65</v>
      </c>
      <c r="L1274" t="n">
        <v>39.25</v>
      </c>
      <c r="M1274" s="155" t="n">
        <v>0.57</v>
      </c>
      <c r="N1274" t="inlineStr">
        <is>
          <t>台灣專攻基因醫學與數位生技的公司</t>
        </is>
      </c>
    </row>
    <row r="1275">
      <c r="A1275" t="n">
        <v>4161</v>
      </c>
      <c r="B1275" t="inlineStr">
        <is>
          <t>聿新科</t>
        </is>
      </c>
      <c r="C1275" t="n">
        <v>23</v>
      </c>
      <c r="D1275" t="n">
        <v>22.8</v>
      </c>
      <c r="E1275" s="730" t="n">
        <v>-0.2</v>
      </c>
      <c r="F1275" s="731" t="n">
        <v>-0.87</v>
      </c>
      <c r="G1275" t="inlineStr">
        <is>
          <t>139萬</t>
        </is>
      </c>
      <c r="H1275" t="n">
        <v>61</v>
      </c>
      <c r="I1275" t="n">
        <v>82</v>
      </c>
      <c r="J1275" t="n">
        <v>5.98</v>
      </c>
      <c r="K1275" t="n">
        <v>23.15</v>
      </c>
      <c r="L1275" t="n">
        <v>22.65</v>
      </c>
      <c r="M1275" s="155" t="n">
        <v>0.1</v>
      </c>
      <c r="N1275" t="inlineStr">
        <is>
          <t>血糖檢測設備與天然蝦紅素保健品廠</t>
        </is>
      </c>
    </row>
    <row r="1276">
      <c r="A1276" t="n">
        <v>4162</v>
      </c>
      <c r="B1276" t="inlineStr">
        <is>
          <t>智擎</t>
        </is>
      </c>
      <c r="C1276" t="n">
        <v>54.5</v>
      </c>
      <c r="D1276" t="n">
        <v>54.9</v>
      </c>
      <c r="E1276" s="730" t="n">
        <v>0.6</v>
      </c>
      <c r="F1276" s="731" t="n">
        <v>1.1</v>
      </c>
      <c r="G1276" t="inlineStr">
        <is>
          <t>2031萬</t>
        </is>
      </c>
      <c r="H1276" t="n">
        <v>373</v>
      </c>
      <c r="I1276" t="n">
        <v>539</v>
      </c>
      <c r="J1276" t="n">
        <v>14.57</v>
      </c>
      <c r="K1276" t="n">
        <v>55</v>
      </c>
      <c r="L1276" t="n">
        <v>54.1</v>
      </c>
      <c r="M1276" s="155" t="n">
        <v>0.26</v>
      </c>
      <c r="N1276" t="inlineStr">
        <is>
          <t>東洋集團旗下新藥研發公司</t>
        </is>
      </c>
    </row>
    <row r="1277">
      <c r="A1277" t="n">
        <v>4163</v>
      </c>
      <c r="B1277" t="inlineStr">
        <is>
          <t>鐿鈦</t>
        </is>
      </c>
      <c r="C1277" t="n">
        <v>133</v>
      </c>
      <c r="D1277" t="n">
        <v>133</v>
      </c>
      <c r="E1277" s="730" t="n">
        <v>12</v>
      </c>
      <c r="F1277" s="731" t="n">
        <v>9.92</v>
      </c>
      <c r="G1277" t="inlineStr">
        <is>
          <t>9543萬</t>
        </is>
      </c>
      <c r="H1277" t="n">
        <v>720</v>
      </c>
      <c r="I1277" t="n">
        <v>219</v>
      </c>
      <c r="J1277" t="n">
        <v>5.07</v>
      </c>
      <c r="K1277" t="n">
        <v>133</v>
      </c>
      <c r="L1277" t="n">
        <v>129</v>
      </c>
      <c r="M1277" s="155" t="n">
        <v>1.42</v>
      </c>
      <c r="N1277" t="inlineStr">
        <is>
          <t>醫療器材用精密金屬零件製造商</t>
        </is>
      </c>
    </row>
    <row r="1278">
      <c r="A1278" t="n">
        <v>4164</v>
      </c>
      <c r="B1278" t="inlineStr">
        <is>
          <t>承業醫</t>
        </is>
      </c>
      <c r="C1278" t="n">
        <v>28.55</v>
      </c>
      <c r="D1278" t="n">
        <v>28.75</v>
      </c>
      <c r="E1278" s="730" t="n">
        <v>0.2</v>
      </c>
      <c r="F1278" s="731" t="n">
        <v>0.7</v>
      </c>
      <c r="G1278" t="inlineStr">
        <is>
          <t>2031萬</t>
        </is>
      </c>
      <c r="H1278" t="n">
        <v>715</v>
      </c>
      <c r="I1278" t="n">
        <v>656</v>
      </c>
      <c r="J1278" t="n">
        <v>19.53</v>
      </c>
      <c r="K1278" t="n">
        <v>28.75</v>
      </c>
      <c r="L1278" t="n">
        <v>28.2</v>
      </c>
      <c r="M1278" s="155" t="n">
        <v>0.38</v>
      </c>
      <c r="N1278" t="inlineStr">
        <is>
          <t>台灣最大腫瘤醫學設備代理商</t>
        </is>
      </c>
    </row>
    <row r="1279">
      <c r="A1279" t="n">
        <v>4166</v>
      </c>
      <c r="B1279" t="inlineStr">
        <is>
          <t>友霖</t>
        </is>
      </c>
      <c r="C1279" t="n">
        <v>23.5</v>
      </c>
      <c r="D1279" t="n">
        <v>23.4</v>
      </c>
      <c r="E1279" s="730" t="n">
        <v>-0.1</v>
      </c>
      <c r="F1279" s="731" t="n">
        <v>-0.43</v>
      </c>
      <c r="G1279" t="inlineStr">
        <is>
          <t>532萬</t>
        </is>
      </c>
      <c r="H1279" t="n">
        <v>229</v>
      </c>
      <c r="I1279" t="n">
        <v>422</v>
      </c>
      <c r="J1279" t="n">
        <v>24.3</v>
      </c>
      <c r="K1279" t="n">
        <v>23.5</v>
      </c>
      <c r="L1279" t="n">
        <v>23.15</v>
      </c>
      <c r="M1279" s="155" t="n">
        <v>0.09</v>
      </c>
      <c r="N1279" t="inlineStr">
        <is>
          <t>友華旗下的新藥研發生產商</t>
        </is>
      </c>
    </row>
    <row r="1280">
      <c r="A1280" t="n">
        <v>4167</v>
      </c>
      <c r="B1280" t="inlineStr">
        <is>
          <t>松瑞藥</t>
        </is>
      </c>
      <c r="C1280" t="n">
        <v>20.05</v>
      </c>
      <c r="D1280" t="n">
        <v>20.25</v>
      </c>
      <c r="E1280" s="730" t="n">
        <v>0.2</v>
      </c>
      <c r="F1280" s="731" t="n">
        <v>1</v>
      </c>
      <c r="G1280" t="inlineStr">
        <is>
          <t>2675萬</t>
        </is>
      </c>
      <c r="H1280" t="n">
        <v>1331</v>
      </c>
      <c r="I1280" t="n">
        <v>1309</v>
      </c>
      <c r="J1280" t="n">
        <v>31.04</v>
      </c>
      <c r="K1280" t="n">
        <v>20.3</v>
      </c>
      <c r="L1280" t="n">
        <v>19.85</v>
      </c>
      <c r="M1280" s="155" t="n">
        <v>0.43</v>
      </c>
      <c r="N1280" t="inlineStr">
        <is>
          <t>全球前三大培南類抗生素原料藥供應商</t>
        </is>
      </c>
    </row>
    <row r="1281">
      <c r="A1281" t="n">
        <v>4168</v>
      </c>
      <c r="B1281" t="inlineStr">
        <is>
          <t>醣聯</t>
        </is>
      </c>
      <c r="C1281" t="n">
        <v>25.5</v>
      </c>
      <c r="D1281" t="n">
        <v>26.2</v>
      </c>
      <c r="E1281" s="730" t="n">
        <v>0.05</v>
      </c>
      <c r="F1281" s="731" t="n">
        <v>0.19</v>
      </c>
      <c r="G1281" t="inlineStr">
        <is>
          <t>808萬</t>
        </is>
      </c>
      <c r="H1281" t="n">
        <v>312</v>
      </c>
      <c r="I1281" t="n">
        <v>695</v>
      </c>
      <c r="J1281" t="n">
        <v>11.25</v>
      </c>
      <c r="K1281" t="n">
        <v>26.2</v>
      </c>
      <c r="L1281" t="n">
        <v>25.5</v>
      </c>
      <c r="M1281" s="155" t="n">
        <v>0.28</v>
      </c>
      <c r="N1281" t="inlineStr">
        <is>
          <t>醣質抗體與蛋白質藥物研發廠</t>
        </is>
      </c>
    </row>
    <row r="1282">
      <c r="A1282" t="n">
        <v>4169</v>
      </c>
      <c r="B1282" t="inlineStr">
        <is>
          <t>泰宗</t>
        </is>
      </c>
      <c r="C1282" t="n">
        <v>156</v>
      </c>
      <c r="D1282" t="n">
        <v>160</v>
      </c>
      <c r="E1282" s="730" t="n">
        <v>1.5</v>
      </c>
      <c r="F1282" s="731" t="n">
        <v>0.95</v>
      </c>
      <c r="G1282" t="inlineStr">
        <is>
          <t>2950萬</t>
        </is>
      </c>
      <c r="H1282" t="n">
        <v>187</v>
      </c>
      <c r="I1282" t="n">
        <v>128</v>
      </c>
      <c r="J1282" t="n">
        <v>6.64</v>
      </c>
      <c r="K1282" t="n">
        <v>162</v>
      </c>
      <c r="L1282" t="n">
        <v>154</v>
      </c>
      <c r="M1282" s="155" t="n">
        <v>0.28</v>
      </c>
      <c r="N1282" t="inlineStr">
        <is>
          <t>專注肝癌檢測與泌尿道新藥研發廠商</t>
        </is>
      </c>
    </row>
    <row r="1283">
      <c r="A1283" t="n">
        <v>4171</v>
      </c>
      <c r="B1283" t="inlineStr">
        <is>
          <t>瑞基</t>
        </is>
      </c>
      <c r="C1283" t="n">
        <v>17.85</v>
      </c>
      <c r="D1283" t="n">
        <v>18.1</v>
      </c>
      <c r="E1283" s="730" t="n">
        <v>0.25</v>
      </c>
      <c r="F1283" s="731" t="n">
        <v>1.4</v>
      </c>
      <c r="G1283" t="inlineStr">
        <is>
          <t>224萬</t>
        </is>
      </c>
      <c r="H1283" t="n">
        <v>125</v>
      </c>
      <c r="I1283" t="n">
        <v>156</v>
      </c>
      <c r="J1283" t="n">
        <v>5.81</v>
      </c>
      <c r="K1283" t="n">
        <v>18.3</v>
      </c>
      <c r="L1283" t="n">
        <v>17.7</v>
      </c>
      <c r="M1283" s="155" t="n">
        <v>0.22</v>
      </c>
      <c r="N1283" t="inlineStr">
        <is>
          <t>全球最大蝦類白點病毒檢測試劑廠</t>
        </is>
      </c>
    </row>
    <row r="1284">
      <c r="A1284" t="n">
        <v>4173</v>
      </c>
      <c r="B1284" t="inlineStr">
        <is>
          <t>久裕</t>
        </is>
      </c>
      <c r="C1284" t="n">
        <v>18</v>
      </c>
      <c r="D1284" t="n">
        <v>18.05</v>
      </c>
      <c r="E1284" s="730" t="n">
        <v>0.05</v>
      </c>
      <c r="F1284" s="731" t="n">
        <v>0.28</v>
      </c>
      <c r="G1284" t="inlineStr">
        <is>
          <t>137萬</t>
        </is>
      </c>
      <c r="H1284" t="n">
        <v>76</v>
      </c>
      <c r="I1284" t="n">
        <v>126</v>
      </c>
      <c r="J1284" t="n">
        <v>7.46</v>
      </c>
      <c r="K1284" t="n">
        <v>18.1</v>
      </c>
      <c r="L1284" t="n">
        <v>18</v>
      </c>
      <c r="M1284" s="155" t="n">
        <v>0.1</v>
      </c>
      <c r="N1284" t="inlineStr">
        <is>
          <t>佳醫旗下藥品經銷物流商</t>
        </is>
      </c>
    </row>
    <row r="1285">
      <c r="A1285" t="n">
        <v>4174</v>
      </c>
      <c r="B1285" t="inlineStr">
        <is>
          <t>浩鼎</t>
        </is>
      </c>
      <c r="C1285" t="n">
        <v>28.5</v>
      </c>
      <c r="D1285" t="n">
        <v>28.35</v>
      </c>
      <c r="E1285" s="730" t="n">
        <v>-0.2</v>
      </c>
      <c r="F1285" s="731" t="n">
        <v>-0.7</v>
      </c>
      <c r="G1285" t="inlineStr">
        <is>
          <t>1963萬</t>
        </is>
      </c>
      <c r="H1285" t="n">
        <v>697</v>
      </c>
      <c r="I1285" t="n">
        <v>547</v>
      </c>
      <c r="J1285" t="n">
        <v>13.16</v>
      </c>
      <c r="K1285" t="n">
        <v>28.7</v>
      </c>
      <c r="L1285" t="n">
        <v>27.75</v>
      </c>
      <c r="M1285" s="155" t="n">
        <v>0.53</v>
      </c>
      <c r="N1285" t="inlineStr">
        <is>
          <t>潤泰集團旗下抗癌新藥研發公司</t>
        </is>
      </c>
    </row>
    <row r="1286">
      <c r="A1286" t="n">
        <v>4175</v>
      </c>
      <c r="B1286" t="inlineStr">
        <is>
          <t>杏一</t>
        </is>
      </c>
      <c r="C1286" t="n">
        <v>54</v>
      </c>
      <c r="D1286" t="n">
        <v>53.6</v>
      </c>
      <c r="E1286" s="730" t="n">
        <v>0</v>
      </c>
      <c r="F1286" s="731" t="n">
        <v>0</v>
      </c>
      <c r="G1286" t="inlineStr">
        <is>
          <t>151萬</t>
        </is>
      </c>
      <c r="H1286" t="n">
        <v>28</v>
      </c>
      <c r="I1286" t="n">
        <v>43</v>
      </c>
      <c r="J1286" t="n">
        <v>4.23</v>
      </c>
      <c r="K1286" t="n">
        <v>54</v>
      </c>
      <c r="L1286" t="n">
        <v>53.4</v>
      </c>
      <c r="M1286" s="155" t="n">
        <v>0.07000000000000001</v>
      </c>
      <c r="N1286" t="inlineStr">
        <is>
          <t>台灣醫療用品連鎖通路龍頭</t>
        </is>
      </c>
    </row>
    <row r="1287">
      <c r="A1287" t="n">
        <v>4178</v>
      </c>
      <c r="B1287" t="inlineStr">
        <is>
          <t>永笙-KY</t>
        </is>
      </c>
      <c r="C1287" t="n">
        <v>18.95</v>
      </c>
      <c r="D1287" t="n">
        <v>18.6</v>
      </c>
      <c r="E1287" s="730" t="n">
        <v>-0.3</v>
      </c>
      <c r="F1287" s="731" t="n">
        <v>-1.59</v>
      </c>
      <c r="G1287" t="inlineStr">
        <is>
          <t>690萬</t>
        </is>
      </c>
      <c r="H1287" t="n">
        <v>370</v>
      </c>
      <c r="I1287" t="n">
        <v>505</v>
      </c>
      <c r="J1287" t="n">
        <v>21.59</v>
      </c>
      <c r="K1287" t="n">
        <v>18.95</v>
      </c>
      <c r="L1287" t="n">
        <v>18.55</v>
      </c>
      <c r="M1287" s="155" t="n">
        <v>0.17</v>
      </c>
      <c r="N1287" t="inlineStr">
        <is>
          <t>中天生技集團旗下細胞治療新藥公司</t>
        </is>
      </c>
    </row>
    <row r="1288">
      <c r="A1288" t="n">
        <v>4183</v>
      </c>
      <c r="B1288" t="inlineStr">
        <is>
          <t>福永生技</t>
        </is>
      </c>
      <c r="C1288" t="n">
        <v>12.95</v>
      </c>
      <c r="D1288" t="n">
        <v>13</v>
      </c>
      <c r="E1288" s="730" t="n">
        <v>0</v>
      </c>
      <c r="F1288" s="731" t="n">
        <v>0</v>
      </c>
      <c r="G1288" t="inlineStr">
        <is>
          <t>6.50萬</t>
        </is>
      </c>
      <c r="H1288" t="n">
        <v>5</v>
      </c>
      <c r="I1288" t="n">
        <v>13</v>
      </c>
      <c r="J1288" t="n">
        <v>2.38</v>
      </c>
      <c r="K1288" t="n">
        <v>13</v>
      </c>
      <c r="L1288" t="n">
        <v>12.95</v>
      </c>
      <c r="M1288" s="155" t="n">
        <v>0.02</v>
      </c>
      <c r="N1288" t="inlineStr">
        <is>
          <t>台灣血糖測試設備商</t>
        </is>
      </c>
    </row>
    <row r="1289">
      <c r="A1289" t="n">
        <v>4188</v>
      </c>
      <c r="B1289" t="inlineStr">
        <is>
          <t>安克</t>
        </is>
      </c>
      <c r="C1289" t="n">
        <v>11.05</v>
      </c>
      <c r="D1289" t="n">
        <v>10.95</v>
      </c>
      <c r="E1289" s="730" t="n">
        <v>-0.1</v>
      </c>
      <c r="F1289" s="731" t="n">
        <v>-0.9</v>
      </c>
      <c r="G1289" t="inlineStr">
        <is>
          <t>97.9萬</t>
        </is>
      </c>
      <c r="H1289" t="n">
        <v>90</v>
      </c>
      <c r="I1289" t="n">
        <v>69</v>
      </c>
      <c r="J1289" t="n">
        <v>6.33</v>
      </c>
      <c r="K1289" t="n">
        <v>11.05</v>
      </c>
      <c r="L1289" t="n">
        <v>10.8</v>
      </c>
      <c r="M1289" s="155" t="n">
        <v>0.14</v>
      </c>
      <c r="N1289" t="inlineStr">
        <is>
          <t>全球首個FDA核准之超音波電腦輔助診斷(CAD)醫材公司</t>
        </is>
      </c>
    </row>
    <row r="1290">
      <c r="A1290" t="n">
        <v>4190</v>
      </c>
      <c r="B1290" t="inlineStr">
        <is>
          <t>佐登-KY</t>
        </is>
      </c>
      <c r="C1290" t="n">
        <v>24.4</v>
      </c>
      <c r="D1290" t="n">
        <v>24.35</v>
      </c>
      <c r="E1290" s="730" t="n">
        <v>0.05</v>
      </c>
      <c r="F1290" s="731" t="n">
        <v>0.21</v>
      </c>
      <c r="G1290" t="inlineStr">
        <is>
          <t>144萬</t>
        </is>
      </c>
      <c r="H1290" t="n">
        <v>59</v>
      </c>
      <c r="I1290" t="n">
        <v>51</v>
      </c>
      <c r="J1290" t="n">
        <v>6.14</v>
      </c>
      <c r="K1290" t="n">
        <v>24.7</v>
      </c>
      <c r="L1290" t="n">
        <v>24.1</v>
      </c>
      <c r="M1290" s="155" t="n">
        <v>0.1</v>
      </c>
      <c r="N1290" t="inlineStr">
        <is>
          <t>專注研發生產、銷售保養品及課程服務領域</t>
        </is>
      </c>
    </row>
    <row r="1291">
      <c r="A1291" t="n">
        <v>4192</v>
      </c>
      <c r="B1291" t="inlineStr">
        <is>
          <t>杏國</t>
        </is>
      </c>
      <c r="C1291" t="n">
        <v>20.5</v>
      </c>
      <c r="D1291" t="n">
        <v>20.5</v>
      </c>
      <c r="E1291" s="730" t="n">
        <v>0.7</v>
      </c>
      <c r="F1291" s="731" t="n">
        <v>3.54</v>
      </c>
      <c r="G1291" t="inlineStr">
        <is>
          <t>40.5萬</t>
        </is>
      </c>
      <c r="H1291" t="n">
        <v>20</v>
      </c>
      <c r="I1291" t="n">
        <v>17</v>
      </c>
      <c r="J1291" t="n">
        <v>3.52</v>
      </c>
      <c r="K1291" t="n">
        <v>20.5</v>
      </c>
      <c r="L1291" t="n">
        <v>20</v>
      </c>
      <c r="M1291" s="155" t="n">
        <v>0.06</v>
      </c>
      <c r="N1291" t="inlineStr">
        <is>
          <t>杏輝旗下植物新藥研發廠</t>
        </is>
      </c>
    </row>
    <row r="1292">
      <c r="A1292" t="n">
        <v>4198</v>
      </c>
      <c r="B1292" t="inlineStr">
        <is>
          <t>欣大健康</t>
        </is>
      </c>
      <c r="C1292" t="n">
        <v>38.8</v>
      </c>
      <c r="D1292" t="n">
        <v>38.75</v>
      </c>
      <c r="E1292" s="730" t="n">
        <v>0.1</v>
      </c>
      <c r="F1292" s="731" t="n">
        <v>0.26</v>
      </c>
      <c r="G1292" t="inlineStr">
        <is>
          <t>69.0萬</t>
        </is>
      </c>
      <c r="H1292" t="n">
        <v>18</v>
      </c>
      <c r="I1292" t="n">
        <v>23</v>
      </c>
      <c r="J1292" t="n">
        <v>2.41</v>
      </c>
      <c r="K1292" t="n">
        <v>39.2</v>
      </c>
      <c r="L1292" t="n">
        <v>37.45</v>
      </c>
      <c r="M1292" s="155" t="n">
        <v>0.07000000000000001</v>
      </c>
      <c r="N1292" t="inlineStr">
        <is>
          <t>高階數位X光機及骨質密度檢測設備廠</t>
        </is>
      </c>
    </row>
    <row r="1293">
      <c r="A1293" t="n">
        <v>4205</v>
      </c>
      <c r="B1293" t="inlineStr">
        <is>
          <t>中華食</t>
        </is>
      </c>
      <c r="C1293" t="n">
        <v>72.2</v>
      </c>
      <c r="D1293" t="n">
        <v>72.5</v>
      </c>
      <c r="E1293" s="730" t="n">
        <v>0.3</v>
      </c>
      <c r="F1293" s="731" t="n">
        <v>0.42</v>
      </c>
      <c r="G1293" t="inlineStr">
        <is>
          <t>296萬</t>
        </is>
      </c>
      <c r="H1293" t="n">
        <v>41</v>
      </c>
      <c r="I1293" t="n">
        <v>59</v>
      </c>
      <c r="J1293" t="n">
        <v>9.76</v>
      </c>
      <c r="K1293" t="n">
        <v>72.5</v>
      </c>
      <c r="L1293" t="n">
        <v>72.09999999999999</v>
      </c>
      <c r="M1293" s="155" t="n">
        <v>0.04</v>
      </c>
      <c r="N1293" t="inlineStr">
        <is>
          <t>中華豆腐及豆花製造廠</t>
        </is>
      </c>
    </row>
    <row r="1294">
      <c r="A1294" t="n">
        <v>4207</v>
      </c>
      <c r="B1294" t="inlineStr">
        <is>
          <t>環泰</t>
        </is>
      </c>
      <c r="C1294" t="n">
        <v>19.65</v>
      </c>
      <c r="D1294" t="n">
        <v>19.55</v>
      </c>
      <c r="E1294" s="730" t="n">
        <v>-0.1</v>
      </c>
      <c r="F1294" s="731" t="n">
        <v>-0.51</v>
      </c>
      <c r="G1294" t="inlineStr">
        <is>
          <t>158萬</t>
        </is>
      </c>
      <c r="H1294" t="n">
        <v>231</v>
      </c>
      <c r="I1294" t="n">
        <v>288</v>
      </c>
      <c r="J1294" t="n">
        <v>19.85</v>
      </c>
      <c r="K1294" t="n">
        <v>19.7</v>
      </c>
      <c r="L1294" t="n">
        <v>19.45</v>
      </c>
      <c r="M1294" s="155" t="n">
        <v>0.12</v>
      </c>
      <c r="N1294" t="inlineStr">
        <is>
          <t>台灣三大果糖廠之一</t>
        </is>
      </c>
    </row>
    <row r="1295">
      <c r="A1295" t="n">
        <v>4303</v>
      </c>
      <c r="B1295" t="inlineStr">
        <is>
          <t>信立</t>
        </is>
      </c>
      <c r="C1295" t="n">
        <v>48.8</v>
      </c>
      <c r="D1295" t="n">
        <v>47.7</v>
      </c>
      <c r="E1295" s="730" t="n">
        <v>-0.6</v>
      </c>
      <c r="F1295" s="731" t="n">
        <v>-1.24</v>
      </c>
      <c r="G1295" t="inlineStr">
        <is>
          <t>3031萬</t>
        </is>
      </c>
      <c r="H1295" t="n">
        <v>636</v>
      </c>
      <c r="I1295" t="n">
        <v>776</v>
      </c>
      <c r="J1295" t="n">
        <v>9.460000000000001</v>
      </c>
      <c r="K1295" t="n">
        <v>48.8</v>
      </c>
      <c r="L1295" t="n">
        <v>47.35</v>
      </c>
      <c r="M1295" s="155" t="n">
        <v>0.67</v>
      </c>
      <c r="N1295" t="inlineStr">
        <is>
          <t>台灣知名PU合成皮及PVC皮廠商</t>
        </is>
      </c>
    </row>
    <row r="1296">
      <c r="A1296" t="n">
        <v>4304</v>
      </c>
      <c r="B1296" t="inlineStr">
        <is>
          <t>勝昱</t>
        </is>
      </c>
      <c r="C1296" t="n">
        <v>26.6</v>
      </c>
      <c r="D1296" t="n">
        <v>26.95</v>
      </c>
      <c r="E1296" s="730" t="n">
        <v>-0.05</v>
      </c>
      <c r="F1296" s="731" t="n">
        <v>-0.19</v>
      </c>
      <c r="G1296" t="inlineStr">
        <is>
          <t>47.8萬</t>
        </is>
      </c>
      <c r="H1296" t="n">
        <v>18</v>
      </c>
      <c r="I1296" t="n">
        <v>26</v>
      </c>
      <c r="J1296" t="n">
        <v>6.1</v>
      </c>
      <c r="K1296" t="n">
        <v>26.95</v>
      </c>
      <c r="L1296" t="n">
        <v>26.5</v>
      </c>
      <c r="M1296" s="155" t="n">
        <v>0.03</v>
      </c>
      <c r="N1296" t="inlineStr">
        <is>
          <t>台灣EMI電磁波屏隔材料第一大廠</t>
        </is>
      </c>
    </row>
    <row r="1297">
      <c r="A1297" t="n">
        <v>4305</v>
      </c>
      <c r="B1297" t="inlineStr">
        <is>
          <t>世坤</t>
        </is>
      </c>
      <c r="C1297" t="inlineStr">
        <is>
          <t>--</t>
        </is>
      </c>
      <c r="D1297" t="inlineStr">
        <is>
          <t>--</t>
        </is>
      </c>
      <c r="E1297" s="730" t="inlineStr">
        <is>
          <t>--</t>
        </is>
      </c>
      <c r="F1297" s="731" t="inlineStr">
        <is>
          <t>--</t>
        </is>
      </c>
      <c r="G1297" t="inlineStr">
        <is>
          <t>--</t>
        </is>
      </c>
      <c r="H1297" t="n">
        <v>0</v>
      </c>
      <c r="I1297" t="n">
        <v>9</v>
      </c>
      <c r="J1297" t="n">
        <v>5.5</v>
      </c>
      <c r="K1297" t="inlineStr">
        <is>
          <t>--</t>
        </is>
      </c>
      <c r="L1297" t="inlineStr">
        <is>
          <t>--</t>
        </is>
      </c>
      <c r="M1297" s="155" t="n">
        <v>0</v>
      </c>
      <c r="N1297" t="inlineStr">
        <is>
          <t>專業PVC軟質膠布廠</t>
        </is>
      </c>
    </row>
    <row r="1298">
      <c r="A1298" t="n">
        <v>4306</v>
      </c>
      <c r="B1298" t="inlineStr">
        <is>
          <t>炎洲</t>
        </is>
      </c>
      <c r="C1298" t="n">
        <v>14.3</v>
      </c>
      <c r="D1298" t="n">
        <v>14.45</v>
      </c>
      <c r="E1298" s="730" t="n">
        <v>0.2</v>
      </c>
      <c r="F1298" s="731" t="n">
        <v>1.4</v>
      </c>
      <c r="G1298" t="inlineStr">
        <is>
          <t>3436萬</t>
        </is>
      </c>
      <c r="H1298" t="n">
        <v>2386</v>
      </c>
      <c r="I1298" t="n">
        <v>1827</v>
      </c>
      <c r="J1298" t="n">
        <v>67.68000000000001</v>
      </c>
      <c r="K1298" t="n">
        <v>14.55</v>
      </c>
      <c r="L1298" t="n">
        <v>14.2</v>
      </c>
      <c r="M1298" s="155" t="n">
        <v>0.35</v>
      </c>
      <c r="N1298" t="inlineStr">
        <is>
          <t>台灣膠帶龍頭公司</t>
        </is>
      </c>
    </row>
    <row r="1299">
      <c r="A1299" t="n">
        <v>4401</v>
      </c>
      <c r="B1299" t="inlineStr">
        <is>
          <t>東隆興</t>
        </is>
      </c>
      <c r="C1299" t="n">
        <v>13.7</v>
      </c>
      <c r="D1299" t="n">
        <v>13.7</v>
      </c>
      <c r="E1299" s="730" t="n">
        <v>0.1</v>
      </c>
      <c r="F1299" s="731" t="n">
        <v>0.74</v>
      </c>
      <c r="G1299" t="inlineStr">
        <is>
          <t>208萬</t>
        </is>
      </c>
      <c r="H1299" t="n">
        <v>152</v>
      </c>
      <c r="I1299" t="n">
        <v>111</v>
      </c>
      <c r="J1299" t="n">
        <v>12.27</v>
      </c>
      <c r="K1299" t="n">
        <v>13.8</v>
      </c>
      <c r="L1299" t="n">
        <v>13.6</v>
      </c>
      <c r="M1299" s="155" t="n">
        <v>0.12</v>
      </c>
      <c r="N1299" t="inlineStr">
        <is>
          <t>亞洲最大的尼龍66線紗供應商</t>
        </is>
      </c>
    </row>
    <row r="1300">
      <c r="A1300" t="n">
        <v>4402</v>
      </c>
      <c r="B1300" t="inlineStr">
        <is>
          <t>郡都開發</t>
        </is>
      </c>
      <c r="C1300" t="n">
        <v>12.1</v>
      </c>
      <c r="D1300" t="n">
        <v>12</v>
      </c>
      <c r="E1300" s="730" t="n">
        <v>-0.1</v>
      </c>
      <c r="F1300" s="731" t="n">
        <v>-0.83</v>
      </c>
      <c r="G1300" t="inlineStr">
        <is>
          <t>147萬</t>
        </is>
      </c>
      <c r="H1300" t="n">
        <v>122</v>
      </c>
      <c r="I1300" t="n">
        <v>89</v>
      </c>
      <c r="J1300" t="n">
        <v>6.8</v>
      </c>
      <c r="K1300" t="n">
        <v>12.15</v>
      </c>
      <c r="L1300" t="n">
        <v>11.95</v>
      </c>
      <c r="M1300" s="155" t="n">
        <v>0.18</v>
      </c>
      <c r="N1300" t="inlineStr">
        <is>
          <t>經營紡織及太陽能電站業務</t>
        </is>
      </c>
    </row>
    <row r="1301">
      <c r="A1301" t="n">
        <v>4406</v>
      </c>
      <c r="B1301" t="inlineStr">
        <is>
          <t>新昕纖</t>
        </is>
      </c>
      <c r="C1301" t="n">
        <v>9.800000000000001</v>
      </c>
      <c r="D1301" t="n">
        <v>9.9</v>
      </c>
      <c r="E1301" s="730" t="n">
        <v>0.1</v>
      </c>
      <c r="F1301" s="731" t="n">
        <v>1.02</v>
      </c>
      <c r="G1301" t="inlineStr">
        <is>
          <t>4.94萬</t>
        </is>
      </c>
      <c r="H1301" t="n">
        <v>5</v>
      </c>
      <c r="I1301" t="n">
        <v>74</v>
      </c>
      <c r="J1301" t="n">
        <v>5.19</v>
      </c>
      <c r="K1301" t="n">
        <v>9.91</v>
      </c>
      <c r="L1301" t="n">
        <v>9.800000000000001</v>
      </c>
      <c r="M1301" s="155" t="n">
        <v>0.01</v>
      </c>
      <c r="N1301" t="inlineStr">
        <is>
          <t>為特殊規格加工絲的中小型假撚廠</t>
        </is>
      </c>
    </row>
    <row r="1302">
      <c r="A1302" t="n">
        <v>4413</v>
      </c>
      <c r="B1302" t="inlineStr">
        <is>
          <t>飛寶企業</t>
        </is>
      </c>
      <c r="C1302" t="inlineStr">
        <is>
          <t>--</t>
        </is>
      </c>
      <c r="D1302" t="inlineStr">
        <is>
          <t>--</t>
        </is>
      </c>
      <c r="E1302" s="730" t="inlineStr">
        <is>
          <t>--</t>
        </is>
      </c>
      <c r="F1302" s="731" t="inlineStr">
        <is>
          <t>--</t>
        </is>
      </c>
      <c r="G1302" t="inlineStr">
        <is>
          <t>--</t>
        </is>
      </c>
      <c r="H1302" t="n">
        <v>0</v>
      </c>
      <c r="I1302" t="n">
        <v>12</v>
      </c>
      <c r="J1302" t="n">
        <v>3.13</v>
      </c>
      <c r="K1302" t="inlineStr">
        <is>
          <t>--</t>
        </is>
      </c>
      <c r="L1302" t="inlineStr">
        <is>
          <t>--</t>
        </is>
      </c>
      <c r="M1302" s="155" t="n">
        <v>0</v>
      </c>
      <c r="N1302" t="inlineStr">
        <is>
          <t>主要經營長纖布業務</t>
        </is>
      </c>
    </row>
    <row r="1303">
      <c r="A1303" t="n">
        <v>4414</v>
      </c>
      <c r="B1303" t="inlineStr">
        <is>
          <t>如興</t>
        </is>
      </c>
      <c r="C1303" t="n">
        <v>8.01</v>
      </c>
      <c r="D1303" t="n">
        <v>8.06</v>
      </c>
      <c r="E1303" s="730" t="n">
        <v>0.2</v>
      </c>
      <c r="F1303" s="731" t="n">
        <v>2.54</v>
      </c>
      <c r="G1303" t="inlineStr">
        <is>
          <t>678萬</t>
        </is>
      </c>
      <c r="H1303" t="n">
        <v>848</v>
      </c>
      <c r="I1303" t="n">
        <v>557</v>
      </c>
      <c r="J1303" t="n">
        <v>26.38</v>
      </c>
      <c r="K1303" t="n">
        <v>8.16</v>
      </c>
      <c r="L1303" t="n">
        <v>7.86</v>
      </c>
      <c r="M1303" s="155" t="n">
        <v>0.32</v>
      </c>
      <c r="N1303" t="inlineStr">
        <is>
          <t>國內知名成衣代工製造商</t>
        </is>
      </c>
    </row>
    <row r="1304">
      <c r="A1304" t="n">
        <v>4416</v>
      </c>
      <c r="B1304" t="inlineStr">
        <is>
          <t>三圓</t>
        </is>
      </c>
      <c r="C1304" t="n">
        <v>11.4</v>
      </c>
      <c r="D1304" t="n">
        <v>12.1</v>
      </c>
      <c r="E1304" s="730" t="n">
        <v>0.65</v>
      </c>
      <c r="F1304" s="731" t="n">
        <v>5.68</v>
      </c>
      <c r="G1304" t="inlineStr">
        <is>
          <t>419萬</t>
        </is>
      </c>
      <c r="H1304" t="n">
        <v>354</v>
      </c>
      <c r="I1304" t="n">
        <v>932</v>
      </c>
      <c r="J1304" t="n">
        <v>7.36</v>
      </c>
      <c r="K1304" t="n">
        <v>12.4</v>
      </c>
      <c r="L1304" t="n">
        <v>11.4</v>
      </c>
      <c r="M1304" s="155" t="n">
        <v>0.48</v>
      </c>
      <c r="N1304" t="inlineStr">
        <is>
          <t>從事國民住宅興建及出租出售業務</t>
        </is>
      </c>
    </row>
    <row r="1305">
      <c r="A1305" t="n">
        <v>4417</v>
      </c>
      <c r="B1305" t="inlineStr">
        <is>
          <t>金洲</t>
        </is>
      </c>
      <c r="C1305" t="n">
        <v>45.65</v>
      </c>
      <c r="D1305" t="n">
        <v>45.65</v>
      </c>
      <c r="E1305" s="730" t="n">
        <v>0</v>
      </c>
      <c r="F1305" s="731" t="n">
        <v>0</v>
      </c>
      <c r="G1305" t="inlineStr">
        <is>
          <t>615萬</t>
        </is>
      </c>
      <c r="H1305" t="n">
        <v>135</v>
      </c>
      <c r="I1305" t="n">
        <v>183</v>
      </c>
      <c r="J1305" t="n">
        <v>8.4</v>
      </c>
      <c r="K1305" t="n">
        <v>45.7</v>
      </c>
      <c r="L1305" t="n">
        <v>45.4</v>
      </c>
      <c r="M1305" s="155" t="n">
        <v>0.16</v>
      </c>
      <c r="N1305" t="inlineStr">
        <is>
          <t>全球第一大漁網生產商</t>
        </is>
      </c>
    </row>
    <row r="1306">
      <c r="A1306" t="n">
        <v>4419</v>
      </c>
      <c r="B1306" t="inlineStr">
        <is>
          <t>皇家美食</t>
        </is>
      </c>
      <c r="C1306" t="n">
        <v>46.55</v>
      </c>
      <c r="D1306" t="n">
        <v>46.5</v>
      </c>
      <c r="E1306" s="730" t="n">
        <v>-0.3</v>
      </c>
      <c r="F1306" s="731" t="n">
        <v>-0.64</v>
      </c>
      <c r="G1306" t="inlineStr">
        <is>
          <t>65.2萬</t>
        </is>
      </c>
      <c r="H1306" t="n">
        <v>14</v>
      </c>
      <c r="I1306" t="n">
        <v>24</v>
      </c>
      <c r="J1306" t="n">
        <v>16.92</v>
      </c>
      <c r="K1306" t="n">
        <v>46.8</v>
      </c>
      <c r="L1306" t="n">
        <v>46.35</v>
      </c>
      <c r="M1306" s="155" t="n">
        <v>0.01</v>
      </c>
      <c r="N1306" t="inlineStr">
        <is>
          <t>經營漢堡王、潮港城二大餐飲品牌</t>
        </is>
      </c>
    </row>
    <row r="1307">
      <c r="A1307" t="n">
        <v>4420</v>
      </c>
      <c r="B1307" t="inlineStr">
        <is>
          <t>光明</t>
        </is>
      </c>
      <c r="C1307" t="n">
        <v>38.2</v>
      </c>
      <c r="D1307" t="n">
        <v>38.55</v>
      </c>
      <c r="E1307" s="730" t="n">
        <v>0.35</v>
      </c>
      <c r="F1307" s="731" t="n">
        <v>0.92</v>
      </c>
      <c r="G1307" t="inlineStr">
        <is>
          <t>211萬</t>
        </is>
      </c>
      <c r="H1307" t="n">
        <v>55</v>
      </c>
      <c r="I1307" t="n">
        <v>85</v>
      </c>
      <c r="J1307" t="n">
        <v>4.05</v>
      </c>
      <c r="K1307" t="n">
        <v>38.6</v>
      </c>
      <c r="L1307" t="n">
        <v>38.2</v>
      </c>
      <c r="M1307" s="155" t="n">
        <v>0.14</v>
      </c>
      <c r="N1307" t="inlineStr">
        <is>
          <t>宜進入主，經營功能性加工絲與環保訴求加工絲為主</t>
        </is>
      </c>
    </row>
    <row r="1308">
      <c r="A1308" t="n">
        <v>4426</v>
      </c>
      <c r="B1308" t="inlineStr">
        <is>
          <t>利勤</t>
        </is>
      </c>
      <c r="C1308" t="n">
        <v>7.76</v>
      </c>
      <c r="D1308" t="n">
        <v>7.98</v>
      </c>
      <c r="E1308" s="730" t="n">
        <v>0.22</v>
      </c>
      <c r="F1308" s="731" t="n">
        <v>2.84</v>
      </c>
      <c r="G1308" t="inlineStr">
        <is>
          <t>256萬</t>
        </is>
      </c>
      <c r="H1308" t="n">
        <v>329</v>
      </c>
      <c r="I1308" t="n">
        <v>270</v>
      </c>
      <c r="J1308" t="n">
        <v>17.27</v>
      </c>
      <c r="K1308" t="n">
        <v>8</v>
      </c>
      <c r="L1308" t="n">
        <v>7.74</v>
      </c>
      <c r="M1308" s="155" t="n">
        <v>0.19</v>
      </c>
      <c r="N1308" t="inlineStr">
        <is>
          <t>3D立體織物之專業生產商</t>
        </is>
      </c>
    </row>
    <row r="1309">
      <c r="A1309" t="n">
        <v>4430</v>
      </c>
      <c r="B1309" t="inlineStr">
        <is>
          <t>耀億</t>
        </is>
      </c>
      <c r="C1309" t="n">
        <v>16.9</v>
      </c>
      <c r="D1309" t="n">
        <v>17.15</v>
      </c>
      <c r="E1309" s="730" t="n">
        <v>0.25</v>
      </c>
      <c r="F1309" s="731" t="n">
        <v>1.48</v>
      </c>
      <c r="G1309" t="inlineStr">
        <is>
          <t>62.5萬</t>
        </is>
      </c>
      <c r="H1309" t="n">
        <v>37</v>
      </c>
      <c r="I1309" t="n">
        <v>88</v>
      </c>
      <c r="J1309" t="n">
        <v>5.63</v>
      </c>
      <c r="K1309" t="n">
        <v>17.15</v>
      </c>
      <c r="L1309" t="n">
        <v>16.8</v>
      </c>
      <c r="M1309" s="155" t="n">
        <v>0.07000000000000001</v>
      </c>
      <c r="N1309" t="inlineStr">
        <is>
          <t>全球第一大之網球拍線製造商</t>
        </is>
      </c>
    </row>
    <row r="1310">
      <c r="A1310" t="n">
        <v>4432</v>
      </c>
      <c r="B1310" t="inlineStr">
        <is>
          <t>銘旺實</t>
        </is>
      </c>
      <c r="C1310" t="n">
        <v>17.65</v>
      </c>
      <c r="D1310" t="n">
        <v>17.25</v>
      </c>
      <c r="E1310" s="730" t="n">
        <v>-0.1</v>
      </c>
      <c r="F1310" s="731" t="n">
        <v>-0.58</v>
      </c>
      <c r="G1310" t="inlineStr">
        <is>
          <t>257萬</t>
        </is>
      </c>
      <c r="H1310" t="n">
        <v>149</v>
      </c>
      <c r="I1310" t="n">
        <v>77</v>
      </c>
      <c r="J1310" t="n">
        <v>5.06</v>
      </c>
      <c r="K1310" t="n">
        <v>17.65</v>
      </c>
      <c r="L1310" t="n">
        <v>17</v>
      </c>
      <c r="M1310" s="155" t="n">
        <v>0.29</v>
      </c>
      <c r="N1310" t="inlineStr">
        <is>
          <t>主要客戶為Adidas、Reebok等運動服大廠</t>
        </is>
      </c>
    </row>
    <row r="1311">
      <c r="A1311" t="n">
        <v>4433</v>
      </c>
      <c r="B1311" t="inlineStr">
        <is>
          <t>興采</t>
        </is>
      </c>
      <c r="C1311" t="n">
        <v>20.75</v>
      </c>
      <c r="D1311" t="n">
        <v>20.75</v>
      </c>
      <c r="E1311" s="730" t="n">
        <v>-0.35</v>
      </c>
      <c r="F1311" s="731" t="n">
        <v>-1.66</v>
      </c>
      <c r="G1311" t="inlineStr">
        <is>
          <t>89.1萬</t>
        </is>
      </c>
      <c r="H1311" t="n">
        <v>43</v>
      </c>
      <c r="I1311" t="n">
        <v>75</v>
      </c>
      <c r="J1311" t="n">
        <v>6.13</v>
      </c>
      <c r="K1311" t="n">
        <v>20.8</v>
      </c>
      <c r="L1311" t="n">
        <v>20.65</v>
      </c>
      <c r="M1311" s="155" t="n">
        <v>0.07000000000000001</v>
      </c>
      <c r="N1311" t="inlineStr">
        <is>
          <t>首創環保咖啡紗的功能性布料領導商</t>
        </is>
      </c>
    </row>
    <row r="1312">
      <c r="A1312" t="n">
        <v>4438</v>
      </c>
      <c r="B1312" t="inlineStr">
        <is>
          <t>廣越</t>
        </is>
      </c>
      <c r="C1312" t="n">
        <v>60.9</v>
      </c>
      <c r="D1312" t="n">
        <v>62.4</v>
      </c>
      <c r="E1312" s="730" t="n">
        <v>1.3</v>
      </c>
      <c r="F1312" s="731" t="n">
        <v>2.13</v>
      </c>
      <c r="G1312" t="inlineStr">
        <is>
          <t>629萬</t>
        </is>
      </c>
      <c r="H1312" t="n">
        <v>102</v>
      </c>
      <c r="I1312" t="n">
        <v>103</v>
      </c>
      <c r="J1312" t="n">
        <v>11.34</v>
      </c>
      <c r="K1312" t="n">
        <v>62.6</v>
      </c>
      <c r="L1312" t="n">
        <v>60.4</v>
      </c>
      <c r="M1312" s="155" t="n">
        <v>0.09</v>
      </c>
      <c r="N1312" t="inlineStr">
        <is>
          <t>為國際知名運動品牌之羽絨服製造商</t>
        </is>
      </c>
    </row>
    <row r="1313">
      <c r="A1313" t="n">
        <v>4439</v>
      </c>
      <c r="B1313" t="inlineStr">
        <is>
          <t>冠星-KY</t>
        </is>
      </c>
      <c r="C1313" t="n">
        <v>91.7</v>
      </c>
      <c r="D1313" t="n">
        <v>91.5</v>
      </c>
      <c r="E1313" s="730" t="n">
        <v>-0.3</v>
      </c>
      <c r="F1313" s="731" t="n">
        <v>-0.33</v>
      </c>
      <c r="G1313" t="inlineStr">
        <is>
          <t>45.8萬</t>
        </is>
      </c>
      <c r="H1313" t="n">
        <v>5</v>
      </c>
      <c r="I1313" t="n">
        <v>11</v>
      </c>
      <c r="J1313" t="n">
        <v>3.81</v>
      </c>
      <c r="K1313" t="n">
        <v>91.90000000000001</v>
      </c>
      <c r="L1313" t="n">
        <v>91.5</v>
      </c>
      <c r="M1313" s="155" t="n">
        <v>0.01</v>
      </c>
      <c r="N1313" t="inlineStr">
        <is>
          <t>adidas運動服飾品牌最大的短纖布料供應商</t>
        </is>
      </c>
    </row>
    <row r="1314">
      <c r="A1314" t="n">
        <v>4440</v>
      </c>
      <c r="B1314" t="inlineStr">
        <is>
          <t>宜新實業</t>
        </is>
      </c>
      <c r="C1314" t="n">
        <v>17.75</v>
      </c>
      <c r="D1314" t="n">
        <v>17.85</v>
      </c>
      <c r="E1314" s="730" t="n">
        <v>0.1</v>
      </c>
      <c r="F1314" s="731" t="n">
        <v>0.5600000000000001</v>
      </c>
      <c r="G1314" t="inlineStr">
        <is>
          <t>170萬</t>
        </is>
      </c>
      <c r="H1314" t="n">
        <v>96</v>
      </c>
      <c r="I1314" t="n">
        <v>86</v>
      </c>
      <c r="J1314" t="n">
        <v>6.76</v>
      </c>
      <c r="K1314" t="n">
        <v>17.85</v>
      </c>
      <c r="L1314" t="n">
        <v>17.6</v>
      </c>
      <c r="M1314" s="155" t="n">
        <v>0.14</v>
      </c>
      <c r="N1314" t="inlineStr">
        <is>
          <t>國內市占第一的彈性包覆紗廠商</t>
        </is>
      </c>
    </row>
    <row r="1315">
      <c r="A1315" t="n">
        <v>4441</v>
      </c>
      <c r="B1315" t="inlineStr">
        <is>
          <t>振大環球</t>
        </is>
      </c>
      <c r="C1315" t="n">
        <v>211</v>
      </c>
      <c r="D1315" t="n">
        <v>209</v>
      </c>
      <c r="E1315" s="730" t="n">
        <v>-1.5</v>
      </c>
      <c r="F1315" s="731" t="n">
        <v>-0.71</v>
      </c>
      <c r="G1315" t="inlineStr">
        <is>
          <t>2843萬</t>
        </is>
      </c>
      <c r="H1315" t="n">
        <v>134</v>
      </c>
      <c r="I1315" t="n">
        <v>125</v>
      </c>
      <c r="J1315" t="n">
        <v>6.82</v>
      </c>
      <c r="K1315" t="n">
        <v>219</v>
      </c>
      <c r="L1315" t="n">
        <v>208</v>
      </c>
      <c r="M1315" s="155" t="n">
        <v>0.2</v>
      </c>
      <c r="N1315" t="inlineStr">
        <is>
          <t>主要為美系客戶代工生產成衣的廠商</t>
        </is>
      </c>
    </row>
    <row r="1316">
      <c r="A1316" t="n">
        <v>4442</v>
      </c>
      <c r="B1316" t="inlineStr">
        <is>
          <t>竣邦-KY</t>
        </is>
      </c>
      <c r="C1316" t="n">
        <v>50.6</v>
      </c>
      <c r="D1316" t="n">
        <v>50.9</v>
      </c>
      <c r="E1316" s="730" t="n">
        <v>0.3</v>
      </c>
      <c r="F1316" s="731" t="n">
        <v>0.59</v>
      </c>
      <c r="G1316" t="inlineStr">
        <is>
          <t>45.5萬</t>
        </is>
      </c>
      <c r="H1316" t="n">
        <v>9</v>
      </c>
      <c r="I1316" t="n">
        <v>87</v>
      </c>
      <c r="J1316" t="n">
        <v>3.23</v>
      </c>
      <c r="K1316" t="n">
        <v>50.9</v>
      </c>
      <c r="L1316" t="n">
        <v>50.3</v>
      </c>
      <c r="M1316" s="155" t="n">
        <v>0.03</v>
      </c>
      <c r="N1316" t="inlineStr">
        <is>
          <t>亞洲知名布料供應商</t>
        </is>
      </c>
    </row>
    <row r="1317">
      <c r="A1317" t="n">
        <v>4502</v>
      </c>
      <c r="B1317" t="inlineStr">
        <is>
          <t>健信</t>
        </is>
      </c>
      <c r="C1317" t="n">
        <v>15.7</v>
      </c>
      <c r="D1317" t="n">
        <v>15.8</v>
      </c>
      <c r="E1317" s="730" t="n">
        <v>0.1</v>
      </c>
      <c r="F1317" s="731" t="n">
        <v>0.64</v>
      </c>
      <c r="G1317" t="inlineStr">
        <is>
          <t>22.0萬</t>
        </is>
      </c>
      <c r="H1317" t="n">
        <v>14</v>
      </c>
      <c r="I1317" t="n">
        <v>54</v>
      </c>
      <c r="J1317" t="n">
        <v>5.75</v>
      </c>
      <c r="K1317" t="n">
        <v>15.8</v>
      </c>
      <c r="L1317" t="n">
        <v>15.65</v>
      </c>
      <c r="M1317" s="155" t="n">
        <v>0.02</v>
      </c>
      <c r="N1317" t="inlineStr">
        <is>
          <t>台灣主要汽車鋼圈及鋁圈廠</t>
        </is>
      </c>
    </row>
    <row r="1318">
      <c r="A1318" t="n">
        <v>4503</v>
      </c>
      <c r="B1318" t="inlineStr">
        <is>
          <t>金雨</t>
        </is>
      </c>
      <c r="C1318" t="n">
        <v>39.1</v>
      </c>
      <c r="D1318" t="n">
        <v>38.6</v>
      </c>
      <c r="E1318" s="730" t="n">
        <v>-0.5</v>
      </c>
      <c r="F1318" s="731" t="n">
        <v>-1.28</v>
      </c>
      <c r="G1318" t="inlineStr">
        <is>
          <t>933萬</t>
        </is>
      </c>
      <c r="H1318" t="n">
        <v>243</v>
      </c>
      <c r="I1318" t="n">
        <v>311</v>
      </c>
      <c r="J1318" t="n">
        <v>7.83</v>
      </c>
      <c r="K1318" t="n">
        <v>39.1</v>
      </c>
      <c r="L1318" t="n">
        <v>38.05</v>
      </c>
      <c r="M1318" s="155" t="n">
        <v>0.31</v>
      </c>
      <c r="N1318" t="inlineStr">
        <is>
          <t>台灣最大自動販賣機製造廠</t>
        </is>
      </c>
    </row>
    <row r="1319">
      <c r="A1319" t="n">
        <v>4506</v>
      </c>
      <c r="B1319" t="inlineStr">
        <is>
          <t>崇友</t>
        </is>
      </c>
      <c r="C1319" t="n">
        <v>117</v>
      </c>
      <c r="D1319" t="n">
        <v>117.5</v>
      </c>
      <c r="E1319" s="730" t="n">
        <v>0.5</v>
      </c>
      <c r="F1319" s="731" t="n">
        <v>0.43</v>
      </c>
      <c r="G1319" t="inlineStr">
        <is>
          <t>1086萬</t>
        </is>
      </c>
      <c r="H1319" t="n">
        <v>93</v>
      </c>
      <c r="I1319" t="n">
        <v>148</v>
      </c>
      <c r="J1319" t="n">
        <v>17.7</v>
      </c>
      <c r="K1319" t="n">
        <v>117.5</v>
      </c>
      <c r="L1319" t="n">
        <v>116.5</v>
      </c>
      <c r="M1319" s="155" t="n">
        <v>0.05</v>
      </c>
      <c r="N1319" t="inlineStr">
        <is>
          <t>台灣前三大電梯製造商</t>
        </is>
      </c>
    </row>
    <row r="1320">
      <c r="A1320" t="n">
        <v>4510</v>
      </c>
      <c r="B1320" t="inlineStr">
        <is>
          <t>高鋒</t>
        </is>
      </c>
      <c r="C1320" t="n">
        <v>55.9</v>
      </c>
      <c r="D1320" t="n">
        <v>53.6</v>
      </c>
      <c r="E1320" s="730" t="n">
        <v>-0.7</v>
      </c>
      <c r="F1320" s="731" t="n">
        <v>-1.29</v>
      </c>
      <c r="G1320" t="inlineStr">
        <is>
          <t>7.72億</t>
        </is>
      </c>
      <c r="H1320" t="n">
        <v>14307</v>
      </c>
      <c r="I1320" t="n">
        <v>7955</v>
      </c>
      <c r="J1320" t="n">
        <v>10.9</v>
      </c>
      <c r="K1320" t="n">
        <v>56.5</v>
      </c>
      <c r="L1320" t="n">
        <v>51.7</v>
      </c>
      <c r="M1320" s="155" t="n">
        <v>13.13</v>
      </c>
      <c r="N1320" t="inlineStr">
        <is>
          <t>台灣從事生產切削機及龍門機廠商</t>
        </is>
      </c>
    </row>
    <row r="1321">
      <c r="A1321" t="n">
        <v>4513</v>
      </c>
      <c r="B1321" t="inlineStr">
        <is>
          <t>福裕</t>
        </is>
      </c>
      <c r="C1321" t="n">
        <v>14.8</v>
      </c>
      <c r="D1321" t="n">
        <v>15</v>
      </c>
      <c r="E1321" s="730" t="n">
        <v>0.2</v>
      </c>
      <c r="F1321" s="731" t="n">
        <v>1.35</v>
      </c>
      <c r="G1321" t="inlineStr">
        <is>
          <t>768萬</t>
        </is>
      </c>
      <c r="H1321" t="n">
        <v>522</v>
      </c>
      <c r="I1321" t="n">
        <v>444</v>
      </c>
      <c r="J1321" t="n">
        <v>14.38</v>
      </c>
      <c r="K1321" t="n">
        <v>15</v>
      </c>
      <c r="L1321" t="n">
        <v>14.65</v>
      </c>
      <c r="M1321" s="155" t="n">
        <v>0.46</v>
      </c>
      <c r="N1321" t="inlineStr">
        <is>
          <t>台灣最大磨床廠商</t>
        </is>
      </c>
    </row>
    <row r="1322">
      <c r="A1322" t="n">
        <v>4523</v>
      </c>
      <c r="B1322" t="inlineStr">
        <is>
          <t>永彰</t>
        </is>
      </c>
      <c r="C1322" t="n">
        <v>30.2</v>
      </c>
      <c r="D1322" t="n">
        <v>29.9</v>
      </c>
      <c r="E1322" s="730" t="n">
        <v>-0.3</v>
      </c>
      <c r="F1322" s="731" t="n">
        <v>-0.99</v>
      </c>
      <c r="G1322" t="inlineStr">
        <is>
          <t>687萬</t>
        </is>
      </c>
      <c r="H1322" t="n">
        <v>231</v>
      </c>
      <c r="I1322" t="n">
        <v>259</v>
      </c>
      <c r="J1322" t="n">
        <v>6.49</v>
      </c>
      <c r="K1322" t="n">
        <v>30.3</v>
      </c>
      <c r="L1322" t="n">
        <v>29.4</v>
      </c>
      <c r="M1322" s="155" t="n">
        <v>0.36</v>
      </c>
      <c r="N1322" t="inlineStr">
        <is>
          <t>汽車空調OEM廠商</t>
        </is>
      </c>
    </row>
    <row r="1323">
      <c r="A1323" t="n">
        <v>4526</v>
      </c>
      <c r="B1323" t="inlineStr">
        <is>
          <t>東台</t>
        </is>
      </c>
      <c r="C1323" t="n">
        <v>44.5</v>
      </c>
      <c r="D1323" t="n">
        <v>42.15</v>
      </c>
      <c r="E1323" s="730" t="n">
        <v>-0.65</v>
      </c>
      <c r="F1323" s="731" t="n">
        <v>-1.52</v>
      </c>
      <c r="G1323" t="inlineStr">
        <is>
          <t>10.8億</t>
        </is>
      </c>
      <c r="H1323" t="n">
        <v>25030</v>
      </c>
      <c r="I1323" t="n">
        <v>17706</v>
      </c>
      <c r="J1323" t="n">
        <v>25.48</v>
      </c>
      <c r="K1323" t="n">
        <v>45.85</v>
      </c>
      <c r="L1323" t="n">
        <v>40.95</v>
      </c>
      <c r="M1323" s="155" t="n">
        <v>9.82</v>
      </c>
      <c r="N1323" t="inlineStr">
        <is>
          <t>全球PCB鑽孔機的領導者</t>
        </is>
      </c>
    </row>
    <row r="1324">
      <c r="A1324" t="n">
        <v>4527</v>
      </c>
      <c r="B1324" t="inlineStr">
        <is>
          <t>方土霖</t>
        </is>
      </c>
      <c r="C1324" t="n">
        <v>42.15</v>
      </c>
      <c r="D1324" t="n">
        <v>42.1</v>
      </c>
      <c r="E1324" s="730" t="n">
        <v>-0.4</v>
      </c>
      <c r="F1324" s="731" t="n">
        <v>-0.9399999999999999</v>
      </c>
      <c r="G1324" t="inlineStr">
        <is>
          <t>443萬</t>
        </is>
      </c>
      <c r="H1324" t="n">
        <v>107</v>
      </c>
      <c r="I1324" t="n">
        <v>162</v>
      </c>
      <c r="J1324" t="n">
        <v>7.62</v>
      </c>
      <c r="K1324" t="n">
        <v>42.85</v>
      </c>
      <c r="L1324" t="n">
        <v>42.1</v>
      </c>
      <c r="M1324" s="155" t="n">
        <v>0.14</v>
      </c>
      <c r="N1324" t="inlineStr">
        <is>
          <t>台灣專業的中央空調系統冰水機組銷售商</t>
        </is>
      </c>
    </row>
    <row r="1325">
      <c r="A1325" t="n">
        <v>4528</v>
      </c>
      <c r="B1325" t="inlineStr">
        <is>
          <t>江興鍛</t>
        </is>
      </c>
      <c r="C1325" t="n">
        <v>15.35</v>
      </c>
      <c r="D1325" t="n">
        <v>15.6</v>
      </c>
      <c r="E1325" s="730" t="n">
        <v>0.15</v>
      </c>
      <c r="F1325" s="731" t="n">
        <v>0.97</v>
      </c>
      <c r="G1325" t="inlineStr">
        <is>
          <t>130萬</t>
        </is>
      </c>
      <c r="H1325" t="n">
        <v>84</v>
      </c>
      <c r="I1325" t="n">
        <v>79</v>
      </c>
      <c r="J1325" t="n">
        <v>8.42</v>
      </c>
      <c r="K1325" t="n">
        <v>15.7</v>
      </c>
      <c r="L1325" t="n">
        <v>15.35</v>
      </c>
      <c r="M1325" s="155" t="n">
        <v>0.1</v>
      </c>
      <c r="N1325" t="inlineStr">
        <is>
          <t>台灣汽車傳動系統零件鍛造廠</t>
        </is>
      </c>
    </row>
    <row r="1326">
      <c r="A1326" t="n">
        <v>4529</v>
      </c>
      <c r="B1326" t="inlineStr">
        <is>
          <t>淳紳</t>
        </is>
      </c>
      <c r="C1326" t="n">
        <v>4.6</v>
      </c>
      <c r="D1326" t="n">
        <v>4.94</v>
      </c>
      <c r="E1326" s="730" t="n">
        <v>0.23</v>
      </c>
      <c r="F1326" s="731" t="n">
        <v>4.88</v>
      </c>
      <c r="G1326" t="inlineStr">
        <is>
          <t>53.5萬</t>
        </is>
      </c>
      <c r="H1326" t="n">
        <v>116</v>
      </c>
      <c r="I1326" t="n">
        <v>124</v>
      </c>
      <c r="J1326" t="n">
        <v>8.449999999999999</v>
      </c>
      <c r="K1326" t="n">
        <v>4.97</v>
      </c>
      <c r="L1326" t="n">
        <v>4.42</v>
      </c>
      <c r="M1326" s="155" t="n">
        <v>0.14</v>
      </c>
      <c r="N1326" t="inlineStr">
        <is>
          <t>電動車代工製造商</t>
        </is>
      </c>
    </row>
    <row r="1327">
      <c r="A1327" t="n">
        <v>4530</v>
      </c>
      <c r="B1327" t="inlineStr">
        <is>
          <t>宏易</t>
        </is>
      </c>
      <c r="C1327" t="n">
        <v>25</v>
      </c>
      <c r="D1327" t="n">
        <v>26.5</v>
      </c>
      <c r="E1327" s="730" t="n">
        <v>2</v>
      </c>
      <c r="F1327" s="731" t="n">
        <v>8.16</v>
      </c>
      <c r="G1327" t="inlineStr">
        <is>
          <t>496萬</t>
        </is>
      </c>
      <c r="H1327" t="n">
        <v>186</v>
      </c>
      <c r="I1327" t="n">
        <v>10</v>
      </c>
      <c r="J1327" t="n">
        <v>3.58</v>
      </c>
      <c r="K1327" t="n">
        <v>26.95</v>
      </c>
      <c r="L1327" t="n">
        <v>25</v>
      </c>
      <c r="M1327" s="155" t="n">
        <v>0.52</v>
      </c>
      <c r="N1327" t="inlineStr">
        <is>
          <t>主要經營餐飲燒烤餐館品牌</t>
        </is>
      </c>
    </row>
    <row r="1328">
      <c r="A1328" t="n">
        <v>4532</v>
      </c>
      <c r="B1328" t="inlineStr">
        <is>
          <t>瑞智</t>
        </is>
      </c>
      <c r="C1328" t="n">
        <v>24.45</v>
      </c>
      <c r="D1328" t="n">
        <v>24.1</v>
      </c>
      <c r="E1328" s="730" t="n">
        <v>-0.2</v>
      </c>
      <c r="F1328" s="731" t="n">
        <v>-0.82</v>
      </c>
      <c r="G1328" t="inlineStr">
        <is>
          <t>3300萬</t>
        </is>
      </c>
      <c r="H1328" t="n">
        <v>1366</v>
      </c>
      <c r="I1328" t="n">
        <v>1404</v>
      </c>
      <c r="J1328" t="n">
        <v>49.49</v>
      </c>
      <c r="K1328" t="n">
        <v>24.45</v>
      </c>
      <c r="L1328" t="n">
        <v>24</v>
      </c>
      <c r="M1328" s="155" t="n">
        <v>0.28</v>
      </c>
      <c r="N1328" t="inlineStr">
        <is>
          <t>聲寶旗下，全球知名壓縮機廠</t>
        </is>
      </c>
    </row>
    <row r="1329">
      <c r="A1329" t="n">
        <v>4533</v>
      </c>
      <c r="B1329" t="inlineStr">
        <is>
          <t>協易機</t>
        </is>
      </c>
      <c r="C1329" t="n">
        <v>33.05</v>
      </c>
      <c r="D1329" t="n">
        <v>31.4</v>
      </c>
      <c r="E1329" s="730" t="n">
        <v>-1.3</v>
      </c>
      <c r="F1329" s="731" t="n">
        <v>-3.98</v>
      </c>
      <c r="G1329" t="inlineStr">
        <is>
          <t>1.17億</t>
        </is>
      </c>
      <c r="H1329" t="n">
        <v>3731</v>
      </c>
      <c r="I1329" t="n">
        <v>4428</v>
      </c>
      <c r="J1329" t="n">
        <v>15.84</v>
      </c>
      <c r="K1329" t="n">
        <v>33.05</v>
      </c>
      <c r="L1329" t="n">
        <v>30.5</v>
      </c>
      <c r="M1329" s="155" t="n">
        <v>2.35</v>
      </c>
      <c r="N1329" t="inlineStr">
        <is>
          <t>台灣沖床大廠</t>
        </is>
      </c>
    </row>
    <row r="1330">
      <c r="A1330" t="n">
        <v>4534</v>
      </c>
      <c r="B1330" t="inlineStr">
        <is>
          <t>慶騰</t>
        </is>
      </c>
      <c r="C1330" t="n">
        <v>27.35</v>
      </c>
      <c r="D1330" t="n">
        <v>27</v>
      </c>
      <c r="E1330" s="730" t="n">
        <v>-0.45</v>
      </c>
      <c r="F1330" s="731" t="n">
        <v>-1.64</v>
      </c>
      <c r="G1330" t="inlineStr">
        <is>
          <t>3885萬</t>
        </is>
      </c>
      <c r="H1330" t="n">
        <v>1444</v>
      </c>
      <c r="I1330" t="n">
        <v>2575</v>
      </c>
      <c r="J1330" t="n">
        <v>8.68</v>
      </c>
      <c r="K1330" t="n">
        <v>27.45</v>
      </c>
      <c r="L1330" t="n">
        <v>26.5</v>
      </c>
      <c r="M1330" s="155" t="n">
        <v>1.66</v>
      </c>
      <c r="N1330" t="inlineStr">
        <is>
          <t>台灣粉末冶金及齒輪箱設計開發知名廠商</t>
        </is>
      </c>
    </row>
    <row r="1331">
      <c r="A1331" t="n">
        <v>4535</v>
      </c>
      <c r="B1331" t="inlineStr">
        <is>
          <t>至興</t>
        </is>
      </c>
      <c r="C1331" t="n">
        <v>27.35</v>
      </c>
      <c r="D1331" t="n">
        <v>27.2</v>
      </c>
      <c r="E1331" s="730" t="n">
        <v>-0.1</v>
      </c>
      <c r="F1331" s="731" t="n">
        <v>-0.37</v>
      </c>
      <c r="G1331" t="inlineStr">
        <is>
          <t>137萬</t>
        </is>
      </c>
      <c r="H1331" t="n">
        <v>50</v>
      </c>
      <c r="I1331" t="n">
        <v>21</v>
      </c>
      <c r="J1331" t="n">
        <v>7.57</v>
      </c>
      <c r="K1331" t="n">
        <v>28</v>
      </c>
      <c r="L1331" t="n">
        <v>27.2</v>
      </c>
      <c r="M1331" s="155" t="n">
        <v>0.07000000000000001</v>
      </c>
      <c r="N1331" t="inlineStr">
        <is>
          <t>台灣最大汽機車精密沖壓零件廠</t>
        </is>
      </c>
    </row>
    <row r="1332">
      <c r="A1332" t="n">
        <v>4536</v>
      </c>
      <c r="B1332" t="inlineStr">
        <is>
          <t>拓凱</t>
        </is>
      </c>
      <c r="C1332" t="n">
        <v>161.5</v>
      </c>
      <c r="D1332" t="n">
        <v>160.5</v>
      </c>
      <c r="E1332" s="730" t="n">
        <v>-1.5</v>
      </c>
      <c r="F1332" s="731" t="n">
        <v>-0.93</v>
      </c>
      <c r="G1332" t="inlineStr">
        <is>
          <t>3528萬</t>
        </is>
      </c>
      <c r="H1332" t="n">
        <v>220</v>
      </c>
      <c r="I1332" t="n">
        <v>279</v>
      </c>
      <c r="J1332" t="n">
        <v>9.08</v>
      </c>
      <c r="K1332" t="n">
        <v>162</v>
      </c>
      <c r="L1332" t="n">
        <v>159.5</v>
      </c>
      <c r="M1332" s="155" t="n">
        <v>0.24</v>
      </c>
      <c r="N1332" t="inlineStr">
        <is>
          <t>全球知名碳纖維網球拍生產商</t>
        </is>
      </c>
    </row>
    <row r="1333">
      <c r="A1333" t="n">
        <v>4538</v>
      </c>
      <c r="B1333" t="inlineStr">
        <is>
          <t>大詠城</t>
        </is>
      </c>
      <c r="C1333" t="n">
        <v>17.85</v>
      </c>
      <c r="D1333" t="n">
        <v>17.7</v>
      </c>
      <c r="E1333" s="730" t="n">
        <v>0.1</v>
      </c>
      <c r="F1333" s="731" t="n">
        <v>0.57</v>
      </c>
      <c r="G1333" t="inlineStr">
        <is>
          <t>54.8萬</t>
        </is>
      </c>
      <c r="H1333" t="n">
        <v>31</v>
      </c>
      <c r="I1333" t="n">
        <v>71</v>
      </c>
      <c r="J1333" t="n">
        <v>5.95</v>
      </c>
      <c r="K1333" t="n">
        <v>17.85</v>
      </c>
      <c r="L1333" t="n">
        <v>17.6</v>
      </c>
      <c r="M1333" s="155" t="n">
        <v>0.05</v>
      </c>
      <c r="N1333" t="inlineStr">
        <is>
          <t>台灣工具機鑄件廠</t>
        </is>
      </c>
    </row>
    <row r="1334">
      <c r="A1334" t="n">
        <v>4540</v>
      </c>
      <c r="B1334" t="inlineStr">
        <is>
          <t>全球傳動</t>
        </is>
      </c>
      <c r="C1334" t="n">
        <v>80</v>
      </c>
      <c r="D1334" t="n">
        <v>77.3</v>
      </c>
      <c r="E1334" s="730" t="n">
        <v>1.9</v>
      </c>
      <c r="F1334" s="731" t="n">
        <v>2.52</v>
      </c>
      <c r="G1334" t="inlineStr">
        <is>
          <t>21.2億</t>
        </is>
      </c>
      <c r="H1334" t="n">
        <v>27585</v>
      </c>
      <c r="I1334" t="n">
        <v>10319</v>
      </c>
      <c r="J1334" t="n">
        <v>11.52</v>
      </c>
      <c r="K1334" t="n">
        <v>81.90000000000001</v>
      </c>
      <c r="L1334" t="n">
        <v>74.40000000000001</v>
      </c>
      <c r="M1334" s="155" t="n">
        <v>23.95</v>
      </c>
      <c r="N1334" t="inlineStr">
        <is>
          <t>台灣知名的精密滾珠螺桿廠</t>
        </is>
      </c>
    </row>
    <row r="1335">
      <c r="A1335" t="n">
        <v>4541</v>
      </c>
      <c r="B1335" t="inlineStr">
        <is>
          <t>晟田</t>
        </is>
      </c>
      <c r="C1335" t="n">
        <v>46.7</v>
      </c>
      <c r="D1335" t="n">
        <v>45.85</v>
      </c>
      <c r="E1335" s="730" t="n">
        <v>-0.85</v>
      </c>
      <c r="F1335" s="731" t="n">
        <v>-1.82</v>
      </c>
      <c r="G1335" t="inlineStr">
        <is>
          <t>5572萬</t>
        </is>
      </c>
      <c r="H1335" t="n">
        <v>1224</v>
      </c>
      <c r="I1335" t="n">
        <v>1455</v>
      </c>
      <c r="J1335" t="n">
        <v>6.76</v>
      </c>
      <c r="K1335" t="n">
        <v>46.7</v>
      </c>
      <c r="L1335" t="n">
        <v>44.85</v>
      </c>
      <c r="M1335" s="155" t="n">
        <v>1.81</v>
      </c>
      <c r="N1335" t="inlineStr">
        <is>
          <t>台灣唯一生產飛機起落架零組件廠商</t>
        </is>
      </c>
    </row>
    <row r="1336">
      <c r="A1336" t="n">
        <v>4542</v>
      </c>
      <c r="B1336" t="inlineStr">
        <is>
          <t>科嶠</t>
        </is>
      </c>
      <c r="C1336" t="n">
        <v>262</v>
      </c>
      <c r="D1336" t="n">
        <v>236.5</v>
      </c>
      <c r="E1336" s="730" t="n">
        <v>-25.5</v>
      </c>
      <c r="F1336" s="731" t="n">
        <v>-9.73</v>
      </c>
      <c r="G1336" t="inlineStr">
        <is>
          <t>2.98億</t>
        </is>
      </c>
      <c r="H1336" t="n">
        <v>1216</v>
      </c>
      <c r="I1336" t="n">
        <v>1140</v>
      </c>
      <c r="J1336" t="n">
        <v>3.46</v>
      </c>
      <c r="K1336" t="n">
        <v>262</v>
      </c>
      <c r="L1336" t="n">
        <v>236</v>
      </c>
      <c r="M1336" s="155" t="n">
        <v>3.52</v>
      </c>
      <c r="N1336" t="inlineStr">
        <is>
          <t>PCB用自動化乾燥設備製造大廠</t>
        </is>
      </c>
    </row>
    <row r="1337">
      <c r="A1337" t="n">
        <v>4543</v>
      </c>
      <c r="B1337" t="inlineStr">
        <is>
          <t>萬在</t>
        </is>
      </c>
      <c r="C1337" t="n">
        <v>42.1</v>
      </c>
      <c r="D1337" t="n">
        <v>46.35</v>
      </c>
      <c r="E1337" s="730" t="n">
        <v>4.2</v>
      </c>
      <c r="F1337" s="731" t="n">
        <v>9.960000000000001</v>
      </c>
      <c r="G1337" t="inlineStr">
        <is>
          <t>7989萬</t>
        </is>
      </c>
      <c r="H1337" t="n">
        <v>1756</v>
      </c>
      <c r="I1337" t="n">
        <v>688</v>
      </c>
      <c r="J1337" t="n">
        <v>5.98</v>
      </c>
      <c r="K1337" t="n">
        <v>46.35</v>
      </c>
      <c r="L1337" t="n">
        <v>40.8</v>
      </c>
      <c r="M1337" s="155" t="n">
        <v>2.94</v>
      </c>
      <c r="N1337" t="inlineStr">
        <is>
          <t>專供AM市場汽車空調與引擎冷卻系統零件製造廠</t>
        </is>
      </c>
    </row>
    <row r="1338">
      <c r="A1338" t="n">
        <v>4545</v>
      </c>
      <c r="B1338" t="inlineStr">
        <is>
          <t>銘鈺</t>
        </is>
      </c>
      <c r="C1338" t="n">
        <v>41.65</v>
      </c>
      <c r="D1338" t="n">
        <v>42.4</v>
      </c>
      <c r="E1338" s="730" t="n">
        <v>0.35</v>
      </c>
      <c r="F1338" s="731" t="n">
        <v>0.83</v>
      </c>
      <c r="G1338" t="inlineStr">
        <is>
          <t>5930萬</t>
        </is>
      </c>
      <c r="H1338" t="n">
        <v>1364</v>
      </c>
      <c r="I1338" t="n">
        <v>897</v>
      </c>
      <c r="J1338" t="n">
        <v>7.7</v>
      </c>
      <c r="K1338" t="n">
        <v>46</v>
      </c>
      <c r="L1338" t="n">
        <v>41</v>
      </c>
      <c r="M1338" s="155" t="n">
        <v>1.77</v>
      </c>
      <c r="N1338" t="inlineStr">
        <is>
          <t>銘異轉投資沖壓件廠</t>
        </is>
      </c>
    </row>
    <row r="1339">
      <c r="A1339" t="n">
        <v>4549</v>
      </c>
      <c r="B1339" t="inlineStr">
        <is>
          <t>桓達</t>
        </is>
      </c>
      <c r="C1339" t="n">
        <v>139</v>
      </c>
      <c r="D1339" t="n">
        <v>130</v>
      </c>
      <c r="E1339" s="730" t="n">
        <v>-6.5</v>
      </c>
      <c r="F1339" s="731" t="n">
        <v>-4.76</v>
      </c>
      <c r="G1339" t="inlineStr">
        <is>
          <t>3.31億</t>
        </is>
      </c>
      <c r="H1339" t="n">
        <v>2482</v>
      </c>
      <c r="I1339" t="n">
        <v>1394</v>
      </c>
      <c r="J1339" t="n">
        <v>5.7</v>
      </c>
      <c r="K1339" t="n">
        <v>140</v>
      </c>
      <c r="L1339" t="n">
        <v>126</v>
      </c>
      <c r="M1339" s="155" t="n">
        <v>4.35</v>
      </c>
      <c r="N1339" t="inlineStr">
        <is>
          <t>台灣最大製程自動化感測器廠</t>
        </is>
      </c>
    </row>
    <row r="1340">
      <c r="A1340" t="n">
        <v>4550</v>
      </c>
      <c r="B1340" t="inlineStr">
        <is>
          <t>長佳</t>
        </is>
      </c>
      <c r="C1340" t="n">
        <v>24.9</v>
      </c>
      <c r="D1340" t="n">
        <v>24.85</v>
      </c>
      <c r="E1340" s="730" t="n">
        <v>-0.05</v>
      </c>
      <c r="F1340" s="731" t="n">
        <v>-0.2</v>
      </c>
      <c r="G1340" t="inlineStr">
        <is>
          <t>102萬</t>
        </is>
      </c>
      <c r="H1340" t="n">
        <v>41</v>
      </c>
      <c r="I1340" t="n">
        <v>43</v>
      </c>
      <c r="J1340" t="n">
        <v>3.78</v>
      </c>
      <c r="K1340" t="n">
        <v>24.9</v>
      </c>
      <c r="L1340" t="n">
        <v>24.75</v>
      </c>
      <c r="M1340" s="155" t="n">
        <v>0.11</v>
      </c>
      <c r="N1340" t="inlineStr">
        <is>
          <t>專業的機電工程整合公司</t>
        </is>
      </c>
    </row>
    <row r="1341">
      <c r="A1341" t="n">
        <v>4551</v>
      </c>
      <c r="B1341" t="inlineStr">
        <is>
          <t>智伸科</t>
        </is>
      </c>
      <c r="C1341" t="n">
        <v>154</v>
      </c>
      <c r="D1341" t="n">
        <v>152.5</v>
      </c>
      <c r="E1341" s="730" t="n">
        <v>-1</v>
      </c>
      <c r="F1341" s="731" t="n">
        <v>-0.65</v>
      </c>
      <c r="G1341" t="inlineStr">
        <is>
          <t>1.42億</t>
        </is>
      </c>
      <c r="H1341" t="n">
        <v>933</v>
      </c>
      <c r="I1341" t="n">
        <v>1046</v>
      </c>
      <c r="J1341" t="n">
        <v>11.52</v>
      </c>
      <c r="K1341" t="n">
        <v>155.5</v>
      </c>
      <c r="L1341" t="n">
        <v>150.5</v>
      </c>
      <c r="M1341" s="155" t="n">
        <v>0.8100000000000001</v>
      </c>
      <c r="N1341" t="inlineStr">
        <is>
          <t>汽車動力及安全零組件大廠商</t>
        </is>
      </c>
    </row>
    <row r="1342">
      <c r="A1342" t="n">
        <v>4552</v>
      </c>
      <c r="B1342" t="inlineStr">
        <is>
          <t>力達-KY</t>
        </is>
      </c>
      <c r="C1342" t="n">
        <v>20.55</v>
      </c>
      <c r="D1342" t="n">
        <v>20.7</v>
      </c>
      <c r="E1342" s="730" t="n">
        <v>0.15</v>
      </c>
      <c r="F1342" s="731" t="n">
        <v>0.73</v>
      </c>
      <c r="G1342" t="inlineStr">
        <is>
          <t>307萬</t>
        </is>
      </c>
      <c r="H1342" t="n">
        <v>150</v>
      </c>
      <c r="I1342" t="n">
        <v>168</v>
      </c>
      <c r="J1342" t="n">
        <v>11.6</v>
      </c>
      <c r="K1342" t="n">
        <v>20.7</v>
      </c>
      <c r="L1342" t="n">
        <v>20.2</v>
      </c>
      <c r="M1342" s="155" t="n">
        <v>0.13</v>
      </c>
      <c r="N1342" t="inlineStr">
        <is>
          <t>大陸通用型空氣壓縮機品牌領導廠商</t>
        </is>
      </c>
    </row>
    <row r="1343">
      <c r="A1343" t="n">
        <v>4554</v>
      </c>
      <c r="B1343" t="inlineStr">
        <is>
          <t>橙的</t>
        </is>
      </c>
      <c r="C1343" t="n">
        <v>30.7</v>
      </c>
      <c r="D1343" t="n">
        <v>30.05</v>
      </c>
      <c r="E1343" s="730" t="n">
        <v>-0.2</v>
      </c>
      <c r="F1343" s="731" t="n">
        <v>-0.66</v>
      </c>
      <c r="G1343" t="inlineStr">
        <is>
          <t>250萬</t>
        </is>
      </c>
      <c r="H1343" t="n">
        <v>83</v>
      </c>
      <c r="I1343" t="n">
        <v>60</v>
      </c>
      <c r="J1343" t="n">
        <v>2.63</v>
      </c>
      <c r="K1343" t="n">
        <v>30.7</v>
      </c>
      <c r="L1343" t="n">
        <v>30</v>
      </c>
      <c r="M1343" s="155" t="n">
        <v>0.32</v>
      </c>
      <c r="N1343" t="inlineStr">
        <is>
          <t>胎壓偵測器在北美市佔率達7%以上</t>
        </is>
      </c>
    </row>
    <row r="1344">
      <c r="A1344" t="n">
        <v>4555</v>
      </c>
      <c r="B1344" t="inlineStr">
        <is>
          <t>氣立</t>
        </is>
      </c>
      <c r="C1344" t="n">
        <v>56.5</v>
      </c>
      <c r="D1344" t="n">
        <v>53.9</v>
      </c>
      <c r="E1344" s="730" t="n">
        <v>-2.7</v>
      </c>
      <c r="F1344" s="731" t="n">
        <v>-4.77</v>
      </c>
      <c r="G1344" t="inlineStr">
        <is>
          <t>8872萬</t>
        </is>
      </c>
      <c r="H1344" t="n">
        <v>1662</v>
      </c>
      <c r="I1344" t="n">
        <v>2846</v>
      </c>
      <c r="J1344" t="n">
        <v>7</v>
      </c>
      <c r="K1344" t="n">
        <v>56.7</v>
      </c>
      <c r="L1344" t="n">
        <v>52</v>
      </c>
      <c r="M1344" s="155" t="n">
        <v>2.37</v>
      </c>
      <c r="N1344" t="inlineStr">
        <is>
          <t>台灣氣壓自動化零組件廠商</t>
        </is>
      </c>
    </row>
    <row r="1345">
      <c r="A1345" t="n">
        <v>4556</v>
      </c>
      <c r="B1345" t="inlineStr">
        <is>
          <t>旭然</t>
        </is>
      </c>
      <c r="C1345" t="n">
        <v>40.8</v>
      </c>
      <c r="D1345" t="n">
        <v>39.05</v>
      </c>
      <c r="E1345" s="730" t="n">
        <v>-0.9</v>
      </c>
      <c r="F1345" s="731" t="n">
        <v>-2.25</v>
      </c>
      <c r="G1345" t="inlineStr">
        <is>
          <t>808萬</t>
        </is>
      </c>
      <c r="H1345" t="n">
        <v>209</v>
      </c>
      <c r="I1345" t="n">
        <v>344</v>
      </c>
      <c r="J1345" t="n">
        <v>4.23</v>
      </c>
      <c r="K1345" t="n">
        <v>40.8</v>
      </c>
      <c r="L1345" t="n">
        <v>38.5</v>
      </c>
      <c r="M1345" s="155" t="n">
        <v>0.49</v>
      </c>
      <c r="N1345" t="inlineStr">
        <is>
          <t>台灣最大的工業過濾設備製造商</t>
        </is>
      </c>
    </row>
    <row r="1346">
      <c r="A1346" t="n">
        <v>4557</v>
      </c>
      <c r="B1346" t="inlineStr">
        <is>
          <t>永新-KY</t>
        </is>
      </c>
      <c r="C1346" t="n">
        <v>42.85</v>
      </c>
      <c r="D1346" t="n">
        <v>43.7</v>
      </c>
      <c r="E1346" s="730" t="n">
        <v>1.05</v>
      </c>
      <c r="F1346" s="731" t="n">
        <v>2.46</v>
      </c>
      <c r="G1346" t="inlineStr">
        <is>
          <t>649萬</t>
        </is>
      </c>
      <c r="H1346" t="n">
        <v>151</v>
      </c>
      <c r="I1346" t="n">
        <v>211</v>
      </c>
      <c r="J1346" t="n">
        <v>4.8</v>
      </c>
      <c r="K1346" t="n">
        <v>43.8</v>
      </c>
      <c r="L1346" t="n">
        <v>42.4</v>
      </c>
      <c r="M1346" s="155" t="n">
        <v>0.31</v>
      </c>
      <c r="N1346" t="inlineStr">
        <is>
          <t>北美最大AM汽車剎車總分泵之零件供應商</t>
        </is>
      </c>
    </row>
    <row r="1347">
      <c r="A1347" t="n">
        <v>4558</v>
      </c>
      <c r="B1347" t="inlineStr">
        <is>
          <t>寶緯</t>
        </is>
      </c>
      <c r="C1347" t="n">
        <v>19.2</v>
      </c>
      <c r="D1347" t="n">
        <v>19.75</v>
      </c>
      <c r="E1347" s="730" t="n">
        <v>0.55</v>
      </c>
      <c r="F1347" s="731" t="n">
        <v>2.86</v>
      </c>
      <c r="G1347" t="inlineStr">
        <is>
          <t>249萬</t>
        </is>
      </c>
      <c r="H1347" t="n">
        <v>128</v>
      </c>
      <c r="I1347" t="n">
        <v>76</v>
      </c>
      <c r="J1347" t="n">
        <v>5</v>
      </c>
      <c r="K1347" t="n">
        <v>19.95</v>
      </c>
      <c r="L1347" t="n">
        <v>18.8</v>
      </c>
      <c r="M1347" s="155" t="n">
        <v>0.26</v>
      </c>
      <c r="N1347" t="inlineStr">
        <is>
          <t>台灣加工鋁擠型及鋁窗生產廠</t>
        </is>
      </c>
    </row>
    <row r="1348">
      <c r="A1348" t="n">
        <v>4560</v>
      </c>
      <c r="B1348" t="inlineStr">
        <is>
          <t>強信-KY</t>
        </is>
      </c>
      <c r="C1348" t="n">
        <v>32.35</v>
      </c>
      <c r="D1348" t="n">
        <v>32.1</v>
      </c>
      <c r="E1348" s="730" t="n">
        <v>-0.25</v>
      </c>
      <c r="F1348" s="731" t="n">
        <v>-0.77</v>
      </c>
      <c r="G1348" t="inlineStr">
        <is>
          <t>959萬</t>
        </is>
      </c>
      <c r="H1348" t="n">
        <v>296</v>
      </c>
      <c r="I1348" t="n">
        <v>174</v>
      </c>
      <c r="J1348" t="n">
        <v>6.81</v>
      </c>
      <c r="K1348" t="n">
        <v>33</v>
      </c>
      <c r="L1348" t="n">
        <v>32</v>
      </c>
      <c r="M1348" s="155" t="n">
        <v>0.43</v>
      </c>
      <c r="N1348" t="inlineStr">
        <is>
          <t>全球工業縫紉機零配件大廠</t>
        </is>
      </c>
    </row>
    <row r="1349">
      <c r="A1349" t="n">
        <v>4561</v>
      </c>
      <c r="B1349" t="inlineStr">
        <is>
          <t>健椿</t>
        </is>
      </c>
      <c r="C1349" t="n">
        <v>59.8</v>
      </c>
      <c r="D1349" t="n">
        <v>54.2</v>
      </c>
      <c r="E1349" s="730" t="n">
        <v>-2.6</v>
      </c>
      <c r="F1349" s="731" t="n">
        <v>-4.58</v>
      </c>
      <c r="G1349" t="inlineStr">
        <is>
          <t>1.79億</t>
        </is>
      </c>
      <c r="H1349" t="n">
        <v>3235</v>
      </c>
      <c r="I1349" t="n">
        <v>1826</v>
      </c>
      <c r="J1349" t="n">
        <v>5.85</v>
      </c>
      <c r="K1349" t="n">
        <v>59.8</v>
      </c>
      <c r="L1349" t="n">
        <v>52.9</v>
      </c>
      <c r="M1349" s="155" t="n">
        <v>5.53</v>
      </c>
      <c r="N1349" t="inlineStr">
        <is>
          <t>台灣知名的工具機精密主軸製造廠</t>
        </is>
      </c>
    </row>
    <row r="1350">
      <c r="A1350" t="n">
        <v>4562</v>
      </c>
      <c r="B1350" t="inlineStr">
        <is>
          <t>穎漢</t>
        </is>
      </c>
      <c r="C1350" t="n">
        <v>45.55</v>
      </c>
      <c r="D1350" t="n">
        <v>41.7</v>
      </c>
      <c r="E1350" s="730" t="n">
        <v>-3.85</v>
      </c>
      <c r="F1350" s="731" t="n">
        <v>-8.449999999999999</v>
      </c>
      <c r="G1350" t="inlineStr">
        <is>
          <t>1.82億</t>
        </is>
      </c>
      <c r="H1350" t="n">
        <v>4258</v>
      </c>
      <c r="I1350" t="n">
        <v>2442</v>
      </c>
      <c r="J1350" t="n">
        <v>8.75</v>
      </c>
      <c r="K1350" t="n">
        <v>45.55</v>
      </c>
      <c r="L1350" t="n">
        <v>41.3</v>
      </c>
      <c r="M1350" s="155" t="n">
        <v>4.86</v>
      </c>
      <c r="N1350" t="inlineStr">
        <is>
          <t>全球第一大金屬彎管機製造商</t>
        </is>
      </c>
    </row>
    <row r="1351">
      <c r="A1351" t="n">
        <v>4563</v>
      </c>
      <c r="B1351" t="inlineStr">
        <is>
          <t>百德</t>
        </is>
      </c>
      <c r="C1351" t="n">
        <v>51</v>
      </c>
      <c r="D1351" t="n">
        <v>50.1</v>
      </c>
      <c r="E1351" s="730" t="n">
        <v>-0.1</v>
      </c>
      <c r="F1351" s="731" t="n">
        <v>-0.2</v>
      </c>
      <c r="G1351" t="inlineStr">
        <is>
          <t>1571萬</t>
        </is>
      </c>
      <c r="H1351" t="n">
        <v>316</v>
      </c>
      <c r="I1351" t="n">
        <v>316</v>
      </c>
      <c r="J1351" t="n">
        <v>5.5</v>
      </c>
      <c r="K1351" t="n">
        <v>51</v>
      </c>
      <c r="L1351" t="n">
        <v>48.75</v>
      </c>
      <c r="M1351" s="155" t="n">
        <v>0.58</v>
      </c>
      <c r="N1351" t="inlineStr">
        <is>
          <t>為台灣老字號的綜合加工機製造廠商</t>
        </is>
      </c>
    </row>
    <row r="1352">
      <c r="A1352" t="n">
        <v>4564</v>
      </c>
      <c r="B1352" t="inlineStr">
        <is>
          <t>元翎</t>
        </is>
      </c>
      <c r="C1352" t="n">
        <v>15.75</v>
      </c>
      <c r="D1352" t="n">
        <v>15.9</v>
      </c>
      <c r="E1352" s="730" t="n">
        <v>0.25</v>
      </c>
      <c r="F1352" s="731" t="n">
        <v>1.6</v>
      </c>
      <c r="G1352" t="inlineStr">
        <is>
          <t>1000萬</t>
        </is>
      </c>
      <c r="H1352" t="n">
        <v>642</v>
      </c>
      <c r="I1352" t="n">
        <v>1006</v>
      </c>
      <c r="J1352" t="n">
        <v>23.28</v>
      </c>
      <c r="K1352" t="n">
        <v>16</v>
      </c>
      <c r="L1352" t="n">
        <v>15.45</v>
      </c>
      <c r="M1352" s="155" t="n">
        <v>0.28</v>
      </c>
      <c r="N1352" t="inlineStr">
        <is>
          <t>全球前二大迷你高壓氣體鋼瓶製造廠</t>
        </is>
      </c>
    </row>
    <row r="1353">
      <c r="A1353" t="n">
        <v>4566</v>
      </c>
      <c r="B1353" t="inlineStr">
        <is>
          <t>時碩工業</t>
        </is>
      </c>
      <c r="C1353" t="n">
        <v>72</v>
      </c>
      <c r="D1353" t="n">
        <v>69.5</v>
      </c>
      <c r="E1353" s="730" t="n">
        <v>-2.1</v>
      </c>
      <c r="F1353" s="731" t="n">
        <v>-2.93</v>
      </c>
      <c r="G1353" t="inlineStr">
        <is>
          <t>1.54億</t>
        </is>
      </c>
      <c r="H1353" t="n">
        <v>2225</v>
      </c>
      <c r="I1353" t="n">
        <v>3900</v>
      </c>
      <c r="J1353" t="n">
        <v>11</v>
      </c>
      <c r="K1353" t="n">
        <v>72</v>
      </c>
      <c r="L1353" t="n">
        <v>68</v>
      </c>
      <c r="M1353" s="155" t="n">
        <v>2.02</v>
      </c>
      <c r="N1353" t="inlineStr">
        <is>
          <t>台灣精密金屬零件加工廠商</t>
        </is>
      </c>
    </row>
    <row r="1354">
      <c r="A1354" t="n">
        <v>4568</v>
      </c>
      <c r="B1354" t="inlineStr">
        <is>
          <t>科際精密</t>
        </is>
      </c>
      <c r="C1354" t="n">
        <v>40.9</v>
      </c>
      <c r="D1354" t="n">
        <v>42</v>
      </c>
      <c r="E1354" s="730" t="n">
        <v>1</v>
      </c>
      <c r="F1354" s="731" t="n">
        <v>2.44</v>
      </c>
      <c r="G1354" t="inlineStr">
        <is>
          <t>81.4萬</t>
        </is>
      </c>
      <c r="H1354" t="n">
        <v>20</v>
      </c>
      <c r="I1354" t="n">
        <v>8</v>
      </c>
      <c r="J1354" t="n">
        <v>3.17</v>
      </c>
      <c r="K1354" t="n">
        <v>42</v>
      </c>
      <c r="L1354" t="n">
        <v>40</v>
      </c>
      <c r="M1354" s="155" t="n">
        <v>0.06</v>
      </c>
      <c r="N1354" t="inlineStr">
        <is>
          <t>台灣微型泵浦大廠</t>
        </is>
      </c>
    </row>
    <row r="1355">
      <c r="A1355" t="n">
        <v>4569</v>
      </c>
      <c r="B1355" t="inlineStr">
        <is>
          <t>六方科-KY</t>
        </is>
      </c>
      <c r="C1355" t="n">
        <v>172</v>
      </c>
      <c r="D1355" t="n">
        <v>170.5</v>
      </c>
      <c r="E1355" s="730" t="n">
        <v>0</v>
      </c>
      <c r="F1355" s="731" t="n">
        <v>0</v>
      </c>
      <c r="G1355" t="inlineStr">
        <is>
          <t>3114萬</t>
        </is>
      </c>
      <c r="H1355" t="n">
        <v>185</v>
      </c>
      <c r="I1355" t="n">
        <v>165</v>
      </c>
      <c r="J1355" t="n">
        <v>3.06</v>
      </c>
      <c r="K1355" t="n">
        <v>172.5</v>
      </c>
      <c r="L1355" t="n">
        <v>165</v>
      </c>
      <c r="M1355" s="155" t="n">
        <v>0.6</v>
      </c>
      <c r="N1355" t="inlineStr">
        <is>
          <t>泰國精密金屬零組件加工生產商</t>
        </is>
      </c>
    </row>
    <row r="1356">
      <c r="A1356" t="n">
        <v>4571</v>
      </c>
      <c r="B1356" t="inlineStr">
        <is>
          <t>鈞興-KY</t>
        </is>
      </c>
      <c r="C1356" t="n">
        <v>218</v>
      </c>
      <c r="D1356" t="n">
        <v>198</v>
      </c>
      <c r="E1356" s="730" t="n">
        <v>-19.5</v>
      </c>
      <c r="F1356" s="731" t="n">
        <v>-8.970000000000001</v>
      </c>
      <c r="G1356" t="inlineStr">
        <is>
          <t>4.32億</t>
        </is>
      </c>
      <c r="H1356" t="n">
        <v>2157</v>
      </c>
      <c r="I1356" t="n">
        <v>1205</v>
      </c>
      <c r="J1356" t="n">
        <v>5.3</v>
      </c>
      <c r="K1356" t="n">
        <v>218.5</v>
      </c>
      <c r="L1356" t="n">
        <v>196</v>
      </c>
      <c r="M1356" s="155" t="n">
        <v>4.07</v>
      </c>
      <c r="N1356" t="inlineStr">
        <is>
          <t>專業生產客製化齒輪廠商</t>
        </is>
      </c>
    </row>
    <row r="1357">
      <c r="A1357" t="n">
        <v>4572</v>
      </c>
      <c r="B1357" t="inlineStr">
        <is>
          <t>駐龍</t>
        </is>
      </c>
      <c r="C1357" t="n">
        <v>148</v>
      </c>
      <c r="D1357" t="n">
        <v>147.5</v>
      </c>
      <c r="E1357" s="730" t="n">
        <v>-1.5</v>
      </c>
      <c r="F1357" s="731" t="n">
        <v>-1.01</v>
      </c>
      <c r="G1357" t="inlineStr">
        <is>
          <t>761萬</t>
        </is>
      </c>
      <c r="H1357" t="n">
        <v>52</v>
      </c>
      <c r="I1357" t="n">
        <v>79</v>
      </c>
      <c r="J1357" t="n">
        <v>4</v>
      </c>
      <c r="K1357" t="n">
        <v>148</v>
      </c>
      <c r="L1357" t="n">
        <v>143</v>
      </c>
      <c r="M1357" s="155" t="n">
        <v>0.13</v>
      </c>
      <c r="N1357" t="inlineStr">
        <is>
          <t>飛機機身結構件研製及銷售商</t>
        </is>
      </c>
    </row>
    <row r="1358">
      <c r="A1358" t="n">
        <v>4576</v>
      </c>
      <c r="B1358" t="inlineStr">
        <is>
          <t>大銀微系統</t>
        </is>
      </c>
      <c r="C1358" t="n">
        <v>264</v>
      </c>
      <c r="D1358" t="n">
        <v>238</v>
      </c>
      <c r="E1358" s="730" t="n">
        <v>-25</v>
      </c>
      <c r="F1358" s="731" t="n">
        <v>-9.51</v>
      </c>
      <c r="G1358" t="inlineStr">
        <is>
          <t>12.9億</t>
        </is>
      </c>
      <c r="H1358" t="n">
        <v>5276</v>
      </c>
      <c r="I1358" t="n">
        <v>4949</v>
      </c>
      <c r="J1358" t="n">
        <v>11.98</v>
      </c>
      <c r="K1358" t="n">
        <v>265</v>
      </c>
      <c r="L1358" t="n">
        <v>237</v>
      </c>
      <c r="M1358" s="155" t="n">
        <v>4.4</v>
      </c>
      <c r="N1358" t="inlineStr">
        <is>
          <t>全球最大之半導體奈米級精密定位系統製造商</t>
        </is>
      </c>
    </row>
    <row r="1359">
      <c r="A1359" t="n">
        <v>4577</v>
      </c>
      <c r="B1359" t="inlineStr">
        <is>
          <t>達航科技</t>
        </is>
      </c>
      <c r="C1359" t="n">
        <v>110.5</v>
      </c>
      <c r="D1359" t="n">
        <v>104</v>
      </c>
      <c r="E1359" s="730" t="n">
        <v>-6</v>
      </c>
      <c r="F1359" s="731" t="n">
        <v>-5.45</v>
      </c>
      <c r="G1359" t="inlineStr">
        <is>
          <t>1.23億</t>
        </is>
      </c>
      <c r="H1359" t="n">
        <v>1171</v>
      </c>
      <c r="I1359" t="n">
        <v>1607</v>
      </c>
      <c r="J1359" t="n">
        <v>4.91</v>
      </c>
      <c r="K1359" t="n">
        <v>110.5</v>
      </c>
      <c r="L1359" t="n">
        <v>102</v>
      </c>
      <c r="M1359" s="155" t="n">
        <v>2.38</v>
      </c>
      <c r="N1359" t="inlineStr">
        <is>
          <t>台灣PCB鑽孔代工和設備廠商</t>
        </is>
      </c>
    </row>
    <row r="1360">
      <c r="A1360" t="n">
        <v>4580</v>
      </c>
      <c r="B1360" t="inlineStr">
        <is>
          <t>捷流閥業</t>
        </is>
      </c>
      <c r="C1360" t="n">
        <v>84.5</v>
      </c>
      <c r="D1360" t="n">
        <v>82.8</v>
      </c>
      <c r="E1360" s="730" t="n">
        <v>-0.9</v>
      </c>
      <c r="F1360" s="731" t="n">
        <v>-1.08</v>
      </c>
      <c r="G1360" t="inlineStr">
        <is>
          <t>1696萬</t>
        </is>
      </c>
      <c r="H1360" t="n">
        <v>204</v>
      </c>
      <c r="I1360" t="n">
        <v>86</v>
      </c>
      <c r="J1360" t="n">
        <v>4.68</v>
      </c>
      <c r="K1360" t="n">
        <v>84.5</v>
      </c>
      <c r="L1360" t="n">
        <v>82.5</v>
      </c>
      <c r="M1360" s="155" t="n">
        <v>0.44</v>
      </c>
      <c r="N1360" t="inlineStr">
        <is>
          <t>專業閥門製造商</t>
        </is>
      </c>
    </row>
    <row r="1361">
      <c r="A1361" t="n">
        <v>4581</v>
      </c>
      <c r="B1361" t="inlineStr">
        <is>
          <t>光隆精密-KY</t>
        </is>
      </c>
      <c r="C1361" t="n">
        <v>49.8</v>
      </c>
      <c r="D1361" t="n">
        <v>49.8</v>
      </c>
      <c r="E1361" s="730" t="n">
        <v>0</v>
      </c>
      <c r="F1361" s="731" t="n">
        <v>0</v>
      </c>
      <c r="G1361" t="inlineStr">
        <is>
          <t>9.96萬</t>
        </is>
      </c>
      <c r="H1361" t="n">
        <v>2</v>
      </c>
      <c r="I1361" t="n">
        <v>32</v>
      </c>
      <c r="J1361" t="n">
        <v>3.39</v>
      </c>
      <c r="K1361" t="n">
        <v>49.8</v>
      </c>
      <c r="L1361" t="n">
        <v>49.8</v>
      </c>
      <c r="M1361" s="155" t="n">
        <v>0.01</v>
      </c>
      <c r="N1361" t="inlineStr">
        <is>
          <t>台灣商用車零組件鑄件公司</t>
        </is>
      </c>
    </row>
    <row r="1362">
      <c r="A1362" t="n">
        <v>4583</v>
      </c>
      <c r="B1362" t="inlineStr">
        <is>
          <t>台灣精銳</t>
        </is>
      </c>
      <c r="C1362" t="n">
        <v>714</v>
      </c>
      <c r="D1362" t="n">
        <v>689</v>
      </c>
      <c r="E1362" s="730" t="n">
        <v>-26</v>
      </c>
      <c r="F1362" s="731" t="n">
        <v>-3.64</v>
      </c>
      <c r="G1362" t="inlineStr">
        <is>
          <t>1.40億</t>
        </is>
      </c>
      <c r="H1362" t="n">
        <v>204</v>
      </c>
      <c r="I1362" t="n">
        <v>202</v>
      </c>
      <c r="J1362" t="n">
        <v>8.02</v>
      </c>
      <c r="K1362" t="n">
        <v>715</v>
      </c>
      <c r="L1362" t="n">
        <v>679</v>
      </c>
      <c r="M1362" s="155" t="n">
        <v>0.25</v>
      </c>
      <c r="N1362" t="inlineStr">
        <is>
          <t>高精密度之伺服用行星式齒輪減速機提供商</t>
        </is>
      </c>
    </row>
    <row r="1363">
      <c r="A1363" t="n">
        <v>4584</v>
      </c>
      <c r="B1363" t="inlineStr">
        <is>
          <t>君帆</t>
        </is>
      </c>
      <c r="C1363" t="n">
        <v>43.05</v>
      </c>
      <c r="D1363" t="n">
        <v>42</v>
      </c>
      <c r="E1363" s="730" t="n">
        <v>-1</v>
      </c>
      <c r="F1363" s="731" t="n">
        <v>-2.33</v>
      </c>
      <c r="G1363" t="inlineStr">
        <is>
          <t>29.9萬</t>
        </is>
      </c>
      <c r="H1363" t="n">
        <v>7</v>
      </c>
      <c r="I1363" t="n">
        <v>14</v>
      </c>
      <c r="J1363" t="n">
        <v>3</v>
      </c>
      <c r="K1363" t="n">
        <v>43.05</v>
      </c>
      <c r="L1363" t="n">
        <v>42</v>
      </c>
      <c r="M1363" s="155" t="n">
        <v>0.02</v>
      </c>
      <c r="N1363" t="inlineStr">
        <is>
          <t>大中華地區前三大油壓缸供應商</t>
        </is>
      </c>
    </row>
    <row r="1364">
      <c r="A1364" t="n">
        <v>4585</v>
      </c>
      <c r="B1364" t="inlineStr">
        <is>
          <t>達明</t>
        </is>
      </c>
      <c r="C1364" t="n">
        <v>378</v>
      </c>
      <c r="D1364" t="n">
        <v>351</v>
      </c>
      <c r="E1364" s="730" t="n">
        <v>-20.5</v>
      </c>
      <c r="F1364" s="731" t="n">
        <v>-5.52</v>
      </c>
      <c r="G1364" t="inlineStr">
        <is>
          <t>3.97億</t>
        </is>
      </c>
      <c r="H1364" t="n">
        <v>1113</v>
      </c>
      <c r="I1364" t="n">
        <v>908</v>
      </c>
      <c r="J1364" t="n">
        <v>10.46</v>
      </c>
      <c r="K1364" t="n">
        <v>378</v>
      </c>
      <c r="L1364" t="n">
        <v>345</v>
      </c>
      <c r="M1364" s="155" t="n">
        <v>1.06</v>
      </c>
      <c r="N1364" t="inlineStr">
        <is>
          <t>全球第二大協作型機器人製造商</t>
        </is>
      </c>
    </row>
    <row r="1365">
      <c r="A1365" t="n">
        <v>4588</v>
      </c>
      <c r="B1365" t="inlineStr">
        <is>
          <t>玖鼎電力</t>
        </is>
      </c>
      <c r="C1365" t="n">
        <v>58.2</v>
      </c>
      <c r="D1365" t="n">
        <v>57.9</v>
      </c>
      <c r="E1365" s="730" t="n">
        <v>-0.1</v>
      </c>
      <c r="F1365" s="731" t="n">
        <v>-0.17</v>
      </c>
      <c r="G1365" t="inlineStr">
        <is>
          <t>759萬</t>
        </is>
      </c>
      <c r="H1365" t="n">
        <v>132</v>
      </c>
      <c r="I1365" t="n">
        <v>195</v>
      </c>
      <c r="J1365" t="n">
        <v>4.3</v>
      </c>
      <c r="K1365" t="n">
        <v>58.5</v>
      </c>
      <c r="L1365" t="n">
        <v>56.7</v>
      </c>
      <c r="M1365" s="155" t="n">
        <v>0.31</v>
      </c>
      <c r="N1365" t="inlineStr">
        <is>
          <t>國內智慧電表大廠</t>
        </is>
      </c>
    </row>
    <row r="1366">
      <c r="A1366" t="n">
        <v>4609</v>
      </c>
      <c r="B1366" t="inlineStr">
        <is>
          <t>唐鋒</t>
        </is>
      </c>
      <c r="C1366" t="n">
        <v>5.5</v>
      </c>
      <c r="D1366" t="n">
        <v>5.61</v>
      </c>
      <c r="E1366" s="730" t="n">
        <v>0.1</v>
      </c>
      <c r="F1366" s="731" t="n">
        <v>1.81</v>
      </c>
      <c r="G1366" t="inlineStr">
        <is>
          <t>4.44萬</t>
        </is>
      </c>
      <c r="H1366" t="n">
        <v>8</v>
      </c>
      <c r="I1366" t="n">
        <v>36</v>
      </c>
      <c r="J1366" t="n">
        <v>4.79</v>
      </c>
      <c r="K1366" t="n">
        <v>5.65</v>
      </c>
      <c r="L1366" t="n">
        <v>5.5</v>
      </c>
      <c r="M1366" s="155" t="n">
        <v>0.02</v>
      </c>
      <c r="N1366" t="inlineStr">
        <is>
          <t>以外銷小家電產品為主的廠商</t>
        </is>
      </c>
    </row>
    <row r="1367">
      <c r="A1367" t="n">
        <v>4702</v>
      </c>
      <c r="B1367" t="inlineStr">
        <is>
          <t>中美實</t>
        </is>
      </c>
      <c r="C1367" t="n">
        <v>9.779999999999999</v>
      </c>
      <c r="D1367" t="n">
        <v>9.800000000000001</v>
      </c>
      <c r="E1367" s="730" t="n">
        <v>0.03</v>
      </c>
      <c r="F1367" s="731" t="n">
        <v>0.31</v>
      </c>
      <c r="G1367" t="inlineStr">
        <is>
          <t>469萬</t>
        </is>
      </c>
      <c r="H1367" t="n">
        <v>479</v>
      </c>
      <c r="I1367" t="n">
        <v>117</v>
      </c>
      <c r="J1367" t="n">
        <v>7.23</v>
      </c>
      <c r="K1367" t="n">
        <v>9.869999999999999</v>
      </c>
      <c r="L1367" t="n">
        <v>9.710000000000001</v>
      </c>
      <c r="M1367" s="155" t="n">
        <v>0.66</v>
      </c>
      <c r="N1367" t="inlineStr">
        <is>
          <t>台灣分散性化學染料商並跨足汽車貿易業</t>
        </is>
      </c>
    </row>
    <row r="1368">
      <c r="A1368" t="n">
        <v>4706</v>
      </c>
      <c r="B1368" t="inlineStr">
        <is>
          <t>大恭</t>
        </is>
      </c>
      <c r="C1368" t="n">
        <v>31.5</v>
      </c>
      <c r="D1368" t="n">
        <v>31.6</v>
      </c>
      <c r="E1368" s="730" t="n">
        <v>0.1</v>
      </c>
      <c r="F1368" s="731" t="n">
        <v>0.32</v>
      </c>
      <c r="G1368" t="inlineStr">
        <is>
          <t>70.0萬</t>
        </is>
      </c>
      <c r="H1368" t="n">
        <v>22</v>
      </c>
      <c r="I1368" t="n">
        <v>21</v>
      </c>
      <c r="J1368" t="n">
        <v>7.9</v>
      </c>
      <c r="K1368" t="n">
        <v>32.4</v>
      </c>
      <c r="L1368" t="n">
        <v>31.5</v>
      </c>
      <c r="M1368" s="155" t="n">
        <v>0.03</v>
      </c>
      <c r="N1368" t="inlineStr">
        <is>
          <t>台灣最大合成顏料製造商</t>
        </is>
      </c>
    </row>
    <row r="1369">
      <c r="A1369" t="n">
        <v>4707</v>
      </c>
      <c r="B1369" t="inlineStr">
        <is>
          <t>磐亞</t>
        </is>
      </c>
      <c r="C1369" t="n">
        <v>19.65</v>
      </c>
      <c r="D1369" t="n">
        <v>19.65</v>
      </c>
      <c r="E1369" s="730" t="n">
        <v>1.75</v>
      </c>
      <c r="F1369" s="731" t="n">
        <v>9.779999999999999</v>
      </c>
      <c r="G1369" t="inlineStr">
        <is>
          <t>8117萬</t>
        </is>
      </c>
      <c r="H1369" t="n">
        <v>4132</v>
      </c>
      <c r="I1369" t="n">
        <v>2872</v>
      </c>
      <c r="J1369" t="n">
        <v>40.37</v>
      </c>
      <c r="K1369" t="n">
        <v>19.65</v>
      </c>
      <c r="L1369" t="n">
        <v>19.65</v>
      </c>
      <c r="M1369" s="155" t="n">
        <v>1.02</v>
      </c>
      <c r="N1369" t="inlineStr">
        <is>
          <t>台灣主要從事生產界面活性劑廠商</t>
        </is>
      </c>
    </row>
    <row r="1370">
      <c r="A1370" t="n">
        <v>4711</v>
      </c>
      <c r="B1370" t="inlineStr">
        <is>
          <t>永純</t>
        </is>
      </c>
      <c r="C1370" t="n">
        <v>16.85</v>
      </c>
      <c r="D1370" t="n">
        <v>18.25</v>
      </c>
      <c r="E1370" s="730" t="n">
        <v>1.65</v>
      </c>
      <c r="F1370" s="731" t="n">
        <v>9.94</v>
      </c>
      <c r="G1370" t="inlineStr">
        <is>
          <t>2433萬</t>
        </is>
      </c>
      <c r="H1370" t="n">
        <v>1364</v>
      </c>
      <c r="I1370" t="n">
        <v>434</v>
      </c>
      <c r="J1370" t="n">
        <v>6.11</v>
      </c>
      <c r="K1370" t="n">
        <v>18.25</v>
      </c>
      <c r="L1370" t="n">
        <v>16.55</v>
      </c>
      <c r="M1370" s="155" t="n">
        <v>2.23</v>
      </c>
      <c r="N1370" t="inlineStr">
        <is>
          <t>台灣生產酸醇樹脂製造廠商</t>
        </is>
      </c>
    </row>
    <row r="1371">
      <c r="A1371" t="n">
        <v>4714</v>
      </c>
      <c r="B1371" t="inlineStr">
        <is>
          <t>永捷</t>
        </is>
      </c>
      <c r="C1371" t="n">
        <v>13.7</v>
      </c>
      <c r="D1371" t="n">
        <v>13.6</v>
      </c>
      <c r="E1371" s="730" t="n">
        <v>0.1</v>
      </c>
      <c r="F1371" s="731" t="n">
        <v>0.74</v>
      </c>
      <c r="G1371" t="inlineStr">
        <is>
          <t>1583萬</t>
        </is>
      </c>
      <c r="H1371" t="n">
        <v>1176</v>
      </c>
      <c r="I1371" t="n">
        <v>1927</v>
      </c>
      <c r="J1371" t="n">
        <v>17.81</v>
      </c>
      <c r="K1371" t="n">
        <v>13.75</v>
      </c>
      <c r="L1371" t="n">
        <v>13.3</v>
      </c>
      <c r="M1371" s="155" t="n">
        <v>0.66</v>
      </c>
      <c r="N1371" t="inlineStr">
        <is>
          <t>台灣PU樹脂大廠</t>
        </is>
      </c>
    </row>
    <row r="1372">
      <c r="A1372" t="n">
        <v>4716</v>
      </c>
      <c r="B1372" t="inlineStr">
        <is>
          <t>大立</t>
        </is>
      </c>
      <c r="C1372" t="n">
        <v>15.1</v>
      </c>
      <c r="D1372" t="n">
        <v>16.55</v>
      </c>
      <c r="E1372" s="730" t="n">
        <v>1.5</v>
      </c>
      <c r="F1372" s="731" t="n">
        <v>9.970000000000001</v>
      </c>
      <c r="G1372" t="inlineStr">
        <is>
          <t>3373萬</t>
        </is>
      </c>
      <c r="H1372" t="n">
        <v>2094</v>
      </c>
      <c r="I1372" t="n">
        <v>503</v>
      </c>
      <c r="J1372" t="n">
        <v>9.44</v>
      </c>
      <c r="K1372" t="n">
        <v>16.55</v>
      </c>
      <c r="L1372" t="n">
        <v>15.1</v>
      </c>
      <c r="M1372" s="155" t="n">
        <v>2.22</v>
      </c>
      <c r="N1372" t="inlineStr">
        <is>
          <t>台灣主要從事生產合成樹脂廠商</t>
        </is>
      </c>
    </row>
    <row r="1373">
      <c r="A1373" t="n">
        <v>4720</v>
      </c>
      <c r="B1373" t="inlineStr">
        <is>
          <t>德淵</t>
        </is>
      </c>
      <c r="C1373" t="n">
        <v>25.4</v>
      </c>
      <c r="D1373" t="n">
        <v>25.5</v>
      </c>
      <c r="E1373" s="730" t="n">
        <v>0.1</v>
      </c>
      <c r="F1373" s="731" t="n">
        <v>0.39</v>
      </c>
      <c r="G1373" t="inlineStr">
        <is>
          <t>5626萬</t>
        </is>
      </c>
      <c r="H1373" t="n">
        <v>2240</v>
      </c>
      <c r="I1373" t="n">
        <v>5929</v>
      </c>
      <c r="J1373" t="n">
        <v>11.45</v>
      </c>
      <c r="K1373" t="n">
        <v>25.5</v>
      </c>
      <c r="L1373" t="n">
        <v>24.8</v>
      </c>
      <c r="M1373" s="155" t="n">
        <v>1.96</v>
      </c>
      <c r="N1373" t="inlineStr">
        <is>
          <t>台灣最大熱熔膠供應商</t>
        </is>
      </c>
    </row>
    <row r="1374">
      <c r="A1374" t="n">
        <v>4721</v>
      </c>
      <c r="B1374" t="inlineStr">
        <is>
          <t>美琪瑪</t>
        </is>
      </c>
      <c r="C1374" t="n">
        <v>91.59999999999999</v>
      </c>
      <c r="D1374" t="n">
        <v>88.8</v>
      </c>
      <c r="E1374" s="730" t="n">
        <v>-2.8</v>
      </c>
      <c r="F1374" s="731" t="n">
        <v>-3.06</v>
      </c>
      <c r="G1374" t="inlineStr">
        <is>
          <t>1.23億</t>
        </is>
      </c>
      <c r="H1374" t="n">
        <v>1387</v>
      </c>
      <c r="I1374" t="n">
        <v>1661</v>
      </c>
      <c r="J1374" t="n">
        <v>7.5</v>
      </c>
      <c r="K1374" t="n">
        <v>91.7</v>
      </c>
      <c r="L1374" t="n">
        <v>87.2</v>
      </c>
      <c r="M1374" s="155" t="n">
        <v>1.85</v>
      </c>
      <c r="N1374" t="inlineStr">
        <is>
          <t>全球最大PTA氧化觸媒供應商，也生產正極材料</t>
        </is>
      </c>
    </row>
    <row r="1375">
      <c r="A1375" t="n">
        <v>4722</v>
      </c>
      <c r="B1375" t="inlineStr">
        <is>
          <t>國精化</t>
        </is>
      </c>
      <c r="C1375" t="n">
        <v>286</v>
      </c>
      <c r="D1375" t="n">
        <v>279</v>
      </c>
      <c r="E1375" s="730" t="n">
        <v>-7</v>
      </c>
      <c r="F1375" s="731" t="n">
        <v>-2.45</v>
      </c>
      <c r="G1375" t="inlineStr">
        <is>
          <t>1.27億</t>
        </is>
      </c>
      <c r="H1375" t="n">
        <v>452</v>
      </c>
      <c r="I1375" t="n">
        <v>984</v>
      </c>
      <c r="J1375" t="n">
        <v>10.28</v>
      </c>
      <c r="K1375" t="n">
        <v>286</v>
      </c>
      <c r="L1375" t="n">
        <v>277</v>
      </c>
      <c r="M1375" s="155" t="n">
        <v>0.44</v>
      </c>
      <c r="N1375" t="inlineStr">
        <is>
          <t>台灣不飽和聚酯樹脂大廠</t>
        </is>
      </c>
    </row>
    <row r="1376">
      <c r="A1376" t="n">
        <v>4726</v>
      </c>
      <c r="B1376" t="inlineStr">
        <is>
          <t>永昕</t>
        </is>
      </c>
      <c r="C1376" t="n">
        <v>26.85</v>
      </c>
      <c r="D1376" t="n">
        <v>26.95</v>
      </c>
      <c r="E1376" s="730" t="n">
        <v>-0.05</v>
      </c>
      <c r="F1376" s="731" t="n">
        <v>-0.19</v>
      </c>
      <c r="G1376" t="inlineStr">
        <is>
          <t>639萬</t>
        </is>
      </c>
      <c r="H1376" t="n">
        <v>238</v>
      </c>
      <c r="I1376" t="n">
        <v>318</v>
      </c>
      <c r="J1376" t="n">
        <v>20.7</v>
      </c>
      <c r="K1376" t="n">
        <v>27</v>
      </c>
      <c r="L1376" t="n">
        <v>26.6</v>
      </c>
      <c r="M1376" s="155" t="n">
        <v>0.11</v>
      </c>
      <c r="N1376" t="inlineStr">
        <is>
          <t>晟德轉投資之CDMO廠</t>
        </is>
      </c>
    </row>
    <row r="1377">
      <c r="A1377" t="n">
        <v>4728</v>
      </c>
      <c r="B1377" t="inlineStr">
        <is>
          <t>雙美</t>
        </is>
      </c>
      <c r="C1377" t="n">
        <v>378</v>
      </c>
      <c r="D1377" t="n">
        <v>379.5</v>
      </c>
      <c r="E1377" s="730" t="n">
        <v>0.5</v>
      </c>
      <c r="F1377" s="731" t="n">
        <v>0.13</v>
      </c>
      <c r="G1377" t="inlineStr">
        <is>
          <t>416萬</t>
        </is>
      </c>
      <c r="H1377" t="n">
        <v>11</v>
      </c>
      <c r="I1377" t="n">
        <v>10</v>
      </c>
      <c r="J1377" t="n">
        <v>5.45</v>
      </c>
      <c r="K1377" t="n">
        <v>379.5</v>
      </c>
      <c r="L1377" t="n">
        <v>375</v>
      </c>
      <c r="M1377" s="155" t="n">
        <v>0.02</v>
      </c>
      <c r="N1377" t="inlineStr">
        <is>
          <t>台灣首家生產醫療級膠原蛋白溶液的GMP醫材廠</t>
        </is>
      </c>
    </row>
    <row r="1378">
      <c r="A1378" t="n">
        <v>4729</v>
      </c>
      <c r="B1378" t="inlineStr">
        <is>
          <t>熒茂</t>
        </is>
      </c>
      <c r="C1378" t="n">
        <v>25.45</v>
      </c>
      <c r="D1378" t="n">
        <v>26.1</v>
      </c>
      <c r="E1378" s="730" t="n">
        <v>0.9</v>
      </c>
      <c r="F1378" s="731" t="n">
        <v>3.57</v>
      </c>
      <c r="G1378" t="inlineStr">
        <is>
          <t>5852萬</t>
        </is>
      </c>
      <c r="H1378" t="n">
        <v>2298</v>
      </c>
      <c r="I1378" t="n">
        <v>1275</v>
      </c>
      <c r="J1378" t="n">
        <v>7.92</v>
      </c>
      <c r="K1378" t="n">
        <v>26.3</v>
      </c>
      <c r="L1378" t="n">
        <v>24.7</v>
      </c>
      <c r="M1378" s="155" t="n">
        <v>2.9</v>
      </c>
      <c r="N1378" t="inlineStr">
        <is>
          <t>強茂轉投資之觸控面板廠</t>
        </is>
      </c>
    </row>
    <row r="1379">
      <c r="A1379" t="n">
        <v>4735</v>
      </c>
      <c r="B1379" t="inlineStr">
        <is>
          <t>豪展</t>
        </is>
      </c>
      <c r="C1379" t="n">
        <v>31.05</v>
      </c>
      <c r="D1379" t="n">
        <v>32.35</v>
      </c>
      <c r="E1379" s="730" t="n">
        <v>1.3</v>
      </c>
      <c r="F1379" s="731" t="n">
        <v>4.19</v>
      </c>
      <c r="G1379" t="inlineStr">
        <is>
          <t>412萬</t>
        </is>
      </c>
      <c r="H1379" t="n">
        <v>130</v>
      </c>
      <c r="I1379" t="n">
        <v>41</v>
      </c>
      <c r="J1379" t="n">
        <v>4.16</v>
      </c>
      <c r="K1379" t="n">
        <v>32.45</v>
      </c>
      <c r="L1379" t="n">
        <v>30.9</v>
      </c>
      <c r="M1379" s="155" t="n">
        <v>0.31</v>
      </c>
      <c r="N1379" t="inlineStr">
        <is>
          <t>全球知名紅外線額耳溫槍生產商</t>
        </is>
      </c>
    </row>
    <row r="1380">
      <c r="A1380" t="n">
        <v>4736</v>
      </c>
      <c r="B1380" t="inlineStr">
        <is>
          <t>泰博</t>
        </is>
      </c>
      <c r="C1380" t="n">
        <v>124.5</v>
      </c>
      <c r="D1380" t="n">
        <v>125</v>
      </c>
      <c r="E1380" s="730" t="n">
        <v>1</v>
      </c>
      <c r="F1380" s="731" t="n">
        <v>0.8100000000000001</v>
      </c>
      <c r="G1380" t="inlineStr">
        <is>
          <t>2075萬</t>
        </is>
      </c>
      <c r="H1380" t="n">
        <v>167</v>
      </c>
      <c r="I1380" t="n">
        <v>171</v>
      </c>
      <c r="J1380" t="n">
        <v>9.539999999999999</v>
      </c>
      <c r="K1380" t="n">
        <v>125</v>
      </c>
      <c r="L1380" t="n">
        <v>123.5</v>
      </c>
      <c r="M1380" s="155" t="n">
        <v>0.18</v>
      </c>
      <c r="N1380" t="inlineStr">
        <is>
          <t>台灣HCT(血球容積)變化檢測技術領導廠</t>
        </is>
      </c>
    </row>
    <row r="1381">
      <c r="A1381" t="n">
        <v>4737</v>
      </c>
      <c r="B1381" t="inlineStr">
        <is>
          <t>華廣</t>
        </is>
      </c>
      <c r="C1381" t="n">
        <v>56.8</v>
      </c>
      <c r="D1381" t="n">
        <v>55</v>
      </c>
      <c r="E1381" s="730" t="n">
        <v>-1.9</v>
      </c>
      <c r="F1381" s="731" t="n">
        <v>-3.34</v>
      </c>
      <c r="G1381" t="inlineStr">
        <is>
          <t>654萬</t>
        </is>
      </c>
      <c r="H1381" t="n">
        <v>118</v>
      </c>
      <c r="I1381" t="n">
        <v>141</v>
      </c>
      <c r="J1381" t="n">
        <v>7.74</v>
      </c>
      <c r="K1381" t="n">
        <v>56.8</v>
      </c>
      <c r="L1381" t="n">
        <v>54.9</v>
      </c>
      <c r="M1381" s="155" t="n">
        <v>0.15</v>
      </c>
      <c r="N1381" t="inlineStr">
        <is>
          <t>以Bionime為自有品牌生產居家醫療用血糖機及測試片廠商</t>
        </is>
      </c>
    </row>
    <row r="1382">
      <c r="A1382" t="n">
        <v>4739</v>
      </c>
      <c r="B1382" t="inlineStr">
        <is>
          <t>康普</t>
        </is>
      </c>
      <c r="C1382" t="n">
        <v>112</v>
      </c>
      <c r="D1382" t="n">
        <v>107.5</v>
      </c>
      <c r="E1382" s="730" t="n">
        <v>-1.5</v>
      </c>
      <c r="F1382" s="731" t="n">
        <v>-1.38</v>
      </c>
      <c r="G1382" t="inlineStr">
        <is>
          <t>4.84億</t>
        </is>
      </c>
      <c r="H1382" t="n">
        <v>4525</v>
      </c>
      <c r="I1382" t="n">
        <v>6749</v>
      </c>
      <c r="J1382" t="n">
        <v>12.47</v>
      </c>
      <c r="K1382" t="n">
        <v>113</v>
      </c>
      <c r="L1382" t="n">
        <v>104.5</v>
      </c>
      <c r="M1382" s="155" t="n">
        <v>3.63</v>
      </c>
      <c r="N1382" t="inlineStr">
        <is>
          <t>台灣特用化學材、電池材料、PTA氧化觸媒大廠</t>
        </is>
      </c>
    </row>
    <row r="1383">
      <c r="A1383" t="n">
        <v>4741</v>
      </c>
      <c r="B1383" t="inlineStr">
        <is>
          <t>泓瀚</t>
        </is>
      </c>
      <c r="C1383" t="n">
        <v>59.4</v>
      </c>
      <c r="D1383" t="n">
        <v>58.9</v>
      </c>
      <c r="E1383" s="730" t="n">
        <v>-0.4</v>
      </c>
      <c r="F1383" s="731" t="n">
        <v>-0.67</v>
      </c>
      <c r="G1383" t="inlineStr">
        <is>
          <t>6020萬</t>
        </is>
      </c>
      <c r="H1383" t="n">
        <v>1047</v>
      </c>
      <c r="I1383" t="n">
        <v>878</v>
      </c>
      <c r="J1383" t="n">
        <v>3.48</v>
      </c>
      <c r="K1383" t="n">
        <v>59.4</v>
      </c>
      <c r="L1383" t="n">
        <v>55.7</v>
      </c>
      <c r="M1383" s="155" t="n">
        <v>3.01</v>
      </c>
      <c r="N1383" t="inlineStr">
        <is>
          <t>台灣最大噴墨打印墨水研發與製造公司</t>
        </is>
      </c>
    </row>
    <row r="1384">
      <c r="A1384" t="n">
        <v>4743</v>
      </c>
      <c r="B1384" t="inlineStr">
        <is>
          <t>合一</t>
        </is>
      </c>
      <c r="C1384" t="n">
        <v>51.2</v>
      </c>
      <c r="D1384" t="n">
        <v>51.2</v>
      </c>
      <c r="E1384" s="730" t="n">
        <v>0.1</v>
      </c>
      <c r="F1384" s="731" t="n">
        <v>0.2</v>
      </c>
      <c r="G1384" t="inlineStr">
        <is>
          <t>8613萬</t>
        </is>
      </c>
      <c r="H1384" t="n">
        <v>1699</v>
      </c>
      <c r="I1384" t="n">
        <v>2608</v>
      </c>
      <c r="J1384" t="n">
        <v>48.04</v>
      </c>
      <c r="K1384" t="n">
        <v>51.5</v>
      </c>
      <c r="L1384" t="n">
        <v>50.4</v>
      </c>
      <c r="M1384" s="155" t="n">
        <v>0.35</v>
      </c>
      <c r="N1384" t="inlineStr">
        <is>
          <t>中天轉投資的植物新藥研發公司</t>
        </is>
      </c>
    </row>
    <row r="1385">
      <c r="A1385" t="n">
        <v>4744</v>
      </c>
      <c r="B1385" t="inlineStr">
        <is>
          <t>皇將</t>
        </is>
      </c>
      <c r="C1385" t="n">
        <v>36.75</v>
      </c>
      <c r="D1385" t="n">
        <v>35.6</v>
      </c>
      <c r="E1385" s="730" t="n">
        <v>-1.1</v>
      </c>
      <c r="F1385" s="731" t="n">
        <v>-3</v>
      </c>
      <c r="G1385" t="inlineStr">
        <is>
          <t>1323萬</t>
        </is>
      </c>
      <c r="H1385" t="n">
        <v>366</v>
      </c>
      <c r="I1385" t="n">
        <v>368</v>
      </c>
      <c r="J1385" t="n">
        <v>5.69</v>
      </c>
      <c r="K1385" t="n">
        <v>37.4</v>
      </c>
      <c r="L1385" t="n">
        <v>35.45</v>
      </c>
      <c r="M1385" s="155" t="n">
        <v>0.64</v>
      </c>
      <c r="N1385" t="inlineStr">
        <is>
          <t>台灣製藥設備及檢驗儀器製造廠</t>
        </is>
      </c>
    </row>
    <row r="1386">
      <c r="A1386" t="n">
        <v>4745</v>
      </c>
      <c r="B1386" t="inlineStr">
        <is>
          <t>合富-KY</t>
        </is>
      </c>
      <c r="C1386" t="n">
        <v>16</v>
      </c>
      <c r="D1386" t="n">
        <v>15.7</v>
      </c>
      <c r="E1386" s="730" t="n">
        <v>-0.15</v>
      </c>
      <c r="F1386" s="731" t="n">
        <v>-0.95</v>
      </c>
      <c r="G1386" t="inlineStr">
        <is>
          <t>303萬</t>
        </is>
      </c>
      <c r="H1386" t="n">
        <v>192</v>
      </c>
      <c r="I1386" t="n">
        <v>157</v>
      </c>
      <c r="J1386" t="n">
        <v>6.97</v>
      </c>
      <c r="K1386" t="n">
        <v>16.1</v>
      </c>
      <c r="L1386" t="n">
        <v>15.65</v>
      </c>
      <c r="M1386" s="155" t="n">
        <v>0.25</v>
      </c>
      <c r="N1386" t="inlineStr">
        <is>
          <t>大陸最大台資醫療通路集團</t>
        </is>
      </c>
    </row>
    <row r="1387">
      <c r="A1387" t="n">
        <v>4746</v>
      </c>
      <c r="B1387" t="inlineStr">
        <is>
          <t>台耀</t>
        </is>
      </c>
      <c r="C1387" t="n">
        <v>53.3</v>
      </c>
      <c r="D1387" t="n">
        <v>52.3</v>
      </c>
      <c r="E1387" s="730" t="n">
        <v>-1</v>
      </c>
      <c r="F1387" s="731" t="n">
        <v>-1.88</v>
      </c>
      <c r="G1387" t="inlineStr">
        <is>
          <t>4853萬</t>
        </is>
      </c>
      <c r="H1387" t="n">
        <v>930</v>
      </c>
      <c r="I1387" t="n">
        <v>1145</v>
      </c>
      <c r="J1387" t="n">
        <v>12.03</v>
      </c>
      <c r="K1387" t="n">
        <v>53.3</v>
      </c>
      <c r="L1387" t="n">
        <v>51.8</v>
      </c>
      <c r="M1387" s="155" t="n">
        <v>0.77</v>
      </c>
      <c r="N1387" t="inlineStr">
        <is>
          <t>全球維他命D衍生物製造大廠</t>
        </is>
      </c>
    </row>
    <row r="1388">
      <c r="A1388" t="n">
        <v>4747</v>
      </c>
      <c r="B1388" t="inlineStr">
        <is>
          <t>強生</t>
        </is>
      </c>
      <c r="C1388" t="n">
        <v>56.3</v>
      </c>
      <c r="D1388" t="n">
        <v>55.7</v>
      </c>
      <c r="E1388" s="730" t="n">
        <v>-1.2</v>
      </c>
      <c r="F1388" s="731" t="n">
        <v>-2.11</v>
      </c>
      <c r="G1388" t="inlineStr">
        <is>
          <t>237萬</t>
        </is>
      </c>
      <c r="H1388" t="n">
        <v>42</v>
      </c>
      <c r="I1388" t="n">
        <v>56</v>
      </c>
      <c r="J1388" t="n">
        <v>4.55</v>
      </c>
      <c r="K1388" t="n">
        <v>57.4</v>
      </c>
      <c r="L1388" t="n">
        <v>55.7</v>
      </c>
      <c r="M1388" s="155" t="n">
        <v>0.09</v>
      </c>
      <c r="N1388" t="inlineStr">
        <is>
          <t>台灣中小型利基型學名藥廠</t>
        </is>
      </c>
    </row>
    <row r="1389">
      <c r="A1389" t="n">
        <v>4749</v>
      </c>
      <c r="B1389" t="inlineStr">
        <is>
          <t>新應材</t>
        </is>
      </c>
      <c r="C1389" t="n">
        <v>1075</v>
      </c>
      <c r="D1389" t="n">
        <v>1050</v>
      </c>
      <c r="E1389" s="730" t="n">
        <v>-15</v>
      </c>
      <c r="F1389" s="731" t="n">
        <v>-1.41</v>
      </c>
      <c r="G1389" t="inlineStr">
        <is>
          <t>13.2億</t>
        </is>
      </c>
      <c r="H1389" t="n">
        <v>1258</v>
      </c>
      <c r="I1389" t="n">
        <v>2126</v>
      </c>
      <c r="J1389" t="n">
        <v>9.27</v>
      </c>
      <c r="K1389" t="n">
        <v>1080</v>
      </c>
      <c r="L1389" t="n">
        <v>1035</v>
      </c>
      <c r="M1389" s="155" t="n">
        <v>1.36</v>
      </c>
      <c r="N1389" t="inlineStr">
        <is>
          <t>全球TFT-LCD光阻材料主要供應商</t>
        </is>
      </c>
    </row>
    <row r="1390">
      <c r="A1390" t="n">
        <v>4754</v>
      </c>
      <c r="B1390" t="inlineStr">
        <is>
          <t>國碳科</t>
        </is>
      </c>
      <c r="C1390" t="n">
        <v>37.65</v>
      </c>
      <c r="D1390" t="n">
        <v>37.7</v>
      </c>
      <c r="E1390" s="730" t="n">
        <v>0.05</v>
      </c>
      <c r="F1390" s="731" t="n">
        <v>0.13</v>
      </c>
      <c r="G1390" t="inlineStr">
        <is>
          <t>90.4萬</t>
        </is>
      </c>
      <c r="H1390" t="n">
        <v>24</v>
      </c>
      <c r="I1390" t="n">
        <v>34</v>
      </c>
      <c r="J1390" t="n">
        <v>3.03</v>
      </c>
      <c r="K1390" t="n">
        <v>37.7</v>
      </c>
      <c r="L1390" t="n">
        <v>37.6</v>
      </c>
      <c r="M1390" s="155" t="n">
        <v>0.08</v>
      </c>
      <c r="N1390" t="inlineStr">
        <is>
          <t>台灣防火材料研發及生產廠商</t>
        </is>
      </c>
    </row>
    <row r="1391">
      <c r="A1391" t="n">
        <v>4755</v>
      </c>
      <c r="B1391" t="inlineStr">
        <is>
          <t>三福化</t>
        </is>
      </c>
      <c r="C1391" t="n">
        <v>152.5</v>
      </c>
      <c r="D1391" t="n">
        <v>148.5</v>
      </c>
      <c r="E1391" s="730" t="n">
        <v>-3.5</v>
      </c>
      <c r="F1391" s="731" t="n">
        <v>-2.3</v>
      </c>
      <c r="G1391" t="inlineStr">
        <is>
          <t>9714萬</t>
        </is>
      </c>
      <c r="H1391" t="n">
        <v>651</v>
      </c>
      <c r="I1391" t="n">
        <v>1240</v>
      </c>
      <c r="J1391" t="n">
        <v>10.07</v>
      </c>
      <c r="K1391" t="n">
        <v>152.5</v>
      </c>
      <c r="L1391" t="n">
        <v>147</v>
      </c>
      <c r="M1391" s="155" t="n">
        <v>0.65</v>
      </c>
      <c r="N1391" t="inlineStr">
        <is>
          <t>台灣半導體特用化學大廠</t>
        </is>
      </c>
    </row>
    <row r="1392">
      <c r="A1392" t="n">
        <v>4760</v>
      </c>
      <c r="B1392" t="inlineStr">
        <is>
          <t>勤凱</t>
        </is>
      </c>
      <c r="C1392" t="n">
        <v>428.5</v>
      </c>
      <c r="D1392" t="n">
        <v>402</v>
      </c>
      <c r="E1392" s="730" t="n">
        <v>-27</v>
      </c>
      <c r="F1392" s="731" t="n">
        <v>-6.29</v>
      </c>
      <c r="G1392" t="inlineStr">
        <is>
          <t>8.92億</t>
        </is>
      </c>
      <c r="H1392" t="n">
        <v>2217</v>
      </c>
      <c r="I1392" t="n">
        <v>2785</v>
      </c>
      <c r="J1392" t="n">
        <v>3.22</v>
      </c>
      <c r="K1392" t="n">
        <v>428.5</v>
      </c>
      <c r="L1392" t="n">
        <v>386.5</v>
      </c>
      <c r="M1392" s="155" t="n">
        <v>6.88</v>
      </c>
      <c r="N1392" t="inlineStr">
        <is>
          <t>台灣被動元件、太陽能導電漿料大廠</t>
        </is>
      </c>
    </row>
    <row r="1393">
      <c r="A1393" t="n">
        <v>4763</v>
      </c>
      <c r="B1393" t="inlineStr">
        <is>
          <t>材料*-KY</t>
        </is>
      </c>
      <c r="C1393" t="n">
        <v>42.9</v>
      </c>
      <c r="D1393" t="n">
        <v>42.7</v>
      </c>
      <c r="E1393" s="730" t="n">
        <v>0.1</v>
      </c>
      <c r="F1393" s="731" t="n">
        <v>0.23</v>
      </c>
      <c r="G1393" t="inlineStr">
        <is>
          <t>2.95億</t>
        </is>
      </c>
      <c r="H1393" t="n">
        <v>6937</v>
      </c>
      <c r="I1393" t="n">
        <v>7270</v>
      </c>
      <c r="J1393" t="n">
        <v>9.890000000000001</v>
      </c>
      <c r="K1393" t="n">
        <v>43.2</v>
      </c>
      <c r="L1393" t="n">
        <v>41.95</v>
      </c>
      <c r="M1393" s="155" t="n">
        <v>0.7</v>
      </c>
      <c r="N1393" t="inlineStr">
        <is>
          <t>全球第五大醋酸纖維絲束大廠</t>
        </is>
      </c>
    </row>
    <row r="1394">
      <c r="A1394" t="n">
        <v>4764</v>
      </c>
      <c r="B1394" t="inlineStr">
        <is>
          <t>雙鍵</t>
        </is>
      </c>
      <c r="C1394" t="n">
        <v>315</v>
      </c>
      <c r="D1394" t="n">
        <v>302</v>
      </c>
      <c r="E1394" s="730" t="n">
        <v>-18</v>
      </c>
      <c r="F1394" s="731" t="n">
        <v>-5.63</v>
      </c>
      <c r="G1394" t="inlineStr">
        <is>
          <t>11.8億</t>
        </is>
      </c>
      <c r="H1394" t="n">
        <v>3741</v>
      </c>
      <c r="I1394" t="n">
        <v>3196</v>
      </c>
      <c r="J1394" t="n">
        <v>8.550000000000001</v>
      </c>
      <c r="K1394" t="n">
        <v>340</v>
      </c>
      <c r="L1394" t="n">
        <v>290</v>
      </c>
      <c r="M1394" s="155" t="n">
        <v>4.37</v>
      </c>
      <c r="N1394" t="inlineStr">
        <is>
          <t>全球前三大光固化起始劑生產商</t>
        </is>
      </c>
    </row>
    <row r="1395">
      <c r="A1395" t="n">
        <v>4766</v>
      </c>
      <c r="B1395" t="inlineStr">
        <is>
          <t>南寶</t>
        </is>
      </c>
      <c r="C1395" t="n">
        <v>372</v>
      </c>
      <c r="D1395" t="n">
        <v>372.5</v>
      </c>
      <c r="E1395" s="730" t="n">
        <v>0</v>
      </c>
      <c r="F1395" s="731" t="n">
        <v>0</v>
      </c>
      <c r="G1395" t="inlineStr">
        <is>
          <t>3.60億</t>
        </is>
      </c>
      <c r="H1395" t="n">
        <v>974</v>
      </c>
      <c r="I1395" t="n">
        <v>902</v>
      </c>
      <c r="J1395" t="n">
        <v>12.06</v>
      </c>
      <c r="K1395" t="n">
        <v>375</v>
      </c>
      <c r="L1395" t="n">
        <v>363.5</v>
      </c>
      <c r="M1395" s="155" t="n">
        <v>0.8100000000000001</v>
      </c>
      <c r="N1395" t="inlineStr">
        <is>
          <t>台灣接著劑材料大廠</t>
        </is>
      </c>
    </row>
    <row r="1396">
      <c r="A1396" t="n">
        <v>4767</v>
      </c>
      <c r="B1396" t="inlineStr">
        <is>
          <t>誠泰科技</t>
        </is>
      </c>
      <c r="C1396" t="n">
        <v>26.85</v>
      </c>
      <c r="D1396" t="n">
        <v>27.1</v>
      </c>
      <c r="E1396" s="730" t="n">
        <v>0.25</v>
      </c>
      <c r="F1396" s="731" t="n">
        <v>0.93</v>
      </c>
      <c r="G1396" t="inlineStr">
        <is>
          <t>24.2萬</t>
        </is>
      </c>
      <c r="H1396" t="n">
        <v>9</v>
      </c>
      <c r="I1396" t="n">
        <v>16</v>
      </c>
      <c r="J1396" t="n">
        <v>3.14</v>
      </c>
      <c r="K1396" t="n">
        <v>27.1</v>
      </c>
      <c r="L1396" t="n">
        <v>26.85</v>
      </c>
      <c r="M1396" s="155" t="n">
        <v>0.03</v>
      </c>
      <c r="N1396" t="inlineStr">
        <is>
          <t>自動化設備用熱熔膠製造商</t>
        </is>
      </c>
    </row>
    <row r="1397">
      <c r="A1397" t="n">
        <v>4768</v>
      </c>
      <c r="B1397" t="inlineStr">
        <is>
          <t>晶呈科技</t>
        </is>
      </c>
      <c r="C1397" t="n">
        <v>491.5</v>
      </c>
      <c r="D1397" t="n">
        <v>492</v>
      </c>
      <c r="E1397" s="730" t="n">
        <v>0.5</v>
      </c>
      <c r="F1397" s="731" t="n">
        <v>0.1</v>
      </c>
      <c r="G1397" t="inlineStr">
        <is>
          <t>7.73億</t>
        </is>
      </c>
      <c r="H1397" t="n">
        <v>1561</v>
      </c>
      <c r="I1397" t="n">
        <v>2324</v>
      </c>
      <c r="J1397" t="n">
        <v>4.75</v>
      </c>
      <c r="K1397" t="n">
        <v>514</v>
      </c>
      <c r="L1397" t="n">
        <v>482.5</v>
      </c>
      <c r="M1397" s="155" t="n">
        <v>3.29</v>
      </c>
      <c r="N1397" t="inlineStr">
        <is>
          <t>半導體及光電特殊氣體供應商</t>
        </is>
      </c>
    </row>
    <row r="1398">
      <c r="A1398" t="n">
        <v>4770</v>
      </c>
      <c r="B1398" t="inlineStr">
        <is>
          <t>上品</t>
        </is>
      </c>
      <c r="C1398" t="n">
        <v>255</v>
      </c>
      <c r="D1398" t="n">
        <v>251.5</v>
      </c>
      <c r="E1398" s="730" t="n">
        <v>-3</v>
      </c>
      <c r="F1398" s="731" t="n">
        <v>-1.18</v>
      </c>
      <c r="G1398" t="inlineStr">
        <is>
          <t>1.60億</t>
        </is>
      </c>
      <c r="H1398" t="n">
        <v>635</v>
      </c>
      <c r="I1398" t="n">
        <v>1533</v>
      </c>
      <c r="J1398" t="n">
        <v>8</v>
      </c>
      <c r="K1398" t="n">
        <v>259</v>
      </c>
      <c r="L1398" t="n">
        <v>249</v>
      </c>
      <c r="M1398" s="155" t="n">
        <v>0.79</v>
      </c>
      <c r="N1398" t="inlineStr">
        <is>
          <t>全球氟素樹脂加工應用廠商</t>
        </is>
      </c>
    </row>
    <row r="1399">
      <c r="A1399" t="n">
        <v>4771</v>
      </c>
      <c r="B1399" t="inlineStr">
        <is>
          <t>望隼</t>
        </is>
      </c>
      <c r="C1399" t="n">
        <v>200</v>
      </c>
      <c r="D1399" t="n">
        <v>196.5</v>
      </c>
      <c r="E1399" s="730" t="n">
        <v>-3</v>
      </c>
      <c r="F1399" s="731" t="n">
        <v>-1.5</v>
      </c>
      <c r="G1399" t="inlineStr">
        <is>
          <t>2847萬</t>
        </is>
      </c>
      <c r="H1399" t="n">
        <v>145</v>
      </c>
      <c r="I1399" t="n">
        <v>357</v>
      </c>
      <c r="J1399" t="n">
        <v>5.87</v>
      </c>
      <c r="K1399" t="n">
        <v>200</v>
      </c>
      <c r="L1399" t="n">
        <v>195</v>
      </c>
      <c r="M1399" s="155" t="n">
        <v>0.25</v>
      </c>
      <c r="N1399" t="inlineStr">
        <is>
          <t>長華轉投資隱形眼鏡ODM廠</t>
        </is>
      </c>
    </row>
    <row r="1400">
      <c r="A1400" t="n">
        <v>4772</v>
      </c>
      <c r="B1400" t="inlineStr">
        <is>
          <t>台特化</t>
        </is>
      </c>
      <c r="C1400" t="n">
        <v>306.5</v>
      </c>
      <c r="D1400" t="n">
        <v>298.5</v>
      </c>
      <c r="E1400" s="730" t="n">
        <v>-4.5</v>
      </c>
      <c r="F1400" s="731" t="n">
        <v>-1.49</v>
      </c>
      <c r="G1400" t="inlineStr">
        <is>
          <t>2.82億</t>
        </is>
      </c>
      <c r="H1400" t="n">
        <v>943</v>
      </c>
      <c r="I1400" t="n">
        <v>1723</v>
      </c>
      <c r="J1400" t="n">
        <v>14.77</v>
      </c>
      <c r="K1400" t="n">
        <v>307</v>
      </c>
      <c r="L1400" t="n">
        <v>297</v>
      </c>
      <c r="M1400" s="155" t="n">
        <v>0.64</v>
      </c>
      <c r="N1400" t="inlineStr">
        <is>
          <t>中美晶旗下，特氣供應商</t>
        </is>
      </c>
    </row>
    <row r="1401">
      <c r="A1401" t="n">
        <v>4806</v>
      </c>
      <c r="B1401" t="inlineStr">
        <is>
          <t>桂田文創</t>
        </is>
      </c>
      <c r="C1401" t="n">
        <v>9.859999999999999</v>
      </c>
      <c r="D1401" t="n">
        <v>10.2</v>
      </c>
      <c r="E1401" s="730" t="n">
        <v>0.4</v>
      </c>
      <c r="F1401" s="731" t="n">
        <v>4.08</v>
      </c>
      <c r="G1401" t="inlineStr">
        <is>
          <t>10.1萬</t>
        </is>
      </c>
      <c r="H1401" t="n">
        <v>10</v>
      </c>
      <c r="I1401" t="n">
        <v>25</v>
      </c>
      <c r="J1401" t="n">
        <v>9.99</v>
      </c>
      <c r="K1401" t="n">
        <v>10.2</v>
      </c>
      <c r="L1401" t="n">
        <v>9.859999999999999</v>
      </c>
      <c r="M1401" s="155" t="n">
        <v>0.01</v>
      </c>
      <c r="N1401" t="inlineStr">
        <is>
          <t>台灣第一家掛牌電視劇製作公司</t>
        </is>
      </c>
    </row>
    <row r="1402">
      <c r="A1402" t="n">
        <v>4807</v>
      </c>
      <c r="B1402" t="inlineStr">
        <is>
          <t>日成-KY</t>
        </is>
      </c>
      <c r="C1402" t="n">
        <v>28.7</v>
      </c>
      <c r="D1402" t="n">
        <v>31.25</v>
      </c>
      <c r="E1402" s="730" t="n">
        <v>2.55</v>
      </c>
      <c r="F1402" s="731" t="n">
        <v>8.890000000000001</v>
      </c>
      <c r="G1402" t="inlineStr">
        <is>
          <t>3864萬</t>
        </is>
      </c>
      <c r="H1402" t="n">
        <v>1254</v>
      </c>
      <c r="I1402" t="n">
        <v>780</v>
      </c>
      <c r="J1402" t="n">
        <v>4.9</v>
      </c>
      <c r="K1402" t="n">
        <v>31.55</v>
      </c>
      <c r="L1402" t="n">
        <v>28.5</v>
      </c>
      <c r="M1402" s="155" t="n">
        <v>2.56</v>
      </c>
      <c r="N1402" t="inlineStr">
        <is>
          <t>泰國前三大珠寶ODM 及OEM廠商</t>
        </is>
      </c>
    </row>
    <row r="1403">
      <c r="A1403" t="n">
        <v>4903</v>
      </c>
      <c r="B1403" t="inlineStr">
        <is>
          <t>聯光通</t>
        </is>
      </c>
      <c r="C1403" t="n">
        <v>44.65</v>
      </c>
      <c r="D1403" t="n">
        <v>45</v>
      </c>
      <c r="E1403" s="730" t="n">
        <v>0.6</v>
      </c>
      <c r="F1403" s="731" t="n">
        <v>1.35</v>
      </c>
      <c r="G1403" t="inlineStr">
        <is>
          <t>1.02億</t>
        </is>
      </c>
      <c r="H1403" t="n">
        <v>2278</v>
      </c>
      <c r="I1403" t="n">
        <v>2819</v>
      </c>
      <c r="J1403" t="n">
        <v>10.53</v>
      </c>
      <c r="K1403" t="n">
        <v>45.95</v>
      </c>
      <c r="L1403" t="n">
        <v>44</v>
      </c>
      <c r="M1403" s="155" t="n">
        <v>2.16</v>
      </c>
      <c r="N1403" t="inlineStr">
        <is>
          <t>光通訊工程承包及光纖光纜製造商</t>
        </is>
      </c>
    </row>
    <row r="1404">
      <c r="A1404" t="n">
        <v>4904</v>
      </c>
      <c r="B1404" t="inlineStr">
        <is>
          <t>遠傳</t>
        </is>
      </c>
      <c r="C1404" t="n">
        <v>97</v>
      </c>
      <c r="D1404" t="n">
        <v>99.5</v>
      </c>
      <c r="E1404" s="730" t="n">
        <v>2.4</v>
      </c>
      <c r="F1404" s="731" t="n">
        <v>2.47</v>
      </c>
      <c r="G1404" t="inlineStr">
        <is>
          <t>14.1億</t>
        </is>
      </c>
      <c r="H1404" t="n">
        <v>14293</v>
      </c>
      <c r="I1404" t="n">
        <v>11988</v>
      </c>
      <c r="J1404" t="n">
        <v>360.77</v>
      </c>
      <c r="K1404" t="n">
        <v>99.59999999999999</v>
      </c>
      <c r="L1404" t="n">
        <v>97</v>
      </c>
      <c r="M1404" s="155" t="n">
        <v>0.41</v>
      </c>
      <c r="N1404" t="inlineStr">
        <is>
          <t>台灣前三大電信業者之一</t>
        </is>
      </c>
    </row>
    <row r="1405">
      <c r="A1405" t="n">
        <v>4905</v>
      </c>
      <c r="B1405" t="inlineStr">
        <is>
          <t>台聯電</t>
        </is>
      </c>
      <c r="C1405" t="n">
        <v>88.5</v>
      </c>
      <c r="D1405" t="n">
        <v>85</v>
      </c>
      <c r="E1405" s="730" t="n">
        <v>-2.8</v>
      </c>
      <c r="F1405" s="731" t="n">
        <v>-3.19</v>
      </c>
      <c r="G1405" t="inlineStr">
        <is>
          <t>516萬</t>
        </is>
      </c>
      <c r="H1405" t="n">
        <v>60</v>
      </c>
      <c r="I1405" t="n">
        <v>54</v>
      </c>
      <c r="J1405" t="n">
        <v>2.93</v>
      </c>
      <c r="K1405" t="n">
        <v>88.5</v>
      </c>
      <c r="L1405" t="n">
        <v>84.59999999999999</v>
      </c>
      <c r="M1405" s="155" t="n">
        <v>0.21</v>
      </c>
      <c r="N1405" t="inlineStr">
        <is>
          <t>主產品為數據機、XDSL等網通設備廠</t>
        </is>
      </c>
    </row>
    <row r="1406">
      <c r="A1406" t="n">
        <v>4906</v>
      </c>
      <c r="B1406" t="inlineStr">
        <is>
          <t>正文</t>
        </is>
      </c>
      <c r="C1406" t="n">
        <v>53.5</v>
      </c>
      <c r="D1406" t="n">
        <v>52.9</v>
      </c>
      <c r="E1406" s="730" t="n">
        <v>-0.5</v>
      </c>
      <c r="F1406" s="731" t="n">
        <v>-0.9399999999999999</v>
      </c>
      <c r="G1406" t="inlineStr">
        <is>
          <t>20.0億</t>
        </is>
      </c>
      <c r="H1406" t="n">
        <v>37912</v>
      </c>
      <c r="I1406" t="n">
        <v>51426</v>
      </c>
      <c r="J1406" t="n">
        <v>44.68</v>
      </c>
      <c r="K1406" t="n">
        <v>54.9</v>
      </c>
      <c r="L1406" t="n">
        <v>51.1</v>
      </c>
      <c r="M1406" s="155" t="n">
        <v>8.69</v>
      </c>
      <c r="N1406" t="inlineStr">
        <is>
          <t>台灣無線區域網路代工大廠</t>
        </is>
      </c>
    </row>
    <row r="1407">
      <c r="A1407" t="n">
        <v>4907</v>
      </c>
      <c r="B1407" t="inlineStr">
        <is>
          <t>富宇</t>
        </is>
      </c>
      <c r="C1407" t="n">
        <v>37.35</v>
      </c>
      <c r="D1407" t="n">
        <v>37</v>
      </c>
      <c r="E1407" s="730" t="n">
        <v>-0.5</v>
      </c>
      <c r="F1407" s="731" t="n">
        <v>-1.33</v>
      </c>
      <c r="G1407" t="inlineStr">
        <is>
          <t>333萬</t>
        </is>
      </c>
      <c r="H1407" t="n">
        <v>91</v>
      </c>
      <c r="I1407" t="n">
        <v>179</v>
      </c>
      <c r="J1407" t="n">
        <v>11.81</v>
      </c>
      <c r="K1407" t="n">
        <v>37.35</v>
      </c>
      <c r="L1407" t="n">
        <v>36.3</v>
      </c>
      <c r="M1407" s="155" t="n">
        <v>0.08</v>
      </c>
      <c r="N1407" t="inlineStr">
        <is>
          <t>富宇建設集團成員之一，針對竹科及中科週邊進行開發</t>
        </is>
      </c>
    </row>
    <row r="1408">
      <c r="A1408" t="n">
        <v>4908</v>
      </c>
      <c r="B1408" t="inlineStr">
        <is>
          <t>前鼎</t>
        </is>
      </c>
      <c r="C1408" t="n">
        <v>239</v>
      </c>
      <c r="D1408" t="n">
        <v>232</v>
      </c>
      <c r="E1408" s="730" t="n">
        <v>4.5</v>
      </c>
      <c r="F1408" s="731" t="n">
        <v>1.98</v>
      </c>
      <c r="G1408" t="inlineStr">
        <is>
          <t>8.85億</t>
        </is>
      </c>
      <c r="H1408" t="n">
        <v>3700</v>
      </c>
      <c r="I1408" t="n">
        <v>4227</v>
      </c>
      <c r="J1408" t="n">
        <v>7.82</v>
      </c>
      <c r="K1408" t="n">
        <v>249.5</v>
      </c>
      <c r="L1408" t="n">
        <v>230.5</v>
      </c>
      <c r="M1408" s="155" t="n">
        <v>4.73</v>
      </c>
      <c r="N1408" t="inlineStr">
        <is>
          <t>台灣光收發模組封裝及製造廠</t>
        </is>
      </c>
    </row>
    <row r="1409">
      <c r="A1409" t="n">
        <v>4909</v>
      </c>
      <c r="B1409" t="inlineStr">
        <is>
          <t>新復興</t>
        </is>
      </c>
      <c r="C1409" t="n">
        <v>54</v>
      </c>
      <c r="D1409" t="n">
        <v>53.3</v>
      </c>
      <c r="E1409" s="730" t="n">
        <v>-0.7</v>
      </c>
      <c r="F1409" s="731" t="n">
        <v>-1.3</v>
      </c>
      <c r="G1409" t="inlineStr">
        <is>
          <t>5727萬</t>
        </is>
      </c>
      <c r="H1409" t="n">
        <v>1084</v>
      </c>
      <c r="I1409" t="n">
        <v>1241</v>
      </c>
      <c r="J1409" t="n">
        <v>9.34</v>
      </c>
      <c r="K1409" t="n">
        <v>54.5</v>
      </c>
      <c r="L1409" t="n">
        <v>51.9</v>
      </c>
      <c r="M1409" s="155" t="n">
        <v>1.16</v>
      </c>
      <c r="N1409" t="inlineStr">
        <is>
          <t>全球最大LNB用板製造商</t>
        </is>
      </c>
    </row>
    <row r="1410">
      <c r="A1410" t="n">
        <v>4911</v>
      </c>
      <c r="B1410" t="inlineStr">
        <is>
          <t>德英</t>
        </is>
      </c>
      <c r="C1410" t="n">
        <v>32.5</v>
      </c>
      <c r="D1410" t="n">
        <v>32.4</v>
      </c>
      <c r="E1410" s="730" t="n">
        <v>0.4</v>
      </c>
      <c r="F1410" s="731" t="n">
        <v>1.25</v>
      </c>
      <c r="G1410" t="inlineStr">
        <is>
          <t>507萬</t>
        </is>
      </c>
      <c r="H1410" t="n">
        <v>156</v>
      </c>
      <c r="I1410" t="n">
        <v>27</v>
      </c>
      <c r="J1410" t="n">
        <v>6.37</v>
      </c>
      <c r="K1410" t="n">
        <v>32.7</v>
      </c>
      <c r="L1410" t="n">
        <v>32.2</v>
      </c>
      <c r="M1410" s="155" t="n">
        <v>0.24</v>
      </c>
      <c r="N1410" t="inlineStr">
        <is>
          <t>抗癌植物新藥研發公司</t>
        </is>
      </c>
    </row>
    <row r="1411">
      <c r="A1411" t="n">
        <v>4912</v>
      </c>
      <c r="B1411" t="inlineStr">
        <is>
          <t>聯德控股-KY</t>
        </is>
      </c>
      <c r="C1411" t="n">
        <v>112.5</v>
      </c>
      <c r="D1411" t="n">
        <v>102.5</v>
      </c>
      <c r="E1411" s="730" t="n">
        <v>-10</v>
      </c>
      <c r="F1411" s="731" t="n">
        <v>-8.890000000000001</v>
      </c>
      <c r="G1411" t="inlineStr">
        <is>
          <t>3.14億</t>
        </is>
      </c>
      <c r="H1411" t="n">
        <v>3051</v>
      </c>
      <c r="I1411" t="n">
        <v>2084</v>
      </c>
      <c r="J1411" t="n">
        <v>6.7</v>
      </c>
      <c r="K1411" t="n">
        <v>112.5</v>
      </c>
      <c r="L1411" t="n">
        <v>101.5</v>
      </c>
      <c r="M1411" s="155" t="n">
        <v>4.55</v>
      </c>
      <c r="N1411" t="inlineStr">
        <is>
          <t>主要從事消費性電子零件的模組沖壓廠</t>
        </is>
      </c>
    </row>
    <row r="1412">
      <c r="A1412" t="n">
        <v>4915</v>
      </c>
      <c r="B1412" t="inlineStr">
        <is>
          <t>致伸</t>
        </is>
      </c>
      <c r="C1412" t="n">
        <v>76</v>
      </c>
      <c r="D1412" t="n">
        <v>77</v>
      </c>
      <c r="E1412" s="730" t="n">
        <v>1</v>
      </c>
      <c r="F1412" s="731" t="n">
        <v>1.32</v>
      </c>
      <c r="G1412" t="inlineStr">
        <is>
          <t>6.24億</t>
        </is>
      </c>
      <c r="H1412" t="n">
        <v>8179</v>
      </c>
      <c r="I1412" t="n">
        <v>6220</v>
      </c>
      <c r="J1412" t="n">
        <v>47.19</v>
      </c>
      <c r="K1412" t="n">
        <v>77</v>
      </c>
      <c r="L1412" t="n">
        <v>75.3</v>
      </c>
      <c r="M1412" s="155" t="n">
        <v>1.73</v>
      </c>
      <c r="N1412" t="inlineStr">
        <is>
          <t>台灣電腦週邊及聲學元件製造大廠，並跨入車電領域</t>
        </is>
      </c>
    </row>
    <row r="1413">
      <c r="A1413" t="n">
        <v>4916</v>
      </c>
      <c r="B1413" t="inlineStr">
        <is>
          <t>事欣科</t>
        </is>
      </c>
      <c r="C1413" t="n">
        <v>116</v>
      </c>
      <c r="D1413" t="n">
        <v>114</v>
      </c>
      <c r="E1413" s="730" t="n">
        <v>-5</v>
      </c>
      <c r="F1413" s="731" t="n">
        <v>-4.2</v>
      </c>
      <c r="G1413" t="inlineStr">
        <is>
          <t>4.50億</t>
        </is>
      </c>
      <c r="H1413" t="n">
        <v>3996</v>
      </c>
      <c r="I1413" t="n">
        <v>5567</v>
      </c>
      <c r="J1413" t="n">
        <v>12.39</v>
      </c>
      <c r="K1413" t="n">
        <v>116</v>
      </c>
      <c r="L1413" t="n">
        <v>110</v>
      </c>
      <c r="M1413" s="155" t="n">
        <v>3.24</v>
      </c>
      <c r="N1413" t="inlineStr">
        <is>
          <t>從事博奕機台、工業電腦、航太零組件等業務</t>
        </is>
      </c>
    </row>
    <row r="1414">
      <c r="A1414" t="n">
        <v>4919</v>
      </c>
      <c r="B1414" t="inlineStr">
        <is>
          <t>新唐</t>
        </is>
      </c>
      <c r="C1414" t="n">
        <v>214.5</v>
      </c>
      <c r="D1414" t="n">
        <v>211</v>
      </c>
      <c r="E1414" s="730" t="n">
        <v>3</v>
      </c>
      <c r="F1414" s="731" t="n">
        <v>1.44</v>
      </c>
      <c r="G1414" t="inlineStr">
        <is>
          <t>6.87億</t>
        </is>
      </c>
      <c r="H1414" t="n">
        <v>3343</v>
      </c>
      <c r="I1414" t="n">
        <v>23458</v>
      </c>
      <c r="J1414" t="n">
        <v>41.98</v>
      </c>
      <c r="K1414" t="n">
        <v>214.5</v>
      </c>
      <c r="L1414" t="n">
        <v>200</v>
      </c>
      <c r="M1414" s="155" t="n">
        <v>0.8</v>
      </c>
      <c r="N1414" t="inlineStr">
        <is>
          <t>華邦旗下整合元件製造(IDM)廠，提供IC設計與製造服務</t>
        </is>
      </c>
    </row>
    <row r="1415">
      <c r="A1415" t="n">
        <v>4923</v>
      </c>
      <c r="B1415" t="inlineStr">
        <is>
          <t>力士</t>
        </is>
      </c>
      <c r="C1415" t="n">
        <v>45.1</v>
      </c>
      <c r="D1415" t="n">
        <v>42.2</v>
      </c>
      <c r="E1415" s="730" t="n">
        <v>-2.9</v>
      </c>
      <c r="F1415" s="731" t="n">
        <v>-6.43</v>
      </c>
      <c r="G1415" t="inlineStr">
        <is>
          <t>4963萬</t>
        </is>
      </c>
      <c r="H1415" t="n">
        <v>1175</v>
      </c>
      <c r="I1415" t="n">
        <v>2416</v>
      </c>
      <c r="J1415" t="n">
        <v>3.39</v>
      </c>
      <c r="K1415" t="n">
        <v>45.1</v>
      </c>
      <c r="L1415" t="n">
        <v>42</v>
      </c>
      <c r="M1415" s="155" t="n">
        <v>3.47</v>
      </c>
      <c r="N1415" t="inlineStr">
        <is>
          <t>MOSFET及類比IC之設計和生產商</t>
        </is>
      </c>
    </row>
    <row r="1416">
      <c r="A1416" t="n">
        <v>4924</v>
      </c>
      <c r="B1416" t="inlineStr">
        <is>
          <t>欣厚-KY</t>
        </is>
      </c>
      <c r="C1416" t="n">
        <v>12.75</v>
      </c>
      <c r="D1416" t="n">
        <v>12.65</v>
      </c>
      <c r="E1416" s="730" t="n">
        <v>-0.2</v>
      </c>
      <c r="F1416" s="731" t="n">
        <v>-1.56</v>
      </c>
      <c r="G1416" t="inlineStr">
        <is>
          <t>157萬</t>
        </is>
      </c>
      <c r="H1416" t="n">
        <v>123</v>
      </c>
      <c r="I1416" t="n">
        <v>212</v>
      </c>
      <c r="J1416" t="n">
        <v>3.72</v>
      </c>
      <c r="K1416" t="n">
        <v>13</v>
      </c>
      <c r="L1416" t="n">
        <v>12.55</v>
      </c>
      <c r="M1416" s="155" t="n">
        <v>0.33</v>
      </c>
      <c r="N1416" t="inlineStr">
        <is>
          <t>馬來西亞鍵盤週邊及生質燃料生產企業</t>
        </is>
      </c>
    </row>
    <row r="1417">
      <c r="A1417" t="n">
        <v>4927</v>
      </c>
      <c r="B1417" t="inlineStr">
        <is>
          <t>泰鼎-KY</t>
        </is>
      </c>
      <c r="C1417" t="n">
        <v>55.8</v>
      </c>
      <c r="D1417" t="n">
        <v>52.6</v>
      </c>
      <c r="E1417" s="730" t="n">
        <v>-3.2</v>
      </c>
      <c r="F1417" s="731" t="n">
        <v>-5.73</v>
      </c>
      <c r="G1417" t="inlineStr">
        <is>
          <t>8.02億</t>
        </is>
      </c>
      <c r="H1417" t="n">
        <v>15198</v>
      </c>
      <c r="I1417" t="n">
        <v>18824</v>
      </c>
      <c r="J1417" t="n">
        <v>26.49</v>
      </c>
      <c r="K1417" t="n">
        <v>56.3</v>
      </c>
      <c r="L1417" t="n">
        <v>50.9</v>
      </c>
      <c r="M1417" s="155" t="n">
        <v>5.74</v>
      </c>
      <c r="N1417" t="inlineStr">
        <is>
          <t>泰國台商最大印刷電路板公司</t>
        </is>
      </c>
    </row>
    <row r="1418">
      <c r="A1418" t="n">
        <v>4930</v>
      </c>
      <c r="B1418" t="inlineStr">
        <is>
          <t>燦星網</t>
        </is>
      </c>
      <c r="C1418" t="n">
        <v>17.85</v>
      </c>
      <c r="D1418" t="n">
        <v>17.6</v>
      </c>
      <c r="E1418" s="730" t="n">
        <v>-0.25</v>
      </c>
      <c r="F1418" s="731" t="n">
        <v>-1.4</v>
      </c>
      <c r="G1418" t="inlineStr">
        <is>
          <t>120萬</t>
        </is>
      </c>
      <c r="H1418" t="n">
        <v>68</v>
      </c>
      <c r="I1418" t="n">
        <v>97</v>
      </c>
      <c r="J1418" t="n">
        <v>8</v>
      </c>
      <c r="K1418" t="n">
        <v>17.85</v>
      </c>
      <c r="L1418" t="n">
        <v>17.55</v>
      </c>
      <c r="M1418" s="155" t="n">
        <v>0.08</v>
      </c>
      <c r="N1418" t="inlineStr">
        <is>
          <t>由燦坤集團分割之小家電製造業</t>
        </is>
      </c>
    </row>
    <row r="1419">
      <c r="A1419" t="n">
        <v>4931</v>
      </c>
      <c r="B1419" t="inlineStr">
        <is>
          <t>新盛力</t>
        </is>
      </c>
      <c r="C1419" t="n">
        <v>235</v>
      </c>
      <c r="D1419" t="n">
        <v>231</v>
      </c>
      <c r="E1419" s="730" t="n">
        <v>-7.5</v>
      </c>
      <c r="F1419" s="731" t="n">
        <v>-3.14</v>
      </c>
      <c r="G1419" t="inlineStr">
        <is>
          <t>17.4億</t>
        </is>
      </c>
      <c r="H1419" t="n">
        <v>7536</v>
      </c>
      <c r="I1419" t="n">
        <v>13984</v>
      </c>
      <c r="J1419" t="n">
        <v>6.56</v>
      </c>
      <c r="K1419" t="n">
        <v>239.5</v>
      </c>
      <c r="L1419" t="n">
        <v>226</v>
      </c>
      <c r="M1419" s="155" t="n">
        <v>11.49</v>
      </c>
      <c r="N1419" t="inlineStr">
        <is>
          <t>台灣鋰電池模組之生產商</t>
        </is>
      </c>
    </row>
    <row r="1420">
      <c r="A1420" t="n">
        <v>4933</v>
      </c>
      <c r="B1420" t="inlineStr">
        <is>
          <t>友輝</t>
        </is>
      </c>
      <c r="C1420" t="n">
        <v>76.40000000000001</v>
      </c>
      <c r="D1420" t="n">
        <v>77.90000000000001</v>
      </c>
      <c r="E1420" s="730" t="n">
        <v>1.5</v>
      </c>
      <c r="F1420" s="731" t="n">
        <v>1.96</v>
      </c>
      <c r="G1420" t="inlineStr">
        <is>
          <t>6464萬</t>
        </is>
      </c>
      <c r="H1420" t="n">
        <v>850</v>
      </c>
      <c r="I1420" t="n">
        <v>1208</v>
      </c>
      <c r="J1420" t="n">
        <v>8.26</v>
      </c>
      <c r="K1420" t="n">
        <v>78</v>
      </c>
      <c r="L1420" t="n">
        <v>75</v>
      </c>
      <c r="M1420" s="155" t="n">
        <v>1.03</v>
      </c>
      <c r="N1420" t="inlineStr">
        <is>
          <t>新纖轉投資的聚光片廠</t>
        </is>
      </c>
    </row>
    <row r="1421">
      <c r="A1421" t="n">
        <v>4934</v>
      </c>
      <c r="B1421" t="inlineStr">
        <is>
          <t>太極</t>
        </is>
      </c>
      <c r="C1421" t="n">
        <v>17.2</v>
      </c>
      <c r="D1421" t="n">
        <v>17.05</v>
      </c>
      <c r="E1421" s="730" t="n">
        <v>-0.25</v>
      </c>
      <c r="F1421" s="731" t="n">
        <v>-1.45</v>
      </c>
      <c r="G1421" t="inlineStr">
        <is>
          <t>2656萬</t>
        </is>
      </c>
      <c r="H1421" t="n">
        <v>1576</v>
      </c>
      <c r="I1421" t="n">
        <v>1617</v>
      </c>
      <c r="J1421" t="n">
        <v>22.5</v>
      </c>
      <c r="K1421" t="n">
        <v>17.4</v>
      </c>
      <c r="L1421" t="n">
        <v>16.45</v>
      </c>
      <c r="M1421" s="155" t="n">
        <v>0.7</v>
      </c>
      <c r="N1421" t="inlineStr">
        <is>
          <t>廣運轉投資之太陽能電池廠</t>
        </is>
      </c>
    </row>
    <row r="1422">
      <c r="A1422" t="n">
        <v>4935</v>
      </c>
      <c r="B1422" t="inlineStr">
        <is>
          <t>茂林-KY</t>
        </is>
      </c>
      <c r="C1422" t="n">
        <v>41.7</v>
      </c>
      <c r="D1422" t="n">
        <v>42.35</v>
      </c>
      <c r="E1422" s="730" t="n">
        <v>0.7</v>
      </c>
      <c r="F1422" s="731" t="n">
        <v>1.68</v>
      </c>
      <c r="G1422" t="inlineStr">
        <is>
          <t>2365萬</t>
        </is>
      </c>
      <c r="H1422" t="n">
        <v>570</v>
      </c>
      <c r="I1422" t="n">
        <v>361</v>
      </c>
      <c r="J1422" t="n">
        <v>12.89</v>
      </c>
      <c r="K1422" t="n">
        <v>42.35</v>
      </c>
      <c r="L1422" t="n">
        <v>40.25</v>
      </c>
      <c r="M1422" s="155" t="n">
        <v>0.44</v>
      </c>
      <c r="N1422" t="inlineStr">
        <is>
          <t>台灣導光板大廠</t>
        </is>
      </c>
    </row>
    <row r="1423">
      <c r="A1423" t="n">
        <v>4938</v>
      </c>
      <c r="B1423" t="inlineStr">
        <is>
          <t>和碩</t>
        </is>
      </c>
      <c r="C1423" t="n">
        <v>92</v>
      </c>
      <c r="D1423" t="n">
        <v>97.8</v>
      </c>
      <c r="E1423" s="730" t="n">
        <v>6.6</v>
      </c>
      <c r="F1423" s="731" t="n">
        <v>7.24</v>
      </c>
      <c r="G1423" t="inlineStr">
        <is>
          <t>59.3億</t>
        </is>
      </c>
      <c r="H1423" t="n">
        <v>61578</v>
      </c>
      <c r="I1423" t="n">
        <v>23228</v>
      </c>
      <c r="J1423" t="n">
        <v>268.2</v>
      </c>
      <c r="K1423" t="n">
        <v>99.5</v>
      </c>
      <c r="L1423" t="n">
        <v>90.8</v>
      </c>
      <c r="M1423" s="155" t="n">
        <v>2.3</v>
      </c>
      <c r="N1423" t="inlineStr">
        <is>
          <t>全球前十大EMS廠之一</t>
        </is>
      </c>
    </row>
    <row r="1424">
      <c r="A1424" t="n">
        <v>4939</v>
      </c>
      <c r="B1424" t="inlineStr">
        <is>
          <t>亞電</t>
        </is>
      </c>
      <c r="C1424" t="n">
        <v>59.6</v>
      </c>
      <c r="D1424" t="n">
        <v>53.5</v>
      </c>
      <c r="E1424" s="730" t="n">
        <v>-2</v>
      </c>
      <c r="F1424" s="731" t="n">
        <v>-3.6</v>
      </c>
      <c r="G1424" t="inlineStr">
        <is>
          <t>13.6億</t>
        </is>
      </c>
      <c r="H1424" t="n">
        <v>25793</v>
      </c>
      <c r="I1424" t="n">
        <v>17359</v>
      </c>
      <c r="J1424" t="n">
        <v>9.82</v>
      </c>
      <c r="K1424" t="n">
        <v>59.7</v>
      </c>
      <c r="L1424" t="n">
        <v>49.95</v>
      </c>
      <c r="M1424" s="155" t="n">
        <v>26.27</v>
      </c>
      <c r="N1424" t="inlineStr">
        <is>
          <t>台灣第二大FCCL廠商</t>
        </is>
      </c>
    </row>
    <row r="1425">
      <c r="A1425" t="n">
        <v>4942</v>
      </c>
      <c r="B1425" t="inlineStr">
        <is>
          <t>嘉彰</t>
        </is>
      </c>
      <c r="C1425" t="n">
        <v>38.35</v>
      </c>
      <c r="D1425" t="n">
        <v>38.5</v>
      </c>
      <c r="E1425" s="730" t="n">
        <v>0.25</v>
      </c>
      <c r="F1425" s="731" t="n">
        <v>0.65</v>
      </c>
      <c r="G1425" t="inlineStr">
        <is>
          <t>703萬</t>
        </is>
      </c>
      <c r="H1425" t="n">
        <v>183</v>
      </c>
      <c r="I1425" t="n">
        <v>155</v>
      </c>
      <c r="J1425" t="n">
        <v>14.24</v>
      </c>
      <c r="K1425" t="n">
        <v>38.55</v>
      </c>
      <c r="L1425" t="n">
        <v>38.2</v>
      </c>
      <c r="M1425" s="155" t="n">
        <v>0.13</v>
      </c>
      <c r="N1425" t="inlineStr">
        <is>
          <t>台灣TFT框架、背板等零組件沖壓廠</t>
        </is>
      </c>
    </row>
    <row r="1426">
      <c r="A1426" t="n">
        <v>4943</v>
      </c>
      <c r="B1426" t="inlineStr">
        <is>
          <t>康控-KY</t>
        </is>
      </c>
      <c r="C1426" t="n">
        <v>9.18</v>
      </c>
      <c r="D1426" t="n">
        <v>9</v>
      </c>
      <c r="E1426" s="730" t="n">
        <v>-0.29</v>
      </c>
      <c r="F1426" s="731" t="n">
        <v>-3.12</v>
      </c>
      <c r="G1426" t="inlineStr">
        <is>
          <t>48.7萬</t>
        </is>
      </c>
      <c r="H1426" t="n">
        <v>54</v>
      </c>
      <c r="I1426" t="n">
        <v>62</v>
      </c>
      <c r="J1426" t="n">
        <v>12.67</v>
      </c>
      <c r="K1426" t="n">
        <v>9.18</v>
      </c>
      <c r="L1426" t="n">
        <v>8.9</v>
      </c>
      <c r="M1426" s="155" t="n">
        <v>0.06</v>
      </c>
      <c r="N1426" t="inlineStr">
        <is>
          <t>汽車零組件及聲學元件製造商</t>
        </is>
      </c>
    </row>
    <row r="1427">
      <c r="A1427" t="n">
        <v>4946</v>
      </c>
      <c r="B1427" t="inlineStr">
        <is>
          <t>辣椒</t>
        </is>
      </c>
      <c r="C1427" t="n">
        <v>103.5</v>
      </c>
      <c r="D1427" t="n">
        <v>103.5</v>
      </c>
      <c r="E1427" s="730" t="n">
        <v>-1.5</v>
      </c>
      <c r="F1427" s="731" t="n">
        <v>-1.43</v>
      </c>
      <c r="G1427" t="inlineStr">
        <is>
          <t>391萬</t>
        </is>
      </c>
      <c r="H1427" t="n">
        <v>38</v>
      </c>
      <c r="I1427" t="n">
        <v>75</v>
      </c>
      <c r="J1427" t="n">
        <v>0.89</v>
      </c>
      <c r="K1427" t="n">
        <v>104</v>
      </c>
      <c r="L1427" t="n">
        <v>102</v>
      </c>
      <c r="M1427" s="155" t="n">
        <v>0.43</v>
      </c>
      <c r="N1427" t="inlineStr">
        <is>
          <t>台灣知名休閒遊戲運營商</t>
        </is>
      </c>
    </row>
    <row r="1428">
      <c r="A1428" t="n">
        <v>4949</v>
      </c>
      <c r="B1428" t="inlineStr">
        <is>
          <t>有成精密</t>
        </is>
      </c>
      <c r="C1428" t="n">
        <v>101</v>
      </c>
      <c r="D1428" t="n">
        <v>104.5</v>
      </c>
      <c r="E1428" s="730" t="n">
        <v>1</v>
      </c>
      <c r="F1428" s="731" t="n">
        <v>0.97</v>
      </c>
      <c r="G1428" t="inlineStr">
        <is>
          <t>3.68億</t>
        </is>
      </c>
      <c r="H1428" t="n">
        <v>3682</v>
      </c>
      <c r="I1428" t="n">
        <v>4129</v>
      </c>
      <c r="J1428" t="n">
        <v>6.77</v>
      </c>
      <c r="K1428" t="n">
        <v>104.5</v>
      </c>
      <c r="L1428" t="n">
        <v>96.09999999999999</v>
      </c>
      <c r="M1428" s="155" t="n">
        <v>5.44</v>
      </c>
      <c r="N1428" t="inlineStr">
        <is>
          <t>台灣太陽能發電系統安裝廠商</t>
        </is>
      </c>
    </row>
    <row r="1429">
      <c r="A1429" t="n">
        <v>4950</v>
      </c>
      <c r="B1429" t="inlineStr">
        <is>
          <t>金耘國際</t>
        </is>
      </c>
      <c r="C1429" t="n">
        <v>16</v>
      </c>
      <c r="D1429" t="n">
        <v>15.8</v>
      </c>
      <c r="E1429" s="730" t="n">
        <v>-0.2</v>
      </c>
      <c r="F1429" s="731" t="n">
        <v>-1.25</v>
      </c>
      <c r="G1429" t="inlineStr">
        <is>
          <t>147萬</t>
        </is>
      </c>
      <c r="H1429" t="n">
        <v>93</v>
      </c>
      <c r="I1429" t="n">
        <v>45</v>
      </c>
      <c r="J1429" t="n">
        <v>5.77</v>
      </c>
      <c r="K1429" t="n">
        <v>16.35</v>
      </c>
      <c r="L1429" t="n">
        <v>15.8</v>
      </c>
      <c r="M1429" s="155" t="n">
        <v>0.16</v>
      </c>
      <c r="N1429" t="inlineStr">
        <is>
          <t>台灣鋼鐵集團旗下不鏽鋼、特殊鋼通路商</t>
        </is>
      </c>
    </row>
    <row r="1430">
      <c r="A1430" t="n">
        <v>4951</v>
      </c>
      <c r="B1430" t="inlineStr">
        <is>
          <t>精拓科</t>
        </is>
      </c>
      <c r="C1430" t="n">
        <v>123.5</v>
      </c>
      <c r="D1430" t="n">
        <v>121</v>
      </c>
      <c r="E1430" s="730" t="n">
        <v>-2.5</v>
      </c>
      <c r="F1430" s="731" t="n">
        <v>-2.02</v>
      </c>
      <c r="G1430" t="inlineStr">
        <is>
          <t>1.01億</t>
        </is>
      </c>
      <c r="H1430" t="n">
        <v>846</v>
      </c>
      <c r="I1430" t="n">
        <v>1300</v>
      </c>
      <c r="J1430" t="n">
        <v>3.41</v>
      </c>
      <c r="K1430" t="n">
        <v>123.5</v>
      </c>
      <c r="L1430" t="n">
        <v>117</v>
      </c>
      <c r="M1430" s="155" t="n">
        <v>2.48</v>
      </c>
      <c r="N1430" t="inlineStr">
        <is>
          <t>台灣電腦系統相關IC供應商</t>
        </is>
      </c>
    </row>
    <row r="1431">
      <c r="A1431" t="n">
        <v>4952</v>
      </c>
      <c r="B1431" t="inlineStr">
        <is>
          <t>凌通</t>
        </is>
      </c>
      <c r="C1431" t="n">
        <v>52.3</v>
      </c>
      <c r="D1431" t="n">
        <v>51.1</v>
      </c>
      <c r="E1431" s="730" t="n">
        <v>-0.8</v>
      </c>
      <c r="F1431" s="731" t="n">
        <v>-1.54</v>
      </c>
      <c r="G1431" t="inlineStr">
        <is>
          <t>3754萬</t>
        </is>
      </c>
      <c r="H1431" t="n">
        <v>737</v>
      </c>
      <c r="I1431" t="n">
        <v>2571</v>
      </c>
      <c r="J1431" t="n">
        <v>10.88</v>
      </c>
      <c r="K1431" t="n">
        <v>52.3</v>
      </c>
      <c r="L1431" t="n">
        <v>50.1</v>
      </c>
      <c r="M1431" s="155" t="n">
        <v>0.68</v>
      </c>
      <c r="N1431" t="inlineStr">
        <is>
          <t>凌陽轉投資的消費性IC廠</t>
        </is>
      </c>
    </row>
    <row r="1432">
      <c r="A1432" t="n">
        <v>4953</v>
      </c>
      <c r="B1432" t="inlineStr">
        <is>
          <t>緯軟</t>
        </is>
      </c>
      <c r="C1432" t="n">
        <v>133</v>
      </c>
      <c r="D1432" t="n">
        <v>135.5</v>
      </c>
      <c r="E1432" s="730" t="n">
        <v>3.5</v>
      </c>
      <c r="F1432" s="731" t="n">
        <v>2.65</v>
      </c>
      <c r="G1432" t="inlineStr">
        <is>
          <t>4.18億</t>
        </is>
      </c>
      <c r="H1432" t="n">
        <v>3145</v>
      </c>
      <c r="I1432" t="n">
        <v>881</v>
      </c>
      <c r="J1432" t="n">
        <v>7.31</v>
      </c>
      <c r="K1432" t="n">
        <v>138</v>
      </c>
      <c r="L1432" t="n">
        <v>131</v>
      </c>
      <c r="M1432" s="155" t="n">
        <v>4.3</v>
      </c>
      <c r="N1432" t="inlineStr">
        <is>
          <t>緯創旗下，台灣大型資訊委外服務廠商</t>
        </is>
      </c>
    </row>
    <row r="1433">
      <c r="A1433" t="n">
        <v>4956</v>
      </c>
      <c r="B1433" t="inlineStr">
        <is>
          <t>光鋐</t>
        </is>
      </c>
      <c r="C1433" t="n">
        <v>45.7</v>
      </c>
      <c r="D1433" t="n">
        <v>44.65</v>
      </c>
      <c r="E1433" s="730" t="n">
        <v>-0.85</v>
      </c>
      <c r="F1433" s="731" t="n">
        <v>-1.87</v>
      </c>
      <c r="G1433" t="inlineStr">
        <is>
          <t>1.49億</t>
        </is>
      </c>
      <c r="H1433" t="n">
        <v>3299</v>
      </c>
      <c r="I1433" t="n">
        <v>5178</v>
      </c>
      <c r="J1433" t="n">
        <v>10.04</v>
      </c>
      <c r="K1433" t="n">
        <v>47.5</v>
      </c>
      <c r="L1433" t="n">
        <v>43.5</v>
      </c>
      <c r="M1433" s="155" t="n">
        <v>3.29</v>
      </c>
      <c r="N1433" t="inlineStr">
        <is>
          <t>泛鴻海集團LED磊晶廠</t>
        </is>
      </c>
    </row>
    <row r="1434">
      <c r="A1434" t="n">
        <v>4958</v>
      </c>
      <c r="B1434" t="inlineStr">
        <is>
          <t>臻鼎-KY</t>
        </is>
      </c>
      <c r="C1434" t="n">
        <v>548</v>
      </c>
      <c r="D1434" t="n">
        <v>520</v>
      </c>
      <c r="E1434" s="730" t="n">
        <v>-28</v>
      </c>
      <c r="F1434" s="731" t="n">
        <v>-5.11</v>
      </c>
      <c r="G1434" t="inlineStr">
        <is>
          <t>58.8億</t>
        </is>
      </c>
      <c r="H1434" t="n">
        <v>11344</v>
      </c>
      <c r="I1434" t="n">
        <v>25979</v>
      </c>
      <c r="J1434" t="n">
        <v>107.06</v>
      </c>
      <c r="K1434" t="n">
        <v>548</v>
      </c>
      <c r="L1434" t="n">
        <v>501</v>
      </c>
      <c r="M1434" s="155" t="n">
        <v>1.06</v>
      </c>
      <c r="N1434" t="inlineStr">
        <is>
          <t>鴻海轉投資的全球第一大PCB廠</t>
        </is>
      </c>
    </row>
    <row r="1435">
      <c r="A1435" t="n">
        <v>4960</v>
      </c>
      <c r="B1435" t="inlineStr">
        <is>
          <t>誠美材</t>
        </is>
      </c>
      <c r="C1435" t="n">
        <v>34</v>
      </c>
      <c r="D1435" t="n">
        <v>32.45</v>
      </c>
      <c r="E1435" s="730" t="n">
        <v>-1.3</v>
      </c>
      <c r="F1435" s="731" t="n">
        <v>-3.85</v>
      </c>
      <c r="G1435" t="inlineStr">
        <is>
          <t>2.71億</t>
        </is>
      </c>
      <c r="H1435" t="n">
        <v>8307</v>
      </c>
      <c r="I1435" t="n">
        <v>10046</v>
      </c>
      <c r="J1435" t="n">
        <v>57.17</v>
      </c>
      <c r="K1435" t="n">
        <v>34</v>
      </c>
      <c r="L1435" t="n">
        <v>31.8</v>
      </c>
      <c r="M1435" s="155" t="n">
        <v>1.45</v>
      </c>
      <c r="N1435" t="inlineStr">
        <is>
          <t>台灣第二大偏光板供應商</t>
        </is>
      </c>
    </row>
    <row r="1436">
      <c r="A1436" t="n">
        <v>4961</v>
      </c>
      <c r="B1436" t="inlineStr">
        <is>
          <t>天鈺</t>
        </is>
      </c>
      <c r="C1436" t="n">
        <v>176</v>
      </c>
      <c r="D1436" t="n">
        <v>173</v>
      </c>
      <c r="E1436" s="730" t="n">
        <v>-2</v>
      </c>
      <c r="F1436" s="731" t="n">
        <v>-1.14</v>
      </c>
      <c r="G1436" t="inlineStr">
        <is>
          <t>2.30億</t>
        </is>
      </c>
      <c r="H1436" t="n">
        <v>1348</v>
      </c>
      <c r="I1436" t="n">
        <v>1229</v>
      </c>
      <c r="J1436" t="n">
        <v>12.13</v>
      </c>
      <c r="K1436" t="n">
        <v>176</v>
      </c>
      <c r="L1436" t="n">
        <v>168.5</v>
      </c>
      <c r="M1436" s="155" t="n">
        <v>1.11</v>
      </c>
      <c r="N1436" t="inlineStr">
        <is>
          <t>產品涵蓋小至大尺寸顯示器驅動IC設計公司</t>
        </is>
      </c>
    </row>
    <row r="1437">
      <c r="A1437" t="n">
        <v>4966</v>
      </c>
      <c r="B1437" t="inlineStr">
        <is>
          <t>譜瑞-KY</t>
        </is>
      </c>
      <c r="C1437" t="n">
        <v>855</v>
      </c>
      <c r="D1437" t="n">
        <v>827</v>
      </c>
      <c r="E1437" s="730" t="n">
        <v>-32</v>
      </c>
      <c r="F1437" s="731" t="n">
        <v>-3.73</v>
      </c>
      <c r="G1437" t="inlineStr">
        <is>
          <t>37.2億</t>
        </is>
      </c>
      <c r="H1437" t="n">
        <v>4409</v>
      </c>
      <c r="I1437" t="n">
        <v>4776</v>
      </c>
      <c r="J1437" t="n">
        <v>7.9</v>
      </c>
      <c r="K1437" t="n">
        <v>874</v>
      </c>
      <c r="L1437" t="n">
        <v>816</v>
      </c>
      <c r="M1437" s="155" t="n">
        <v>5.58</v>
      </c>
      <c r="N1437" t="inlineStr">
        <is>
          <t>專攻高速訊號傳輸介面及顯示晶片廠商</t>
        </is>
      </c>
    </row>
    <row r="1438">
      <c r="A1438" t="n">
        <v>4967</v>
      </c>
      <c r="B1438" t="inlineStr">
        <is>
          <t>十銓</t>
        </is>
      </c>
      <c r="C1438" t="n">
        <v>295</v>
      </c>
      <c r="D1438" t="n">
        <v>304.5</v>
      </c>
      <c r="E1438" s="730" t="n">
        <v>15.5</v>
      </c>
      <c r="F1438" s="731" t="n">
        <v>5.36</v>
      </c>
      <c r="G1438" t="inlineStr">
        <is>
          <t>84.8億</t>
        </is>
      </c>
      <c r="H1438" t="n">
        <v>28323</v>
      </c>
      <c r="I1438" t="n">
        <v>9150</v>
      </c>
      <c r="J1438" t="n">
        <v>9.43</v>
      </c>
      <c r="K1438" t="n">
        <v>310</v>
      </c>
      <c r="L1438" t="n">
        <v>290</v>
      </c>
      <c r="M1438" s="155" t="n">
        <v>33.34</v>
      </c>
      <c r="N1438" t="inlineStr">
        <is>
          <t>全球知名DRAM模組廠</t>
        </is>
      </c>
    </row>
    <row r="1439">
      <c r="A1439" t="n">
        <v>4968</v>
      </c>
      <c r="B1439" t="inlineStr">
        <is>
          <t>立積</t>
        </is>
      </c>
      <c r="C1439" t="n">
        <v>119</v>
      </c>
      <c r="D1439" t="n">
        <v>120</v>
      </c>
      <c r="E1439" s="730" t="n">
        <v>3</v>
      </c>
      <c r="F1439" s="731" t="n">
        <v>2.56</v>
      </c>
      <c r="G1439" t="inlineStr">
        <is>
          <t>3.43億</t>
        </is>
      </c>
      <c r="H1439" t="n">
        <v>2858</v>
      </c>
      <c r="I1439" t="n">
        <v>1320</v>
      </c>
      <c r="J1439" t="n">
        <v>9.220000000000001</v>
      </c>
      <c r="K1439" t="n">
        <v>123</v>
      </c>
      <c r="L1439" t="n">
        <v>117</v>
      </c>
      <c r="M1439" s="155" t="n">
        <v>3.1</v>
      </c>
      <c r="N1439" t="inlineStr">
        <is>
          <t>台灣採用矽及砷化鎵技術的RF射頻前端IC廠</t>
        </is>
      </c>
    </row>
    <row r="1440">
      <c r="A1440" t="n">
        <v>4971</v>
      </c>
      <c r="B1440" t="inlineStr">
        <is>
          <t>IET-KY</t>
        </is>
      </c>
      <c r="C1440" t="n">
        <v>815</v>
      </c>
      <c r="D1440" t="n">
        <v>711</v>
      </c>
      <c r="E1440" s="730" t="n">
        <v>-78</v>
      </c>
      <c r="F1440" s="731" t="n">
        <v>-9.890000000000001</v>
      </c>
      <c r="G1440" t="inlineStr">
        <is>
          <t>24.7億</t>
        </is>
      </c>
      <c r="H1440" t="n">
        <v>3176</v>
      </c>
      <c r="I1440" t="n">
        <v>297</v>
      </c>
      <c r="J1440" t="n">
        <v>4.72</v>
      </c>
      <c r="K1440" t="n">
        <v>833</v>
      </c>
      <c r="L1440" t="n">
        <v>711</v>
      </c>
      <c r="M1440" s="155" t="n">
        <v>7.94</v>
      </c>
      <c r="N1440" t="inlineStr">
        <is>
          <t>以MBE技術製造III-V族磊晶廠</t>
        </is>
      </c>
    </row>
    <row r="1441">
      <c r="A1441" t="n">
        <v>4972</v>
      </c>
      <c r="B1441" t="inlineStr">
        <is>
          <t>湯石照明</t>
        </is>
      </c>
      <c r="C1441" t="n">
        <v>16.6</v>
      </c>
      <c r="D1441" t="n">
        <v>16.5</v>
      </c>
      <c r="E1441" s="730" t="n">
        <v>-0.05</v>
      </c>
      <c r="F1441" s="731" t="n">
        <v>-0.3</v>
      </c>
      <c r="G1441" t="inlineStr">
        <is>
          <t>62.6萬</t>
        </is>
      </c>
      <c r="H1441" t="n">
        <v>38</v>
      </c>
      <c r="I1441" t="n">
        <v>71</v>
      </c>
      <c r="J1441" t="n">
        <v>5.69</v>
      </c>
      <c r="K1441" t="n">
        <v>16.6</v>
      </c>
      <c r="L1441" t="n">
        <v>16.3</v>
      </c>
      <c r="M1441" s="155" t="n">
        <v>0.07000000000000001</v>
      </c>
      <c r="N1441" t="inlineStr">
        <is>
          <t>以自有品牌行銷歐美之LED燈具商</t>
        </is>
      </c>
    </row>
    <row r="1442">
      <c r="A1442" t="n">
        <v>4973</v>
      </c>
      <c r="B1442" t="inlineStr">
        <is>
          <t>廣穎</t>
        </is>
      </c>
      <c r="C1442" t="n">
        <v>154</v>
      </c>
      <c r="D1442" t="n">
        <v>156.5</v>
      </c>
      <c r="E1442" s="730" t="n">
        <v>0</v>
      </c>
      <c r="F1442" s="731" t="n">
        <v>0</v>
      </c>
      <c r="G1442" t="inlineStr">
        <is>
          <t>3.68億</t>
        </is>
      </c>
      <c r="H1442" t="n">
        <v>2378</v>
      </c>
      <c r="I1442" t="n">
        <v>9719</v>
      </c>
      <c r="J1442" t="n">
        <v>6.53</v>
      </c>
      <c r="K1442" t="n">
        <v>159</v>
      </c>
      <c r="L1442" t="n">
        <v>153</v>
      </c>
      <c r="M1442" s="155" t="n">
        <v>3.64</v>
      </c>
      <c r="N1442" t="inlineStr">
        <is>
          <t>矽創轉投資之記憶體產品廠</t>
        </is>
      </c>
    </row>
    <row r="1443">
      <c r="A1443" t="n">
        <v>4974</v>
      </c>
      <c r="B1443" t="inlineStr">
        <is>
          <t>亞泰</t>
        </is>
      </c>
      <c r="C1443" t="n">
        <v>77.90000000000001</v>
      </c>
      <c r="D1443" t="n">
        <v>77.59999999999999</v>
      </c>
      <c r="E1443" s="730" t="n">
        <v>-0.2</v>
      </c>
      <c r="F1443" s="731" t="n">
        <v>-0.26</v>
      </c>
      <c r="G1443" t="inlineStr">
        <is>
          <t>2816萬</t>
        </is>
      </c>
      <c r="H1443" t="n">
        <v>365</v>
      </c>
      <c r="I1443" t="n">
        <v>522</v>
      </c>
      <c r="J1443" t="n">
        <v>7.25</v>
      </c>
      <c r="K1443" t="n">
        <v>77.90000000000001</v>
      </c>
      <c r="L1443" t="n">
        <v>76.59999999999999</v>
      </c>
      <c r="M1443" s="155" t="n">
        <v>0.5</v>
      </c>
      <c r="N1443" t="inlineStr">
        <is>
          <t>全球前三大接觸式CIS影像感測器業者</t>
        </is>
      </c>
    </row>
    <row r="1444">
      <c r="A1444" t="n">
        <v>4976</v>
      </c>
      <c r="B1444" t="inlineStr">
        <is>
          <t>佳凌</t>
        </is>
      </c>
      <c r="C1444" t="n">
        <v>32.4</v>
      </c>
      <c r="D1444" t="n">
        <v>31.95</v>
      </c>
      <c r="E1444" s="730" t="n">
        <v>-0.35</v>
      </c>
      <c r="F1444" s="731" t="n">
        <v>-1.08</v>
      </c>
      <c r="G1444" t="inlineStr">
        <is>
          <t>3222萬</t>
        </is>
      </c>
      <c r="H1444" t="n">
        <v>1006</v>
      </c>
      <c r="I1444" t="n">
        <v>1115</v>
      </c>
      <c r="J1444" t="n">
        <v>14.14</v>
      </c>
      <c r="K1444" t="n">
        <v>33.1</v>
      </c>
      <c r="L1444" t="n">
        <v>31.3</v>
      </c>
      <c r="M1444" s="155" t="n">
        <v>0.71</v>
      </c>
      <c r="N1444" t="inlineStr">
        <is>
          <t>台灣光學鏡片及鏡頭機構組裝供應商</t>
        </is>
      </c>
    </row>
    <row r="1445">
      <c r="A1445" t="n">
        <v>4977</v>
      </c>
      <c r="B1445" t="inlineStr">
        <is>
          <t>眾達-KY</t>
        </is>
      </c>
      <c r="C1445" t="n">
        <v>221.5</v>
      </c>
      <c r="D1445" t="n">
        <v>212.5</v>
      </c>
      <c r="E1445" s="730" t="n">
        <v>-4.5</v>
      </c>
      <c r="F1445" s="731" t="n">
        <v>-2.07</v>
      </c>
      <c r="G1445" t="inlineStr">
        <is>
          <t>15.1億</t>
        </is>
      </c>
      <c r="H1445" t="n">
        <v>6869</v>
      </c>
      <c r="I1445" t="n">
        <v>4915</v>
      </c>
      <c r="J1445" t="n">
        <v>8.02</v>
      </c>
      <c r="K1445" t="n">
        <v>229</v>
      </c>
      <c r="L1445" t="n">
        <v>212</v>
      </c>
      <c r="M1445" s="155" t="n">
        <v>8.57</v>
      </c>
      <c r="N1445" t="inlineStr">
        <is>
          <t>光收發模組封裝及代工廠商</t>
        </is>
      </c>
    </row>
    <row r="1446">
      <c r="A1446" t="n">
        <v>4979</v>
      </c>
      <c r="B1446" t="inlineStr">
        <is>
          <t>華星光</t>
        </is>
      </c>
      <c r="C1446" t="n">
        <v>671</v>
      </c>
      <c r="D1446" t="n">
        <v>630</v>
      </c>
      <c r="E1446" s="730" t="n">
        <v>-20</v>
      </c>
      <c r="F1446" s="731" t="n">
        <v>-3.08</v>
      </c>
      <c r="G1446" t="inlineStr">
        <is>
          <t>103億</t>
        </is>
      </c>
      <c r="H1446" t="n">
        <v>15794</v>
      </c>
      <c r="I1446" t="n">
        <v>9255</v>
      </c>
      <c r="J1446" t="n">
        <v>14.24</v>
      </c>
      <c r="K1446" t="n">
        <v>691</v>
      </c>
      <c r="L1446" t="n">
        <v>630</v>
      </c>
      <c r="M1446" s="155" t="n">
        <v>11.09</v>
      </c>
      <c r="N1446" t="inlineStr">
        <is>
          <t>台灣光收發模組一貫廠</t>
        </is>
      </c>
    </row>
    <row r="1447">
      <c r="A1447" t="n">
        <v>4989</v>
      </c>
      <c r="B1447" t="inlineStr">
        <is>
          <t>榮科</t>
        </is>
      </c>
      <c r="C1447" t="n">
        <v>107</v>
      </c>
      <c r="D1447" t="n">
        <v>100</v>
      </c>
      <c r="E1447" s="730" t="n">
        <v>-7</v>
      </c>
      <c r="F1447" s="731" t="n">
        <v>-6.54</v>
      </c>
      <c r="G1447" t="inlineStr">
        <is>
          <t>13.4億</t>
        </is>
      </c>
      <c r="H1447" t="n">
        <v>13186</v>
      </c>
      <c r="I1447" t="n">
        <v>18303</v>
      </c>
      <c r="J1447" t="n">
        <v>13.78</v>
      </c>
      <c r="K1447" t="n">
        <v>107.5</v>
      </c>
      <c r="L1447" t="n">
        <v>98.59999999999999</v>
      </c>
      <c r="M1447" s="155" t="n">
        <v>9.57</v>
      </c>
      <c r="N1447" t="inlineStr">
        <is>
          <t>榮化轉投資的電解銅箔廠</t>
        </is>
      </c>
    </row>
    <row r="1448">
      <c r="A1448" t="n">
        <v>4991</v>
      </c>
      <c r="B1448" t="inlineStr">
        <is>
          <t>環宇-KY</t>
        </is>
      </c>
      <c r="C1448" t="n">
        <v>756</v>
      </c>
      <c r="D1448" t="n">
        <v>702</v>
      </c>
      <c r="E1448" s="730" t="n">
        <v>-33</v>
      </c>
      <c r="F1448" s="731" t="n">
        <v>-4.49</v>
      </c>
      <c r="G1448" t="inlineStr">
        <is>
          <t>42.6億</t>
        </is>
      </c>
      <c r="H1448" t="n">
        <v>5934</v>
      </c>
      <c r="I1448" t="n">
        <v>6056</v>
      </c>
      <c r="J1448" t="n">
        <v>12.09</v>
      </c>
      <c r="K1448" t="n">
        <v>773</v>
      </c>
      <c r="L1448" t="n">
        <v>677</v>
      </c>
      <c r="M1448" s="155" t="n">
        <v>4.91</v>
      </c>
      <c r="N1448" t="inlineStr">
        <is>
          <t>全球III-V族專業晶圓代工廠</t>
        </is>
      </c>
    </row>
    <row r="1449">
      <c r="A1449" t="n">
        <v>4994</v>
      </c>
      <c r="B1449" t="inlineStr">
        <is>
          <t>傳奇</t>
        </is>
      </c>
      <c r="C1449" t="n">
        <v>89.8</v>
      </c>
      <c r="D1449" t="n">
        <v>87.3</v>
      </c>
      <c r="E1449" s="730" t="n">
        <v>-2.8</v>
      </c>
      <c r="F1449" s="731" t="n">
        <v>-3.11</v>
      </c>
      <c r="G1449" t="inlineStr">
        <is>
          <t>4517萬</t>
        </is>
      </c>
      <c r="H1449" t="n">
        <v>548</v>
      </c>
      <c r="I1449" t="n">
        <v>30</v>
      </c>
      <c r="J1449" t="n">
        <v>6.64</v>
      </c>
      <c r="K1449" t="n">
        <v>89.90000000000001</v>
      </c>
      <c r="L1449" t="n">
        <v>81.09999999999999</v>
      </c>
      <c r="M1449" s="155" t="n">
        <v>0.83</v>
      </c>
      <c r="N1449" t="inlineStr">
        <is>
          <t>台灣知名遊戲開發商</t>
        </is>
      </c>
    </row>
    <row r="1450">
      <c r="A1450" t="n">
        <v>4995</v>
      </c>
      <c r="B1450" t="inlineStr">
        <is>
          <t>晶達</t>
        </is>
      </c>
      <c r="C1450" t="n">
        <v>46.3</v>
      </c>
      <c r="D1450" t="n">
        <v>46.2</v>
      </c>
      <c r="E1450" s="730" t="n">
        <v>0.3</v>
      </c>
      <c r="F1450" s="731" t="n">
        <v>0.65</v>
      </c>
      <c r="G1450" t="inlineStr">
        <is>
          <t>259萬</t>
        </is>
      </c>
      <c r="H1450" t="n">
        <v>56</v>
      </c>
      <c r="I1450" t="n">
        <v>103</v>
      </c>
      <c r="J1450" t="n">
        <v>4.26</v>
      </c>
      <c r="K1450" t="n">
        <v>46.45</v>
      </c>
      <c r="L1450" t="n">
        <v>45.95</v>
      </c>
      <c r="M1450" s="155" t="n">
        <v>0.13</v>
      </c>
      <c r="N1450" t="inlineStr">
        <is>
          <t>工業用高亮度面板專業廠商</t>
        </is>
      </c>
    </row>
    <row r="1451">
      <c r="A1451" t="n">
        <v>4999</v>
      </c>
      <c r="B1451" t="inlineStr">
        <is>
          <t>鑫禾</t>
        </is>
      </c>
      <c r="C1451" t="n">
        <v>20.4</v>
      </c>
      <c r="D1451" t="n">
        <v>20.5</v>
      </c>
      <c r="E1451" s="730" t="n">
        <v>0.1</v>
      </c>
      <c r="F1451" s="731" t="n">
        <v>0.49</v>
      </c>
      <c r="G1451" t="inlineStr">
        <is>
          <t>288萬</t>
        </is>
      </c>
      <c r="H1451" t="n">
        <v>141</v>
      </c>
      <c r="I1451" t="n">
        <v>145</v>
      </c>
      <c r="J1451" t="n">
        <v>7.44</v>
      </c>
      <c r="K1451" t="n">
        <v>20.7</v>
      </c>
      <c r="L1451" t="n">
        <v>20.3</v>
      </c>
      <c r="M1451" s="155" t="n">
        <v>0.19</v>
      </c>
      <c r="N1451" t="inlineStr">
        <is>
          <t>全球前三大筆電樞紐製造商</t>
        </is>
      </c>
    </row>
    <row r="1452">
      <c r="A1452" t="n">
        <v>5007</v>
      </c>
      <c r="B1452" t="inlineStr">
        <is>
          <t>三星</t>
        </is>
      </c>
      <c r="C1452" t="n">
        <v>57.9</v>
      </c>
      <c r="D1452" t="n">
        <v>58</v>
      </c>
      <c r="E1452" s="730" t="n">
        <v>0</v>
      </c>
      <c r="F1452" s="731" t="n">
        <v>0</v>
      </c>
      <c r="G1452" t="inlineStr">
        <is>
          <t>266萬</t>
        </is>
      </c>
      <c r="H1452" t="n">
        <v>46</v>
      </c>
      <c r="I1452" t="n">
        <v>73</v>
      </c>
      <c r="J1452" t="n">
        <v>29.49</v>
      </c>
      <c r="K1452" t="n">
        <v>58</v>
      </c>
      <c r="L1452" t="n">
        <v>57.5</v>
      </c>
      <c r="M1452" s="155" t="n">
        <v>0.02</v>
      </c>
      <c r="N1452" t="inlineStr">
        <is>
          <t>全球最大鋼鐵螺帽製造商</t>
        </is>
      </c>
    </row>
    <row r="1453">
      <c r="A1453" t="n">
        <v>5009</v>
      </c>
      <c r="B1453" t="inlineStr">
        <is>
          <t>榮剛</t>
        </is>
      </c>
      <c r="C1453" t="n">
        <v>36.5</v>
      </c>
      <c r="D1453" t="n">
        <v>35.95</v>
      </c>
      <c r="E1453" s="730" t="n">
        <v>-0.35</v>
      </c>
      <c r="F1453" s="731" t="n">
        <v>-0.96</v>
      </c>
      <c r="G1453" t="inlineStr">
        <is>
          <t>9050萬</t>
        </is>
      </c>
      <c r="H1453" t="n">
        <v>2518</v>
      </c>
      <c r="I1453" t="n">
        <v>3806</v>
      </c>
      <c r="J1453" t="n">
        <v>60.25</v>
      </c>
      <c r="K1453" t="n">
        <v>36.6</v>
      </c>
      <c r="L1453" t="n">
        <v>35.5</v>
      </c>
      <c r="M1453" s="155" t="n">
        <v>0.42</v>
      </c>
      <c r="N1453" t="inlineStr">
        <is>
          <t>全球前十大合金棒鋼廠</t>
        </is>
      </c>
    </row>
    <row r="1454">
      <c r="A1454" t="n">
        <v>5011</v>
      </c>
      <c r="B1454" t="inlineStr">
        <is>
          <t>久陽</t>
        </is>
      </c>
      <c r="C1454" t="n">
        <v>19.15</v>
      </c>
      <c r="D1454" t="n">
        <v>18.8</v>
      </c>
      <c r="E1454" s="730" t="n">
        <v>-0.55</v>
      </c>
      <c r="F1454" s="731" t="n">
        <v>-2.84</v>
      </c>
      <c r="G1454" t="inlineStr">
        <is>
          <t>1320萬</t>
        </is>
      </c>
      <c r="H1454" t="n">
        <v>707</v>
      </c>
      <c r="I1454" t="n">
        <v>2542</v>
      </c>
      <c r="J1454" t="n">
        <v>10.07</v>
      </c>
      <c r="K1454" t="n">
        <v>19.15</v>
      </c>
      <c r="L1454" t="n">
        <v>18.35</v>
      </c>
      <c r="M1454" s="155" t="n">
        <v>0.7</v>
      </c>
      <c r="N1454" t="inlineStr">
        <is>
          <t>台鋼集團旗下螺絲大廠</t>
        </is>
      </c>
    </row>
    <row r="1455">
      <c r="A1455" t="n">
        <v>5013</v>
      </c>
      <c r="B1455" t="inlineStr">
        <is>
          <t>強新</t>
        </is>
      </c>
      <c r="C1455" t="n">
        <v>28.65</v>
      </c>
      <c r="D1455" t="n">
        <v>28.2</v>
      </c>
      <c r="E1455" s="730" t="n">
        <v>0.1</v>
      </c>
      <c r="F1455" s="731" t="n">
        <v>0.36</v>
      </c>
      <c r="G1455" t="inlineStr">
        <is>
          <t>31.0萬</t>
        </is>
      </c>
      <c r="H1455" t="n">
        <v>11</v>
      </c>
      <c r="I1455" t="n">
        <v>6</v>
      </c>
      <c r="J1455" t="n">
        <v>13.34</v>
      </c>
      <c r="K1455" t="n">
        <v>28.65</v>
      </c>
      <c r="L1455" t="n">
        <v>27.9</v>
      </c>
      <c r="M1455" s="155" t="n">
        <v>0.01</v>
      </c>
      <c r="N1455" t="inlineStr">
        <is>
          <t>台灣超潔淨電解拋光不銹鋼管（EP管）領導廠商</t>
        </is>
      </c>
    </row>
    <row r="1456">
      <c r="A1456" t="n">
        <v>5014</v>
      </c>
      <c r="B1456" t="inlineStr">
        <is>
          <t>建錩</t>
        </is>
      </c>
      <c r="C1456" t="n">
        <v>11.3</v>
      </c>
      <c r="D1456" t="n">
        <v>11.2</v>
      </c>
      <c r="E1456" s="730" t="n">
        <v>0.1</v>
      </c>
      <c r="F1456" s="731" t="n">
        <v>0.9</v>
      </c>
      <c r="G1456" t="inlineStr">
        <is>
          <t>235萬</t>
        </is>
      </c>
      <c r="H1456" t="n">
        <v>212</v>
      </c>
      <c r="I1456" t="n">
        <v>440</v>
      </c>
      <c r="J1456" t="n">
        <v>18.33</v>
      </c>
      <c r="K1456" t="n">
        <v>11.3</v>
      </c>
      <c r="L1456" t="n">
        <v>10.95</v>
      </c>
      <c r="M1456" s="155" t="n">
        <v>0.12</v>
      </c>
      <c r="N1456" t="inlineStr">
        <is>
          <t>不鏽鋼板裁剪及分條加工廠</t>
        </is>
      </c>
    </row>
    <row r="1457">
      <c r="A1457" t="n">
        <v>5015</v>
      </c>
      <c r="B1457" t="inlineStr">
        <is>
          <t>華祺</t>
        </is>
      </c>
      <c r="C1457" t="n">
        <v>24.7</v>
      </c>
      <c r="D1457" t="n">
        <v>24.7</v>
      </c>
      <c r="E1457" s="730" t="n">
        <v>-0.1</v>
      </c>
      <c r="F1457" s="731" t="n">
        <v>-0.4</v>
      </c>
      <c r="G1457" t="inlineStr">
        <is>
          <t>71.8萬</t>
        </is>
      </c>
      <c r="H1457" t="n">
        <v>29</v>
      </c>
      <c r="I1457" t="n">
        <v>78</v>
      </c>
      <c r="J1457" t="n">
        <v>6.06</v>
      </c>
      <c r="K1457" t="n">
        <v>25.1</v>
      </c>
      <c r="L1457" t="n">
        <v>24.65</v>
      </c>
      <c r="M1457" s="155" t="n">
        <v>0.05</v>
      </c>
      <c r="N1457" t="inlineStr">
        <is>
          <t>全球知名不鏽鋼螺絲製造廠</t>
        </is>
      </c>
    </row>
    <row r="1458">
      <c r="A1458" t="n">
        <v>5016</v>
      </c>
      <c r="B1458" t="inlineStr">
        <is>
          <t>松和</t>
        </is>
      </c>
      <c r="C1458" t="n">
        <v>25.4</v>
      </c>
      <c r="D1458" t="n">
        <v>25.05</v>
      </c>
      <c r="E1458" s="730" t="n">
        <v>-0.15</v>
      </c>
      <c r="F1458" s="731" t="n">
        <v>-0.6</v>
      </c>
      <c r="G1458" t="inlineStr">
        <is>
          <t>270萬</t>
        </is>
      </c>
      <c r="H1458" t="n">
        <v>109</v>
      </c>
      <c r="I1458" t="n">
        <v>242</v>
      </c>
      <c r="J1458" t="n">
        <v>4.96</v>
      </c>
      <c r="K1458" t="n">
        <v>25.4</v>
      </c>
      <c r="L1458" t="n">
        <v>24.8</v>
      </c>
      <c r="M1458" s="155" t="n">
        <v>0.22</v>
      </c>
      <c r="N1458" t="inlineStr">
        <is>
          <t>台灣規模最大鋼線鋼纜廠之一</t>
        </is>
      </c>
    </row>
    <row r="1459">
      <c r="A1459" t="n">
        <v>5201</v>
      </c>
      <c r="B1459" t="inlineStr">
        <is>
          <t>凱衛</t>
        </is>
      </c>
      <c r="C1459" t="n">
        <v>29.85</v>
      </c>
      <c r="D1459" t="n">
        <v>29</v>
      </c>
      <c r="E1459" s="730" t="n">
        <v>0</v>
      </c>
      <c r="F1459" s="731" t="n">
        <v>0</v>
      </c>
      <c r="G1459" t="inlineStr">
        <is>
          <t>318萬</t>
        </is>
      </c>
      <c r="H1459" t="n">
        <v>109</v>
      </c>
      <c r="I1459" t="n">
        <v>95</v>
      </c>
      <c r="J1459" t="n">
        <v>3.87</v>
      </c>
      <c r="K1459" t="n">
        <v>29.85</v>
      </c>
      <c r="L1459" t="n">
        <v>28.65</v>
      </c>
      <c r="M1459" s="155" t="n">
        <v>0.28</v>
      </c>
      <c r="N1459" t="inlineStr">
        <is>
          <t>以證券金融服務為主的系統整合商</t>
        </is>
      </c>
    </row>
    <row r="1460">
      <c r="A1460" t="n">
        <v>5202</v>
      </c>
      <c r="B1460" t="inlineStr">
        <is>
          <t>力新</t>
        </is>
      </c>
      <c r="C1460" t="n">
        <v>13</v>
      </c>
      <c r="D1460" t="n">
        <v>13.65</v>
      </c>
      <c r="E1460" s="730" t="n">
        <v>0.85</v>
      </c>
      <c r="F1460" s="731" t="n">
        <v>6.64</v>
      </c>
      <c r="G1460" t="inlineStr">
        <is>
          <t>1104萬</t>
        </is>
      </c>
      <c r="H1460" t="n">
        <v>824</v>
      </c>
      <c r="I1460" t="n">
        <v>612</v>
      </c>
      <c r="J1460" t="n">
        <v>8.91</v>
      </c>
      <c r="K1460" t="n">
        <v>13.8</v>
      </c>
      <c r="L1460" t="n">
        <v>12.95</v>
      </c>
      <c r="M1460" s="155" t="n">
        <v>0.92</v>
      </c>
      <c r="N1460" t="inlineStr">
        <is>
          <t>台灣影像處理軟體商</t>
        </is>
      </c>
    </row>
    <row r="1461">
      <c r="A1461" t="n">
        <v>5203</v>
      </c>
      <c r="B1461" t="inlineStr">
        <is>
          <t>訊連</t>
        </is>
      </c>
      <c r="C1461" t="n">
        <v>72</v>
      </c>
      <c r="D1461" t="n">
        <v>70.59999999999999</v>
      </c>
      <c r="E1461" s="730" t="n">
        <v>0.6</v>
      </c>
      <c r="F1461" s="731" t="n">
        <v>0.86</v>
      </c>
      <c r="G1461" t="inlineStr">
        <is>
          <t>8453萬</t>
        </is>
      </c>
      <c r="H1461" t="n">
        <v>1204</v>
      </c>
      <c r="I1461" t="n">
        <v>486</v>
      </c>
      <c r="J1461" t="n">
        <v>7.94</v>
      </c>
      <c r="K1461" t="n">
        <v>72.3</v>
      </c>
      <c r="L1461" t="n">
        <v>68.5</v>
      </c>
      <c r="M1461" s="155" t="n">
        <v>1.52</v>
      </c>
      <c r="N1461" t="inlineStr">
        <is>
          <t>全球知名多媒體影音軟體公司</t>
        </is>
      </c>
    </row>
    <row r="1462">
      <c r="A1462" t="n">
        <v>5205</v>
      </c>
      <c r="B1462" t="inlineStr">
        <is>
          <t>中茂</t>
        </is>
      </c>
      <c r="C1462" t="n">
        <v>23.7</v>
      </c>
      <c r="D1462" t="n">
        <v>21.65</v>
      </c>
      <c r="E1462" s="730" t="n">
        <v>-1.65</v>
      </c>
      <c r="F1462" s="731" t="n">
        <v>-7.08</v>
      </c>
      <c r="G1462" t="inlineStr">
        <is>
          <t>22.4萬</t>
        </is>
      </c>
      <c r="H1462" t="n">
        <v>10</v>
      </c>
      <c r="I1462" t="n">
        <v>3</v>
      </c>
      <c r="J1462" t="n">
        <v>1.35</v>
      </c>
      <c r="K1462" t="n">
        <v>23.7</v>
      </c>
      <c r="L1462" t="n">
        <v>21.35</v>
      </c>
      <c r="M1462" s="155" t="n">
        <v>0.07000000000000001</v>
      </c>
      <c r="N1462" t="inlineStr">
        <is>
          <t>廢水及廢棄物處理工程商</t>
        </is>
      </c>
    </row>
    <row r="1463">
      <c r="A1463" t="n">
        <v>5206</v>
      </c>
      <c r="B1463" t="inlineStr">
        <is>
          <t>坤悅</t>
        </is>
      </c>
      <c r="C1463" t="n">
        <v>21.7</v>
      </c>
      <c r="D1463" t="n">
        <v>21.7</v>
      </c>
      <c r="E1463" s="730" t="n">
        <v>0</v>
      </c>
      <c r="F1463" s="731" t="n">
        <v>0</v>
      </c>
      <c r="G1463" t="inlineStr">
        <is>
          <t>311萬</t>
        </is>
      </c>
      <c r="H1463" t="n">
        <v>144</v>
      </c>
      <c r="I1463" t="n">
        <v>79</v>
      </c>
      <c r="J1463" t="n">
        <v>17.15</v>
      </c>
      <c r="K1463" t="n">
        <v>21.8</v>
      </c>
      <c r="L1463" t="n">
        <v>21.5</v>
      </c>
      <c r="M1463" s="155" t="n">
        <v>0.08</v>
      </c>
      <c r="N1463" t="inlineStr">
        <is>
          <t>推案集中於台中地區之建商</t>
        </is>
      </c>
    </row>
    <row r="1464">
      <c r="A1464" t="n">
        <v>5209</v>
      </c>
      <c r="B1464" t="inlineStr">
        <is>
          <t>新鼎</t>
        </is>
      </c>
      <c r="C1464" t="n">
        <v>172.5</v>
      </c>
      <c r="D1464" t="n">
        <v>174.5</v>
      </c>
      <c r="E1464" s="730" t="n">
        <v>3</v>
      </c>
      <c r="F1464" s="731" t="n">
        <v>1.75</v>
      </c>
      <c r="G1464" t="inlineStr">
        <is>
          <t>1020萬</t>
        </is>
      </c>
      <c r="H1464" t="n">
        <v>59</v>
      </c>
      <c r="I1464" t="n">
        <v>52</v>
      </c>
      <c r="J1464" t="n">
        <v>2.86</v>
      </c>
      <c r="K1464" t="n">
        <v>174.5</v>
      </c>
      <c r="L1464" t="n">
        <v>171.5</v>
      </c>
      <c r="M1464" s="155" t="n">
        <v>0.21</v>
      </c>
      <c r="N1464" t="inlineStr">
        <is>
          <t>中鼎旗下石化、煉油廠、交通機電等資訊系統工程SI廠</t>
        </is>
      </c>
    </row>
    <row r="1465">
      <c r="A1465" t="n">
        <v>5210</v>
      </c>
      <c r="B1465" t="inlineStr">
        <is>
          <t>寶碩</t>
        </is>
      </c>
      <c r="C1465" t="n">
        <v>29.3</v>
      </c>
      <c r="D1465" t="n">
        <v>29.1</v>
      </c>
      <c r="E1465" s="730" t="n">
        <v>-0.15</v>
      </c>
      <c r="F1465" s="731" t="n">
        <v>-0.51</v>
      </c>
      <c r="G1465" t="inlineStr">
        <is>
          <t>1649萬</t>
        </is>
      </c>
      <c r="H1465" t="n">
        <v>565</v>
      </c>
      <c r="I1465" t="n">
        <v>1109</v>
      </c>
      <c r="J1465" t="n">
        <v>8.220000000000001</v>
      </c>
      <c r="K1465" t="n">
        <v>29.5</v>
      </c>
      <c r="L1465" t="n">
        <v>28.95</v>
      </c>
      <c r="M1465" s="155" t="n">
        <v>0.6899999999999999</v>
      </c>
      <c r="N1465" t="inlineStr">
        <is>
          <t>證券金融相關解決方案系統整合廠商</t>
        </is>
      </c>
    </row>
    <row r="1466">
      <c r="A1466" t="n">
        <v>5211</v>
      </c>
      <c r="B1466" t="inlineStr">
        <is>
          <t>蒙恬</t>
        </is>
      </c>
      <c r="C1466" t="n">
        <v>18.4</v>
      </c>
      <c r="D1466" t="n">
        <v>19.4</v>
      </c>
      <c r="E1466" s="730" t="n">
        <v>0.95</v>
      </c>
      <c r="F1466" s="731" t="n">
        <v>5.15</v>
      </c>
      <c r="G1466" t="inlineStr">
        <is>
          <t>787萬</t>
        </is>
      </c>
      <c r="H1466" t="n">
        <v>402</v>
      </c>
      <c r="I1466" t="n">
        <v>81</v>
      </c>
      <c r="J1466" t="n">
        <v>3.2</v>
      </c>
      <c r="K1466" t="n">
        <v>20.25</v>
      </c>
      <c r="L1466" t="n">
        <v>18.3</v>
      </c>
      <c r="M1466" s="155" t="n">
        <v>1.26</v>
      </c>
      <c r="N1466" t="inlineStr">
        <is>
          <t>台灣手寫辨識軟硬體廠商</t>
        </is>
      </c>
    </row>
    <row r="1467">
      <c r="A1467" t="n">
        <v>5212</v>
      </c>
      <c r="B1467" t="inlineStr">
        <is>
          <t>凌網</t>
        </is>
      </c>
      <c r="C1467" t="n">
        <v>46.5</v>
      </c>
      <c r="D1467" t="n">
        <v>46.7</v>
      </c>
      <c r="E1467" s="730" t="n">
        <v>-0.05</v>
      </c>
      <c r="F1467" s="731" t="n">
        <v>-0.11</v>
      </c>
      <c r="G1467" t="inlineStr">
        <is>
          <t>75.0萬</t>
        </is>
      </c>
      <c r="H1467" t="n">
        <v>16</v>
      </c>
      <c r="I1467" t="n">
        <v>36</v>
      </c>
      <c r="J1467" t="n">
        <v>3.46</v>
      </c>
      <c r="K1467" t="n">
        <v>47.65</v>
      </c>
      <c r="L1467" t="n">
        <v>46.5</v>
      </c>
      <c r="M1467" s="155" t="n">
        <v>0.05</v>
      </c>
      <c r="N1467" t="inlineStr">
        <is>
          <t>以知識管理為主的系統整合廠</t>
        </is>
      </c>
    </row>
    <row r="1468">
      <c r="A1468" t="n">
        <v>5213</v>
      </c>
      <c r="B1468" t="inlineStr">
        <is>
          <t>亞昕</t>
        </is>
      </c>
      <c r="C1468" t="n">
        <v>26.85</v>
      </c>
      <c r="D1468" t="n">
        <v>26.9</v>
      </c>
      <c r="E1468" s="730" t="n">
        <v>0.15</v>
      </c>
      <c r="F1468" s="731" t="n">
        <v>0.5600000000000001</v>
      </c>
      <c r="G1468" t="inlineStr">
        <is>
          <t>2273萬</t>
        </is>
      </c>
      <c r="H1468" t="n">
        <v>850</v>
      </c>
      <c r="I1468" t="n">
        <v>893</v>
      </c>
      <c r="J1468" t="n">
        <v>72.13</v>
      </c>
      <c r="K1468" t="n">
        <v>26.9</v>
      </c>
      <c r="L1468" t="n">
        <v>26.6</v>
      </c>
      <c r="M1468" s="155" t="n">
        <v>0.12</v>
      </c>
      <c r="N1468" t="inlineStr">
        <is>
          <t>推案集中於大台北地區之建商</t>
        </is>
      </c>
    </row>
    <row r="1469">
      <c r="A1469" t="n">
        <v>5215</v>
      </c>
      <c r="B1469" t="inlineStr">
        <is>
          <t>科嘉-KY</t>
        </is>
      </c>
      <c r="C1469" t="n">
        <v>50</v>
      </c>
      <c r="D1469" t="n">
        <v>49.1</v>
      </c>
      <c r="E1469" s="730" t="n">
        <v>-1.2</v>
      </c>
      <c r="F1469" s="731" t="n">
        <v>-2.39</v>
      </c>
      <c r="G1469" t="inlineStr">
        <is>
          <t>1811萬</t>
        </is>
      </c>
      <c r="H1469" t="n">
        <v>373</v>
      </c>
      <c r="I1469" t="n">
        <v>344</v>
      </c>
      <c r="J1469" t="n">
        <v>6.43</v>
      </c>
      <c r="K1469" t="n">
        <v>50</v>
      </c>
      <c r="L1469" t="n">
        <v>47.5</v>
      </c>
      <c r="M1469" s="155" t="n">
        <v>0.58</v>
      </c>
      <c r="N1469" t="inlineStr">
        <is>
          <t>全球知名NB薄膜觸控開關製造商</t>
        </is>
      </c>
    </row>
    <row r="1470">
      <c r="A1470" t="n">
        <v>5220</v>
      </c>
      <c r="B1470" t="inlineStr">
        <is>
          <t>萬達光電</t>
        </is>
      </c>
      <c r="C1470" t="n">
        <v>23.45</v>
      </c>
      <c r="D1470" t="n">
        <v>23</v>
      </c>
      <c r="E1470" s="730" t="n">
        <v>-0.35</v>
      </c>
      <c r="F1470" s="731" t="n">
        <v>-1.5</v>
      </c>
      <c r="G1470" t="inlineStr">
        <is>
          <t>288萬</t>
        </is>
      </c>
      <c r="H1470" t="n">
        <v>125</v>
      </c>
      <c r="I1470" t="n">
        <v>179</v>
      </c>
      <c r="J1470" t="n">
        <v>3.97</v>
      </c>
      <c r="K1470" t="n">
        <v>23.5</v>
      </c>
      <c r="L1470" t="n">
        <v>22.8</v>
      </c>
      <c r="M1470" s="155" t="n">
        <v>0.32</v>
      </c>
      <c r="N1470" t="inlineStr">
        <is>
          <t>台灣觸控面板廠，主要聚焦於軍、工控等市場</t>
        </is>
      </c>
    </row>
    <row r="1471">
      <c r="A1471" t="n">
        <v>5222</v>
      </c>
      <c r="B1471" t="inlineStr">
        <is>
          <t>全訊</t>
        </is>
      </c>
      <c r="C1471" t="n">
        <v>126.5</v>
      </c>
      <c r="D1471" t="n">
        <v>123.5</v>
      </c>
      <c r="E1471" s="730" t="n">
        <v>-3</v>
      </c>
      <c r="F1471" s="731" t="n">
        <v>-2.37</v>
      </c>
      <c r="G1471" t="inlineStr">
        <is>
          <t>7611萬</t>
        </is>
      </c>
      <c r="H1471" t="n">
        <v>620</v>
      </c>
      <c r="I1471" t="n">
        <v>506</v>
      </c>
      <c r="J1471" t="n">
        <v>9.109999999999999</v>
      </c>
      <c r="K1471" t="n">
        <v>126.5</v>
      </c>
      <c r="L1471" t="n">
        <v>122</v>
      </c>
      <c r="M1471" s="155" t="n">
        <v>0.68</v>
      </c>
      <c r="N1471" t="inlineStr">
        <is>
          <t>功率放大器及低雜訊放大器微波元件製造商</t>
        </is>
      </c>
    </row>
    <row r="1472">
      <c r="A1472" t="n">
        <v>5223</v>
      </c>
      <c r="B1472" t="inlineStr">
        <is>
          <t>安力-KY</t>
        </is>
      </c>
      <c r="C1472" t="n">
        <v>25.55</v>
      </c>
      <c r="D1472" t="n">
        <v>25.35</v>
      </c>
      <c r="E1472" s="730" t="n">
        <v>-0.2</v>
      </c>
      <c r="F1472" s="731" t="n">
        <v>-0.78</v>
      </c>
      <c r="G1472" t="inlineStr">
        <is>
          <t>81.4萬</t>
        </is>
      </c>
      <c r="H1472" t="n">
        <v>32</v>
      </c>
      <c r="I1472" t="n">
        <v>54</v>
      </c>
      <c r="J1472" t="n">
        <v>4.45</v>
      </c>
      <c r="K1472" t="n">
        <v>26.25</v>
      </c>
      <c r="L1472" t="n">
        <v>25.15</v>
      </c>
      <c r="M1472" s="155" t="n">
        <v>0.07000000000000001</v>
      </c>
      <c r="N1472" t="inlineStr">
        <is>
          <t>行動裝置散熱及機構件廠商</t>
        </is>
      </c>
    </row>
    <row r="1473">
      <c r="A1473" t="n">
        <v>5225</v>
      </c>
      <c r="B1473" t="inlineStr">
        <is>
          <t>東科-KY</t>
        </is>
      </c>
      <c r="C1473" t="n">
        <v>71.7</v>
      </c>
      <c r="D1473" t="n">
        <v>71.5</v>
      </c>
      <c r="E1473" s="730" t="n">
        <v>-0.1</v>
      </c>
      <c r="F1473" s="731" t="n">
        <v>-0.14</v>
      </c>
      <c r="G1473" t="inlineStr">
        <is>
          <t>2171萬</t>
        </is>
      </c>
      <c r="H1473" t="n">
        <v>305</v>
      </c>
      <c r="I1473" t="n">
        <v>394</v>
      </c>
      <c r="J1473" t="n">
        <v>7.91</v>
      </c>
      <c r="K1473" t="n">
        <v>71.7</v>
      </c>
      <c r="L1473" t="n">
        <v>70.8</v>
      </c>
      <c r="M1473" s="155" t="n">
        <v>0.39</v>
      </c>
      <c r="N1473" t="inlineStr">
        <is>
          <t>全球最大影音揚聲器OEM製造商</t>
        </is>
      </c>
    </row>
    <row r="1474">
      <c r="A1474" t="n">
        <v>5227</v>
      </c>
      <c r="B1474" t="inlineStr">
        <is>
          <t>立凱-KY</t>
        </is>
      </c>
      <c r="C1474" t="n">
        <v>24.7</v>
      </c>
      <c r="D1474" t="n">
        <v>24.4</v>
      </c>
      <c r="E1474" s="730" t="n">
        <v>-0.3</v>
      </c>
      <c r="F1474" s="731" t="n">
        <v>-1.21</v>
      </c>
      <c r="G1474" t="inlineStr">
        <is>
          <t>295萬</t>
        </is>
      </c>
      <c r="H1474" t="n">
        <v>120</v>
      </c>
      <c r="I1474" t="n">
        <v>183</v>
      </c>
      <c r="J1474" t="n">
        <v>6.8</v>
      </c>
      <c r="K1474" t="n">
        <v>24.75</v>
      </c>
      <c r="L1474" t="n">
        <v>24.2</v>
      </c>
      <c r="M1474" s="155" t="n">
        <v>0.18</v>
      </c>
      <c r="N1474" t="inlineStr">
        <is>
          <t>台灣磷酸鐵鋰電池正極材料廠商</t>
        </is>
      </c>
    </row>
    <row r="1475">
      <c r="A1475" t="n">
        <v>5228</v>
      </c>
      <c r="B1475" t="inlineStr">
        <is>
          <t>鈺鎧</t>
        </is>
      </c>
      <c r="C1475" t="n">
        <v>63.4</v>
      </c>
      <c r="D1475" t="n">
        <v>64.3</v>
      </c>
      <c r="E1475" s="730" t="n">
        <v>-0.4</v>
      </c>
      <c r="F1475" s="731" t="n">
        <v>-0.62</v>
      </c>
      <c r="G1475" t="inlineStr">
        <is>
          <t>1.15億</t>
        </is>
      </c>
      <c r="H1475" t="n">
        <v>1868</v>
      </c>
      <c r="I1475" t="n">
        <v>1061</v>
      </c>
      <c r="J1475" t="n">
        <v>3.81</v>
      </c>
      <c r="K1475" t="n">
        <v>65.8</v>
      </c>
      <c r="L1475" t="n">
        <v>58.8</v>
      </c>
      <c r="M1475" s="155" t="n">
        <v>4.91</v>
      </c>
      <c r="N1475" t="inlineStr">
        <is>
          <t>國內專業磁性被動元件製造廠</t>
        </is>
      </c>
    </row>
    <row r="1476">
      <c r="A1476" t="n">
        <v>5230</v>
      </c>
      <c r="B1476" t="inlineStr">
        <is>
          <t>雷笛克光學</t>
        </is>
      </c>
      <c r="C1476" t="n">
        <v>17.25</v>
      </c>
      <c r="D1476" t="n">
        <v>17.7</v>
      </c>
      <c r="E1476" s="730" t="n">
        <v>0.25</v>
      </c>
      <c r="F1476" s="731" t="n">
        <v>1.43</v>
      </c>
      <c r="G1476" t="inlineStr">
        <is>
          <t>370萬</t>
        </is>
      </c>
      <c r="H1476" t="n">
        <v>213</v>
      </c>
      <c r="I1476" t="n">
        <v>208</v>
      </c>
      <c r="J1476" t="n">
        <v>5.6</v>
      </c>
      <c r="K1476" t="n">
        <v>17.75</v>
      </c>
      <c r="L1476" t="n">
        <v>17.15</v>
      </c>
      <c r="M1476" s="155" t="n">
        <v>0.38</v>
      </c>
      <c r="N1476" t="inlineStr">
        <is>
          <t>主要從事LED二次光學透鏡之研發、製造及生產</t>
        </is>
      </c>
    </row>
    <row r="1477">
      <c r="A1477" t="n">
        <v>5234</v>
      </c>
      <c r="B1477" t="inlineStr">
        <is>
          <t>達興材料</t>
        </is>
      </c>
      <c r="C1477" t="n">
        <v>412.5</v>
      </c>
      <c r="D1477" t="n">
        <v>403</v>
      </c>
      <c r="E1477" s="730" t="n">
        <v>-9.5</v>
      </c>
      <c r="F1477" s="731" t="n">
        <v>-2.3</v>
      </c>
      <c r="G1477" t="inlineStr">
        <is>
          <t>3.01億</t>
        </is>
      </c>
      <c r="H1477" t="n">
        <v>751</v>
      </c>
      <c r="I1477" t="n">
        <v>770</v>
      </c>
      <c r="J1477" t="n">
        <v>10.27</v>
      </c>
      <c r="K1477" t="n">
        <v>412.5</v>
      </c>
      <c r="L1477" t="n">
        <v>396.5</v>
      </c>
      <c r="M1477" s="155" t="n">
        <v>0.73</v>
      </c>
      <c r="N1477" t="inlineStr">
        <is>
          <t>友達為大股東之光電特用化學材料供應商</t>
        </is>
      </c>
    </row>
    <row r="1478">
      <c r="A1478" t="n">
        <v>5236</v>
      </c>
      <c r="B1478" t="inlineStr">
        <is>
          <t>凌陽創新</t>
        </is>
      </c>
      <c r="C1478" t="n">
        <v>184</v>
      </c>
      <c r="D1478" t="n">
        <v>181</v>
      </c>
      <c r="E1478" s="730" t="n">
        <v>-1</v>
      </c>
      <c r="F1478" s="731" t="n">
        <v>-0.55</v>
      </c>
      <c r="G1478" t="inlineStr">
        <is>
          <t>1.66億</t>
        </is>
      </c>
      <c r="H1478" t="n">
        <v>924</v>
      </c>
      <c r="I1478" t="n">
        <v>556</v>
      </c>
      <c r="J1478" t="n">
        <v>6</v>
      </c>
      <c r="K1478" t="n">
        <v>185.5</v>
      </c>
      <c r="L1478" t="n">
        <v>177.5</v>
      </c>
      <c r="M1478" s="155" t="n">
        <v>1.54</v>
      </c>
      <c r="N1478" t="inlineStr">
        <is>
          <t>凌陽旗下MCU與網路攝影機晶片廠</t>
        </is>
      </c>
    </row>
    <row r="1479">
      <c r="A1479" t="n">
        <v>5243</v>
      </c>
      <c r="B1479" t="inlineStr">
        <is>
          <t>乙盛-KY</t>
        </is>
      </c>
      <c r="C1479" t="n">
        <v>124</v>
      </c>
      <c r="D1479" t="n">
        <v>124</v>
      </c>
      <c r="E1479" s="730" t="n">
        <v>0</v>
      </c>
      <c r="F1479" s="731" t="n">
        <v>0</v>
      </c>
      <c r="G1479" t="inlineStr">
        <is>
          <t>6.13億</t>
        </is>
      </c>
      <c r="H1479" t="n">
        <v>5091</v>
      </c>
      <c r="I1479" t="n">
        <v>10227</v>
      </c>
      <c r="J1479" t="n">
        <v>16.85</v>
      </c>
      <c r="K1479" t="n">
        <v>124</v>
      </c>
      <c r="L1479" t="n">
        <v>117</v>
      </c>
      <c r="M1479" s="155" t="n">
        <v>3.02</v>
      </c>
      <c r="N1479" t="inlineStr">
        <is>
          <t>鴻海轉投資的機構件廠</t>
        </is>
      </c>
    </row>
    <row r="1480">
      <c r="A1480" t="n">
        <v>5244</v>
      </c>
      <c r="B1480" t="inlineStr">
        <is>
          <t>弘凱</t>
        </is>
      </c>
      <c r="C1480" t="n">
        <v>39.05</v>
      </c>
      <c r="D1480" t="n">
        <v>38.8</v>
      </c>
      <c r="E1480" s="730" t="n">
        <v>0.15</v>
      </c>
      <c r="F1480" s="731" t="n">
        <v>0.39</v>
      </c>
      <c r="G1480" t="inlineStr">
        <is>
          <t>750萬</t>
        </is>
      </c>
      <c r="H1480" t="n">
        <v>194</v>
      </c>
      <c r="I1480" t="n">
        <v>401</v>
      </c>
      <c r="J1480" t="n">
        <v>6.82</v>
      </c>
      <c r="K1480" t="n">
        <v>39.3</v>
      </c>
      <c r="L1480" t="n">
        <v>38.6</v>
      </c>
      <c r="M1480" s="155" t="n">
        <v>0.28</v>
      </c>
      <c r="N1480" t="inlineStr">
        <is>
          <t>LED產品主要應用於高端消費及車燈市場</t>
        </is>
      </c>
    </row>
    <row r="1481">
      <c r="A1481" t="n">
        <v>5245</v>
      </c>
      <c r="B1481" t="inlineStr">
        <is>
          <t>智晶</t>
        </is>
      </c>
      <c r="C1481" t="n">
        <v>27.8</v>
      </c>
      <c r="D1481" t="n">
        <v>27.75</v>
      </c>
      <c r="E1481" s="730" t="n">
        <v>0.15</v>
      </c>
      <c r="F1481" s="731" t="n">
        <v>0.54</v>
      </c>
      <c r="G1481" t="inlineStr">
        <is>
          <t>428萬</t>
        </is>
      </c>
      <c r="H1481" t="n">
        <v>156</v>
      </c>
      <c r="I1481" t="n">
        <v>271</v>
      </c>
      <c r="J1481" t="n">
        <v>4.51</v>
      </c>
      <c r="K1481" t="n">
        <v>27.8</v>
      </c>
      <c r="L1481" t="n">
        <v>27.05</v>
      </c>
      <c r="M1481" s="155" t="n">
        <v>0.35</v>
      </c>
      <c r="N1481" t="inlineStr">
        <is>
          <t>PMOLED出貨量居全球第二大</t>
        </is>
      </c>
    </row>
    <row r="1482">
      <c r="A1482" t="n">
        <v>5251</v>
      </c>
      <c r="B1482" t="inlineStr">
        <is>
          <t>天鉞電</t>
        </is>
      </c>
      <c r="C1482" t="n">
        <v>29.85</v>
      </c>
      <c r="D1482" t="n">
        <v>32.25</v>
      </c>
      <c r="E1482" s="730" t="n">
        <v>2.9</v>
      </c>
      <c r="F1482" s="731" t="n">
        <v>9.880000000000001</v>
      </c>
      <c r="G1482" t="inlineStr">
        <is>
          <t>5611萬</t>
        </is>
      </c>
      <c r="H1482" t="n">
        <v>1797</v>
      </c>
      <c r="I1482" t="n">
        <v>174</v>
      </c>
      <c r="J1482" t="n">
        <v>3.37</v>
      </c>
      <c r="K1482" t="n">
        <v>32.25</v>
      </c>
      <c r="L1482" t="n">
        <v>28.55</v>
      </c>
      <c r="M1482" s="155" t="n">
        <v>5.33</v>
      </c>
      <c r="N1482" t="inlineStr">
        <is>
          <t>以DIY類無線居家安控產品為主之數位家庭整合系統商</t>
        </is>
      </c>
    </row>
    <row r="1483">
      <c r="A1483" t="n">
        <v>5258</v>
      </c>
      <c r="B1483" t="inlineStr">
        <is>
          <t>虹堡</t>
        </is>
      </c>
      <c r="C1483" t="n">
        <v>52</v>
      </c>
      <c r="D1483" t="n">
        <v>52</v>
      </c>
      <c r="E1483" s="730" t="n">
        <v>-0.5</v>
      </c>
      <c r="F1483" s="731" t="n">
        <v>-0.95</v>
      </c>
      <c r="G1483" t="inlineStr">
        <is>
          <t>4338萬</t>
        </is>
      </c>
      <c r="H1483" t="n">
        <v>845</v>
      </c>
      <c r="I1483" t="n">
        <v>1941</v>
      </c>
      <c r="J1483" t="n">
        <v>11.04</v>
      </c>
      <c r="K1483" t="n">
        <v>52</v>
      </c>
      <c r="L1483" t="n">
        <v>50.8</v>
      </c>
      <c r="M1483" s="155" t="n">
        <v>0.77</v>
      </c>
      <c r="N1483" t="inlineStr">
        <is>
          <t>台灣電子金融交易終端機(POS)製造商</t>
        </is>
      </c>
    </row>
    <row r="1484">
      <c r="A1484" t="n">
        <v>5263</v>
      </c>
      <c r="B1484" t="inlineStr">
        <is>
          <t>智崴</t>
        </is>
      </c>
      <c r="C1484" t="n">
        <v>106</v>
      </c>
      <c r="D1484" t="n">
        <v>107.5</v>
      </c>
      <c r="E1484" s="730" t="n">
        <v>6.5</v>
      </c>
      <c r="F1484" s="731" t="n">
        <v>6.44</v>
      </c>
      <c r="G1484" t="inlineStr">
        <is>
          <t>5424萬</t>
        </is>
      </c>
      <c r="H1484" t="n">
        <v>511</v>
      </c>
      <c r="I1484" t="n">
        <v>270</v>
      </c>
      <c r="J1484" t="n">
        <v>7.39</v>
      </c>
      <c r="K1484" t="n">
        <v>108.5</v>
      </c>
      <c r="L1484" t="n">
        <v>104</v>
      </c>
      <c r="M1484" s="155" t="n">
        <v>0.6899999999999999</v>
      </c>
      <c r="N1484" t="inlineStr">
        <is>
          <t>台灣最大體感遊戲設備商</t>
        </is>
      </c>
    </row>
    <row r="1485">
      <c r="A1485" t="n">
        <v>5269</v>
      </c>
      <c r="B1485" t="inlineStr">
        <is>
          <t>祥碩</t>
        </is>
      </c>
      <c r="C1485" t="n">
        <v>1540</v>
      </c>
      <c r="D1485" t="n">
        <v>1590</v>
      </c>
      <c r="E1485" s="730" t="n">
        <v>70</v>
      </c>
      <c r="F1485" s="731" t="n">
        <v>4.61</v>
      </c>
      <c r="G1485" t="inlineStr">
        <is>
          <t>60.9億</t>
        </is>
      </c>
      <c r="H1485" t="n">
        <v>3832</v>
      </c>
      <c r="I1485" t="n">
        <v>1834</v>
      </c>
      <c r="J1485" t="n">
        <v>7.42</v>
      </c>
      <c r="K1485" t="n">
        <v>1660</v>
      </c>
      <c r="L1485" t="n">
        <v>1510</v>
      </c>
      <c r="M1485" s="155" t="n">
        <v>5.17</v>
      </c>
      <c r="N1485" t="inlineStr">
        <is>
          <t>華碩旗下高速傳輸介面之控制IC設計廠</t>
        </is>
      </c>
    </row>
    <row r="1486">
      <c r="A1486" t="n">
        <v>5272</v>
      </c>
      <c r="B1486" t="inlineStr">
        <is>
          <t>笙科</t>
        </is>
      </c>
      <c r="C1486" t="n">
        <v>22.5</v>
      </c>
      <c r="D1486" t="n">
        <v>23.15</v>
      </c>
      <c r="E1486" s="730" t="n">
        <v>0.65</v>
      </c>
      <c r="F1486" s="731" t="n">
        <v>2.89</v>
      </c>
      <c r="G1486" t="inlineStr">
        <is>
          <t>766萬</t>
        </is>
      </c>
      <c r="H1486" t="n">
        <v>336</v>
      </c>
      <c r="I1486" t="n">
        <v>305</v>
      </c>
      <c r="J1486" t="n">
        <v>5.53</v>
      </c>
      <c r="K1486" t="n">
        <v>23.55</v>
      </c>
      <c r="L1486" t="n">
        <v>22.1</v>
      </c>
      <c r="M1486" s="155" t="n">
        <v>0.61</v>
      </c>
      <c r="N1486" t="inlineStr">
        <is>
          <t>台灣專注於無線通訊射頻(RF)晶片廠</t>
        </is>
      </c>
    </row>
    <row r="1487">
      <c r="A1487" t="n">
        <v>5274</v>
      </c>
      <c r="B1487" t="inlineStr">
        <is>
          <t>信驊</t>
        </is>
      </c>
      <c r="C1487" t="n">
        <v>18475</v>
      </c>
      <c r="D1487" t="n">
        <v>18095</v>
      </c>
      <c r="E1487" s="730" t="n">
        <v>-405</v>
      </c>
      <c r="F1487" s="731" t="n">
        <v>-2.19</v>
      </c>
      <c r="G1487" t="inlineStr">
        <is>
          <t>48.1億</t>
        </is>
      </c>
      <c r="H1487" t="n">
        <v>263</v>
      </c>
      <c r="I1487" t="n">
        <v>375</v>
      </c>
      <c r="J1487" t="n">
        <v>3.78</v>
      </c>
      <c r="K1487" t="n">
        <v>18790</v>
      </c>
      <c r="L1487" t="n">
        <v>18070</v>
      </c>
      <c r="M1487" s="155" t="n">
        <v>0.7</v>
      </c>
      <c r="N1487" t="inlineStr">
        <is>
          <t>全球遠端伺服器管理晶片龍頭</t>
        </is>
      </c>
    </row>
    <row r="1488">
      <c r="A1488" t="n">
        <v>5276</v>
      </c>
      <c r="B1488" t="inlineStr">
        <is>
          <t>達輝-KY</t>
        </is>
      </c>
      <c r="C1488" t="n">
        <v>19.1</v>
      </c>
      <c r="D1488" t="n">
        <v>19.45</v>
      </c>
      <c r="E1488" s="730" t="n">
        <v>-0.25</v>
      </c>
      <c r="F1488" s="731" t="n">
        <v>-1.27</v>
      </c>
      <c r="G1488" t="inlineStr">
        <is>
          <t>44.0萬</t>
        </is>
      </c>
      <c r="H1488" t="n">
        <v>23</v>
      </c>
      <c r="I1488" t="n">
        <v>32</v>
      </c>
      <c r="J1488" t="n">
        <v>3.95</v>
      </c>
      <c r="K1488" t="n">
        <v>19.45</v>
      </c>
      <c r="L1488" t="n">
        <v>19</v>
      </c>
      <c r="M1488" s="155" t="n">
        <v>0.06</v>
      </c>
      <c r="N1488" t="inlineStr">
        <is>
          <t>奐鑫集團旗下嬰幼童產品及機車零組件廠</t>
        </is>
      </c>
    </row>
    <row r="1489">
      <c r="A1489" t="n">
        <v>5278</v>
      </c>
      <c r="B1489" t="inlineStr">
        <is>
          <t>尚凡*</t>
        </is>
      </c>
      <c r="C1489" t="n">
        <v>22.8</v>
      </c>
      <c r="D1489" t="n">
        <v>23.7</v>
      </c>
      <c r="E1489" s="730" t="n">
        <v>1.05</v>
      </c>
      <c r="F1489" s="731" t="n">
        <v>4.64</v>
      </c>
      <c r="G1489" t="inlineStr">
        <is>
          <t>925萬</t>
        </is>
      </c>
      <c r="H1489" t="n">
        <v>403</v>
      </c>
      <c r="I1489" t="n">
        <v>438</v>
      </c>
      <c r="J1489" t="n">
        <v>3</v>
      </c>
      <c r="K1489" t="n">
        <v>23.7</v>
      </c>
      <c r="L1489" t="n">
        <v>22.8</v>
      </c>
      <c r="M1489" s="155" t="n">
        <v>0.13</v>
      </c>
      <c r="N1489" t="inlineStr">
        <is>
          <t>台灣知名交友社群媒體服務商</t>
        </is>
      </c>
    </row>
    <row r="1490">
      <c r="A1490" t="n">
        <v>5283</v>
      </c>
      <c r="B1490" t="inlineStr">
        <is>
          <t>禾聯碩</t>
        </is>
      </c>
      <c r="C1490" t="n">
        <v>53.4</v>
      </c>
      <c r="D1490" t="n">
        <v>52.9</v>
      </c>
      <c r="E1490" s="730" t="n">
        <v>-0.5</v>
      </c>
      <c r="F1490" s="731" t="n">
        <v>-0.9399999999999999</v>
      </c>
      <c r="G1490" t="inlineStr">
        <is>
          <t>660萬</t>
        </is>
      </c>
      <c r="H1490" t="n">
        <v>124</v>
      </c>
      <c r="I1490" t="n">
        <v>161</v>
      </c>
      <c r="J1490" t="n">
        <v>8.76</v>
      </c>
      <c r="K1490" t="n">
        <v>53.5</v>
      </c>
      <c r="L1490" t="n">
        <v>52.8</v>
      </c>
      <c r="M1490" s="155" t="n">
        <v>0.14</v>
      </c>
      <c r="N1490" t="inlineStr">
        <is>
          <t>台灣智慧家電廠，經營HERAN品牌</t>
        </is>
      </c>
    </row>
    <row r="1491">
      <c r="A1491" t="n">
        <v>5284</v>
      </c>
      <c r="B1491" t="inlineStr">
        <is>
          <t>jpp-KY</t>
        </is>
      </c>
      <c r="C1491" t="n">
        <v>448</v>
      </c>
      <c r="D1491" t="n">
        <v>428</v>
      </c>
      <c r="E1491" s="730" t="n">
        <v>-18.5</v>
      </c>
      <c r="F1491" s="731" t="n">
        <v>-4.14</v>
      </c>
      <c r="G1491" t="inlineStr">
        <is>
          <t>4.16億</t>
        </is>
      </c>
      <c r="H1491" t="n">
        <v>970</v>
      </c>
      <c r="I1491" t="n">
        <v>1645</v>
      </c>
      <c r="J1491" t="n">
        <v>5.29</v>
      </c>
      <c r="K1491" t="n">
        <v>451.5</v>
      </c>
      <c r="L1491" t="n">
        <v>420</v>
      </c>
      <c r="M1491" s="155" t="n">
        <v>1.83</v>
      </c>
      <c r="N1491" t="inlineStr">
        <is>
          <t>客製化精密金屬機構件供應商</t>
        </is>
      </c>
    </row>
    <row r="1492">
      <c r="A1492" t="n">
        <v>5285</v>
      </c>
      <c r="B1492" t="inlineStr">
        <is>
          <t>界霖</t>
        </is>
      </c>
      <c r="C1492" t="n">
        <v>91.8</v>
      </c>
      <c r="D1492" t="n">
        <v>90.59999999999999</v>
      </c>
      <c r="E1492" s="730" t="n">
        <v>1.2</v>
      </c>
      <c r="F1492" s="731" t="n">
        <v>1.34</v>
      </c>
      <c r="G1492" t="inlineStr">
        <is>
          <t>6.78億</t>
        </is>
      </c>
      <c r="H1492" t="n">
        <v>7478</v>
      </c>
      <c r="I1492" t="n">
        <v>7025</v>
      </c>
      <c r="J1492" t="n">
        <v>10.2</v>
      </c>
      <c r="K1492" t="n">
        <v>95</v>
      </c>
      <c r="L1492" t="n">
        <v>88.3</v>
      </c>
      <c r="M1492" s="155" t="n">
        <v>7.33</v>
      </c>
      <c r="N1492" t="inlineStr">
        <is>
          <t>台灣功率單體及光電導線架供應商</t>
        </is>
      </c>
    </row>
    <row r="1493">
      <c r="A1493" t="n">
        <v>5287</v>
      </c>
      <c r="B1493" t="inlineStr">
        <is>
          <t>數字</t>
        </is>
      </c>
      <c r="C1493" t="n">
        <v>145</v>
      </c>
      <c r="D1493" t="n">
        <v>145</v>
      </c>
      <c r="E1493" s="730" t="n">
        <v>0</v>
      </c>
      <c r="F1493" s="731" t="n">
        <v>0</v>
      </c>
      <c r="G1493" t="inlineStr">
        <is>
          <t>2302萬</t>
        </is>
      </c>
      <c r="H1493" t="n">
        <v>160</v>
      </c>
      <c r="I1493" t="n">
        <v>162</v>
      </c>
      <c r="J1493" t="n">
        <v>6.03</v>
      </c>
      <c r="K1493" t="n">
        <v>145.5</v>
      </c>
      <c r="L1493" t="n">
        <v>143</v>
      </c>
      <c r="M1493" s="155" t="n">
        <v>0.27</v>
      </c>
      <c r="N1493" t="inlineStr">
        <is>
          <t>電商平台包含寶物、房屋、汽車交易及人力資源</t>
        </is>
      </c>
    </row>
    <row r="1494">
      <c r="A1494" t="n">
        <v>5288</v>
      </c>
      <c r="B1494" t="inlineStr">
        <is>
          <t>豐祥-KY</t>
        </is>
      </c>
      <c r="C1494" t="n">
        <v>162.5</v>
      </c>
      <c r="D1494" t="n">
        <v>160</v>
      </c>
      <c r="E1494" s="730" t="n">
        <v>-1</v>
      </c>
      <c r="F1494" s="731" t="n">
        <v>-0.62</v>
      </c>
      <c r="G1494" t="inlineStr">
        <is>
          <t>2982萬</t>
        </is>
      </c>
      <c r="H1494" t="n">
        <v>187</v>
      </c>
      <c r="I1494" t="n">
        <v>181</v>
      </c>
      <c r="J1494" t="n">
        <v>6.97</v>
      </c>
      <c r="K1494" t="n">
        <v>163</v>
      </c>
      <c r="L1494" t="n">
        <v>158</v>
      </c>
      <c r="M1494" s="155" t="n">
        <v>0.27</v>
      </c>
      <c r="N1494" t="inlineStr">
        <is>
          <t>越南主要汽機車零件供應商，跨足醫療器材零件</t>
        </is>
      </c>
    </row>
    <row r="1495">
      <c r="A1495" t="n">
        <v>5289</v>
      </c>
      <c r="B1495" t="inlineStr">
        <is>
          <t>宜鼎</t>
        </is>
      </c>
      <c r="C1495" t="n">
        <v>1930</v>
      </c>
      <c r="D1495" t="n">
        <v>1875</v>
      </c>
      <c r="E1495" s="730" t="n">
        <v>-30</v>
      </c>
      <c r="F1495" s="731" t="n">
        <v>-1.57</v>
      </c>
      <c r="G1495" t="inlineStr">
        <is>
          <t>73.1億</t>
        </is>
      </c>
      <c r="H1495" t="n">
        <v>3885</v>
      </c>
      <c r="I1495" t="n">
        <v>4262</v>
      </c>
      <c r="J1495" t="n">
        <v>9.630000000000001</v>
      </c>
      <c r="K1495" t="n">
        <v>1935</v>
      </c>
      <c r="L1495" t="n">
        <v>1820</v>
      </c>
      <c r="M1495" s="155" t="n">
        <v>4.03</v>
      </c>
      <c r="N1495" t="inlineStr">
        <is>
          <t>台灣專攻工業用嵌入式儲存裝置供應商</t>
        </is>
      </c>
    </row>
    <row r="1496">
      <c r="A1496" t="n">
        <v>5291</v>
      </c>
      <c r="B1496" t="inlineStr">
        <is>
          <t>邑昇</t>
        </is>
      </c>
      <c r="C1496" t="n">
        <v>72.59999999999999</v>
      </c>
      <c r="D1496" t="n">
        <v>68.5</v>
      </c>
      <c r="E1496" s="730" t="n">
        <v>-3</v>
      </c>
      <c r="F1496" s="731" t="n">
        <v>-4.2</v>
      </c>
      <c r="G1496" t="inlineStr">
        <is>
          <t>7151萬</t>
        </is>
      </c>
      <c r="H1496" t="n">
        <v>1040</v>
      </c>
      <c r="I1496" t="n">
        <v>1276</v>
      </c>
      <c r="J1496" t="n">
        <v>3.99</v>
      </c>
      <c r="K1496" t="n">
        <v>72.59999999999999</v>
      </c>
      <c r="L1496" t="n">
        <v>67.8</v>
      </c>
      <c r="M1496" s="155" t="n">
        <v>2.61</v>
      </c>
      <c r="N1496" t="inlineStr">
        <is>
          <t>台灣印刷電路板與自行車燈具業者</t>
        </is>
      </c>
    </row>
    <row r="1497">
      <c r="A1497" t="n">
        <v>5292</v>
      </c>
      <c r="B1497" t="inlineStr">
        <is>
          <t>華懋</t>
        </is>
      </c>
      <c r="C1497" t="n">
        <v>229.5</v>
      </c>
      <c r="D1497" t="n">
        <v>223.5</v>
      </c>
      <c r="E1497" s="730" t="n">
        <v>-6</v>
      </c>
      <c r="F1497" s="731" t="n">
        <v>-2.61</v>
      </c>
      <c r="G1497" t="inlineStr">
        <is>
          <t>3546萬</t>
        </is>
      </c>
      <c r="H1497" t="n">
        <v>159</v>
      </c>
      <c r="I1497" t="n">
        <v>270</v>
      </c>
      <c r="J1497" t="n">
        <v>4.21</v>
      </c>
      <c r="K1497" t="n">
        <v>229.5</v>
      </c>
      <c r="L1497" t="n">
        <v>221</v>
      </c>
      <c r="M1497" s="155" t="n">
        <v>0.38</v>
      </c>
      <c r="N1497" t="inlineStr">
        <is>
          <t>VOCs揮發性有機廢氣防治處理設備工程服務商</t>
        </is>
      </c>
    </row>
    <row r="1498">
      <c r="A1498" t="n">
        <v>5299</v>
      </c>
      <c r="B1498" t="inlineStr">
        <is>
          <t>杰力</t>
        </is>
      </c>
      <c r="C1498" t="n">
        <v>114</v>
      </c>
      <c r="D1498" t="n">
        <v>110.5</v>
      </c>
      <c r="E1498" s="730" t="n">
        <v>-4.5</v>
      </c>
      <c r="F1498" s="731" t="n">
        <v>-3.91</v>
      </c>
      <c r="G1498" t="inlineStr">
        <is>
          <t>1.10億</t>
        </is>
      </c>
      <c r="H1498" t="n">
        <v>998</v>
      </c>
      <c r="I1498" t="n">
        <v>2583</v>
      </c>
      <c r="J1498" t="n">
        <v>5.09</v>
      </c>
      <c r="K1498" t="n">
        <v>115.5</v>
      </c>
      <c r="L1498" t="n">
        <v>107.5</v>
      </c>
      <c r="M1498" s="155" t="n">
        <v>1.96</v>
      </c>
      <c r="N1498" t="inlineStr">
        <is>
          <t>華碩轉投資的功率元件設計公司</t>
        </is>
      </c>
    </row>
    <row r="1499">
      <c r="A1499" t="n">
        <v>5301</v>
      </c>
      <c r="B1499" t="inlineStr">
        <is>
          <t>寶得利</t>
        </is>
      </c>
      <c r="C1499" t="n">
        <v>6.79</v>
      </c>
      <c r="D1499" t="n">
        <v>7.1</v>
      </c>
      <c r="E1499" s="730" t="n">
        <v>0.31</v>
      </c>
      <c r="F1499" s="731" t="n">
        <v>4.57</v>
      </c>
      <c r="G1499" t="inlineStr">
        <is>
          <t>27.9萬</t>
        </is>
      </c>
      <c r="H1499" t="n">
        <v>41</v>
      </c>
      <c r="I1499" t="n">
        <v>23</v>
      </c>
      <c r="J1499" t="n">
        <v>6.59</v>
      </c>
      <c r="K1499" t="n">
        <v>7.1</v>
      </c>
      <c r="L1499" t="n">
        <v>6.6</v>
      </c>
      <c r="M1499" s="155" t="n">
        <v>0.06</v>
      </c>
      <c r="N1499" t="inlineStr">
        <is>
          <t>主營餐飲與珠寶銷售經營</t>
        </is>
      </c>
    </row>
    <row r="1500">
      <c r="A1500" t="n">
        <v>5302</v>
      </c>
      <c r="B1500" t="inlineStr">
        <is>
          <t>太欣</t>
        </is>
      </c>
      <c r="C1500" t="n">
        <v>11.2</v>
      </c>
      <c r="D1500" t="n">
        <v>11.35</v>
      </c>
      <c r="E1500" s="730" t="n">
        <v>0.35</v>
      </c>
      <c r="F1500" s="731" t="n">
        <v>3.18</v>
      </c>
      <c r="G1500" t="inlineStr">
        <is>
          <t>1556萬</t>
        </is>
      </c>
      <c r="H1500" t="n">
        <v>1390</v>
      </c>
      <c r="I1500" t="n">
        <v>1149</v>
      </c>
      <c r="J1500" t="n">
        <v>15.99</v>
      </c>
      <c r="K1500" t="n">
        <v>11.7</v>
      </c>
      <c r="L1500" t="n">
        <v>10.95</v>
      </c>
      <c r="M1500" s="155" t="n">
        <v>0.87</v>
      </c>
      <c r="N1500" t="inlineStr">
        <is>
          <t>台灣第一家IC設計廠商，現專注影像擷取錄影之單晶片開發</t>
        </is>
      </c>
    </row>
    <row r="1501">
      <c r="A1501" t="n">
        <v>5306</v>
      </c>
      <c r="B1501" t="inlineStr">
        <is>
          <t>桂盟</t>
        </is>
      </c>
      <c r="C1501" t="n">
        <v>84.5</v>
      </c>
      <c r="D1501" t="n">
        <v>84.59999999999999</v>
      </c>
      <c r="E1501" s="730" t="n">
        <v>0.3</v>
      </c>
      <c r="F1501" s="731" t="n">
        <v>0.36</v>
      </c>
      <c r="G1501" t="inlineStr">
        <is>
          <t>1132萬</t>
        </is>
      </c>
      <c r="H1501" t="n">
        <v>134</v>
      </c>
      <c r="I1501" t="n">
        <v>160</v>
      </c>
      <c r="J1501" t="n">
        <v>12.6</v>
      </c>
      <c r="K1501" t="n">
        <v>85</v>
      </c>
      <c r="L1501" t="n">
        <v>84</v>
      </c>
      <c r="M1501" s="155" t="n">
        <v>0.11</v>
      </c>
      <c r="N1501" t="inlineStr">
        <is>
          <t>全球最大的鏈條製造商</t>
        </is>
      </c>
    </row>
    <row r="1502">
      <c r="A1502" t="n">
        <v>5309</v>
      </c>
      <c r="B1502" t="inlineStr">
        <is>
          <t>系統電</t>
        </is>
      </c>
      <c r="C1502" t="n">
        <v>81</v>
      </c>
      <c r="D1502" t="n">
        <v>78.59999999999999</v>
      </c>
      <c r="E1502" s="730" t="n">
        <v>2.7</v>
      </c>
      <c r="F1502" s="731" t="n">
        <v>3.56</v>
      </c>
      <c r="G1502" t="inlineStr">
        <is>
          <t>29.1億</t>
        </is>
      </c>
      <c r="H1502" t="n">
        <v>36804</v>
      </c>
      <c r="I1502" t="n">
        <v>12073</v>
      </c>
      <c r="J1502" t="n">
        <v>23.04</v>
      </c>
      <c r="K1502" t="n">
        <v>83.2</v>
      </c>
      <c r="L1502" t="n">
        <v>76</v>
      </c>
      <c r="M1502" s="155" t="n">
        <v>15.98</v>
      </c>
      <c r="N1502" t="inlineStr">
        <is>
          <t>台灣知名TPMS及車電零件廠</t>
        </is>
      </c>
    </row>
    <row r="1503">
      <c r="A1503" t="n">
        <v>5310</v>
      </c>
      <c r="B1503" t="inlineStr">
        <is>
          <t>天剛</t>
        </is>
      </c>
      <c r="C1503" t="n">
        <v>24.55</v>
      </c>
      <c r="D1503" t="n">
        <v>24.55</v>
      </c>
      <c r="E1503" s="730" t="n">
        <v>-0.15</v>
      </c>
      <c r="F1503" s="731" t="n">
        <v>-0.61</v>
      </c>
      <c r="G1503" t="inlineStr">
        <is>
          <t>4.91萬</t>
        </is>
      </c>
      <c r="H1503" t="n">
        <v>2</v>
      </c>
      <c r="I1503" t="n">
        <v>19</v>
      </c>
      <c r="J1503" t="n">
        <v>2.89</v>
      </c>
      <c r="K1503" t="n">
        <v>24.55</v>
      </c>
      <c r="L1503" t="n">
        <v>24.55</v>
      </c>
      <c r="M1503" s="155" t="n">
        <v>0.01</v>
      </c>
      <c r="N1503" t="inlineStr">
        <is>
          <t>金融系統整合廠</t>
        </is>
      </c>
    </row>
    <row r="1504">
      <c r="A1504" t="n">
        <v>5312</v>
      </c>
      <c r="B1504" t="inlineStr">
        <is>
          <t>寶島科</t>
        </is>
      </c>
      <c r="C1504" t="n">
        <v>94</v>
      </c>
      <c r="D1504" t="n">
        <v>95.09999999999999</v>
      </c>
      <c r="E1504" s="730" t="n">
        <v>1.2</v>
      </c>
      <c r="F1504" s="731" t="n">
        <v>1.28</v>
      </c>
      <c r="G1504" t="inlineStr">
        <is>
          <t>406萬</t>
        </is>
      </c>
      <c r="H1504" t="n">
        <v>43</v>
      </c>
      <c r="I1504" t="n">
        <v>48</v>
      </c>
      <c r="J1504" t="n">
        <v>6.01</v>
      </c>
      <c r="K1504" t="n">
        <v>95.09999999999999</v>
      </c>
      <c r="L1504" t="n">
        <v>93.8</v>
      </c>
      <c r="M1504" s="155" t="n">
        <v>0.07000000000000001</v>
      </c>
      <c r="N1504" t="inlineStr">
        <is>
          <t>台灣最大眼鏡通路商</t>
        </is>
      </c>
    </row>
    <row r="1505">
      <c r="A1505" t="n">
        <v>5314</v>
      </c>
      <c r="B1505" t="inlineStr">
        <is>
          <t>世紀*</t>
        </is>
      </c>
      <c r="C1505" t="n">
        <v>65.09999999999999</v>
      </c>
      <c r="D1505" t="n">
        <v>63.2</v>
      </c>
      <c r="E1505" s="730" t="n">
        <v>-2.1</v>
      </c>
      <c r="F1505" s="731" t="n">
        <v>-3.22</v>
      </c>
      <c r="G1505" t="inlineStr">
        <is>
          <t>1.87億</t>
        </is>
      </c>
      <c r="H1505" t="n">
        <v>2957</v>
      </c>
      <c r="I1505" t="n">
        <v>3592</v>
      </c>
      <c r="J1505" t="n">
        <v>1.46</v>
      </c>
      <c r="K1505" t="n">
        <v>65.3</v>
      </c>
      <c r="L1505" t="n">
        <v>62.4</v>
      </c>
      <c r="M1505" s="155" t="n">
        <v>1.01</v>
      </c>
      <c r="N1505" t="inlineStr">
        <is>
          <t>上曜集團旗下，轉型多元化業務經營</t>
        </is>
      </c>
    </row>
    <row r="1506">
      <c r="A1506" t="n">
        <v>5315</v>
      </c>
      <c r="B1506" t="inlineStr">
        <is>
          <t>光聯</t>
        </is>
      </c>
      <c r="C1506" t="n">
        <v>22.4</v>
      </c>
      <c r="D1506" t="n">
        <v>22.35</v>
      </c>
      <c r="E1506" s="730" t="n">
        <v>-0.2</v>
      </c>
      <c r="F1506" s="731" t="n">
        <v>-0.89</v>
      </c>
      <c r="G1506" t="inlineStr">
        <is>
          <t>1673萬</t>
        </is>
      </c>
      <c r="H1506" t="n">
        <v>753</v>
      </c>
      <c r="I1506" t="n">
        <v>670</v>
      </c>
      <c r="J1506" t="n">
        <v>10.64</v>
      </c>
      <c r="K1506" t="n">
        <v>22.4</v>
      </c>
      <c r="L1506" t="n">
        <v>22.15</v>
      </c>
      <c r="M1506" s="155" t="n">
        <v>0.71</v>
      </c>
      <c r="N1506" t="inlineStr">
        <is>
          <t>各尺寸液晶顯示器模組整合加工與銷售</t>
        </is>
      </c>
    </row>
    <row r="1507">
      <c r="A1507" t="n">
        <v>5321</v>
      </c>
      <c r="B1507" t="inlineStr">
        <is>
          <t>美而快</t>
        </is>
      </c>
      <c r="C1507" t="n">
        <v>53.3</v>
      </c>
      <c r="D1507" t="n">
        <v>60.6</v>
      </c>
      <c r="E1507" s="730" t="n">
        <v>3.2</v>
      </c>
      <c r="F1507" s="731" t="n">
        <v>5.57</v>
      </c>
      <c r="G1507" t="inlineStr">
        <is>
          <t>3405萬</t>
        </is>
      </c>
      <c r="H1507" t="n">
        <v>567</v>
      </c>
      <c r="I1507" t="n">
        <v>709</v>
      </c>
      <c r="J1507" t="n">
        <v>5.32</v>
      </c>
      <c r="K1507" t="n">
        <v>61.5</v>
      </c>
      <c r="L1507" t="n">
        <v>53.3</v>
      </c>
      <c r="M1507" s="155" t="n">
        <v>1.07</v>
      </c>
      <c r="N1507" t="inlineStr">
        <is>
          <t>台灣服飾電商業者</t>
        </is>
      </c>
    </row>
    <row r="1508">
      <c r="A1508" t="n">
        <v>5324</v>
      </c>
      <c r="B1508" t="inlineStr">
        <is>
          <t>士開</t>
        </is>
      </c>
      <c r="C1508" t="n">
        <v>11.85</v>
      </c>
      <c r="D1508" t="n">
        <v>11.95</v>
      </c>
      <c r="E1508" s="730" t="n">
        <v>0.05</v>
      </c>
      <c r="F1508" s="731" t="n">
        <v>0.42</v>
      </c>
      <c r="G1508" t="inlineStr">
        <is>
          <t>309萬</t>
        </is>
      </c>
      <c r="H1508" t="n">
        <v>260</v>
      </c>
      <c r="I1508" t="n">
        <v>246</v>
      </c>
      <c r="J1508" t="n">
        <v>22.64</v>
      </c>
      <c r="K1508" t="n">
        <v>11.95</v>
      </c>
      <c r="L1508" t="n">
        <v>11.8</v>
      </c>
      <c r="M1508" s="155" t="n">
        <v>0.11</v>
      </c>
      <c r="N1508" t="inlineStr">
        <is>
          <t>仰德集團旗下之建設、飯店業者</t>
        </is>
      </c>
    </row>
    <row r="1509">
      <c r="A1509" t="n">
        <v>5328</v>
      </c>
      <c r="B1509" t="inlineStr">
        <is>
          <t>華容</t>
        </is>
      </c>
      <c r="C1509" t="n">
        <v>39.1</v>
      </c>
      <c r="D1509" t="n">
        <v>40.2</v>
      </c>
      <c r="E1509" s="730" t="n">
        <v>0.4</v>
      </c>
      <c r="F1509" s="731" t="n">
        <v>1.01</v>
      </c>
      <c r="G1509" t="inlineStr">
        <is>
          <t>9.37億</t>
        </is>
      </c>
      <c r="H1509" t="n">
        <v>24416</v>
      </c>
      <c r="I1509" t="n">
        <v>34286</v>
      </c>
      <c r="J1509" t="n">
        <v>17.27</v>
      </c>
      <c r="K1509" t="n">
        <v>40.5</v>
      </c>
      <c r="L1509" t="n">
        <v>37.25</v>
      </c>
      <c r="M1509" s="155" t="n">
        <v>14.14</v>
      </c>
      <c r="N1509" t="inlineStr">
        <is>
          <t>台灣塑膠膜電容器供應商</t>
        </is>
      </c>
    </row>
    <row r="1510">
      <c r="A1510" t="n">
        <v>5340</v>
      </c>
      <c r="B1510" t="inlineStr">
        <is>
          <t>建榮</t>
        </is>
      </c>
      <c r="C1510" t="n">
        <v>105</v>
      </c>
      <c r="D1510" t="n">
        <v>102</v>
      </c>
      <c r="E1510" s="730" t="n">
        <v>-3</v>
      </c>
      <c r="F1510" s="731" t="n">
        <v>-2.86</v>
      </c>
      <c r="G1510" t="inlineStr">
        <is>
          <t>2.98億</t>
        </is>
      </c>
      <c r="H1510" t="n">
        <v>2891</v>
      </c>
      <c r="I1510" t="n">
        <v>3977</v>
      </c>
      <c r="J1510" t="n">
        <v>19.49</v>
      </c>
      <c r="K1510" t="n">
        <v>107</v>
      </c>
      <c r="L1510" t="n">
        <v>100.5</v>
      </c>
      <c r="M1510" s="155" t="n">
        <v>1.48</v>
      </c>
      <c r="N1510" t="inlineStr">
        <is>
          <t>台灣電子領域玻纖布製造廠並跨足工業用領域</t>
        </is>
      </c>
    </row>
    <row r="1511">
      <c r="A1511" t="n">
        <v>5344</v>
      </c>
      <c r="B1511" t="inlineStr">
        <is>
          <t>立衛</t>
        </is>
      </c>
      <c r="C1511" t="n">
        <v>16</v>
      </c>
      <c r="D1511" t="n">
        <v>16</v>
      </c>
      <c r="E1511" s="730" t="n">
        <v>0.15</v>
      </c>
      <c r="F1511" s="731" t="n">
        <v>0.95</v>
      </c>
      <c r="G1511" t="inlineStr">
        <is>
          <t>288萬</t>
        </is>
      </c>
      <c r="H1511" t="n">
        <v>182</v>
      </c>
      <c r="I1511" t="n">
        <v>111</v>
      </c>
      <c r="J1511" t="n">
        <v>7.94</v>
      </c>
      <c r="K1511" t="n">
        <v>16.45</v>
      </c>
      <c r="L1511" t="n">
        <v>15.85</v>
      </c>
      <c r="M1511" s="155" t="n">
        <v>0.23</v>
      </c>
      <c r="N1511" t="inlineStr">
        <is>
          <t>威盛轉投資之邏輯IC及CPU測試廠商</t>
        </is>
      </c>
    </row>
    <row r="1512">
      <c r="A1512" t="n">
        <v>5345</v>
      </c>
      <c r="B1512" t="inlineStr">
        <is>
          <t>馥鴻</t>
        </is>
      </c>
      <c r="C1512" t="n">
        <v>24.7</v>
      </c>
      <c r="D1512" t="n">
        <v>24</v>
      </c>
      <c r="E1512" s="730" t="n">
        <v>-0.65</v>
      </c>
      <c r="F1512" s="731" t="n">
        <v>-2.64</v>
      </c>
      <c r="G1512" t="inlineStr">
        <is>
          <t>141萬</t>
        </is>
      </c>
      <c r="H1512" t="n">
        <v>58</v>
      </c>
      <c r="I1512" t="n">
        <v>91</v>
      </c>
      <c r="J1512" t="n">
        <v>3.78</v>
      </c>
      <c r="K1512" t="n">
        <v>25</v>
      </c>
      <c r="L1512" t="n">
        <v>23.7</v>
      </c>
      <c r="M1512" s="155" t="n">
        <v>0.15</v>
      </c>
      <c r="N1512" t="inlineStr">
        <is>
          <t>全方位電源整合控制系統製造商</t>
        </is>
      </c>
    </row>
    <row r="1513">
      <c r="A1513" t="n">
        <v>5347</v>
      </c>
      <c r="B1513" t="inlineStr">
        <is>
          <t>世界</t>
        </is>
      </c>
      <c r="C1513" t="n">
        <v>179</v>
      </c>
      <c r="D1513" t="n">
        <v>171.5</v>
      </c>
      <c r="E1513" s="730" t="n">
        <v>-7.5</v>
      </c>
      <c r="F1513" s="731" t="n">
        <v>-4.19</v>
      </c>
      <c r="G1513" t="inlineStr">
        <is>
          <t>90.5億</t>
        </is>
      </c>
      <c r="H1513" t="n">
        <v>52601</v>
      </c>
      <c r="I1513" t="n">
        <v>39931</v>
      </c>
      <c r="J1513" t="n">
        <v>187.96</v>
      </c>
      <c r="K1513" t="n">
        <v>183.5</v>
      </c>
      <c r="L1513" t="n">
        <v>165</v>
      </c>
      <c r="M1513" s="155" t="n">
        <v>2.82</v>
      </c>
      <c r="N1513" t="inlineStr">
        <is>
          <t>台積電轉投資之晶圓代工廠</t>
        </is>
      </c>
    </row>
    <row r="1514">
      <c r="A1514" t="n">
        <v>5348</v>
      </c>
      <c r="B1514" t="inlineStr">
        <is>
          <t>正能量智能</t>
        </is>
      </c>
      <c r="C1514" t="n">
        <v>15.45</v>
      </c>
      <c r="D1514" t="n">
        <v>15.45</v>
      </c>
      <c r="E1514" s="730" t="n">
        <v>0.05</v>
      </c>
      <c r="F1514" s="731" t="n">
        <v>0.32</v>
      </c>
      <c r="G1514" t="inlineStr">
        <is>
          <t>1.54萬</t>
        </is>
      </c>
      <c r="H1514" t="n">
        <v>1</v>
      </c>
      <c r="I1514" t="n">
        <v>12</v>
      </c>
      <c r="J1514" t="n">
        <v>1.48</v>
      </c>
      <c r="K1514" t="n">
        <v>15.45</v>
      </c>
      <c r="L1514" t="n">
        <v>15.45</v>
      </c>
      <c r="M1514" s="155" t="n">
        <v>0.01</v>
      </c>
      <c r="N1514" t="inlineStr">
        <is>
          <t>主要從事GPS智慧手錶、模組與軌跡紀錄器</t>
        </is>
      </c>
    </row>
    <row r="1515">
      <c r="A1515" t="n">
        <v>5351</v>
      </c>
      <c r="B1515" t="inlineStr">
        <is>
          <t>鈺創</t>
        </is>
      </c>
      <c r="C1515" t="n">
        <v>90.2</v>
      </c>
      <c r="D1515" t="n">
        <v>92.90000000000001</v>
      </c>
      <c r="E1515" s="730" t="n">
        <v>3.2</v>
      </c>
      <c r="F1515" s="731" t="n">
        <v>3.57</v>
      </c>
      <c r="G1515" t="inlineStr">
        <is>
          <t>43.5億</t>
        </is>
      </c>
      <c r="H1515" t="n">
        <v>47014</v>
      </c>
      <c r="I1515" t="n">
        <v>28215</v>
      </c>
      <c r="J1515" t="n">
        <v>32.85</v>
      </c>
      <c r="K1515" t="n">
        <v>95.40000000000001</v>
      </c>
      <c r="L1515" t="n">
        <v>88.8</v>
      </c>
      <c r="M1515" s="155" t="n">
        <v>14.31</v>
      </c>
      <c r="N1515" t="inlineStr">
        <is>
          <t>台灣利基型記憶體IC設計廠商</t>
        </is>
      </c>
    </row>
    <row r="1516">
      <c r="A1516" t="n">
        <v>5353</v>
      </c>
      <c r="B1516" t="inlineStr">
        <is>
          <t>台林</t>
        </is>
      </c>
      <c r="C1516" t="n">
        <v>33</v>
      </c>
      <c r="D1516" t="n">
        <v>31.8</v>
      </c>
      <c r="E1516" s="730" t="n">
        <v>-0.2</v>
      </c>
      <c r="F1516" s="731" t="n">
        <v>-0.63</v>
      </c>
      <c r="G1516" t="inlineStr">
        <is>
          <t>3178萬</t>
        </is>
      </c>
      <c r="H1516" t="n">
        <v>989</v>
      </c>
      <c r="I1516" t="n">
        <v>557</v>
      </c>
      <c r="J1516" t="n">
        <v>7.58</v>
      </c>
      <c r="K1516" t="n">
        <v>33.3</v>
      </c>
      <c r="L1516" t="n">
        <v>31.1</v>
      </c>
      <c r="M1516" s="155" t="n">
        <v>1.31</v>
      </c>
      <c r="N1516" t="inlineStr">
        <is>
          <t>有線、無線寬頻網路、工業電腦製造商</t>
        </is>
      </c>
    </row>
    <row r="1517">
      <c r="A1517" t="n">
        <v>5355</v>
      </c>
      <c r="B1517" t="inlineStr">
        <is>
          <t>佳總</t>
        </is>
      </c>
      <c r="C1517" t="n">
        <v>6.3</v>
      </c>
      <c r="D1517" t="n">
        <v>6.34</v>
      </c>
      <c r="E1517" s="730" t="n">
        <v>-0.06</v>
      </c>
      <c r="F1517" s="731" t="n">
        <v>-0.9399999999999999</v>
      </c>
      <c r="G1517" t="inlineStr">
        <is>
          <t>100萬</t>
        </is>
      </c>
      <c r="H1517" t="n">
        <v>158</v>
      </c>
      <c r="I1517" t="n">
        <v>161</v>
      </c>
      <c r="J1517" t="n">
        <v>16.61</v>
      </c>
      <c r="K1517" t="n">
        <v>6.49</v>
      </c>
      <c r="L1517" t="n">
        <v>6.2</v>
      </c>
      <c r="M1517" s="155" t="n">
        <v>0.1</v>
      </c>
      <c r="N1517" t="inlineStr">
        <is>
          <t>多層電路板供應商</t>
        </is>
      </c>
    </row>
    <row r="1518">
      <c r="A1518" t="n">
        <v>5356</v>
      </c>
      <c r="B1518" t="inlineStr">
        <is>
          <t>協益</t>
        </is>
      </c>
      <c r="C1518" t="n">
        <v>27.35</v>
      </c>
      <c r="D1518" t="n">
        <v>27.05</v>
      </c>
      <c r="E1518" s="730" t="n">
        <v>-0.3</v>
      </c>
      <c r="F1518" s="731" t="n">
        <v>-1.1</v>
      </c>
      <c r="G1518" t="inlineStr">
        <is>
          <t>574萬</t>
        </is>
      </c>
      <c r="H1518" t="n">
        <v>212</v>
      </c>
      <c r="I1518" t="n">
        <v>107</v>
      </c>
      <c r="J1518" t="n">
        <v>10.3</v>
      </c>
      <c r="K1518" t="n">
        <v>27.35</v>
      </c>
      <c r="L1518" t="n">
        <v>27</v>
      </c>
      <c r="M1518" s="155" t="n">
        <v>0.21</v>
      </c>
      <c r="N1518" t="inlineStr">
        <is>
          <t>經營電腦週邊及電子零組件之廠商</t>
        </is>
      </c>
    </row>
    <row r="1519">
      <c r="A1519" t="n">
        <v>5364</v>
      </c>
      <c r="B1519" t="inlineStr">
        <is>
          <t>力麗店</t>
        </is>
      </c>
      <c r="C1519" t="n">
        <v>8.779999999999999</v>
      </c>
      <c r="D1519" t="n">
        <v>8.68</v>
      </c>
      <c r="E1519" s="730" t="n">
        <v>-0.16</v>
      </c>
      <c r="F1519" s="731" t="n">
        <v>-1.81</v>
      </c>
      <c r="G1519" t="inlineStr">
        <is>
          <t>65.4萬</t>
        </is>
      </c>
      <c r="H1519" t="n">
        <v>75</v>
      </c>
      <c r="I1519" t="n">
        <v>164</v>
      </c>
      <c r="J1519" t="n">
        <v>6.38</v>
      </c>
      <c r="K1519" t="n">
        <v>8.869999999999999</v>
      </c>
      <c r="L1519" t="n">
        <v>8.68</v>
      </c>
      <c r="M1519" s="155" t="n">
        <v>0.12</v>
      </c>
      <c r="N1519" t="inlineStr">
        <is>
          <t>以力麗哲園為品牌之飯店經營業者</t>
        </is>
      </c>
    </row>
    <row r="1520">
      <c r="A1520" t="n">
        <v>5371</v>
      </c>
      <c r="B1520" t="inlineStr">
        <is>
          <t>中光電</t>
        </is>
      </c>
      <c r="C1520" t="n">
        <v>73.8</v>
      </c>
      <c r="D1520" t="n">
        <v>73.90000000000001</v>
      </c>
      <c r="E1520" s="730" t="n">
        <v>0</v>
      </c>
      <c r="F1520" s="731" t="n">
        <v>0</v>
      </c>
      <c r="G1520" t="inlineStr">
        <is>
          <t>2.72億</t>
        </is>
      </c>
      <c r="H1520" t="n">
        <v>3736</v>
      </c>
      <c r="I1520" t="n">
        <v>5459</v>
      </c>
      <c r="J1520" t="n">
        <v>39.1</v>
      </c>
      <c r="K1520" t="n">
        <v>74.3</v>
      </c>
      <c r="L1520" t="n">
        <v>71.8</v>
      </c>
      <c r="M1520" s="155" t="n">
        <v>0.96</v>
      </c>
      <c r="N1520" t="inlineStr">
        <is>
          <t>背光模組及投影機製造大廠</t>
        </is>
      </c>
    </row>
    <row r="1521">
      <c r="A1521" t="n">
        <v>5381</v>
      </c>
      <c r="B1521" t="inlineStr">
        <is>
          <t>光譜</t>
        </is>
      </c>
      <c r="C1521" t="n">
        <v>26.85</v>
      </c>
      <c r="D1521" t="n">
        <v>26.6</v>
      </c>
      <c r="E1521" s="730" t="n">
        <v>0.05</v>
      </c>
      <c r="F1521" s="731" t="n">
        <v>0.19</v>
      </c>
      <c r="G1521" t="inlineStr">
        <is>
          <t>2530萬</t>
        </is>
      </c>
      <c r="H1521" t="n">
        <v>967</v>
      </c>
      <c r="I1521" t="n">
        <v>1380</v>
      </c>
      <c r="J1521" t="n">
        <v>20.78</v>
      </c>
      <c r="K1521" t="n">
        <v>26.85</v>
      </c>
      <c r="L1521" t="n">
        <v>26</v>
      </c>
      <c r="M1521" s="155" t="n">
        <v>0.47</v>
      </c>
      <c r="N1521" t="inlineStr">
        <is>
          <t>主要從事配電變壓器業務</t>
        </is>
      </c>
    </row>
    <row r="1522">
      <c r="A1522" t="n">
        <v>5386</v>
      </c>
      <c r="B1522" t="inlineStr">
        <is>
          <t>青雲</t>
        </is>
      </c>
      <c r="C1522" t="n">
        <v>586</v>
      </c>
      <c r="D1522" t="n">
        <v>559</v>
      </c>
      <c r="E1522" s="730" t="n">
        <v>-22</v>
      </c>
      <c r="F1522" s="731" t="n">
        <v>-3.79</v>
      </c>
      <c r="G1522" t="inlineStr">
        <is>
          <t>18.5億</t>
        </is>
      </c>
      <c r="H1522" t="n">
        <v>3253</v>
      </c>
      <c r="I1522" t="n">
        <v>3252</v>
      </c>
      <c r="J1522" t="n">
        <v>3.61</v>
      </c>
      <c r="K1522" t="n">
        <v>596</v>
      </c>
      <c r="L1522" t="n">
        <v>541</v>
      </c>
      <c r="M1522" s="155" t="n">
        <v>9.02</v>
      </c>
      <c r="N1522" t="inlineStr">
        <is>
          <t>高階伺服器記憶體模組及板卡的代理商</t>
        </is>
      </c>
    </row>
    <row r="1523">
      <c r="A1523" t="n">
        <v>5388</v>
      </c>
      <c r="B1523" t="inlineStr">
        <is>
          <t>中磊</t>
        </is>
      </c>
      <c r="C1523" t="n">
        <v>90</v>
      </c>
      <c r="D1523" t="n">
        <v>93.3</v>
      </c>
      <c r="E1523" s="730" t="n">
        <v>3.2</v>
      </c>
      <c r="F1523" s="731" t="n">
        <v>3.55</v>
      </c>
      <c r="G1523" t="inlineStr">
        <is>
          <t>9.96億</t>
        </is>
      </c>
      <c r="H1523" t="n">
        <v>10930</v>
      </c>
      <c r="I1523" t="n">
        <v>5795</v>
      </c>
      <c r="J1523" t="n">
        <v>30.43</v>
      </c>
      <c r="K1523" t="n">
        <v>93.40000000000001</v>
      </c>
      <c r="L1523" t="n">
        <v>88.7</v>
      </c>
      <c r="M1523" s="155" t="n">
        <v>3.59</v>
      </c>
      <c r="N1523" t="inlineStr">
        <is>
          <t>台灣寬頻及電信設備代工大廠</t>
        </is>
      </c>
    </row>
    <row r="1524">
      <c r="A1524" t="n">
        <v>5392</v>
      </c>
      <c r="B1524" t="inlineStr">
        <is>
          <t>能率</t>
        </is>
      </c>
      <c r="C1524" t="n">
        <v>49</v>
      </c>
      <c r="D1524" t="n">
        <v>47.1</v>
      </c>
      <c r="E1524" s="730" t="n">
        <v>-1.8</v>
      </c>
      <c r="F1524" s="731" t="n">
        <v>-3.68</v>
      </c>
      <c r="G1524" t="inlineStr">
        <is>
          <t>7.39億</t>
        </is>
      </c>
      <c r="H1524" t="n">
        <v>15434</v>
      </c>
      <c r="I1524" t="n">
        <v>8634</v>
      </c>
      <c r="J1524" t="n">
        <v>17.66</v>
      </c>
      <c r="K1524" t="n">
        <v>49.8</v>
      </c>
      <c r="L1524" t="n">
        <v>46</v>
      </c>
      <c r="M1524" s="155" t="n">
        <v>8.74</v>
      </c>
      <c r="N1524" t="inlineStr">
        <is>
          <t>3C、手工具機、汽車等應用之零組件廠</t>
        </is>
      </c>
    </row>
    <row r="1525">
      <c r="A1525" t="n">
        <v>5398</v>
      </c>
      <c r="B1525" t="inlineStr">
        <is>
          <t>慕康生醫</t>
        </is>
      </c>
      <c r="C1525" t="n">
        <v>17.05</v>
      </c>
      <c r="D1525" t="n">
        <v>17.25</v>
      </c>
      <c r="E1525" s="730" t="n">
        <v>0.25</v>
      </c>
      <c r="F1525" s="731" t="n">
        <v>1.47</v>
      </c>
      <c r="G1525" t="inlineStr">
        <is>
          <t>64.8萬</t>
        </is>
      </c>
      <c r="H1525" t="n">
        <v>38</v>
      </c>
      <c r="I1525" t="n">
        <v>79</v>
      </c>
      <c r="J1525" t="n">
        <v>4.95</v>
      </c>
      <c r="K1525" t="n">
        <v>17.25</v>
      </c>
      <c r="L1525" t="n">
        <v>16.85</v>
      </c>
      <c r="M1525" s="155" t="n">
        <v>0.08</v>
      </c>
      <c r="N1525" t="inlineStr">
        <is>
          <t>醫藥生技通路商，並推出保健食品及跨入健檢業務</t>
        </is>
      </c>
    </row>
    <row r="1526">
      <c r="A1526" t="n">
        <v>5403</v>
      </c>
      <c r="B1526" t="inlineStr">
        <is>
          <t>中菲</t>
        </is>
      </c>
      <c r="C1526" t="n">
        <v>89.8</v>
      </c>
      <c r="D1526" t="n">
        <v>88.3</v>
      </c>
      <c r="E1526" s="730" t="n">
        <v>-0.8</v>
      </c>
      <c r="F1526" s="731" t="n">
        <v>-0.9</v>
      </c>
      <c r="G1526" t="inlineStr">
        <is>
          <t>804萬</t>
        </is>
      </c>
      <c r="H1526" t="n">
        <v>91</v>
      </c>
      <c r="I1526" t="n">
        <v>153</v>
      </c>
      <c r="J1526" t="n">
        <v>7.82</v>
      </c>
      <c r="K1526" t="n">
        <v>89.8</v>
      </c>
      <c r="L1526" t="n">
        <v>87.59999999999999</v>
      </c>
      <c r="M1526" s="155" t="n">
        <v>0.12</v>
      </c>
      <c r="N1526" t="inlineStr">
        <is>
          <t>金融與物流業系統整合、軟體服務之廠商</t>
        </is>
      </c>
    </row>
    <row r="1527">
      <c r="A1527" t="n">
        <v>5410</v>
      </c>
      <c r="B1527" t="inlineStr">
        <is>
          <t>國眾</t>
        </is>
      </c>
      <c r="C1527" t="n">
        <v>41.75</v>
      </c>
      <c r="D1527" t="n">
        <v>41.25</v>
      </c>
      <c r="E1527" s="730" t="n">
        <v>-0.5</v>
      </c>
      <c r="F1527" s="731" t="n">
        <v>-1.2</v>
      </c>
      <c r="G1527" t="inlineStr">
        <is>
          <t>6875萬</t>
        </is>
      </c>
      <c r="H1527" t="n">
        <v>1682</v>
      </c>
      <c r="I1527" t="n">
        <v>1608</v>
      </c>
      <c r="J1527" t="n">
        <v>9.24</v>
      </c>
      <c r="K1527" t="n">
        <v>41.75</v>
      </c>
      <c r="L1527" t="n">
        <v>40.65</v>
      </c>
      <c r="M1527" s="155" t="n">
        <v>1.82</v>
      </c>
      <c r="N1527" t="inlineStr">
        <is>
          <t>大眾控轉投資系統整合廠</t>
        </is>
      </c>
    </row>
    <row r="1528">
      <c r="A1528" t="n">
        <v>5425</v>
      </c>
      <c r="B1528" t="inlineStr">
        <is>
          <t>台半</t>
        </is>
      </c>
      <c r="C1528" t="n">
        <v>105.5</v>
      </c>
      <c r="D1528" t="n">
        <v>103.5</v>
      </c>
      <c r="E1528" s="730" t="n">
        <v>-3</v>
      </c>
      <c r="F1528" s="731" t="n">
        <v>-2.82</v>
      </c>
      <c r="G1528" t="inlineStr">
        <is>
          <t>30.5億</t>
        </is>
      </c>
      <c r="H1528" t="n">
        <v>29545</v>
      </c>
      <c r="I1528" t="n">
        <v>56925</v>
      </c>
      <c r="J1528" t="n">
        <v>26.35</v>
      </c>
      <c r="K1528" t="n">
        <v>107.5</v>
      </c>
      <c r="L1528" t="n">
        <v>100</v>
      </c>
      <c r="M1528" s="155" t="n">
        <v>11.21</v>
      </c>
      <c r="N1528" t="inlineStr">
        <is>
          <t>台灣整流二極體大廠</t>
        </is>
      </c>
    </row>
    <row r="1529">
      <c r="A1529" t="n">
        <v>5426</v>
      </c>
      <c r="B1529" t="inlineStr">
        <is>
          <t>振發</t>
        </is>
      </c>
      <c r="C1529" t="n">
        <v>22.55</v>
      </c>
      <c r="D1529" t="n">
        <v>22.55</v>
      </c>
      <c r="E1529" s="730" t="n">
        <v>2.05</v>
      </c>
      <c r="F1529" s="731" t="n">
        <v>10</v>
      </c>
      <c r="G1529" t="inlineStr">
        <is>
          <t>1155萬</t>
        </is>
      </c>
      <c r="H1529" t="n">
        <v>514</v>
      </c>
      <c r="I1529" t="n">
        <v>480</v>
      </c>
      <c r="J1529" t="n">
        <v>14.38</v>
      </c>
      <c r="K1529" t="n">
        <v>22.55</v>
      </c>
      <c r="L1529" t="n">
        <v>22.55</v>
      </c>
      <c r="M1529" s="155" t="n">
        <v>0.36</v>
      </c>
      <c r="N1529" t="inlineStr">
        <is>
          <t>台灣PC外殼生產商</t>
        </is>
      </c>
    </row>
    <row r="1530">
      <c r="A1530" t="n">
        <v>5432</v>
      </c>
      <c r="B1530" t="inlineStr">
        <is>
          <t>新門</t>
        </is>
      </c>
      <c r="C1530" t="n">
        <v>135.5</v>
      </c>
      <c r="D1530" t="n">
        <v>133</v>
      </c>
      <c r="E1530" s="730" t="n">
        <v>-2.5</v>
      </c>
      <c r="F1530" s="731" t="n">
        <v>-1.85</v>
      </c>
      <c r="G1530" t="inlineStr">
        <is>
          <t>1212萬</t>
        </is>
      </c>
      <c r="H1530" t="n">
        <v>90</v>
      </c>
      <c r="I1530" t="n">
        <v>83</v>
      </c>
      <c r="J1530" t="n">
        <v>2.07</v>
      </c>
      <c r="K1530" t="n">
        <v>137.5</v>
      </c>
      <c r="L1530" t="n">
        <v>133</v>
      </c>
      <c r="M1530" s="155" t="n">
        <v>0.44</v>
      </c>
      <c r="N1530" t="inlineStr">
        <is>
          <t>所羅門子公司，液晶顯示模組與太陽能系統組件廠</t>
        </is>
      </c>
    </row>
    <row r="1531">
      <c r="A1531" t="n">
        <v>5434</v>
      </c>
      <c r="B1531" t="inlineStr">
        <is>
          <t>崇越</t>
        </is>
      </c>
      <c r="C1531" t="n">
        <v>459</v>
      </c>
      <c r="D1531" t="n">
        <v>466</v>
      </c>
      <c r="E1531" s="730" t="n">
        <v>13</v>
      </c>
      <c r="F1531" s="731" t="n">
        <v>2.87</v>
      </c>
      <c r="G1531" t="inlineStr">
        <is>
          <t>4.78億</t>
        </is>
      </c>
      <c r="H1531" t="n">
        <v>1043</v>
      </c>
      <c r="I1531" t="n">
        <v>982</v>
      </c>
      <c r="J1531" t="n">
        <v>19.37</v>
      </c>
      <c r="K1531" t="n">
        <v>467</v>
      </c>
      <c r="L1531" t="n">
        <v>449.5</v>
      </c>
      <c r="M1531" s="155" t="n">
        <v>0.54</v>
      </c>
      <c r="N1531" t="inlineStr">
        <is>
          <t>日本信越晶圓產品在台代理商</t>
        </is>
      </c>
    </row>
    <row r="1532">
      <c r="A1532" t="n">
        <v>5438</v>
      </c>
      <c r="B1532" t="inlineStr">
        <is>
          <t>東友</t>
        </is>
      </c>
      <c r="C1532" t="n">
        <v>19.35</v>
      </c>
      <c r="D1532" t="n">
        <v>19.4</v>
      </c>
      <c r="E1532" s="730" t="n">
        <v>0.05</v>
      </c>
      <c r="F1532" s="731" t="n">
        <v>0.26</v>
      </c>
      <c r="G1532" t="inlineStr">
        <is>
          <t>211萬</t>
        </is>
      </c>
      <c r="H1532" t="n">
        <v>110</v>
      </c>
      <c r="I1532" t="n">
        <v>254</v>
      </c>
      <c r="J1532" t="n">
        <v>11.25</v>
      </c>
      <c r="K1532" t="n">
        <v>19.4</v>
      </c>
      <c r="L1532" t="n">
        <v>19</v>
      </c>
      <c r="M1532" s="155" t="n">
        <v>0.1</v>
      </c>
      <c r="N1532" t="inlineStr">
        <is>
          <t>為Konica Minolta代工多功能事務機</t>
        </is>
      </c>
    </row>
    <row r="1533">
      <c r="A1533" t="n">
        <v>5439</v>
      </c>
      <c r="B1533" t="inlineStr">
        <is>
          <t>高技</t>
        </is>
      </c>
      <c r="C1533" t="n">
        <v>382.5</v>
      </c>
      <c r="D1533" t="n">
        <v>374</v>
      </c>
      <c r="E1533" s="730" t="n">
        <v>-6</v>
      </c>
      <c r="F1533" s="731" t="n">
        <v>-1.58</v>
      </c>
      <c r="G1533" t="inlineStr">
        <is>
          <t>7.20億</t>
        </is>
      </c>
      <c r="H1533" t="n">
        <v>1916</v>
      </c>
      <c r="I1533" t="n">
        <v>2419</v>
      </c>
      <c r="J1533" t="n">
        <v>9.300000000000001</v>
      </c>
      <c r="K1533" t="n">
        <v>386</v>
      </c>
      <c r="L1533" t="n">
        <v>368</v>
      </c>
      <c r="M1533" s="155" t="n">
        <v>2.06</v>
      </c>
      <c r="N1533" t="inlineStr">
        <is>
          <t>生產少量多樣高層數利基型PCB為主</t>
        </is>
      </c>
    </row>
    <row r="1534">
      <c r="A1534" t="n">
        <v>5443</v>
      </c>
      <c r="B1534" t="inlineStr">
        <is>
          <t>均豪</t>
        </is>
      </c>
      <c r="C1534" t="n">
        <v>128</v>
      </c>
      <c r="D1534" t="n">
        <v>121.5</v>
      </c>
      <c r="E1534" s="730" t="n">
        <v>-5.5</v>
      </c>
      <c r="F1534" s="731" t="n">
        <v>-4.33</v>
      </c>
      <c r="G1534" t="inlineStr">
        <is>
          <t>5.61億</t>
        </is>
      </c>
      <c r="H1534" t="n">
        <v>4586</v>
      </c>
      <c r="I1534" t="n">
        <v>6129</v>
      </c>
      <c r="J1534" t="n">
        <v>16.47</v>
      </c>
      <c r="K1534" t="n">
        <v>128</v>
      </c>
      <c r="L1534" t="n">
        <v>119</v>
      </c>
      <c r="M1534" s="155" t="n">
        <v>2.78</v>
      </c>
      <c r="N1534" t="inlineStr">
        <is>
          <t>台灣面板及晶圓檢測設備供應商</t>
        </is>
      </c>
    </row>
    <row r="1535">
      <c r="A1535" t="n">
        <v>5450</v>
      </c>
      <c r="B1535" t="inlineStr">
        <is>
          <t>南良</t>
        </is>
      </c>
      <c r="C1535" t="n">
        <v>12.8</v>
      </c>
      <c r="D1535" t="n">
        <v>12.95</v>
      </c>
      <c r="E1535" s="730" t="n">
        <v>0.15</v>
      </c>
      <c r="F1535" s="731" t="n">
        <v>1.17</v>
      </c>
      <c r="G1535" t="inlineStr">
        <is>
          <t>85.7萬</t>
        </is>
      </c>
      <c r="H1535" t="n">
        <v>67</v>
      </c>
      <c r="I1535" t="n">
        <v>65</v>
      </c>
      <c r="J1535" t="n">
        <v>12.24</v>
      </c>
      <c r="K1535" t="n">
        <v>12.95</v>
      </c>
      <c r="L1535" t="n">
        <v>12.7</v>
      </c>
      <c r="M1535" s="155" t="n">
        <v>0.05</v>
      </c>
      <c r="N1535" t="inlineStr">
        <is>
          <t>主要經營特殊紡織品、高彈性發泡材料及電源供應器</t>
        </is>
      </c>
    </row>
    <row r="1536">
      <c r="A1536" t="n">
        <v>5452</v>
      </c>
      <c r="B1536" t="inlineStr">
        <is>
          <t>佶優</t>
        </is>
      </c>
      <c r="C1536" t="n">
        <v>35.15</v>
      </c>
      <c r="D1536" t="n">
        <v>34.15</v>
      </c>
      <c r="E1536" s="730" t="n">
        <v>-0.95</v>
      </c>
      <c r="F1536" s="731" t="n">
        <v>-2.71</v>
      </c>
      <c r="G1536" t="inlineStr">
        <is>
          <t>1.02億</t>
        </is>
      </c>
      <c r="H1536" t="n">
        <v>2976</v>
      </c>
      <c r="I1536" t="n">
        <v>4006</v>
      </c>
      <c r="J1536" t="n">
        <v>14.88</v>
      </c>
      <c r="K1536" t="n">
        <v>35.6</v>
      </c>
      <c r="L1536" t="n">
        <v>33.45</v>
      </c>
      <c r="M1536" s="155" t="n">
        <v>2</v>
      </c>
      <c r="N1536" t="inlineStr">
        <is>
          <t>全球塑膠粒及PCR環保塑膠原料整合平台商</t>
        </is>
      </c>
    </row>
    <row r="1537">
      <c r="A1537" t="n">
        <v>5455</v>
      </c>
      <c r="B1537" t="inlineStr">
        <is>
          <t>昇益</t>
        </is>
      </c>
      <c r="C1537" t="n">
        <v>24.3</v>
      </c>
      <c r="D1537" t="n">
        <v>25</v>
      </c>
      <c r="E1537" s="730" t="n">
        <v>0.4</v>
      </c>
      <c r="F1537" s="731" t="n">
        <v>1.63</v>
      </c>
      <c r="G1537" t="inlineStr">
        <is>
          <t>80.4萬</t>
        </is>
      </c>
      <c r="H1537" t="n">
        <v>33</v>
      </c>
      <c r="I1537" t="n">
        <v>2041</v>
      </c>
      <c r="J1537" t="n">
        <v>6.55</v>
      </c>
      <c r="K1537" t="n">
        <v>25</v>
      </c>
      <c r="L1537" t="n">
        <v>24.1</v>
      </c>
      <c r="M1537" s="155" t="n">
        <v>0.05</v>
      </c>
      <c r="N1537" t="inlineStr">
        <is>
          <t>從事不動產開發興建及不動產租賃業務</t>
        </is>
      </c>
    </row>
    <row r="1538">
      <c r="A1538" t="n">
        <v>5457</v>
      </c>
      <c r="B1538" t="inlineStr">
        <is>
          <t>宣德</t>
        </is>
      </c>
      <c r="C1538" t="n">
        <v>30.2</v>
      </c>
      <c r="D1538" t="n">
        <v>30.95</v>
      </c>
      <c r="E1538" s="730" t="n">
        <v>0.9</v>
      </c>
      <c r="F1538" s="731" t="n">
        <v>3</v>
      </c>
      <c r="G1538" t="inlineStr">
        <is>
          <t>2461萬</t>
        </is>
      </c>
      <c r="H1538" t="n">
        <v>816</v>
      </c>
      <c r="I1538" t="n">
        <v>1181</v>
      </c>
      <c r="J1538" t="n">
        <v>19.65</v>
      </c>
      <c r="K1538" t="n">
        <v>30.95</v>
      </c>
      <c r="L1538" t="n">
        <v>29.95</v>
      </c>
      <c r="M1538" s="155" t="n">
        <v>0.42</v>
      </c>
      <c r="N1538" t="inlineStr">
        <is>
          <t>台灣知名NB連接器及電子代工廠</t>
        </is>
      </c>
    </row>
    <row r="1539">
      <c r="A1539" t="n">
        <v>5460</v>
      </c>
      <c r="B1539" t="inlineStr">
        <is>
          <t>同協</t>
        </is>
      </c>
      <c r="C1539" t="n">
        <v>14.95</v>
      </c>
      <c r="D1539" t="n">
        <v>15.05</v>
      </c>
      <c r="E1539" s="730" t="n">
        <v>0.25</v>
      </c>
      <c r="F1539" s="731" t="n">
        <v>1.69</v>
      </c>
      <c r="G1539" t="inlineStr">
        <is>
          <t>58.2萬</t>
        </is>
      </c>
      <c r="H1539" t="n">
        <v>39</v>
      </c>
      <c r="I1539" t="n">
        <v>87</v>
      </c>
      <c r="J1539" t="n">
        <v>5.88</v>
      </c>
      <c r="K1539" t="n">
        <v>15.1</v>
      </c>
      <c r="L1539" t="n">
        <v>14.8</v>
      </c>
      <c r="M1539" s="155" t="n">
        <v>0.07000000000000001</v>
      </c>
      <c r="N1539" t="inlineStr">
        <is>
          <t>專業的連續沖壓模具及零件大廠</t>
        </is>
      </c>
    </row>
    <row r="1540">
      <c r="A1540" t="n">
        <v>5464</v>
      </c>
      <c r="B1540" t="inlineStr">
        <is>
          <t>霖宏</t>
        </is>
      </c>
      <c r="C1540" t="n">
        <v>78.90000000000001</v>
      </c>
      <c r="D1540" t="n">
        <v>76.3</v>
      </c>
      <c r="E1540" s="730" t="n">
        <v>-4.2</v>
      </c>
      <c r="F1540" s="731" t="n">
        <v>-5.22</v>
      </c>
      <c r="G1540" t="inlineStr">
        <is>
          <t>2.92億</t>
        </is>
      </c>
      <c r="H1540" t="n">
        <v>3942</v>
      </c>
      <c r="I1540" t="n">
        <v>2775</v>
      </c>
      <c r="J1540" t="n">
        <v>7.11</v>
      </c>
      <c r="K1540" t="n">
        <v>80</v>
      </c>
      <c r="L1540" t="n">
        <v>72.5</v>
      </c>
      <c r="M1540" s="155" t="n">
        <v>5.55</v>
      </c>
      <c r="N1540" t="inlineStr">
        <is>
          <t>LCD TV,印表機等消費性PCB廠</t>
        </is>
      </c>
    </row>
    <row r="1541">
      <c r="A1541" t="n">
        <v>5465</v>
      </c>
      <c r="B1541" t="inlineStr">
        <is>
          <t>富驊</t>
        </is>
      </c>
      <c r="C1541" t="n">
        <v>27.4</v>
      </c>
      <c r="D1541" t="n">
        <v>27.9</v>
      </c>
      <c r="E1541" s="730" t="n">
        <v>0.8</v>
      </c>
      <c r="F1541" s="731" t="n">
        <v>2.95</v>
      </c>
      <c r="G1541" t="inlineStr">
        <is>
          <t>1294萬</t>
        </is>
      </c>
      <c r="H1541" t="n">
        <v>469</v>
      </c>
      <c r="I1541" t="n">
        <v>289</v>
      </c>
      <c r="J1541" t="n">
        <v>14.77</v>
      </c>
      <c r="K1541" t="n">
        <v>28.2</v>
      </c>
      <c r="L1541" t="n">
        <v>27.15</v>
      </c>
      <c r="M1541" s="155" t="n">
        <v>0.32</v>
      </c>
      <c r="N1541" t="inlineStr">
        <is>
          <t>偉訓轉投資之電腦、伺服器機殼廠</t>
        </is>
      </c>
    </row>
    <row r="1542">
      <c r="A1542" t="n">
        <v>5468</v>
      </c>
      <c r="B1542" t="inlineStr">
        <is>
          <t>凱鈺</t>
        </is>
      </c>
      <c r="C1542" t="n">
        <v>18.25</v>
      </c>
      <c r="D1542" t="n">
        <v>18.3</v>
      </c>
      <c r="E1542" s="730" t="n">
        <v>0.05</v>
      </c>
      <c r="F1542" s="731" t="n">
        <v>0.27</v>
      </c>
      <c r="G1542" t="inlineStr">
        <is>
          <t>286萬</t>
        </is>
      </c>
      <c r="H1542" t="n">
        <v>157</v>
      </c>
      <c r="I1542" t="n">
        <v>92</v>
      </c>
      <c r="J1542" t="n">
        <v>5.89</v>
      </c>
      <c r="K1542" t="n">
        <v>18.35</v>
      </c>
      <c r="L1542" t="n">
        <v>18</v>
      </c>
      <c r="M1542" s="155" t="n">
        <v>0.27</v>
      </c>
      <c r="N1542" t="inlineStr">
        <is>
          <t>LED驅動IC及光通訊IC設計公司</t>
        </is>
      </c>
    </row>
    <row r="1543">
      <c r="A1543" t="n">
        <v>5469</v>
      </c>
      <c r="B1543" t="inlineStr">
        <is>
          <t>瀚宇博</t>
        </is>
      </c>
      <c r="C1543" t="n">
        <v>86.59999999999999</v>
      </c>
      <c r="D1543" t="n">
        <v>85.90000000000001</v>
      </c>
      <c r="E1543" s="730" t="n">
        <v>-0.1</v>
      </c>
      <c r="F1543" s="731" t="n">
        <v>-0.12</v>
      </c>
      <c r="G1543" t="inlineStr">
        <is>
          <t>3.11億</t>
        </is>
      </c>
      <c r="H1543" t="n">
        <v>3677</v>
      </c>
      <c r="I1543" t="n">
        <v>5826</v>
      </c>
      <c r="J1543" t="n">
        <v>48.62</v>
      </c>
      <c r="K1543" t="n">
        <v>86.59999999999999</v>
      </c>
      <c r="L1543" t="n">
        <v>83.59999999999999</v>
      </c>
      <c r="M1543" s="155" t="n">
        <v>0.76</v>
      </c>
      <c r="N1543" t="inlineStr">
        <is>
          <t>全球前三大NB板與STB板廠之一</t>
        </is>
      </c>
    </row>
    <row r="1544">
      <c r="A1544" t="n">
        <v>5471</v>
      </c>
      <c r="B1544" t="inlineStr">
        <is>
          <t>松翰</t>
        </is>
      </c>
      <c r="C1544" t="n">
        <v>52.8</v>
      </c>
      <c r="D1544" t="n">
        <v>52.6</v>
      </c>
      <c r="E1544" s="730" t="n">
        <v>-0.5</v>
      </c>
      <c r="F1544" s="731" t="n">
        <v>-0.9399999999999999</v>
      </c>
      <c r="G1544" t="inlineStr">
        <is>
          <t>1.23億</t>
        </is>
      </c>
      <c r="H1544" t="n">
        <v>2354</v>
      </c>
      <c r="I1544" t="n">
        <v>6029</v>
      </c>
      <c r="J1544" t="n">
        <v>16.79</v>
      </c>
      <c r="K1544" t="n">
        <v>53.1</v>
      </c>
      <c r="L1544" t="n">
        <v>51.7</v>
      </c>
      <c r="M1544" s="155" t="n">
        <v>1.4</v>
      </c>
      <c r="N1544" t="inlineStr">
        <is>
          <t>為語音及多媒體IC設計專業廠商</t>
        </is>
      </c>
    </row>
    <row r="1545">
      <c r="A1545" t="n">
        <v>5474</v>
      </c>
      <c r="B1545" t="inlineStr">
        <is>
          <t>聰泰</t>
        </is>
      </c>
      <c r="C1545" t="n">
        <v>200.5</v>
      </c>
      <c r="D1545" t="n">
        <v>187</v>
      </c>
      <c r="E1545" s="730" t="n">
        <v>-11</v>
      </c>
      <c r="F1545" s="731" t="n">
        <v>-5.56</v>
      </c>
      <c r="G1545" t="inlineStr">
        <is>
          <t>5.30億</t>
        </is>
      </c>
      <c r="H1545" t="n">
        <v>2765</v>
      </c>
      <c r="I1545" t="n">
        <v>1774</v>
      </c>
      <c r="J1545" t="n">
        <v>3.98</v>
      </c>
      <c r="K1545" t="n">
        <v>201.5</v>
      </c>
      <c r="L1545" t="n">
        <v>182.5</v>
      </c>
      <c r="M1545" s="155" t="n">
        <v>6.95</v>
      </c>
      <c r="N1545" t="inlineStr">
        <is>
          <t>數位監控、影音串流設備商</t>
        </is>
      </c>
    </row>
    <row r="1546">
      <c r="A1546" t="n">
        <v>5475</v>
      </c>
      <c r="B1546" t="inlineStr">
        <is>
          <t>德宏</t>
        </is>
      </c>
      <c r="C1546" t="n">
        <v>301</v>
      </c>
      <c r="D1546" t="n">
        <v>320</v>
      </c>
      <c r="E1546" s="730" t="n">
        <v>23</v>
      </c>
      <c r="F1546" s="731" t="n">
        <v>7.74</v>
      </c>
      <c r="G1546" t="inlineStr">
        <is>
          <t>25.6億</t>
        </is>
      </c>
      <c r="H1546" t="n">
        <v>8198</v>
      </c>
      <c r="I1546" t="n">
        <v>5870</v>
      </c>
      <c r="J1546" t="n">
        <v>12.71</v>
      </c>
      <c r="K1546" t="n">
        <v>325</v>
      </c>
      <c r="L1546" t="n">
        <v>297</v>
      </c>
      <c r="M1546" s="155" t="n">
        <v>6.45</v>
      </c>
      <c r="N1546" t="inlineStr">
        <is>
          <t>台灣專業電子級玻纖布廠</t>
        </is>
      </c>
    </row>
    <row r="1547">
      <c r="A1547" t="n">
        <v>5478</v>
      </c>
      <c r="B1547" t="inlineStr">
        <is>
          <t>智冠</t>
        </is>
      </c>
      <c r="C1547" t="n">
        <v>100.5</v>
      </c>
      <c r="D1547" t="n">
        <v>104</v>
      </c>
      <c r="E1547" s="730" t="n">
        <v>4</v>
      </c>
      <c r="F1547" s="731" t="n">
        <v>4</v>
      </c>
      <c r="G1547" t="inlineStr">
        <is>
          <t>5065萬</t>
        </is>
      </c>
      <c r="H1547" t="n">
        <v>492</v>
      </c>
      <c r="I1547" t="n">
        <v>190</v>
      </c>
      <c r="J1547" t="n">
        <v>15.61</v>
      </c>
      <c r="K1547" t="n">
        <v>104.5</v>
      </c>
      <c r="L1547" t="n">
        <v>100.5</v>
      </c>
      <c r="M1547" s="155" t="n">
        <v>0.32</v>
      </c>
      <c r="N1547" t="inlineStr">
        <is>
          <t>台灣最大遊戲公司，橫跨研發、營運和通路行銷等業務</t>
        </is>
      </c>
    </row>
    <row r="1548">
      <c r="A1548" t="n">
        <v>5481</v>
      </c>
      <c r="B1548" t="inlineStr">
        <is>
          <t>新華</t>
        </is>
      </c>
      <c r="C1548" t="n">
        <v>17.8</v>
      </c>
      <c r="D1548" t="n">
        <v>18.7</v>
      </c>
      <c r="E1548" s="730" t="n">
        <v>0.95</v>
      </c>
      <c r="F1548" s="731" t="n">
        <v>5.35</v>
      </c>
      <c r="G1548" t="inlineStr">
        <is>
          <t>392萬</t>
        </is>
      </c>
      <c r="H1548" t="n">
        <v>217</v>
      </c>
      <c r="I1548" t="n">
        <v>133</v>
      </c>
      <c r="J1548" t="n">
        <v>7.14</v>
      </c>
      <c r="K1548" t="n">
        <v>18.7</v>
      </c>
      <c r="L1548" t="n">
        <v>17.7</v>
      </c>
      <c r="M1548" s="155" t="n">
        <v>0.3</v>
      </c>
      <c r="N1548" t="inlineStr">
        <is>
          <t>主要經營「芝麻街」連鎖美語補習班及國高中補習服務</t>
        </is>
      </c>
    </row>
    <row r="1549">
      <c r="A1549" t="n">
        <v>5483</v>
      </c>
      <c r="B1549" t="inlineStr">
        <is>
          <t>中美晶</t>
        </is>
      </c>
      <c r="C1549" t="n">
        <v>167.5</v>
      </c>
      <c r="D1549" t="n">
        <v>164.5</v>
      </c>
      <c r="E1549" s="730" t="n">
        <v>-4</v>
      </c>
      <c r="F1549" s="731" t="n">
        <v>-2.37</v>
      </c>
      <c r="G1549" t="inlineStr">
        <is>
          <t>30.4億</t>
        </is>
      </c>
      <c r="H1549" t="n">
        <v>18720</v>
      </c>
      <c r="I1549" t="n">
        <v>30140</v>
      </c>
      <c r="J1549" t="n">
        <v>64.12</v>
      </c>
      <c r="K1549" t="n">
        <v>167.5</v>
      </c>
      <c r="L1549" t="n">
        <v>160</v>
      </c>
      <c r="M1549" s="155" t="n">
        <v>2.92</v>
      </c>
      <c r="N1549" t="inlineStr">
        <is>
          <t>台灣太陽能矽晶圓龍頭，並垂直整合太陽能產業鏈</t>
        </is>
      </c>
    </row>
    <row r="1550">
      <c r="A1550" t="n">
        <v>5484</v>
      </c>
      <c r="B1550" t="inlineStr">
        <is>
          <t>慧友</t>
        </is>
      </c>
      <c r="C1550" t="n">
        <v>58.5</v>
      </c>
      <c r="D1550" t="n">
        <v>57.4</v>
      </c>
      <c r="E1550" s="730" t="n">
        <v>3.8</v>
      </c>
      <c r="F1550" s="731" t="n">
        <v>7.09</v>
      </c>
      <c r="G1550" t="inlineStr">
        <is>
          <t>3.38億</t>
        </is>
      </c>
      <c r="H1550" t="n">
        <v>5900</v>
      </c>
      <c r="I1550" t="n">
        <v>2610</v>
      </c>
      <c r="J1550" t="n">
        <v>6.68</v>
      </c>
      <c r="K1550" t="n">
        <v>58.9</v>
      </c>
      <c r="L1550" t="n">
        <v>54.2</v>
      </c>
      <c r="M1550" s="155" t="n">
        <v>8.83</v>
      </c>
      <c r="N1550" t="inlineStr">
        <is>
          <t>台灣安全監控系統廠商</t>
        </is>
      </c>
    </row>
    <row r="1551">
      <c r="A1551" t="n">
        <v>5487</v>
      </c>
      <c r="B1551" t="inlineStr">
        <is>
          <t>通泰</t>
        </is>
      </c>
      <c r="C1551" t="n">
        <v>27.7</v>
      </c>
      <c r="D1551" t="n">
        <v>27.6</v>
      </c>
      <c r="E1551" s="730" t="n">
        <v>0</v>
      </c>
      <c r="F1551" s="731" t="n">
        <v>0</v>
      </c>
      <c r="G1551" t="inlineStr">
        <is>
          <t>350萬</t>
        </is>
      </c>
      <c r="H1551" t="n">
        <v>126</v>
      </c>
      <c r="I1551" t="n">
        <v>99</v>
      </c>
      <c r="J1551" t="n">
        <v>2.42</v>
      </c>
      <c r="K1551" t="n">
        <v>28.45</v>
      </c>
      <c r="L1551" t="n">
        <v>27.6</v>
      </c>
      <c r="M1551" s="155" t="n">
        <v>0.52</v>
      </c>
      <c r="N1551" t="inlineStr">
        <is>
          <t>老牌消費性IC設計廠商</t>
        </is>
      </c>
    </row>
    <row r="1552">
      <c r="A1552" t="n">
        <v>5488</v>
      </c>
      <c r="B1552" t="inlineStr">
        <is>
          <t>松普</t>
        </is>
      </c>
      <c r="C1552" t="n">
        <v>13.4</v>
      </c>
      <c r="D1552" t="n">
        <v>14.25</v>
      </c>
      <c r="E1552" s="730" t="n">
        <v>0.85</v>
      </c>
      <c r="F1552" s="731" t="n">
        <v>6.34</v>
      </c>
      <c r="G1552" t="inlineStr">
        <is>
          <t>4809萬</t>
        </is>
      </c>
      <c r="H1552" t="n">
        <v>3572</v>
      </c>
      <c r="I1552" t="n">
        <v>1607</v>
      </c>
      <c r="J1552" t="n">
        <v>9.16</v>
      </c>
      <c r="K1552" t="n">
        <v>14.35</v>
      </c>
      <c r="L1552" t="n">
        <v>12.8</v>
      </c>
      <c r="M1552" s="155" t="n">
        <v>3.9</v>
      </c>
      <c r="N1552" t="inlineStr">
        <is>
          <t>台灣3C電線製造商</t>
        </is>
      </c>
    </row>
    <row r="1553">
      <c r="A1553" t="n">
        <v>5489</v>
      </c>
      <c r="B1553" t="inlineStr">
        <is>
          <t>彩富</t>
        </is>
      </c>
      <c r="C1553" t="n">
        <v>38.7</v>
      </c>
      <c r="D1553" t="n">
        <v>38.85</v>
      </c>
      <c r="E1553" s="730" t="n">
        <v>0</v>
      </c>
      <c r="F1553" s="731" t="n">
        <v>0</v>
      </c>
      <c r="G1553" t="inlineStr">
        <is>
          <t>252萬</t>
        </is>
      </c>
      <c r="H1553" t="n">
        <v>65</v>
      </c>
      <c r="I1553" t="n">
        <v>57</v>
      </c>
      <c r="J1553" t="n">
        <v>10.27</v>
      </c>
      <c r="K1553" t="n">
        <v>39.1</v>
      </c>
      <c r="L1553" t="n">
        <v>38.7</v>
      </c>
      <c r="M1553" s="155" t="n">
        <v>0.06</v>
      </c>
      <c r="N1553" t="inlineStr">
        <is>
          <t>台灣網路視訊安全監控系統專業代工廠</t>
        </is>
      </c>
    </row>
    <row r="1554">
      <c r="A1554" t="n">
        <v>5490</v>
      </c>
      <c r="B1554" t="inlineStr">
        <is>
          <t>同亨</t>
        </is>
      </c>
      <c r="C1554" t="n">
        <v>29.15</v>
      </c>
      <c r="D1554" t="n">
        <v>29.3</v>
      </c>
      <c r="E1554" s="730" t="n">
        <v>0.05</v>
      </c>
      <c r="F1554" s="731" t="n">
        <v>0.17</v>
      </c>
      <c r="G1554" t="inlineStr">
        <is>
          <t>1749萬</t>
        </is>
      </c>
      <c r="H1554" t="n">
        <v>602</v>
      </c>
      <c r="I1554" t="n">
        <v>554</v>
      </c>
      <c r="J1554" t="n">
        <v>9.619999999999999</v>
      </c>
      <c r="K1554" t="n">
        <v>29.35</v>
      </c>
      <c r="L1554" t="n">
        <v>28.75</v>
      </c>
      <c r="M1554" s="155" t="n">
        <v>0.63</v>
      </c>
      <c r="N1554" t="inlineStr">
        <is>
          <t>全球知名POS刷卡機DMS廠</t>
        </is>
      </c>
    </row>
    <row r="1555">
      <c r="A1555" t="n">
        <v>5493</v>
      </c>
      <c r="B1555" t="inlineStr">
        <is>
          <t>三聯</t>
        </is>
      </c>
      <c r="C1555" t="n">
        <v>95.8</v>
      </c>
      <c r="D1555" t="n">
        <v>94</v>
      </c>
      <c r="E1555" s="730" t="n">
        <v>-1.3</v>
      </c>
      <c r="F1555" s="731" t="n">
        <v>-1.36</v>
      </c>
      <c r="G1555" t="inlineStr">
        <is>
          <t>9189萬</t>
        </is>
      </c>
      <c r="H1555" t="n">
        <v>967</v>
      </c>
      <c r="I1555" t="n">
        <v>375</v>
      </c>
      <c r="J1555" t="n">
        <v>4.37</v>
      </c>
      <c r="K1555" t="n">
        <v>97.90000000000001</v>
      </c>
      <c r="L1555" t="n">
        <v>92.3</v>
      </c>
      <c r="M1555" s="155" t="n">
        <v>2.21</v>
      </c>
      <c r="N1555" t="inlineStr">
        <is>
          <t>感測、監測系統整合服務商</t>
        </is>
      </c>
    </row>
    <row r="1556">
      <c r="A1556" t="n">
        <v>5498</v>
      </c>
      <c r="B1556" t="inlineStr">
        <is>
          <t>凱崴</t>
        </is>
      </c>
      <c r="C1556" t="n">
        <v>66.5</v>
      </c>
      <c r="D1556" t="n">
        <v>63.4</v>
      </c>
      <c r="E1556" s="730" t="n">
        <v>-2.6</v>
      </c>
      <c r="F1556" s="731" t="n">
        <v>-3.94</v>
      </c>
      <c r="G1556" t="inlineStr">
        <is>
          <t>3.22億</t>
        </is>
      </c>
      <c r="H1556" t="n">
        <v>5037</v>
      </c>
      <c r="I1556" t="n">
        <v>6909</v>
      </c>
      <c r="J1556" t="n">
        <v>19.35</v>
      </c>
      <c r="K1556" t="n">
        <v>66.90000000000001</v>
      </c>
      <c r="L1556" t="n">
        <v>62.3</v>
      </c>
      <c r="M1556" s="155" t="n">
        <v>2.6</v>
      </c>
      <c r="N1556" t="inlineStr">
        <is>
          <t>台灣PCB鑽頭製造商</t>
        </is>
      </c>
    </row>
    <row r="1557">
      <c r="A1557" t="n">
        <v>5508</v>
      </c>
      <c r="B1557" t="inlineStr">
        <is>
          <t>永信建</t>
        </is>
      </c>
      <c r="C1557" t="n">
        <v>47.45</v>
      </c>
      <c r="D1557" t="n">
        <v>48.9</v>
      </c>
      <c r="E1557" s="730" t="n">
        <v>2.05</v>
      </c>
      <c r="F1557" s="731" t="n">
        <v>4.38</v>
      </c>
      <c r="G1557" t="inlineStr">
        <is>
          <t>5617萬</t>
        </is>
      </c>
      <c r="H1557" t="n">
        <v>1173</v>
      </c>
      <c r="I1557" t="n">
        <v>611</v>
      </c>
      <c r="J1557" t="n">
        <v>21.74</v>
      </c>
      <c r="K1557" t="n">
        <v>48.95</v>
      </c>
      <c r="L1557" t="n">
        <v>46.9</v>
      </c>
      <c r="M1557" s="155" t="n">
        <v>0.54</v>
      </c>
      <c r="N1557" t="inlineStr">
        <is>
          <t>高雄建商，以成屋銷售為主</t>
        </is>
      </c>
    </row>
    <row r="1558">
      <c r="A1558" t="n">
        <v>5511</v>
      </c>
      <c r="B1558" t="inlineStr">
        <is>
          <t>德昌</t>
        </is>
      </c>
      <c r="C1558" t="n">
        <v>71.59999999999999</v>
      </c>
      <c r="D1558" t="n">
        <v>71.8</v>
      </c>
      <c r="E1558" s="730" t="n">
        <v>0.4</v>
      </c>
      <c r="F1558" s="731" t="n">
        <v>0.5600000000000001</v>
      </c>
      <c r="G1558" t="inlineStr">
        <is>
          <t>702萬</t>
        </is>
      </c>
      <c r="H1558" t="n">
        <v>98</v>
      </c>
      <c r="I1558" t="n">
        <v>154</v>
      </c>
      <c r="J1558" t="n">
        <v>11.34</v>
      </c>
      <c r="K1558" t="n">
        <v>71.8</v>
      </c>
      <c r="L1558" t="n">
        <v>71.40000000000001</v>
      </c>
      <c r="M1558" s="155" t="n">
        <v>0.09</v>
      </c>
      <c r="N1558" t="inlineStr">
        <is>
          <t>商辦大樓、高科技廠房及公共工程等為營業項目之營造商</t>
        </is>
      </c>
    </row>
    <row r="1559">
      <c r="A1559" t="n">
        <v>5512</v>
      </c>
      <c r="B1559" t="inlineStr">
        <is>
          <t>力麒</t>
        </is>
      </c>
      <c r="C1559" t="n">
        <v>7.38</v>
      </c>
      <c r="D1559" t="n">
        <v>7.38</v>
      </c>
      <c r="E1559" s="730" t="n">
        <v>0</v>
      </c>
      <c r="F1559" s="731" t="n">
        <v>0</v>
      </c>
      <c r="G1559" t="inlineStr">
        <is>
          <t>1754萬</t>
        </is>
      </c>
      <c r="H1559" t="n">
        <v>2391</v>
      </c>
      <c r="I1559" t="n">
        <v>2244</v>
      </c>
      <c r="J1559" t="n">
        <v>76.63</v>
      </c>
      <c r="K1559" t="n">
        <v>7.46</v>
      </c>
      <c r="L1559" t="n">
        <v>7.25</v>
      </c>
      <c r="M1559" s="155" t="n">
        <v>0.31</v>
      </c>
      <c r="N1559" t="inlineStr">
        <is>
          <t>力麗集團旗下建商、環衛營造商</t>
        </is>
      </c>
    </row>
    <row r="1560">
      <c r="A1560" t="n">
        <v>5514</v>
      </c>
      <c r="B1560" t="inlineStr">
        <is>
          <t>三豐</t>
        </is>
      </c>
      <c r="C1560" t="n">
        <v>13.95</v>
      </c>
      <c r="D1560" t="n">
        <v>14.35</v>
      </c>
      <c r="E1560" s="730" t="n">
        <v>0.4</v>
      </c>
      <c r="F1560" s="731" t="n">
        <v>2.87</v>
      </c>
      <c r="G1560" t="inlineStr">
        <is>
          <t>67.9萬</t>
        </is>
      </c>
      <c r="H1560" t="n">
        <v>49</v>
      </c>
      <c r="I1560" t="n">
        <v>127</v>
      </c>
      <c r="J1560" t="n">
        <v>23.61</v>
      </c>
      <c r="K1560" t="n">
        <v>14.35</v>
      </c>
      <c r="L1560" t="n">
        <v>13.6</v>
      </c>
      <c r="M1560" s="155" t="n">
        <v>0.02</v>
      </c>
      <c r="N1560" t="inlineStr">
        <is>
          <t>以都市更新為主之建商</t>
        </is>
      </c>
    </row>
    <row r="1561">
      <c r="A1561" t="n">
        <v>5515</v>
      </c>
      <c r="B1561" t="inlineStr">
        <is>
          <t>建國</t>
        </is>
      </c>
      <c r="C1561" t="n">
        <v>41.55</v>
      </c>
      <c r="D1561" t="n">
        <v>41.2</v>
      </c>
      <c r="E1561" s="730" t="n">
        <v>-0.35</v>
      </c>
      <c r="F1561" s="731" t="n">
        <v>-0.84</v>
      </c>
      <c r="G1561" t="inlineStr">
        <is>
          <t>2735萬</t>
        </is>
      </c>
      <c r="H1561" t="n">
        <v>670</v>
      </c>
      <c r="I1561" t="n">
        <v>521</v>
      </c>
      <c r="J1561" t="n">
        <v>20.16</v>
      </c>
      <c r="K1561" t="n">
        <v>41.55</v>
      </c>
      <c r="L1561" t="n">
        <v>40.65</v>
      </c>
      <c r="M1561" s="155" t="n">
        <v>0.33</v>
      </c>
      <c r="N1561" t="inlineStr">
        <is>
          <t>建築統包工程服務商</t>
        </is>
      </c>
    </row>
    <row r="1562">
      <c r="A1562" t="n">
        <v>5516</v>
      </c>
      <c r="B1562" t="inlineStr">
        <is>
          <t>雙喜</t>
        </is>
      </c>
      <c r="C1562" t="n">
        <v>10.2</v>
      </c>
      <c r="D1562" t="n">
        <v>10.25</v>
      </c>
      <c r="E1562" s="730" t="n">
        <v>0.05</v>
      </c>
      <c r="F1562" s="731" t="n">
        <v>0.49</v>
      </c>
      <c r="G1562" t="inlineStr">
        <is>
          <t>41.8萬</t>
        </is>
      </c>
      <c r="H1562" t="n">
        <v>41</v>
      </c>
      <c r="I1562" t="n">
        <v>20</v>
      </c>
      <c r="J1562" t="n">
        <v>5.15</v>
      </c>
      <c r="K1562" t="n">
        <v>10.25</v>
      </c>
      <c r="L1562" t="n">
        <v>10.15</v>
      </c>
      <c r="M1562" s="155" t="n">
        <v>0.08</v>
      </c>
      <c r="N1562" t="inlineStr">
        <is>
          <t>承攬各項公共、建築及土木工程之營造廠</t>
        </is>
      </c>
    </row>
    <row r="1563">
      <c r="A1563" t="n">
        <v>5519</v>
      </c>
      <c r="B1563" t="inlineStr">
        <is>
          <t>隆大</t>
        </is>
      </c>
      <c r="C1563" t="n">
        <v>31.95</v>
      </c>
      <c r="D1563" t="n">
        <v>31.8</v>
      </c>
      <c r="E1563" s="730" t="n">
        <v>-0.15</v>
      </c>
      <c r="F1563" s="731" t="n">
        <v>-0.47</v>
      </c>
      <c r="G1563" t="inlineStr">
        <is>
          <t>2336萬</t>
        </is>
      </c>
      <c r="H1563" t="n">
        <v>733</v>
      </c>
      <c r="I1563" t="n">
        <v>550</v>
      </c>
      <c r="J1563" t="n">
        <v>21.92</v>
      </c>
      <c r="K1563" t="n">
        <v>32</v>
      </c>
      <c r="L1563" t="n">
        <v>31.8</v>
      </c>
      <c r="M1563" s="155" t="n">
        <v>0.33</v>
      </c>
      <c r="N1563" t="inlineStr">
        <is>
          <t>綜合營造及住宅大樓開發商</t>
        </is>
      </c>
    </row>
    <row r="1564">
      <c r="A1564" t="n">
        <v>5520</v>
      </c>
      <c r="B1564" t="inlineStr">
        <is>
          <t>力泰</t>
        </is>
      </c>
      <c r="C1564" t="n">
        <v>81.3</v>
      </c>
      <c r="D1564" t="n">
        <v>81.40000000000001</v>
      </c>
      <c r="E1564" s="730" t="n">
        <v>0.1</v>
      </c>
      <c r="F1564" s="731" t="n">
        <v>0.12</v>
      </c>
      <c r="G1564" t="inlineStr">
        <is>
          <t>32.5萬</t>
        </is>
      </c>
      <c r="H1564" t="n">
        <v>4</v>
      </c>
      <c r="I1564" t="n">
        <v>9</v>
      </c>
      <c r="J1564" t="n">
        <v>6</v>
      </c>
      <c r="K1564" t="n">
        <v>81.40000000000001</v>
      </c>
      <c r="L1564" t="n">
        <v>81.3</v>
      </c>
      <c r="M1564" s="155" t="n">
        <v>0.01</v>
      </c>
      <c r="N1564" t="inlineStr">
        <is>
          <t>台灣預拌混凝土製造加工廠</t>
        </is>
      </c>
    </row>
    <row r="1565">
      <c r="A1565" t="n">
        <v>5521</v>
      </c>
      <c r="B1565" t="inlineStr">
        <is>
          <t>工信</t>
        </is>
      </c>
      <c r="C1565" t="n">
        <v>10.2</v>
      </c>
      <c r="D1565" t="n">
        <v>10.15</v>
      </c>
      <c r="E1565" s="730" t="n">
        <v>-0.05</v>
      </c>
      <c r="F1565" s="731" t="n">
        <v>-0.49</v>
      </c>
      <c r="G1565" t="inlineStr">
        <is>
          <t>5360萬</t>
        </is>
      </c>
      <c r="H1565" t="n">
        <v>5247</v>
      </c>
      <c r="I1565" t="n">
        <v>3622</v>
      </c>
      <c r="J1565" t="n">
        <v>49.23</v>
      </c>
      <c r="K1565" t="n">
        <v>10.5</v>
      </c>
      <c r="L1565" t="n">
        <v>10.1</v>
      </c>
      <c r="M1565" s="155" t="n">
        <v>1.07</v>
      </c>
      <c r="N1565" t="inlineStr">
        <is>
          <t>台灣前十大營造廠</t>
        </is>
      </c>
    </row>
    <row r="1566">
      <c r="A1566" t="n">
        <v>5522</v>
      </c>
      <c r="B1566" t="inlineStr">
        <is>
          <t>遠雄</t>
        </is>
      </c>
      <c r="C1566" t="n">
        <v>74.09999999999999</v>
      </c>
      <c r="D1566" t="n">
        <v>75.09999999999999</v>
      </c>
      <c r="E1566" s="730" t="n">
        <v>0.9</v>
      </c>
      <c r="F1566" s="731" t="n">
        <v>1.21</v>
      </c>
      <c r="G1566" t="inlineStr">
        <is>
          <t>1.03億</t>
        </is>
      </c>
      <c r="H1566" t="n">
        <v>1379</v>
      </c>
      <c r="I1566" t="n">
        <v>1215</v>
      </c>
      <c r="J1566" t="n">
        <v>78.16</v>
      </c>
      <c r="K1566" t="n">
        <v>75.09999999999999</v>
      </c>
      <c r="L1566" t="n">
        <v>73.7</v>
      </c>
      <c r="M1566" s="155" t="n">
        <v>0.18</v>
      </c>
      <c r="N1566" t="inlineStr">
        <is>
          <t>以營建地產、休閒娛樂為核心的企業集團</t>
        </is>
      </c>
    </row>
    <row r="1567">
      <c r="A1567" t="n">
        <v>5523</v>
      </c>
      <c r="B1567" t="inlineStr">
        <is>
          <t>豐謙</t>
        </is>
      </c>
      <c r="C1567" t="n">
        <v>30.35</v>
      </c>
      <c r="D1567" t="n">
        <v>30.5</v>
      </c>
      <c r="E1567" s="730" t="n">
        <v>0</v>
      </c>
      <c r="F1567" s="731" t="n">
        <v>0</v>
      </c>
      <c r="G1567" t="inlineStr">
        <is>
          <t>149萬</t>
        </is>
      </c>
      <c r="H1567" t="n">
        <v>49</v>
      </c>
      <c r="I1567" t="n">
        <v>81</v>
      </c>
      <c r="J1567" t="n">
        <v>15.5</v>
      </c>
      <c r="K1567" t="n">
        <v>30.5</v>
      </c>
      <c r="L1567" t="n">
        <v>30.3</v>
      </c>
      <c r="M1567" s="155" t="n">
        <v>0.03</v>
      </c>
      <c r="N1567" t="inlineStr">
        <is>
          <t>嘉義地區建商</t>
        </is>
      </c>
    </row>
    <row r="1568">
      <c r="A1568" t="n">
        <v>5525</v>
      </c>
      <c r="B1568" t="inlineStr">
        <is>
          <t>順天</t>
        </is>
      </c>
      <c r="C1568" t="n">
        <v>21.8</v>
      </c>
      <c r="D1568" t="n">
        <v>21.8</v>
      </c>
      <c r="E1568" s="730" t="n">
        <v>0</v>
      </c>
      <c r="F1568" s="731" t="n">
        <v>0</v>
      </c>
      <c r="G1568" t="inlineStr">
        <is>
          <t>207萬</t>
        </is>
      </c>
      <c r="H1568" t="n">
        <v>96</v>
      </c>
      <c r="I1568" t="n">
        <v>208</v>
      </c>
      <c r="J1568" t="n">
        <v>31.81</v>
      </c>
      <c r="K1568" t="n">
        <v>21.8</v>
      </c>
      <c r="L1568" t="n">
        <v>21.3</v>
      </c>
      <c r="M1568" s="155" t="n">
        <v>0.03</v>
      </c>
      <c r="N1568" t="inlineStr">
        <is>
          <t>台中地區建商</t>
        </is>
      </c>
    </row>
    <row r="1569">
      <c r="A1569" t="n">
        <v>5529</v>
      </c>
      <c r="B1569" t="inlineStr">
        <is>
          <t>鉅陞</t>
        </is>
      </c>
      <c r="C1569" t="n">
        <v>22.25</v>
      </c>
      <c r="D1569" t="n">
        <v>22.5</v>
      </c>
      <c r="E1569" s="730" t="n">
        <v>0.3</v>
      </c>
      <c r="F1569" s="731" t="n">
        <v>1.35</v>
      </c>
      <c r="G1569" t="inlineStr">
        <is>
          <t>188萬</t>
        </is>
      </c>
      <c r="H1569" t="n">
        <v>83</v>
      </c>
      <c r="I1569" t="n">
        <v>105</v>
      </c>
      <c r="J1569" t="n">
        <v>10.58</v>
      </c>
      <c r="K1569" t="n">
        <v>23.75</v>
      </c>
      <c r="L1569" t="n">
        <v>22.2</v>
      </c>
      <c r="M1569" s="155" t="n">
        <v>0.08</v>
      </c>
      <c r="N1569" t="inlineStr">
        <is>
          <t>推案集中於新竹地區之建商</t>
        </is>
      </c>
    </row>
    <row r="1570">
      <c r="A1570" t="n">
        <v>5530</v>
      </c>
      <c r="B1570" t="inlineStr">
        <is>
          <t>龍巖</t>
        </is>
      </c>
      <c r="C1570" t="n">
        <v>49.15</v>
      </c>
      <c r="D1570" t="n">
        <v>49.1</v>
      </c>
      <c r="E1570" s="730" t="n">
        <v>0.1</v>
      </c>
      <c r="F1570" s="731" t="n">
        <v>0.2</v>
      </c>
      <c r="G1570" t="inlineStr">
        <is>
          <t>4339萬</t>
        </is>
      </c>
      <c r="H1570" t="n">
        <v>885</v>
      </c>
      <c r="I1570" t="n">
        <v>1579</v>
      </c>
      <c r="J1570" t="n">
        <v>42.01</v>
      </c>
      <c r="K1570" t="n">
        <v>50</v>
      </c>
      <c r="L1570" t="n">
        <v>48.85</v>
      </c>
      <c r="M1570" s="155" t="n">
        <v>0.21</v>
      </c>
      <c r="N1570" t="inlineStr">
        <is>
          <t>台灣殯葬產業龍頭</t>
        </is>
      </c>
    </row>
    <row r="1571">
      <c r="A1571" t="n">
        <v>5531</v>
      </c>
      <c r="B1571" t="inlineStr">
        <is>
          <t>鄉林</t>
        </is>
      </c>
      <c r="C1571" t="n">
        <v>7.98</v>
      </c>
      <c r="D1571" t="n">
        <v>7.86</v>
      </c>
      <c r="E1571" s="730" t="n">
        <v>0.01</v>
      </c>
      <c r="F1571" s="731" t="n">
        <v>0.13</v>
      </c>
      <c r="G1571" t="inlineStr">
        <is>
          <t>418萬</t>
        </is>
      </c>
      <c r="H1571" t="n">
        <v>533</v>
      </c>
      <c r="I1571" t="n">
        <v>723</v>
      </c>
      <c r="J1571" t="n">
        <v>97.76000000000001</v>
      </c>
      <c r="K1571" t="n">
        <v>7.98</v>
      </c>
      <c r="L1571" t="n">
        <v>7.79</v>
      </c>
      <c r="M1571" s="155" t="n">
        <v>0.05</v>
      </c>
      <c r="N1571" t="inlineStr">
        <is>
          <t>推案以中部地區為主之建商，並跨足觀光旅館經營</t>
        </is>
      </c>
    </row>
    <row r="1572">
      <c r="A1572" t="n">
        <v>5533</v>
      </c>
      <c r="B1572" t="inlineStr">
        <is>
          <t>皇鼎</t>
        </is>
      </c>
      <c r="C1572" t="n">
        <v>13.95</v>
      </c>
      <c r="D1572" t="n">
        <v>14</v>
      </c>
      <c r="E1572" s="730" t="n">
        <v>0.05</v>
      </c>
      <c r="F1572" s="731" t="n">
        <v>0.36</v>
      </c>
      <c r="G1572" t="inlineStr">
        <is>
          <t>91.1萬</t>
        </is>
      </c>
      <c r="H1572" t="n">
        <v>65</v>
      </c>
      <c r="I1572" t="n">
        <v>104</v>
      </c>
      <c r="J1572" t="n">
        <v>28.52</v>
      </c>
      <c r="K1572" t="n">
        <v>14.05</v>
      </c>
      <c r="L1572" t="n">
        <v>13.95</v>
      </c>
      <c r="M1572" s="155" t="n">
        <v>0.02</v>
      </c>
      <c r="N1572" t="inlineStr">
        <is>
          <t>主要於大台北地區推案的建商</t>
        </is>
      </c>
    </row>
    <row r="1573">
      <c r="A1573" t="n">
        <v>5534</v>
      </c>
      <c r="B1573" t="inlineStr">
        <is>
          <t>長虹</t>
        </is>
      </c>
      <c r="C1573" t="n">
        <v>74.7</v>
      </c>
      <c r="D1573" t="n">
        <v>73.7</v>
      </c>
      <c r="E1573" s="730" t="n">
        <v>-1</v>
      </c>
      <c r="F1573" s="731" t="n">
        <v>-1.34</v>
      </c>
      <c r="G1573" t="inlineStr">
        <is>
          <t>1.60億</t>
        </is>
      </c>
      <c r="H1573" t="n">
        <v>2167</v>
      </c>
      <c r="I1573" t="n">
        <v>993</v>
      </c>
      <c r="J1573" t="n">
        <v>31.53</v>
      </c>
      <c r="K1573" t="n">
        <v>74.7</v>
      </c>
      <c r="L1573" t="n">
        <v>73.5</v>
      </c>
      <c r="M1573" s="155" t="n">
        <v>0.6899999999999999</v>
      </c>
      <c r="N1573" t="inlineStr">
        <is>
          <t>以廠辦及住宅開發案為主之建商</t>
        </is>
      </c>
    </row>
    <row r="1574">
      <c r="A1574" t="n">
        <v>5536</v>
      </c>
      <c r="B1574" t="inlineStr">
        <is>
          <t>聖暉*</t>
        </is>
      </c>
      <c r="C1574" t="n">
        <v>1020</v>
      </c>
      <c r="D1574" t="n">
        <v>998</v>
      </c>
      <c r="E1574" s="730" t="n">
        <v>-7</v>
      </c>
      <c r="F1574" s="731" t="n">
        <v>-0.7</v>
      </c>
      <c r="G1574" t="inlineStr">
        <is>
          <t>10.3億</t>
        </is>
      </c>
      <c r="H1574" t="n">
        <v>1036</v>
      </c>
      <c r="I1574" t="n">
        <v>2465</v>
      </c>
      <c r="J1574" t="n">
        <v>6.2</v>
      </c>
      <c r="K1574" t="n">
        <v>1020</v>
      </c>
      <c r="L1574" t="n">
        <v>971</v>
      </c>
      <c r="M1574" s="155" t="n">
        <v>0.83</v>
      </c>
      <c r="N1574" t="inlineStr">
        <is>
          <t>以無塵室工程為主，並跨足機電系統整合服務廠商</t>
        </is>
      </c>
    </row>
    <row r="1575">
      <c r="A1575" t="n">
        <v>5538</v>
      </c>
      <c r="B1575" t="inlineStr">
        <is>
          <t>東明-KY</t>
        </is>
      </c>
      <c r="C1575" t="n">
        <v>35.8</v>
      </c>
      <c r="D1575" t="n">
        <v>35.8</v>
      </c>
      <c r="E1575" s="730" t="n">
        <v>-0.2</v>
      </c>
      <c r="F1575" s="731" t="n">
        <v>-0.5600000000000001</v>
      </c>
      <c r="G1575" t="inlineStr">
        <is>
          <t>99.8萬</t>
        </is>
      </c>
      <c r="H1575" t="n">
        <v>28</v>
      </c>
      <c r="I1575" t="n">
        <v>44</v>
      </c>
      <c r="J1575" t="n">
        <v>20.12</v>
      </c>
      <c r="K1575" t="n">
        <v>35.9</v>
      </c>
      <c r="L1575" t="n">
        <v>35.4</v>
      </c>
      <c r="M1575" s="155" t="n">
        <v>0.01</v>
      </c>
      <c r="N1575" t="inlineStr">
        <is>
          <t>大陸不鏽鋼緊固件龍頭大廠</t>
        </is>
      </c>
    </row>
    <row r="1576">
      <c r="A1576" t="n">
        <v>5543</v>
      </c>
      <c r="B1576" t="inlineStr">
        <is>
          <t>桓鼎-KY</t>
        </is>
      </c>
      <c r="C1576" t="n">
        <v>29.95</v>
      </c>
      <c r="D1576" t="n">
        <v>29.6</v>
      </c>
      <c r="E1576" s="730" t="n">
        <v>-0.35</v>
      </c>
      <c r="F1576" s="731" t="n">
        <v>-1.17</v>
      </c>
      <c r="G1576" t="inlineStr">
        <is>
          <t>153萬</t>
        </is>
      </c>
      <c r="H1576" t="n">
        <v>52</v>
      </c>
      <c r="I1576" t="n">
        <v>26</v>
      </c>
      <c r="J1576" t="n">
        <v>4.67</v>
      </c>
      <c r="K1576" t="n">
        <v>29.95</v>
      </c>
      <c r="L1576" t="n">
        <v>29.15</v>
      </c>
      <c r="M1576" s="155" t="n">
        <v>0.11</v>
      </c>
      <c r="N1576" t="inlineStr">
        <is>
          <t>亞洲知名金屬龍骨生產廠商</t>
        </is>
      </c>
    </row>
    <row r="1577">
      <c r="A1577" t="n">
        <v>5546</v>
      </c>
      <c r="B1577" t="inlineStr">
        <is>
          <t>永固-KY</t>
        </is>
      </c>
      <c r="C1577" t="n">
        <v>16.8</v>
      </c>
      <c r="D1577" t="n">
        <v>17.05</v>
      </c>
      <c r="E1577" s="730" t="n">
        <v>0.25</v>
      </c>
      <c r="F1577" s="731" t="n">
        <v>1.49</v>
      </c>
      <c r="G1577" t="inlineStr">
        <is>
          <t>79.9萬</t>
        </is>
      </c>
      <c r="H1577" t="n">
        <v>47</v>
      </c>
      <c r="I1577" t="n">
        <v>42</v>
      </c>
      <c r="J1577" t="n">
        <v>8.24</v>
      </c>
      <c r="K1577" t="n">
        <v>17.1</v>
      </c>
      <c r="L1577" t="n">
        <v>16.5</v>
      </c>
      <c r="M1577" s="155" t="n">
        <v>0.06</v>
      </c>
      <c r="N1577" t="inlineStr">
        <is>
          <t>大陸重慶地區預拌混凝土領導廠商</t>
        </is>
      </c>
    </row>
    <row r="1578">
      <c r="A1578" t="n">
        <v>5547</v>
      </c>
      <c r="B1578" t="inlineStr">
        <is>
          <t>久舜</t>
        </is>
      </c>
      <c r="C1578" t="n">
        <v>21.8</v>
      </c>
      <c r="D1578" t="n">
        <v>22.2</v>
      </c>
      <c r="E1578" s="730" t="n">
        <v>0.35</v>
      </c>
      <c r="F1578" s="731" t="n">
        <v>1.6</v>
      </c>
      <c r="G1578" t="inlineStr">
        <is>
          <t>39.9萬</t>
        </is>
      </c>
      <c r="H1578" t="n">
        <v>18</v>
      </c>
      <c r="I1578" t="n">
        <v>25</v>
      </c>
      <c r="J1578" t="n">
        <v>4.53</v>
      </c>
      <c r="K1578" t="n">
        <v>22.5</v>
      </c>
      <c r="L1578" t="n">
        <v>21.8</v>
      </c>
      <c r="M1578" s="155" t="n">
        <v>0.04</v>
      </c>
      <c r="N1578" t="inlineStr">
        <is>
          <t>主要承攬住宅及廠辦及相關工程</t>
        </is>
      </c>
    </row>
    <row r="1579">
      <c r="A1579" t="n">
        <v>5548</v>
      </c>
      <c r="B1579" t="inlineStr">
        <is>
          <t>安倉</t>
        </is>
      </c>
      <c r="C1579" t="n">
        <v>23.25</v>
      </c>
      <c r="D1579" t="n">
        <v>23.25</v>
      </c>
      <c r="E1579" s="730" t="n">
        <v>-0.05</v>
      </c>
      <c r="F1579" s="731" t="n">
        <v>-0.21</v>
      </c>
      <c r="G1579" t="inlineStr">
        <is>
          <t>76.6萬</t>
        </is>
      </c>
      <c r="H1579" t="n">
        <v>33</v>
      </c>
      <c r="I1579" t="n">
        <v>69</v>
      </c>
      <c r="J1579" t="n">
        <v>5.78</v>
      </c>
      <c r="K1579" t="n">
        <v>23.3</v>
      </c>
      <c r="L1579" t="n">
        <v>23.2</v>
      </c>
      <c r="M1579" s="155" t="n">
        <v>0.06</v>
      </c>
      <c r="N1579" t="inlineStr">
        <is>
          <t>承攬政府公共工程的統包公司</t>
        </is>
      </c>
    </row>
    <row r="1580">
      <c r="A1580" t="n">
        <v>5601</v>
      </c>
      <c r="B1580" t="inlineStr">
        <is>
          <t>台聯櫃</t>
        </is>
      </c>
      <c r="C1580" t="n">
        <v>33</v>
      </c>
      <c r="D1580" t="n">
        <v>33.1</v>
      </c>
      <c r="E1580" s="730" t="n">
        <v>0.9</v>
      </c>
      <c r="F1580" s="731" t="n">
        <v>2.8</v>
      </c>
      <c r="G1580" t="inlineStr">
        <is>
          <t>6.61萬</t>
        </is>
      </c>
      <c r="H1580" t="n">
        <v>2</v>
      </c>
      <c r="I1580" t="n">
        <v>31</v>
      </c>
      <c r="J1580" t="n">
        <v>6.48</v>
      </c>
      <c r="K1580" t="n">
        <v>33.1</v>
      </c>
      <c r="L1580" t="n">
        <v>33</v>
      </c>
      <c r="M1580" s="155" t="n">
        <v>0</v>
      </c>
      <c r="N1580" t="inlineStr">
        <is>
          <t>台灣經營貨櫃集散站之業者</t>
        </is>
      </c>
    </row>
    <row r="1581">
      <c r="A1581" t="n">
        <v>5603</v>
      </c>
      <c r="B1581" t="inlineStr">
        <is>
          <t>陸海</t>
        </is>
      </c>
      <c r="C1581" t="n">
        <v>15.25</v>
      </c>
      <c r="D1581" t="n">
        <v>15.15</v>
      </c>
      <c r="E1581" s="730" t="n">
        <v>-0.1</v>
      </c>
      <c r="F1581" s="731" t="n">
        <v>-0.66</v>
      </c>
      <c r="G1581" t="inlineStr">
        <is>
          <t>158萬</t>
        </is>
      </c>
      <c r="H1581" t="n">
        <v>105</v>
      </c>
      <c r="I1581" t="n">
        <v>203</v>
      </c>
      <c r="J1581" t="n">
        <v>10.49</v>
      </c>
      <c r="K1581" t="n">
        <v>15.25</v>
      </c>
      <c r="L1581" t="n">
        <v>14.95</v>
      </c>
      <c r="M1581" s="155" t="n">
        <v>0.1</v>
      </c>
      <c r="N1581" t="inlineStr">
        <is>
          <t>從事內陸貨櫃運輸、裝卸及重機件運輸、吊裝業務之業者</t>
        </is>
      </c>
    </row>
    <row r="1582">
      <c r="A1582" t="n">
        <v>5604</v>
      </c>
      <c r="B1582" t="inlineStr">
        <is>
          <t>中連</t>
        </is>
      </c>
      <c r="C1582" t="n">
        <v>30.8</v>
      </c>
      <c r="D1582" t="n">
        <v>30.75</v>
      </c>
      <c r="E1582" s="730" t="n">
        <v>-0.05</v>
      </c>
      <c r="F1582" s="731" t="n">
        <v>-0.16</v>
      </c>
      <c r="G1582" t="inlineStr">
        <is>
          <t>135萬</t>
        </is>
      </c>
      <c r="H1582" t="n">
        <v>44</v>
      </c>
      <c r="I1582" t="n">
        <v>37</v>
      </c>
      <c r="J1582" t="n">
        <v>10.88</v>
      </c>
      <c r="K1582" t="n">
        <v>30.8</v>
      </c>
      <c r="L1582" t="n">
        <v>30.6</v>
      </c>
      <c r="M1582" s="155" t="n">
        <v>0.04</v>
      </c>
      <c r="N1582" t="inlineStr">
        <is>
          <t>從事工業用不動產租賃業務</t>
        </is>
      </c>
    </row>
    <row r="1583">
      <c r="A1583" t="n">
        <v>5607</v>
      </c>
      <c r="B1583" t="inlineStr">
        <is>
          <t>遠雄港</t>
        </is>
      </c>
      <c r="C1583" t="n">
        <v>52.6</v>
      </c>
      <c r="D1583" t="n">
        <v>51.3</v>
      </c>
      <c r="E1583" s="730" t="n">
        <v>-0.5</v>
      </c>
      <c r="F1583" s="731" t="n">
        <v>-0.97</v>
      </c>
      <c r="G1583" t="inlineStr">
        <is>
          <t>4191萬</t>
        </is>
      </c>
      <c r="H1583" t="n">
        <v>814</v>
      </c>
      <c r="I1583" t="n">
        <v>820</v>
      </c>
      <c r="J1583" t="n">
        <v>37.06</v>
      </c>
      <c r="K1583" t="n">
        <v>52.6</v>
      </c>
      <c r="L1583" t="n">
        <v>51</v>
      </c>
      <c r="M1583" s="155" t="n">
        <v>0.22</v>
      </c>
      <c r="N1583" t="inlineStr">
        <is>
          <t>一家控股公司，並經營海、陸、空聯運之自由貿易港區</t>
        </is>
      </c>
    </row>
    <row r="1584">
      <c r="A1584" t="n">
        <v>5608</v>
      </c>
      <c r="B1584" t="inlineStr">
        <is>
          <t>四維航</t>
        </is>
      </c>
      <c r="C1584" t="n">
        <v>15</v>
      </c>
      <c r="D1584" t="n">
        <v>14.75</v>
      </c>
      <c r="E1584" s="730" t="n">
        <v>-0.25</v>
      </c>
      <c r="F1584" s="731" t="n">
        <v>-1.67</v>
      </c>
      <c r="G1584" t="inlineStr">
        <is>
          <t>3538萬</t>
        </is>
      </c>
      <c r="H1584" t="n">
        <v>2409</v>
      </c>
      <c r="I1584" t="n">
        <v>2014</v>
      </c>
      <c r="J1584" t="n">
        <v>38.93</v>
      </c>
      <c r="K1584" t="n">
        <v>15</v>
      </c>
      <c r="L1584" t="n">
        <v>14.5</v>
      </c>
      <c r="M1584" s="155" t="n">
        <v>0.62</v>
      </c>
      <c r="N1584" t="inlineStr">
        <is>
          <t>以輕型散裝船為主的散裝航運業者</t>
        </is>
      </c>
    </row>
    <row r="1585">
      <c r="A1585" t="n">
        <v>5609</v>
      </c>
      <c r="B1585" t="inlineStr">
        <is>
          <t>中菲行</t>
        </is>
      </c>
      <c r="C1585" t="n">
        <v>81.40000000000001</v>
      </c>
      <c r="D1585" t="n">
        <v>81.5</v>
      </c>
      <c r="E1585" s="730" t="n">
        <v>0.2</v>
      </c>
      <c r="F1585" s="731" t="n">
        <v>0.25</v>
      </c>
      <c r="G1585" t="inlineStr">
        <is>
          <t>2218萬</t>
        </is>
      </c>
      <c r="H1585" t="n">
        <v>273</v>
      </c>
      <c r="I1585" t="n">
        <v>256</v>
      </c>
      <c r="J1585" t="n">
        <v>14.29</v>
      </c>
      <c r="K1585" t="n">
        <v>81.59999999999999</v>
      </c>
      <c r="L1585" t="n">
        <v>81</v>
      </c>
      <c r="M1585" s="155" t="n">
        <v>0.19</v>
      </c>
      <c r="N1585" t="inlineStr">
        <is>
          <t>台灣空運及海運貨運承攬商</t>
        </is>
      </c>
    </row>
    <row r="1586">
      <c r="A1586" t="n">
        <v>5701</v>
      </c>
      <c r="B1586" t="inlineStr">
        <is>
          <t>劍湖山</t>
        </is>
      </c>
      <c r="C1586" t="n">
        <v>4.84</v>
      </c>
      <c r="D1586" t="n">
        <v>4.84</v>
      </c>
      <c r="E1586" s="730" t="n">
        <v>0.44</v>
      </c>
      <c r="F1586" s="731" t="n">
        <v>10</v>
      </c>
      <c r="G1586" t="inlineStr">
        <is>
          <t>222萬</t>
        </is>
      </c>
      <c r="H1586" t="n">
        <v>460</v>
      </c>
      <c r="I1586" t="n">
        <v>212</v>
      </c>
      <c r="J1586" t="n">
        <v>14.3</v>
      </c>
      <c r="K1586" t="n">
        <v>4.84</v>
      </c>
      <c r="L1586" t="n">
        <v>4.84</v>
      </c>
      <c r="M1586" s="155" t="n">
        <v>0.32</v>
      </c>
      <c r="N1586" t="inlineStr">
        <is>
          <t>台灣中部地區遊樂園、百貨及飯店業者</t>
        </is>
      </c>
    </row>
    <row r="1587">
      <c r="A1587" t="n">
        <v>5703</v>
      </c>
      <c r="B1587" t="inlineStr">
        <is>
          <t>亞都</t>
        </is>
      </c>
      <c r="C1587" t="n">
        <v>13.85</v>
      </c>
      <c r="D1587" t="n">
        <v>13.85</v>
      </c>
      <c r="E1587" s="730" t="n">
        <v>0</v>
      </c>
      <c r="F1587" s="731" t="n">
        <v>0</v>
      </c>
      <c r="G1587" t="inlineStr">
        <is>
          <t>1.39萬</t>
        </is>
      </c>
      <c r="H1587" t="n">
        <v>1</v>
      </c>
      <c r="I1587" t="n">
        <v>6</v>
      </c>
      <c r="J1587" t="n">
        <v>7.02</v>
      </c>
      <c r="K1587" t="n">
        <v>13.85</v>
      </c>
      <c r="L1587" t="n">
        <v>13.85</v>
      </c>
      <c r="M1587" s="155" t="n">
        <v>0</v>
      </c>
      <c r="N1587" t="inlineStr">
        <is>
          <t>位於台北中山區之5星級飯店</t>
        </is>
      </c>
    </row>
    <row r="1588">
      <c r="A1588" t="n">
        <v>5704</v>
      </c>
      <c r="B1588" t="inlineStr">
        <is>
          <t>老爺知</t>
        </is>
      </c>
      <c r="C1588" t="n">
        <v>21.3</v>
      </c>
      <c r="D1588" t="n">
        <v>21.25</v>
      </c>
      <c r="E1588" s="730" t="n">
        <v>0.1</v>
      </c>
      <c r="F1588" s="731" t="n">
        <v>0.47</v>
      </c>
      <c r="G1588" t="inlineStr">
        <is>
          <t>101萬</t>
        </is>
      </c>
      <c r="H1588" t="n">
        <v>48</v>
      </c>
      <c r="I1588" t="n">
        <v>25</v>
      </c>
      <c r="J1588" t="n">
        <v>5.89</v>
      </c>
      <c r="K1588" t="n">
        <v>21.3</v>
      </c>
      <c r="L1588" t="n">
        <v>20.9</v>
      </c>
      <c r="M1588" s="155" t="n">
        <v>0.08</v>
      </c>
      <c r="N1588" t="inlineStr">
        <is>
          <t>老爺酒店集團旗下，位於台東知本之溫泉飯店</t>
        </is>
      </c>
    </row>
    <row r="1589">
      <c r="A1589" t="n">
        <v>5706</v>
      </c>
      <c r="B1589" t="inlineStr">
        <is>
          <t>鳳凰</t>
        </is>
      </c>
      <c r="C1589" t="n">
        <v>52.3</v>
      </c>
      <c r="D1589" t="n">
        <v>52.5</v>
      </c>
      <c r="E1589" s="730" t="n">
        <v>0.9</v>
      </c>
      <c r="F1589" s="731" t="n">
        <v>1.74</v>
      </c>
      <c r="G1589" t="inlineStr">
        <is>
          <t>3497萬</t>
        </is>
      </c>
      <c r="H1589" t="n">
        <v>668</v>
      </c>
      <c r="I1589" t="n">
        <v>341</v>
      </c>
      <c r="J1589" t="n">
        <v>8.49</v>
      </c>
      <c r="K1589" t="n">
        <v>52.8</v>
      </c>
      <c r="L1589" t="n">
        <v>52</v>
      </c>
      <c r="M1589" s="155" t="n">
        <v>0.79</v>
      </c>
      <c r="N1589" t="inlineStr">
        <is>
          <t>台灣首家上市旅行社，提供國內外全方位旅遊產品</t>
        </is>
      </c>
    </row>
    <row r="1590">
      <c r="A1590" t="n">
        <v>5864</v>
      </c>
      <c r="B1590" t="inlineStr">
        <is>
          <t>致和證</t>
        </is>
      </c>
      <c r="C1590" t="n">
        <v>43.35</v>
      </c>
      <c r="D1590" t="n">
        <v>45.4</v>
      </c>
      <c r="E1590" s="730" t="n">
        <v>2</v>
      </c>
      <c r="F1590" s="731" t="n">
        <v>4.61</v>
      </c>
      <c r="G1590" t="inlineStr">
        <is>
          <t>4.85億</t>
        </is>
      </c>
      <c r="H1590" t="n">
        <v>10948</v>
      </c>
      <c r="I1590" t="n">
        <v>12876</v>
      </c>
      <c r="J1590" t="n">
        <v>45.45</v>
      </c>
      <c r="K1590" t="n">
        <v>46.3</v>
      </c>
      <c r="L1590" t="n">
        <v>42.3</v>
      </c>
      <c r="M1590" s="155" t="n">
        <v>2.41</v>
      </c>
      <c r="N1590" t="inlineStr">
        <is>
          <t>總部位於台南之券商</t>
        </is>
      </c>
    </row>
    <row r="1591">
      <c r="A1591" t="n">
        <v>5871</v>
      </c>
      <c r="B1591" t="inlineStr">
        <is>
          <t>中租-KY</t>
        </is>
      </c>
      <c r="C1591" t="n">
        <v>108.5</v>
      </c>
      <c r="D1591" t="n">
        <v>114.5</v>
      </c>
      <c r="E1591" s="730" t="n">
        <v>6</v>
      </c>
      <c r="F1591" s="731" t="n">
        <v>5.53</v>
      </c>
      <c r="G1591" t="inlineStr">
        <is>
          <t>28.0億</t>
        </is>
      </c>
      <c r="H1591" t="n">
        <v>24763</v>
      </c>
      <c r="I1591" t="n">
        <v>12010</v>
      </c>
      <c r="J1591" t="n">
        <v>171.14</v>
      </c>
      <c r="K1591" t="n">
        <v>115</v>
      </c>
      <c r="L1591" t="n">
        <v>108</v>
      </c>
      <c r="M1591" s="155" t="n">
        <v>1.45</v>
      </c>
      <c r="N1591" t="inlineStr">
        <is>
          <t>台灣租賃業龍頭公司</t>
        </is>
      </c>
    </row>
    <row r="1592">
      <c r="A1592" t="n">
        <v>5876</v>
      </c>
      <c r="B1592" t="inlineStr">
        <is>
          <t>上海商銀</t>
        </is>
      </c>
      <c r="C1592" t="n">
        <v>39.8</v>
      </c>
      <c r="D1592" t="n">
        <v>41</v>
      </c>
      <c r="E1592" s="730" t="n">
        <v>1.2</v>
      </c>
      <c r="F1592" s="731" t="n">
        <v>3.02</v>
      </c>
      <c r="G1592" t="inlineStr">
        <is>
          <t>9.02億</t>
        </is>
      </c>
      <c r="H1592" t="n">
        <v>22219</v>
      </c>
      <c r="I1592" t="n">
        <v>16438</v>
      </c>
      <c r="J1592" t="n">
        <v>486.16</v>
      </c>
      <c r="K1592" t="n">
        <v>41</v>
      </c>
      <c r="L1592" t="n">
        <v>39.75</v>
      </c>
      <c r="M1592" s="155" t="n">
        <v>0.46</v>
      </c>
      <c r="N1592" t="inlineStr">
        <is>
          <t>唯一自大陸遷台復業的民營銀行</t>
        </is>
      </c>
    </row>
    <row r="1593">
      <c r="A1593" t="n">
        <v>5878</v>
      </c>
      <c r="B1593" t="inlineStr">
        <is>
          <t>台名</t>
        </is>
      </c>
      <c r="C1593" t="n">
        <v>40.75</v>
      </c>
      <c r="D1593" t="n">
        <v>41.3</v>
      </c>
      <c r="E1593" s="730" t="n">
        <v>0.5</v>
      </c>
      <c r="F1593" s="731" t="n">
        <v>1.23</v>
      </c>
      <c r="G1593" t="inlineStr">
        <is>
          <t>148萬</t>
        </is>
      </c>
      <c r="H1593" t="n">
        <v>36</v>
      </c>
      <c r="I1593" t="n">
        <v>17</v>
      </c>
      <c r="J1593" t="n">
        <v>2.5</v>
      </c>
      <c r="K1593" t="n">
        <v>41.3</v>
      </c>
      <c r="L1593" t="n">
        <v>40.75</v>
      </c>
      <c r="M1593" s="155" t="n">
        <v>0.14</v>
      </c>
      <c r="N1593" t="inlineStr">
        <is>
          <t>台灣前三大之保險經紀公司</t>
        </is>
      </c>
    </row>
    <row r="1594">
      <c r="A1594" t="n">
        <v>5880</v>
      </c>
      <c r="B1594" t="inlineStr">
        <is>
          <t>合庫金</t>
        </is>
      </c>
      <c r="C1594" t="n">
        <v>22.8</v>
      </c>
      <c r="D1594" t="n">
        <v>23.05</v>
      </c>
      <c r="E1594" s="730" t="n">
        <v>0.2</v>
      </c>
      <c r="F1594" s="731" t="n">
        <v>0.88</v>
      </c>
      <c r="G1594" t="inlineStr">
        <is>
          <t>7.27億</t>
        </is>
      </c>
      <c r="H1594" t="n">
        <v>31722</v>
      </c>
      <c r="I1594" t="n">
        <v>30498</v>
      </c>
      <c r="J1594" t="n">
        <v>1568.09</v>
      </c>
      <c r="K1594" t="n">
        <v>23.1</v>
      </c>
      <c r="L1594" t="n">
        <v>22.7</v>
      </c>
      <c r="M1594" s="155" t="n">
        <v>0.2</v>
      </c>
      <c r="N1594" t="inlineStr">
        <is>
          <t>具有國營背景的金控公司，金融資產規模排名前六大</t>
        </is>
      </c>
    </row>
    <row r="1595">
      <c r="A1595" t="n">
        <v>5902</v>
      </c>
      <c r="B1595" t="inlineStr">
        <is>
          <t>德記</t>
        </is>
      </c>
      <c r="C1595" t="n">
        <v>34.45</v>
      </c>
      <c r="D1595" t="n">
        <v>34.2</v>
      </c>
      <c r="E1595" s="730" t="n">
        <v>-0.25</v>
      </c>
      <c r="F1595" s="731" t="n">
        <v>-0.73</v>
      </c>
      <c r="G1595" t="inlineStr">
        <is>
          <t>438萬</t>
        </is>
      </c>
      <c r="H1595" t="n">
        <v>129</v>
      </c>
      <c r="I1595" t="n">
        <v>235</v>
      </c>
      <c r="J1595" t="n">
        <v>9.449999999999999</v>
      </c>
      <c r="K1595" t="n">
        <v>34.45</v>
      </c>
      <c r="L1595" t="n">
        <v>33.4</v>
      </c>
      <c r="M1595" s="155" t="n">
        <v>0.14</v>
      </c>
      <c r="N1595" t="inlineStr">
        <is>
          <t>統一集團旗下貿易商，擁有自有品牌「開喜」系列茶飲</t>
        </is>
      </c>
    </row>
    <row r="1596">
      <c r="A1596" t="n">
        <v>5903</v>
      </c>
      <c r="B1596" t="inlineStr">
        <is>
          <t>全家</t>
        </is>
      </c>
      <c r="C1596" t="n">
        <v>187</v>
      </c>
      <c r="D1596" t="n">
        <v>187</v>
      </c>
      <c r="E1596" s="730" t="n">
        <v>0</v>
      </c>
      <c r="F1596" s="731" t="n">
        <v>0</v>
      </c>
      <c r="G1596" t="inlineStr">
        <is>
          <t>971萬</t>
        </is>
      </c>
      <c r="H1596" t="n">
        <v>52</v>
      </c>
      <c r="I1596" t="n">
        <v>56</v>
      </c>
      <c r="J1596" t="n">
        <v>22.32</v>
      </c>
      <c r="K1596" t="n">
        <v>187</v>
      </c>
      <c r="L1596" t="n">
        <v>186</v>
      </c>
      <c r="M1596" s="155" t="n">
        <v>0.02</v>
      </c>
      <c r="N1596" t="inlineStr">
        <is>
          <t>台灣第二大連鎖便利商店</t>
        </is>
      </c>
    </row>
    <row r="1597">
      <c r="A1597" t="n">
        <v>5904</v>
      </c>
      <c r="B1597" t="inlineStr">
        <is>
          <t>寶雅</t>
        </is>
      </c>
      <c r="C1597" t="n">
        <v>570</v>
      </c>
      <c r="D1597" t="n">
        <v>568</v>
      </c>
      <c r="E1597" s="730" t="n">
        <v>-1</v>
      </c>
      <c r="F1597" s="731" t="n">
        <v>-0.18</v>
      </c>
      <c r="G1597" t="inlineStr">
        <is>
          <t>8119萬</t>
        </is>
      </c>
      <c r="H1597" t="n">
        <v>143</v>
      </c>
      <c r="I1597" t="n">
        <v>301</v>
      </c>
      <c r="J1597" t="n">
        <v>10.64</v>
      </c>
      <c r="K1597" t="n">
        <v>572</v>
      </c>
      <c r="L1597" t="n">
        <v>564</v>
      </c>
      <c r="M1597" s="155" t="n">
        <v>0.13</v>
      </c>
      <c r="N1597" t="inlineStr">
        <is>
          <t>台灣美妝及生活用品百貨龍頭</t>
        </is>
      </c>
    </row>
    <row r="1598">
      <c r="A1598" t="n">
        <v>5905</v>
      </c>
      <c r="B1598" t="inlineStr">
        <is>
          <t>南仁湖</t>
        </is>
      </c>
      <c r="C1598" t="n">
        <v>7.91</v>
      </c>
      <c r="D1598" t="n">
        <v>8</v>
      </c>
      <c r="E1598" s="730" t="n">
        <v>0.14</v>
      </c>
      <c r="F1598" s="731" t="n">
        <v>1.78</v>
      </c>
      <c r="G1598" t="inlineStr">
        <is>
          <t>569萬</t>
        </is>
      </c>
      <c r="H1598" t="n">
        <v>720</v>
      </c>
      <c r="I1598" t="n">
        <v>639</v>
      </c>
      <c r="J1598" t="n">
        <v>28.16</v>
      </c>
      <c r="K1598" t="n">
        <v>8</v>
      </c>
      <c r="L1598" t="n">
        <v>7.89</v>
      </c>
      <c r="M1598" s="155" t="n">
        <v>0.26</v>
      </c>
      <c r="N1598" t="inlineStr">
        <is>
          <t>高速公路休息站及海生館、小墾丁渡假村之經營業者</t>
        </is>
      </c>
    </row>
    <row r="1599">
      <c r="A1599" t="n">
        <v>5906</v>
      </c>
      <c r="B1599" t="inlineStr">
        <is>
          <t>台南-KY</t>
        </is>
      </c>
      <c r="C1599" t="n">
        <v>46.85</v>
      </c>
      <c r="D1599" t="n">
        <v>47</v>
      </c>
      <c r="E1599" s="730" t="n">
        <v>0</v>
      </c>
      <c r="F1599" s="731" t="n">
        <v>0</v>
      </c>
      <c r="G1599" t="inlineStr">
        <is>
          <t>18.6萬</t>
        </is>
      </c>
      <c r="H1599" t="n">
        <v>4</v>
      </c>
      <c r="I1599" t="n">
        <v>2</v>
      </c>
      <c r="J1599" t="n">
        <v>3.57</v>
      </c>
      <c r="K1599" t="n">
        <v>47</v>
      </c>
      <c r="L1599" t="n">
        <v>45.25</v>
      </c>
      <c r="M1599" s="155" t="n">
        <v>0.01</v>
      </c>
      <c r="N1599" t="inlineStr">
        <is>
          <t>代理FILA、Reebok品牌</t>
        </is>
      </c>
    </row>
    <row r="1600">
      <c r="A1600" t="n">
        <v>5907</v>
      </c>
      <c r="B1600" t="inlineStr">
        <is>
          <t>大洋-KY</t>
        </is>
      </c>
      <c r="C1600" t="n">
        <v>5.01</v>
      </c>
      <c r="D1600" t="n">
        <v>5.09</v>
      </c>
      <c r="E1600" s="730" t="n">
        <v>0.02</v>
      </c>
      <c r="F1600" s="731" t="n">
        <v>0.39</v>
      </c>
      <c r="G1600" t="inlineStr">
        <is>
          <t>137萬</t>
        </is>
      </c>
      <c r="H1600" t="n">
        <v>271</v>
      </c>
      <c r="I1600" t="n">
        <v>331</v>
      </c>
      <c r="J1600" t="n">
        <v>19.55</v>
      </c>
      <c r="K1600" t="n">
        <v>5.09</v>
      </c>
      <c r="L1600" t="n">
        <v>5.01</v>
      </c>
      <c r="M1600" s="155" t="n">
        <v>0.14</v>
      </c>
      <c r="N1600" t="inlineStr">
        <is>
          <t>益航轉投資在大陸從事百貨零售之企業</t>
        </is>
      </c>
    </row>
    <row r="1601">
      <c r="A1601" t="n">
        <v>6005</v>
      </c>
      <c r="B1601" t="inlineStr">
        <is>
          <t>群益證</t>
        </is>
      </c>
      <c r="C1601" t="n">
        <v>39.55</v>
      </c>
      <c r="D1601" t="n">
        <v>41.25</v>
      </c>
      <c r="E1601" s="730" t="n">
        <v>1.65</v>
      </c>
      <c r="F1601" s="731" t="n">
        <v>4.17</v>
      </c>
      <c r="G1601" t="inlineStr">
        <is>
          <t>8.72億</t>
        </is>
      </c>
      <c r="H1601" t="n">
        <v>21708</v>
      </c>
      <c r="I1601" t="n">
        <v>19152</v>
      </c>
      <c r="J1601" t="n">
        <v>217.09</v>
      </c>
      <c r="K1601" t="n">
        <v>41.25</v>
      </c>
      <c r="L1601" t="n">
        <v>39</v>
      </c>
      <c r="M1601" s="155" t="n">
        <v>1</v>
      </c>
      <c r="N1601" t="inlineStr">
        <is>
          <t>台灣證券經紀市佔排名前五大之獨立券商</t>
        </is>
      </c>
    </row>
    <row r="1602">
      <c r="A1602" t="n">
        <v>6015</v>
      </c>
      <c r="B1602" t="inlineStr">
        <is>
          <t>宏遠證</t>
        </is>
      </c>
      <c r="C1602" t="n">
        <v>19.75</v>
      </c>
      <c r="D1602" t="n">
        <v>20.85</v>
      </c>
      <c r="E1602" s="730" t="n">
        <v>1.1</v>
      </c>
      <c r="F1602" s="731" t="n">
        <v>5.57</v>
      </c>
      <c r="G1602" t="inlineStr">
        <is>
          <t>1.96億</t>
        </is>
      </c>
      <c r="H1602" t="n">
        <v>9669</v>
      </c>
      <c r="I1602" t="n">
        <v>10829</v>
      </c>
      <c r="J1602" t="n">
        <v>39.99</v>
      </c>
      <c r="K1602" t="n">
        <v>20.95</v>
      </c>
      <c r="L1602" t="n">
        <v>19.4</v>
      </c>
      <c r="M1602" s="155" t="n">
        <v>2.46</v>
      </c>
      <c r="N1602" t="inlineStr">
        <is>
          <t>三商壽轉投資的中小型券商</t>
        </is>
      </c>
    </row>
    <row r="1603">
      <c r="A1603" t="n">
        <v>6016</v>
      </c>
      <c r="B1603" t="inlineStr">
        <is>
          <t>康和證</t>
        </is>
      </c>
      <c r="C1603" t="n">
        <v>30</v>
      </c>
      <c r="D1603" t="n">
        <v>32.5</v>
      </c>
      <c r="E1603" s="730" t="n">
        <v>2.3</v>
      </c>
      <c r="F1603" s="731" t="n">
        <v>7.62</v>
      </c>
      <c r="G1603" t="inlineStr">
        <is>
          <t>6.47億</t>
        </is>
      </c>
      <c r="H1603" t="n">
        <v>20629</v>
      </c>
      <c r="I1603" t="n">
        <v>23528</v>
      </c>
      <c r="J1603" t="n">
        <v>68.66</v>
      </c>
      <c r="K1603" t="n">
        <v>32.9</v>
      </c>
      <c r="L1603" t="n">
        <v>29.75</v>
      </c>
      <c r="M1603" s="155" t="n">
        <v>3</v>
      </c>
      <c r="N1603" t="inlineStr">
        <is>
          <t>台灣綜合型證券商，其中期貨業務市占排名前十大</t>
        </is>
      </c>
    </row>
    <row r="1604">
      <c r="A1604" t="n">
        <v>6020</v>
      </c>
      <c r="B1604" t="inlineStr">
        <is>
          <t>大展證</t>
        </is>
      </c>
      <c r="C1604" t="n">
        <v>24.05</v>
      </c>
      <c r="D1604" t="n">
        <v>23.8</v>
      </c>
      <c r="E1604" s="730" t="n">
        <v>-0.3</v>
      </c>
      <c r="F1604" s="731" t="n">
        <v>-1.24</v>
      </c>
      <c r="G1604" t="inlineStr">
        <is>
          <t>565萬</t>
        </is>
      </c>
      <c r="H1604" t="n">
        <v>235</v>
      </c>
      <c r="I1604" t="n">
        <v>159</v>
      </c>
      <c r="J1604" t="n">
        <v>25.24</v>
      </c>
      <c r="K1604" t="n">
        <v>24.75</v>
      </c>
      <c r="L1604" t="n">
        <v>23.55</v>
      </c>
      <c r="M1604" s="155" t="n">
        <v>0.09</v>
      </c>
      <c r="N1604" t="inlineStr">
        <is>
          <t>以大台北地區為營運的區域型券商</t>
        </is>
      </c>
    </row>
    <row r="1605">
      <c r="A1605" t="n">
        <v>6021</v>
      </c>
      <c r="B1605" t="inlineStr">
        <is>
          <t>美好證</t>
        </is>
      </c>
      <c r="C1605" t="n">
        <v>37.7</v>
      </c>
      <c r="D1605" t="n">
        <v>39.45</v>
      </c>
      <c r="E1605" s="730" t="n">
        <v>1.8</v>
      </c>
      <c r="F1605" s="731" t="n">
        <v>4.78</v>
      </c>
      <c r="G1605" t="inlineStr">
        <is>
          <t>3309萬</t>
        </is>
      </c>
      <c r="H1605" t="n">
        <v>864</v>
      </c>
      <c r="I1605" t="n">
        <v>598</v>
      </c>
      <c r="J1605" t="n">
        <v>31.22</v>
      </c>
      <c r="K1605" t="n">
        <v>39.95</v>
      </c>
      <c r="L1605" t="n">
        <v>37.35</v>
      </c>
      <c r="M1605" s="155" t="n">
        <v>0.28</v>
      </c>
      <c r="N1605" t="inlineStr">
        <is>
          <t>台灣一家綜合型券商</t>
        </is>
      </c>
    </row>
    <row r="1606">
      <c r="A1606" t="n">
        <v>6023</v>
      </c>
      <c r="B1606" t="inlineStr">
        <is>
          <t>元大期</t>
        </is>
      </c>
      <c r="C1606" t="n">
        <v>100</v>
      </c>
      <c r="D1606" t="n">
        <v>100</v>
      </c>
      <c r="E1606" s="730" t="n">
        <v>0</v>
      </c>
      <c r="F1606" s="731" t="n">
        <v>0</v>
      </c>
      <c r="G1606" t="inlineStr">
        <is>
          <t>1189萬</t>
        </is>
      </c>
      <c r="H1606" t="n">
        <v>119</v>
      </c>
      <c r="I1606" t="n">
        <v>253</v>
      </c>
      <c r="J1606" t="n">
        <v>32</v>
      </c>
      <c r="K1606" t="n">
        <v>100</v>
      </c>
      <c r="L1606" t="n">
        <v>99.40000000000001</v>
      </c>
      <c r="M1606" s="155" t="n">
        <v>0.04</v>
      </c>
      <c r="N1606" t="inlineStr">
        <is>
          <t>台灣期貨龍頭企業，屬元大集團</t>
        </is>
      </c>
    </row>
    <row r="1607">
      <c r="A1607" t="n">
        <v>6024</v>
      </c>
      <c r="B1607" t="inlineStr">
        <is>
          <t>群益期</t>
        </is>
      </c>
      <c r="C1607" t="n">
        <v>58.2</v>
      </c>
      <c r="D1607" t="n">
        <v>58.5</v>
      </c>
      <c r="E1607" s="730" t="n">
        <v>0.3</v>
      </c>
      <c r="F1607" s="731" t="n">
        <v>0.52</v>
      </c>
      <c r="G1607" t="inlineStr">
        <is>
          <t>2129萬</t>
        </is>
      </c>
      <c r="H1607" t="n">
        <v>367</v>
      </c>
      <c r="I1607" t="n">
        <v>475</v>
      </c>
      <c r="J1607" t="n">
        <v>24.99</v>
      </c>
      <c r="K1607" t="n">
        <v>58.5</v>
      </c>
      <c r="L1607" t="n">
        <v>57.7</v>
      </c>
      <c r="M1607" s="155" t="n">
        <v>0.15</v>
      </c>
      <c r="N1607" t="inlineStr">
        <is>
          <t>群益金融集團旗下的期貨公司，台灣市場排名前三大</t>
        </is>
      </c>
    </row>
    <row r="1608">
      <c r="A1608" t="n">
        <v>6026</v>
      </c>
      <c r="B1608" t="inlineStr">
        <is>
          <t>福邦證</t>
        </is>
      </c>
      <c r="C1608" t="n">
        <v>17.45</v>
      </c>
      <c r="D1608" t="n">
        <v>17.8</v>
      </c>
      <c r="E1608" s="730" t="n">
        <v>0.5</v>
      </c>
      <c r="F1608" s="731" t="n">
        <v>2.89</v>
      </c>
      <c r="G1608" t="inlineStr">
        <is>
          <t>2.00億</t>
        </is>
      </c>
      <c r="H1608" t="n">
        <v>11487</v>
      </c>
      <c r="I1608" t="n">
        <v>6517</v>
      </c>
      <c r="J1608" t="n">
        <v>39.62</v>
      </c>
      <c r="K1608" t="n">
        <v>18</v>
      </c>
      <c r="L1608" t="n">
        <v>17.05</v>
      </c>
      <c r="M1608" s="155" t="n">
        <v>2.9</v>
      </c>
      <c r="N1608" t="inlineStr">
        <is>
          <t>台灣小型綜合型上券商，以承銷及資產管理為重心</t>
        </is>
      </c>
    </row>
    <row r="1609">
      <c r="A1609" t="n">
        <v>6028</v>
      </c>
      <c r="B1609" t="inlineStr">
        <is>
          <t>公勝保經</t>
        </is>
      </c>
      <c r="C1609" t="n">
        <v>79.40000000000001</v>
      </c>
      <c r="D1609" t="n">
        <v>78.8</v>
      </c>
      <c r="E1609" s="730" t="n">
        <v>-0.3</v>
      </c>
      <c r="F1609" s="731" t="n">
        <v>-0.38</v>
      </c>
      <c r="G1609" t="inlineStr">
        <is>
          <t>253萬</t>
        </is>
      </c>
      <c r="H1609" t="n">
        <v>32</v>
      </c>
      <c r="I1609" t="n">
        <v>21</v>
      </c>
      <c r="J1609" t="n">
        <v>2.5</v>
      </c>
      <c r="K1609" t="n">
        <v>79.5</v>
      </c>
      <c r="L1609" t="n">
        <v>78.7</v>
      </c>
      <c r="M1609" s="155" t="n">
        <v>0.13</v>
      </c>
      <c r="N1609" t="inlineStr">
        <is>
          <t>台灣首批成立的保險經紀公司</t>
        </is>
      </c>
    </row>
    <row r="1610">
      <c r="A1610" t="n">
        <v>6101</v>
      </c>
      <c r="B1610" t="inlineStr">
        <is>
          <t>寬魚國際</t>
        </is>
      </c>
      <c r="C1610" t="n">
        <v>40.55</v>
      </c>
      <c r="D1610" t="n">
        <v>40.7</v>
      </c>
      <c r="E1610" s="730" t="n">
        <v>0.45</v>
      </c>
      <c r="F1610" s="731" t="n">
        <v>1.12</v>
      </c>
      <c r="G1610" t="inlineStr">
        <is>
          <t>2966萬</t>
        </is>
      </c>
      <c r="H1610" t="n">
        <v>721</v>
      </c>
      <c r="I1610" t="n">
        <v>560</v>
      </c>
      <c r="J1610" t="n">
        <v>11.53</v>
      </c>
      <c r="K1610" t="n">
        <v>42.2</v>
      </c>
      <c r="L1610" t="n">
        <v>40.4</v>
      </c>
      <c r="M1610" s="155" t="n">
        <v>0.63</v>
      </c>
      <c r="N1610" t="inlineStr">
        <is>
          <t>從事流行音樂商演、活動賽事舉辦等業務</t>
        </is>
      </c>
    </row>
    <row r="1611">
      <c r="A1611" t="n">
        <v>6103</v>
      </c>
      <c r="B1611" t="inlineStr">
        <is>
          <t>合邦</t>
        </is>
      </c>
      <c r="C1611" t="inlineStr">
        <is>
          <t>--</t>
        </is>
      </c>
      <c r="D1611" t="inlineStr">
        <is>
          <t>--</t>
        </is>
      </c>
      <c r="E1611" s="730" t="inlineStr">
        <is>
          <t>--</t>
        </is>
      </c>
      <c r="F1611" s="731" t="inlineStr">
        <is>
          <t>--</t>
        </is>
      </c>
      <c r="G1611" t="inlineStr">
        <is>
          <t>--</t>
        </is>
      </c>
      <c r="H1611" t="n">
        <v>0</v>
      </c>
      <c r="I1611" t="n">
        <v>3</v>
      </c>
      <c r="J1611" t="n">
        <v>1.36</v>
      </c>
      <c r="K1611" t="inlineStr">
        <is>
          <t>--</t>
        </is>
      </c>
      <c r="L1611" t="inlineStr">
        <is>
          <t>--</t>
        </is>
      </c>
      <c r="M1611" s="155" t="n">
        <v>0</v>
      </c>
      <c r="N1611" t="inlineStr">
        <is>
          <t>全球最大的CD Discman IC供應商</t>
        </is>
      </c>
    </row>
    <row r="1612">
      <c r="A1612" t="n">
        <v>6104</v>
      </c>
      <c r="B1612" t="inlineStr">
        <is>
          <t>創惟</t>
        </is>
      </c>
      <c r="C1612" t="n">
        <v>102.5</v>
      </c>
      <c r="D1612" t="n">
        <v>101</v>
      </c>
      <c r="E1612" s="730" t="n">
        <v>-0.5</v>
      </c>
      <c r="F1612" s="731" t="n">
        <v>-0.49</v>
      </c>
      <c r="G1612" t="inlineStr">
        <is>
          <t>2.79億</t>
        </is>
      </c>
      <c r="H1612" t="n">
        <v>2750</v>
      </c>
      <c r="I1612" t="n">
        <v>1759</v>
      </c>
      <c r="J1612" t="n">
        <v>9.109999999999999</v>
      </c>
      <c r="K1612" t="n">
        <v>104</v>
      </c>
      <c r="L1612" t="n">
        <v>99.09999999999999</v>
      </c>
      <c r="M1612" s="155" t="n">
        <v>3.02</v>
      </c>
      <c r="N1612" t="inlineStr">
        <is>
          <t>儲存設備USB控制晶片設計專業大廠</t>
        </is>
      </c>
    </row>
    <row r="1613">
      <c r="A1613" t="n">
        <v>6108</v>
      </c>
      <c r="B1613" t="inlineStr">
        <is>
          <t>競國</t>
        </is>
      </c>
      <c r="C1613" t="n">
        <v>20.05</v>
      </c>
      <c r="D1613" t="n">
        <v>19.55</v>
      </c>
      <c r="E1613" s="730" t="n">
        <v>-0.4</v>
      </c>
      <c r="F1613" s="731" t="n">
        <v>-2.01</v>
      </c>
      <c r="G1613" t="inlineStr">
        <is>
          <t>2536萬</t>
        </is>
      </c>
      <c r="H1613" t="n">
        <v>1297</v>
      </c>
      <c r="I1613" t="n">
        <v>2240</v>
      </c>
      <c r="J1613" t="n">
        <v>15.45</v>
      </c>
      <c r="K1613" t="n">
        <v>20.05</v>
      </c>
      <c r="L1613" t="n">
        <v>19.1</v>
      </c>
      <c r="M1613" s="155" t="n">
        <v>0.84</v>
      </c>
      <c r="N1613" t="inlineStr">
        <is>
          <t>台灣CMOS sensor載板最大供應廠</t>
        </is>
      </c>
    </row>
    <row r="1614">
      <c r="A1614" t="n">
        <v>6109</v>
      </c>
      <c r="B1614" t="inlineStr">
        <is>
          <t>亞元</t>
        </is>
      </c>
      <c r="C1614" t="n">
        <v>11.35</v>
      </c>
      <c r="D1614" t="n">
        <v>11.3</v>
      </c>
      <c r="E1614" s="730" t="n">
        <v>0.15</v>
      </c>
      <c r="F1614" s="731" t="n">
        <v>1.35</v>
      </c>
      <c r="G1614" t="inlineStr">
        <is>
          <t>398萬</t>
        </is>
      </c>
      <c r="H1614" t="n">
        <v>375</v>
      </c>
      <c r="I1614" t="n">
        <v>281</v>
      </c>
      <c r="J1614" t="n">
        <v>8.779999999999999</v>
      </c>
      <c r="K1614" t="n">
        <v>11.35</v>
      </c>
      <c r="L1614" t="n">
        <v>10.75</v>
      </c>
      <c r="M1614" s="155" t="n">
        <v>0.43</v>
      </c>
      <c r="N1614" t="inlineStr">
        <is>
          <t>應用以可攜式電子產品為主之電源供應器廠</t>
        </is>
      </c>
    </row>
    <row r="1615">
      <c r="A1615" t="n">
        <v>6111</v>
      </c>
      <c r="B1615" t="inlineStr">
        <is>
          <t>光聚晶電</t>
        </is>
      </c>
      <c r="C1615" t="n">
        <v>44.1</v>
      </c>
      <c r="D1615" t="n">
        <v>43.85</v>
      </c>
      <c r="E1615" s="730" t="n">
        <v>-0.25</v>
      </c>
      <c r="F1615" s="731" t="n">
        <v>-0.57</v>
      </c>
      <c r="G1615" t="inlineStr">
        <is>
          <t>2343萬</t>
        </is>
      </c>
      <c r="H1615" t="n">
        <v>542</v>
      </c>
      <c r="I1615" t="n">
        <v>419</v>
      </c>
      <c r="J1615" t="n">
        <v>10.85</v>
      </c>
      <c r="K1615" t="n">
        <v>44.1</v>
      </c>
      <c r="L1615" t="n">
        <v>42.8</v>
      </c>
      <c r="M1615" s="155" t="n">
        <v>0.5</v>
      </c>
      <c r="N1615" t="inlineStr">
        <is>
          <t>集團橫跨半導體、資安、重電、遊戲、餐飲、電子支付等領域</t>
        </is>
      </c>
    </row>
    <row r="1616">
      <c r="A1616" t="n">
        <v>6112</v>
      </c>
      <c r="B1616" t="inlineStr">
        <is>
          <t>邁達特</t>
        </is>
      </c>
      <c r="C1616" t="n">
        <v>47.5</v>
      </c>
      <c r="D1616" t="n">
        <v>48.15</v>
      </c>
      <c r="E1616" s="730" t="n">
        <v>1.1</v>
      </c>
      <c r="F1616" s="731" t="n">
        <v>2.34</v>
      </c>
      <c r="G1616" t="inlineStr">
        <is>
          <t>3.59億</t>
        </is>
      </c>
      <c r="H1616" t="n">
        <v>7411</v>
      </c>
      <c r="I1616" t="n">
        <v>1235</v>
      </c>
      <c r="J1616" t="n">
        <v>18.84</v>
      </c>
      <c r="K1616" t="n">
        <v>49.9</v>
      </c>
      <c r="L1616" t="n">
        <v>46.4</v>
      </c>
      <c r="M1616" s="155" t="n">
        <v>6.06</v>
      </c>
      <c r="N1616" t="inlineStr">
        <is>
          <t>資訊應用軟硬體服務供應中介之加值型通路商</t>
        </is>
      </c>
    </row>
    <row r="1617">
      <c r="A1617" t="n">
        <v>6113</v>
      </c>
      <c r="B1617" t="inlineStr">
        <is>
          <t>亞矽</t>
        </is>
      </c>
      <c r="C1617" t="n">
        <v>27.9</v>
      </c>
      <c r="D1617" t="n">
        <v>27.8</v>
      </c>
      <c r="E1617" s="730" t="n">
        <v>0.1</v>
      </c>
      <c r="F1617" s="731" t="n">
        <v>0.36</v>
      </c>
      <c r="G1617" t="inlineStr">
        <is>
          <t>971萬</t>
        </is>
      </c>
      <c r="H1617" t="n">
        <v>352</v>
      </c>
      <c r="I1617" t="n">
        <v>641</v>
      </c>
      <c r="J1617" t="n">
        <v>5.25</v>
      </c>
      <c r="K1617" t="n">
        <v>28.2</v>
      </c>
      <c r="L1617" t="n">
        <v>27.35</v>
      </c>
      <c r="M1617" s="155" t="n">
        <v>0.67</v>
      </c>
      <c r="N1617" t="inlineStr">
        <is>
          <t>歐美半導體零件的專業代理商</t>
        </is>
      </c>
    </row>
    <row r="1618">
      <c r="A1618" t="n">
        <v>6114</v>
      </c>
      <c r="B1618" t="inlineStr">
        <is>
          <t>久威</t>
        </is>
      </c>
      <c r="C1618" t="n">
        <v>30.85</v>
      </c>
      <c r="D1618" t="n">
        <v>30.45</v>
      </c>
      <c r="E1618" s="730" t="n">
        <v>-0.25</v>
      </c>
      <c r="F1618" s="731" t="n">
        <v>-0.8100000000000001</v>
      </c>
      <c r="G1618" t="inlineStr">
        <is>
          <t>140萬</t>
        </is>
      </c>
      <c r="H1618" t="n">
        <v>46</v>
      </c>
      <c r="I1618" t="n">
        <v>83</v>
      </c>
      <c r="J1618" t="n">
        <v>4.39</v>
      </c>
      <c r="K1618" t="n">
        <v>30.85</v>
      </c>
      <c r="L1618" t="n">
        <v>30.2</v>
      </c>
      <c r="M1618" s="155" t="n">
        <v>0.1</v>
      </c>
      <c r="N1618" t="inlineStr">
        <is>
          <t>電子材料之代理及加工廠商</t>
        </is>
      </c>
    </row>
    <row r="1619">
      <c r="A1619" t="n">
        <v>6115</v>
      </c>
      <c r="B1619" t="inlineStr">
        <is>
          <t>鎰勝</t>
        </is>
      </c>
      <c r="C1619" t="n">
        <v>47.45</v>
      </c>
      <c r="D1619" t="n">
        <v>47.75</v>
      </c>
      <c r="E1619" s="730" t="n">
        <v>0.3</v>
      </c>
      <c r="F1619" s="731" t="n">
        <v>0.63</v>
      </c>
      <c r="G1619" t="inlineStr">
        <is>
          <t>1140萬</t>
        </is>
      </c>
      <c r="H1619" t="n">
        <v>340</v>
      </c>
      <c r="I1619" t="n">
        <v>186</v>
      </c>
      <c r="J1619" t="n">
        <v>18.77</v>
      </c>
      <c r="K1619" t="n">
        <v>47.85</v>
      </c>
      <c r="L1619" t="n">
        <v>47.2</v>
      </c>
      <c r="M1619" s="155" t="n">
        <v>0.18</v>
      </c>
      <c r="N1619" t="inlineStr">
        <is>
          <t>全球IT產品電源線材大廠</t>
        </is>
      </c>
    </row>
    <row r="1620">
      <c r="A1620" t="n">
        <v>6116</v>
      </c>
      <c r="B1620" t="inlineStr">
        <is>
          <t>彩晶</t>
        </is>
      </c>
      <c r="C1620" t="n">
        <v>20.65</v>
      </c>
      <c r="D1620" t="n">
        <v>20.65</v>
      </c>
      <c r="E1620" s="730" t="n">
        <v>1.85</v>
      </c>
      <c r="F1620" s="731" t="n">
        <v>9.84</v>
      </c>
      <c r="G1620" t="inlineStr">
        <is>
          <t>39.9億</t>
        </is>
      </c>
      <c r="H1620" t="n">
        <v>198687</v>
      </c>
      <c r="I1620" t="n">
        <v>289146</v>
      </c>
      <c r="J1620" t="n">
        <v>285.87</v>
      </c>
      <c r="K1620" t="n">
        <v>20.65</v>
      </c>
      <c r="L1620" t="n">
        <v>19</v>
      </c>
      <c r="M1620" s="155" t="n">
        <v>6.95</v>
      </c>
      <c r="N1620" t="inlineStr">
        <is>
          <t>台灣中小尺寸面板供應商，及觸控面板廠商</t>
        </is>
      </c>
    </row>
    <row r="1621">
      <c r="A1621" t="n">
        <v>6117</v>
      </c>
      <c r="B1621" t="inlineStr">
        <is>
          <t>迎廣</t>
        </is>
      </c>
      <c r="C1621" t="n">
        <v>86.2</v>
      </c>
      <c r="D1621" t="n">
        <v>86.90000000000001</v>
      </c>
      <c r="E1621" s="730" t="n">
        <v>1.1</v>
      </c>
      <c r="F1621" s="731" t="n">
        <v>1.28</v>
      </c>
      <c r="G1621" t="inlineStr">
        <is>
          <t>2.19億</t>
        </is>
      </c>
      <c r="H1621" t="n">
        <v>2489</v>
      </c>
      <c r="I1621" t="n">
        <v>2134</v>
      </c>
      <c r="J1621" t="n">
        <v>9.26</v>
      </c>
      <c r="K1621" t="n">
        <v>91.8</v>
      </c>
      <c r="L1621" t="n">
        <v>85.90000000000001</v>
      </c>
      <c r="M1621" s="155" t="n">
        <v>2.69</v>
      </c>
      <c r="N1621" t="inlineStr">
        <is>
          <t>PC機殼及伺服器組裝廠</t>
        </is>
      </c>
    </row>
    <row r="1622">
      <c r="A1622" t="n">
        <v>6118</v>
      </c>
      <c r="B1622" t="inlineStr">
        <is>
          <t>建達</t>
        </is>
      </c>
      <c r="C1622" t="n">
        <v>17.9</v>
      </c>
      <c r="D1622" t="n">
        <v>18.8</v>
      </c>
      <c r="E1622" s="730" t="n">
        <v>0.95</v>
      </c>
      <c r="F1622" s="731" t="n">
        <v>5.32</v>
      </c>
      <c r="G1622" t="inlineStr">
        <is>
          <t>2880萬</t>
        </is>
      </c>
      <c r="H1622" t="n">
        <v>1542</v>
      </c>
      <c r="I1622" t="n">
        <v>455</v>
      </c>
      <c r="J1622" t="n">
        <v>9.09</v>
      </c>
      <c r="K1622" t="n">
        <v>19.15</v>
      </c>
      <c r="L1622" t="n">
        <v>17.9</v>
      </c>
      <c r="M1622" s="155" t="n">
        <v>1.7</v>
      </c>
      <c r="N1622" t="inlineStr">
        <is>
          <t>3C電腦周邊產品代理通路商</t>
        </is>
      </c>
    </row>
    <row r="1623">
      <c r="A1623" t="n">
        <v>6120</v>
      </c>
      <c r="B1623" t="inlineStr">
        <is>
          <t>達運</t>
        </is>
      </c>
      <c r="C1623" t="n">
        <v>15.1</v>
      </c>
      <c r="D1623" t="n">
        <v>15.45</v>
      </c>
      <c r="E1623" s="730" t="n">
        <v>0.55</v>
      </c>
      <c r="F1623" s="731" t="n">
        <v>3.69</v>
      </c>
      <c r="G1623" t="inlineStr">
        <is>
          <t>1.24億</t>
        </is>
      </c>
      <c r="H1623" t="n">
        <v>8295</v>
      </c>
      <c r="I1623" t="n">
        <v>6285</v>
      </c>
      <c r="J1623" t="n">
        <v>59.9</v>
      </c>
      <c r="K1623" t="n">
        <v>15.5</v>
      </c>
      <c r="L1623" t="n">
        <v>14.5</v>
      </c>
      <c r="M1623" s="155" t="n">
        <v>1.38</v>
      </c>
      <c r="N1623" t="inlineStr">
        <is>
          <t>友達旗下背光模組零組件供應商</t>
        </is>
      </c>
    </row>
    <row r="1624">
      <c r="A1624" t="n">
        <v>6121</v>
      </c>
      <c r="B1624" t="inlineStr">
        <is>
          <t>新普</t>
        </is>
      </c>
      <c r="C1624" t="n">
        <v>397</v>
      </c>
      <c r="D1624" t="n">
        <v>402.5</v>
      </c>
      <c r="E1624" s="730" t="n">
        <v>6.5</v>
      </c>
      <c r="F1624" s="731" t="n">
        <v>1.64</v>
      </c>
      <c r="G1624" t="inlineStr">
        <is>
          <t>6.66億</t>
        </is>
      </c>
      <c r="H1624" t="n">
        <v>1667</v>
      </c>
      <c r="I1624" t="n">
        <v>987</v>
      </c>
      <c r="J1624" t="n">
        <v>18.5</v>
      </c>
      <c r="K1624" t="n">
        <v>403.5</v>
      </c>
      <c r="L1624" t="n">
        <v>394</v>
      </c>
      <c r="M1624" s="155" t="n">
        <v>0.9</v>
      </c>
      <c r="N1624" t="inlineStr">
        <is>
          <t>全球最大NB電池模組廠之一</t>
        </is>
      </c>
    </row>
    <row r="1625">
      <c r="A1625" t="n">
        <v>6122</v>
      </c>
      <c r="B1625" t="inlineStr">
        <is>
          <t>擎邦</t>
        </is>
      </c>
      <c r="C1625" t="n">
        <v>49.2</v>
      </c>
      <c r="D1625" t="n">
        <v>47.9</v>
      </c>
      <c r="E1625" s="730" t="n">
        <v>-0.75</v>
      </c>
      <c r="F1625" s="731" t="n">
        <v>-1.54</v>
      </c>
      <c r="G1625" t="inlineStr">
        <is>
          <t>1985萬</t>
        </is>
      </c>
      <c r="H1625" t="n">
        <v>413</v>
      </c>
      <c r="I1625" t="n">
        <v>364</v>
      </c>
      <c r="J1625" t="n">
        <v>7.81</v>
      </c>
      <c r="K1625" t="n">
        <v>49.2</v>
      </c>
      <c r="L1625" t="n">
        <v>47.65</v>
      </c>
      <c r="M1625" s="155" t="n">
        <v>0.53</v>
      </c>
      <c r="N1625" t="inlineStr">
        <is>
          <t>整廠工程之承攬、規劃、設計、施工服務廠商</t>
        </is>
      </c>
    </row>
    <row r="1626">
      <c r="A1626" t="n">
        <v>6123</v>
      </c>
      <c r="B1626" t="inlineStr">
        <is>
          <t>上奇</t>
        </is>
      </c>
      <c r="C1626" t="n">
        <v>45.35</v>
      </c>
      <c r="D1626" t="n">
        <v>45.45</v>
      </c>
      <c r="E1626" s="730" t="n">
        <v>0.75</v>
      </c>
      <c r="F1626" s="731" t="n">
        <v>1.68</v>
      </c>
      <c r="G1626" t="inlineStr">
        <is>
          <t>605萬</t>
        </is>
      </c>
      <c r="H1626" t="n">
        <v>134</v>
      </c>
      <c r="I1626" t="n">
        <v>104</v>
      </c>
      <c r="J1626" t="n">
        <v>6.21</v>
      </c>
      <c r="K1626" t="n">
        <v>45.45</v>
      </c>
      <c r="L1626" t="n">
        <v>44.9</v>
      </c>
      <c r="M1626" s="155" t="n">
        <v>0.22</v>
      </c>
      <c r="N1626" t="inlineStr">
        <is>
          <t>電腦軟硬體、OA產品及耗材代理商</t>
        </is>
      </c>
    </row>
    <row r="1627">
      <c r="A1627" t="n">
        <v>6124</v>
      </c>
      <c r="B1627" t="inlineStr">
        <is>
          <t>業強</t>
        </is>
      </c>
      <c r="C1627" t="n">
        <v>30.9</v>
      </c>
      <c r="D1627" t="n">
        <v>33</v>
      </c>
      <c r="E1627" s="730" t="n">
        <v>3</v>
      </c>
      <c r="F1627" s="731" t="n">
        <v>10</v>
      </c>
      <c r="G1627" t="inlineStr">
        <is>
          <t>1102萬</t>
        </is>
      </c>
      <c r="H1627" t="n">
        <v>341</v>
      </c>
      <c r="I1627" t="n">
        <v>98</v>
      </c>
      <c r="J1627" t="n">
        <v>18.25</v>
      </c>
      <c r="K1627" t="n">
        <v>33</v>
      </c>
      <c r="L1627" t="n">
        <v>30.35</v>
      </c>
      <c r="M1627" s="155" t="n">
        <v>0.19</v>
      </c>
      <c r="N1627" t="inlineStr">
        <is>
          <t>台灣最大熱導管供應商</t>
        </is>
      </c>
    </row>
    <row r="1628">
      <c r="A1628" t="n">
        <v>6125</v>
      </c>
      <c r="B1628" t="inlineStr">
        <is>
          <t>廣運</t>
        </is>
      </c>
      <c r="C1628" t="n">
        <v>75</v>
      </c>
      <c r="D1628" t="n">
        <v>71</v>
      </c>
      <c r="E1628" s="730" t="n">
        <v>-2.3</v>
      </c>
      <c r="F1628" s="731" t="n">
        <v>-3.14</v>
      </c>
      <c r="G1628" t="inlineStr">
        <is>
          <t>7.94億</t>
        </is>
      </c>
      <c r="H1628" t="n">
        <v>10922</v>
      </c>
      <c r="I1628" t="n">
        <v>6957</v>
      </c>
      <c r="J1628" t="n">
        <v>25.9</v>
      </c>
      <c r="K1628" t="n">
        <v>75.90000000000001</v>
      </c>
      <c r="L1628" t="n">
        <v>69</v>
      </c>
      <c r="M1628" s="155" t="n">
        <v>4.22</v>
      </c>
      <c r="N1628" t="inlineStr">
        <is>
          <t>經營自動化物流系統及太陽能電池等業務</t>
        </is>
      </c>
    </row>
    <row r="1629">
      <c r="A1629" t="n">
        <v>6126</v>
      </c>
      <c r="B1629" t="inlineStr">
        <is>
          <t>信音</t>
        </is>
      </c>
      <c r="C1629" t="n">
        <v>38.2</v>
      </c>
      <c r="D1629" t="n">
        <v>38.8</v>
      </c>
      <c r="E1629" s="730" t="n">
        <v>1.55</v>
      </c>
      <c r="F1629" s="731" t="n">
        <v>4.16</v>
      </c>
      <c r="G1629" t="inlineStr">
        <is>
          <t>2.29億</t>
        </is>
      </c>
      <c r="H1629" t="n">
        <v>5991</v>
      </c>
      <c r="I1629" t="n">
        <v>2229</v>
      </c>
      <c r="J1629" t="n">
        <v>12.98</v>
      </c>
      <c r="K1629" t="n">
        <v>39.15</v>
      </c>
      <c r="L1629" t="n">
        <v>36.85</v>
      </c>
      <c r="M1629" s="155" t="n">
        <v>4.62</v>
      </c>
      <c r="N1629" t="inlineStr">
        <is>
          <t>電腦及通訊用之連接器製造商</t>
        </is>
      </c>
    </row>
    <row r="1630">
      <c r="A1630" t="n">
        <v>6127</v>
      </c>
      <c r="B1630" t="inlineStr">
        <is>
          <t>九豪</t>
        </is>
      </c>
      <c r="C1630" t="n">
        <v>78</v>
      </c>
      <c r="D1630" t="n">
        <v>81.40000000000001</v>
      </c>
      <c r="E1630" s="730" t="n">
        <v>7.4</v>
      </c>
      <c r="F1630" s="731" t="n">
        <v>10</v>
      </c>
      <c r="G1630" t="inlineStr">
        <is>
          <t>42.4億</t>
        </is>
      </c>
      <c r="H1630" t="n">
        <v>54882</v>
      </c>
      <c r="I1630" t="n">
        <v>31011</v>
      </c>
      <c r="J1630" t="n">
        <v>10.81</v>
      </c>
      <c r="K1630" t="n">
        <v>81.40000000000001</v>
      </c>
      <c r="L1630" t="n">
        <v>73</v>
      </c>
      <c r="M1630" s="155" t="n">
        <v>50.78</v>
      </c>
      <c r="N1630" t="inlineStr">
        <is>
          <t>高階精密陶瓷基板之專業製造廠</t>
        </is>
      </c>
    </row>
    <row r="1631">
      <c r="A1631" t="n">
        <v>6128</v>
      </c>
      <c r="B1631" t="inlineStr">
        <is>
          <t>上福</t>
        </is>
      </c>
      <c r="C1631" t="n">
        <v>19.5</v>
      </c>
      <c r="D1631" t="n">
        <v>20.2</v>
      </c>
      <c r="E1631" s="730" t="n">
        <v>0.7</v>
      </c>
      <c r="F1631" s="731" t="n">
        <v>3.59</v>
      </c>
      <c r="G1631" t="inlineStr">
        <is>
          <t>712萬</t>
        </is>
      </c>
      <c r="H1631" t="n">
        <v>360</v>
      </c>
      <c r="I1631" t="n">
        <v>232</v>
      </c>
      <c r="J1631" t="n">
        <v>12.76</v>
      </c>
      <c r="K1631" t="n">
        <v>20.2</v>
      </c>
      <c r="L1631" t="n">
        <v>19.5</v>
      </c>
      <c r="M1631" s="155" t="n">
        <v>0.28</v>
      </c>
      <c r="N1631" t="inlineStr">
        <is>
          <t>台灣唯一具備雷射印表機之碳粉匣及OPC感光鼓齒輪研發設計廠</t>
        </is>
      </c>
    </row>
    <row r="1632">
      <c r="A1632" t="n">
        <v>6129</v>
      </c>
      <c r="B1632" t="inlineStr">
        <is>
          <t>普誠</t>
        </is>
      </c>
      <c r="C1632" t="n">
        <v>16.6</v>
      </c>
      <c r="D1632" t="n">
        <v>16.4</v>
      </c>
      <c r="E1632" s="730" t="n">
        <v>-0.5</v>
      </c>
      <c r="F1632" s="731" t="n">
        <v>-2.96</v>
      </c>
      <c r="G1632" t="inlineStr">
        <is>
          <t>2134萬</t>
        </is>
      </c>
      <c r="H1632" t="n">
        <v>1306</v>
      </c>
      <c r="I1632" t="n">
        <v>1389</v>
      </c>
      <c r="J1632" t="n">
        <v>18.09</v>
      </c>
      <c r="K1632" t="n">
        <v>16.65</v>
      </c>
      <c r="L1632" t="n">
        <v>16.15</v>
      </c>
      <c r="M1632" s="155" t="n">
        <v>0.72</v>
      </c>
      <c r="N1632" t="inlineStr">
        <is>
          <t>台灣消費性IC設計廠商，及車用IC設計公司</t>
        </is>
      </c>
    </row>
    <row r="1633">
      <c r="A1633" t="n">
        <v>6130</v>
      </c>
      <c r="B1633" t="inlineStr">
        <is>
          <t>上亞科技</t>
        </is>
      </c>
      <c r="C1633" t="n">
        <v>23.25</v>
      </c>
      <c r="D1633" t="n">
        <v>22.95</v>
      </c>
      <c r="E1633" s="730" t="n">
        <v>-0.3</v>
      </c>
      <c r="F1633" s="731" t="n">
        <v>-1.29</v>
      </c>
      <c r="G1633" t="inlineStr">
        <is>
          <t>355萬</t>
        </is>
      </c>
      <c r="H1633" t="n">
        <v>154</v>
      </c>
      <c r="I1633" t="n">
        <v>296</v>
      </c>
      <c r="J1633" t="n">
        <v>4.63</v>
      </c>
      <c r="K1633" t="n">
        <v>23.9</v>
      </c>
      <c r="L1633" t="n">
        <v>22.75</v>
      </c>
      <c r="M1633" s="155" t="n">
        <v>0.35</v>
      </c>
      <c r="N1633" t="inlineStr">
        <is>
          <t>從事醫美事業的醫藥採購及管理顧問</t>
        </is>
      </c>
    </row>
    <row r="1634">
      <c r="A1634" t="n">
        <v>6133</v>
      </c>
      <c r="B1634" t="inlineStr">
        <is>
          <t>金橋</t>
        </is>
      </c>
      <c r="C1634" t="n">
        <v>23.6</v>
      </c>
      <c r="D1634" t="n">
        <v>23.5</v>
      </c>
      <c r="E1634" s="730" t="n">
        <v>-0.05</v>
      </c>
      <c r="F1634" s="731" t="n">
        <v>-0.21</v>
      </c>
      <c r="G1634" t="inlineStr">
        <is>
          <t>3217萬</t>
        </is>
      </c>
      <c r="H1634" t="n">
        <v>1384</v>
      </c>
      <c r="I1634" t="n">
        <v>1335</v>
      </c>
      <c r="J1634" t="n">
        <v>11.7</v>
      </c>
      <c r="K1634" t="n">
        <v>23.6</v>
      </c>
      <c r="L1634" t="n">
        <v>22.9</v>
      </c>
      <c r="M1634" s="155" t="n">
        <v>1.18</v>
      </c>
      <c r="N1634" t="inlineStr">
        <is>
          <t>經營電腦週邊及高頻通訊為主的連接線廠</t>
        </is>
      </c>
    </row>
    <row r="1635">
      <c r="A1635" t="n">
        <v>6134</v>
      </c>
      <c r="B1635" t="inlineStr">
        <is>
          <t>萬旭</t>
        </is>
      </c>
      <c r="C1635" t="n">
        <v>41.55</v>
      </c>
      <c r="D1635" t="n">
        <v>38.15</v>
      </c>
      <c r="E1635" s="730" t="n">
        <v>-1.65</v>
      </c>
      <c r="F1635" s="731" t="n">
        <v>-4.15</v>
      </c>
      <c r="G1635" t="inlineStr">
        <is>
          <t>3.25億</t>
        </is>
      </c>
      <c r="H1635" t="n">
        <v>8297</v>
      </c>
      <c r="I1635" t="n">
        <v>3043</v>
      </c>
      <c r="J1635" t="n">
        <v>8.19</v>
      </c>
      <c r="K1635" t="n">
        <v>41.8</v>
      </c>
      <c r="L1635" t="n">
        <v>36.6</v>
      </c>
      <c r="M1635" s="155" t="n">
        <v>10.13</v>
      </c>
      <c r="N1635" t="inlineStr">
        <is>
          <t>主要經營極細銅軸線、天線、信號線等線材業者</t>
        </is>
      </c>
    </row>
    <row r="1636">
      <c r="A1636" t="n">
        <v>6136</v>
      </c>
      <c r="B1636" t="inlineStr">
        <is>
          <t>富爾特</t>
        </is>
      </c>
      <c r="C1636" t="n">
        <v>26.05</v>
      </c>
      <c r="D1636" t="n">
        <v>26.15</v>
      </c>
      <c r="E1636" s="730" t="n">
        <v>0.1</v>
      </c>
      <c r="F1636" s="731" t="n">
        <v>0.38</v>
      </c>
      <c r="G1636" t="inlineStr">
        <is>
          <t>1021萬</t>
        </is>
      </c>
      <c r="H1636" t="n">
        <v>394</v>
      </c>
      <c r="I1636" t="n">
        <v>363</v>
      </c>
      <c r="J1636" t="n">
        <v>11.55</v>
      </c>
      <c r="K1636" t="n">
        <v>26.2</v>
      </c>
      <c r="L1636" t="n">
        <v>25.65</v>
      </c>
      <c r="M1636" s="155" t="n">
        <v>0.34</v>
      </c>
      <c r="N1636" t="inlineStr">
        <is>
          <t>經營數位行銷服務及電子軟硬體代理業務</t>
        </is>
      </c>
    </row>
    <row r="1637">
      <c r="A1637" t="n">
        <v>6138</v>
      </c>
      <c r="B1637" t="inlineStr">
        <is>
          <t>茂達</t>
        </is>
      </c>
      <c r="C1637" t="n">
        <v>356</v>
      </c>
      <c r="D1637" t="n">
        <v>329</v>
      </c>
      <c r="E1637" s="730" t="n">
        <v>-24</v>
      </c>
      <c r="F1637" s="731" t="n">
        <v>-6.8</v>
      </c>
      <c r="G1637" t="inlineStr">
        <is>
          <t>4.95億</t>
        </is>
      </c>
      <c r="H1637" t="n">
        <v>1481</v>
      </c>
      <c r="I1637" t="n">
        <v>2572</v>
      </c>
      <c r="J1637" t="n">
        <v>7.56</v>
      </c>
      <c r="K1637" t="n">
        <v>356</v>
      </c>
      <c r="L1637" t="n">
        <v>322</v>
      </c>
      <c r="M1637" s="155" t="n">
        <v>1.96</v>
      </c>
      <c r="N1637" t="inlineStr">
        <is>
          <t>以主機板客戶為主的電源管理IC大廠</t>
        </is>
      </c>
    </row>
    <row r="1638">
      <c r="A1638" t="n">
        <v>6139</v>
      </c>
      <c r="B1638" t="inlineStr">
        <is>
          <t>亞翔</t>
        </is>
      </c>
      <c r="C1638" t="n">
        <v>782</v>
      </c>
      <c r="D1638" t="n">
        <v>762</v>
      </c>
      <c r="E1638" s="730" t="n">
        <v>-15</v>
      </c>
      <c r="F1638" s="731" t="n">
        <v>-1.93</v>
      </c>
      <c r="G1638" t="inlineStr">
        <is>
          <t>25.3億</t>
        </is>
      </c>
      <c r="H1638" t="n">
        <v>3278</v>
      </c>
      <c r="I1638" t="n">
        <v>4730</v>
      </c>
      <c r="J1638" t="n">
        <v>23.56</v>
      </c>
      <c r="K1638" t="n">
        <v>789</v>
      </c>
      <c r="L1638" t="n">
        <v>760</v>
      </c>
      <c r="M1638" s="155" t="n">
        <v>1.39</v>
      </c>
      <c r="N1638" t="inlineStr">
        <is>
          <t>台灣無塵室及機電系統整合服務等製造商</t>
        </is>
      </c>
    </row>
    <row r="1639">
      <c r="A1639" t="n">
        <v>6140</v>
      </c>
      <c r="B1639" t="inlineStr">
        <is>
          <t>訊達</t>
        </is>
      </c>
      <c r="C1639" t="n">
        <v>21.5</v>
      </c>
      <c r="D1639" t="n">
        <v>22.7</v>
      </c>
      <c r="E1639" s="730" t="n">
        <v>2.05</v>
      </c>
      <c r="F1639" s="731" t="n">
        <v>9.93</v>
      </c>
      <c r="G1639" t="inlineStr">
        <is>
          <t>2062萬</t>
        </is>
      </c>
      <c r="H1639" t="n">
        <v>920</v>
      </c>
      <c r="I1639" t="n">
        <v>201</v>
      </c>
      <c r="J1639" t="n">
        <v>5.49</v>
      </c>
      <c r="K1639" t="n">
        <v>22.7</v>
      </c>
      <c r="L1639" t="n">
        <v>21.3</v>
      </c>
      <c r="M1639" s="155" t="n">
        <v>1.68</v>
      </c>
      <c r="N1639" t="inlineStr">
        <is>
          <t>以金融、資訊、媒體、半導體產業為主的系統整合商</t>
        </is>
      </c>
    </row>
    <row r="1640">
      <c r="A1640" t="n">
        <v>6141</v>
      </c>
      <c r="B1640" t="inlineStr">
        <is>
          <t>柏承</t>
        </is>
      </c>
      <c r="C1640" t="n">
        <v>42.1</v>
      </c>
      <c r="D1640" t="n">
        <v>40.35</v>
      </c>
      <c r="E1640" s="730" t="n">
        <v>-4.05</v>
      </c>
      <c r="F1640" s="731" t="n">
        <v>-9.119999999999999</v>
      </c>
      <c r="G1640" t="inlineStr">
        <is>
          <t>1.52億</t>
        </is>
      </c>
      <c r="H1640" t="n">
        <v>3709</v>
      </c>
      <c r="I1640" t="n">
        <v>6753</v>
      </c>
      <c r="J1640" t="n">
        <v>11.34</v>
      </c>
      <c r="K1640" t="n">
        <v>42.45</v>
      </c>
      <c r="L1640" t="n">
        <v>40.05</v>
      </c>
      <c r="M1640" s="155" t="n">
        <v>3.27</v>
      </c>
      <c r="N1640" t="inlineStr">
        <is>
          <t>少量多樣的利基型PCB廠</t>
        </is>
      </c>
    </row>
    <row r="1641">
      <c r="A1641" t="n">
        <v>6142</v>
      </c>
      <c r="B1641" t="inlineStr">
        <is>
          <t>友勁</t>
        </is>
      </c>
      <c r="C1641" t="n">
        <v>8.59</v>
      </c>
      <c r="D1641" t="n">
        <v>8.720000000000001</v>
      </c>
      <c r="E1641" s="730" t="n">
        <v>0.2</v>
      </c>
      <c r="F1641" s="731" t="n">
        <v>2.35</v>
      </c>
      <c r="G1641" t="inlineStr">
        <is>
          <t>963萬</t>
        </is>
      </c>
      <c r="H1641" t="n">
        <v>1129</v>
      </c>
      <c r="I1641" t="n">
        <v>844</v>
      </c>
      <c r="J1641" t="n">
        <v>33.08</v>
      </c>
      <c r="K1641" t="n">
        <v>8.73</v>
      </c>
      <c r="L1641" t="n">
        <v>8.300000000000001</v>
      </c>
      <c r="M1641" s="155" t="n">
        <v>0.49</v>
      </c>
      <c r="N1641" t="inlineStr">
        <is>
          <t>友訊轉投資寬頻產品製造商</t>
        </is>
      </c>
    </row>
    <row r="1642">
      <c r="A1642" t="n">
        <v>6143</v>
      </c>
      <c r="B1642" t="inlineStr">
        <is>
          <t>振曜</t>
        </is>
      </c>
      <c r="C1642" t="n">
        <v>99.40000000000001</v>
      </c>
      <c r="D1642" t="n">
        <v>100</v>
      </c>
      <c r="E1642" s="730" t="n">
        <v>0.6</v>
      </c>
      <c r="F1642" s="731" t="n">
        <v>0.6</v>
      </c>
      <c r="G1642" t="inlineStr">
        <is>
          <t>9203萬</t>
        </is>
      </c>
      <c r="H1642" t="n">
        <v>924</v>
      </c>
      <c r="I1642" t="n">
        <v>1494</v>
      </c>
      <c r="J1642" t="n">
        <v>8.609999999999999</v>
      </c>
      <c r="K1642" t="n">
        <v>101</v>
      </c>
      <c r="L1642" t="n">
        <v>98.7</v>
      </c>
      <c r="M1642" s="155" t="n">
        <v>1.07</v>
      </c>
      <c r="N1642" t="inlineStr">
        <is>
          <t>全球知名電子書閱讀器製造大廠</t>
        </is>
      </c>
    </row>
    <row r="1643">
      <c r="A1643" t="n">
        <v>6144</v>
      </c>
      <c r="B1643" t="inlineStr">
        <is>
          <t>得利影</t>
        </is>
      </c>
      <c r="C1643" t="n">
        <v>14.25</v>
      </c>
      <c r="D1643" t="n">
        <v>14.15</v>
      </c>
      <c r="E1643" s="730" t="n">
        <v>-0.25</v>
      </c>
      <c r="F1643" s="731" t="n">
        <v>-1.74</v>
      </c>
      <c r="G1643" t="inlineStr">
        <is>
          <t>35.1萬</t>
        </is>
      </c>
      <c r="H1643" t="n">
        <v>25</v>
      </c>
      <c r="I1643" t="n">
        <v>20</v>
      </c>
      <c r="J1643" t="n">
        <v>3.83</v>
      </c>
      <c r="K1643" t="n">
        <v>14.25</v>
      </c>
      <c r="L1643" t="n">
        <v>13.95</v>
      </c>
      <c r="M1643" s="155" t="n">
        <v>0.07000000000000001</v>
      </c>
      <c r="N1643" t="inlineStr">
        <is>
          <t>代理知名美國片商DVD及BD在台發行之公司</t>
        </is>
      </c>
    </row>
    <row r="1644">
      <c r="A1644" t="n">
        <v>6146</v>
      </c>
      <c r="B1644" t="inlineStr">
        <is>
          <t>耕興</t>
        </is>
      </c>
      <c r="C1644" t="n">
        <v>227.5</v>
      </c>
      <c r="D1644" t="n">
        <v>221.5</v>
      </c>
      <c r="E1644" s="730" t="n">
        <v>-6</v>
      </c>
      <c r="F1644" s="731" t="n">
        <v>-2.64</v>
      </c>
      <c r="G1644" t="inlineStr">
        <is>
          <t>1.65億</t>
        </is>
      </c>
      <c r="H1644" t="n">
        <v>742</v>
      </c>
      <c r="I1644" t="n">
        <v>1238</v>
      </c>
      <c r="J1644" t="n">
        <v>10.19</v>
      </c>
      <c r="K1644" t="n">
        <v>227.5</v>
      </c>
      <c r="L1644" t="n">
        <v>220.5</v>
      </c>
      <c r="M1644" s="155" t="n">
        <v>0.73</v>
      </c>
      <c r="N1644" t="inlineStr">
        <is>
          <t>國內最具規模之手機及網通專業認證實驗室</t>
        </is>
      </c>
    </row>
    <row r="1645">
      <c r="A1645" t="n">
        <v>6147</v>
      </c>
      <c r="B1645" t="inlineStr">
        <is>
          <t>頎邦</t>
        </is>
      </c>
      <c r="C1645" t="n">
        <v>286.5</v>
      </c>
      <c r="D1645" t="n">
        <v>281</v>
      </c>
      <c r="E1645" s="730" t="n">
        <v>-4.5</v>
      </c>
      <c r="F1645" s="731" t="n">
        <v>-1.58</v>
      </c>
      <c r="G1645" t="inlineStr">
        <is>
          <t>186億</t>
        </is>
      </c>
      <c r="H1645" t="n">
        <v>67514</v>
      </c>
      <c r="I1645" t="n">
        <v>70029</v>
      </c>
      <c r="J1645" t="n">
        <v>74.45999999999999</v>
      </c>
      <c r="K1645" t="n">
        <v>294.5</v>
      </c>
      <c r="L1645" t="n">
        <v>264</v>
      </c>
      <c r="M1645" s="155" t="n">
        <v>9.07</v>
      </c>
      <c r="N1645" t="inlineStr">
        <is>
          <t>全球最大LCD驅動IC封裝及金凸塊供應商</t>
        </is>
      </c>
    </row>
    <row r="1646">
      <c r="A1646" t="n">
        <v>6148</v>
      </c>
      <c r="B1646" t="inlineStr">
        <is>
          <t>驊宏資</t>
        </is>
      </c>
      <c r="C1646" t="n">
        <v>33.6</v>
      </c>
      <c r="D1646" t="n">
        <v>34.8</v>
      </c>
      <c r="E1646" s="730" t="n">
        <v>3.15</v>
      </c>
      <c r="F1646" s="731" t="n">
        <v>9.949999999999999</v>
      </c>
      <c r="G1646" t="inlineStr">
        <is>
          <t>1.04億</t>
        </is>
      </c>
      <c r="H1646" t="n">
        <v>3015</v>
      </c>
      <c r="I1646" t="n">
        <v>306</v>
      </c>
      <c r="J1646" t="n">
        <v>4.66</v>
      </c>
      <c r="K1646" t="n">
        <v>34.8</v>
      </c>
      <c r="L1646" t="n">
        <v>32.6</v>
      </c>
      <c r="M1646" s="155" t="n">
        <v>6.47</v>
      </c>
      <c r="N1646" t="inlineStr">
        <is>
          <t>金融及公共事業SI廠</t>
        </is>
      </c>
    </row>
    <row r="1647">
      <c r="A1647" t="n">
        <v>6150</v>
      </c>
      <c r="B1647" t="inlineStr">
        <is>
          <t>撼訊</t>
        </is>
      </c>
      <c r="C1647" t="n">
        <v>69.2</v>
      </c>
      <c r="D1647" t="n">
        <v>76</v>
      </c>
      <c r="E1647" s="730" t="n">
        <v>6.9</v>
      </c>
      <c r="F1647" s="731" t="n">
        <v>9.99</v>
      </c>
      <c r="G1647" t="inlineStr">
        <is>
          <t>2.16億</t>
        </is>
      </c>
      <c r="H1647" t="n">
        <v>2921</v>
      </c>
      <c r="I1647" t="n">
        <v>927</v>
      </c>
      <c r="J1647" t="n">
        <v>4.83</v>
      </c>
      <c r="K1647" t="n">
        <v>76</v>
      </c>
      <c r="L1647" t="n">
        <v>69.2</v>
      </c>
      <c r="M1647" s="155" t="n">
        <v>6.04</v>
      </c>
      <c r="N1647" t="inlineStr">
        <is>
          <t>以Power Color品牌行銷全球之繪圖顯示卡供應商</t>
        </is>
      </c>
    </row>
    <row r="1648">
      <c r="A1648" t="n">
        <v>6151</v>
      </c>
      <c r="B1648" t="inlineStr">
        <is>
          <t>晉倫</t>
        </is>
      </c>
      <c r="C1648" t="n">
        <v>45.7</v>
      </c>
      <c r="D1648" t="n">
        <v>44</v>
      </c>
      <c r="E1648" s="730" t="n">
        <v>-1.6</v>
      </c>
      <c r="F1648" s="731" t="n">
        <v>-3.51</v>
      </c>
      <c r="G1648" t="inlineStr">
        <is>
          <t>3762萬</t>
        </is>
      </c>
      <c r="H1648" t="n">
        <v>854</v>
      </c>
      <c r="I1648" t="n">
        <v>1443</v>
      </c>
      <c r="J1648" t="n">
        <v>5.53</v>
      </c>
      <c r="K1648" t="n">
        <v>45.7</v>
      </c>
      <c r="L1648" t="n">
        <v>43</v>
      </c>
      <c r="M1648" s="155" t="n">
        <v>1.55</v>
      </c>
      <c r="N1648" t="inlineStr">
        <is>
          <t>台灣汽車複合材料供應商</t>
        </is>
      </c>
    </row>
    <row r="1649">
      <c r="A1649" t="n">
        <v>6152</v>
      </c>
      <c r="B1649" t="inlineStr">
        <is>
          <t>百一</t>
        </is>
      </c>
      <c r="C1649" t="n">
        <v>15.25</v>
      </c>
      <c r="D1649" t="n">
        <v>15.3</v>
      </c>
      <c r="E1649" s="730" t="n">
        <v>0.2</v>
      </c>
      <c r="F1649" s="731" t="n">
        <v>1.32</v>
      </c>
      <c r="G1649" t="inlineStr">
        <is>
          <t>2824萬</t>
        </is>
      </c>
      <c r="H1649" t="n">
        <v>1869</v>
      </c>
      <c r="I1649" t="n">
        <v>1596</v>
      </c>
      <c r="J1649" t="n">
        <v>16.77</v>
      </c>
      <c r="K1649" t="n">
        <v>15.5</v>
      </c>
      <c r="L1649" t="n">
        <v>14.8</v>
      </c>
      <c r="M1649" s="155" t="n">
        <v>1.11</v>
      </c>
      <c r="N1649" t="inlineStr">
        <is>
          <t>STB、LNB的ODM大廠</t>
        </is>
      </c>
    </row>
    <row r="1650">
      <c r="A1650" t="n">
        <v>6153</v>
      </c>
      <c r="B1650" t="inlineStr">
        <is>
          <t>嘉聯益</t>
        </is>
      </c>
      <c r="C1650" t="n">
        <v>18.75</v>
      </c>
      <c r="D1650" t="n">
        <v>19</v>
      </c>
      <c r="E1650" s="730" t="n">
        <v>0.5</v>
      </c>
      <c r="F1650" s="731" t="n">
        <v>2.7</v>
      </c>
      <c r="G1650" t="inlineStr">
        <is>
          <t>1.42億</t>
        </is>
      </c>
      <c r="H1650" t="n">
        <v>7588</v>
      </c>
      <c r="I1650" t="n">
        <v>4591</v>
      </c>
      <c r="J1650" t="n">
        <v>63.62</v>
      </c>
      <c r="K1650" t="n">
        <v>19.3</v>
      </c>
      <c r="L1650" t="n">
        <v>18.35</v>
      </c>
      <c r="M1650" s="155" t="n">
        <v>1.19</v>
      </c>
      <c r="N1650" t="inlineStr">
        <is>
          <t>台灣前三大軟板廠之一</t>
        </is>
      </c>
    </row>
    <row r="1651">
      <c r="A1651" t="n">
        <v>6154</v>
      </c>
      <c r="B1651" t="inlineStr">
        <is>
          <t>順發</t>
        </is>
      </c>
      <c r="C1651" t="n">
        <v>13.35</v>
      </c>
      <c r="D1651" t="n">
        <v>13.35</v>
      </c>
      <c r="E1651" s="730" t="n">
        <v>0</v>
      </c>
      <c r="F1651" s="731" t="n">
        <v>0</v>
      </c>
      <c r="G1651" t="inlineStr">
        <is>
          <t>114萬</t>
        </is>
      </c>
      <c r="H1651" t="n">
        <v>86</v>
      </c>
      <c r="I1651" t="n">
        <v>50</v>
      </c>
      <c r="J1651" t="n">
        <v>8.01</v>
      </c>
      <c r="K1651" t="n">
        <v>13.35</v>
      </c>
      <c r="L1651" t="n">
        <v>13.2</v>
      </c>
      <c r="M1651" s="155" t="n">
        <v>0.11</v>
      </c>
      <c r="N1651" t="inlineStr">
        <is>
          <t>台灣大型的3C量販零售通路商</t>
        </is>
      </c>
    </row>
    <row r="1652">
      <c r="A1652" t="n">
        <v>6155</v>
      </c>
      <c r="B1652" t="inlineStr">
        <is>
          <t>鈞寶</t>
        </is>
      </c>
      <c r="C1652" t="n">
        <v>69</v>
      </c>
      <c r="D1652" t="n">
        <v>75.90000000000001</v>
      </c>
      <c r="E1652" s="730" t="n">
        <v>6.9</v>
      </c>
      <c r="F1652" s="731" t="n">
        <v>10</v>
      </c>
      <c r="G1652" t="inlineStr">
        <is>
          <t>20.7億</t>
        </is>
      </c>
      <c r="H1652" t="n">
        <v>29608</v>
      </c>
      <c r="I1652" t="n">
        <v>12643</v>
      </c>
      <c r="J1652" t="n">
        <v>8.800000000000001</v>
      </c>
      <c r="K1652" t="n">
        <v>75.90000000000001</v>
      </c>
      <c r="L1652" t="n">
        <v>64.5</v>
      </c>
      <c r="M1652" s="155" t="n">
        <v>33.64</v>
      </c>
      <c r="N1652" t="inlineStr">
        <is>
          <t>台灣電感及電磁波干擾對策之專業廠商</t>
        </is>
      </c>
    </row>
    <row r="1653">
      <c r="A1653" t="n">
        <v>6156</v>
      </c>
      <c r="B1653" t="inlineStr">
        <is>
          <t>松上</t>
        </is>
      </c>
      <c r="C1653" t="n">
        <v>19.35</v>
      </c>
      <c r="D1653" t="n">
        <v>19.3</v>
      </c>
      <c r="E1653" s="730" t="n">
        <v>0.15</v>
      </c>
      <c r="F1653" s="731" t="n">
        <v>0.78</v>
      </c>
      <c r="G1653" t="inlineStr">
        <is>
          <t>934萬</t>
        </is>
      </c>
      <c r="H1653" t="n">
        <v>490</v>
      </c>
      <c r="I1653" t="n">
        <v>694</v>
      </c>
      <c r="J1653" t="n">
        <v>10.79</v>
      </c>
      <c r="K1653" t="n">
        <v>19.35</v>
      </c>
      <c r="L1653" t="n">
        <v>18.9</v>
      </c>
      <c r="M1653" s="155" t="n">
        <v>0.45</v>
      </c>
      <c r="N1653" t="inlineStr">
        <is>
          <t>印刷電路板和磁性元件製造商</t>
        </is>
      </c>
    </row>
    <row r="1654">
      <c r="A1654" t="n">
        <v>6158</v>
      </c>
      <c r="B1654" t="inlineStr">
        <is>
          <t>禾昌</t>
        </is>
      </c>
      <c r="C1654" t="n">
        <v>18.35</v>
      </c>
      <c r="D1654" t="n">
        <v>18</v>
      </c>
      <c r="E1654" s="730" t="n">
        <v>-0.25</v>
      </c>
      <c r="F1654" s="731" t="n">
        <v>-1.37</v>
      </c>
      <c r="G1654" t="inlineStr">
        <is>
          <t>436萬</t>
        </is>
      </c>
      <c r="H1654" t="n">
        <v>245</v>
      </c>
      <c r="I1654" t="n">
        <v>91</v>
      </c>
      <c r="J1654" t="n">
        <v>5.57</v>
      </c>
      <c r="K1654" t="n">
        <v>18.35</v>
      </c>
      <c r="L1654" t="n">
        <v>17.4</v>
      </c>
      <c r="M1654" s="155" t="n">
        <v>0.44</v>
      </c>
      <c r="N1654" t="inlineStr">
        <is>
          <t>3C用連接器生產廠</t>
        </is>
      </c>
    </row>
    <row r="1655">
      <c r="A1655" t="n">
        <v>6160</v>
      </c>
      <c r="B1655" t="inlineStr">
        <is>
          <t>欣技</t>
        </is>
      </c>
      <c r="C1655" t="n">
        <v>17.5</v>
      </c>
      <c r="D1655" t="n">
        <v>17.5</v>
      </c>
      <c r="E1655" s="730" t="n">
        <v>0.4</v>
      </c>
      <c r="F1655" s="731" t="n">
        <v>2.34</v>
      </c>
      <c r="G1655" t="inlineStr">
        <is>
          <t>433萬</t>
        </is>
      </c>
      <c r="H1655" t="n">
        <v>250</v>
      </c>
      <c r="I1655" t="n">
        <v>327</v>
      </c>
      <c r="J1655" t="n">
        <v>6.85</v>
      </c>
      <c r="K1655" t="n">
        <v>17.55</v>
      </c>
      <c r="L1655" t="n">
        <v>17</v>
      </c>
      <c r="M1655" s="155" t="n">
        <v>0.37</v>
      </c>
      <c r="N1655" t="inlineStr">
        <is>
          <t>專攻自動辨識系統的IPC廠</t>
        </is>
      </c>
    </row>
    <row r="1656">
      <c r="A1656" t="n">
        <v>6161</v>
      </c>
      <c r="B1656" t="inlineStr">
        <is>
          <t>捷波</t>
        </is>
      </c>
      <c r="C1656" t="n">
        <v>58.8</v>
      </c>
      <c r="D1656" t="n">
        <v>56.7</v>
      </c>
      <c r="E1656" s="730" t="n">
        <v>-1.7</v>
      </c>
      <c r="F1656" s="731" t="n">
        <v>-2.91</v>
      </c>
      <c r="G1656" t="inlineStr">
        <is>
          <t>4148萬</t>
        </is>
      </c>
      <c r="H1656" t="n">
        <v>730</v>
      </c>
      <c r="I1656" t="n">
        <v>2416</v>
      </c>
      <c r="J1656" t="n">
        <v>5.62</v>
      </c>
      <c r="K1656" t="n">
        <v>58.8</v>
      </c>
      <c r="L1656" t="n">
        <v>55.5</v>
      </c>
      <c r="M1656" s="155" t="n">
        <v>1.3</v>
      </c>
      <c r="N1656" t="inlineStr">
        <is>
          <t>台灣工業電腦及主機板廠商</t>
        </is>
      </c>
    </row>
    <row r="1657">
      <c r="A1657" t="n">
        <v>6163</v>
      </c>
      <c r="B1657" t="inlineStr">
        <is>
          <t>華電網</t>
        </is>
      </c>
      <c r="C1657" t="n">
        <v>52.9</v>
      </c>
      <c r="D1657" t="n">
        <v>52.2</v>
      </c>
      <c r="E1657" s="730" t="n">
        <v>-1.2</v>
      </c>
      <c r="F1657" s="731" t="n">
        <v>-2.25</v>
      </c>
      <c r="G1657" t="inlineStr">
        <is>
          <t>1.25億</t>
        </is>
      </c>
      <c r="H1657" t="n">
        <v>2393</v>
      </c>
      <c r="I1657" t="n">
        <v>4031</v>
      </c>
      <c r="J1657" t="n">
        <v>14.84</v>
      </c>
      <c r="K1657" t="n">
        <v>53.6</v>
      </c>
      <c r="L1657" t="n">
        <v>51.1</v>
      </c>
      <c r="M1657" s="155" t="n">
        <v>1.62</v>
      </c>
      <c r="N1657" t="inlineStr">
        <is>
          <t>電信系統整合大廠，並跨足智慧城控與交通機電業務</t>
        </is>
      </c>
    </row>
    <row r="1658">
      <c r="A1658" t="n">
        <v>6164</v>
      </c>
      <c r="B1658" t="inlineStr">
        <is>
          <t>華興</t>
        </is>
      </c>
      <c r="C1658" t="n">
        <v>12.8</v>
      </c>
      <c r="D1658" t="n">
        <v>13.4</v>
      </c>
      <c r="E1658" s="730" t="n">
        <v>0.75</v>
      </c>
      <c r="F1658" s="731" t="n">
        <v>5.93</v>
      </c>
      <c r="G1658" t="inlineStr">
        <is>
          <t>3386萬</t>
        </is>
      </c>
      <c r="H1658" t="n">
        <v>2569</v>
      </c>
      <c r="I1658" t="n">
        <v>745</v>
      </c>
      <c r="J1658" t="n">
        <v>8</v>
      </c>
      <c r="K1658" t="n">
        <v>13.85</v>
      </c>
      <c r="L1658" t="n">
        <v>12.45</v>
      </c>
      <c r="M1658" s="155" t="n">
        <v>3.21</v>
      </c>
      <c r="N1658" t="inlineStr">
        <is>
          <t>台灣LED照明元件及模組廠</t>
        </is>
      </c>
    </row>
    <row r="1659">
      <c r="A1659" t="n">
        <v>6165</v>
      </c>
      <c r="B1659" t="inlineStr">
        <is>
          <t>浪凡</t>
        </is>
      </c>
      <c r="C1659" t="n">
        <v>48.6</v>
      </c>
      <c r="D1659" t="n">
        <v>48.35</v>
      </c>
      <c r="E1659" s="730" t="n">
        <v>0.1</v>
      </c>
      <c r="F1659" s="731" t="n">
        <v>0.21</v>
      </c>
      <c r="G1659" t="inlineStr">
        <is>
          <t>2383萬</t>
        </is>
      </c>
      <c r="H1659" t="n">
        <v>495</v>
      </c>
      <c r="I1659" t="n">
        <v>592</v>
      </c>
      <c r="J1659" t="n">
        <v>7.78</v>
      </c>
      <c r="K1659" t="n">
        <v>48.6</v>
      </c>
      <c r="L1659" t="n">
        <v>47.85</v>
      </c>
      <c r="M1659" s="155" t="n">
        <v>0.64</v>
      </c>
      <c r="N1659" t="inlineStr">
        <is>
          <t>主要經營「浪LIVE」直播平台</t>
        </is>
      </c>
    </row>
    <row r="1660">
      <c r="A1660" t="n">
        <v>6166</v>
      </c>
      <c r="B1660" t="inlineStr">
        <is>
          <t>凌華</t>
        </is>
      </c>
      <c r="C1660" t="n">
        <v>135</v>
      </c>
      <c r="D1660" t="n">
        <v>132</v>
      </c>
      <c r="E1660" s="730" t="n">
        <v>-1.5</v>
      </c>
      <c r="F1660" s="731" t="n">
        <v>-1.12</v>
      </c>
      <c r="G1660" t="inlineStr">
        <is>
          <t>3.78億</t>
        </is>
      </c>
      <c r="H1660" t="n">
        <v>2894</v>
      </c>
      <c r="I1660" t="n">
        <v>3326</v>
      </c>
      <c r="J1660" t="n">
        <v>21.78</v>
      </c>
      <c r="K1660" t="n">
        <v>135</v>
      </c>
      <c r="L1660" t="n">
        <v>126.5</v>
      </c>
      <c r="M1660" s="155" t="n">
        <v>1.33</v>
      </c>
      <c r="N1660" t="inlineStr">
        <is>
          <t>台灣工業電腦大廠</t>
        </is>
      </c>
    </row>
    <row r="1661">
      <c r="A1661" t="n">
        <v>6167</v>
      </c>
      <c r="B1661" t="inlineStr">
        <is>
          <t>久正</t>
        </is>
      </c>
      <c r="C1661" t="n">
        <v>12</v>
      </c>
      <c r="D1661" t="n">
        <v>12.25</v>
      </c>
      <c r="E1661" s="730" t="n">
        <v>0.35</v>
      </c>
      <c r="F1661" s="731" t="n">
        <v>2.94</v>
      </c>
      <c r="G1661" t="inlineStr">
        <is>
          <t>1730萬</t>
        </is>
      </c>
      <c r="H1661" t="n">
        <v>1448</v>
      </c>
      <c r="I1661" t="n">
        <v>1207</v>
      </c>
      <c r="J1661" t="n">
        <v>14.6</v>
      </c>
      <c r="K1661" t="n">
        <v>12.35</v>
      </c>
      <c r="L1661" t="n">
        <v>11.7</v>
      </c>
      <c r="M1661" s="155" t="n">
        <v>0.99</v>
      </c>
      <c r="N1661" t="inlineStr">
        <is>
          <t>中小尺寸TN/STN面板模組廠</t>
        </is>
      </c>
    </row>
    <row r="1662">
      <c r="A1662" t="n">
        <v>6168</v>
      </c>
      <c r="B1662" t="inlineStr">
        <is>
          <t>宏齊</t>
        </is>
      </c>
      <c r="C1662" t="n">
        <v>28.35</v>
      </c>
      <c r="D1662" t="n">
        <v>27.45</v>
      </c>
      <c r="E1662" s="730" t="n">
        <v>-0.75</v>
      </c>
      <c r="F1662" s="731" t="n">
        <v>-2.66</v>
      </c>
      <c r="G1662" t="inlineStr">
        <is>
          <t>1.32億</t>
        </is>
      </c>
      <c r="H1662" t="n">
        <v>4782</v>
      </c>
      <c r="I1662" t="n">
        <v>5325</v>
      </c>
      <c r="J1662" t="n">
        <v>20.58</v>
      </c>
      <c r="K1662" t="n">
        <v>29.1</v>
      </c>
      <c r="L1662" t="n">
        <v>26.9</v>
      </c>
      <c r="M1662" s="155" t="n">
        <v>2.32</v>
      </c>
      <c r="N1662" t="inlineStr">
        <is>
          <t>專為Avago及Osram代工之LED封裝廠</t>
        </is>
      </c>
    </row>
    <row r="1663">
      <c r="A1663" t="n">
        <v>6169</v>
      </c>
      <c r="B1663" t="inlineStr">
        <is>
          <t>昱泉</t>
        </is>
      </c>
      <c r="C1663" t="n">
        <v>13.75</v>
      </c>
      <c r="D1663" t="n">
        <v>14.05</v>
      </c>
      <c r="E1663" s="730" t="n">
        <v>0.3</v>
      </c>
      <c r="F1663" s="731" t="n">
        <v>2.18</v>
      </c>
      <c r="G1663" t="inlineStr">
        <is>
          <t>30.7萬</t>
        </is>
      </c>
      <c r="H1663" t="n">
        <v>22</v>
      </c>
      <c r="I1663" t="n">
        <v>37</v>
      </c>
      <c r="J1663" t="n">
        <v>2.34</v>
      </c>
      <c r="K1663" t="n">
        <v>14.05</v>
      </c>
      <c r="L1663" t="n">
        <v>13.75</v>
      </c>
      <c r="M1663" s="155" t="n">
        <v>0.09</v>
      </c>
      <c r="N1663" t="inlineStr">
        <is>
          <t>台灣網路遊戲研發及代理商</t>
        </is>
      </c>
    </row>
    <row r="1664">
      <c r="A1664" t="n">
        <v>6170</v>
      </c>
      <c r="B1664" t="inlineStr">
        <is>
          <t>統振</t>
        </is>
      </c>
      <c r="C1664" t="n">
        <v>52</v>
      </c>
      <c r="D1664" t="n">
        <v>51.9</v>
      </c>
      <c r="E1664" s="730" t="n">
        <v>-0.1</v>
      </c>
      <c r="F1664" s="731" t="n">
        <v>-0.19</v>
      </c>
      <c r="G1664" t="inlineStr">
        <is>
          <t>1344萬</t>
        </is>
      </c>
      <c r="H1664" t="n">
        <v>260</v>
      </c>
      <c r="I1664" t="n">
        <v>332</v>
      </c>
      <c r="J1664" t="n">
        <v>9.73</v>
      </c>
      <c r="K1664" t="n">
        <v>52.1</v>
      </c>
      <c r="L1664" t="n">
        <v>51.7</v>
      </c>
      <c r="M1664" s="155" t="n">
        <v>0.27</v>
      </c>
      <c r="N1664" t="inlineStr">
        <is>
          <t>從事數據預付卡及移工金流服務業務</t>
        </is>
      </c>
    </row>
    <row r="1665">
      <c r="A1665" t="n">
        <v>6171</v>
      </c>
      <c r="B1665" t="inlineStr">
        <is>
          <t>大城地產</t>
        </is>
      </c>
      <c r="C1665" t="n">
        <v>23.25</v>
      </c>
      <c r="D1665" t="n">
        <v>23.35</v>
      </c>
      <c r="E1665" s="730" t="n">
        <v>0.2</v>
      </c>
      <c r="F1665" s="731" t="n">
        <v>0.86</v>
      </c>
      <c r="G1665" t="inlineStr">
        <is>
          <t>16.4萬</t>
        </is>
      </c>
      <c r="H1665" t="n">
        <v>7</v>
      </c>
      <c r="I1665" t="n">
        <v>38</v>
      </c>
      <c r="J1665" t="n">
        <v>10</v>
      </c>
      <c r="K1665" t="n">
        <v>23.85</v>
      </c>
      <c r="L1665" t="n">
        <v>23.2</v>
      </c>
      <c r="M1665" s="155" t="n">
        <v>0.01</v>
      </c>
      <c r="N1665" t="inlineStr">
        <is>
          <t>大城建設入主的中部不動產開發商</t>
        </is>
      </c>
    </row>
    <row r="1666">
      <c r="A1666" t="n">
        <v>6173</v>
      </c>
      <c r="B1666" t="inlineStr">
        <is>
          <t>信昌電</t>
        </is>
      </c>
      <c r="C1666" t="n">
        <v>225</v>
      </c>
      <c r="D1666" t="n">
        <v>231.5</v>
      </c>
      <c r="E1666" s="730" t="n">
        <v>-5.5</v>
      </c>
      <c r="F1666" s="731" t="n">
        <v>-2.32</v>
      </c>
      <c r="G1666" t="inlineStr">
        <is>
          <t>3.78億</t>
        </is>
      </c>
      <c r="H1666" t="n">
        <v>1721</v>
      </c>
      <c r="I1666" t="n">
        <v>1660</v>
      </c>
      <c r="J1666" t="n">
        <v>17.12</v>
      </c>
      <c r="K1666" t="n">
        <v>231.5</v>
      </c>
      <c r="L1666" t="n">
        <v>214.5</v>
      </c>
      <c r="M1666" s="155" t="n">
        <v>1</v>
      </c>
      <c r="N1666" t="inlineStr">
        <is>
          <t>華新科旗下的MLCC及瓷粉原料供應商</t>
        </is>
      </c>
    </row>
    <row r="1667">
      <c r="A1667" t="n">
        <v>6174</v>
      </c>
      <c r="B1667" t="inlineStr">
        <is>
          <t>安碁</t>
        </is>
      </c>
      <c r="C1667" t="n">
        <v>45.1</v>
      </c>
      <c r="D1667" t="n">
        <v>46</v>
      </c>
      <c r="E1667" s="730" t="n">
        <v>0.65</v>
      </c>
      <c r="F1667" s="731" t="n">
        <v>1.43</v>
      </c>
      <c r="G1667" t="inlineStr">
        <is>
          <t>7228萬</t>
        </is>
      </c>
      <c r="H1667" t="n">
        <v>1626</v>
      </c>
      <c r="I1667" t="n">
        <v>4093</v>
      </c>
      <c r="J1667" t="n">
        <v>5</v>
      </c>
      <c r="K1667" t="n">
        <v>46</v>
      </c>
      <c r="L1667" t="n">
        <v>43.15</v>
      </c>
      <c r="M1667" s="155" t="n">
        <v>3.25</v>
      </c>
      <c r="N1667" t="inlineStr">
        <is>
          <t>台灣三大石英元件廠之一</t>
        </is>
      </c>
    </row>
    <row r="1668">
      <c r="A1668" t="n">
        <v>6175</v>
      </c>
      <c r="B1668" t="inlineStr">
        <is>
          <t>立敦</t>
        </is>
      </c>
      <c r="C1668" t="n">
        <v>99.8</v>
      </c>
      <c r="D1668" t="n">
        <v>95</v>
      </c>
      <c r="E1668" s="730" t="n">
        <v>-4.8</v>
      </c>
      <c r="F1668" s="731" t="n">
        <v>-4.81</v>
      </c>
      <c r="G1668" t="inlineStr">
        <is>
          <t>8.72億</t>
        </is>
      </c>
      <c r="H1668" t="n">
        <v>9242</v>
      </c>
      <c r="I1668" t="n">
        <v>11965</v>
      </c>
      <c r="J1668" t="n">
        <v>15.01</v>
      </c>
      <c r="K1668" t="n">
        <v>99.8</v>
      </c>
      <c r="L1668" t="n">
        <v>90.5</v>
      </c>
      <c r="M1668" s="155" t="n">
        <v>6.16</v>
      </c>
      <c r="N1668" t="inlineStr">
        <is>
          <t>立隆電旗下的被動元件上游鋁箔製造廠</t>
        </is>
      </c>
    </row>
    <row r="1669">
      <c r="A1669" t="n">
        <v>6176</v>
      </c>
      <c r="B1669" t="inlineStr">
        <is>
          <t>瑞儀</t>
        </is>
      </c>
      <c r="C1669" t="n">
        <v>105.5</v>
      </c>
      <c r="D1669" t="n">
        <v>103.5</v>
      </c>
      <c r="E1669" s="730" t="n">
        <v>-1.5</v>
      </c>
      <c r="F1669" s="731" t="n">
        <v>-1.43</v>
      </c>
      <c r="G1669" t="inlineStr">
        <is>
          <t>12.5億</t>
        </is>
      </c>
      <c r="H1669" t="n">
        <v>12188</v>
      </c>
      <c r="I1669" t="n">
        <v>7893</v>
      </c>
      <c r="J1669" t="n">
        <v>46.5</v>
      </c>
      <c r="K1669" t="n">
        <v>106</v>
      </c>
      <c r="L1669" t="n">
        <v>101.5</v>
      </c>
      <c r="M1669" s="155" t="n">
        <v>2.62</v>
      </c>
      <c r="N1669" t="inlineStr">
        <is>
          <t>全球最大背光模組(BLU)廠</t>
        </is>
      </c>
    </row>
    <row r="1670">
      <c r="A1670" t="n">
        <v>6177</v>
      </c>
      <c r="B1670" t="inlineStr">
        <is>
          <t>達麗</t>
        </is>
      </c>
      <c r="C1670" t="n">
        <v>43.8</v>
      </c>
      <c r="D1670" t="n">
        <v>43</v>
      </c>
      <c r="E1670" s="730" t="n">
        <v>-0.6</v>
      </c>
      <c r="F1670" s="731" t="n">
        <v>-1.38</v>
      </c>
      <c r="G1670" t="inlineStr">
        <is>
          <t>5754萬</t>
        </is>
      </c>
      <c r="H1670" t="n">
        <v>1332</v>
      </c>
      <c r="I1670" t="n">
        <v>2249</v>
      </c>
      <c r="J1670" t="n">
        <v>47.19</v>
      </c>
      <c r="K1670" t="n">
        <v>43.8</v>
      </c>
      <c r="L1670" t="n">
        <v>42.85</v>
      </c>
      <c r="M1670" s="155" t="n">
        <v>0.28</v>
      </c>
      <c r="N1670" t="inlineStr">
        <is>
          <t>推案集中於林口、竹北、高雄等地，近年業務拓展至美國西雅圖</t>
        </is>
      </c>
    </row>
    <row r="1671">
      <c r="A1671" t="n">
        <v>6179</v>
      </c>
      <c r="B1671" t="inlineStr">
        <is>
          <t>亞通</t>
        </is>
      </c>
      <c r="C1671" t="n">
        <v>23.85</v>
      </c>
      <c r="D1671" t="n">
        <v>23.6</v>
      </c>
      <c r="E1671" s="730" t="n">
        <v>-0.2</v>
      </c>
      <c r="F1671" s="731" t="n">
        <v>-0.84</v>
      </c>
      <c r="G1671" t="inlineStr">
        <is>
          <t>4987萬</t>
        </is>
      </c>
      <c r="H1671" t="n">
        <v>2113</v>
      </c>
      <c r="I1671" t="n">
        <v>1520</v>
      </c>
      <c r="J1671" t="n">
        <v>17.73</v>
      </c>
      <c r="K1671" t="n">
        <v>24.05</v>
      </c>
      <c r="L1671" t="n">
        <v>23.35</v>
      </c>
      <c r="M1671" s="155" t="n">
        <v>1.19</v>
      </c>
      <c r="N1671" t="inlineStr">
        <is>
          <t>海外以菲律賓為主，從事能源工程相關業務</t>
        </is>
      </c>
    </row>
    <row r="1672">
      <c r="A1672" t="n">
        <v>6180</v>
      </c>
      <c r="B1672" t="inlineStr">
        <is>
          <t>橘子</t>
        </is>
      </c>
      <c r="C1672" t="n">
        <v>42.3</v>
      </c>
      <c r="D1672" t="n">
        <v>44</v>
      </c>
      <c r="E1672" s="730" t="n">
        <v>2</v>
      </c>
      <c r="F1672" s="731" t="n">
        <v>4.76</v>
      </c>
      <c r="G1672" t="inlineStr">
        <is>
          <t>7205萬</t>
        </is>
      </c>
      <c r="H1672" t="n">
        <v>1664</v>
      </c>
      <c r="I1672" t="n">
        <v>938</v>
      </c>
      <c r="J1672" t="n">
        <v>17.55</v>
      </c>
      <c r="K1672" t="n">
        <v>44.25</v>
      </c>
      <c r="L1672" t="n">
        <v>41.95</v>
      </c>
      <c r="M1672" s="155" t="n">
        <v>0.95</v>
      </c>
      <c r="N1672" t="inlineStr">
        <is>
          <t>台灣遊戲軟體開發與營運知名企業</t>
        </is>
      </c>
    </row>
    <row r="1673">
      <c r="A1673" t="n">
        <v>6182</v>
      </c>
      <c r="B1673" t="inlineStr">
        <is>
          <t>合晶</t>
        </is>
      </c>
      <c r="C1673" t="n">
        <v>96.59999999999999</v>
      </c>
      <c r="D1673" t="n">
        <v>90.09999999999999</v>
      </c>
      <c r="E1673" s="730" t="n">
        <v>-6.9</v>
      </c>
      <c r="F1673" s="731" t="n">
        <v>-7.11</v>
      </c>
      <c r="G1673" t="inlineStr">
        <is>
          <t>12.9億</t>
        </is>
      </c>
      <c r="H1673" t="n">
        <v>14496</v>
      </c>
      <c r="I1673" t="n">
        <v>54856</v>
      </c>
      <c r="J1673" t="n">
        <v>59.36</v>
      </c>
      <c r="K1673" t="n">
        <v>96.59999999999999</v>
      </c>
      <c r="L1673" t="n">
        <v>87.3</v>
      </c>
      <c r="M1673" s="155" t="n">
        <v>2.44</v>
      </c>
      <c r="N1673" t="inlineStr">
        <is>
          <t>台灣6吋及8吋矽晶圓製造商</t>
        </is>
      </c>
    </row>
    <row r="1674">
      <c r="A1674" t="n">
        <v>6183</v>
      </c>
      <c r="B1674" t="inlineStr">
        <is>
          <t>關貿</t>
        </is>
      </c>
      <c r="C1674" t="n">
        <v>91.5</v>
      </c>
      <c r="D1674" t="n">
        <v>91</v>
      </c>
      <c r="E1674" s="730" t="n">
        <v>-0.5</v>
      </c>
      <c r="F1674" s="731" t="n">
        <v>-0.55</v>
      </c>
      <c r="G1674" t="inlineStr">
        <is>
          <t>264萬</t>
        </is>
      </c>
      <c r="H1674" t="n">
        <v>29</v>
      </c>
      <c r="I1674" t="n">
        <v>70</v>
      </c>
      <c r="J1674" t="n">
        <v>15</v>
      </c>
      <c r="K1674" t="n">
        <v>91.5</v>
      </c>
      <c r="L1674" t="n">
        <v>90</v>
      </c>
      <c r="M1674" s="155" t="n">
        <v>0.02</v>
      </c>
      <c r="N1674" t="inlineStr">
        <is>
          <t>台灣政務相關應用軟體業者</t>
        </is>
      </c>
    </row>
    <row r="1675">
      <c r="A1675" t="n">
        <v>6184</v>
      </c>
      <c r="B1675" t="inlineStr">
        <is>
          <t>大豐電</t>
        </is>
      </c>
      <c r="C1675" t="n">
        <v>45.95</v>
      </c>
      <c r="D1675" t="n">
        <v>46</v>
      </c>
      <c r="E1675" s="730" t="n">
        <v>0.05</v>
      </c>
      <c r="F1675" s="731" t="n">
        <v>0.11</v>
      </c>
      <c r="G1675" t="inlineStr">
        <is>
          <t>262萬</t>
        </is>
      </c>
      <c r="H1675" t="n">
        <v>57</v>
      </c>
      <c r="I1675" t="n">
        <v>78</v>
      </c>
      <c r="J1675" t="n">
        <v>16.21</v>
      </c>
      <c r="K1675" t="n">
        <v>46</v>
      </c>
      <c r="L1675" t="n">
        <v>45.85</v>
      </c>
      <c r="M1675" s="155" t="n">
        <v>0.04</v>
      </c>
      <c r="N1675" t="inlineStr">
        <is>
          <t>新北市最大有線電視公司</t>
        </is>
      </c>
    </row>
    <row r="1676">
      <c r="A1676" t="n">
        <v>6185</v>
      </c>
      <c r="B1676" t="inlineStr">
        <is>
          <t>幃翔</t>
        </is>
      </c>
      <c r="C1676" t="n">
        <v>14</v>
      </c>
      <c r="D1676" t="n">
        <v>14.15</v>
      </c>
      <c r="E1676" s="730" t="n">
        <v>0.2</v>
      </c>
      <c r="F1676" s="731" t="n">
        <v>1.43</v>
      </c>
      <c r="G1676" t="inlineStr">
        <is>
          <t>419萬</t>
        </is>
      </c>
      <c r="H1676" t="n">
        <v>299</v>
      </c>
      <c r="I1676" t="n">
        <v>218</v>
      </c>
      <c r="J1676" t="n">
        <v>14.99</v>
      </c>
      <c r="K1676" t="n">
        <v>14.15</v>
      </c>
      <c r="L1676" t="n">
        <v>13.9</v>
      </c>
      <c r="M1676" s="155" t="n">
        <v>0.2</v>
      </c>
      <c r="N1676" t="inlineStr">
        <is>
          <t>生產各類應用連接器</t>
        </is>
      </c>
    </row>
    <row r="1677">
      <c r="A1677" t="n">
        <v>6186</v>
      </c>
      <c r="B1677" t="inlineStr">
        <is>
          <t>新潤</t>
        </is>
      </c>
      <c r="C1677" t="n">
        <v>39.5</v>
      </c>
      <c r="D1677" t="n">
        <v>39.2</v>
      </c>
      <c r="E1677" s="730" t="n">
        <v>-0.2</v>
      </c>
      <c r="F1677" s="731" t="n">
        <v>-0.51</v>
      </c>
      <c r="G1677" t="inlineStr">
        <is>
          <t>3306萬</t>
        </is>
      </c>
      <c r="H1677" t="n">
        <v>845</v>
      </c>
      <c r="I1677" t="n">
        <v>758</v>
      </c>
      <c r="J1677" t="n">
        <v>19.49</v>
      </c>
      <c r="K1677" t="n">
        <v>39.7</v>
      </c>
      <c r="L1677" t="n">
        <v>38.95</v>
      </c>
      <c r="M1677" s="155" t="n">
        <v>0.43</v>
      </c>
      <c r="N1677" t="inlineStr">
        <is>
          <t>推案以台鐵、高鐵及捷運沿線為主之建商</t>
        </is>
      </c>
    </row>
    <row r="1678">
      <c r="A1678" t="n">
        <v>6187</v>
      </c>
      <c r="B1678" t="inlineStr">
        <is>
          <t>萬潤</t>
        </is>
      </c>
      <c r="C1678" t="n">
        <v>1090</v>
      </c>
      <c r="D1678" t="n">
        <v>1010</v>
      </c>
      <c r="E1678" s="730" t="n">
        <v>-60</v>
      </c>
      <c r="F1678" s="731" t="n">
        <v>-5.61</v>
      </c>
      <c r="G1678" t="inlineStr">
        <is>
          <t>47.3億</t>
        </is>
      </c>
      <c r="H1678" t="n">
        <v>4626</v>
      </c>
      <c r="I1678" t="n">
        <v>4399</v>
      </c>
      <c r="J1678" t="n">
        <v>9.82</v>
      </c>
      <c r="K1678" t="n">
        <v>1095</v>
      </c>
      <c r="L1678" t="n">
        <v>998</v>
      </c>
      <c r="M1678" s="155" t="n">
        <v>4.74</v>
      </c>
      <c r="N1678" t="inlineStr">
        <is>
          <t>半導體及被動元件設備領導廠商</t>
        </is>
      </c>
    </row>
    <row r="1679">
      <c r="A1679" t="n">
        <v>6188</v>
      </c>
      <c r="B1679" t="inlineStr">
        <is>
          <t>廣明</t>
        </is>
      </c>
      <c r="C1679" t="n">
        <v>88</v>
      </c>
      <c r="D1679" t="n">
        <v>87.09999999999999</v>
      </c>
      <c r="E1679" s="730" t="n">
        <v>-0.3</v>
      </c>
      <c r="F1679" s="731" t="n">
        <v>-0.34</v>
      </c>
      <c r="G1679" t="inlineStr">
        <is>
          <t>3.27億</t>
        </is>
      </c>
      <c r="H1679" t="n">
        <v>3757</v>
      </c>
      <c r="I1679" t="n">
        <v>3111</v>
      </c>
      <c r="J1679" t="n">
        <v>27.84</v>
      </c>
      <c r="K1679" t="n">
        <v>88.7</v>
      </c>
      <c r="L1679" t="n">
        <v>85.7</v>
      </c>
      <c r="M1679" s="155" t="n">
        <v>1.35</v>
      </c>
      <c r="N1679" t="inlineStr">
        <is>
          <t>廣達集團旗下的硬碟產品代工廠</t>
        </is>
      </c>
    </row>
    <row r="1680">
      <c r="A1680" t="n">
        <v>6189</v>
      </c>
      <c r="B1680" t="inlineStr">
        <is>
          <t>豐藝</t>
        </is>
      </c>
      <c r="C1680" t="n">
        <v>50</v>
      </c>
      <c r="D1680" t="n">
        <v>51.1</v>
      </c>
      <c r="E1680" s="730" t="n">
        <v>1.2</v>
      </c>
      <c r="F1680" s="731" t="n">
        <v>2.4</v>
      </c>
      <c r="G1680" t="inlineStr">
        <is>
          <t>7711萬</t>
        </is>
      </c>
      <c r="H1680" t="n">
        <v>1528</v>
      </c>
      <c r="I1680" t="n">
        <v>1262</v>
      </c>
      <c r="J1680" t="n">
        <v>26.46</v>
      </c>
      <c r="K1680" t="n">
        <v>51.3</v>
      </c>
      <c r="L1680" t="n">
        <v>49.7</v>
      </c>
      <c r="M1680" s="155" t="n">
        <v>0.58</v>
      </c>
      <c r="N1680" t="inlineStr">
        <is>
          <t>國內專業的電子零組件經銷通路商</t>
        </is>
      </c>
    </row>
    <row r="1681">
      <c r="A1681" t="n">
        <v>6190</v>
      </c>
      <c r="B1681" t="inlineStr">
        <is>
          <t>萬泰科</t>
        </is>
      </c>
      <c r="C1681" t="n">
        <v>91.5</v>
      </c>
      <c r="D1681" t="n">
        <v>83.3</v>
      </c>
      <c r="E1681" s="730" t="n">
        <v>-8.300000000000001</v>
      </c>
      <c r="F1681" s="731" t="n">
        <v>-9.06</v>
      </c>
      <c r="G1681" t="inlineStr">
        <is>
          <t>11.7億</t>
        </is>
      </c>
      <c r="H1681" t="n">
        <v>13644</v>
      </c>
      <c r="I1681" t="n">
        <v>14029</v>
      </c>
      <c r="J1681" t="n">
        <v>18.77</v>
      </c>
      <c r="K1681" t="n">
        <v>93</v>
      </c>
      <c r="L1681" t="n">
        <v>82.5</v>
      </c>
      <c r="M1681" s="155" t="n">
        <v>7.31</v>
      </c>
      <c r="N1681" t="inlineStr">
        <is>
          <t>主要生產網通、醫療、車用等市場應用的線材供應商</t>
        </is>
      </c>
    </row>
    <row r="1682">
      <c r="A1682" t="n">
        <v>6191</v>
      </c>
      <c r="B1682" t="inlineStr">
        <is>
          <t>精成科</t>
        </is>
      </c>
      <c r="C1682" t="n">
        <v>97</v>
      </c>
      <c r="D1682" t="n">
        <v>97</v>
      </c>
      <c r="E1682" s="730" t="n">
        <v>0.8</v>
      </c>
      <c r="F1682" s="731" t="n">
        <v>0.83</v>
      </c>
      <c r="G1682" t="inlineStr">
        <is>
          <t>4.32億</t>
        </is>
      </c>
      <c r="H1682" t="n">
        <v>4464</v>
      </c>
      <c r="I1682" t="n">
        <v>9693</v>
      </c>
      <c r="J1682" t="n">
        <v>49.93</v>
      </c>
      <c r="K1682" t="n">
        <v>97.90000000000001</v>
      </c>
      <c r="L1682" t="n">
        <v>95.8</v>
      </c>
      <c r="M1682" s="155" t="n">
        <v>0.89</v>
      </c>
      <c r="N1682" t="inlineStr">
        <is>
          <t>瀚宇博轉投資印刷電路板暨組裝代工廠</t>
        </is>
      </c>
    </row>
    <row r="1683">
      <c r="A1683" t="n">
        <v>6192</v>
      </c>
      <c r="B1683" t="inlineStr">
        <is>
          <t>巨路</t>
        </is>
      </c>
      <c r="C1683" t="n">
        <v>129</v>
      </c>
      <c r="D1683" t="n">
        <v>127.5</v>
      </c>
      <c r="E1683" s="730" t="n">
        <v>-1.5</v>
      </c>
      <c r="F1683" s="731" t="n">
        <v>-1.16</v>
      </c>
      <c r="G1683" t="inlineStr">
        <is>
          <t>3640萬</t>
        </is>
      </c>
      <c r="H1683" t="n">
        <v>287</v>
      </c>
      <c r="I1683" t="n">
        <v>451</v>
      </c>
      <c r="J1683" t="n">
        <v>9.619999999999999</v>
      </c>
      <c r="K1683" t="n">
        <v>129</v>
      </c>
      <c r="L1683" t="n">
        <v>125.5</v>
      </c>
      <c r="M1683" s="155" t="n">
        <v>0.3</v>
      </c>
      <c r="N1683" t="inlineStr">
        <is>
          <t>程控儀錶與電子材料通路商</t>
        </is>
      </c>
    </row>
    <row r="1684">
      <c r="A1684" t="n">
        <v>6194</v>
      </c>
      <c r="B1684" t="inlineStr">
        <is>
          <t>育富</t>
        </is>
      </c>
      <c r="C1684" t="n">
        <v>34.2</v>
      </c>
      <c r="D1684" t="n">
        <v>33.4</v>
      </c>
      <c r="E1684" s="730" t="n">
        <v>-0.75</v>
      </c>
      <c r="F1684" s="731" t="n">
        <v>-2.2</v>
      </c>
      <c r="G1684" t="inlineStr">
        <is>
          <t>360萬</t>
        </is>
      </c>
      <c r="H1684" t="n">
        <v>108</v>
      </c>
      <c r="I1684" t="n">
        <v>261</v>
      </c>
      <c r="J1684" t="n">
        <v>4.8</v>
      </c>
      <c r="K1684" t="n">
        <v>34.2</v>
      </c>
      <c r="L1684" t="n">
        <v>32.7</v>
      </c>
      <c r="M1684" s="155" t="n">
        <v>0.22</v>
      </c>
      <c r="N1684" t="inlineStr">
        <is>
          <t>台灣印刷電路板製造業者</t>
        </is>
      </c>
    </row>
    <row r="1685">
      <c r="A1685" t="n">
        <v>6195</v>
      </c>
      <c r="B1685" t="inlineStr">
        <is>
          <t>詩肯</t>
        </is>
      </c>
      <c r="C1685" t="n">
        <v>26.15</v>
      </c>
      <c r="D1685" t="n">
        <v>26.05</v>
      </c>
      <c r="E1685" s="730" t="n">
        <v>-0.1</v>
      </c>
      <c r="F1685" s="731" t="n">
        <v>-0.38</v>
      </c>
      <c r="G1685" t="inlineStr">
        <is>
          <t>83.2萬</t>
        </is>
      </c>
      <c r="H1685" t="n">
        <v>32</v>
      </c>
      <c r="I1685" t="n">
        <v>36</v>
      </c>
      <c r="J1685" t="n">
        <v>5.02</v>
      </c>
      <c r="K1685" t="n">
        <v>26.2</v>
      </c>
      <c r="L1685" t="n">
        <v>25.85</v>
      </c>
      <c r="M1685" s="155" t="n">
        <v>0.06</v>
      </c>
      <c r="N1685" t="inlineStr">
        <is>
          <t>台灣連鎖品牌家具之零售通路龍頭</t>
        </is>
      </c>
    </row>
    <row r="1686">
      <c r="A1686" t="n">
        <v>6196</v>
      </c>
      <c r="B1686" t="inlineStr">
        <is>
          <t>帆宣</t>
        </is>
      </c>
      <c r="C1686" t="n">
        <v>515</v>
      </c>
      <c r="D1686" t="n">
        <v>517</v>
      </c>
      <c r="E1686" s="730" t="n">
        <v>4</v>
      </c>
      <c r="F1686" s="731" t="n">
        <v>0.78</v>
      </c>
      <c r="G1686" t="inlineStr">
        <is>
          <t>9.54億</t>
        </is>
      </c>
      <c r="H1686" t="n">
        <v>1877</v>
      </c>
      <c r="I1686" t="n">
        <v>3465</v>
      </c>
      <c r="J1686" t="n">
        <v>22.03</v>
      </c>
      <c r="K1686" t="n">
        <v>517</v>
      </c>
      <c r="L1686" t="n">
        <v>498</v>
      </c>
      <c r="M1686" s="155" t="n">
        <v>0.85</v>
      </c>
      <c r="N1686" t="inlineStr">
        <is>
          <t>專注於設備工程及耗材代理的廠商</t>
        </is>
      </c>
    </row>
    <row r="1687">
      <c r="A1687" t="n">
        <v>6197</v>
      </c>
      <c r="B1687" t="inlineStr">
        <is>
          <t>佳必琪</t>
        </is>
      </c>
      <c r="C1687" t="n">
        <v>312</v>
      </c>
      <c r="D1687" t="n">
        <v>311</v>
      </c>
      <c r="E1687" s="730" t="n">
        <v>2</v>
      </c>
      <c r="F1687" s="731" t="n">
        <v>0.65</v>
      </c>
      <c r="G1687" t="inlineStr">
        <is>
          <t>16.1億</t>
        </is>
      </c>
      <c r="H1687" t="n">
        <v>5209</v>
      </c>
      <c r="I1687" t="n">
        <v>7123</v>
      </c>
      <c r="J1687" t="n">
        <v>12.21</v>
      </c>
      <c r="K1687" t="n">
        <v>316</v>
      </c>
      <c r="L1687" t="n">
        <v>303.5</v>
      </c>
      <c r="M1687" s="155" t="n">
        <v>4.27</v>
      </c>
      <c r="N1687" t="inlineStr">
        <is>
          <t>國內連接器及線束廠</t>
        </is>
      </c>
    </row>
    <row r="1688">
      <c r="A1688" t="n">
        <v>6198</v>
      </c>
      <c r="B1688" t="inlineStr">
        <is>
          <t>瑞築</t>
        </is>
      </c>
      <c r="C1688" t="n">
        <v>20.55</v>
      </c>
      <c r="D1688" t="n">
        <v>20.4</v>
      </c>
      <c r="E1688" s="730" t="n">
        <v>0</v>
      </c>
      <c r="F1688" s="731" t="n">
        <v>0</v>
      </c>
      <c r="G1688" t="inlineStr">
        <is>
          <t>22.7萬</t>
        </is>
      </c>
      <c r="H1688" t="n">
        <v>11</v>
      </c>
      <c r="I1688" t="n">
        <v>31</v>
      </c>
      <c r="J1688" t="n">
        <v>17.14</v>
      </c>
      <c r="K1688" t="n">
        <v>20.7</v>
      </c>
      <c r="L1688" t="n">
        <v>20.4</v>
      </c>
      <c r="M1688" s="155" t="n">
        <v>0.01</v>
      </c>
      <c r="N1688" t="inlineStr">
        <is>
          <t>主打首購族市場的不動產開發公司</t>
        </is>
      </c>
    </row>
    <row r="1689">
      <c r="A1689" t="n">
        <v>6199</v>
      </c>
      <c r="B1689" t="inlineStr">
        <is>
          <t>天品</t>
        </is>
      </c>
      <c r="C1689" t="n">
        <v>89.90000000000001</v>
      </c>
      <c r="D1689" t="n">
        <v>90.40000000000001</v>
      </c>
      <c r="E1689" s="730" t="n">
        <v>0.5</v>
      </c>
      <c r="F1689" s="731" t="n">
        <v>0.5600000000000001</v>
      </c>
      <c r="G1689" t="inlineStr">
        <is>
          <t>4073萬</t>
        </is>
      </c>
      <c r="H1689" t="n">
        <v>451</v>
      </c>
      <c r="I1689" t="n">
        <v>491</v>
      </c>
      <c r="J1689" t="n">
        <v>6.18</v>
      </c>
      <c r="K1689" t="n">
        <v>91.09999999999999</v>
      </c>
      <c r="L1689" t="n">
        <v>88.90000000000001</v>
      </c>
      <c r="M1689" s="155" t="n">
        <v>0.73</v>
      </c>
      <c r="N1689" t="inlineStr">
        <is>
          <t>專營基督徒塔位銷售及殯葬服務</t>
        </is>
      </c>
    </row>
    <row r="1690">
      <c r="A1690" t="n">
        <v>6201</v>
      </c>
      <c r="B1690" t="inlineStr">
        <is>
          <t>亞弘電</t>
        </is>
      </c>
      <c r="C1690" t="n">
        <v>48.5</v>
      </c>
      <c r="D1690" t="n">
        <v>49</v>
      </c>
      <c r="E1690" s="730" t="n">
        <v>0.5</v>
      </c>
      <c r="F1690" s="731" t="n">
        <v>1.03</v>
      </c>
      <c r="G1690" t="inlineStr">
        <is>
          <t>391萬</t>
        </is>
      </c>
      <c r="H1690" t="n">
        <v>80</v>
      </c>
      <c r="I1690" t="n">
        <v>64</v>
      </c>
      <c r="J1690" t="n">
        <v>8.92</v>
      </c>
      <c r="K1690" t="n">
        <v>49.9</v>
      </c>
      <c r="L1690" t="n">
        <v>48.1</v>
      </c>
      <c r="M1690" s="155" t="n">
        <v>0.09</v>
      </c>
      <c r="N1690" t="inlineStr">
        <is>
          <t>音訊及小家電ODM大廠</t>
        </is>
      </c>
    </row>
    <row r="1691">
      <c r="A1691" t="n">
        <v>6202</v>
      </c>
      <c r="B1691" t="inlineStr">
        <is>
          <t>盛群</t>
        </is>
      </c>
      <c r="C1691" t="n">
        <v>58.6</v>
      </c>
      <c r="D1691" t="n">
        <v>57.7</v>
      </c>
      <c r="E1691" s="730" t="n">
        <v>-0.4</v>
      </c>
      <c r="F1691" s="731" t="n">
        <v>-0.6899999999999999</v>
      </c>
      <c r="G1691" t="inlineStr">
        <is>
          <t>1.47億</t>
        </is>
      </c>
      <c r="H1691" t="n">
        <v>2572</v>
      </c>
      <c r="I1691" t="n">
        <v>4638</v>
      </c>
      <c r="J1691" t="n">
        <v>23.04</v>
      </c>
      <c r="K1691" t="n">
        <v>59.2</v>
      </c>
      <c r="L1691" t="n">
        <v>56</v>
      </c>
      <c r="M1691" s="155" t="n">
        <v>1.14</v>
      </c>
      <c r="N1691" t="inlineStr">
        <is>
          <t>全球MCU大廠</t>
        </is>
      </c>
    </row>
    <row r="1692">
      <c r="A1692" t="n">
        <v>6203</v>
      </c>
      <c r="B1692" t="inlineStr">
        <is>
          <t>海韻電</t>
        </is>
      </c>
      <c r="C1692" t="n">
        <v>72.3</v>
      </c>
      <c r="D1692" t="n">
        <v>72.09999999999999</v>
      </c>
      <c r="E1692" s="730" t="n">
        <v>0.1</v>
      </c>
      <c r="F1692" s="731" t="n">
        <v>0.14</v>
      </c>
      <c r="G1692" t="inlineStr">
        <is>
          <t>2226萬</t>
        </is>
      </c>
      <c r="H1692" t="n">
        <v>313</v>
      </c>
      <c r="I1692" t="n">
        <v>298</v>
      </c>
      <c r="J1692" t="n">
        <v>8.24</v>
      </c>
      <c r="K1692" t="n">
        <v>72.8</v>
      </c>
      <c r="L1692" t="n">
        <v>71.5</v>
      </c>
      <c r="M1692" s="155" t="n">
        <v>0.38</v>
      </c>
      <c r="N1692" t="inlineStr">
        <is>
          <t>台灣以PC高階應用為主之交換式電源供應器廠商</t>
        </is>
      </c>
    </row>
    <row r="1693">
      <c r="A1693" t="n">
        <v>6204</v>
      </c>
      <c r="B1693" t="inlineStr">
        <is>
          <t>艾華</t>
        </is>
      </c>
      <c r="C1693" t="n">
        <v>101.5</v>
      </c>
      <c r="D1693" t="n">
        <v>104.5</v>
      </c>
      <c r="E1693" s="730" t="n">
        <v>2.5</v>
      </c>
      <c r="F1693" s="731" t="n">
        <v>2.45</v>
      </c>
      <c r="G1693" t="inlineStr">
        <is>
          <t>1.32億</t>
        </is>
      </c>
      <c r="H1693" t="n">
        <v>1292</v>
      </c>
      <c r="I1693" t="n">
        <v>959</v>
      </c>
      <c r="J1693" t="n">
        <v>2.31</v>
      </c>
      <c r="K1693" t="n">
        <v>105</v>
      </c>
      <c r="L1693" t="n">
        <v>97.5</v>
      </c>
      <c r="M1693" s="155" t="n">
        <v>5.59</v>
      </c>
      <c r="N1693" t="inlineStr">
        <is>
          <t>國內利基型被動元件大廠</t>
        </is>
      </c>
    </row>
    <row r="1694">
      <c r="A1694" t="n">
        <v>6205</v>
      </c>
      <c r="B1694" t="inlineStr">
        <is>
          <t>詮欣</t>
        </is>
      </c>
      <c r="C1694" t="n">
        <v>81.2</v>
      </c>
      <c r="D1694" t="n">
        <v>89.3</v>
      </c>
      <c r="E1694" s="730" t="n">
        <v>8.1</v>
      </c>
      <c r="F1694" s="731" t="n">
        <v>9.98</v>
      </c>
      <c r="G1694" t="inlineStr">
        <is>
          <t>7.47億</t>
        </is>
      </c>
      <c r="H1694" t="n">
        <v>8691</v>
      </c>
      <c r="I1694" t="n">
        <v>1895</v>
      </c>
      <c r="J1694" t="n">
        <v>8.220000000000001</v>
      </c>
      <c r="K1694" t="n">
        <v>89.3</v>
      </c>
      <c r="L1694" t="n">
        <v>79.90000000000001</v>
      </c>
      <c r="M1694" s="155" t="n">
        <v>10.57</v>
      </c>
      <c r="N1694" t="inlineStr">
        <is>
          <t>專業連接器及連接線廠商</t>
        </is>
      </c>
    </row>
    <row r="1695">
      <c r="A1695" t="n">
        <v>6206</v>
      </c>
      <c r="B1695" t="inlineStr">
        <is>
          <t>飛捷</t>
        </is>
      </c>
      <c r="C1695" t="n">
        <v>142.5</v>
      </c>
      <c r="D1695" t="n">
        <v>142</v>
      </c>
      <c r="E1695" s="730" t="n">
        <v>0.5</v>
      </c>
      <c r="F1695" s="731" t="n">
        <v>0.35</v>
      </c>
      <c r="G1695" t="inlineStr">
        <is>
          <t>2.64億</t>
        </is>
      </c>
      <c r="H1695" t="n">
        <v>1879</v>
      </c>
      <c r="I1695" t="n">
        <v>2624</v>
      </c>
      <c r="J1695" t="n">
        <v>14.31</v>
      </c>
      <c r="K1695" t="n">
        <v>143.5</v>
      </c>
      <c r="L1695" t="n">
        <v>138</v>
      </c>
      <c r="M1695" s="155" t="n">
        <v>1.31</v>
      </c>
      <c r="N1695" t="inlineStr">
        <is>
          <t>台灣最大、全球前三大POS專業代工廠</t>
        </is>
      </c>
    </row>
    <row r="1696">
      <c r="A1696" t="n">
        <v>6207</v>
      </c>
      <c r="B1696" t="inlineStr">
        <is>
          <t>雷科</t>
        </is>
      </c>
      <c r="C1696" t="n">
        <v>128.5</v>
      </c>
      <c r="D1696" t="n">
        <v>127</v>
      </c>
      <c r="E1696" s="730" t="n">
        <v>4.5</v>
      </c>
      <c r="F1696" s="731" t="n">
        <v>3.67</v>
      </c>
      <c r="G1696" t="inlineStr">
        <is>
          <t>33.1億</t>
        </is>
      </c>
      <c r="H1696" t="n">
        <v>26142</v>
      </c>
      <c r="I1696" t="n">
        <v>18692</v>
      </c>
      <c r="J1696" t="n">
        <v>8.720000000000001</v>
      </c>
      <c r="K1696" t="n">
        <v>133</v>
      </c>
      <c r="L1696" t="n">
        <v>122</v>
      </c>
      <c r="M1696" s="155" t="n">
        <v>32.78</v>
      </c>
      <c r="N1696" t="inlineStr">
        <is>
          <t>主/被動元件設備及材料供應商</t>
        </is>
      </c>
    </row>
    <row r="1697">
      <c r="A1697" t="n">
        <v>6208</v>
      </c>
      <c r="B1697" t="inlineStr">
        <is>
          <t>日揚</t>
        </is>
      </c>
      <c r="C1697" t="n">
        <v>93.90000000000001</v>
      </c>
      <c r="D1697" t="n">
        <v>91.5</v>
      </c>
      <c r="E1697" s="730" t="n">
        <v>-1.3</v>
      </c>
      <c r="F1697" s="731" t="n">
        <v>-1.4</v>
      </c>
      <c r="G1697" t="inlineStr">
        <is>
          <t>8600萬</t>
        </is>
      </c>
      <c r="H1697" t="n">
        <v>940</v>
      </c>
      <c r="I1697" t="n">
        <v>1360</v>
      </c>
      <c r="J1697" t="n">
        <v>9.449999999999999</v>
      </c>
      <c r="K1697" t="n">
        <v>93.90000000000001</v>
      </c>
      <c r="L1697" t="n">
        <v>89.90000000000001</v>
      </c>
      <c r="M1697" s="155" t="n">
        <v>1</v>
      </c>
      <c r="N1697" t="inlineStr">
        <is>
          <t>台灣最大製程設備真空元件供應商</t>
        </is>
      </c>
    </row>
    <row r="1698">
      <c r="A1698" t="n">
        <v>6209</v>
      </c>
      <c r="B1698" t="inlineStr">
        <is>
          <t>今國光</t>
        </is>
      </c>
      <c r="C1698" t="n">
        <v>84.5</v>
      </c>
      <c r="D1698" t="n">
        <v>79.2</v>
      </c>
      <c r="E1698" s="730" t="n">
        <v>-5.3</v>
      </c>
      <c r="F1698" s="731" t="n">
        <v>-6.27</v>
      </c>
      <c r="G1698" t="inlineStr">
        <is>
          <t>9.72億</t>
        </is>
      </c>
      <c r="H1698" t="n">
        <v>12118</v>
      </c>
      <c r="I1698" t="n">
        <v>13748</v>
      </c>
      <c r="J1698" t="n">
        <v>18.06</v>
      </c>
      <c r="K1698" t="n">
        <v>84.59999999999999</v>
      </c>
      <c r="L1698" t="n">
        <v>77.59999999999999</v>
      </c>
      <c r="M1698" s="155" t="n">
        <v>6.91</v>
      </c>
      <c r="N1698" t="inlineStr">
        <is>
          <t>台灣光學鏡片、鏡頭製造商</t>
        </is>
      </c>
    </row>
    <row r="1699">
      <c r="A1699" t="n">
        <v>6210</v>
      </c>
      <c r="B1699" t="inlineStr">
        <is>
          <t>慶生</t>
        </is>
      </c>
      <c r="C1699" t="n">
        <v>22.65</v>
      </c>
      <c r="D1699" t="n">
        <v>21.15</v>
      </c>
      <c r="E1699" s="730" t="n">
        <v>0.4</v>
      </c>
      <c r="F1699" s="731" t="n">
        <v>1.93</v>
      </c>
      <c r="G1699" t="inlineStr">
        <is>
          <t>88.6萬</t>
        </is>
      </c>
      <c r="H1699" t="n">
        <v>41</v>
      </c>
      <c r="I1699" t="n">
        <v>34</v>
      </c>
      <c r="J1699" t="n">
        <v>3.5</v>
      </c>
      <c r="K1699" t="n">
        <v>22.65</v>
      </c>
      <c r="L1699" t="n">
        <v>21</v>
      </c>
      <c r="M1699" s="155" t="n">
        <v>0.12</v>
      </c>
      <c r="N1699" t="inlineStr">
        <is>
          <t>台灣中小型的多層PCB廠</t>
        </is>
      </c>
    </row>
    <row r="1700">
      <c r="A1700" t="n">
        <v>6212</v>
      </c>
      <c r="B1700" t="inlineStr">
        <is>
          <t>理銘</t>
        </is>
      </c>
      <c r="C1700" t="inlineStr">
        <is>
          <t>--</t>
        </is>
      </c>
      <c r="D1700" t="inlineStr">
        <is>
          <t>--</t>
        </is>
      </c>
      <c r="E1700" s="730" t="inlineStr">
        <is>
          <t>--</t>
        </is>
      </c>
      <c r="F1700" s="731" t="inlineStr">
        <is>
          <t>--</t>
        </is>
      </c>
      <c r="G1700" t="inlineStr">
        <is>
          <t>--</t>
        </is>
      </c>
      <c r="H1700" t="n">
        <v>0</v>
      </c>
      <c r="I1700" t="n">
        <v>9</v>
      </c>
      <c r="J1700" t="n">
        <v>10.2</v>
      </c>
      <c r="K1700" t="inlineStr">
        <is>
          <t>--</t>
        </is>
      </c>
      <c r="L1700" t="inlineStr">
        <is>
          <t>--</t>
        </is>
      </c>
      <c r="M1700" s="155" t="n">
        <v>0</v>
      </c>
      <c r="N1700" t="inlineStr">
        <is>
          <t>主力開發新竹地區的建商</t>
        </is>
      </c>
    </row>
    <row r="1701">
      <c r="A1701" t="n">
        <v>6213</v>
      </c>
      <c r="B1701" t="inlineStr">
        <is>
          <t>聯茂</t>
        </is>
      </c>
      <c r="C1701" t="n">
        <v>293</v>
      </c>
      <c r="D1701" t="n">
        <v>273</v>
      </c>
      <c r="E1701" s="730" t="n">
        <v>-22</v>
      </c>
      <c r="F1701" s="731" t="n">
        <v>-7.46</v>
      </c>
      <c r="G1701" t="inlineStr">
        <is>
          <t>72.5億</t>
        </is>
      </c>
      <c r="H1701" t="n">
        <v>25888</v>
      </c>
      <c r="I1701" t="n">
        <v>25090</v>
      </c>
      <c r="J1701" t="n">
        <v>36.36</v>
      </c>
      <c r="K1701" t="n">
        <v>294.5</v>
      </c>
      <c r="L1701" t="n">
        <v>268</v>
      </c>
      <c r="M1701" s="155" t="n">
        <v>7.12</v>
      </c>
      <c r="N1701" t="inlineStr">
        <is>
          <t>全球前十大銅箔基板廠之一</t>
        </is>
      </c>
    </row>
    <row r="1702">
      <c r="A1702" t="n">
        <v>6214</v>
      </c>
      <c r="B1702" t="inlineStr">
        <is>
          <t>精誠</t>
        </is>
      </c>
      <c r="C1702" t="n">
        <v>158</v>
      </c>
      <c r="D1702" t="n">
        <v>158</v>
      </c>
      <c r="E1702" s="730" t="n">
        <v>14</v>
      </c>
      <c r="F1702" s="731" t="n">
        <v>9.720000000000001</v>
      </c>
      <c r="G1702" t="inlineStr">
        <is>
          <t>6.00億</t>
        </is>
      </c>
      <c r="H1702" t="n">
        <v>3796</v>
      </c>
      <c r="I1702" t="n">
        <v>2049</v>
      </c>
      <c r="J1702" t="n">
        <v>27.22</v>
      </c>
      <c r="K1702" t="n">
        <v>158</v>
      </c>
      <c r="L1702" t="n">
        <v>156.5</v>
      </c>
      <c r="M1702" s="155" t="n">
        <v>1.39</v>
      </c>
      <c r="N1702" t="inlineStr">
        <is>
          <t>金融服務、科技整合及加值服務系統業者</t>
        </is>
      </c>
    </row>
    <row r="1703">
      <c r="A1703" t="n">
        <v>6215</v>
      </c>
      <c r="B1703" t="inlineStr">
        <is>
          <t>和椿</t>
        </is>
      </c>
      <c r="C1703" t="n">
        <v>130</v>
      </c>
      <c r="D1703" t="n">
        <v>118.5</v>
      </c>
      <c r="E1703" s="730" t="n">
        <v>-10.5</v>
      </c>
      <c r="F1703" s="731" t="n">
        <v>-8.140000000000001</v>
      </c>
      <c r="G1703" t="inlineStr">
        <is>
          <t>6.17億</t>
        </is>
      </c>
      <c r="H1703" t="n">
        <v>5133</v>
      </c>
      <c r="I1703" t="n">
        <v>3951</v>
      </c>
      <c r="J1703" t="n">
        <v>8.279999999999999</v>
      </c>
      <c r="K1703" t="n">
        <v>130</v>
      </c>
      <c r="L1703" t="n">
        <v>116.5</v>
      </c>
      <c r="M1703" s="155" t="n">
        <v>6.2</v>
      </c>
      <c r="N1703" t="inlineStr">
        <is>
          <t>專業的自動化設備零組件、光電製程之工業製造商</t>
        </is>
      </c>
    </row>
    <row r="1704">
      <c r="A1704" t="n">
        <v>6216</v>
      </c>
      <c r="B1704" t="inlineStr">
        <is>
          <t>居易</t>
        </is>
      </c>
      <c r="C1704" t="n">
        <v>23.05</v>
      </c>
      <c r="D1704" t="n">
        <v>23.45</v>
      </c>
      <c r="E1704" s="730" t="n">
        <v>0.45</v>
      </c>
      <c r="F1704" s="731" t="n">
        <v>1.96</v>
      </c>
      <c r="G1704" t="inlineStr">
        <is>
          <t>1002萬</t>
        </is>
      </c>
      <c r="H1704" t="n">
        <v>434</v>
      </c>
      <c r="I1704" t="n">
        <v>416</v>
      </c>
      <c r="J1704" t="n">
        <v>9.73</v>
      </c>
      <c r="K1704" t="n">
        <v>23.45</v>
      </c>
      <c r="L1704" t="n">
        <v>22.75</v>
      </c>
      <c r="M1704" s="155" t="n">
        <v>0.45</v>
      </c>
      <c r="N1704" t="inlineStr">
        <is>
          <t>以DrayTek自有品牌行銷寬頻接取網通設備廠商</t>
        </is>
      </c>
    </row>
    <row r="1705">
      <c r="A1705" t="n">
        <v>6217</v>
      </c>
      <c r="B1705" t="inlineStr">
        <is>
          <t>中探針</t>
        </is>
      </c>
      <c r="C1705" t="n">
        <v>305</v>
      </c>
      <c r="D1705" t="n">
        <v>305</v>
      </c>
      <c r="E1705" s="730" t="n">
        <v>0</v>
      </c>
      <c r="F1705" s="731" t="n">
        <v>0</v>
      </c>
      <c r="G1705" t="inlineStr">
        <is>
          <t>3.66億</t>
        </is>
      </c>
      <c r="H1705" t="n">
        <v>1227</v>
      </c>
      <c r="I1705" t="n">
        <v>1297</v>
      </c>
      <c r="J1705" t="n">
        <v>11.72</v>
      </c>
      <c r="K1705" t="n">
        <v>305</v>
      </c>
      <c r="L1705" t="n">
        <v>295</v>
      </c>
      <c r="M1705" s="155" t="n">
        <v>1.05</v>
      </c>
      <c r="N1705" t="inlineStr">
        <is>
          <t>台灣第一家探針及探針式連接器製造廠</t>
        </is>
      </c>
    </row>
    <row r="1706">
      <c r="A1706" t="n">
        <v>6218</v>
      </c>
      <c r="B1706" t="inlineStr">
        <is>
          <t>豪勉</t>
        </is>
      </c>
      <c r="C1706" t="n">
        <v>38.4</v>
      </c>
      <c r="D1706" t="n">
        <v>37.7</v>
      </c>
      <c r="E1706" s="730" t="n">
        <v>-0.65</v>
      </c>
      <c r="F1706" s="731" t="n">
        <v>-1.69</v>
      </c>
      <c r="G1706" t="inlineStr">
        <is>
          <t>3428萬</t>
        </is>
      </c>
      <c r="H1706" t="n">
        <v>906</v>
      </c>
      <c r="I1706" t="n">
        <v>3208</v>
      </c>
      <c r="J1706" t="n">
        <v>6.43</v>
      </c>
      <c r="K1706" t="n">
        <v>38.85</v>
      </c>
      <c r="L1706" t="n">
        <v>37.2</v>
      </c>
      <c r="M1706" s="155" t="n">
        <v>1.41</v>
      </c>
      <c r="N1706" t="inlineStr">
        <is>
          <t>專注通訊網路系統整合服務與半導體/LED設備解決方案領域</t>
        </is>
      </c>
    </row>
    <row r="1707">
      <c r="A1707" t="n">
        <v>6219</v>
      </c>
      <c r="B1707" t="inlineStr">
        <is>
          <t>富旺</t>
        </is>
      </c>
      <c r="C1707" t="n">
        <v>12</v>
      </c>
      <c r="D1707" t="n">
        <v>12.3</v>
      </c>
      <c r="E1707" s="730" t="n">
        <v>0.2</v>
      </c>
      <c r="F1707" s="731" t="n">
        <v>1.65</v>
      </c>
      <c r="G1707" t="inlineStr">
        <is>
          <t>500萬</t>
        </is>
      </c>
      <c r="H1707" t="n">
        <v>411</v>
      </c>
      <c r="I1707" t="n">
        <v>447</v>
      </c>
      <c r="J1707" t="n">
        <v>12.5</v>
      </c>
      <c r="K1707" t="n">
        <v>12.35</v>
      </c>
      <c r="L1707" t="n">
        <v>12</v>
      </c>
      <c r="M1707" s="155" t="n">
        <v>0.33</v>
      </c>
      <c r="N1707" t="inlineStr">
        <is>
          <t>以台中為核心擴展至全省跨區經營的建商</t>
        </is>
      </c>
    </row>
    <row r="1708">
      <c r="A1708" t="n">
        <v>6220</v>
      </c>
      <c r="B1708" t="inlineStr">
        <is>
          <t>岳豐</t>
        </is>
      </c>
      <c r="C1708" t="n">
        <v>33.95</v>
      </c>
      <c r="D1708" t="n">
        <v>33.3</v>
      </c>
      <c r="E1708" s="730" t="n">
        <v>-0.35</v>
      </c>
      <c r="F1708" s="731" t="n">
        <v>-1.04</v>
      </c>
      <c r="G1708" t="inlineStr">
        <is>
          <t>2236萬</t>
        </is>
      </c>
      <c r="H1708" t="n">
        <v>672</v>
      </c>
      <c r="I1708" t="n">
        <v>1195</v>
      </c>
      <c r="J1708" t="n">
        <v>14.65</v>
      </c>
      <c r="K1708" t="n">
        <v>34.2</v>
      </c>
      <c r="L1708" t="n">
        <v>32.95</v>
      </c>
      <c r="M1708" s="155" t="n">
        <v>0.46</v>
      </c>
      <c r="N1708" t="inlineStr">
        <is>
          <t>主要生產區域網路線材，並延伸至終端產品生產廠商</t>
        </is>
      </c>
    </row>
    <row r="1709">
      <c r="A1709" t="n">
        <v>6221</v>
      </c>
      <c r="B1709" t="inlineStr">
        <is>
          <t>晉泰</t>
        </is>
      </c>
      <c r="C1709" t="n">
        <v>24.05</v>
      </c>
      <c r="D1709" t="n">
        <v>24.1</v>
      </c>
      <c r="E1709" s="730" t="n">
        <v>0.25</v>
      </c>
      <c r="F1709" s="731" t="n">
        <v>1.05</v>
      </c>
      <c r="G1709" t="inlineStr">
        <is>
          <t>265萬</t>
        </is>
      </c>
      <c r="H1709" t="n">
        <v>111</v>
      </c>
      <c r="I1709" t="n">
        <v>265</v>
      </c>
      <c r="J1709" t="n">
        <v>16.86</v>
      </c>
      <c r="K1709" t="n">
        <v>24.15</v>
      </c>
      <c r="L1709" t="n">
        <v>23.65</v>
      </c>
      <c r="M1709" s="155" t="n">
        <v>0.07000000000000001</v>
      </c>
      <c r="N1709" t="inlineStr">
        <is>
          <t>電子商務系統整合廠商</t>
        </is>
      </c>
    </row>
    <row r="1710">
      <c r="A1710" t="n">
        <v>6222</v>
      </c>
      <c r="B1710" t="inlineStr">
        <is>
          <t>立軒</t>
        </is>
      </c>
      <c r="C1710" t="n">
        <v>20.35</v>
      </c>
      <c r="D1710" t="n">
        <v>20.6</v>
      </c>
      <c r="E1710" s="730" t="n">
        <v>-0.05</v>
      </c>
      <c r="F1710" s="731" t="n">
        <v>-0.24</v>
      </c>
      <c r="G1710" t="inlineStr">
        <is>
          <t>24.5萬</t>
        </is>
      </c>
      <c r="H1710" t="n">
        <v>12</v>
      </c>
      <c r="I1710" t="n">
        <v>30</v>
      </c>
      <c r="J1710" t="n">
        <v>9.57</v>
      </c>
      <c r="K1710" t="n">
        <v>20.6</v>
      </c>
      <c r="L1710" t="n">
        <v>20.3</v>
      </c>
      <c r="M1710" s="155" t="n">
        <v>0.01</v>
      </c>
      <c r="N1710" t="inlineStr">
        <is>
          <t>住宅及大樓開發商</t>
        </is>
      </c>
    </row>
    <row r="1711">
      <c r="A1711" t="n">
        <v>6223</v>
      </c>
      <c r="B1711" t="inlineStr">
        <is>
          <t>旺矽</t>
        </is>
      </c>
      <c r="C1711" t="n">
        <v>5630</v>
      </c>
      <c r="D1711" t="n">
        <v>5515</v>
      </c>
      <c r="E1711" s="730" t="n">
        <v>-165</v>
      </c>
      <c r="F1711" s="731" t="n">
        <v>-2.9</v>
      </c>
      <c r="G1711" t="inlineStr">
        <is>
          <t>66.5億</t>
        </is>
      </c>
      <c r="H1711" t="n">
        <v>1201</v>
      </c>
      <c r="I1711" t="n">
        <v>2429</v>
      </c>
      <c r="J1711" t="n">
        <v>9.800000000000001</v>
      </c>
      <c r="K1711" t="n">
        <v>5695</v>
      </c>
      <c r="L1711" t="n">
        <v>5435</v>
      </c>
      <c r="M1711" s="155" t="n">
        <v>1.23</v>
      </c>
      <c r="N1711" t="inlineStr">
        <is>
          <t>全球前三大的非記憶體探針卡製造商</t>
        </is>
      </c>
    </row>
    <row r="1712">
      <c r="A1712" t="n">
        <v>6224</v>
      </c>
      <c r="B1712" t="inlineStr">
        <is>
          <t>聚鼎</t>
        </is>
      </c>
      <c r="C1712" t="n">
        <v>88.3</v>
      </c>
      <c r="D1712" t="n">
        <v>83.90000000000001</v>
      </c>
      <c r="E1712" s="730" t="n">
        <v>-4.2</v>
      </c>
      <c r="F1712" s="731" t="n">
        <v>-4.77</v>
      </c>
      <c r="G1712" t="inlineStr">
        <is>
          <t>1.66億</t>
        </is>
      </c>
      <c r="H1712" t="n">
        <v>1970</v>
      </c>
      <c r="I1712" t="n">
        <v>3840</v>
      </c>
      <c r="J1712" t="n">
        <v>8.56</v>
      </c>
      <c r="K1712" t="n">
        <v>88.5</v>
      </c>
      <c r="L1712" t="n">
        <v>81.59999999999999</v>
      </c>
      <c r="M1712" s="155" t="n">
        <v>2.3</v>
      </c>
      <c r="N1712" t="inlineStr">
        <is>
          <t>全球第二大PPTC保護元件大廠</t>
        </is>
      </c>
    </row>
    <row r="1713">
      <c r="A1713" t="n">
        <v>6225</v>
      </c>
      <c r="B1713" t="inlineStr">
        <is>
          <t>天瀚</t>
        </is>
      </c>
      <c r="C1713" t="n">
        <v>24.5</v>
      </c>
      <c r="D1713" t="n">
        <v>24.1</v>
      </c>
      <c r="E1713" s="730" t="n">
        <v>-0.35</v>
      </c>
      <c r="F1713" s="731" t="n">
        <v>-1.43</v>
      </c>
      <c r="G1713" t="inlineStr">
        <is>
          <t>9.72萬</t>
        </is>
      </c>
      <c r="H1713" t="n">
        <v>4</v>
      </c>
      <c r="I1713" t="n">
        <v>31</v>
      </c>
      <c r="J1713" t="n">
        <v>2.78</v>
      </c>
      <c r="K1713" t="n">
        <v>24.5</v>
      </c>
      <c r="L1713" t="n">
        <v>24.1</v>
      </c>
      <c r="M1713" s="155" t="n">
        <v>0.02</v>
      </c>
      <c r="N1713" t="inlineStr">
        <is>
          <t>機車用行車紀錄器及投影機廠商</t>
        </is>
      </c>
    </row>
    <row r="1714">
      <c r="A1714" t="n">
        <v>6226</v>
      </c>
      <c r="B1714" t="inlineStr">
        <is>
          <t>光鼎</t>
        </is>
      </c>
      <c r="C1714" t="n">
        <v>13.8</v>
      </c>
      <c r="D1714" t="n">
        <v>13.55</v>
      </c>
      <c r="E1714" s="730" t="n">
        <v>0</v>
      </c>
      <c r="F1714" s="731" t="n">
        <v>0</v>
      </c>
      <c r="G1714" t="inlineStr">
        <is>
          <t>4454萬</t>
        </is>
      </c>
      <c r="H1714" t="n">
        <v>3334</v>
      </c>
      <c r="I1714" t="n">
        <v>2319</v>
      </c>
      <c r="J1714" t="n">
        <v>11.55</v>
      </c>
      <c r="K1714" t="n">
        <v>13.95</v>
      </c>
      <c r="L1714" t="n">
        <v>12.85</v>
      </c>
      <c r="M1714" s="155" t="n">
        <v>2.89</v>
      </c>
      <c r="N1714" t="inlineStr">
        <is>
          <t>專注於LED照明市場之封裝業者</t>
        </is>
      </c>
    </row>
    <row r="1715">
      <c r="A1715" t="n">
        <v>6227</v>
      </c>
      <c r="B1715" t="inlineStr">
        <is>
          <t>茂綸</t>
        </is>
      </c>
      <c r="C1715" t="n">
        <v>131</v>
      </c>
      <c r="D1715" t="n">
        <v>130.5</v>
      </c>
      <c r="E1715" s="730" t="n">
        <v>-1.5</v>
      </c>
      <c r="F1715" s="731" t="n">
        <v>-1.14</v>
      </c>
      <c r="G1715" t="inlineStr">
        <is>
          <t>1.68億</t>
        </is>
      </c>
      <c r="H1715" t="n">
        <v>1304</v>
      </c>
      <c r="I1715" t="n">
        <v>2850</v>
      </c>
      <c r="J1715" t="n">
        <v>7.61</v>
      </c>
      <c r="K1715" t="n">
        <v>132</v>
      </c>
      <c r="L1715" t="n">
        <v>125</v>
      </c>
      <c r="M1715" s="155" t="n">
        <v>1.71</v>
      </c>
      <c r="N1715" t="inlineStr">
        <is>
          <t>日Macnica集團旗下電子通路大廠</t>
        </is>
      </c>
    </row>
    <row r="1716">
      <c r="A1716" t="n">
        <v>6228</v>
      </c>
      <c r="B1716" t="inlineStr">
        <is>
          <t>全譜</t>
        </is>
      </c>
      <c r="C1716" t="n">
        <v>21.2</v>
      </c>
      <c r="D1716" t="n">
        <v>21.2</v>
      </c>
      <c r="E1716" s="730" t="n">
        <v>0.25</v>
      </c>
      <c r="F1716" s="731" t="n">
        <v>1.19</v>
      </c>
      <c r="G1716" t="inlineStr">
        <is>
          <t>8.48萬</t>
        </is>
      </c>
      <c r="H1716" t="n">
        <v>4</v>
      </c>
      <c r="I1716" t="n">
        <v>22</v>
      </c>
      <c r="J1716" t="n">
        <v>2.6</v>
      </c>
      <c r="K1716" t="n">
        <v>21.2</v>
      </c>
      <c r="L1716" t="n">
        <v>21.2</v>
      </c>
      <c r="M1716" s="155" t="n">
        <v>0.02</v>
      </c>
      <c r="N1716" t="inlineStr">
        <is>
          <t>台灣底片掃瞄器及生物研究影像設備製造廠</t>
        </is>
      </c>
    </row>
    <row r="1717">
      <c r="A1717" t="n">
        <v>6229</v>
      </c>
      <c r="B1717" t="inlineStr">
        <is>
          <t>研通</t>
        </is>
      </c>
      <c r="C1717" t="n">
        <v>27.45</v>
      </c>
      <c r="D1717" t="n">
        <v>26.95</v>
      </c>
      <c r="E1717" s="730" t="n">
        <v>-0.15</v>
      </c>
      <c r="F1717" s="731" t="n">
        <v>-0.55</v>
      </c>
      <c r="G1717" t="inlineStr">
        <is>
          <t>633萬</t>
        </is>
      </c>
      <c r="H1717" t="n">
        <v>240</v>
      </c>
      <c r="I1717" t="n">
        <v>318</v>
      </c>
      <c r="J1717" t="n">
        <v>4.04</v>
      </c>
      <c r="K1717" t="n">
        <v>27.45</v>
      </c>
      <c r="L1717" t="n">
        <v>26.15</v>
      </c>
      <c r="M1717" s="155" t="n">
        <v>0.59</v>
      </c>
      <c r="N1717" t="inlineStr">
        <is>
          <t>台灣消費性IC韌體設計領導廠商</t>
        </is>
      </c>
    </row>
    <row r="1718">
      <c r="A1718" t="n">
        <v>6230</v>
      </c>
      <c r="B1718" t="inlineStr">
        <is>
          <t>尼得科超眾</t>
        </is>
      </c>
      <c r="C1718" t="n">
        <v>147</v>
      </c>
      <c r="D1718" t="n">
        <v>142</v>
      </c>
      <c r="E1718" s="730" t="n">
        <v>0.5</v>
      </c>
      <c r="F1718" s="731" t="n">
        <v>0.35</v>
      </c>
      <c r="G1718" t="inlineStr">
        <is>
          <t>2228萬</t>
        </is>
      </c>
      <c r="H1718" t="n">
        <v>158</v>
      </c>
      <c r="I1718" t="n">
        <v>145</v>
      </c>
      <c r="J1718" t="n">
        <v>8.630000000000001</v>
      </c>
      <c r="K1718" t="n">
        <v>147</v>
      </c>
      <c r="L1718" t="n">
        <v>138.5</v>
      </c>
      <c r="M1718" s="155" t="n">
        <v>0.18</v>
      </c>
      <c r="N1718" t="inlineStr">
        <is>
          <t>日本電產轉投資之散熱模組製造商</t>
        </is>
      </c>
    </row>
    <row r="1719">
      <c r="A1719" t="n">
        <v>6231</v>
      </c>
      <c r="B1719" t="inlineStr">
        <is>
          <t>系微</t>
        </is>
      </c>
      <c r="C1719" t="n">
        <v>322.5</v>
      </c>
      <c r="D1719" t="n">
        <v>319.5</v>
      </c>
      <c r="E1719" s="730" t="n">
        <v>7</v>
      </c>
      <c r="F1719" s="731" t="n">
        <v>2.24</v>
      </c>
      <c r="G1719" t="inlineStr">
        <is>
          <t>7.49億</t>
        </is>
      </c>
      <c r="H1719" t="n">
        <v>2393</v>
      </c>
      <c r="I1719" t="n">
        <v>1081</v>
      </c>
      <c r="J1719" t="n">
        <v>4.57</v>
      </c>
      <c r="K1719" t="n">
        <v>325</v>
      </c>
      <c r="L1719" t="n">
        <v>303</v>
      </c>
      <c r="M1719" s="155" t="n">
        <v>5.24</v>
      </c>
      <c r="N1719" t="inlineStr">
        <is>
          <t>NB及IA產品的BIOS廠商</t>
        </is>
      </c>
    </row>
    <row r="1720">
      <c r="A1720" t="n">
        <v>6233</v>
      </c>
      <c r="B1720" t="inlineStr">
        <is>
          <t>旺玖</t>
        </is>
      </c>
      <c r="C1720" t="n">
        <v>25.85</v>
      </c>
      <c r="D1720" t="n">
        <v>25.05</v>
      </c>
      <c r="E1720" s="730" t="n">
        <v>-0.6</v>
      </c>
      <c r="F1720" s="731" t="n">
        <v>-2.34</v>
      </c>
      <c r="G1720" t="inlineStr">
        <is>
          <t>1665萬</t>
        </is>
      </c>
      <c r="H1720" t="n">
        <v>677</v>
      </c>
      <c r="I1720" t="n">
        <v>461</v>
      </c>
      <c r="J1720" t="n">
        <v>8.1</v>
      </c>
      <c r="K1720" t="n">
        <v>25.85</v>
      </c>
      <c r="L1720" t="n">
        <v>24.9</v>
      </c>
      <c r="M1720" s="155" t="n">
        <v>0.84</v>
      </c>
      <c r="N1720" t="inlineStr">
        <is>
          <t>USB控制IC設計廠商，並切入MEMS領域</t>
        </is>
      </c>
    </row>
    <row r="1721">
      <c r="A1721" t="n">
        <v>6234</v>
      </c>
      <c r="B1721" t="inlineStr">
        <is>
          <t>高僑</t>
        </is>
      </c>
      <c r="C1721" t="n">
        <v>49</v>
      </c>
      <c r="D1721" t="n">
        <v>47.25</v>
      </c>
      <c r="E1721" s="730" t="n">
        <v>-2.05</v>
      </c>
      <c r="F1721" s="731" t="n">
        <v>-4.16</v>
      </c>
      <c r="G1721" t="inlineStr">
        <is>
          <t>1.05億</t>
        </is>
      </c>
      <c r="H1721" t="n">
        <v>2204</v>
      </c>
      <c r="I1721" t="n">
        <v>5542</v>
      </c>
      <c r="J1721" t="n">
        <v>10.04</v>
      </c>
      <c r="K1721" t="n">
        <v>49.3</v>
      </c>
      <c r="L1721" t="n">
        <v>46.55</v>
      </c>
      <c r="M1721" s="155" t="n">
        <v>2.2</v>
      </c>
      <c r="N1721" t="inlineStr">
        <is>
          <t>經營自動化設備及PCB微型鑽頭的公司</t>
        </is>
      </c>
    </row>
    <row r="1722">
      <c r="A1722" t="n">
        <v>6235</v>
      </c>
      <c r="B1722" t="inlineStr">
        <is>
          <t>華孚</t>
        </is>
      </c>
      <c r="C1722" t="n">
        <v>47.2</v>
      </c>
      <c r="D1722" t="n">
        <v>45.7</v>
      </c>
      <c r="E1722" s="730" t="n">
        <v>-1.5</v>
      </c>
      <c r="F1722" s="731" t="n">
        <v>-3.18</v>
      </c>
      <c r="G1722" t="inlineStr">
        <is>
          <t>1.34億</t>
        </is>
      </c>
      <c r="H1722" t="n">
        <v>2942</v>
      </c>
      <c r="I1722" t="n">
        <v>3515</v>
      </c>
      <c r="J1722" t="n">
        <v>19.99</v>
      </c>
      <c r="K1722" t="n">
        <v>47.2</v>
      </c>
      <c r="L1722" t="n">
        <v>45.1</v>
      </c>
      <c r="M1722" s="155" t="n">
        <v>1.47</v>
      </c>
      <c r="N1722" t="inlineStr">
        <is>
          <t>車用鎂合金零件製造廠</t>
        </is>
      </c>
    </row>
    <row r="1723">
      <c r="A1723" t="n">
        <v>6236</v>
      </c>
      <c r="B1723" t="inlineStr">
        <is>
          <t>中湛</t>
        </is>
      </c>
      <c r="C1723" t="n">
        <v>18.4</v>
      </c>
      <c r="D1723" t="n">
        <v>18.4</v>
      </c>
      <c r="E1723" s="730" t="n">
        <v>-0.6</v>
      </c>
      <c r="F1723" s="731" t="n">
        <v>-3.16</v>
      </c>
      <c r="G1723" t="inlineStr">
        <is>
          <t>1.84萬</t>
        </is>
      </c>
      <c r="H1723" t="n">
        <v>1</v>
      </c>
      <c r="I1723" t="n">
        <v>0</v>
      </c>
      <c r="J1723" t="n">
        <v>4.17</v>
      </c>
      <c r="K1723" t="n">
        <v>18.4</v>
      </c>
      <c r="L1723" t="n">
        <v>18.4</v>
      </c>
      <c r="M1723" s="155" t="n">
        <v>0</v>
      </c>
      <c r="N1723" t="inlineStr">
        <is>
          <t>台灣從事基因檢測及資訊安全服務公司</t>
        </is>
      </c>
    </row>
    <row r="1724">
      <c r="A1724" t="n">
        <v>6237</v>
      </c>
      <c r="B1724" t="inlineStr">
        <is>
          <t>驊訊</t>
        </is>
      </c>
      <c r="C1724" t="n">
        <v>50</v>
      </c>
      <c r="D1724" t="n">
        <v>51</v>
      </c>
      <c r="E1724" s="730" t="n">
        <v>1.1</v>
      </c>
      <c r="F1724" s="731" t="n">
        <v>2.2</v>
      </c>
      <c r="G1724" t="inlineStr">
        <is>
          <t>8220萬</t>
        </is>
      </c>
      <c r="H1724" t="n">
        <v>1644</v>
      </c>
      <c r="I1724" t="n">
        <v>1804</v>
      </c>
      <c r="J1724" t="n">
        <v>7.96</v>
      </c>
      <c r="K1724" t="n">
        <v>51.5</v>
      </c>
      <c r="L1724" t="n">
        <v>48.35</v>
      </c>
      <c r="M1724" s="155" t="n">
        <v>2.06</v>
      </c>
      <c r="N1724" t="inlineStr">
        <is>
          <t>全球前三大音效晶片設計廠商</t>
        </is>
      </c>
    </row>
    <row r="1725">
      <c r="A1725" t="n">
        <v>6239</v>
      </c>
      <c r="B1725" t="inlineStr">
        <is>
          <t>力成</t>
        </is>
      </c>
      <c r="C1725" t="n">
        <v>369.5</v>
      </c>
      <c r="D1725" t="n">
        <v>347</v>
      </c>
      <c r="E1725" s="730" t="n">
        <v>-19</v>
      </c>
      <c r="F1725" s="731" t="n">
        <v>-5.19</v>
      </c>
      <c r="G1725" t="inlineStr">
        <is>
          <t>77.5億</t>
        </is>
      </c>
      <c r="H1725" t="n">
        <v>22932</v>
      </c>
      <c r="I1725" t="n">
        <v>49947</v>
      </c>
      <c r="J1725" t="n">
        <v>75.91</v>
      </c>
      <c r="K1725" t="n">
        <v>369.5</v>
      </c>
      <c r="L1725" t="n">
        <v>329.5</v>
      </c>
      <c r="M1725" s="155" t="n">
        <v>3.02</v>
      </c>
      <c r="N1725" t="inlineStr">
        <is>
          <t>全球前五大封測廠</t>
        </is>
      </c>
    </row>
    <row r="1726">
      <c r="A1726" t="n">
        <v>6240</v>
      </c>
      <c r="B1726" t="inlineStr">
        <is>
          <t>松崗</t>
        </is>
      </c>
      <c r="C1726" t="n">
        <v>18.3</v>
      </c>
      <c r="D1726" t="n">
        <v>17.9</v>
      </c>
      <c r="E1726" s="730" t="n">
        <v>-0.4</v>
      </c>
      <c r="F1726" s="731" t="n">
        <v>-2.19</v>
      </c>
      <c r="G1726" t="inlineStr">
        <is>
          <t>5.42萬</t>
        </is>
      </c>
      <c r="H1726" t="n">
        <v>3</v>
      </c>
      <c r="I1726" t="n">
        <v>298</v>
      </c>
      <c r="J1726" t="n">
        <v>2.29</v>
      </c>
      <c r="K1726" t="n">
        <v>18.3</v>
      </c>
      <c r="L1726" t="n">
        <v>17.9</v>
      </c>
      <c r="M1726" s="155" t="n">
        <v>0.01</v>
      </c>
      <c r="N1726" t="inlineStr">
        <is>
          <t>專注協助企業數位服務與轉型領域</t>
        </is>
      </c>
    </row>
    <row r="1727">
      <c r="A1727" t="n">
        <v>6241</v>
      </c>
      <c r="B1727" t="inlineStr">
        <is>
          <t>鑫永洋</t>
        </is>
      </c>
      <c r="C1727" t="n">
        <v>10.2</v>
      </c>
      <c r="D1727" t="n">
        <v>10.3</v>
      </c>
      <c r="E1727" s="730" t="n">
        <v>0.1</v>
      </c>
      <c r="F1727" s="731" t="n">
        <v>0.98</v>
      </c>
      <c r="G1727" t="inlineStr">
        <is>
          <t>181萬</t>
        </is>
      </c>
      <c r="H1727" t="n">
        <v>177</v>
      </c>
      <c r="I1727" t="n">
        <v>186</v>
      </c>
      <c r="J1727" t="n">
        <v>4.87</v>
      </c>
      <c r="K1727" t="n">
        <v>10.35</v>
      </c>
      <c r="L1727" t="n">
        <v>10.05</v>
      </c>
      <c r="M1727" s="155" t="n">
        <v>0.36</v>
      </c>
      <c r="N1727" t="inlineStr">
        <is>
          <t>無線網路通訊產品代工廠</t>
        </is>
      </c>
    </row>
    <row r="1728">
      <c r="A1728" t="n">
        <v>6242</v>
      </c>
      <c r="B1728" t="inlineStr">
        <is>
          <t>立康</t>
        </is>
      </c>
      <c r="C1728" t="n">
        <v>37.85</v>
      </c>
      <c r="D1728" t="n">
        <v>37.55</v>
      </c>
      <c r="E1728" s="730" t="n">
        <v>-0.35</v>
      </c>
      <c r="F1728" s="731" t="n">
        <v>-0.92</v>
      </c>
      <c r="G1728" t="inlineStr">
        <is>
          <t>97.8萬</t>
        </is>
      </c>
      <c r="H1728" t="n">
        <v>26</v>
      </c>
      <c r="I1728" t="n">
        <v>19</v>
      </c>
      <c r="J1728" t="n">
        <v>3.18</v>
      </c>
      <c r="K1728" t="n">
        <v>37.85</v>
      </c>
      <c r="L1728" t="n">
        <v>37.5</v>
      </c>
      <c r="M1728" s="155" t="n">
        <v>0.08</v>
      </c>
      <c r="N1728" t="inlineStr">
        <is>
          <t>中草藥生產及經營觀光工廠之廠商</t>
        </is>
      </c>
    </row>
    <row r="1729">
      <c r="A1729" t="n">
        <v>6243</v>
      </c>
      <c r="B1729" t="inlineStr">
        <is>
          <t>迅杰</t>
        </is>
      </c>
      <c r="C1729" t="n">
        <v>34.1</v>
      </c>
      <c r="D1729" t="n">
        <v>33.6</v>
      </c>
      <c r="E1729" s="730" t="n">
        <v>-0.25</v>
      </c>
      <c r="F1729" s="731" t="n">
        <v>-0.74</v>
      </c>
      <c r="G1729" t="inlineStr">
        <is>
          <t>1232萬</t>
        </is>
      </c>
      <c r="H1729" t="n">
        <v>368</v>
      </c>
      <c r="I1729" t="n">
        <v>363</v>
      </c>
      <c r="J1729" t="n">
        <v>4.53</v>
      </c>
      <c r="K1729" t="n">
        <v>34.25</v>
      </c>
      <c r="L1729" t="n">
        <v>32.85</v>
      </c>
      <c r="M1729" s="155" t="n">
        <v>0.8100000000000001</v>
      </c>
      <c r="N1729" t="inlineStr">
        <is>
          <t>全球第二大鍵盤控制IC設計供應商</t>
        </is>
      </c>
    </row>
    <row r="1730">
      <c r="A1730" t="n">
        <v>6244</v>
      </c>
      <c r="B1730" t="inlineStr">
        <is>
          <t>茂迪</t>
        </is>
      </c>
      <c r="C1730" t="n">
        <v>30.7</v>
      </c>
      <c r="D1730" t="n">
        <v>29.7</v>
      </c>
      <c r="E1730" s="730" t="n">
        <v>-0.9</v>
      </c>
      <c r="F1730" s="731" t="n">
        <v>-2.94</v>
      </c>
      <c r="G1730" t="inlineStr">
        <is>
          <t>3.18億</t>
        </is>
      </c>
      <c r="H1730" t="n">
        <v>10785</v>
      </c>
      <c r="I1730" t="n">
        <v>11466</v>
      </c>
      <c r="J1730" t="n">
        <v>38.7</v>
      </c>
      <c r="K1730" t="n">
        <v>30.8</v>
      </c>
      <c r="L1730" t="n">
        <v>28.6</v>
      </c>
      <c r="M1730" s="155" t="n">
        <v>2.79</v>
      </c>
      <c r="N1730" t="inlineStr">
        <is>
          <t>台灣太陽能電池模組大廠</t>
        </is>
      </c>
    </row>
    <row r="1731">
      <c r="A1731" t="n">
        <v>6245</v>
      </c>
      <c r="B1731" t="inlineStr">
        <is>
          <t>立端</t>
        </is>
      </c>
      <c r="C1731" t="n">
        <v>91.5</v>
      </c>
      <c r="D1731" t="n">
        <v>91.40000000000001</v>
      </c>
      <c r="E1731" s="730" t="n">
        <v>1.6</v>
      </c>
      <c r="F1731" s="731" t="n">
        <v>1.78</v>
      </c>
      <c r="G1731" t="inlineStr">
        <is>
          <t>1.47億</t>
        </is>
      </c>
      <c r="H1731" t="n">
        <v>1623</v>
      </c>
      <c r="I1731" t="n">
        <v>1894</v>
      </c>
      <c r="J1731" t="n">
        <v>14.66</v>
      </c>
      <c r="K1731" t="n">
        <v>91.59999999999999</v>
      </c>
      <c r="L1731" t="n">
        <v>88.90000000000001</v>
      </c>
      <c r="M1731" s="155" t="n">
        <v>1.11</v>
      </c>
      <c r="N1731" t="inlineStr">
        <is>
          <t>專攻網路安全設備廠商</t>
        </is>
      </c>
    </row>
    <row r="1732">
      <c r="A1732" t="n">
        <v>6246</v>
      </c>
      <c r="B1732" t="inlineStr">
        <is>
          <t>臺龍</t>
        </is>
      </c>
      <c r="C1732" t="n">
        <v>15.75</v>
      </c>
      <c r="D1732" t="n">
        <v>15.25</v>
      </c>
      <c r="E1732" s="730" t="n">
        <v>-0.1</v>
      </c>
      <c r="F1732" s="731" t="n">
        <v>-0.65</v>
      </c>
      <c r="G1732" t="inlineStr">
        <is>
          <t>39.9萬</t>
        </is>
      </c>
      <c r="H1732" t="n">
        <v>26</v>
      </c>
      <c r="I1732" t="n">
        <v>66</v>
      </c>
      <c r="J1732" t="n">
        <v>3.79</v>
      </c>
      <c r="K1732" t="n">
        <v>15.75</v>
      </c>
      <c r="L1732" t="n">
        <v>15.25</v>
      </c>
      <c r="M1732" s="155" t="n">
        <v>0.07000000000000001</v>
      </c>
      <c r="N1732" t="inlineStr">
        <is>
          <t>中小尺寸背光模組及LED燈條生產廠商</t>
        </is>
      </c>
    </row>
    <row r="1733">
      <c r="A1733" t="n">
        <v>6248</v>
      </c>
      <c r="B1733" t="inlineStr">
        <is>
          <t>沛波</t>
        </is>
      </c>
      <c r="C1733" t="n">
        <v>18.65</v>
      </c>
      <c r="D1733" t="n">
        <v>18.5</v>
      </c>
      <c r="E1733" s="730" t="n">
        <v>-0.05</v>
      </c>
      <c r="F1733" s="731" t="n">
        <v>-0.27</v>
      </c>
      <c r="G1733" t="inlineStr">
        <is>
          <t>129萬</t>
        </is>
      </c>
      <c r="H1733" t="n">
        <v>70</v>
      </c>
      <c r="I1733" t="n">
        <v>137</v>
      </c>
      <c r="J1733" t="n">
        <v>10</v>
      </c>
      <c r="K1733" t="n">
        <v>18.65</v>
      </c>
      <c r="L1733" t="n">
        <v>18.45</v>
      </c>
      <c r="M1733" s="155" t="n">
        <v>0.07000000000000001</v>
      </c>
      <c r="N1733" t="inlineStr">
        <is>
          <t>台鋼集團旗下專業鋼筋加工與配送通路廠</t>
        </is>
      </c>
    </row>
    <row r="1734">
      <c r="A1734" t="n">
        <v>6257</v>
      </c>
      <c r="B1734" t="inlineStr">
        <is>
          <t>矽格</t>
        </is>
      </c>
      <c r="C1734" t="n">
        <v>220.5</v>
      </c>
      <c r="D1734" t="n">
        <v>215</v>
      </c>
      <c r="E1734" s="730" t="n">
        <v>-4.5</v>
      </c>
      <c r="F1734" s="731" t="n">
        <v>-2.05</v>
      </c>
      <c r="G1734" t="inlineStr">
        <is>
          <t>28.0億</t>
        </is>
      </c>
      <c r="H1734" t="n">
        <v>12859</v>
      </c>
      <c r="I1734" t="n">
        <v>13218</v>
      </c>
      <c r="J1734" t="n">
        <v>48.39</v>
      </c>
      <c r="K1734" t="n">
        <v>227</v>
      </c>
      <c r="L1734" t="n">
        <v>213.5</v>
      </c>
      <c r="M1734" s="155" t="n">
        <v>2.66</v>
      </c>
      <c r="N1734" t="inlineStr">
        <is>
          <t>RF及混合IC專業測試廠商</t>
        </is>
      </c>
    </row>
    <row r="1735">
      <c r="A1735" t="n">
        <v>6259</v>
      </c>
      <c r="B1735" t="inlineStr">
        <is>
          <t>百徽</t>
        </is>
      </c>
      <c r="C1735" t="n">
        <v>26.6</v>
      </c>
      <c r="D1735" t="n">
        <v>26.6</v>
      </c>
      <c r="E1735" s="730" t="n">
        <v>0.05</v>
      </c>
      <c r="F1735" s="731" t="n">
        <v>0.19</v>
      </c>
      <c r="G1735" t="inlineStr">
        <is>
          <t>1307萬</t>
        </is>
      </c>
      <c r="H1735" t="n">
        <v>502</v>
      </c>
      <c r="I1735" t="n">
        <v>882</v>
      </c>
      <c r="J1735" t="n">
        <v>2.81</v>
      </c>
      <c r="K1735" t="n">
        <v>26.6</v>
      </c>
      <c r="L1735" t="n">
        <v>25.65</v>
      </c>
      <c r="M1735" s="155" t="n">
        <v>1.8</v>
      </c>
      <c r="N1735" t="inlineStr">
        <is>
          <t>主要代理電磁波防制元件和電源相關元件</t>
        </is>
      </c>
    </row>
    <row r="1736">
      <c r="A1736" t="n">
        <v>6261</v>
      </c>
      <c r="B1736" t="inlineStr">
        <is>
          <t>久元</t>
        </is>
      </c>
      <c r="C1736" t="n">
        <v>118.5</v>
      </c>
      <c r="D1736" t="n">
        <v>108</v>
      </c>
      <c r="E1736" s="730" t="n">
        <v>-10.5</v>
      </c>
      <c r="F1736" s="731" t="n">
        <v>-8.859999999999999</v>
      </c>
      <c r="G1736" t="inlineStr">
        <is>
          <t>7.95億</t>
        </is>
      </c>
      <c r="H1736" t="n">
        <v>7220</v>
      </c>
      <c r="I1736" t="n">
        <v>5279</v>
      </c>
      <c r="J1736" t="n">
        <v>12.85</v>
      </c>
      <c r="K1736" t="n">
        <v>118.5</v>
      </c>
      <c r="L1736" t="n">
        <v>107</v>
      </c>
      <c r="M1736" s="155" t="n">
        <v>5.62</v>
      </c>
      <c r="N1736" t="inlineStr">
        <is>
          <t>專業半導體及光電產品切割、研磨、挑揀、測試代工廠</t>
        </is>
      </c>
    </row>
    <row r="1737">
      <c r="A1737" t="n">
        <v>6263</v>
      </c>
      <c r="B1737" t="inlineStr">
        <is>
          <t>普萊德</t>
        </is>
      </c>
      <c r="C1737" t="n">
        <v>178.5</v>
      </c>
      <c r="D1737" t="n">
        <v>182</v>
      </c>
      <c r="E1737" s="730" t="n">
        <v>6.5</v>
      </c>
      <c r="F1737" s="731" t="n">
        <v>3.7</v>
      </c>
      <c r="G1737" t="inlineStr">
        <is>
          <t>1.44億</t>
        </is>
      </c>
      <c r="H1737" t="n">
        <v>803</v>
      </c>
      <c r="I1737" t="n">
        <v>347</v>
      </c>
      <c r="J1737" t="n">
        <v>6.25</v>
      </c>
      <c r="K1737" t="n">
        <v>184.5</v>
      </c>
      <c r="L1737" t="n">
        <v>173.5</v>
      </c>
      <c r="M1737" s="155" t="n">
        <v>1.28</v>
      </c>
      <c r="N1737" t="inlineStr">
        <is>
          <t>以PLANET品牌行銷的網通設備廠</t>
        </is>
      </c>
    </row>
    <row r="1738">
      <c r="A1738" t="n">
        <v>6264</v>
      </c>
      <c r="B1738" t="inlineStr">
        <is>
          <t>富裔</t>
        </is>
      </c>
      <c r="C1738" t="n">
        <v>6.05</v>
      </c>
      <c r="D1738" t="n">
        <v>6.05</v>
      </c>
      <c r="E1738" s="730" t="n">
        <v>-0.01</v>
      </c>
      <c r="F1738" s="731" t="n">
        <v>-0.17</v>
      </c>
      <c r="G1738" t="inlineStr">
        <is>
          <t>88.6萬</t>
        </is>
      </c>
      <c r="H1738" t="n">
        <v>147</v>
      </c>
      <c r="I1738" t="n">
        <v>89</v>
      </c>
      <c r="J1738" t="n">
        <v>13.64</v>
      </c>
      <c r="K1738" t="n">
        <v>6.06</v>
      </c>
      <c r="L1738" t="n">
        <v>5.92</v>
      </c>
      <c r="M1738" s="155" t="n">
        <v>0.11</v>
      </c>
      <c r="N1738" t="inlineStr">
        <is>
          <t>入主德士通，以雙北及基隆地區為主的營建公司</t>
        </is>
      </c>
    </row>
    <row r="1739">
      <c r="A1739" t="n">
        <v>6265</v>
      </c>
      <c r="B1739" t="inlineStr">
        <is>
          <t>方土昶</t>
        </is>
      </c>
      <c r="C1739" t="n">
        <v>56</v>
      </c>
      <c r="D1739" t="n">
        <v>61.6</v>
      </c>
      <c r="E1739" s="730" t="n">
        <v>5.6</v>
      </c>
      <c r="F1739" s="731" t="n">
        <v>10</v>
      </c>
      <c r="G1739" t="inlineStr">
        <is>
          <t>13.9億</t>
        </is>
      </c>
      <c r="H1739" t="n">
        <v>23322</v>
      </c>
      <c r="I1739" t="n">
        <v>15444</v>
      </c>
      <c r="J1739" t="n">
        <v>11.82</v>
      </c>
      <c r="K1739" t="n">
        <v>61.6</v>
      </c>
      <c r="L1739" t="n">
        <v>55.5</v>
      </c>
      <c r="M1739" s="155" t="n">
        <v>19.74</v>
      </c>
      <c r="N1739" t="inlineStr">
        <is>
          <t>記憶體元件代理及保健食品銷售商</t>
        </is>
      </c>
    </row>
    <row r="1740">
      <c r="A1740" t="n">
        <v>6266</v>
      </c>
      <c r="B1740" t="inlineStr">
        <is>
          <t>泰詠</t>
        </is>
      </c>
      <c r="C1740" t="n">
        <v>28.45</v>
      </c>
      <c r="D1740" t="n">
        <v>28.25</v>
      </c>
      <c r="E1740" s="730" t="n">
        <v>0.15</v>
      </c>
      <c r="F1740" s="731" t="n">
        <v>0.53</v>
      </c>
      <c r="G1740" t="inlineStr">
        <is>
          <t>1002萬</t>
        </is>
      </c>
      <c r="H1740" t="n">
        <v>355</v>
      </c>
      <c r="I1740" t="n">
        <v>479</v>
      </c>
      <c r="J1740" t="n">
        <v>15.39</v>
      </c>
      <c r="K1740" t="n">
        <v>28.5</v>
      </c>
      <c r="L1740" t="n">
        <v>28.05</v>
      </c>
      <c r="M1740" s="155" t="n">
        <v>0.23</v>
      </c>
      <c r="N1740" t="inlineStr">
        <is>
          <t>台灣專業SMT加工及組裝測試廠商</t>
        </is>
      </c>
    </row>
    <row r="1741">
      <c r="A1741" t="n">
        <v>6269</v>
      </c>
      <c r="B1741" t="inlineStr">
        <is>
          <t>台郡</t>
        </is>
      </c>
      <c r="C1741" t="n">
        <v>76</v>
      </c>
      <c r="D1741" t="n">
        <v>74.90000000000001</v>
      </c>
      <c r="E1741" s="730" t="n">
        <v>5.8</v>
      </c>
      <c r="F1741" s="731" t="n">
        <v>8.390000000000001</v>
      </c>
      <c r="G1741" t="inlineStr">
        <is>
          <t>31.3億</t>
        </is>
      </c>
      <c r="H1741" t="n">
        <v>42091</v>
      </c>
      <c r="I1741" t="n">
        <v>3345</v>
      </c>
      <c r="J1741" t="n">
        <v>32.38</v>
      </c>
      <c r="K1741" t="n">
        <v>76</v>
      </c>
      <c r="L1741" t="n">
        <v>70.5</v>
      </c>
      <c r="M1741" s="155" t="n">
        <v>13</v>
      </c>
      <c r="N1741" t="inlineStr">
        <is>
          <t>全球前十大軟板廠之一</t>
        </is>
      </c>
    </row>
    <row r="1742">
      <c r="A1742" t="n">
        <v>6270</v>
      </c>
      <c r="B1742" t="inlineStr">
        <is>
          <t>倍微</t>
        </is>
      </c>
      <c r="C1742" t="n">
        <v>28.5</v>
      </c>
      <c r="D1742" t="n">
        <v>29.05</v>
      </c>
      <c r="E1742" s="730" t="n">
        <v>0.9</v>
      </c>
      <c r="F1742" s="731" t="n">
        <v>3.2</v>
      </c>
      <c r="G1742" t="inlineStr">
        <is>
          <t>3786萬</t>
        </is>
      </c>
      <c r="H1742" t="n">
        <v>1323</v>
      </c>
      <c r="I1742" t="n">
        <v>630</v>
      </c>
      <c r="J1742" t="n">
        <v>7.21</v>
      </c>
      <c r="K1742" t="n">
        <v>29.25</v>
      </c>
      <c r="L1742" t="n">
        <v>27.95</v>
      </c>
      <c r="M1742" s="155" t="n">
        <v>1.83</v>
      </c>
      <c r="N1742" t="inlineStr">
        <is>
          <t>半導體電子零組件代理及韌體服務</t>
        </is>
      </c>
    </row>
    <row r="1743">
      <c r="A1743" t="n">
        <v>6271</v>
      </c>
      <c r="B1743" t="inlineStr">
        <is>
          <t>同欣電</t>
        </is>
      </c>
      <c r="C1743" t="n">
        <v>251.5</v>
      </c>
      <c r="D1743" t="n">
        <v>249.5</v>
      </c>
      <c r="E1743" s="730" t="n">
        <v>2</v>
      </c>
      <c r="F1743" s="731" t="n">
        <v>0.8100000000000001</v>
      </c>
      <c r="G1743" t="inlineStr">
        <is>
          <t>8.72億</t>
        </is>
      </c>
      <c r="H1743" t="n">
        <v>3529</v>
      </c>
      <c r="I1743" t="n">
        <v>10728</v>
      </c>
      <c r="J1743" t="n">
        <v>20.91</v>
      </c>
      <c r="K1743" t="n">
        <v>253.5</v>
      </c>
      <c r="L1743" t="n">
        <v>240</v>
      </c>
      <c r="M1743" s="155" t="n">
        <v>1.69</v>
      </c>
      <c r="N1743" t="inlineStr">
        <is>
          <t>台灣陶瓷基板製造龍頭</t>
        </is>
      </c>
    </row>
    <row r="1744">
      <c r="A1744" t="n">
        <v>6272</v>
      </c>
      <c r="B1744" t="inlineStr">
        <is>
          <t>驊陞</t>
        </is>
      </c>
      <c r="C1744" t="n">
        <v>37.45</v>
      </c>
      <c r="D1744" t="n">
        <v>38.4</v>
      </c>
      <c r="E1744" s="730" t="n">
        <v>3.45</v>
      </c>
      <c r="F1744" s="731" t="n">
        <v>9.869999999999999</v>
      </c>
      <c r="G1744" t="inlineStr">
        <is>
          <t>3010萬</t>
        </is>
      </c>
      <c r="H1744" t="n">
        <v>791</v>
      </c>
      <c r="I1744" t="n">
        <v>414</v>
      </c>
      <c r="J1744" t="n">
        <v>8.18</v>
      </c>
      <c r="K1744" t="n">
        <v>38.4</v>
      </c>
      <c r="L1744" t="n">
        <v>37</v>
      </c>
      <c r="M1744" s="155" t="n">
        <v>0.97</v>
      </c>
      <c r="N1744" t="inlineStr">
        <is>
          <t>3C、手持裝置、PC、STB用連接器生產廠</t>
        </is>
      </c>
    </row>
    <row r="1745">
      <c r="A1745" t="n">
        <v>6274</v>
      </c>
      <c r="B1745" t="inlineStr">
        <is>
          <t>台燿</t>
        </is>
      </c>
      <c r="C1745" t="n">
        <v>1700</v>
      </c>
      <c r="D1745" t="n">
        <v>1590</v>
      </c>
      <c r="E1745" s="730" t="n">
        <v>-115</v>
      </c>
      <c r="F1745" s="731" t="n">
        <v>-6.74</v>
      </c>
      <c r="G1745" t="inlineStr">
        <is>
          <t>120億</t>
        </is>
      </c>
      <c r="H1745" t="n">
        <v>7469</v>
      </c>
      <c r="I1745" t="n">
        <v>9079</v>
      </c>
      <c r="J1745" t="n">
        <v>29.14</v>
      </c>
      <c r="K1745" t="n">
        <v>1700</v>
      </c>
      <c r="L1745" t="n">
        <v>1565</v>
      </c>
      <c r="M1745" s="155" t="n">
        <v>2.59</v>
      </c>
      <c r="N1745" t="inlineStr">
        <is>
          <t>全球前十大銅箔基板廠之一</t>
        </is>
      </c>
    </row>
    <row r="1746">
      <c r="A1746" t="n">
        <v>6275</v>
      </c>
      <c r="B1746" t="inlineStr">
        <is>
          <t>元山</t>
        </is>
      </c>
      <c r="C1746" t="n">
        <v>52.6</v>
      </c>
      <c r="D1746" t="n">
        <v>51.8</v>
      </c>
      <c r="E1746" s="730" t="n">
        <v>-1.5</v>
      </c>
      <c r="F1746" s="731" t="n">
        <v>-2.81</v>
      </c>
      <c r="G1746" t="inlineStr">
        <is>
          <t>6842萬</t>
        </is>
      </c>
      <c r="H1746" t="n">
        <v>1324</v>
      </c>
      <c r="I1746" t="n">
        <v>1272</v>
      </c>
      <c r="J1746" t="n">
        <v>8.02</v>
      </c>
      <c r="K1746" t="n">
        <v>52.6</v>
      </c>
      <c r="L1746" t="n">
        <v>51</v>
      </c>
      <c r="M1746" s="155" t="n">
        <v>1.65</v>
      </c>
      <c r="N1746" t="inlineStr">
        <is>
          <t>知名散熱風扇大廠</t>
        </is>
      </c>
    </row>
    <row r="1747">
      <c r="A1747" t="n">
        <v>6276</v>
      </c>
      <c r="B1747" t="inlineStr">
        <is>
          <t>安鈦克</t>
        </is>
      </c>
      <c r="C1747" t="n">
        <v>28.3</v>
      </c>
      <c r="D1747" t="n">
        <v>27</v>
      </c>
      <c r="E1747" s="730" t="n">
        <v>-1.3</v>
      </c>
      <c r="F1747" s="731" t="n">
        <v>-4.59</v>
      </c>
      <c r="G1747" t="inlineStr">
        <is>
          <t>257萬</t>
        </is>
      </c>
      <c r="H1747" t="n">
        <v>92</v>
      </c>
      <c r="I1747" t="n">
        <v>76</v>
      </c>
      <c r="J1747" t="n">
        <v>2.2</v>
      </c>
      <c r="K1747" t="n">
        <v>28.9</v>
      </c>
      <c r="L1747" t="n">
        <v>27</v>
      </c>
      <c r="M1747" s="155" t="n">
        <v>0.42</v>
      </c>
      <c r="N1747" t="inlineStr">
        <is>
          <t>專注於電腦機殼與電源供應器的廠商</t>
        </is>
      </c>
    </row>
    <row r="1748">
      <c r="A1748" t="n">
        <v>6277</v>
      </c>
      <c r="B1748" t="inlineStr">
        <is>
          <t>宏正</t>
        </is>
      </c>
      <c r="C1748" t="n">
        <v>82.2</v>
      </c>
      <c r="D1748" t="n">
        <v>79.59999999999999</v>
      </c>
      <c r="E1748" s="730" t="n">
        <v>-1.4</v>
      </c>
      <c r="F1748" s="731" t="n">
        <v>-1.73</v>
      </c>
      <c r="G1748" t="inlineStr">
        <is>
          <t>7337萬</t>
        </is>
      </c>
      <c r="H1748" t="n">
        <v>908</v>
      </c>
      <c r="I1748" t="n">
        <v>661</v>
      </c>
      <c r="J1748" t="n">
        <v>11.95</v>
      </c>
      <c r="K1748" t="n">
        <v>84.09999999999999</v>
      </c>
      <c r="L1748" t="n">
        <v>78.59999999999999</v>
      </c>
      <c r="M1748" s="155" t="n">
        <v>0.76</v>
      </c>
      <c r="N1748" t="inlineStr">
        <is>
          <t>全球知名KVM製造商</t>
        </is>
      </c>
    </row>
    <row r="1749">
      <c r="A1749" t="n">
        <v>6278</v>
      </c>
      <c r="B1749" t="inlineStr">
        <is>
          <t>台表科</t>
        </is>
      </c>
      <c r="C1749" t="n">
        <v>220</v>
      </c>
      <c r="D1749" t="n">
        <v>214.5</v>
      </c>
      <c r="E1749" s="730" t="n">
        <v>-4.5</v>
      </c>
      <c r="F1749" s="731" t="n">
        <v>-2.05</v>
      </c>
      <c r="G1749" t="inlineStr">
        <is>
          <t>25.3億</t>
        </is>
      </c>
      <c r="H1749" t="n">
        <v>11949</v>
      </c>
      <c r="I1749" t="n">
        <v>16227</v>
      </c>
      <c r="J1749" t="n">
        <v>29.24</v>
      </c>
      <c r="K1749" t="n">
        <v>222.5</v>
      </c>
      <c r="L1749" t="n">
        <v>206</v>
      </c>
      <c r="M1749" s="155" t="n">
        <v>4.09</v>
      </c>
      <c r="N1749" t="inlineStr">
        <is>
          <t>全球知名光電產品之SMT代工廠</t>
        </is>
      </c>
    </row>
    <row r="1750">
      <c r="A1750" t="n">
        <v>6279</v>
      </c>
      <c r="B1750" t="inlineStr">
        <is>
          <t>胡連</t>
        </is>
      </c>
      <c r="C1750" t="n">
        <v>119</v>
      </c>
      <c r="D1750" t="n">
        <v>119</v>
      </c>
      <c r="E1750" s="730" t="n">
        <v>0</v>
      </c>
      <c r="F1750" s="731" t="n">
        <v>0</v>
      </c>
      <c r="G1750" t="inlineStr">
        <is>
          <t>8642萬</t>
        </is>
      </c>
      <c r="H1750" t="n">
        <v>734</v>
      </c>
      <c r="I1750" t="n">
        <v>1503</v>
      </c>
      <c r="J1750" t="n">
        <v>11.9</v>
      </c>
      <c r="K1750" t="n">
        <v>119.5</v>
      </c>
      <c r="L1750" t="n">
        <v>116.5</v>
      </c>
      <c r="M1750" s="155" t="n">
        <v>0.62</v>
      </c>
      <c r="N1750" t="inlineStr">
        <is>
          <t>兩岸最大汽車端子製造商</t>
        </is>
      </c>
    </row>
    <row r="1751">
      <c r="A1751" t="n">
        <v>6281</v>
      </c>
      <c r="B1751" t="inlineStr">
        <is>
          <t>全國電</t>
        </is>
      </c>
      <c r="C1751" t="n">
        <v>50.7</v>
      </c>
      <c r="D1751" t="n">
        <v>51.5</v>
      </c>
      <c r="E1751" s="730" t="n">
        <v>0.6</v>
      </c>
      <c r="F1751" s="731" t="n">
        <v>1.18</v>
      </c>
      <c r="G1751" t="inlineStr">
        <is>
          <t>597萬</t>
        </is>
      </c>
      <c r="H1751" t="n">
        <v>117</v>
      </c>
      <c r="I1751" t="n">
        <v>180</v>
      </c>
      <c r="J1751" t="n">
        <v>9.92</v>
      </c>
      <c r="K1751" t="n">
        <v>51.5</v>
      </c>
      <c r="L1751" t="n">
        <v>50.7</v>
      </c>
      <c r="M1751" s="155" t="n">
        <v>0.12</v>
      </c>
      <c r="N1751" t="inlineStr">
        <is>
          <t>台灣知名家電與3C通路賣場</t>
        </is>
      </c>
    </row>
    <row r="1752">
      <c r="A1752" t="n">
        <v>6282</v>
      </c>
      <c r="B1752" t="inlineStr">
        <is>
          <t>康舒</t>
        </is>
      </c>
      <c r="C1752" t="n">
        <v>65.5</v>
      </c>
      <c r="D1752" t="n">
        <v>63</v>
      </c>
      <c r="E1752" s="730" t="n">
        <v>-2.8</v>
      </c>
      <c r="F1752" s="731" t="n">
        <v>-4.26</v>
      </c>
      <c r="G1752" t="inlineStr">
        <is>
          <t>48.7億</t>
        </is>
      </c>
      <c r="H1752" t="n">
        <v>77108</v>
      </c>
      <c r="I1752" t="n">
        <v>76512</v>
      </c>
      <c r="J1752" t="n">
        <v>85.59999999999999</v>
      </c>
      <c r="K1752" t="n">
        <v>65.8</v>
      </c>
      <c r="L1752" t="n">
        <v>60.8</v>
      </c>
      <c r="M1752" s="155" t="n">
        <v>9.01</v>
      </c>
      <c r="N1752" t="inlineStr">
        <is>
          <t>金仁寶集團旗下電源供應器廠</t>
        </is>
      </c>
    </row>
    <row r="1753">
      <c r="A1753" t="n">
        <v>6283</v>
      </c>
      <c r="B1753" t="inlineStr">
        <is>
          <t>淳安</t>
        </is>
      </c>
      <c r="C1753" t="n">
        <v>25.3</v>
      </c>
      <c r="D1753" t="n">
        <v>25.2</v>
      </c>
      <c r="E1753" s="730" t="n">
        <v>0.1</v>
      </c>
      <c r="F1753" s="731" t="n">
        <v>0.4</v>
      </c>
      <c r="G1753" t="inlineStr">
        <is>
          <t>824萬</t>
        </is>
      </c>
      <c r="H1753" t="n">
        <v>328</v>
      </c>
      <c r="I1753" t="n">
        <v>409</v>
      </c>
      <c r="J1753" t="n">
        <v>14.9</v>
      </c>
      <c r="K1753" t="n">
        <v>25.5</v>
      </c>
      <c r="L1753" t="n">
        <v>24.8</v>
      </c>
      <c r="M1753" s="155" t="n">
        <v>0.24</v>
      </c>
      <c r="N1753" t="inlineStr">
        <is>
          <t>鍵盤導電薄膜與車載鏡頭製造商</t>
        </is>
      </c>
    </row>
    <row r="1754">
      <c r="A1754" t="n">
        <v>6284</v>
      </c>
      <c r="B1754" t="inlineStr">
        <is>
          <t>佳邦</t>
        </is>
      </c>
      <c r="C1754" t="n">
        <v>116</v>
      </c>
      <c r="D1754" t="n">
        <v>110</v>
      </c>
      <c r="E1754" s="730" t="n">
        <v>-6</v>
      </c>
      <c r="F1754" s="731" t="n">
        <v>-5.17</v>
      </c>
      <c r="G1754" t="inlineStr">
        <is>
          <t>10.6億</t>
        </is>
      </c>
      <c r="H1754" t="n">
        <v>9801</v>
      </c>
      <c r="I1754" t="n">
        <v>10433</v>
      </c>
      <c r="J1754" t="n">
        <v>14.9</v>
      </c>
      <c r="K1754" t="n">
        <v>116</v>
      </c>
      <c r="L1754" t="n">
        <v>104.5</v>
      </c>
      <c r="M1754" s="155" t="n">
        <v>6.58</v>
      </c>
      <c r="N1754" t="inlineStr">
        <is>
          <t>電子保護元件及天線產品之領導廠商</t>
        </is>
      </c>
    </row>
    <row r="1755">
      <c r="A1755" t="n">
        <v>6285</v>
      </c>
      <c r="B1755" t="inlineStr">
        <is>
          <t>啟碁</t>
        </is>
      </c>
      <c r="C1755" t="n">
        <v>315</v>
      </c>
      <c r="D1755" t="n">
        <v>306</v>
      </c>
      <c r="E1755" s="730" t="n">
        <v>-8</v>
      </c>
      <c r="F1755" s="731" t="n">
        <v>-2.55</v>
      </c>
      <c r="G1755" t="inlineStr">
        <is>
          <t>39.5億</t>
        </is>
      </c>
      <c r="H1755" t="n">
        <v>12844</v>
      </c>
      <c r="I1755" t="n">
        <v>25024</v>
      </c>
      <c r="J1755" t="n">
        <v>48.37</v>
      </c>
      <c r="K1755" t="n">
        <v>320.5</v>
      </c>
      <c r="L1755" t="n">
        <v>303.5</v>
      </c>
      <c r="M1755" s="155" t="n">
        <v>2.66</v>
      </c>
      <c r="N1755" t="inlineStr">
        <is>
          <t>緯創轉投資無線、衛星通訊產品大廠</t>
        </is>
      </c>
    </row>
    <row r="1756">
      <c r="A1756" t="n">
        <v>6290</v>
      </c>
      <c r="B1756" t="inlineStr">
        <is>
          <t>良維</t>
        </is>
      </c>
      <c r="C1756" t="n">
        <v>367</v>
      </c>
      <c r="D1756" t="n">
        <v>362.5</v>
      </c>
      <c r="E1756" s="730" t="n">
        <v>-4.5</v>
      </c>
      <c r="F1756" s="731" t="n">
        <v>-1.23</v>
      </c>
      <c r="G1756" t="inlineStr">
        <is>
          <t>23.2億</t>
        </is>
      </c>
      <c r="H1756" t="n">
        <v>6477</v>
      </c>
      <c r="I1756" t="n">
        <v>11456</v>
      </c>
      <c r="J1756" t="n">
        <v>16.95</v>
      </c>
      <c r="K1756" t="n">
        <v>368.5</v>
      </c>
      <c r="L1756" t="n">
        <v>350</v>
      </c>
      <c r="M1756" s="155" t="n">
        <v>3.82</v>
      </c>
      <c r="N1756" t="inlineStr">
        <is>
          <t>全球知名電源線及充電器轉接頭製造商</t>
        </is>
      </c>
    </row>
    <row r="1757">
      <c r="A1757" t="n">
        <v>6291</v>
      </c>
      <c r="B1757" t="inlineStr">
        <is>
          <t>沛亨</t>
        </is>
      </c>
      <c r="C1757" t="n">
        <v>650</v>
      </c>
      <c r="D1757" t="n">
        <v>620</v>
      </c>
      <c r="E1757" s="730" t="n">
        <v>-28</v>
      </c>
      <c r="F1757" s="731" t="n">
        <v>-4.32</v>
      </c>
      <c r="G1757" t="inlineStr">
        <is>
          <t>3.80億</t>
        </is>
      </c>
      <c r="H1757" t="n">
        <v>624</v>
      </c>
      <c r="I1757" t="n">
        <v>3152</v>
      </c>
      <c r="J1757" t="n">
        <v>4.2</v>
      </c>
      <c r="K1757" t="n">
        <v>657</v>
      </c>
      <c r="L1757" t="n">
        <v>591</v>
      </c>
      <c r="M1757" s="155" t="n">
        <v>1.49</v>
      </c>
      <c r="N1757" t="inlineStr">
        <is>
          <t>台灣老牌電源管理IC業者</t>
        </is>
      </c>
    </row>
    <row r="1758">
      <c r="A1758" t="n">
        <v>6292</v>
      </c>
      <c r="B1758" t="inlineStr">
        <is>
          <t>迅德</t>
        </is>
      </c>
      <c r="C1758" t="n">
        <v>67.3</v>
      </c>
      <c r="D1758" t="n">
        <v>63.3</v>
      </c>
      <c r="E1758" s="730" t="n">
        <v>-4.5</v>
      </c>
      <c r="F1758" s="731" t="n">
        <v>-6.64</v>
      </c>
      <c r="G1758" t="inlineStr">
        <is>
          <t>5836萬</t>
        </is>
      </c>
      <c r="H1758" t="n">
        <v>910</v>
      </c>
      <c r="I1758" t="n">
        <v>2052</v>
      </c>
      <c r="J1758" t="n">
        <v>4.66</v>
      </c>
      <c r="K1758" t="n">
        <v>67.3</v>
      </c>
      <c r="L1758" t="n">
        <v>61.2</v>
      </c>
      <c r="M1758" s="155" t="n">
        <v>1.95</v>
      </c>
      <c r="N1758" t="inlineStr">
        <is>
          <t>專注生產工業用變壓器產品之廠商</t>
        </is>
      </c>
    </row>
    <row r="1759">
      <c r="A1759" t="n">
        <v>6294</v>
      </c>
      <c r="B1759" t="inlineStr">
        <is>
          <t>智基</t>
        </is>
      </c>
      <c r="C1759" t="n">
        <v>27.25</v>
      </c>
      <c r="D1759" t="n">
        <v>27.15</v>
      </c>
      <c r="E1759" s="730" t="n">
        <v>-0.5</v>
      </c>
      <c r="F1759" s="731" t="n">
        <v>-1.81</v>
      </c>
      <c r="G1759" t="inlineStr">
        <is>
          <t>76.2萬</t>
        </is>
      </c>
      <c r="H1759" t="n">
        <v>28</v>
      </c>
      <c r="I1759" t="n">
        <v>33</v>
      </c>
      <c r="J1759" t="n">
        <v>2.6</v>
      </c>
      <c r="K1759" t="n">
        <v>27.4</v>
      </c>
      <c r="L1759" t="n">
        <v>27.15</v>
      </c>
      <c r="M1759" s="155" t="n">
        <v>0.11</v>
      </c>
      <c r="N1759" t="inlineStr">
        <is>
          <t>主要經營公職補習「志光」及升學補習「超級考試王」</t>
        </is>
      </c>
    </row>
    <row r="1760">
      <c r="A1760" t="n">
        <v>6405</v>
      </c>
      <c r="B1760" t="inlineStr">
        <is>
          <t>悅城</t>
        </is>
      </c>
      <c r="C1760" t="n">
        <v>80.3</v>
      </c>
      <c r="D1760" t="n">
        <v>75.8</v>
      </c>
      <c r="E1760" s="730" t="n">
        <v>-3.9</v>
      </c>
      <c r="F1760" s="731" t="n">
        <v>-4.89</v>
      </c>
      <c r="G1760" t="inlineStr">
        <is>
          <t>2950萬</t>
        </is>
      </c>
      <c r="H1760" t="n">
        <v>388</v>
      </c>
      <c r="I1760" t="n">
        <v>4886</v>
      </c>
      <c r="J1760" t="n">
        <v>6.58</v>
      </c>
      <c r="K1760" t="n">
        <v>80.3</v>
      </c>
      <c r="L1760" t="n">
        <v>73.90000000000001</v>
      </c>
      <c r="M1760" s="155" t="n">
        <v>0.59</v>
      </c>
      <c r="N1760" t="inlineStr">
        <is>
          <t>台灣光電玻璃薄化加工大廠</t>
        </is>
      </c>
    </row>
    <row r="1761">
      <c r="A1761" t="n">
        <v>6409</v>
      </c>
      <c r="B1761" t="inlineStr">
        <is>
          <t>旭隼</t>
        </is>
      </c>
      <c r="C1761" t="n">
        <v>712</v>
      </c>
      <c r="D1761" t="n">
        <v>742</v>
      </c>
      <c r="E1761" s="730" t="n">
        <v>29</v>
      </c>
      <c r="F1761" s="731" t="n">
        <v>4.07</v>
      </c>
      <c r="G1761" t="inlineStr">
        <is>
          <t>12.5億</t>
        </is>
      </c>
      <c r="H1761" t="n">
        <v>1700</v>
      </c>
      <c r="I1761" t="n">
        <v>1173</v>
      </c>
      <c r="J1761" t="n">
        <v>8.83</v>
      </c>
      <c r="K1761" t="n">
        <v>759</v>
      </c>
      <c r="L1761" t="n">
        <v>702</v>
      </c>
      <c r="M1761" s="155" t="n">
        <v>1.94</v>
      </c>
      <c r="N1761" t="inlineStr">
        <is>
          <t>台灣UPS及PV Inverter之ODM製造廠商</t>
        </is>
      </c>
    </row>
    <row r="1762">
      <c r="A1762" t="n">
        <v>6411</v>
      </c>
      <c r="B1762" t="inlineStr">
        <is>
          <t>晶焱</t>
        </is>
      </c>
      <c r="C1762" t="n">
        <v>106.5</v>
      </c>
      <c r="D1762" t="n">
        <v>100</v>
      </c>
      <c r="E1762" s="730" t="n">
        <v>-6.5</v>
      </c>
      <c r="F1762" s="731" t="n">
        <v>-6.1</v>
      </c>
      <c r="G1762" t="inlineStr">
        <is>
          <t>4.54億</t>
        </is>
      </c>
      <c r="H1762" t="n">
        <v>4512</v>
      </c>
      <c r="I1762" t="n">
        <v>6486</v>
      </c>
      <c r="J1762" t="n">
        <v>9.949999999999999</v>
      </c>
      <c r="K1762" t="n">
        <v>106.5</v>
      </c>
      <c r="L1762" t="n">
        <v>97.3</v>
      </c>
      <c r="M1762" s="155" t="n">
        <v>4.55</v>
      </c>
      <c r="N1762" t="inlineStr">
        <is>
          <t>台灣首家靜電放電防護IC設計公司</t>
        </is>
      </c>
    </row>
    <row r="1763">
      <c r="A1763" t="n">
        <v>6412</v>
      </c>
      <c r="B1763" t="inlineStr">
        <is>
          <t>群電</t>
        </is>
      </c>
      <c r="C1763" t="n">
        <v>106.5</v>
      </c>
      <c r="D1763" t="n">
        <v>104</v>
      </c>
      <c r="E1763" s="730" t="n">
        <v>-2</v>
      </c>
      <c r="F1763" s="731" t="n">
        <v>-1.89</v>
      </c>
      <c r="G1763" t="inlineStr">
        <is>
          <t>6.69億</t>
        </is>
      </c>
      <c r="H1763" t="n">
        <v>6449</v>
      </c>
      <c r="I1763" t="n">
        <v>3757</v>
      </c>
      <c r="J1763" t="n">
        <v>40.08</v>
      </c>
      <c r="K1763" t="n">
        <v>108.5</v>
      </c>
      <c r="L1763" t="n">
        <v>101.5</v>
      </c>
      <c r="M1763" s="155" t="n">
        <v>1.61</v>
      </c>
      <c r="N1763" t="inlineStr">
        <is>
          <t>台灣前三大PC電源供應器廠</t>
        </is>
      </c>
    </row>
    <row r="1764">
      <c r="A1764" t="n">
        <v>6414</v>
      </c>
      <c r="B1764" t="inlineStr">
        <is>
          <t>樺漢</t>
        </is>
      </c>
      <c r="C1764" t="n">
        <v>382.5</v>
      </c>
      <c r="D1764" t="n">
        <v>383</v>
      </c>
      <c r="E1764" s="730" t="n">
        <v>7.5</v>
      </c>
      <c r="F1764" s="731" t="n">
        <v>2</v>
      </c>
      <c r="G1764" t="inlineStr">
        <is>
          <t>10.4億</t>
        </is>
      </c>
      <c r="H1764" t="n">
        <v>2716</v>
      </c>
      <c r="I1764" t="n">
        <v>1717</v>
      </c>
      <c r="J1764" t="n">
        <v>14.6</v>
      </c>
      <c r="K1764" t="n">
        <v>393</v>
      </c>
      <c r="L1764" t="n">
        <v>375</v>
      </c>
      <c r="M1764" s="155" t="n">
        <v>1.86</v>
      </c>
      <c r="N1764" t="inlineStr">
        <is>
          <t>鴻海轉投資之工業電腦廠</t>
        </is>
      </c>
    </row>
    <row r="1765">
      <c r="A1765" t="n">
        <v>6415</v>
      </c>
      <c r="B1765" t="inlineStr">
        <is>
          <t>矽力*-KY</t>
        </is>
      </c>
      <c r="C1765" t="n">
        <v>597</v>
      </c>
      <c r="D1765" t="n">
        <v>578</v>
      </c>
      <c r="E1765" s="730" t="n">
        <v>-28</v>
      </c>
      <c r="F1765" s="731" t="n">
        <v>-4.62</v>
      </c>
      <c r="G1765" t="inlineStr">
        <is>
          <t>37.2億</t>
        </is>
      </c>
      <c r="H1765" t="n">
        <v>6439</v>
      </c>
      <c r="I1765" t="n">
        <v>9381</v>
      </c>
      <c r="J1765" t="n">
        <v>9.720000000000001</v>
      </c>
      <c r="K1765" t="n">
        <v>598</v>
      </c>
      <c r="L1765" t="n">
        <v>564</v>
      </c>
      <c r="M1765" s="155" t="n">
        <v>1.66</v>
      </c>
      <c r="N1765" t="inlineStr">
        <is>
          <t>大陸電源管理晶片大廠</t>
        </is>
      </c>
    </row>
    <row r="1766">
      <c r="A1766" t="n">
        <v>6416</v>
      </c>
      <c r="B1766" t="inlineStr">
        <is>
          <t>瑞祺電通</t>
        </is>
      </c>
      <c r="C1766" t="n">
        <v>92.09999999999999</v>
      </c>
      <c r="D1766" t="n">
        <v>91.90000000000001</v>
      </c>
      <c r="E1766" s="730" t="n">
        <v>0.4</v>
      </c>
      <c r="F1766" s="731" t="n">
        <v>0.44</v>
      </c>
      <c r="G1766" t="inlineStr">
        <is>
          <t>2855萬</t>
        </is>
      </c>
      <c r="H1766" t="n">
        <v>312</v>
      </c>
      <c r="I1766" t="n">
        <v>450</v>
      </c>
      <c r="J1766" t="n">
        <v>7.33</v>
      </c>
      <c r="K1766" t="n">
        <v>92.3</v>
      </c>
      <c r="L1766" t="n">
        <v>90.7</v>
      </c>
      <c r="M1766" s="155" t="n">
        <v>0.43</v>
      </c>
      <c r="N1766" t="inlineStr">
        <is>
          <t>台灣網通資安設備龍頭大廠</t>
        </is>
      </c>
    </row>
    <row r="1767">
      <c r="A1767" t="n">
        <v>6417</v>
      </c>
      <c r="B1767" t="inlineStr">
        <is>
          <t>韋僑</t>
        </is>
      </c>
      <c r="C1767" t="n">
        <v>141</v>
      </c>
      <c r="D1767" t="n">
        <v>140</v>
      </c>
      <c r="E1767" s="730" t="n">
        <v>-1</v>
      </c>
      <c r="F1767" s="731" t="n">
        <v>-0.71</v>
      </c>
      <c r="G1767" t="inlineStr">
        <is>
          <t>1624萬</t>
        </is>
      </c>
      <c r="H1767" t="n">
        <v>118</v>
      </c>
      <c r="I1767" t="n">
        <v>276</v>
      </c>
      <c r="J1767" t="n">
        <v>4.23</v>
      </c>
      <c r="K1767" t="n">
        <v>141</v>
      </c>
      <c r="L1767" t="n">
        <v>136</v>
      </c>
      <c r="M1767" s="155" t="n">
        <v>0.28</v>
      </c>
      <c r="N1767" t="inlineStr">
        <is>
          <t>台灣RFID Tag製造商</t>
        </is>
      </c>
    </row>
    <row r="1768">
      <c r="A1768" t="n">
        <v>6418</v>
      </c>
      <c r="B1768" t="inlineStr">
        <is>
          <t>詠昇</t>
        </is>
      </c>
      <c r="C1768" t="n">
        <v>30.55</v>
      </c>
      <c r="D1768" t="n">
        <v>30.7</v>
      </c>
      <c r="E1768" s="730" t="n">
        <v>0.8</v>
      </c>
      <c r="F1768" s="731" t="n">
        <v>2.68</v>
      </c>
      <c r="G1768" t="inlineStr">
        <is>
          <t>560萬</t>
        </is>
      </c>
      <c r="H1768" t="n">
        <v>184</v>
      </c>
      <c r="I1768" t="n">
        <v>167</v>
      </c>
      <c r="J1768" t="n">
        <v>3.45</v>
      </c>
      <c r="K1768" t="n">
        <v>31.2</v>
      </c>
      <c r="L1768" t="n">
        <v>29.9</v>
      </c>
      <c r="M1768" s="155" t="n">
        <v>0.53</v>
      </c>
      <c r="N1768" t="inlineStr">
        <is>
          <t>各種應用之訊號連接器及傳輸線製造商</t>
        </is>
      </c>
    </row>
    <row r="1769">
      <c r="A1769" t="n">
        <v>6419</v>
      </c>
      <c r="B1769" t="inlineStr">
        <is>
          <t>京晨科</t>
        </is>
      </c>
      <c r="C1769" t="n">
        <v>141</v>
      </c>
      <c r="D1769" t="n">
        <v>149.5</v>
      </c>
      <c r="E1769" s="730" t="n">
        <v>7.5</v>
      </c>
      <c r="F1769" s="731" t="n">
        <v>5.28</v>
      </c>
      <c r="G1769" t="inlineStr">
        <is>
          <t>1.01億</t>
        </is>
      </c>
      <c r="H1769" t="n">
        <v>694</v>
      </c>
      <c r="I1769" t="n">
        <v>674</v>
      </c>
      <c r="J1769" t="n">
        <v>1.32</v>
      </c>
      <c r="K1769" t="n">
        <v>152</v>
      </c>
      <c r="L1769" t="n">
        <v>138</v>
      </c>
      <c r="M1769" s="155" t="n">
        <v>5.27</v>
      </c>
      <c r="N1769" t="inlineStr">
        <is>
          <t>台灣網路視訊監控系統商</t>
        </is>
      </c>
    </row>
    <row r="1770">
      <c r="A1770" t="n">
        <v>6423</v>
      </c>
      <c r="B1770" t="inlineStr">
        <is>
          <t>億而得</t>
        </is>
      </c>
      <c r="C1770" t="n">
        <v>93.8</v>
      </c>
      <c r="D1770" t="n">
        <v>92.59999999999999</v>
      </c>
      <c r="E1770" s="730" t="n">
        <v>-2.3</v>
      </c>
      <c r="F1770" s="731" t="n">
        <v>-2.42</v>
      </c>
      <c r="G1770" t="inlineStr">
        <is>
          <t>1682萬</t>
        </is>
      </c>
      <c r="H1770" t="n">
        <v>182</v>
      </c>
      <c r="I1770" t="n">
        <v>178</v>
      </c>
      <c r="J1770" t="n">
        <v>3.1</v>
      </c>
      <c r="K1770" t="n">
        <v>94.90000000000001</v>
      </c>
      <c r="L1770" t="n">
        <v>91.09999999999999</v>
      </c>
      <c r="M1770" s="155" t="n">
        <v>0.59</v>
      </c>
      <c r="N1770" t="inlineStr">
        <is>
          <t>台灣NVM MTP IP供應商</t>
        </is>
      </c>
    </row>
    <row r="1771">
      <c r="A1771" t="n">
        <v>6425</v>
      </c>
      <c r="B1771" t="inlineStr">
        <is>
          <t>易發</t>
        </is>
      </c>
      <c r="C1771" t="n">
        <v>93</v>
      </c>
      <c r="D1771" t="n">
        <v>88.09999999999999</v>
      </c>
      <c r="E1771" s="730" t="n">
        <v>-4.9</v>
      </c>
      <c r="F1771" s="731" t="n">
        <v>-5.27</v>
      </c>
      <c r="G1771" t="inlineStr">
        <is>
          <t>2.12億</t>
        </is>
      </c>
      <c r="H1771" t="n">
        <v>2369</v>
      </c>
      <c r="I1771" t="n">
        <v>5756</v>
      </c>
      <c r="J1771" t="n">
        <v>5.08</v>
      </c>
      <c r="K1771" t="n">
        <v>93</v>
      </c>
      <c r="L1771" t="n">
        <v>87.59999999999999</v>
      </c>
      <c r="M1771" s="155" t="n">
        <v>4.65</v>
      </c>
      <c r="N1771" t="inlineStr">
        <is>
          <t>深耕面板製程設備，並跨足半導體及動力電池設備之廠商</t>
        </is>
      </c>
    </row>
    <row r="1772">
      <c r="A1772" t="n">
        <v>6426</v>
      </c>
      <c r="B1772" t="inlineStr">
        <is>
          <t>統新</t>
        </is>
      </c>
      <c r="C1772" t="n">
        <v>271</v>
      </c>
      <c r="D1772" t="n">
        <v>259</v>
      </c>
      <c r="E1772" s="730" t="n">
        <v>-8</v>
      </c>
      <c r="F1772" s="731" t="n">
        <v>-3</v>
      </c>
      <c r="G1772" t="inlineStr">
        <is>
          <t>3.52億</t>
        </is>
      </c>
      <c r="H1772" t="n">
        <v>1339</v>
      </c>
      <c r="I1772" t="n">
        <v>2092</v>
      </c>
      <c r="J1772" t="n">
        <v>3.85</v>
      </c>
      <c r="K1772" t="n">
        <v>277</v>
      </c>
      <c r="L1772" t="n">
        <v>250.5</v>
      </c>
      <c r="M1772" s="155" t="n">
        <v>3.48</v>
      </c>
      <c r="N1772" t="inlineStr">
        <is>
          <t>台灣光通訊元件濾光片廠商</t>
        </is>
      </c>
    </row>
    <row r="1773">
      <c r="A1773" t="n">
        <v>6431</v>
      </c>
      <c r="B1773" t="inlineStr">
        <is>
          <t>光麗-KY</t>
        </is>
      </c>
      <c r="C1773" t="n">
        <v>19.25</v>
      </c>
      <c r="D1773" t="n">
        <v>18.65</v>
      </c>
      <c r="E1773" s="730" t="n">
        <v>-0.2</v>
      </c>
      <c r="F1773" s="731" t="n">
        <v>-1.06</v>
      </c>
      <c r="G1773" t="inlineStr">
        <is>
          <t>165萬</t>
        </is>
      </c>
      <c r="H1773" t="n">
        <v>90</v>
      </c>
      <c r="I1773" t="n">
        <v>157</v>
      </c>
      <c r="J1773" t="n">
        <v>8.609999999999999</v>
      </c>
      <c r="K1773" t="n">
        <v>19.25</v>
      </c>
      <c r="L1773" t="n">
        <v>18.15</v>
      </c>
      <c r="M1773" s="155" t="n">
        <v>0.18</v>
      </c>
      <c r="N1773" t="inlineStr">
        <is>
          <t>美妝保養品代工廠商</t>
        </is>
      </c>
    </row>
    <row r="1774">
      <c r="A1774" t="n">
        <v>6432</v>
      </c>
      <c r="B1774" t="inlineStr">
        <is>
          <t>今展科</t>
        </is>
      </c>
      <c r="C1774" t="n">
        <v>67</v>
      </c>
      <c r="D1774" t="n">
        <v>66</v>
      </c>
      <c r="E1774" s="730" t="n">
        <v>-2.1</v>
      </c>
      <c r="F1774" s="731" t="n">
        <v>-3.08</v>
      </c>
      <c r="G1774" t="inlineStr">
        <is>
          <t>1.99億</t>
        </is>
      </c>
      <c r="H1774" t="n">
        <v>3072</v>
      </c>
      <c r="I1774" t="n">
        <v>5145</v>
      </c>
      <c r="J1774" t="n">
        <v>3.44</v>
      </c>
      <c r="K1774" t="n">
        <v>67.40000000000001</v>
      </c>
      <c r="L1774" t="n">
        <v>63</v>
      </c>
      <c r="M1774" s="155" t="n">
        <v>8.94</v>
      </c>
      <c r="N1774" t="inlineStr">
        <is>
          <t>專業之電感供應商</t>
        </is>
      </c>
    </row>
    <row r="1775">
      <c r="A1775" t="n">
        <v>6435</v>
      </c>
      <c r="B1775" t="inlineStr">
        <is>
          <t>大中</t>
        </is>
      </c>
      <c r="C1775" t="n">
        <v>291.5</v>
      </c>
      <c r="D1775" t="n">
        <v>287</v>
      </c>
      <c r="E1775" s="730" t="n">
        <v>-2</v>
      </c>
      <c r="F1775" s="731" t="n">
        <v>-0.6899999999999999</v>
      </c>
      <c r="G1775" t="inlineStr">
        <is>
          <t>2.14億</t>
        </is>
      </c>
      <c r="H1775" t="n">
        <v>765</v>
      </c>
      <c r="I1775" t="n">
        <v>1681</v>
      </c>
      <c r="J1775" t="n">
        <v>3.75</v>
      </c>
      <c r="K1775" t="n">
        <v>291.5</v>
      </c>
      <c r="L1775" t="n">
        <v>275</v>
      </c>
      <c r="M1775" s="155" t="n">
        <v>2.04</v>
      </c>
      <c r="N1775" t="inlineStr">
        <is>
          <t>茂達旗下的功率半導體元件公司</t>
        </is>
      </c>
    </row>
    <row r="1776">
      <c r="A1776" t="n">
        <v>6438</v>
      </c>
      <c r="B1776" t="inlineStr">
        <is>
          <t>迅得</t>
        </is>
      </c>
      <c r="C1776" t="n">
        <v>170</v>
      </c>
      <c r="D1776" t="n">
        <v>164</v>
      </c>
      <c r="E1776" s="730" t="n">
        <v>-8.5</v>
      </c>
      <c r="F1776" s="731" t="n">
        <v>-4.93</v>
      </c>
      <c r="G1776" t="inlineStr">
        <is>
          <t>3.10億</t>
        </is>
      </c>
      <c r="H1776" t="n">
        <v>1877</v>
      </c>
      <c r="I1776" t="n">
        <v>1589</v>
      </c>
      <c r="J1776" t="n">
        <v>8.220000000000001</v>
      </c>
      <c r="K1776" t="n">
        <v>170.5</v>
      </c>
      <c r="L1776" t="n">
        <v>162.5</v>
      </c>
      <c r="M1776" s="155" t="n">
        <v>2.28</v>
      </c>
      <c r="N1776" t="inlineStr">
        <is>
          <t>主要為PCB相關之自動化設備供應商</t>
        </is>
      </c>
    </row>
    <row r="1777">
      <c r="A1777" t="n">
        <v>6441</v>
      </c>
      <c r="B1777" t="inlineStr">
        <is>
          <t>廣錠</t>
        </is>
      </c>
      <c r="C1777" t="n">
        <v>24.3</v>
      </c>
      <c r="D1777" t="n">
        <v>24</v>
      </c>
      <c r="E1777" s="730" t="n">
        <v>-0.3</v>
      </c>
      <c r="F1777" s="731" t="n">
        <v>-1.23</v>
      </c>
      <c r="G1777" t="inlineStr">
        <is>
          <t>493萬</t>
        </is>
      </c>
      <c r="H1777" t="n">
        <v>206</v>
      </c>
      <c r="I1777" t="n">
        <v>501</v>
      </c>
      <c r="J1777" t="n">
        <v>5.33</v>
      </c>
      <c r="K1777" t="n">
        <v>24.3</v>
      </c>
      <c r="L1777" t="n">
        <v>23.75</v>
      </c>
      <c r="M1777" s="155" t="n">
        <v>0.39</v>
      </c>
      <c r="N1777" t="inlineStr">
        <is>
          <t>廣積旗下博奕機台兼儲能系統公司</t>
        </is>
      </c>
    </row>
    <row r="1778">
      <c r="A1778" t="n">
        <v>6442</v>
      </c>
      <c r="B1778" t="inlineStr">
        <is>
          <t>光聖</t>
        </is>
      </c>
      <c r="C1778" t="n">
        <v>1925</v>
      </c>
      <c r="D1778" t="n">
        <v>1880</v>
      </c>
      <c r="E1778" s="730" t="n">
        <v>-5</v>
      </c>
      <c r="F1778" s="731" t="n">
        <v>-0.27</v>
      </c>
      <c r="G1778" t="inlineStr">
        <is>
          <t>44.4億</t>
        </is>
      </c>
      <c r="H1778" t="n">
        <v>2346</v>
      </c>
      <c r="I1778" t="n">
        <v>4609</v>
      </c>
      <c r="J1778" t="n">
        <v>8.15</v>
      </c>
      <c r="K1778" t="n">
        <v>1960</v>
      </c>
      <c r="L1778" t="n">
        <v>1860</v>
      </c>
      <c r="M1778" s="155" t="n">
        <v>3</v>
      </c>
      <c r="N1778" t="inlineStr">
        <is>
          <t>台灣光通訊元件製造商</t>
        </is>
      </c>
    </row>
    <row r="1779">
      <c r="A1779" t="n">
        <v>6443</v>
      </c>
      <c r="B1779" t="inlineStr">
        <is>
          <t>元晶</t>
        </is>
      </c>
      <c r="C1779" t="n">
        <v>42.65</v>
      </c>
      <c r="D1779" t="n">
        <v>42.55</v>
      </c>
      <c r="E1779" s="730" t="n">
        <v>0.45</v>
      </c>
      <c r="F1779" s="731" t="n">
        <v>1.07</v>
      </c>
      <c r="G1779" t="inlineStr">
        <is>
          <t>13.1億</t>
        </is>
      </c>
      <c r="H1779" t="n">
        <v>30941</v>
      </c>
      <c r="I1779" t="n">
        <v>23667</v>
      </c>
      <c r="J1779" t="n">
        <v>51.28</v>
      </c>
      <c r="K1779" t="n">
        <v>43.5</v>
      </c>
      <c r="L1779" t="n">
        <v>40.9</v>
      </c>
      <c r="M1779" s="155" t="n">
        <v>6.03</v>
      </c>
      <c r="N1779" t="inlineStr">
        <is>
          <t>台灣太陽能模組龍頭廠</t>
        </is>
      </c>
    </row>
    <row r="1780">
      <c r="A1780" t="n">
        <v>6446</v>
      </c>
      <c r="B1780" t="inlineStr">
        <is>
          <t>藥華藥</t>
        </is>
      </c>
      <c r="C1780" t="n">
        <v>962</v>
      </c>
      <c r="D1780" t="n">
        <v>902</v>
      </c>
      <c r="E1780" s="730" t="n">
        <v>-60</v>
      </c>
      <c r="F1780" s="731" t="n">
        <v>-6.24</v>
      </c>
      <c r="G1780" t="inlineStr">
        <is>
          <t>35.6億</t>
        </is>
      </c>
      <c r="H1780" t="n">
        <v>3880</v>
      </c>
      <c r="I1780" t="n">
        <v>3832</v>
      </c>
      <c r="J1780" t="n">
        <v>37.99</v>
      </c>
      <c r="K1780" t="n">
        <v>965</v>
      </c>
      <c r="L1780" t="n">
        <v>900</v>
      </c>
      <c r="M1780" s="155" t="n">
        <v>1.02</v>
      </c>
      <c r="N1780" t="inlineStr">
        <is>
          <t>罕見真性紅血球增生症藥物研發廠商</t>
        </is>
      </c>
    </row>
    <row r="1781">
      <c r="A1781" t="n">
        <v>6449</v>
      </c>
      <c r="B1781" t="inlineStr">
        <is>
          <t>鈺邦</t>
        </is>
      </c>
      <c r="C1781" t="n">
        <v>402</v>
      </c>
      <c r="D1781" t="n">
        <v>372</v>
      </c>
      <c r="E1781" s="730" t="n">
        <v>-39</v>
      </c>
      <c r="F1781" s="731" t="n">
        <v>-9.49</v>
      </c>
      <c r="G1781" t="inlineStr">
        <is>
          <t>3.45億</t>
        </is>
      </c>
      <c r="H1781" t="n">
        <v>919</v>
      </c>
      <c r="I1781" t="n">
        <v>569</v>
      </c>
      <c r="J1781" t="n">
        <v>9.19</v>
      </c>
      <c r="K1781" t="n">
        <v>402</v>
      </c>
      <c r="L1781" t="n">
        <v>370</v>
      </c>
      <c r="M1781" s="155" t="n">
        <v>1</v>
      </c>
      <c r="N1781" t="inlineStr">
        <is>
          <t>全球前三大固態電容廠之一</t>
        </is>
      </c>
    </row>
    <row r="1782">
      <c r="A1782" t="n">
        <v>6451</v>
      </c>
      <c r="B1782" t="inlineStr">
        <is>
          <t>訊芯-KY</t>
        </is>
      </c>
      <c r="C1782" t="n">
        <v>656</v>
      </c>
      <c r="D1782" t="n">
        <v>659</v>
      </c>
      <c r="E1782" s="730" t="n">
        <v>32</v>
      </c>
      <c r="F1782" s="731" t="n">
        <v>5.1</v>
      </c>
      <c r="G1782" t="inlineStr">
        <is>
          <t>71.0億</t>
        </is>
      </c>
      <c r="H1782" t="n">
        <v>10518</v>
      </c>
      <c r="I1782" t="n">
        <v>6469</v>
      </c>
      <c r="J1782" t="n">
        <v>11.22</v>
      </c>
      <c r="K1782" t="n">
        <v>689</v>
      </c>
      <c r="L1782" t="n">
        <v>645</v>
      </c>
      <c r="M1782" s="155" t="n">
        <v>9.68</v>
      </c>
      <c r="N1782" t="inlineStr">
        <is>
          <t>鴻海集團轉投資系統模組封裝廠</t>
        </is>
      </c>
    </row>
    <row r="1783">
      <c r="A1783" t="n">
        <v>6456</v>
      </c>
      <c r="B1783" t="inlineStr">
        <is>
          <t>GIS-KY</t>
        </is>
      </c>
      <c r="C1783" t="n">
        <v>84</v>
      </c>
      <c r="D1783" t="n">
        <v>82.90000000000001</v>
      </c>
      <c r="E1783" s="730" t="n">
        <v>-1</v>
      </c>
      <c r="F1783" s="731" t="n">
        <v>-1.19</v>
      </c>
      <c r="G1783" t="inlineStr">
        <is>
          <t>20.7億</t>
        </is>
      </c>
      <c r="H1783" t="n">
        <v>25151</v>
      </c>
      <c r="I1783" t="n">
        <v>29459</v>
      </c>
      <c r="J1783" t="n">
        <v>33.79</v>
      </c>
      <c r="K1783" t="n">
        <v>86.40000000000001</v>
      </c>
      <c r="L1783" t="n">
        <v>79.90000000000001</v>
      </c>
      <c r="M1783" s="155" t="n">
        <v>7.44</v>
      </c>
      <c r="N1783" t="inlineStr">
        <is>
          <t>鴻海集團旗下觸控面板模組廠</t>
        </is>
      </c>
    </row>
    <row r="1784">
      <c r="A1784" t="n">
        <v>6461</v>
      </c>
      <c r="B1784" t="inlineStr">
        <is>
          <t>益得</t>
        </is>
      </c>
      <c r="C1784" t="n">
        <v>16.4</v>
      </c>
      <c r="D1784" t="n">
        <v>16.8</v>
      </c>
      <c r="E1784" s="730" t="n">
        <v>1.5</v>
      </c>
      <c r="F1784" s="731" t="n">
        <v>9.800000000000001</v>
      </c>
      <c r="G1784" t="inlineStr">
        <is>
          <t>532萬</t>
        </is>
      </c>
      <c r="H1784" t="n">
        <v>322</v>
      </c>
      <c r="I1784" t="n">
        <v>244</v>
      </c>
      <c r="J1784" t="n">
        <v>17.84</v>
      </c>
      <c r="K1784" t="n">
        <v>16.8</v>
      </c>
      <c r="L1784" t="n">
        <v>15.85</v>
      </c>
      <c r="M1784" s="155" t="n">
        <v>0.18</v>
      </c>
      <c r="N1784" t="inlineStr">
        <is>
          <t>健喬旗下哮喘定量噴霧吸入劑研發廠</t>
        </is>
      </c>
    </row>
    <row r="1785">
      <c r="A1785" t="n">
        <v>6462</v>
      </c>
      <c r="B1785" t="inlineStr">
        <is>
          <t>神盾</t>
        </is>
      </c>
      <c r="C1785" t="n">
        <v>123</v>
      </c>
      <c r="D1785" t="n">
        <v>122.5</v>
      </c>
      <c r="E1785" s="730" t="n">
        <v>-0.5</v>
      </c>
      <c r="F1785" s="731" t="n">
        <v>-0.41</v>
      </c>
      <c r="G1785" t="inlineStr">
        <is>
          <t>2.78億</t>
        </is>
      </c>
      <c r="H1785" t="n">
        <v>2263</v>
      </c>
      <c r="I1785" t="n">
        <v>4656</v>
      </c>
      <c r="J1785" t="n">
        <v>9.130000000000001</v>
      </c>
      <c r="K1785" t="n">
        <v>125</v>
      </c>
      <c r="L1785" t="n">
        <v>121</v>
      </c>
      <c r="M1785" s="155" t="n">
        <v>2.48</v>
      </c>
      <c r="N1785" t="inlineStr">
        <is>
          <t>台灣指紋辨識晶片龍頭</t>
        </is>
      </c>
    </row>
    <row r="1786">
      <c r="A1786" t="n">
        <v>6464</v>
      </c>
      <c r="B1786" t="inlineStr">
        <is>
          <t>台數科</t>
        </is>
      </c>
      <c r="C1786" t="n">
        <v>78</v>
      </c>
      <c r="D1786" t="n">
        <v>78</v>
      </c>
      <c r="E1786" s="730" t="n">
        <v>0</v>
      </c>
      <c r="F1786" s="731" t="n">
        <v>0</v>
      </c>
      <c r="G1786" t="inlineStr">
        <is>
          <t>39.0萬</t>
        </is>
      </c>
      <c r="H1786" t="n">
        <v>5</v>
      </c>
      <c r="I1786" t="n">
        <v>62</v>
      </c>
      <c r="J1786" t="n">
        <v>12.88</v>
      </c>
      <c r="K1786" t="n">
        <v>78</v>
      </c>
      <c r="L1786" t="n">
        <v>77.90000000000001</v>
      </c>
      <c r="M1786" s="155" t="n">
        <v>0</v>
      </c>
      <c r="N1786" t="inlineStr">
        <is>
          <t>台灣唯一由本土有線電視業者成立的多系統經營者</t>
        </is>
      </c>
    </row>
    <row r="1787">
      <c r="A1787" t="n">
        <v>6465</v>
      </c>
      <c r="B1787" t="inlineStr">
        <is>
          <t>威潤</t>
        </is>
      </c>
      <c r="C1787" t="n">
        <v>49.35</v>
      </c>
      <c r="D1787" t="n">
        <v>50.2</v>
      </c>
      <c r="E1787" s="730" t="n">
        <v>1.75</v>
      </c>
      <c r="F1787" s="731" t="n">
        <v>3.61</v>
      </c>
      <c r="G1787" t="inlineStr">
        <is>
          <t>1364萬</t>
        </is>
      </c>
      <c r="H1787" t="n">
        <v>277</v>
      </c>
      <c r="I1787" t="n">
        <v>359</v>
      </c>
      <c r="J1787" t="n">
        <v>4.71</v>
      </c>
      <c r="K1787" t="n">
        <v>50.8</v>
      </c>
      <c r="L1787" t="n">
        <v>48</v>
      </c>
      <c r="M1787" s="155" t="n">
        <v>0.59</v>
      </c>
      <c r="N1787" t="inlineStr">
        <is>
          <t>以自有品牌「ATrack」行銷衛星定位監控系統廠商</t>
        </is>
      </c>
    </row>
    <row r="1788">
      <c r="A1788" t="n">
        <v>6469</v>
      </c>
      <c r="B1788" t="inlineStr">
        <is>
          <t>大樹</t>
        </is>
      </c>
      <c r="C1788" t="n">
        <v>71.5</v>
      </c>
      <c r="D1788" t="n">
        <v>72.5</v>
      </c>
      <c r="E1788" s="730" t="n">
        <v>1</v>
      </c>
      <c r="F1788" s="731" t="n">
        <v>1.4</v>
      </c>
      <c r="G1788" t="inlineStr">
        <is>
          <t>4352萬</t>
        </is>
      </c>
      <c r="H1788" t="n">
        <v>607</v>
      </c>
      <c r="I1788" t="n">
        <v>606</v>
      </c>
      <c r="J1788" t="n">
        <v>15.01</v>
      </c>
      <c r="K1788" t="n">
        <v>72.5</v>
      </c>
      <c r="L1788" t="n">
        <v>71</v>
      </c>
      <c r="M1788" s="155" t="n">
        <v>0.4</v>
      </c>
      <c r="N1788" t="inlineStr">
        <is>
          <t>台灣連鎖藥局龍頭</t>
        </is>
      </c>
    </row>
    <row r="1789">
      <c r="A1789" t="n">
        <v>6470</v>
      </c>
      <c r="B1789" t="inlineStr">
        <is>
          <t>宇智</t>
        </is>
      </c>
      <c r="C1789" t="n">
        <v>49.2</v>
      </c>
      <c r="D1789" t="n">
        <v>49.55</v>
      </c>
      <c r="E1789" s="730" t="n">
        <v>0.6</v>
      </c>
      <c r="F1789" s="731" t="n">
        <v>1.23</v>
      </c>
      <c r="G1789" t="inlineStr">
        <is>
          <t>726萬</t>
        </is>
      </c>
      <c r="H1789" t="n">
        <v>148</v>
      </c>
      <c r="I1789" t="n">
        <v>111</v>
      </c>
      <c r="J1789" t="n">
        <v>3.77</v>
      </c>
      <c r="K1789" t="n">
        <v>49.8</v>
      </c>
      <c r="L1789" t="n">
        <v>48.5</v>
      </c>
      <c r="M1789" s="155" t="n">
        <v>0.39</v>
      </c>
      <c r="N1789" t="inlineStr">
        <is>
          <t>無線網路設備廠商</t>
        </is>
      </c>
    </row>
    <row r="1790">
      <c r="A1790" t="n">
        <v>6472</v>
      </c>
      <c r="B1790" t="inlineStr">
        <is>
          <t>保瑞</t>
        </is>
      </c>
      <c r="C1790" t="n">
        <v>356.5</v>
      </c>
      <c r="D1790" t="n">
        <v>350</v>
      </c>
      <c r="E1790" s="730" t="n">
        <v>-6.5</v>
      </c>
      <c r="F1790" s="731" t="n">
        <v>-1.82</v>
      </c>
      <c r="G1790" t="inlineStr">
        <is>
          <t>2.41億</t>
        </is>
      </c>
      <c r="H1790" t="n">
        <v>685</v>
      </c>
      <c r="I1790" t="n">
        <v>1314</v>
      </c>
      <c r="J1790" t="n">
        <v>12.8</v>
      </c>
      <c r="K1790" t="n">
        <v>362</v>
      </c>
      <c r="L1790" t="n">
        <v>348</v>
      </c>
      <c r="M1790" s="155" t="n">
        <v>0.54</v>
      </c>
      <c r="N1790" t="inlineStr">
        <is>
          <t>台灣最大CDMO代工廠，且為利基學名藥研發公司</t>
        </is>
      </c>
    </row>
    <row r="1791">
      <c r="A1791" t="n">
        <v>6474</v>
      </c>
      <c r="B1791" t="inlineStr">
        <is>
          <t>華豫寧</t>
        </is>
      </c>
      <c r="C1791" t="n">
        <v>38.2</v>
      </c>
      <c r="D1791" t="n">
        <v>38.35</v>
      </c>
      <c r="E1791" s="730" t="n">
        <v>0.5</v>
      </c>
      <c r="F1791" s="731" t="n">
        <v>1.32</v>
      </c>
      <c r="G1791" t="inlineStr">
        <is>
          <t>390萬</t>
        </is>
      </c>
      <c r="H1791" t="n">
        <v>102</v>
      </c>
      <c r="I1791" t="n">
        <v>88</v>
      </c>
      <c r="J1791" t="n">
        <v>5.25</v>
      </c>
      <c r="K1791" t="n">
        <v>39.1</v>
      </c>
      <c r="L1791" t="n">
        <v>37.9</v>
      </c>
      <c r="M1791" s="155" t="n">
        <v>0.19</v>
      </c>
      <c r="N1791" t="inlineStr">
        <is>
          <t>主要代理MCU及電子鎖廠商</t>
        </is>
      </c>
    </row>
    <row r="1792">
      <c r="A1792" t="n">
        <v>6477</v>
      </c>
      <c r="B1792" t="inlineStr">
        <is>
          <t>安集</t>
        </is>
      </c>
      <c r="C1792" t="n">
        <v>34.3</v>
      </c>
      <c r="D1792" t="n">
        <v>33.65</v>
      </c>
      <c r="E1792" s="730" t="n">
        <v>-0.6</v>
      </c>
      <c r="F1792" s="731" t="n">
        <v>-1.75</v>
      </c>
      <c r="G1792" t="inlineStr">
        <is>
          <t>2794萬</t>
        </is>
      </c>
      <c r="H1792" t="n">
        <v>830</v>
      </c>
      <c r="I1792" t="n">
        <v>642</v>
      </c>
      <c r="J1792" t="n">
        <v>12.38</v>
      </c>
      <c r="K1792" t="n">
        <v>34.55</v>
      </c>
      <c r="L1792" t="n">
        <v>33.2</v>
      </c>
      <c r="M1792" s="155" t="n">
        <v>0.67</v>
      </c>
      <c r="N1792" t="inlineStr">
        <is>
          <t>台灣太陽能電池模組製造商</t>
        </is>
      </c>
    </row>
    <row r="1793">
      <c r="A1793" t="n">
        <v>6482</v>
      </c>
      <c r="B1793" t="inlineStr">
        <is>
          <t>弘煜科</t>
        </is>
      </c>
      <c r="C1793" t="n">
        <v>28.65</v>
      </c>
      <c r="D1793" t="n">
        <v>29.95</v>
      </c>
      <c r="E1793" s="730" t="n">
        <v>1.35</v>
      </c>
      <c r="F1793" s="731" t="n">
        <v>4.72</v>
      </c>
      <c r="G1793" t="inlineStr">
        <is>
          <t>120萬</t>
        </is>
      </c>
      <c r="H1793" t="n">
        <v>40</v>
      </c>
      <c r="I1793" t="n">
        <v>20</v>
      </c>
      <c r="J1793" t="n">
        <v>2.86</v>
      </c>
      <c r="K1793" t="n">
        <v>31</v>
      </c>
      <c r="L1793" t="n">
        <v>28.65</v>
      </c>
      <c r="M1793" s="155" t="n">
        <v>0.14</v>
      </c>
      <c r="N1793" t="inlineStr">
        <is>
          <t>智冠、宇峻轉投資的網頁及手機遊戲廠</t>
        </is>
      </c>
    </row>
    <row r="1794">
      <c r="A1794" t="n">
        <v>6485</v>
      </c>
      <c r="B1794" t="inlineStr">
        <is>
          <t>點序</t>
        </is>
      </c>
      <c r="C1794" t="n">
        <v>117</v>
      </c>
      <c r="D1794" t="n">
        <v>116.5</v>
      </c>
      <c r="E1794" s="730" t="n">
        <v>1</v>
      </c>
      <c r="F1794" s="731" t="n">
        <v>0.87</v>
      </c>
      <c r="G1794" t="inlineStr">
        <is>
          <t>10.8億</t>
        </is>
      </c>
      <c r="H1794" t="n">
        <v>9172</v>
      </c>
      <c r="I1794" t="n">
        <v>3626</v>
      </c>
      <c r="J1794" t="n">
        <v>4.74</v>
      </c>
      <c r="K1794" t="n">
        <v>123</v>
      </c>
      <c r="L1794" t="n">
        <v>112</v>
      </c>
      <c r="M1794" s="155" t="n">
        <v>19.36</v>
      </c>
      <c r="N1794" t="inlineStr">
        <is>
          <t>金士頓轉投資之快閃記憶體控制IC設計廠商</t>
        </is>
      </c>
    </row>
    <row r="1795">
      <c r="A1795" t="n">
        <v>6486</v>
      </c>
      <c r="B1795" t="inlineStr">
        <is>
          <t>互動</t>
        </is>
      </c>
      <c r="C1795" t="n">
        <v>82.5</v>
      </c>
      <c r="D1795" t="n">
        <v>82.59999999999999</v>
      </c>
      <c r="E1795" s="730" t="n">
        <v>0.1</v>
      </c>
      <c r="F1795" s="731" t="n">
        <v>0.12</v>
      </c>
      <c r="G1795" t="inlineStr">
        <is>
          <t>924萬</t>
        </is>
      </c>
      <c r="H1795" t="n">
        <v>112</v>
      </c>
      <c r="I1795" t="n">
        <v>130</v>
      </c>
      <c r="J1795" t="n">
        <v>5.09</v>
      </c>
      <c r="K1795" t="n">
        <v>83</v>
      </c>
      <c r="L1795" t="n">
        <v>82.2</v>
      </c>
      <c r="M1795" s="155" t="n">
        <v>0.22</v>
      </c>
      <c r="N1795" t="inlineStr">
        <is>
          <t>仲琦旗下電信寬頻網路系統整合規劃廠商</t>
        </is>
      </c>
    </row>
    <row r="1796">
      <c r="A1796" t="n">
        <v>6488</v>
      </c>
      <c r="B1796" t="inlineStr">
        <is>
          <t>環球晶</t>
        </is>
      </c>
      <c r="C1796" t="n">
        <v>951</v>
      </c>
      <c r="D1796" t="n">
        <v>940</v>
      </c>
      <c r="E1796" s="730" t="n">
        <v>-10</v>
      </c>
      <c r="F1796" s="731" t="n">
        <v>-1.05</v>
      </c>
      <c r="G1796" t="inlineStr">
        <is>
          <t>19.1億</t>
        </is>
      </c>
      <c r="H1796" t="n">
        <v>2018</v>
      </c>
      <c r="I1796" t="n">
        <v>14469</v>
      </c>
      <c r="J1796" t="n">
        <v>47.81</v>
      </c>
      <c r="K1796" t="n">
        <v>967</v>
      </c>
      <c r="L1796" t="n">
        <v>923</v>
      </c>
      <c r="M1796" s="155" t="n">
        <v>0.42</v>
      </c>
      <c r="N1796" t="inlineStr">
        <is>
          <t>全球第三大、台灣最大的矽晶圓廠商，從中美晶分割成立</t>
        </is>
      </c>
    </row>
    <row r="1797">
      <c r="A1797" t="n">
        <v>6491</v>
      </c>
      <c r="B1797" t="inlineStr">
        <is>
          <t>晶碩</t>
        </is>
      </c>
      <c r="C1797" t="n">
        <v>325</v>
      </c>
      <c r="D1797" t="n">
        <v>324.5</v>
      </c>
      <c r="E1797" s="730" t="n">
        <v>2</v>
      </c>
      <c r="F1797" s="731" t="n">
        <v>0.62</v>
      </c>
      <c r="G1797" t="inlineStr">
        <is>
          <t>1.05億</t>
        </is>
      </c>
      <c r="H1797" t="n">
        <v>326</v>
      </c>
      <c r="I1797" t="n">
        <v>705</v>
      </c>
      <c r="J1797" t="n">
        <v>7.8</v>
      </c>
      <c r="K1797" t="n">
        <v>325</v>
      </c>
      <c r="L1797" t="n">
        <v>320</v>
      </c>
      <c r="M1797" s="155" t="n">
        <v>0.42</v>
      </c>
      <c r="N1797" t="inlineStr">
        <is>
          <t>和碩集團旗下隱形眼鏡公司</t>
        </is>
      </c>
    </row>
    <row r="1798">
      <c r="A1798" t="n">
        <v>6492</v>
      </c>
      <c r="B1798" t="inlineStr">
        <is>
          <t>生華科</t>
        </is>
      </c>
      <c r="C1798" t="n">
        <v>45</v>
      </c>
      <c r="D1798" t="n">
        <v>43.9</v>
      </c>
      <c r="E1798" s="730" t="n">
        <v>-1.25</v>
      </c>
      <c r="F1798" s="731" t="n">
        <v>-2.77</v>
      </c>
      <c r="G1798" t="inlineStr">
        <is>
          <t>1225萬</t>
        </is>
      </c>
      <c r="H1798" t="n">
        <v>280</v>
      </c>
      <c r="I1798" t="n">
        <v>276</v>
      </c>
      <c r="J1798" t="n">
        <v>8.99</v>
      </c>
      <c r="K1798" t="n">
        <v>45</v>
      </c>
      <c r="L1798" t="n">
        <v>43.5</v>
      </c>
      <c r="M1798" s="155" t="n">
        <v>0.31</v>
      </c>
      <c r="N1798" t="inlineStr">
        <is>
          <t>小分子抗癌新藥研發廠</t>
        </is>
      </c>
    </row>
    <row r="1799">
      <c r="A1799" t="n">
        <v>6494</v>
      </c>
      <c r="B1799" t="inlineStr">
        <is>
          <t>九齊</t>
        </is>
      </c>
      <c r="C1799" t="n">
        <v>57.2</v>
      </c>
      <c r="D1799" t="n">
        <v>57</v>
      </c>
      <c r="E1799" s="730" t="n">
        <v>-0.2</v>
      </c>
      <c r="F1799" s="731" t="n">
        <v>-0.35</v>
      </c>
      <c r="G1799" t="inlineStr">
        <is>
          <t>1467萬</t>
        </is>
      </c>
      <c r="H1799" t="n">
        <v>260</v>
      </c>
      <c r="I1799" t="n">
        <v>477</v>
      </c>
      <c r="J1799" t="n">
        <v>3.16</v>
      </c>
      <c r="K1799" t="n">
        <v>57.4</v>
      </c>
      <c r="L1799" t="n">
        <v>55.7</v>
      </c>
      <c r="M1799" s="155" t="n">
        <v>0.82</v>
      </c>
      <c r="N1799" t="inlineStr">
        <is>
          <t>新唐轉投資的語音控制IC及MCU設計公司</t>
        </is>
      </c>
    </row>
    <row r="1800">
      <c r="A1800" t="n">
        <v>6496</v>
      </c>
      <c r="B1800" t="inlineStr">
        <is>
          <t>科懋</t>
        </is>
      </c>
      <c r="C1800" t="n">
        <v>24.1</v>
      </c>
      <c r="D1800" t="n">
        <v>23.8</v>
      </c>
      <c r="E1800" s="730" t="n">
        <v>-0.3</v>
      </c>
      <c r="F1800" s="731" t="n">
        <v>-1.24</v>
      </c>
      <c r="G1800" t="inlineStr">
        <is>
          <t>21.6萬</t>
        </is>
      </c>
      <c r="H1800" t="n">
        <v>9</v>
      </c>
      <c r="I1800" t="n">
        <v>30</v>
      </c>
      <c r="J1800" t="n">
        <v>4.74</v>
      </c>
      <c r="K1800" t="n">
        <v>24.1</v>
      </c>
      <c r="L1800" t="n">
        <v>23.8</v>
      </c>
      <c r="M1800" s="155" t="n">
        <v>0.02</v>
      </c>
      <c r="N1800" t="inlineStr">
        <is>
          <t>代理藥品及檢驗試劑，並開發解毒劑之公司</t>
        </is>
      </c>
    </row>
    <row r="1801">
      <c r="A1801" t="n">
        <v>6498</v>
      </c>
      <c r="B1801" t="inlineStr">
        <is>
          <t>久禾光</t>
        </is>
      </c>
      <c r="C1801" t="n">
        <v>108</v>
      </c>
      <c r="D1801" t="n">
        <v>103.5</v>
      </c>
      <c r="E1801" s="730" t="n">
        <v>-2</v>
      </c>
      <c r="F1801" s="731" t="n">
        <v>-1.9</v>
      </c>
      <c r="G1801" t="inlineStr">
        <is>
          <t>2523萬</t>
        </is>
      </c>
      <c r="H1801" t="n">
        <v>243</v>
      </c>
      <c r="I1801" t="n">
        <v>243</v>
      </c>
      <c r="J1801" t="n">
        <v>4.72</v>
      </c>
      <c r="K1801" t="n">
        <v>108</v>
      </c>
      <c r="L1801" t="n">
        <v>101</v>
      </c>
      <c r="M1801" s="155" t="n">
        <v>0.52</v>
      </c>
      <c r="N1801" t="inlineStr">
        <is>
          <t>台灣光學塑膠鏡片、鏡頭及模組製造商</t>
        </is>
      </c>
    </row>
    <row r="1802">
      <c r="A1802" t="n">
        <v>6499</v>
      </c>
      <c r="B1802" t="inlineStr">
        <is>
          <t>益安</t>
        </is>
      </c>
      <c r="C1802" t="n">
        <v>82.5</v>
      </c>
      <c r="D1802" t="n">
        <v>83.5</v>
      </c>
      <c r="E1802" s="730" t="n">
        <v>0.2</v>
      </c>
      <c r="F1802" s="731" t="n">
        <v>0.24</v>
      </c>
      <c r="G1802" t="inlineStr">
        <is>
          <t>4436萬</t>
        </is>
      </c>
      <c r="H1802" t="n">
        <v>534</v>
      </c>
      <c r="I1802" t="n">
        <v>524</v>
      </c>
      <c r="J1802" t="n">
        <v>9.69</v>
      </c>
      <c r="K1802" t="n">
        <v>85.40000000000001</v>
      </c>
      <c r="L1802" t="n">
        <v>81.90000000000001</v>
      </c>
      <c r="M1802" s="155" t="n">
        <v>0.55</v>
      </c>
      <c r="N1802" t="inlineStr">
        <is>
          <t>內視鏡、心導管及手術用侵入性設備研發廠商</t>
        </is>
      </c>
    </row>
    <row r="1803">
      <c r="A1803" t="n">
        <v>6504</v>
      </c>
      <c r="B1803" t="inlineStr">
        <is>
          <t>南六</t>
        </is>
      </c>
      <c r="C1803" t="n">
        <v>36.35</v>
      </c>
      <c r="D1803" t="n">
        <v>36.3</v>
      </c>
      <c r="E1803" s="730" t="n">
        <v>-0.2</v>
      </c>
      <c r="F1803" s="731" t="n">
        <v>-0.55</v>
      </c>
      <c r="G1803" t="inlineStr">
        <is>
          <t>465萬</t>
        </is>
      </c>
      <c r="H1803" t="n">
        <v>127</v>
      </c>
      <c r="I1803" t="n">
        <v>115</v>
      </c>
      <c r="J1803" t="n">
        <v>7.26</v>
      </c>
      <c r="K1803" t="n">
        <v>37.5</v>
      </c>
      <c r="L1803" t="n">
        <v>36.3</v>
      </c>
      <c r="M1803" s="155" t="n">
        <v>0.17</v>
      </c>
      <c r="N1803" t="inlineStr">
        <is>
          <t>亞洲最大的水針不織布廠商之一</t>
        </is>
      </c>
    </row>
    <row r="1804">
      <c r="A1804" t="n">
        <v>6505</v>
      </c>
      <c r="B1804" t="inlineStr">
        <is>
          <t>台塑化</t>
        </is>
      </c>
      <c r="C1804" t="n">
        <v>53.4</v>
      </c>
      <c r="D1804" t="n">
        <v>54.5</v>
      </c>
      <c r="E1804" s="730" t="n">
        <v>1.2</v>
      </c>
      <c r="F1804" s="731" t="n">
        <v>2.25</v>
      </c>
      <c r="G1804" t="inlineStr">
        <is>
          <t>6.74億</t>
        </is>
      </c>
      <c r="H1804" t="n">
        <v>12583</v>
      </c>
      <c r="I1804" t="n">
        <v>9353</v>
      </c>
      <c r="J1804" t="n">
        <v>952.6</v>
      </c>
      <c r="K1804" t="n">
        <v>54.7</v>
      </c>
      <c r="L1804" t="n">
        <v>52.9</v>
      </c>
      <c r="M1804" s="155" t="n">
        <v>0.13</v>
      </c>
      <c r="N1804" t="inlineStr">
        <is>
          <t>台灣最大的民營輕油裂解廠</t>
        </is>
      </c>
    </row>
    <row r="1805">
      <c r="A1805" t="n">
        <v>6506</v>
      </c>
      <c r="B1805" t="inlineStr">
        <is>
          <t>雙邦</t>
        </is>
      </c>
      <c r="C1805" t="n">
        <v>19.6</v>
      </c>
      <c r="D1805" t="n">
        <v>20.6</v>
      </c>
      <c r="E1805" s="730" t="n">
        <v>1.15</v>
      </c>
      <c r="F1805" s="731" t="n">
        <v>5.91</v>
      </c>
      <c r="G1805" t="inlineStr">
        <is>
          <t>1340萬</t>
        </is>
      </c>
      <c r="H1805" t="n">
        <v>666</v>
      </c>
      <c r="I1805" t="n">
        <v>244</v>
      </c>
      <c r="J1805" t="n">
        <v>8.24</v>
      </c>
      <c r="K1805" t="n">
        <v>20.8</v>
      </c>
      <c r="L1805" t="n">
        <v>19.4</v>
      </c>
      <c r="M1805" s="155" t="n">
        <v>0.8100000000000001</v>
      </c>
      <c r="N1805" t="inlineStr">
        <is>
          <t>塗佈貼合加工及特用化學原料供應商</t>
        </is>
      </c>
    </row>
    <row r="1806">
      <c r="A1806" t="n">
        <v>6508</v>
      </c>
      <c r="B1806" t="inlineStr">
        <is>
          <t>惠光</t>
        </is>
      </c>
      <c r="C1806" t="n">
        <v>23.2</v>
      </c>
      <c r="D1806" t="n">
        <v>23.15</v>
      </c>
      <c r="E1806" s="730" t="n">
        <v>0</v>
      </c>
      <c r="F1806" s="731" t="n">
        <v>0</v>
      </c>
      <c r="G1806" t="inlineStr">
        <is>
          <t>267萬</t>
        </is>
      </c>
      <c r="H1806" t="n">
        <v>115</v>
      </c>
      <c r="I1806" t="n">
        <v>96</v>
      </c>
      <c r="J1806" t="n">
        <v>8.65</v>
      </c>
      <c r="K1806" t="n">
        <v>23.25</v>
      </c>
      <c r="L1806" t="n">
        <v>23.1</v>
      </c>
      <c r="M1806" s="155" t="n">
        <v>0.13</v>
      </c>
      <c r="N1806" t="inlineStr">
        <is>
          <t>台灣第二大農藥及全球第三大地工膜廠商</t>
        </is>
      </c>
    </row>
    <row r="1807">
      <c r="A1807" t="n">
        <v>6509</v>
      </c>
      <c r="B1807" t="inlineStr">
        <is>
          <t>聚和</t>
        </is>
      </c>
      <c r="C1807" t="n">
        <v>52</v>
      </c>
      <c r="D1807" t="n">
        <v>49.5</v>
      </c>
      <c r="E1807" s="730" t="n">
        <v>-2</v>
      </c>
      <c r="F1807" s="731" t="n">
        <v>-3.88</v>
      </c>
      <c r="G1807" t="inlineStr">
        <is>
          <t>2.22億</t>
        </is>
      </c>
      <c r="H1807" t="n">
        <v>4482</v>
      </c>
      <c r="I1807" t="n">
        <v>3394</v>
      </c>
      <c r="J1807" t="n">
        <v>19.65</v>
      </c>
      <c r="K1807" t="n">
        <v>52</v>
      </c>
      <c r="L1807" t="n">
        <v>48.6</v>
      </c>
      <c r="M1807" s="155" t="n">
        <v>2.28</v>
      </c>
      <c r="N1807" t="inlineStr">
        <is>
          <t>全球前三大自黏便條紙商、知名造紙化學品廠</t>
        </is>
      </c>
    </row>
    <row r="1808">
      <c r="A1808" t="n">
        <v>6510</v>
      </c>
      <c r="B1808" t="inlineStr">
        <is>
          <t>精測</t>
        </is>
      </c>
      <c r="C1808" t="n">
        <v>3365</v>
      </c>
      <c r="D1808" t="n">
        <v>3215</v>
      </c>
      <c r="E1808" s="730" t="n">
        <v>-75</v>
      </c>
      <c r="F1808" s="731" t="n">
        <v>-2.28</v>
      </c>
      <c r="G1808" t="inlineStr">
        <is>
          <t>19.8億</t>
        </is>
      </c>
      <c r="H1808" t="n">
        <v>609</v>
      </c>
      <c r="I1808" t="n">
        <v>844</v>
      </c>
      <c r="J1808" t="n">
        <v>3.29</v>
      </c>
      <c r="K1808" t="n">
        <v>3365</v>
      </c>
      <c r="L1808" t="n">
        <v>3165</v>
      </c>
      <c r="M1808" s="155" t="n">
        <v>1.86</v>
      </c>
      <c r="N1808" t="inlineStr">
        <is>
          <t>中華電信旗下晶圓測試介面板廠</t>
        </is>
      </c>
    </row>
    <row r="1809">
      <c r="A1809" t="n">
        <v>6512</v>
      </c>
      <c r="B1809" t="inlineStr">
        <is>
          <t>啟發電</t>
        </is>
      </c>
      <c r="C1809" t="n">
        <v>19.05</v>
      </c>
      <c r="D1809" t="n">
        <v>19.05</v>
      </c>
      <c r="E1809" s="730" t="n">
        <v>0</v>
      </c>
      <c r="F1809" s="731" t="n">
        <v>0</v>
      </c>
      <c r="G1809" t="inlineStr">
        <is>
          <t>19.1萬</t>
        </is>
      </c>
      <c r="H1809" t="n">
        <v>10</v>
      </c>
      <c r="I1809" t="n">
        <v>13</v>
      </c>
      <c r="J1809" t="n">
        <v>2.53</v>
      </c>
      <c r="K1809" t="n">
        <v>19.1</v>
      </c>
      <c r="L1809" t="n">
        <v>19.05</v>
      </c>
      <c r="M1809" s="155" t="n">
        <v>0.04</v>
      </c>
      <c r="N1809" t="inlineStr">
        <is>
          <t>專業影音訊號延長器、分配器及處理器廠商</t>
        </is>
      </c>
    </row>
    <row r="1810">
      <c r="A1810" t="n">
        <v>6515</v>
      </c>
      <c r="B1810" t="inlineStr">
        <is>
          <t>穎崴</t>
        </is>
      </c>
      <c r="C1810" t="n">
        <v>8655</v>
      </c>
      <c r="D1810" t="n">
        <v>8080</v>
      </c>
      <c r="E1810" s="730" t="n">
        <v>-625</v>
      </c>
      <c r="F1810" s="731" t="n">
        <v>-7.18</v>
      </c>
      <c r="G1810" t="inlineStr">
        <is>
          <t>50.6億</t>
        </is>
      </c>
      <c r="H1810" t="n">
        <v>618</v>
      </c>
      <c r="I1810" t="n">
        <v>533</v>
      </c>
      <c r="J1810" t="n">
        <v>3.61</v>
      </c>
      <c r="K1810" t="n">
        <v>8700</v>
      </c>
      <c r="L1810" t="n">
        <v>7895</v>
      </c>
      <c r="M1810" s="155" t="n">
        <v>1.71</v>
      </c>
      <c r="N1810" t="inlineStr">
        <is>
          <t>全球IC測試座龍頭</t>
        </is>
      </c>
    </row>
    <row r="1811">
      <c r="A1811" t="n">
        <v>6516</v>
      </c>
      <c r="B1811" t="inlineStr">
        <is>
          <t>勤崴國際</t>
        </is>
      </c>
      <c r="C1811" t="n">
        <v>57.6</v>
      </c>
      <c r="D1811" t="n">
        <v>58.2</v>
      </c>
      <c r="E1811" s="730" t="n">
        <v>0.1</v>
      </c>
      <c r="F1811" s="731" t="n">
        <v>0.17</v>
      </c>
      <c r="G1811" t="inlineStr">
        <is>
          <t>829萬</t>
        </is>
      </c>
      <c r="H1811" t="n">
        <v>144</v>
      </c>
      <c r="I1811" t="n">
        <v>136</v>
      </c>
      <c r="J1811" t="n">
        <v>5.63</v>
      </c>
      <c r="K1811" t="n">
        <v>58.6</v>
      </c>
      <c r="L1811" t="n">
        <v>56.9</v>
      </c>
      <c r="M1811" s="155" t="n">
        <v>0.26</v>
      </c>
      <c r="N1811" t="inlineStr">
        <is>
          <t>中華電旗下台灣最大圖資公司</t>
        </is>
      </c>
    </row>
    <row r="1812">
      <c r="A1812" t="n">
        <v>6517</v>
      </c>
      <c r="B1812" t="inlineStr">
        <is>
          <t>保勝光學</t>
        </is>
      </c>
      <c r="C1812" t="n">
        <v>60.6</v>
      </c>
      <c r="D1812" t="n">
        <v>60</v>
      </c>
      <c r="E1812" s="730" t="n">
        <v>-0.5</v>
      </c>
      <c r="F1812" s="731" t="n">
        <v>-0.83</v>
      </c>
      <c r="G1812" t="inlineStr">
        <is>
          <t>864萬</t>
        </is>
      </c>
      <c r="H1812" t="n">
        <v>145</v>
      </c>
      <c r="I1812" t="n">
        <v>265</v>
      </c>
      <c r="J1812" t="n">
        <v>3.06</v>
      </c>
      <c r="K1812" t="n">
        <v>60.8</v>
      </c>
      <c r="L1812" t="n">
        <v>59.2</v>
      </c>
      <c r="M1812" s="155" t="n">
        <v>0.47</v>
      </c>
      <c r="N1812" t="inlineStr">
        <is>
          <t>台灣第一家光學鏡片製造廠</t>
        </is>
      </c>
    </row>
    <row r="1813">
      <c r="A1813" t="n">
        <v>6523</v>
      </c>
      <c r="B1813" t="inlineStr">
        <is>
          <t>達爾膚</t>
        </is>
      </c>
      <c r="C1813" t="n">
        <v>97.5</v>
      </c>
      <c r="D1813" t="n">
        <v>98</v>
      </c>
      <c r="E1813" s="730" t="n">
        <v>0.3</v>
      </c>
      <c r="F1813" s="731" t="n">
        <v>0.31</v>
      </c>
      <c r="G1813" t="inlineStr">
        <is>
          <t>623萬</t>
        </is>
      </c>
      <c r="H1813" t="n">
        <v>64</v>
      </c>
      <c r="I1813" t="n">
        <v>40</v>
      </c>
      <c r="J1813" t="n">
        <v>4.5</v>
      </c>
      <c r="K1813" t="n">
        <v>98</v>
      </c>
      <c r="L1813" t="n">
        <v>97</v>
      </c>
      <c r="M1813" s="155" t="n">
        <v>0.14</v>
      </c>
      <c r="N1813" t="inlineStr">
        <is>
          <t>台灣第一大醫美品牌DR.WU</t>
        </is>
      </c>
    </row>
    <row r="1814">
      <c r="A1814" t="n">
        <v>6525</v>
      </c>
      <c r="B1814" t="inlineStr">
        <is>
          <t>捷敏-KY</t>
        </is>
      </c>
      <c r="C1814" t="n">
        <v>120.5</v>
      </c>
      <c r="D1814" t="n">
        <v>119.5</v>
      </c>
      <c r="E1814" s="730" t="n">
        <v>-1</v>
      </c>
      <c r="F1814" s="731" t="n">
        <v>-0.83</v>
      </c>
      <c r="G1814" t="inlineStr">
        <is>
          <t>1.64億</t>
        </is>
      </c>
      <c r="H1814" t="n">
        <v>1386</v>
      </c>
      <c r="I1814" t="n">
        <v>2992</v>
      </c>
      <c r="J1814" t="n">
        <v>12.9</v>
      </c>
      <c r="K1814" t="n">
        <v>122</v>
      </c>
      <c r="L1814" t="n">
        <v>116</v>
      </c>
      <c r="M1814" s="155" t="n">
        <v>1.07</v>
      </c>
      <c r="N1814" t="inlineStr">
        <is>
          <t>全球前三大專業功率半導體封測企業</t>
        </is>
      </c>
    </row>
    <row r="1815">
      <c r="A1815" t="n">
        <v>6526</v>
      </c>
      <c r="B1815" t="inlineStr">
        <is>
          <t>達發</t>
        </is>
      </c>
      <c r="C1815" t="n">
        <v>684</v>
      </c>
      <c r="D1815" t="n">
        <v>714</v>
      </c>
      <c r="E1815" s="730" t="n">
        <v>41</v>
      </c>
      <c r="F1815" s="731" t="n">
        <v>6.09</v>
      </c>
      <c r="G1815" t="inlineStr">
        <is>
          <t>16.6億</t>
        </is>
      </c>
      <c r="H1815" t="n">
        <v>2381</v>
      </c>
      <c r="I1815" t="n">
        <v>1365</v>
      </c>
      <c r="J1815" t="n">
        <v>16.75</v>
      </c>
      <c r="K1815" t="n">
        <v>715</v>
      </c>
      <c r="L1815" t="n">
        <v>678</v>
      </c>
      <c r="M1815" s="155" t="n">
        <v>1.42</v>
      </c>
      <c r="N1815" t="inlineStr">
        <is>
          <t>聯發科旗下無線通訊與固網通訊之晶片設計公司</t>
        </is>
      </c>
    </row>
    <row r="1816">
      <c r="A1816" t="n">
        <v>6527</v>
      </c>
      <c r="B1816" t="inlineStr">
        <is>
          <t>明達醫</t>
        </is>
      </c>
      <c r="C1816" t="n">
        <v>69.8</v>
      </c>
      <c r="D1816" t="n">
        <v>70.5</v>
      </c>
      <c r="E1816" s="730" t="n">
        <v>0.5</v>
      </c>
      <c r="F1816" s="731" t="n">
        <v>0.71</v>
      </c>
      <c r="G1816" t="inlineStr">
        <is>
          <t>575萬</t>
        </is>
      </c>
      <c r="H1816" t="n">
        <v>82</v>
      </c>
      <c r="I1816" t="n">
        <v>39</v>
      </c>
      <c r="J1816" t="n">
        <v>2.55</v>
      </c>
      <c r="K1816" t="n">
        <v>71</v>
      </c>
      <c r="L1816" t="n">
        <v>67.8</v>
      </c>
      <c r="M1816" s="155" t="n">
        <v>0.32</v>
      </c>
      <c r="N1816" t="inlineStr">
        <is>
          <t>眼科診斷型儀器研發及組裝廠商</t>
        </is>
      </c>
    </row>
    <row r="1817">
      <c r="A1817" t="n">
        <v>6530</v>
      </c>
      <c r="B1817" t="inlineStr">
        <is>
          <t>創威</t>
        </is>
      </c>
      <c r="C1817" t="n">
        <v>110</v>
      </c>
      <c r="D1817" t="n">
        <v>109</v>
      </c>
      <c r="E1817" s="730" t="n">
        <v>2</v>
      </c>
      <c r="F1817" s="731" t="n">
        <v>1.87</v>
      </c>
      <c r="G1817" t="inlineStr">
        <is>
          <t>2.16億</t>
        </is>
      </c>
      <c r="H1817" t="n">
        <v>1942</v>
      </c>
      <c r="I1817" t="n">
        <v>1451</v>
      </c>
      <c r="J1817" t="n">
        <v>3.38</v>
      </c>
      <c r="K1817" t="n">
        <v>115</v>
      </c>
      <c r="L1817" t="n">
        <v>107</v>
      </c>
      <c r="M1817" s="155" t="n">
        <v>5.75</v>
      </c>
      <c r="N1817" t="inlineStr">
        <is>
          <t>主要生產熱插拔式及固定式光收發模組</t>
        </is>
      </c>
    </row>
    <row r="1818">
      <c r="A1818" t="n">
        <v>6531</v>
      </c>
      <c r="B1818" t="inlineStr">
        <is>
          <t>愛普*</t>
        </is>
      </c>
      <c r="C1818" t="n">
        <v>1140</v>
      </c>
      <c r="D1818" t="n">
        <v>1075</v>
      </c>
      <c r="E1818" s="730" t="n">
        <v>-50</v>
      </c>
      <c r="F1818" s="731" t="n">
        <v>-4.44</v>
      </c>
      <c r="G1818" t="inlineStr">
        <is>
          <t>70.2億</t>
        </is>
      </c>
      <c r="H1818" t="n">
        <v>6436</v>
      </c>
      <c r="I1818" t="n">
        <v>11466</v>
      </c>
      <c r="J1818" t="n">
        <v>8.140000000000001</v>
      </c>
      <c r="K1818" t="n">
        <v>1155</v>
      </c>
      <c r="L1818" t="n">
        <v>1045</v>
      </c>
      <c r="M1818" s="155" t="n">
        <v>3.96</v>
      </c>
      <c r="N1818" t="inlineStr">
        <is>
          <t>從事行動記憶體IC設計及IP設計的公司</t>
        </is>
      </c>
    </row>
    <row r="1819">
      <c r="A1819" t="n">
        <v>6532</v>
      </c>
      <c r="B1819" t="inlineStr">
        <is>
          <t>瑞耘</t>
        </is>
      </c>
      <c r="C1819" t="n">
        <v>101.5</v>
      </c>
      <c r="D1819" t="n">
        <v>97.90000000000001</v>
      </c>
      <c r="E1819" s="730" t="n">
        <v>-3.1</v>
      </c>
      <c r="F1819" s="731" t="n">
        <v>-3.07</v>
      </c>
      <c r="G1819" t="inlineStr">
        <is>
          <t>1.13億</t>
        </is>
      </c>
      <c r="H1819" t="n">
        <v>1144</v>
      </c>
      <c r="I1819" t="n">
        <v>1161</v>
      </c>
      <c r="J1819" t="n">
        <v>3.74</v>
      </c>
      <c r="K1819" t="n">
        <v>103</v>
      </c>
      <c r="L1819" t="n">
        <v>95.59999999999999</v>
      </c>
      <c r="M1819" s="155" t="n">
        <v>3.06</v>
      </c>
      <c r="N1819" t="inlineStr">
        <is>
          <t>半導體前段製程設備及零件供應商</t>
        </is>
      </c>
    </row>
    <row r="1820">
      <c r="A1820" t="n">
        <v>6533</v>
      </c>
      <c r="B1820" t="inlineStr">
        <is>
          <t>晶心科</t>
        </is>
      </c>
      <c r="C1820" t="n">
        <v>225</v>
      </c>
      <c r="D1820" t="n">
        <v>241</v>
      </c>
      <c r="E1820" s="730" t="n">
        <v>20</v>
      </c>
      <c r="F1820" s="731" t="n">
        <v>9.050000000000001</v>
      </c>
      <c r="G1820" t="inlineStr">
        <is>
          <t>6.58億</t>
        </is>
      </c>
      <c r="H1820" t="n">
        <v>2777</v>
      </c>
      <c r="I1820" t="n">
        <v>737</v>
      </c>
      <c r="J1820" t="n">
        <v>5.07</v>
      </c>
      <c r="K1820" t="n">
        <v>243</v>
      </c>
      <c r="L1820" t="n">
        <v>223.5</v>
      </c>
      <c r="M1820" s="155" t="n">
        <v>5.48</v>
      </c>
      <c r="N1820" t="inlineStr">
        <is>
          <t>聯發科旗下嵌入式微處理器核心IP設計公司</t>
        </is>
      </c>
    </row>
    <row r="1821">
      <c r="A1821" t="n">
        <v>6535</v>
      </c>
      <c r="B1821" t="inlineStr">
        <is>
          <t>順藥</t>
        </is>
      </c>
      <c r="C1821" t="n">
        <v>126</v>
      </c>
      <c r="D1821" t="n">
        <v>121.5</v>
      </c>
      <c r="E1821" s="730" t="n">
        <v>-2.5</v>
      </c>
      <c r="F1821" s="731" t="n">
        <v>-2.02</v>
      </c>
      <c r="G1821" t="inlineStr">
        <is>
          <t>4365萬</t>
        </is>
      </c>
      <c r="H1821" t="n">
        <v>358</v>
      </c>
      <c r="I1821" t="n">
        <v>291</v>
      </c>
      <c r="J1821" t="n">
        <v>16.78</v>
      </c>
      <c r="K1821" t="n">
        <v>126</v>
      </c>
      <c r="L1821" t="n">
        <v>120.5</v>
      </c>
      <c r="M1821" s="155" t="n">
        <v>0.21</v>
      </c>
      <c r="N1821" t="inlineStr">
        <is>
          <t>晟德旗下新藥研發公司</t>
        </is>
      </c>
    </row>
    <row r="1822">
      <c r="A1822" t="n">
        <v>6538</v>
      </c>
      <c r="B1822" t="inlineStr">
        <is>
          <t>倉和</t>
        </is>
      </c>
      <c r="C1822" t="n">
        <v>126</v>
      </c>
      <c r="D1822" t="n">
        <v>129</v>
      </c>
      <c r="E1822" s="730" t="n">
        <v>3</v>
      </c>
      <c r="F1822" s="731" t="n">
        <v>2.38</v>
      </c>
      <c r="G1822" t="inlineStr">
        <is>
          <t>5408萬</t>
        </is>
      </c>
      <c r="H1822" t="n">
        <v>435</v>
      </c>
      <c r="I1822" t="n">
        <v>787</v>
      </c>
      <c r="J1822" t="n">
        <v>3.8</v>
      </c>
      <c r="K1822" t="n">
        <v>129</v>
      </c>
      <c r="L1822" t="n">
        <v>123</v>
      </c>
      <c r="M1822" s="155" t="n">
        <v>1.14</v>
      </c>
      <c r="N1822" t="inlineStr">
        <is>
          <t>國內最大的太陽能精密網版廠</t>
        </is>
      </c>
    </row>
    <row r="1823">
      <c r="A1823" t="n">
        <v>6541</v>
      </c>
      <c r="B1823" t="inlineStr">
        <is>
          <t>泰福-KY</t>
        </is>
      </c>
      <c r="C1823" t="n">
        <v>41.35</v>
      </c>
      <c r="D1823" t="n">
        <v>41.85</v>
      </c>
      <c r="E1823" s="730" t="n">
        <v>0.45</v>
      </c>
      <c r="F1823" s="731" t="n">
        <v>1.09</v>
      </c>
      <c r="G1823" t="inlineStr">
        <is>
          <t>2931萬</t>
        </is>
      </c>
      <c r="H1823" t="n">
        <v>708</v>
      </c>
      <c r="I1823" t="n">
        <v>509</v>
      </c>
      <c r="J1823" t="n">
        <v>26.5</v>
      </c>
      <c r="K1823" t="n">
        <v>42.4</v>
      </c>
      <c r="L1823" t="n">
        <v>40.3</v>
      </c>
      <c r="M1823" s="155" t="n">
        <v>0.27</v>
      </c>
      <c r="N1823" t="inlineStr">
        <is>
          <t>免疫、癌症等領域生物相似藥及新藥研發</t>
        </is>
      </c>
    </row>
    <row r="1824">
      <c r="A1824" t="n">
        <v>6542</v>
      </c>
      <c r="B1824" t="inlineStr">
        <is>
          <t>隆中</t>
        </is>
      </c>
      <c r="C1824" t="n">
        <v>45</v>
      </c>
      <c r="D1824" t="n">
        <v>45</v>
      </c>
      <c r="E1824" s="730" t="n">
        <v>-1.15</v>
      </c>
      <c r="F1824" s="731" t="n">
        <v>-2.49</v>
      </c>
      <c r="G1824" t="inlineStr">
        <is>
          <t>4.50萬</t>
        </is>
      </c>
      <c r="H1824" t="n">
        <v>1</v>
      </c>
      <c r="I1824" t="n">
        <v>9</v>
      </c>
      <c r="J1824" t="n">
        <v>4.2</v>
      </c>
      <c r="K1824" t="n">
        <v>45</v>
      </c>
      <c r="L1824" t="n">
        <v>45</v>
      </c>
      <c r="M1824" s="155" t="n">
        <v>0</v>
      </c>
      <c r="N1824" t="inlineStr">
        <is>
          <t>台灣手機遊戲開發及代理商</t>
        </is>
      </c>
    </row>
    <row r="1825">
      <c r="A1825" t="n">
        <v>6546</v>
      </c>
      <c r="B1825" t="inlineStr">
        <is>
          <t>正基</t>
        </is>
      </c>
      <c r="C1825" t="n">
        <v>85.40000000000001</v>
      </c>
      <c r="D1825" t="n">
        <v>83.09999999999999</v>
      </c>
      <c r="E1825" s="730" t="n">
        <v>-2.3</v>
      </c>
      <c r="F1825" s="731" t="n">
        <v>-2.69</v>
      </c>
      <c r="G1825" t="inlineStr">
        <is>
          <t>1.04億</t>
        </is>
      </c>
      <c r="H1825" t="n">
        <v>1254</v>
      </c>
      <c r="I1825" t="n">
        <v>2015</v>
      </c>
      <c r="J1825" t="n">
        <v>6.68</v>
      </c>
      <c r="K1825" t="n">
        <v>86.3</v>
      </c>
      <c r="L1825" t="n">
        <v>81.5</v>
      </c>
      <c r="M1825" s="155" t="n">
        <v>1.88</v>
      </c>
      <c r="N1825" t="inlineStr">
        <is>
          <t>正文轉投資的無線通訊模組廠</t>
        </is>
      </c>
    </row>
    <row r="1826">
      <c r="A1826" t="n">
        <v>6547</v>
      </c>
      <c r="B1826" t="inlineStr">
        <is>
          <t>高端疫苗</t>
        </is>
      </c>
      <c r="C1826" t="n">
        <v>46.05</v>
      </c>
      <c r="D1826" t="n">
        <v>45.05</v>
      </c>
      <c r="E1826" s="730" t="n">
        <v>-0.95</v>
      </c>
      <c r="F1826" s="731" t="n">
        <v>-2.07</v>
      </c>
      <c r="G1826" t="inlineStr">
        <is>
          <t>6902萬</t>
        </is>
      </c>
      <c r="H1826" t="n">
        <v>1536</v>
      </c>
      <c r="I1826" t="n">
        <v>1924</v>
      </c>
      <c r="J1826" t="n">
        <v>32.87</v>
      </c>
      <c r="K1826" t="n">
        <v>46.1</v>
      </c>
      <c r="L1826" t="n">
        <v>44.9</v>
      </c>
      <c r="M1826" s="155" t="n">
        <v>0.47</v>
      </c>
      <c r="N1826" t="inlineStr">
        <is>
          <t>專注於疫苗及生物製劑開發的生技新藥公司</t>
        </is>
      </c>
    </row>
    <row r="1827">
      <c r="A1827" t="n">
        <v>6548</v>
      </c>
      <c r="B1827" t="inlineStr">
        <is>
          <t>長科*</t>
        </is>
      </c>
      <c r="C1827" t="n">
        <v>77.5</v>
      </c>
      <c r="D1827" t="n">
        <v>81.09999999999999</v>
      </c>
      <c r="E1827" s="730" t="n">
        <v>6.1</v>
      </c>
      <c r="F1827" s="731" t="n">
        <v>8.130000000000001</v>
      </c>
      <c r="G1827" t="inlineStr">
        <is>
          <t>27.1億</t>
        </is>
      </c>
      <c r="H1827" t="n">
        <v>33940</v>
      </c>
      <c r="I1827" t="n">
        <v>24527</v>
      </c>
      <c r="J1827" t="n">
        <v>3.8</v>
      </c>
      <c r="K1827" t="n">
        <v>82.5</v>
      </c>
      <c r="L1827" t="n">
        <v>74.09999999999999</v>
      </c>
      <c r="M1827" s="155" t="n">
        <v>3.57</v>
      </c>
      <c r="N1827" t="inlineStr">
        <is>
          <t>長華電材旗下之封測導線架大廠</t>
        </is>
      </c>
    </row>
    <row r="1828">
      <c r="A1828" t="n">
        <v>6550</v>
      </c>
      <c r="B1828" t="inlineStr">
        <is>
          <t>北極星藥業-KY</t>
        </is>
      </c>
      <c r="C1828" t="n">
        <v>13</v>
      </c>
      <c r="D1828" t="n">
        <v>13.3</v>
      </c>
      <c r="E1828" s="730" t="n">
        <v>0.2</v>
      </c>
      <c r="F1828" s="731" t="n">
        <v>1.53</v>
      </c>
      <c r="G1828" t="inlineStr">
        <is>
          <t>2529萬</t>
        </is>
      </c>
      <c r="H1828" t="n">
        <v>1915</v>
      </c>
      <c r="I1828" t="n">
        <v>5443</v>
      </c>
      <c r="J1828" t="n">
        <v>89.48</v>
      </c>
      <c r="K1828" t="n">
        <v>13.5</v>
      </c>
      <c r="L1828" t="n">
        <v>12.85</v>
      </c>
      <c r="M1828" s="155" t="n">
        <v>0.25</v>
      </c>
      <c r="N1828" t="inlineStr">
        <is>
          <t>聚焦標靶抗癌新藥研發</t>
        </is>
      </c>
    </row>
    <row r="1829">
      <c r="A1829" t="n">
        <v>6552</v>
      </c>
      <c r="B1829" t="inlineStr">
        <is>
          <t>易華電</t>
        </is>
      </c>
      <c r="C1829" t="n">
        <v>33.65</v>
      </c>
      <c r="D1829" t="n">
        <v>34.55</v>
      </c>
      <c r="E1829" s="730" t="n">
        <v>0.9</v>
      </c>
      <c r="F1829" s="731" t="n">
        <v>2.67</v>
      </c>
      <c r="G1829" t="inlineStr">
        <is>
          <t>1885萬</t>
        </is>
      </c>
      <c r="H1829" t="n">
        <v>558</v>
      </c>
      <c r="I1829" t="n">
        <v>1316</v>
      </c>
      <c r="J1829" t="n">
        <v>8.300000000000001</v>
      </c>
      <c r="K1829" t="n">
        <v>34.9</v>
      </c>
      <c r="L1829" t="n">
        <v>33.05</v>
      </c>
      <c r="M1829" s="155" t="n">
        <v>0.67</v>
      </c>
      <c r="N1829" t="inlineStr">
        <is>
          <t>長華轉投資之面板驅動IC用高階軟性基板廠</t>
        </is>
      </c>
    </row>
    <row r="1830">
      <c r="A1830" t="n">
        <v>6556</v>
      </c>
      <c r="B1830" t="inlineStr">
        <is>
          <t>勝品</t>
        </is>
      </c>
      <c r="C1830" t="n">
        <v>73</v>
      </c>
      <c r="D1830" t="n">
        <v>71</v>
      </c>
      <c r="E1830" s="730" t="n">
        <v>-1.7</v>
      </c>
      <c r="F1830" s="731" t="n">
        <v>-2.34</v>
      </c>
      <c r="G1830" t="inlineStr">
        <is>
          <t>64.9萬</t>
        </is>
      </c>
      <c r="H1830" t="n">
        <v>9</v>
      </c>
      <c r="I1830" t="n">
        <v>14</v>
      </c>
      <c r="J1830" t="n">
        <v>2.88</v>
      </c>
      <c r="K1830" t="n">
        <v>73</v>
      </c>
      <c r="L1830" t="n">
        <v>71</v>
      </c>
      <c r="M1830" s="155" t="n">
        <v>0.03</v>
      </c>
      <c r="N1830" t="inlineStr">
        <is>
          <t>佳世達轉投資專業監控攝影機製造商</t>
        </is>
      </c>
    </row>
    <row r="1831">
      <c r="A1831" t="n">
        <v>6558</v>
      </c>
      <c r="B1831" t="inlineStr">
        <is>
          <t>興能高</t>
        </is>
      </c>
      <c r="C1831" t="n">
        <v>34.75</v>
      </c>
      <c r="D1831" t="n">
        <v>33.1</v>
      </c>
      <c r="E1831" s="730" t="n">
        <v>-1.25</v>
      </c>
      <c r="F1831" s="731" t="n">
        <v>-3.64</v>
      </c>
      <c r="G1831" t="inlineStr">
        <is>
          <t>5063萬</t>
        </is>
      </c>
      <c r="H1831" t="n">
        <v>1530</v>
      </c>
      <c r="I1831" t="n">
        <v>1611</v>
      </c>
      <c r="J1831" t="n">
        <v>9.380000000000001</v>
      </c>
      <c r="K1831" t="n">
        <v>34.75</v>
      </c>
      <c r="L1831" t="n">
        <v>32.8</v>
      </c>
      <c r="M1831" s="155" t="n">
        <v>1.77</v>
      </c>
      <c r="N1831" t="inlineStr">
        <is>
          <t>以穿載式應用為主的鋰電池廠商</t>
        </is>
      </c>
    </row>
    <row r="1832">
      <c r="A1832" t="n">
        <v>6560</v>
      </c>
      <c r="B1832" t="inlineStr">
        <is>
          <t>欣普羅</t>
        </is>
      </c>
      <c r="C1832" t="n">
        <v>38.05</v>
      </c>
      <c r="D1832" t="n">
        <v>39.95</v>
      </c>
      <c r="E1832" s="730" t="n">
        <v>1.95</v>
      </c>
      <c r="F1832" s="731" t="n">
        <v>5.13</v>
      </c>
      <c r="G1832" t="inlineStr">
        <is>
          <t>4300萬</t>
        </is>
      </c>
      <c r="H1832" t="n">
        <v>1058</v>
      </c>
      <c r="I1832" t="n">
        <v>103</v>
      </c>
      <c r="J1832" t="n">
        <v>3.25</v>
      </c>
      <c r="K1832" t="n">
        <v>41.8</v>
      </c>
      <c r="L1832" t="n">
        <v>37.85</v>
      </c>
      <c r="M1832" s="155" t="n">
        <v>3.26</v>
      </c>
      <c r="N1832" t="inlineStr">
        <is>
          <t>台灣影音安控產品廠商</t>
        </is>
      </c>
    </row>
    <row r="1833">
      <c r="A1833" t="n">
        <v>6561</v>
      </c>
      <c r="B1833" t="inlineStr">
        <is>
          <t>是方</t>
        </is>
      </c>
      <c r="C1833" t="n">
        <v>364</v>
      </c>
      <c r="D1833" t="n">
        <v>366</v>
      </c>
      <c r="E1833" s="730" t="n">
        <v>5</v>
      </c>
      <c r="F1833" s="731" t="n">
        <v>1.39</v>
      </c>
      <c r="G1833" t="inlineStr">
        <is>
          <t>1.11億</t>
        </is>
      </c>
      <c r="H1833" t="n">
        <v>305</v>
      </c>
      <c r="I1833" t="n">
        <v>153</v>
      </c>
      <c r="J1833" t="n">
        <v>7.8</v>
      </c>
      <c r="K1833" t="n">
        <v>373</v>
      </c>
      <c r="L1833" t="n">
        <v>360.5</v>
      </c>
      <c r="M1833" s="155" t="n">
        <v>0.39</v>
      </c>
      <c r="N1833" t="inlineStr">
        <is>
          <t>中華電轉投資之台灣最大IDC機房營運商</t>
        </is>
      </c>
    </row>
    <row r="1834">
      <c r="A1834" t="n">
        <v>6568</v>
      </c>
      <c r="B1834" t="inlineStr">
        <is>
          <t>宏觀</t>
        </is>
      </c>
      <c r="C1834" t="n">
        <v>238.5</v>
      </c>
      <c r="D1834" t="n">
        <v>220.5</v>
      </c>
      <c r="E1834" s="730" t="n">
        <v>-18</v>
      </c>
      <c r="F1834" s="731" t="n">
        <v>-7.55</v>
      </c>
      <c r="G1834" t="inlineStr">
        <is>
          <t>2.11億</t>
        </is>
      </c>
      <c r="H1834" t="n">
        <v>949</v>
      </c>
      <c r="I1834" t="n">
        <v>774</v>
      </c>
      <c r="J1834" t="n">
        <v>3.08</v>
      </c>
      <c r="K1834" t="n">
        <v>238.5</v>
      </c>
      <c r="L1834" t="n">
        <v>215</v>
      </c>
      <c r="M1834" s="155" t="n">
        <v>3.08</v>
      </c>
      <c r="N1834" t="inlineStr">
        <is>
          <t>全球前三大矽晶調諧器晶片供應商</t>
        </is>
      </c>
    </row>
    <row r="1835">
      <c r="A1835" t="n">
        <v>6569</v>
      </c>
      <c r="B1835" t="inlineStr">
        <is>
          <t>醫揚</t>
        </is>
      </c>
      <c r="C1835" t="n">
        <v>104.5</v>
      </c>
      <c r="D1835" t="n">
        <v>101</v>
      </c>
      <c r="E1835" s="730" t="n">
        <v>-1.5</v>
      </c>
      <c r="F1835" s="731" t="n">
        <v>-1.46</v>
      </c>
      <c r="G1835" t="inlineStr">
        <is>
          <t>304萬</t>
        </is>
      </c>
      <c r="H1835" t="n">
        <v>30</v>
      </c>
      <c r="I1835" t="n">
        <v>114</v>
      </c>
      <c r="J1835" t="n">
        <v>3.91</v>
      </c>
      <c r="K1835" t="n">
        <v>104.5</v>
      </c>
      <c r="L1835" t="n">
        <v>101</v>
      </c>
      <c r="M1835" s="155" t="n">
        <v>0.08</v>
      </c>
      <c r="N1835" t="inlineStr">
        <is>
          <t>研揚轉投資醫療用工業電腦公司</t>
        </is>
      </c>
    </row>
    <row r="1836">
      <c r="A1836" t="n">
        <v>6570</v>
      </c>
      <c r="B1836" t="inlineStr">
        <is>
          <t>維田</t>
        </is>
      </c>
      <c r="C1836" t="n">
        <v>60</v>
      </c>
      <c r="D1836" t="n">
        <v>57.9</v>
      </c>
      <c r="E1836" s="730" t="n">
        <v>-2.6</v>
      </c>
      <c r="F1836" s="731" t="n">
        <v>-4.3</v>
      </c>
      <c r="G1836" t="inlineStr">
        <is>
          <t>1986萬</t>
        </is>
      </c>
      <c r="H1836" t="n">
        <v>340</v>
      </c>
      <c r="I1836" t="n">
        <v>1323</v>
      </c>
      <c r="J1836" t="n">
        <v>3.71</v>
      </c>
      <c r="K1836" t="n">
        <v>60</v>
      </c>
      <c r="L1836" t="n">
        <v>57.5</v>
      </c>
      <c r="M1836" s="155" t="n">
        <v>0.92</v>
      </c>
      <c r="N1836" t="inlineStr">
        <is>
          <t>以嵌入式系統為主之工業電腦廠商</t>
        </is>
      </c>
    </row>
    <row r="1837">
      <c r="A1837" t="n">
        <v>6573</v>
      </c>
      <c r="B1837" t="inlineStr">
        <is>
          <t>虹揚-KY</t>
        </is>
      </c>
      <c r="C1837" t="n">
        <v>15.75</v>
      </c>
      <c r="D1837" t="n">
        <v>17.3</v>
      </c>
      <c r="E1837" s="730" t="n">
        <v>1.55</v>
      </c>
      <c r="F1837" s="731" t="n">
        <v>9.84</v>
      </c>
      <c r="G1837" t="inlineStr">
        <is>
          <t>2445萬</t>
        </is>
      </c>
      <c r="H1837" t="n">
        <v>1486</v>
      </c>
      <c r="I1837" t="n">
        <v>1197</v>
      </c>
      <c r="J1837" t="n">
        <v>8.050000000000001</v>
      </c>
      <c r="K1837" t="n">
        <v>17.3</v>
      </c>
      <c r="L1837" t="n">
        <v>15.75</v>
      </c>
      <c r="M1837" s="155" t="n">
        <v>1.85</v>
      </c>
      <c r="N1837" t="inlineStr">
        <is>
          <t>二極體及橋式整流器製造商</t>
        </is>
      </c>
    </row>
    <row r="1838">
      <c r="A1838" t="n">
        <v>6574</v>
      </c>
      <c r="B1838" t="inlineStr">
        <is>
          <t>霈方</t>
        </is>
      </c>
      <c r="C1838" t="n">
        <v>115</v>
      </c>
      <c r="D1838" t="n">
        <v>110</v>
      </c>
      <c r="E1838" s="730" t="n">
        <v>-5.5</v>
      </c>
      <c r="F1838" s="731" t="n">
        <v>-4.76</v>
      </c>
      <c r="G1838" t="inlineStr">
        <is>
          <t>913萬</t>
        </is>
      </c>
      <c r="H1838" t="n">
        <v>83</v>
      </c>
      <c r="I1838" t="n">
        <v>95</v>
      </c>
      <c r="J1838" t="n">
        <v>2.2</v>
      </c>
      <c r="K1838" t="n">
        <v>115</v>
      </c>
      <c r="L1838" t="n">
        <v>109</v>
      </c>
      <c r="M1838" s="155" t="n">
        <v>0.38</v>
      </c>
      <c r="N1838" t="inlineStr">
        <is>
          <t>台灣保養品集團</t>
        </is>
      </c>
    </row>
    <row r="1839">
      <c r="A1839" t="n">
        <v>6576</v>
      </c>
      <c r="B1839" t="inlineStr">
        <is>
          <t>逸達</t>
        </is>
      </c>
      <c r="C1839" t="n">
        <v>77</v>
      </c>
      <c r="D1839" t="n">
        <v>76</v>
      </c>
      <c r="E1839" s="730" t="n">
        <v>-0.8</v>
      </c>
      <c r="F1839" s="731" t="n">
        <v>-1.04</v>
      </c>
      <c r="G1839" t="inlineStr">
        <is>
          <t>851萬</t>
        </is>
      </c>
      <c r="H1839" t="n">
        <v>112</v>
      </c>
      <c r="I1839" t="n">
        <v>154</v>
      </c>
      <c r="J1839" t="n">
        <v>15.75</v>
      </c>
      <c r="K1839" t="n">
        <v>77</v>
      </c>
      <c r="L1839" t="n">
        <v>75.59999999999999</v>
      </c>
      <c r="M1839" s="155" t="n">
        <v>0.07000000000000001</v>
      </c>
      <c r="N1839" t="inlineStr">
        <is>
          <t>新劑型配方新藥研發廠</t>
        </is>
      </c>
    </row>
    <row r="1840">
      <c r="A1840" t="n">
        <v>6577</v>
      </c>
      <c r="B1840" t="inlineStr">
        <is>
          <t>勁豐</t>
        </is>
      </c>
      <c r="C1840" t="n">
        <v>80</v>
      </c>
      <c r="D1840" t="n">
        <v>80.09999999999999</v>
      </c>
      <c r="E1840" s="730" t="n">
        <v>-0.3</v>
      </c>
      <c r="F1840" s="731" t="n">
        <v>-0.37</v>
      </c>
      <c r="G1840" t="inlineStr">
        <is>
          <t>353萬</t>
        </is>
      </c>
      <c r="H1840" t="n">
        <v>44</v>
      </c>
      <c r="I1840" t="n">
        <v>46</v>
      </c>
      <c r="J1840" t="n">
        <v>6.01</v>
      </c>
      <c r="K1840" t="n">
        <v>80.40000000000001</v>
      </c>
      <c r="L1840" t="n">
        <v>80</v>
      </c>
      <c r="M1840" s="155" t="n">
        <v>0.07000000000000001</v>
      </c>
      <c r="N1840" t="inlineStr">
        <is>
          <t>豐藝轉投資工業電腦及醫療應用顯示器廠商</t>
        </is>
      </c>
    </row>
    <row r="1841">
      <c r="A1841" t="n">
        <v>6578</v>
      </c>
      <c r="B1841" t="inlineStr">
        <is>
          <t>達邦蛋白</t>
        </is>
      </c>
      <c r="C1841" t="n">
        <v>16.45</v>
      </c>
      <c r="D1841" t="n">
        <v>16.6</v>
      </c>
      <c r="E1841" s="730" t="n">
        <v>0.25</v>
      </c>
      <c r="F1841" s="731" t="n">
        <v>1.53</v>
      </c>
      <c r="G1841" t="inlineStr">
        <is>
          <t>133萬</t>
        </is>
      </c>
      <c r="H1841" t="n">
        <v>81</v>
      </c>
      <c r="I1841" t="n">
        <v>114</v>
      </c>
      <c r="J1841" t="n">
        <v>7.19</v>
      </c>
      <c r="K1841" t="n">
        <v>16.7</v>
      </c>
      <c r="L1841" t="n">
        <v>16.35</v>
      </c>
      <c r="M1841" s="155" t="n">
        <v>0.11</v>
      </c>
      <c r="N1841" t="inlineStr">
        <is>
          <t>亞洲唯一具有微生物醱酵技術的飼料廠商</t>
        </is>
      </c>
    </row>
    <row r="1842">
      <c r="A1842" t="n">
        <v>6579</v>
      </c>
      <c r="B1842" t="inlineStr">
        <is>
          <t>研揚</t>
        </is>
      </c>
      <c r="C1842" t="n">
        <v>168</v>
      </c>
      <c r="D1842" t="n">
        <v>169.5</v>
      </c>
      <c r="E1842" s="730" t="n">
        <v>2</v>
      </c>
      <c r="F1842" s="731" t="n">
        <v>1.19</v>
      </c>
      <c r="G1842" t="inlineStr">
        <is>
          <t>1.42億</t>
        </is>
      </c>
      <c r="H1842" t="n">
        <v>847</v>
      </c>
      <c r="I1842" t="n">
        <v>1524</v>
      </c>
      <c r="J1842" t="n">
        <v>16.95</v>
      </c>
      <c r="K1842" t="n">
        <v>170.5</v>
      </c>
      <c r="L1842" t="n">
        <v>164</v>
      </c>
      <c r="M1842" s="155" t="n">
        <v>0.5</v>
      </c>
      <c r="N1842" t="inlineStr">
        <is>
          <t>華碩、廣積轉投資工業電腦廠</t>
        </is>
      </c>
    </row>
    <row r="1843">
      <c r="A1843" t="n">
        <v>6581</v>
      </c>
      <c r="B1843" t="inlineStr">
        <is>
          <t>鋼聯</t>
        </is>
      </c>
      <c r="C1843" t="n">
        <v>113</v>
      </c>
      <c r="D1843" t="n">
        <v>112.5</v>
      </c>
      <c r="E1843" s="730" t="n">
        <v>-0.5</v>
      </c>
      <c r="F1843" s="731" t="n">
        <v>-0.44</v>
      </c>
      <c r="G1843" t="inlineStr">
        <is>
          <t>372萬</t>
        </is>
      </c>
      <c r="H1843" t="n">
        <v>33</v>
      </c>
      <c r="I1843" t="n">
        <v>75</v>
      </c>
      <c r="J1843" t="n">
        <v>11.13</v>
      </c>
      <c r="K1843" t="n">
        <v>113.5</v>
      </c>
      <c r="L1843" t="n">
        <v>112</v>
      </c>
      <c r="M1843" s="155" t="n">
        <v>0.03</v>
      </c>
      <c r="N1843" t="inlineStr">
        <is>
          <t>亞洲最大電弧爐集塵灰之鋅資源回收廠</t>
        </is>
      </c>
    </row>
    <row r="1844">
      <c r="A1844" t="n">
        <v>6582</v>
      </c>
      <c r="B1844" t="inlineStr">
        <is>
          <t>申豐</t>
        </is>
      </c>
      <c r="C1844" t="n">
        <v>31.45</v>
      </c>
      <c r="D1844" t="n">
        <v>31.5</v>
      </c>
      <c r="E1844" s="730" t="n">
        <v>0.05</v>
      </c>
      <c r="F1844" s="731" t="n">
        <v>0.16</v>
      </c>
      <c r="G1844" t="inlineStr">
        <is>
          <t>208萬</t>
        </is>
      </c>
      <c r="H1844" t="n">
        <v>66</v>
      </c>
      <c r="I1844" t="n">
        <v>81</v>
      </c>
      <c r="J1844" t="n">
        <v>10.62</v>
      </c>
      <c r="K1844" t="n">
        <v>31.7</v>
      </c>
      <c r="L1844" t="n">
        <v>31.05</v>
      </c>
      <c r="M1844" s="155" t="n">
        <v>0.06</v>
      </c>
      <c r="N1844" t="inlineStr">
        <is>
          <t>永豐餘旗下合成乳膠廠，全球前7大NBR乳膠廠</t>
        </is>
      </c>
    </row>
    <row r="1845">
      <c r="A1845" t="n">
        <v>6584</v>
      </c>
      <c r="B1845" t="inlineStr">
        <is>
          <t>南俊國際</t>
        </is>
      </c>
      <c r="C1845" t="n">
        <v>731</v>
      </c>
      <c r="D1845" t="n">
        <v>658</v>
      </c>
      <c r="E1845" s="730" t="n">
        <v>-73</v>
      </c>
      <c r="F1845" s="731" t="n">
        <v>-9.99</v>
      </c>
      <c r="G1845" t="inlineStr">
        <is>
          <t>16.3億</t>
        </is>
      </c>
      <c r="H1845" t="n">
        <v>2413</v>
      </c>
      <c r="I1845" t="n">
        <v>1888</v>
      </c>
      <c r="J1845" t="n">
        <v>7.09</v>
      </c>
      <c r="K1845" t="n">
        <v>731</v>
      </c>
      <c r="L1845" t="n">
        <v>658</v>
      </c>
      <c r="M1845" s="155" t="n">
        <v>3.42</v>
      </c>
      <c r="N1845" t="inlineStr">
        <is>
          <t>專業鋼珠滑軌之製造廠商</t>
        </is>
      </c>
    </row>
    <row r="1846">
      <c r="A1846" t="n">
        <v>6585</v>
      </c>
      <c r="B1846" t="inlineStr">
        <is>
          <t>鼎基</t>
        </is>
      </c>
      <c r="C1846" t="n">
        <v>99.8</v>
      </c>
      <c r="D1846" t="n">
        <v>102</v>
      </c>
      <c r="E1846" s="730" t="n">
        <v>4</v>
      </c>
      <c r="F1846" s="731" t="n">
        <v>4.08</v>
      </c>
      <c r="G1846" t="inlineStr">
        <is>
          <t>5328萬</t>
        </is>
      </c>
      <c r="H1846" t="n">
        <v>519</v>
      </c>
      <c r="I1846" t="n">
        <v>166</v>
      </c>
      <c r="J1846" t="n">
        <v>7.21</v>
      </c>
      <c r="K1846" t="n">
        <v>104.5</v>
      </c>
      <c r="L1846" t="n">
        <v>98.09999999999999</v>
      </c>
      <c r="M1846" s="155" t="n">
        <v>0.72</v>
      </c>
      <c r="N1846" t="inlineStr">
        <is>
          <t>全球前三大TPU產品生產商</t>
        </is>
      </c>
    </row>
    <row r="1847">
      <c r="A1847" t="n">
        <v>6588</v>
      </c>
      <c r="B1847" t="inlineStr">
        <is>
          <t>東典光電</t>
        </is>
      </c>
      <c r="C1847" t="n">
        <v>109</v>
      </c>
      <c r="D1847" t="n">
        <v>111</v>
      </c>
      <c r="E1847" s="730" t="n">
        <v>3.5</v>
      </c>
      <c r="F1847" s="731" t="n">
        <v>3.26</v>
      </c>
      <c r="G1847" t="inlineStr">
        <is>
          <t>2.24億</t>
        </is>
      </c>
      <c r="H1847" t="n">
        <v>2011</v>
      </c>
      <c r="I1847" t="n">
        <v>1456</v>
      </c>
      <c r="J1847" t="n">
        <v>3.47</v>
      </c>
      <c r="K1847" t="n">
        <v>116.5</v>
      </c>
      <c r="L1847" t="n">
        <v>108</v>
      </c>
      <c r="M1847" s="155" t="n">
        <v>5.8</v>
      </c>
      <c r="N1847" t="inlineStr">
        <is>
          <t>台灣光通訊元件濾光片廠商</t>
        </is>
      </c>
    </row>
    <row r="1848">
      <c r="A1848" t="n">
        <v>6589</v>
      </c>
      <c r="B1848" t="inlineStr">
        <is>
          <t>台康生技</t>
        </is>
      </c>
      <c r="C1848" t="n">
        <v>44</v>
      </c>
      <c r="D1848" t="n">
        <v>44.05</v>
      </c>
      <c r="E1848" s="730" t="n">
        <v>0.05</v>
      </c>
      <c r="F1848" s="731" t="n">
        <v>0.11</v>
      </c>
      <c r="G1848" t="inlineStr">
        <is>
          <t>5165萬</t>
        </is>
      </c>
      <c r="H1848" t="n">
        <v>1186</v>
      </c>
      <c r="I1848" t="n">
        <v>2441</v>
      </c>
      <c r="J1848" t="n">
        <v>30.82</v>
      </c>
      <c r="K1848" t="n">
        <v>44.3</v>
      </c>
      <c r="L1848" t="n">
        <v>43</v>
      </c>
      <c r="M1848" s="155" t="n">
        <v>0.47</v>
      </c>
      <c r="N1848" t="inlineStr">
        <is>
          <t>台灣生技藥品委託開發生產服務廠商</t>
        </is>
      </c>
    </row>
    <row r="1849">
      <c r="A1849" t="n">
        <v>6590</v>
      </c>
      <c r="B1849" t="inlineStr">
        <is>
          <t>普鴻</t>
        </is>
      </c>
      <c r="C1849" t="n">
        <v>65.2</v>
      </c>
      <c r="D1849" t="n">
        <v>65.59999999999999</v>
      </c>
      <c r="E1849" s="730" t="n">
        <v>-0.4</v>
      </c>
      <c r="F1849" s="731" t="n">
        <v>-0.61</v>
      </c>
      <c r="G1849" t="inlineStr">
        <is>
          <t>85.1萬</t>
        </is>
      </c>
      <c r="H1849" t="n">
        <v>13</v>
      </c>
      <c r="I1849" t="n">
        <v>21</v>
      </c>
      <c r="J1849" t="n">
        <v>2.5</v>
      </c>
      <c r="K1849" t="n">
        <v>65.59999999999999</v>
      </c>
      <c r="L1849" t="n">
        <v>65.2</v>
      </c>
      <c r="M1849" s="155" t="n">
        <v>0.05</v>
      </c>
      <c r="N1849" t="inlineStr">
        <is>
          <t>台灣金融支付加解密解決方案最大供應商</t>
        </is>
      </c>
    </row>
    <row r="1850">
      <c r="A1850" t="n">
        <v>6591</v>
      </c>
      <c r="B1850" t="inlineStr">
        <is>
          <t>動力-KY</t>
        </is>
      </c>
      <c r="C1850" t="n">
        <v>58.8</v>
      </c>
      <c r="D1850" t="n">
        <v>59</v>
      </c>
      <c r="E1850" s="730" t="n">
        <v>0.8</v>
      </c>
      <c r="F1850" s="731" t="n">
        <v>1.37</v>
      </c>
      <c r="G1850" t="inlineStr">
        <is>
          <t>3604萬</t>
        </is>
      </c>
      <c r="H1850" t="n">
        <v>615</v>
      </c>
      <c r="I1850" t="n">
        <v>649</v>
      </c>
      <c r="J1850" t="n">
        <v>4.11</v>
      </c>
      <c r="K1850" t="n">
        <v>59.3</v>
      </c>
      <c r="L1850" t="n">
        <v>58</v>
      </c>
      <c r="M1850" s="155" t="n">
        <v>1.5</v>
      </c>
      <c r="N1850" t="inlineStr">
        <is>
          <t>電競PC散熱風扇供應商</t>
        </is>
      </c>
    </row>
    <row r="1851">
      <c r="A1851" t="n">
        <v>6592</v>
      </c>
      <c r="B1851" t="inlineStr">
        <is>
          <t>和潤企業</t>
        </is>
      </c>
      <c r="C1851" t="n">
        <v>61.4</v>
      </c>
      <c r="D1851" t="n">
        <v>62.3</v>
      </c>
      <c r="E1851" s="730" t="n">
        <v>0.9</v>
      </c>
      <c r="F1851" s="731" t="n">
        <v>1.47</v>
      </c>
      <c r="G1851" t="inlineStr">
        <is>
          <t>8623萬</t>
        </is>
      </c>
      <c r="H1851" t="n">
        <v>1392</v>
      </c>
      <c r="I1851" t="n">
        <v>816</v>
      </c>
      <c r="J1851" t="n">
        <v>62.32</v>
      </c>
      <c r="K1851" t="n">
        <v>62.5</v>
      </c>
      <c r="L1851" t="n">
        <v>61</v>
      </c>
      <c r="M1851" s="155" t="n">
        <v>0.22</v>
      </c>
      <c r="N1851" t="inlineStr">
        <is>
          <t>和泰旗下車輛融資及租賃公司</t>
        </is>
      </c>
    </row>
    <row r="1852">
      <c r="A1852" t="n">
        <v>6593</v>
      </c>
      <c r="B1852" t="inlineStr">
        <is>
          <t>台灣銘板</t>
        </is>
      </c>
      <c r="C1852" t="n">
        <v>35.15</v>
      </c>
      <c r="D1852" t="n">
        <v>35.05</v>
      </c>
      <c r="E1852" s="730" t="n">
        <v>-0.1</v>
      </c>
      <c r="F1852" s="731" t="n">
        <v>-0.28</v>
      </c>
      <c r="G1852" t="inlineStr">
        <is>
          <t>255萬</t>
        </is>
      </c>
      <c r="H1852" t="n">
        <v>73</v>
      </c>
      <c r="I1852" t="n">
        <v>78</v>
      </c>
      <c r="J1852" t="n">
        <v>3.19</v>
      </c>
      <c r="K1852" t="n">
        <v>35.15</v>
      </c>
      <c r="L1852" t="n">
        <v>34.65</v>
      </c>
      <c r="M1852" s="155" t="n">
        <v>0.23</v>
      </c>
      <c r="N1852" t="inlineStr">
        <is>
          <t>專業信用卡製卡廠商</t>
        </is>
      </c>
    </row>
    <row r="1853">
      <c r="A1853" t="n">
        <v>6596</v>
      </c>
      <c r="B1853" t="inlineStr">
        <is>
          <t>寬宏藝術</t>
        </is>
      </c>
      <c r="C1853" t="n">
        <v>98.5</v>
      </c>
      <c r="D1853" t="n">
        <v>97</v>
      </c>
      <c r="E1853" s="730" t="n">
        <v>-0.3</v>
      </c>
      <c r="F1853" s="731" t="n">
        <v>-0.31</v>
      </c>
      <c r="G1853" t="inlineStr">
        <is>
          <t>1712萬</t>
        </is>
      </c>
      <c r="H1853" t="n">
        <v>177</v>
      </c>
      <c r="I1853" t="n">
        <v>211</v>
      </c>
      <c r="J1853" t="n">
        <v>3.8</v>
      </c>
      <c r="K1853" t="n">
        <v>98.5</v>
      </c>
      <c r="L1853" t="n">
        <v>96.3</v>
      </c>
      <c r="M1853" s="155" t="n">
        <v>0.47</v>
      </c>
      <c r="N1853" t="inlineStr">
        <is>
          <t>從事國內外演唱會、藝文活動之主辦與代理</t>
        </is>
      </c>
    </row>
    <row r="1854">
      <c r="A1854" t="n">
        <v>6597</v>
      </c>
      <c r="B1854" t="inlineStr">
        <is>
          <t>立誠</t>
        </is>
      </c>
      <c r="C1854" t="n">
        <v>71</v>
      </c>
      <c r="D1854" t="n">
        <v>71.09999999999999</v>
      </c>
      <c r="E1854" s="730" t="n">
        <v>-1.9</v>
      </c>
      <c r="F1854" s="731" t="n">
        <v>-2.6</v>
      </c>
      <c r="G1854" t="inlineStr">
        <is>
          <t>99.4萬</t>
        </is>
      </c>
      <c r="H1854" t="n">
        <v>14</v>
      </c>
      <c r="I1854" t="n">
        <v>14</v>
      </c>
      <c r="J1854" t="n">
        <v>3</v>
      </c>
      <c r="K1854" t="n">
        <v>71.09999999999999</v>
      </c>
      <c r="L1854" t="n">
        <v>70.90000000000001</v>
      </c>
      <c r="M1854" s="155" t="n">
        <v>0.05</v>
      </c>
      <c r="N1854" t="inlineStr">
        <is>
          <t>一詮轉投資之LED陶瓷基板廠</t>
        </is>
      </c>
    </row>
    <row r="1855">
      <c r="A1855" t="n">
        <v>6598</v>
      </c>
      <c r="B1855" t="inlineStr">
        <is>
          <t>ABC-KY</t>
        </is>
      </c>
      <c r="C1855" t="n">
        <v>24.2</v>
      </c>
      <c r="D1855" t="n">
        <v>24.3</v>
      </c>
      <c r="E1855" s="730" t="n">
        <v>0.1</v>
      </c>
      <c r="F1855" s="731" t="n">
        <v>0.41</v>
      </c>
      <c r="G1855" t="inlineStr">
        <is>
          <t>339萬</t>
        </is>
      </c>
      <c r="H1855" t="n">
        <v>140</v>
      </c>
      <c r="I1855" t="n">
        <v>225</v>
      </c>
      <c r="J1855" t="n">
        <v>10.28</v>
      </c>
      <c r="K1855" t="n">
        <v>24.45</v>
      </c>
      <c r="L1855" t="n">
        <v>23.95</v>
      </c>
      <c r="M1855" s="155" t="n">
        <v>0.14</v>
      </c>
      <c r="N1855" t="inlineStr">
        <is>
          <t>創新數位生物條碼技術大廠</t>
        </is>
      </c>
    </row>
    <row r="1856">
      <c r="A1856" t="n">
        <v>6603</v>
      </c>
      <c r="B1856" t="inlineStr">
        <is>
          <t>富強鑫</t>
        </is>
      </c>
      <c r="C1856" t="n">
        <v>25.2</v>
      </c>
      <c r="D1856" t="n">
        <v>23.8</v>
      </c>
      <c r="E1856" s="730" t="n">
        <v>-1.1</v>
      </c>
      <c r="F1856" s="731" t="n">
        <v>-4.42</v>
      </c>
      <c r="G1856" t="inlineStr">
        <is>
          <t>4599萬</t>
        </is>
      </c>
      <c r="H1856" t="n">
        <v>1909</v>
      </c>
      <c r="I1856" t="n">
        <v>3455</v>
      </c>
      <c r="J1856" t="n">
        <v>16.74</v>
      </c>
      <c r="K1856" t="n">
        <v>25.25</v>
      </c>
      <c r="L1856" t="n">
        <v>23.6</v>
      </c>
      <c r="M1856" s="155" t="n">
        <v>1.14</v>
      </c>
      <c r="N1856" t="inlineStr">
        <is>
          <t>台灣塑膠射出機領導廠商</t>
        </is>
      </c>
    </row>
    <row r="1857">
      <c r="A1857" t="n">
        <v>6605</v>
      </c>
      <c r="B1857" t="inlineStr">
        <is>
          <t>帝寶</t>
        </is>
      </c>
      <c r="C1857" t="n">
        <v>141.5</v>
      </c>
      <c r="D1857" t="n">
        <v>142.5</v>
      </c>
      <c r="E1857" s="730" t="n">
        <v>1</v>
      </c>
      <c r="F1857" s="731" t="n">
        <v>0.71</v>
      </c>
      <c r="G1857" t="inlineStr">
        <is>
          <t>1.57億</t>
        </is>
      </c>
      <c r="H1857" t="n">
        <v>1115</v>
      </c>
      <c r="I1857" t="n">
        <v>1471</v>
      </c>
      <c r="J1857" t="n">
        <v>16.58</v>
      </c>
      <c r="K1857" t="n">
        <v>142.5</v>
      </c>
      <c r="L1857" t="n">
        <v>139</v>
      </c>
      <c r="M1857" s="155" t="n">
        <v>0.67</v>
      </c>
      <c r="N1857" t="inlineStr">
        <is>
          <t>全球AM車燈龍頭企業</t>
        </is>
      </c>
    </row>
    <row r="1858">
      <c r="A1858" t="n">
        <v>6606</v>
      </c>
      <c r="B1858" t="inlineStr">
        <is>
          <t>建德工業</t>
        </is>
      </c>
      <c r="C1858" t="n">
        <v>26.3</v>
      </c>
      <c r="D1858" t="n">
        <v>26.7</v>
      </c>
      <c r="E1858" s="730" t="n">
        <v>0.35</v>
      </c>
      <c r="F1858" s="731" t="n">
        <v>1.33</v>
      </c>
      <c r="G1858" t="inlineStr">
        <is>
          <t>1458萬</t>
        </is>
      </c>
      <c r="H1858" t="n">
        <v>556</v>
      </c>
      <c r="I1858" t="n">
        <v>289</v>
      </c>
      <c r="J1858" t="n">
        <v>11.03</v>
      </c>
      <c r="K1858" t="n">
        <v>26.7</v>
      </c>
      <c r="L1858" t="n">
        <v>25.95</v>
      </c>
      <c r="M1858" s="155" t="n">
        <v>0.5</v>
      </c>
      <c r="N1858" t="inlineStr">
        <is>
          <t>全球專業的磨床工具機廠商</t>
        </is>
      </c>
    </row>
    <row r="1859">
      <c r="A1859" t="n">
        <v>6609</v>
      </c>
      <c r="B1859" t="inlineStr">
        <is>
          <t>瀧澤科</t>
        </is>
      </c>
      <c r="C1859" t="n">
        <v>48.05</v>
      </c>
      <c r="D1859" t="n">
        <v>47.2</v>
      </c>
      <c r="E1859" s="730" t="n">
        <v>-0.65</v>
      </c>
      <c r="F1859" s="731" t="n">
        <v>-1.36</v>
      </c>
      <c r="G1859" t="inlineStr">
        <is>
          <t>4932萬</t>
        </is>
      </c>
      <c r="H1859" t="n">
        <v>1056</v>
      </c>
      <c r="I1859" t="n">
        <v>1558</v>
      </c>
      <c r="J1859" t="n">
        <v>7.25</v>
      </c>
      <c r="K1859" t="n">
        <v>48.05</v>
      </c>
      <c r="L1859" t="n">
        <v>45.8</v>
      </c>
      <c r="M1859" s="155" t="n">
        <v>1.46</v>
      </c>
      <c r="N1859" t="inlineStr">
        <is>
          <t>中日合資工具機生產廠商，以CNC車床為主</t>
        </is>
      </c>
    </row>
    <row r="1860">
      <c r="A1860" t="n">
        <v>6612</v>
      </c>
      <c r="B1860" t="inlineStr">
        <is>
          <t>奈米醫材</t>
        </is>
      </c>
      <c r="C1860" t="n">
        <v>73</v>
      </c>
      <c r="D1860" t="n">
        <v>72.3</v>
      </c>
      <c r="E1860" s="730" t="n">
        <v>-0.2</v>
      </c>
      <c r="F1860" s="731" t="n">
        <v>-0.28</v>
      </c>
      <c r="G1860" t="inlineStr">
        <is>
          <t>131萬</t>
        </is>
      </c>
      <c r="H1860" t="n">
        <v>18</v>
      </c>
      <c r="I1860" t="n">
        <v>55</v>
      </c>
      <c r="J1860" t="n">
        <v>4.75</v>
      </c>
      <c r="K1860" t="n">
        <v>73</v>
      </c>
      <c r="L1860" t="n">
        <v>72.3</v>
      </c>
      <c r="M1860" s="155" t="n">
        <v>0.04</v>
      </c>
      <c r="N1860" t="inlineStr">
        <is>
          <t>人工水晶體及其植入系統製造商</t>
        </is>
      </c>
    </row>
    <row r="1861">
      <c r="A1861" t="n">
        <v>6613</v>
      </c>
      <c r="B1861" t="inlineStr">
        <is>
          <t>朋億*</t>
        </is>
      </c>
      <c r="C1861" t="n">
        <v>261</v>
      </c>
      <c r="D1861" t="n">
        <v>257.5</v>
      </c>
      <c r="E1861" s="730" t="n">
        <v>-3.5</v>
      </c>
      <c r="F1861" s="731" t="n">
        <v>-1.34</v>
      </c>
      <c r="G1861" t="inlineStr">
        <is>
          <t>5323萬</t>
        </is>
      </c>
      <c r="H1861" t="n">
        <v>206</v>
      </c>
      <c r="I1861" t="n">
        <v>366</v>
      </c>
      <c r="J1861" t="n">
        <v>3.89</v>
      </c>
      <c r="K1861" t="n">
        <v>263.5</v>
      </c>
      <c r="L1861" t="n">
        <v>255.5</v>
      </c>
      <c r="M1861" s="155" t="n">
        <v>0.26</v>
      </c>
      <c r="N1861" t="inlineStr">
        <is>
          <t>聖暉旗下，經營半導體廠務設備製造</t>
        </is>
      </c>
    </row>
    <row r="1862">
      <c r="A1862" t="n">
        <v>6614</v>
      </c>
      <c r="B1862" t="inlineStr">
        <is>
          <t>資拓宏宇</t>
        </is>
      </c>
      <c r="C1862" t="n">
        <v>40.1</v>
      </c>
      <c r="D1862" t="n">
        <v>40</v>
      </c>
      <c r="E1862" s="730" t="n">
        <v>0</v>
      </c>
      <c r="F1862" s="731" t="n">
        <v>0</v>
      </c>
      <c r="G1862" t="inlineStr">
        <is>
          <t>396萬</t>
        </is>
      </c>
      <c r="H1862" t="n">
        <v>99</v>
      </c>
      <c r="I1862" t="n">
        <v>121</v>
      </c>
      <c r="J1862" t="n">
        <v>8.07</v>
      </c>
      <c r="K1862" t="n">
        <v>40.3</v>
      </c>
      <c r="L1862" t="n">
        <v>39.7</v>
      </c>
      <c r="M1862" s="155" t="n">
        <v>0.12</v>
      </c>
      <c r="N1862" t="inlineStr">
        <is>
          <t>中華電信轉投資，資訊系統建置與整合服務公司</t>
        </is>
      </c>
    </row>
    <row r="1863">
      <c r="A1863" t="n">
        <v>6615</v>
      </c>
      <c r="B1863" t="inlineStr">
        <is>
          <t>慧智</t>
        </is>
      </c>
      <c r="C1863" t="n">
        <v>32.8</v>
      </c>
      <c r="D1863" t="n">
        <v>32.9</v>
      </c>
      <c r="E1863" s="730" t="n">
        <v>0.1</v>
      </c>
      <c r="F1863" s="731" t="n">
        <v>0.3</v>
      </c>
      <c r="G1863" t="inlineStr">
        <is>
          <t>39.4萬</t>
        </is>
      </c>
      <c r="H1863" t="n">
        <v>12</v>
      </c>
      <c r="I1863" t="n">
        <v>27</v>
      </c>
      <c r="J1863" t="n">
        <v>2.16</v>
      </c>
      <c r="K1863" t="n">
        <v>32.9</v>
      </c>
      <c r="L1863" t="n">
        <v>32.8</v>
      </c>
      <c r="M1863" s="155" t="n">
        <v>0.06</v>
      </c>
      <c r="N1863" t="inlineStr">
        <is>
          <t>台灣基因檢測產業領導廠商</t>
        </is>
      </c>
    </row>
    <row r="1864">
      <c r="A1864" t="n">
        <v>6616</v>
      </c>
      <c r="B1864" t="inlineStr">
        <is>
          <t>特昇-KY</t>
        </is>
      </c>
      <c r="C1864" t="n">
        <v>9</v>
      </c>
      <c r="D1864" t="n">
        <v>9.15</v>
      </c>
      <c r="E1864" s="730" t="n">
        <v>0.16</v>
      </c>
      <c r="F1864" s="731" t="n">
        <v>1.78</v>
      </c>
      <c r="G1864" t="inlineStr">
        <is>
          <t>63.5萬</t>
        </is>
      </c>
      <c r="H1864" t="n">
        <v>70</v>
      </c>
      <c r="I1864" t="n">
        <v>78</v>
      </c>
      <c r="J1864" t="n">
        <v>3.55</v>
      </c>
      <c r="K1864" t="n">
        <v>9.19</v>
      </c>
      <c r="L1864" t="n">
        <v>9</v>
      </c>
      <c r="M1864" s="155" t="n">
        <v>0.2</v>
      </c>
      <c r="N1864" t="inlineStr">
        <is>
          <t>馬來西亞前五大木製寢室傢俱公司</t>
        </is>
      </c>
    </row>
    <row r="1865">
      <c r="A1865" t="n">
        <v>6617</v>
      </c>
      <c r="B1865" t="inlineStr">
        <is>
          <t>共信-KY</t>
        </is>
      </c>
      <c r="C1865" t="n">
        <v>69.90000000000001</v>
      </c>
      <c r="D1865" t="n">
        <v>69.2</v>
      </c>
      <c r="E1865" s="730" t="n">
        <v>0.2</v>
      </c>
      <c r="F1865" s="731" t="n">
        <v>0.29</v>
      </c>
      <c r="G1865" t="inlineStr">
        <is>
          <t>1284萬</t>
        </is>
      </c>
      <c r="H1865" t="n">
        <v>186</v>
      </c>
      <c r="I1865" t="n">
        <v>458</v>
      </c>
      <c r="J1865" t="n">
        <v>12.75</v>
      </c>
      <c r="K1865" t="n">
        <v>69.90000000000001</v>
      </c>
      <c r="L1865" t="n">
        <v>68.09999999999999</v>
      </c>
      <c r="M1865" s="155" t="n">
        <v>0.15</v>
      </c>
      <c r="N1865" t="inlineStr">
        <is>
          <t>聚焦腫瘤精準治療之抗癌新藥公司</t>
        </is>
      </c>
    </row>
    <row r="1866">
      <c r="A1866" t="n">
        <v>6620</v>
      </c>
      <c r="B1866" t="inlineStr">
        <is>
          <t>漢達</t>
        </is>
      </c>
      <c r="C1866" t="n">
        <v>72.2</v>
      </c>
      <c r="D1866" t="n">
        <v>71.2</v>
      </c>
      <c r="E1866" s="730" t="n">
        <v>-0.9</v>
      </c>
      <c r="F1866" s="731" t="n">
        <v>-1.25</v>
      </c>
      <c r="G1866" t="inlineStr">
        <is>
          <t>1646萬</t>
        </is>
      </c>
      <c r="H1866" t="n">
        <v>231</v>
      </c>
      <c r="I1866" t="n">
        <v>342</v>
      </c>
      <c r="J1866" t="n">
        <v>17</v>
      </c>
      <c r="K1866" t="n">
        <v>72.2</v>
      </c>
      <c r="L1866" t="n">
        <v>71.2</v>
      </c>
      <c r="M1866" s="155" t="n">
        <v>0.14</v>
      </c>
      <c r="N1866" t="inlineStr">
        <is>
          <t>特殊學名藥與新藥研發廠</t>
        </is>
      </c>
    </row>
    <row r="1867">
      <c r="A1867" t="n">
        <v>6624</v>
      </c>
      <c r="B1867" t="inlineStr">
        <is>
          <t>萬年清</t>
        </is>
      </c>
      <c r="C1867" t="n">
        <v>39</v>
      </c>
      <c r="D1867" t="n">
        <v>39.1</v>
      </c>
      <c r="E1867" s="730" t="n">
        <v>-0.6</v>
      </c>
      <c r="F1867" s="731" t="n">
        <v>-1.51</v>
      </c>
      <c r="G1867" t="inlineStr">
        <is>
          <t>289萬</t>
        </is>
      </c>
      <c r="H1867" t="n">
        <v>75</v>
      </c>
      <c r="I1867" t="n">
        <v>50</v>
      </c>
      <c r="J1867" t="n">
        <v>2.26</v>
      </c>
      <c r="K1867" t="n">
        <v>39.95</v>
      </c>
      <c r="L1867" t="n">
        <v>39</v>
      </c>
      <c r="M1867" s="155" t="n">
        <v>0.33</v>
      </c>
      <c r="N1867" t="inlineStr">
        <is>
          <t>從事工業用水與廢水處理之統包工程</t>
        </is>
      </c>
    </row>
    <row r="1868">
      <c r="A1868" t="n">
        <v>6625</v>
      </c>
      <c r="B1868" t="inlineStr">
        <is>
          <t>必應</t>
        </is>
      </c>
      <c r="C1868" t="n">
        <v>73.59999999999999</v>
      </c>
      <c r="D1868" t="n">
        <v>73.59999999999999</v>
      </c>
      <c r="E1868" s="730" t="n">
        <v>0</v>
      </c>
      <c r="F1868" s="731" t="n">
        <v>0</v>
      </c>
      <c r="G1868" t="inlineStr">
        <is>
          <t>1099萬</t>
        </is>
      </c>
      <c r="H1868" t="n">
        <v>149</v>
      </c>
      <c r="I1868" t="n">
        <v>169</v>
      </c>
      <c r="J1868" t="n">
        <v>5.8</v>
      </c>
      <c r="K1868" t="n">
        <v>74.3</v>
      </c>
      <c r="L1868" t="n">
        <v>73.3</v>
      </c>
      <c r="M1868" s="155" t="n">
        <v>0.26</v>
      </c>
      <c r="N1868" t="inlineStr">
        <is>
          <t>台灣最大的娛樂影音活動製作公司</t>
        </is>
      </c>
    </row>
    <row r="1869">
      <c r="A1869" t="n">
        <v>6629</v>
      </c>
      <c r="B1869" t="inlineStr">
        <is>
          <t>泰金-KY</t>
        </is>
      </c>
      <c r="C1869" t="n">
        <v>116</v>
      </c>
      <c r="D1869" t="n">
        <v>118</v>
      </c>
      <c r="E1869" s="730" t="n">
        <v>2</v>
      </c>
      <c r="F1869" s="731" t="n">
        <v>1.72</v>
      </c>
      <c r="G1869" t="inlineStr">
        <is>
          <t>733萬</t>
        </is>
      </c>
      <c r="H1869" t="n">
        <v>63</v>
      </c>
      <c r="I1869" t="n">
        <v>122</v>
      </c>
      <c r="J1869" t="n">
        <v>3.84</v>
      </c>
      <c r="K1869" t="n">
        <v>118.5</v>
      </c>
      <c r="L1869" t="n">
        <v>115</v>
      </c>
      <c r="M1869" s="155" t="n">
        <v>0.16</v>
      </c>
      <c r="N1869" t="inlineStr">
        <is>
          <t>泰國家飾鑄件大廠</t>
        </is>
      </c>
    </row>
    <row r="1870">
      <c r="A1870" t="n">
        <v>6637</v>
      </c>
      <c r="B1870" t="inlineStr">
        <is>
          <t>醫影</t>
        </is>
      </c>
      <c r="C1870" t="n">
        <v>66.40000000000001</v>
      </c>
      <c r="D1870" t="n">
        <v>67.7</v>
      </c>
      <c r="E1870" s="730" t="n">
        <v>1.3</v>
      </c>
      <c r="F1870" s="731" t="n">
        <v>1.96</v>
      </c>
      <c r="G1870" t="inlineStr">
        <is>
          <t>154萬</t>
        </is>
      </c>
      <c r="H1870" t="n">
        <v>23</v>
      </c>
      <c r="I1870" t="n">
        <v>34</v>
      </c>
      <c r="J1870" t="n">
        <v>2.68</v>
      </c>
      <c r="K1870" t="n">
        <v>67.8</v>
      </c>
      <c r="L1870" t="n">
        <v>66.40000000000001</v>
      </c>
      <c r="M1870" s="155" t="n">
        <v>0.09</v>
      </c>
      <c r="N1870" t="inlineStr">
        <is>
          <t>專攻影像醫學設備代理商，主要代理GE醫學設備</t>
        </is>
      </c>
    </row>
    <row r="1871">
      <c r="A1871" t="n">
        <v>6640</v>
      </c>
      <c r="B1871" t="inlineStr">
        <is>
          <t>均華</t>
        </is>
      </c>
      <c r="C1871" t="n">
        <v>1315</v>
      </c>
      <c r="D1871" t="n">
        <v>1285</v>
      </c>
      <c r="E1871" s="730" t="n">
        <v>-30</v>
      </c>
      <c r="F1871" s="731" t="n">
        <v>-2.28</v>
      </c>
      <c r="G1871" t="inlineStr">
        <is>
          <t>3.48億</t>
        </is>
      </c>
      <c r="H1871" t="n">
        <v>272</v>
      </c>
      <c r="I1871" t="n">
        <v>447</v>
      </c>
      <c r="J1871" t="n">
        <v>2.85</v>
      </c>
      <c r="K1871" t="n">
        <v>1315</v>
      </c>
      <c r="L1871" t="n">
        <v>1265</v>
      </c>
      <c r="M1871" s="155" t="n">
        <v>0.95</v>
      </c>
      <c r="N1871" t="inlineStr">
        <is>
          <t>均豪旗下，從事半導體封裝設備的製造</t>
        </is>
      </c>
    </row>
    <row r="1872">
      <c r="A1872" t="n">
        <v>6641</v>
      </c>
      <c r="B1872" t="inlineStr">
        <is>
          <t>基士德-KY</t>
        </is>
      </c>
      <c r="C1872" t="n">
        <v>18.7</v>
      </c>
      <c r="D1872" t="n">
        <v>18.3</v>
      </c>
      <c r="E1872" s="730" t="n">
        <v>-0.3</v>
      </c>
      <c r="F1872" s="731" t="n">
        <v>-1.61</v>
      </c>
      <c r="G1872" t="inlineStr">
        <is>
          <t>60.6萬</t>
        </is>
      </c>
      <c r="H1872" t="n">
        <v>34</v>
      </c>
      <c r="I1872" t="n">
        <v>59</v>
      </c>
      <c r="J1872" t="n">
        <v>3.65</v>
      </c>
      <c r="K1872" t="n">
        <v>18.7</v>
      </c>
      <c r="L1872" t="n">
        <v>18.15</v>
      </c>
      <c r="M1872" s="155" t="n">
        <v>0.09</v>
      </c>
      <c r="N1872" t="inlineStr">
        <is>
          <t>大陸水處理環保設備與技術服務綜合服務商</t>
        </is>
      </c>
    </row>
    <row r="1873">
      <c r="A1873" t="n">
        <v>6642</v>
      </c>
      <c r="B1873" t="inlineStr">
        <is>
          <t>富致</t>
        </is>
      </c>
      <c r="C1873" t="n">
        <v>85.2</v>
      </c>
      <c r="D1873" t="n">
        <v>84.2</v>
      </c>
      <c r="E1873" s="730" t="n">
        <v>-0.8</v>
      </c>
      <c r="F1873" s="731" t="n">
        <v>-0.9399999999999999</v>
      </c>
      <c r="G1873" t="inlineStr">
        <is>
          <t>7845萬</t>
        </is>
      </c>
      <c r="H1873" t="n">
        <v>941</v>
      </c>
      <c r="I1873" t="n">
        <v>2454</v>
      </c>
      <c r="J1873" t="n">
        <v>3.74</v>
      </c>
      <c r="K1873" t="n">
        <v>85.7</v>
      </c>
      <c r="L1873" t="n">
        <v>82</v>
      </c>
      <c r="M1873" s="155" t="n">
        <v>2.52</v>
      </c>
      <c r="N1873" t="inlineStr">
        <is>
          <t>台灣PPTC自復式保險絲製造商</t>
        </is>
      </c>
    </row>
    <row r="1874">
      <c r="A1874" t="n">
        <v>6643</v>
      </c>
      <c r="B1874" t="inlineStr">
        <is>
          <t>M31</t>
        </is>
      </c>
      <c r="C1874" t="n">
        <v>588</v>
      </c>
      <c r="D1874" t="n">
        <v>577</v>
      </c>
      <c r="E1874" s="730" t="n">
        <v>1</v>
      </c>
      <c r="F1874" s="731" t="n">
        <v>0.17</v>
      </c>
      <c r="G1874" t="inlineStr">
        <is>
          <t>3.42億</t>
        </is>
      </c>
      <c r="H1874" t="n">
        <v>593</v>
      </c>
      <c r="I1874" t="n">
        <v>906</v>
      </c>
      <c r="J1874" t="n">
        <v>4.21</v>
      </c>
      <c r="K1874" t="n">
        <v>590</v>
      </c>
      <c r="L1874" t="n">
        <v>561</v>
      </c>
      <c r="M1874" s="155" t="n">
        <v>1.42</v>
      </c>
      <c r="N1874" t="inlineStr">
        <is>
          <t>主攻高速傳輸的矽智材廠商</t>
        </is>
      </c>
    </row>
    <row r="1875">
      <c r="A1875" t="n">
        <v>6649</v>
      </c>
      <c r="B1875" t="inlineStr">
        <is>
          <t>台生材</t>
        </is>
      </c>
      <c r="C1875" t="n">
        <v>38.05</v>
      </c>
      <c r="D1875" t="n">
        <v>38.4</v>
      </c>
      <c r="E1875" s="730" t="n">
        <v>0.35</v>
      </c>
      <c r="F1875" s="731" t="n">
        <v>0.92</v>
      </c>
      <c r="G1875" t="inlineStr">
        <is>
          <t>65.1萬</t>
        </is>
      </c>
      <c r="H1875" t="n">
        <v>17</v>
      </c>
      <c r="I1875" t="n">
        <v>75</v>
      </c>
      <c r="J1875" t="n">
        <v>4.2</v>
      </c>
      <c r="K1875" t="n">
        <v>38.4</v>
      </c>
      <c r="L1875" t="n">
        <v>38</v>
      </c>
      <c r="M1875" s="155" t="n">
        <v>0.04</v>
      </c>
      <c r="N1875" t="inlineStr">
        <is>
          <t>主要從事泡沫式人工腦膜研發</t>
        </is>
      </c>
    </row>
    <row r="1876">
      <c r="A1876" t="n">
        <v>6651</v>
      </c>
      <c r="B1876" t="inlineStr">
        <is>
          <t>全宇昕</t>
        </is>
      </c>
      <c r="C1876" t="n">
        <v>141.5</v>
      </c>
      <c r="D1876" t="n">
        <v>140.5</v>
      </c>
      <c r="E1876" s="730" t="n">
        <v>-1</v>
      </c>
      <c r="F1876" s="731" t="n">
        <v>-0.71</v>
      </c>
      <c r="G1876" t="inlineStr">
        <is>
          <t>3810萬</t>
        </is>
      </c>
      <c r="H1876" t="n">
        <v>272</v>
      </c>
      <c r="I1876" t="n">
        <v>722</v>
      </c>
      <c r="J1876" t="n">
        <v>3.46</v>
      </c>
      <c r="K1876" t="n">
        <v>143</v>
      </c>
      <c r="L1876" t="n">
        <v>137.5</v>
      </c>
      <c r="M1876" s="155" t="n">
        <v>0.79</v>
      </c>
      <c r="N1876" t="inlineStr">
        <is>
          <t>分離式半導體元件廠</t>
        </is>
      </c>
    </row>
    <row r="1877">
      <c r="A1877" t="n">
        <v>6654</v>
      </c>
      <c r="B1877" t="inlineStr">
        <is>
          <t>天正國際</t>
        </is>
      </c>
      <c r="C1877" t="n">
        <v>185.5</v>
      </c>
      <c r="D1877" t="n">
        <v>170</v>
      </c>
      <c r="E1877" s="730" t="n">
        <v>1</v>
      </c>
      <c r="F1877" s="731" t="n">
        <v>0.59</v>
      </c>
      <c r="G1877" t="inlineStr">
        <is>
          <t>7571萬</t>
        </is>
      </c>
      <c r="H1877" t="n">
        <v>420</v>
      </c>
      <c r="I1877" t="n">
        <v>314</v>
      </c>
      <c r="J1877" t="n">
        <v>3.73</v>
      </c>
      <c r="K1877" t="n">
        <v>185.5</v>
      </c>
      <c r="L1877" t="n">
        <v>170</v>
      </c>
      <c r="M1877" s="155" t="n">
        <v>1.03</v>
      </c>
      <c r="N1877" t="inlineStr">
        <is>
          <t>專業的被動元件自動化生產設備商</t>
        </is>
      </c>
    </row>
    <row r="1878">
      <c r="A1878" t="n">
        <v>6655</v>
      </c>
      <c r="B1878" t="inlineStr">
        <is>
          <t>科定</t>
        </is>
      </c>
      <c r="C1878" t="n">
        <v>130.5</v>
      </c>
      <c r="D1878" t="n">
        <v>130</v>
      </c>
      <c r="E1878" s="730" t="n">
        <v>-0.5</v>
      </c>
      <c r="F1878" s="731" t="n">
        <v>-0.38</v>
      </c>
      <c r="G1878" t="inlineStr">
        <is>
          <t>208萬</t>
        </is>
      </c>
      <c r="H1878" t="n">
        <v>16</v>
      </c>
      <c r="I1878" t="n">
        <v>12</v>
      </c>
      <c r="J1878" t="n">
        <v>8.06</v>
      </c>
      <c r="K1878" t="n">
        <v>133</v>
      </c>
      <c r="L1878" t="n">
        <v>129.5</v>
      </c>
      <c r="M1878" s="155" t="n">
        <v>0.02</v>
      </c>
      <c r="N1878" t="inlineStr">
        <is>
          <t>主要從事木製板材之製造商</t>
        </is>
      </c>
    </row>
    <row r="1879">
      <c r="A1879" t="n">
        <v>6657</v>
      </c>
      <c r="B1879" t="inlineStr">
        <is>
          <t>華安</t>
        </is>
      </c>
      <c r="C1879" t="n">
        <v>39.9</v>
      </c>
      <c r="D1879" t="n">
        <v>38.55</v>
      </c>
      <c r="E1879" s="730" t="n">
        <v>0.5</v>
      </c>
      <c r="F1879" s="731" t="n">
        <v>1.31</v>
      </c>
      <c r="G1879" t="inlineStr">
        <is>
          <t>1247萬</t>
        </is>
      </c>
      <c r="H1879" t="n">
        <v>325</v>
      </c>
      <c r="I1879" t="n">
        <v>255</v>
      </c>
      <c r="J1879" t="n">
        <v>8.880000000000001</v>
      </c>
      <c r="K1879" t="n">
        <v>39.9</v>
      </c>
      <c r="L1879" t="n">
        <v>37.8</v>
      </c>
      <c r="M1879" s="155" t="n">
        <v>0.37</v>
      </c>
      <c r="N1879" t="inlineStr">
        <is>
          <t>小分子新藥研發廠</t>
        </is>
      </c>
    </row>
    <row r="1880">
      <c r="A1880" t="n">
        <v>6658</v>
      </c>
      <c r="B1880" t="inlineStr">
        <is>
          <t>聯策</t>
        </is>
      </c>
      <c r="C1880" t="n">
        <v>208.5</v>
      </c>
      <c r="D1880" t="n">
        <v>202</v>
      </c>
      <c r="E1880" s="730" t="n">
        <v>-5.5</v>
      </c>
      <c r="F1880" s="731" t="n">
        <v>-2.65</v>
      </c>
      <c r="G1880" t="inlineStr">
        <is>
          <t>2.16億</t>
        </is>
      </c>
      <c r="H1880" t="n">
        <v>1058</v>
      </c>
      <c r="I1880" t="n">
        <v>1897</v>
      </c>
      <c r="J1880" t="n">
        <v>3.64</v>
      </c>
      <c r="K1880" t="n">
        <v>209</v>
      </c>
      <c r="L1880" t="n">
        <v>201</v>
      </c>
      <c r="M1880" s="155" t="n">
        <v>2.91</v>
      </c>
      <c r="N1880" t="inlineStr">
        <is>
          <t>電路板外觀檢測領域知名企業</t>
        </is>
      </c>
    </row>
    <row r="1881">
      <c r="A1881" t="n">
        <v>6661</v>
      </c>
      <c r="B1881" t="inlineStr">
        <is>
          <t>威健生技</t>
        </is>
      </c>
      <c r="C1881" t="n">
        <v>16.5</v>
      </c>
      <c r="D1881" t="n">
        <v>16.2</v>
      </c>
      <c r="E1881" s="730" t="n">
        <v>-0.4</v>
      </c>
      <c r="F1881" s="731" t="n">
        <v>-2.41</v>
      </c>
      <c r="G1881" t="inlineStr">
        <is>
          <t>9.85萬</t>
        </is>
      </c>
      <c r="H1881" t="n">
        <v>6</v>
      </c>
      <c r="I1881" t="n">
        <v>10</v>
      </c>
      <c r="J1881" t="n">
        <v>2.33</v>
      </c>
      <c r="K1881" t="n">
        <v>16.5</v>
      </c>
      <c r="L1881" t="n">
        <v>16.2</v>
      </c>
      <c r="M1881" s="155" t="n">
        <v>0.03</v>
      </c>
      <c r="N1881" t="inlineStr">
        <is>
          <t>台灣第一家獲得生物晶片檢測雙認證之公司</t>
        </is>
      </c>
    </row>
    <row r="1882">
      <c r="A1882" t="n">
        <v>6662</v>
      </c>
      <c r="B1882" t="inlineStr">
        <is>
          <t>樂斯科</t>
        </is>
      </c>
      <c r="C1882" t="n">
        <v>28.8</v>
      </c>
      <c r="D1882" t="n">
        <v>28.8</v>
      </c>
      <c r="E1882" s="730" t="n">
        <v>0</v>
      </c>
      <c r="F1882" s="731" t="n">
        <v>0</v>
      </c>
      <c r="G1882" t="inlineStr">
        <is>
          <t>2.88萬</t>
        </is>
      </c>
      <c r="H1882" t="n">
        <v>1</v>
      </c>
      <c r="I1882" t="n">
        <v>17</v>
      </c>
      <c r="J1882" t="n">
        <v>2.56</v>
      </c>
      <c r="K1882" t="n">
        <v>28.8</v>
      </c>
      <c r="L1882" t="n">
        <v>28.8</v>
      </c>
      <c r="M1882" s="155" t="n">
        <v>0</v>
      </c>
      <c r="N1882" t="inlineStr">
        <is>
          <t>台灣知名實驗鼠繁殖中心</t>
        </is>
      </c>
    </row>
    <row r="1883">
      <c r="A1883" t="n">
        <v>6664</v>
      </c>
      <c r="B1883" t="inlineStr">
        <is>
          <t>群翊</t>
        </is>
      </c>
      <c r="C1883" t="n">
        <v>433</v>
      </c>
      <c r="D1883" t="n">
        <v>409</v>
      </c>
      <c r="E1883" s="730" t="n">
        <v>-20.5</v>
      </c>
      <c r="F1883" s="731" t="n">
        <v>-4.77</v>
      </c>
      <c r="G1883" t="inlineStr">
        <is>
          <t>3.86億</t>
        </is>
      </c>
      <c r="H1883" t="n">
        <v>939</v>
      </c>
      <c r="I1883" t="n">
        <v>1523</v>
      </c>
      <c r="J1883" t="n">
        <v>6.08</v>
      </c>
      <c r="K1883" t="n">
        <v>433</v>
      </c>
      <c r="L1883" t="n">
        <v>405</v>
      </c>
      <c r="M1883" s="155" t="n">
        <v>1.54</v>
      </c>
      <c r="N1883" t="inlineStr">
        <is>
          <t>全球最大PCB塗佈烘烤設備廠商</t>
        </is>
      </c>
    </row>
    <row r="1884">
      <c r="A1884" t="n">
        <v>6666</v>
      </c>
      <c r="B1884" t="inlineStr">
        <is>
          <t>羅麗芬-KY</t>
        </is>
      </c>
      <c r="C1884" t="n">
        <v>40.55</v>
      </c>
      <c r="D1884" t="n">
        <v>39.75</v>
      </c>
      <c r="E1884" s="730" t="n">
        <v>-0.2</v>
      </c>
      <c r="F1884" s="731" t="n">
        <v>-0.5</v>
      </c>
      <c r="G1884" t="inlineStr">
        <is>
          <t>83.9萬</t>
        </is>
      </c>
      <c r="H1884" t="n">
        <v>21</v>
      </c>
      <c r="I1884" t="n">
        <v>19</v>
      </c>
      <c r="J1884" t="n">
        <v>4.74</v>
      </c>
      <c r="K1884" t="n">
        <v>40.55</v>
      </c>
      <c r="L1884" t="n">
        <v>39.75</v>
      </c>
      <c r="M1884" s="155" t="n">
        <v>0.04</v>
      </c>
      <c r="N1884" t="inlineStr">
        <is>
          <t>銷售以面部類為主的大陸美妝品牌公司</t>
        </is>
      </c>
    </row>
    <row r="1885">
      <c r="A1885" t="n">
        <v>6667</v>
      </c>
      <c r="B1885" t="inlineStr">
        <is>
          <t>信紘科</t>
        </is>
      </c>
      <c r="C1885" t="n">
        <v>276</v>
      </c>
      <c r="D1885" t="n">
        <v>269.5</v>
      </c>
      <c r="E1885" s="730" t="n">
        <v>-9</v>
      </c>
      <c r="F1885" s="731" t="n">
        <v>-3.23</v>
      </c>
      <c r="G1885" t="inlineStr">
        <is>
          <t>2.45億</t>
        </is>
      </c>
      <c r="H1885" t="n">
        <v>914</v>
      </c>
      <c r="I1885" t="n">
        <v>1847</v>
      </c>
      <c r="J1885" t="n">
        <v>4.93</v>
      </c>
      <c r="K1885" t="n">
        <v>277.5</v>
      </c>
      <c r="L1885" t="n">
        <v>265</v>
      </c>
      <c r="M1885" s="155" t="n">
        <v>1.85</v>
      </c>
      <c r="N1885" t="inlineStr">
        <is>
          <t>高科技廠務工程及製程設備領域之專業廠商</t>
        </is>
      </c>
    </row>
    <row r="1886">
      <c r="A1886" t="n">
        <v>6668</v>
      </c>
      <c r="B1886" t="inlineStr">
        <is>
          <t>中揚光</t>
        </is>
      </c>
      <c r="C1886" t="n">
        <v>40.3</v>
      </c>
      <c r="D1886" t="n">
        <v>39.1</v>
      </c>
      <c r="E1886" s="730" t="n">
        <v>-1.2</v>
      </c>
      <c r="F1886" s="731" t="n">
        <v>-2.98</v>
      </c>
      <c r="G1886" t="inlineStr">
        <is>
          <t>2182萬</t>
        </is>
      </c>
      <c r="H1886" t="n">
        <v>556</v>
      </c>
      <c r="I1886" t="n">
        <v>1004</v>
      </c>
      <c r="J1886" t="n">
        <v>10.71</v>
      </c>
      <c r="K1886" t="n">
        <v>40.3</v>
      </c>
      <c r="L1886" t="n">
        <v>38.85</v>
      </c>
      <c r="M1886" s="155" t="n">
        <v>0.7</v>
      </c>
      <c r="N1886" t="inlineStr">
        <is>
          <t>鴻海集團轉投資的光學鏡片模具廠</t>
        </is>
      </c>
    </row>
    <row r="1887">
      <c r="A1887" t="n">
        <v>6669</v>
      </c>
      <c r="B1887" t="inlineStr">
        <is>
          <t>緯穎</t>
        </is>
      </c>
      <c r="C1887" t="n">
        <v>5580</v>
      </c>
      <c r="D1887" t="n">
        <v>5475</v>
      </c>
      <c r="E1887" s="730" t="n">
        <v>-40</v>
      </c>
      <c r="F1887" s="731" t="n">
        <v>-0.73</v>
      </c>
      <c r="G1887" t="inlineStr">
        <is>
          <t>95.2億</t>
        </is>
      </c>
      <c r="H1887" t="n">
        <v>1735</v>
      </c>
      <c r="I1887" t="n">
        <v>2469</v>
      </c>
      <c r="J1887" t="n">
        <v>18.59</v>
      </c>
      <c r="K1887" t="n">
        <v>5675</v>
      </c>
      <c r="L1887" t="n">
        <v>5315</v>
      </c>
      <c r="M1887" s="155" t="n">
        <v>0.93</v>
      </c>
      <c r="N1887" t="inlineStr">
        <is>
          <t>緯創轉投資之大型雲端資料中心硬體供應商</t>
        </is>
      </c>
    </row>
    <row r="1888">
      <c r="A1888" t="n">
        <v>6670</v>
      </c>
      <c r="B1888" t="inlineStr">
        <is>
          <t>復盛應用</t>
        </is>
      </c>
      <c r="C1888" t="n">
        <v>273.5</v>
      </c>
      <c r="D1888" t="n">
        <v>278.5</v>
      </c>
      <c r="E1888" s="730" t="n">
        <v>6.5</v>
      </c>
      <c r="F1888" s="731" t="n">
        <v>2.39</v>
      </c>
      <c r="G1888" t="inlineStr">
        <is>
          <t>1.86億</t>
        </is>
      </c>
      <c r="H1888" t="n">
        <v>677</v>
      </c>
      <c r="I1888" t="n">
        <v>604</v>
      </c>
      <c r="J1888" t="n">
        <v>13.94</v>
      </c>
      <c r="K1888" t="n">
        <v>278.5</v>
      </c>
      <c r="L1888" t="n">
        <v>269.5</v>
      </c>
      <c r="M1888" s="155" t="n">
        <v>0.49</v>
      </c>
      <c r="N1888" t="inlineStr">
        <is>
          <t>全球最大之高爾夫球桿頭製造商</t>
        </is>
      </c>
    </row>
    <row r="1889">
      <c r="A1889" t="n">
        <v>6671</v>
      </c>
      <c r="B1889" t="inlineStr">
        <is>
          <t>三能-KY</t>
        </is>
      </c>
      <c r="C1889" t="n">
        <v>26.95</v>
      </c>
      <c r="D1889" t="n">
        <v>26.8</v>
      </c>
      <c r="E1889" s="730" t="n">
        <v>-0.4</v>
      </c>
      <c r="F1889" s="731" t="n">
        <v>-1.47</v>
      </c>
      <c r="G1889" t="inlineStr">
        <is>
          <t>145萬</t>
        </is>
      </c>
      <c r="H1889" t="n">
        <v>54</v>
      </c>
      <c r="I1889" t="n">
        <v>251</v>
      </c>
      <c r="J1889" t="n">
        <v>6.08</v>
      </c>
      <c r="K1889" t="n">
        <v>27</v>
      </c>
      <c r="L1889" t="n">
        <v>26.7</v>
      </c>
      <c r="M1889" s="155" t="n">
        <v>0.09</v>
      </c>
      <c r="N1889" t="inlineStr">
        <is>
          <t>專業烘培器具製造商</t>
        </is>
      </c>
    </row>
    <row r="1890">
      <c r="A1890" t="n">
        <v>6672</v>
      </c>
      <c r="B1890" t="inlineStr">
        <is>
          <t>騰輝電子-KY</t>
        </is>
      </c>
      <c r="C1890" t="n">
        <v>220</v>
      </c>
      <c r="D1890" t="n">
        <v>215.5</v>
      </c>
      <c r="E1890" s="730" t="n">
        <v>-4.5</v>
      </c>
      <c r="F1890" s="731" t="n">
        <v>-2.05</v>
      </c>
      <c r="G1890" t="inlineStr">
        <is>
          <t>9.13億</t>
        </is>
      </c>
      <c r="H1890" t="n">
        <v>4257</v>
      </c>
      <c r="I1890" t="n">
        <v>7611</v>
      </c>
      <c r="J1890" t="n">
        <v>7.46</v>
      </c>
      <c r="K1890" t="n">
        <v>221</v>
      </c>
      <c r="L1890" t="n">
        <v>211.5</v>
      </c>
      <c r="M1890" s="155" t="n">
        <v>5.96</v>
      </c>
      <c r="N1890" t="inlineStr">
        <is>
          <t>於大陸生產的台資銅箔基板廠</t>
        </is>
      </c>
    </row>
    <row r="1891">
      <c r="A1891" t="n">
        <v>6674</v>
      </c>
      <c r="B1891" t="inlineStr">
        <is>
          <t>鋐寶科技</t>
        </is>
      </c>
      <c r="C1891" t="n">
        <v>18.25</v>
      </c>
      <c r="D1891" t="n">
        <v>18.05</v>
      </c>
      <c r="E1891" s="730" t="n">
        <v>-0.1</v>
      </c>
      <c r="F1891" s="731" t="n">
        <v>-0.55</v>
      </c>
      <c r="G1891" t="inlineStr">
        <is>
          <t>103萬</t>
        </is>
      </c>
      <c r="H1891" t="n">
        <v>57</v>
      </c>
      <c r="I1891" t="n">
        <v>42</v>
      </c>
      <c r="J1891" t="n">
        <v>6.86</v>
      </c>
      <c r="K1891" t="n">
        <v>18.35</v>
      </c>
      <c r="L1891" t="n">
        <v>17.8</v>
      </c>
      <c r="M1891" s="155" t="n">
        <v>0.08</v>
      </c>
      <c r="N1891" t="inlineStr">
        <is>
          <t>仁寶轉投資之Cable CPE廠商</t>
        </is>
      </c>
    </row>
    <row r="1892">
      <c r="A1892" t="n">
        <v>6679</v>
      </c>
      <c r="B1892" t="inlineStr">
        <is>
          <t>鈺太</t>
        </is>
      </c>
      <c r="C1892" t="n">
        <v>310</v>
      </c>
      <c r="D1892" t="n">
        <v>298.5</v>
      </c>
      <c r="E1892" s="730" t="n">
        <v>-6.5</v>
      </c>
      <c r="F1892" s="731" t="n">
        <v>-2.13</v>
      </c>
      <c r="G1892" t="inlineStr">
        <is>
          <t>1.77億</t>
        </is>
      </c>
      <c r="H1892" t="n">
        <v>592</v>
      </c>
      <c r="I1892" t="n">
        <v>585</v>
      </c>
      <c r="J1892" t="n">
        <v>5.5</v>
      </c>
      <c r="K1892" t="n">
        <v>312.5</v>
      </c>
      <c r="L1892" t="n">
        <v>293.5</v>
      </c>
      <c r="M1892" s="155" t="n">
        <v>1.08</v>
      </c>
      <c r="N1892" t="inlineStr">
        <is>
          <t>台灣MEMS麥克風晶片龍頭</t>
        </is>
      </c>
    </row>
    <row r="1893">
      <c r="A1893" t="n">
        <v>6680</v>
      </c>
      <c r="B1893" t="inlineStr">
        <is>
          <t>鑫創電子</t>
        </is>
      </c>
      <c r="C1893" t="n">
        <v>56.2</v>
      </c>
      <c r="D1893" t="n">
        <v>56.2</v>
      </c>
      <c r="E1893" s="730" t="n">
        <v>-1.6</v>
      </c>
      <c r="F1893" s="731" t="n">
        <v>-2.77</v>
      </c>
      <c r="G1893" t="inlineStr">
        <is>
          <t>5.62萬</t>
        </is>
      </c>
      <c r="H1893" t="n">
        <v>1</v>
      </c>
      <c r="I1893" t="n">
        <v>5</v>
      </c>
      <c r="J1893" t="n">
        <v>2.4</v>
      </c>
      <c r="K1893" t="n">
        <v>56.2</v>
      </c>
      <c r="L1893" t="n">
        <v>56.2</v>
      </c>
      <c r="M1893" s="155" t="n">
        <v>0</v>
      </c>
      <c r="N1893" t="inlineStr">
        <is>
          <t>智能交通車載電腦系統製造商</t>
        </is>
      </c>
    </row>
    <row r="1894">
      <c r="A1894" t="n">
        <v>6683</v>
      </c>
      <c r="B1894" t="inlineStr">
        <is>
          <t>雍智科技</t>
        </is>
      </c>
      <c r="C1894" t="n">
        <v>1725</v>
      </c>
      <c r="D1894" t="n">
        <v>1745</v>
      </c>
      <c r="E1894" s="730" t="n">
        <v>30</v>
      </c>
      <c r="F1894" s="731" t="n">
        <v>1.75</v>
      </c>
      <c r="G1894" t="inlineStr">
        <is>
          <t>16.3億</t>
        </is>
      </c>
      <c r="H1894" t="n">
        <v>952</v>
      </c>
      <c r="I1894" t="n">
        <v>1398</v>
      </c>
      <c r="J1894" t="n">
        <v>2.76</v>
      </c>
      <c r="K1894" t="n">
        <v>1770</v>
      </c>
      <c r="L1894" t="n">
        <v>1660</v>
      </c>
      <c r="M1894" s="155" t="n">
        <v>3.45</v>
      </c>
      <c r="N1894" t="inlineStr">
        <is>
          <t>台灣IC測試設備材料供應商</t>
        </is>
      </c>
    </row>
    <row r="1895">
      <c r="A1895" t="n">
        <v>6684</v>
      </c>
      <c r="B1895" t="inlineStr">
        <is>
          <t>安格</t>
        </is>
      </c>
      <c r="C1895" t="n">
        <v>44.9</v>
      </c>
      <c r="D1895" t="n">
        <v>44.9</v>
      </c>
      <c r="E1895" s="730" t="n">
        <v>0.6</v>
      </c>
      <c r="F1895" s="731" t="n">
        <v>1.35</v>
      </c>
      <c r="G1895" t="inlineStr">
        <is>
          <t>1178萬</t>
        </is>
      </c>
      <c r="H1895" t="n">
        <v>264</v>
      </c>
      <c r="I1895" t="n">
        <v>245</v>
      </c>
      <c r="J1895" t="n">
        <v>4.46</v>
      </c>
      <c r="K1895" t="n">
        <v>45.25</v>
      </c>
      <c r="L1895" t="n">
        <v>43.95</v>
      </c>
      <c r="M1895" s="155" t="n">
        <v>0.59</v>
      </c>
      <c r="N1895" t="inlineStr">
        <is>
          <t>安國旗下的多媒體視訊轉換控制晶片廠</t>
        </is>
      </c>
    </row>
    <row r="1896">
      <c r="A1896" t="n">
        <v>6689</v>
      </c>
      <c r="B1896" t="inlineStr">
        <is>
          <t>伊雲谷</t>
        </is>
      </c>
      <c r="C1896" t="n">
        <v>73.59999999999999</v>
      </c>
      <c r="D1896" t="n">
        <v>74</v>
      </c>
      <c r="E1896" s="730" t="n">
        <v>2.5</v>
      </c>
      <c r="F1896" s="731" t="n">
        <v>3.5</v>
      </c>
      <c r="G1896" t="inlineStr">
        <is>
          <t>1.92億</t>
        </is>
      </c>
      <c r="H1896" t="n">
        <v>2572</v>
      </c>
      <c r="I1896" t="n">
        <v>309</v>
      </c>
      <c r="J1896" t="n">
        <v>6.8</v>
      </c>
      <c r="K1896" t="n">
        <v>77.09999999999999</v>
      </c>
      <c r="L1896" t="n">
        <v>72.7</v>
      </c>
      <c r="M1896" s="155" t="n">
        <v>3.78</v>
      </c>
      <c r="N1896" t="inlineStr">
        <is>
          <t>台灣雲端託管服務龍頭廠商</t>
        </is>
      </c>
    </row>
    <row r="1897">
      <c r="A1897" t="n">
        <v>6690</v>
      </c>
      <c r="B1897" t="inlineStr">
        <is>
          <t>安碁資訊</t>
        </is>
      </c>
      <c r="C1897" t="n">
        <v>187</v>
      </c>
      <c r="D1897" t="n">
        <v>187.5</v>
      </c>
      <c r="E1897" s="730" t="n">
        <v>0</v>
      </c>
      <c r="F1897" s="731" t="n">
        <v>0</v>
      </c>
      <c r="G1897" t="inlineStr">
        <is>
          <t>1.12億</t>
        </is>
      </c>
      <c r="H1897" t="n">
        <v>599</v>
      </c>
      <c r="I1897" t="n">
        <v>196</v>
      </c>
      <c r="J1897" t="n">
        <v>3</v>
      </c>
      <c r="K1897" t="n">
        <v>193.5</v>
      </c>
      <c r="L1897" t="n">
        <v>184</v>
      </c>
      <c r="M1897" s="155" t="n">
        <v>2</v>
      </c>
      <c r="N1897" t="inlineStr">
        <is>
          <t>宏碁旗下資訊安全管理服務廠</t>
        </is>
      </c>
    </row>
    <row r="1898">
      <c r="A1898" t="n">
        <v>6691</v>
      </c>
      <c r="B1898" t="inlineStr">
        <is>
          <t>洋基工程</t>
        </is>
      </c>
      <c r="C1898" t="n">
        <v>650</v>
      </c>
      <c r="D1898" t="n">
        <v>644</v>
      </c>
      <c r="E1898" s="730" t="n">
        <v>-4</v>
      </c>
      <c r="F1898" s="731" t="n">
        <v>-0.62</v>
      </c>
      <c r="G1898" t="inlineStr">
        <is>
          <t>2.05億</t>
        </is>
      </c>
      <c r="H1898" t="n">
        <v>320</v>
      </c>
      <c r="I1898" t="n">
        <v>765</v>
      </c>
      <c r="J1898" t="n">
        <v>12.15</v>
      </c>
      <c r="K1898" t="n">
        <v>650</v>
      </c>
      <c r="L1898" t="n">
        <v>635</v>
      </c>
      <c r="M1898" s="155" t="n">
        <v>0.26</v>
      </c>
      <c r="N1898" t="inlineStr">
        <is>
          <t>高科技廠房無塵室統包及節能工程服務商</t>
        </is>
      </c>
    </row>
    <row r="1899">
      <c r="A1899" t="n">
        <v>6692</v>
      </c>
      <c r="B1899" t="inlineStr">
        <is>
          <t>進能服</t>
        </is>
      </c>
      <c r="C1899" t="n">
        <v>25.35</v>
      </c>
      <c r="D1899" t="n">
        <v>25.2</v>
      </c>
      <c r="E1899" s="730" t="n">
        <v>-0.2</v>
      </c>
      <c r="F1899" s="731" t="n">
        <v>-0.79</v>
      </c>
      <c r="G1899" t="inlineStr">
        <is>
          <t>101萬</t>
        </is>
      </c>
      <c r="H1899" t="n">
        <v>40</v>
      </c>
      <c r="I1899" t="n">
        <v>60</v>
      </c>
      <c r="J1899" t="n">
        <v>5.88</v>
      </c>
      <c r="K1899" t="n">
        <v>25.35</v>
      </c>
      <c r="L1899" t="n">
        <v>25.05</v>
      </c>
      <c r="M1899" s="155" t="n">
        <v>0.07000000000000001</v>
      </c>
      <c r="N1899" t="inlineStr">
        <is>
          <t>一體化太陽光電發電系統服務商</t>
        </is>
      </c>
    </row>
    <row r="1900">
      <c r="A1900" t="n">
        <v>6693</v>
      </c>
      <c r="B1900" t="inlineStr">
        <is>
          <t>廣閎科</t>
        </is>
      </c>
      <c r="C1900" t="n">
        <v>153.5</v>
      </c>
      <c r="D1900" t="n">
        <v>148</v>
      </c>
      <c r="E1900" s="730" t="n">
        <v>-4</v>
      </c>
      <c r="F1900" s="731" t="n">
        <v>-2.63</v>
      </c>
      <c r="G1900" t="inlineStr">
        <is>
          <t>1.48億</t>
        </is>
      </c>
      <c r="H1900" t="n">
        <v>999</v>
      </c>
      <c r="I1900" t="n">
        <v>1337</v>
      </c>
      <c r="J1900" t="n">
        <v>4.57</v>
      </c>
      <c r="K1900" t="n">
        <v>153.5</v>
      </c>
      <c r="L1900" t="n">
        <v>145</v>
      </c>
      <c r="M1900" s="155" t="n">
        <v>2.19</v>
      </c>
      <c r="N1900" t="inlineStr">
        <is>
          <t>茂迪轉投資功率半導體元件設計公司</t>
        </is>
      </c>
    </row>
    <row r="1901">
      <c r="A1901" t="n">
        <v>6695</v>
      </c>
      <c r="B1901" t="inlineStr">
        <is>
          <t>芯鼎</t>
        </is>
      </c>
      <c r="C1901" t="n">
        <v>57.7</v>
      </c>
      <c r="D1901" t="n">
        <v>55</v>
      </c>
      <c r="E1901" s="730" t="n">
        <v>-2.2</v>
      </c>
      <c r="F1901" s="731" t="n">
        <v>-3.85</v>
      </c>
      <c r="G1901" t="inlineStr">
        <is>
          <t>1.09億</t>
        </is>
      </c>
      <c r="H1901" t="n">
        <v>1976</v>
      </c>
      <c r="I1901" t="n">
        <v>4958</v>
      </c>
      <c r="J1901" t="n">
        <v>10.67</v>
      </c>
      <c r="K1901" t="n">
        <v>57.8</v>
      </c>
      <c r="L1901" t="n">
        <v>54.2</v>
      </c>
      <c r="M1901" s="155" t="n">
        <v>2.29</v>
      </c>
      <c r="N1901" t="inlineStr">
        <is>
          <t>凌陽旗下影像及視訊處理IC設計公司</t>
        </is>
      </c>
    </row>
    <row r="1902">
      <c r="A1902" t="n">
        <v>6697</v>
      </c>
      <c r="B1902" t="inlineStr">
        <is>
          <t>東捷資訊</t>
        </is>
      </c>
      <c r="C1902" t="n">
        <v>44.6</v>
      </c>
      <c r="D1902" t="n">
        <v>46.3</v>
      </c>
      <c r="E1902" s="730" t="n">
        <v>2.6</v>
      </c>
      <c r="F1902" s="731" t="n">
        <v>5.95</v>
      </c>
      <c r="G1902" t="inlineStr">
        <is>
          <t>1836萬</t>
        </is>
      </c>
      <c r="H1902" t="n">
        <v>408</v>
      </c>
      <c r="I1902" t="n">
        <v>100</v>
      </c>
      <c r="J1902" t="n">
        <v>2.73</v>
      </c>
      <c r="K1902" t="n">
        <v>46.6</v>
      </c>
      <c r="L1902" t="n">
        <v>43.5</v>
      </c>
      <c r="M1902" s="155" t="n">
        <v>1.49</v>
      </c>
      <c r="N1902" t="inlineStr">
        <is>
          <t>東元旗下ERP整合規劃廠</t>
        </is>
      </c>
    </row>
    <row r="1903">
      <c r="A1903" t="n">
        <v>6698</v>
      </c>
      <c r="B1903" t="inlineStr">
        <is>
          <t>旭暉應材</t>
        </is>
      </c>
      <c r="C1903" t="n">
        <v>41.2</v>
      </c>
      <c r="D1903" t="n">
        <v>43.45</v>
      </c>
      <c r="E1903" s="730" t="n">
        <v>3.95</v>
      </c>
      <c r="F1903" s="731" t="n">
        <v>10</v>
      </c>
      <c r="G1903" t="inlineStr">
        <is>
          <t>2.93億</t>
        </is>
      </c>
      <c r="H1903" t="n">
        <v>7054</v>
      </c>
      <c r="I1903" t="n">
        <v>2521</v>
      </c>
      <c r="J1903" t="n">
        <v>6.64</v>
      </c>
      <c r="K1903" t="n">
        <v>43.45</v>
      </c>
      <c r="L1903" t="n">
        <v>37.75</v>
      </c>
      <c r="M1903" s="155" t="n">
        <v>10.63</v>
      </c>
      <c r="N1903" t="inlineStr">
        <is>
          <t>高精細金屬遮罩、微波及半導體零件生產商</t>
        </is>
      </c>
    </row>
    <row r="1904">
      <c r="A1904" t="n">
        <v>6703</v>
      </c>
      <c r="B1904" t="inlineStr">
        <is>
          <t>軒郁</t>
        </is>
      </c>
      <c r="C1904" t="n">
        <v>109.5</v>
      </c>
      <c r="D1904" t="n">
        <v>110</v>
      </c>
      <c r="E1904" s="730" t="n">
        <v>0.5</v>
      </c>
      <c r="F1904" s="731" t="n">
        <v>0.46</v>
      </c>
      <c r="G1904" t="inlineStr">
        <is>
          <t>360萬</t>
        </is>
      </c>
      <c r="H1904" t="n">
        <v>33</v>
      </c>
      <c r="I1904" t="n">
        <v>65</v>
      </c>
      <c r="J1904" t="n">
        <v>3.3</v>
      </c>
      <c r="K1904" t="n">
        <v>110</v>
      </c>
      <c r="L1904" t="n">
        <v>108.5</v>
      </c>
      <c r="M1904" s="155" t="n">
        <v>0.1</v>
      </c>
      <c r="N1904" t="inlineStr">
        <is>
          <t>銷售以面膜為主的美妝品牌公司</t>
        </is>
      </c>
    </row>
    <row r="1905">
      <c r="A1905" t="n">
        <v>6706</v>
      </c>
      <c r="B1905" t="inlineStr">
        <is>
          <t>惠特</t>
        </is>
      </c>
      <c r="C1905" t="n">
        <v>217</v>
      </c>
      <c r="D1905" t="n">
        <v>207</v>
      </c>
      <c r="E1905" s="730" t="n">
        <v>-9.5</v>
      </c>
      <c r="F1905" s="731" t="n">
        <v>-4.39</v>
      </c>
      <c r="G1905" t="inlineStr">
        <is>
          <t>16.7億</t>
        </is>
      </c>
      <c r="H1905" t="n">
        <v>7887</v>
      </c>
      <c r="I1905" t="n">
        <v>13828</v>
      </c>
      <c r="J1905" t="n">
        <v>7.85</v>
      </c>
      <c r="K1905" t="n">
        <v>222.5</v>
      </c>
      <c r="L1905" t="n">
        <v>205</v>
      </c>
      <c r="M1905" s="155" t="n">
        <v>10.04</v>
      </c>
      <c r="N1905" t="inlineStr">
        <is>
          <t>全球最大LED點測分選設備商</t>
        </is>
      </c>
    </row>
    <row r="1906">
      <c r="A1906" t="n">
        <v>6708</v>
      </c>
      <c r="B1906" t="inlineStr">
        <is>
          <t>天擎</t>
        </is>
      </c>
      <c r="C1906" t="n">
        <v>41</v>
      </c>
      <c r="D1906" t="n">
        <v>40.85</v>
      </c>
      <c r="E1906" s="730" t="n">
        <v>-0.25</v>
      </c>
      <c r="F1906" s="731" t="n">
        <v>-0.61</v>
      </c>
      <c r="G1906" t="inlineStr">
        <is>
          <t>195萬</t>
        </is>
      </c>
      <c r="H1906" t="n">
        <v>48</v>
      </c>
      <c r="I1906" t="n">
        <v>57</v>
      </c>
      <c r="J1906" t="n">
        <v>2.9</v>
      </c>
      <c r="K1906" t="n">
        <v>41.15</v>
      </c>
      <c r="L1906" t="n">
        <v>40.25</v>
      </c>
      <c r="M1906" s="155" t="n">
        <v>0.17</v>
      </c>
      <c r="N1906" t="inlineStr">
        <is>
          <t>台灣從事嬰兒監控、車用監控及安防視頻網路監控IC廠</t>
        </is>
      </c>
    </row>
    <row r="1907">
      <c r="A1907" t="n">
        <v>6712</v>
      </c>
      <c r="B1907" t="inlineStr">
        <is>
          <t>長聖</t>
        </is>
      </c>
      <c r="C1907" t="n">
        <v>140</v>
      </c>
      <c r="D1907" t="n">
        <v>138</v>
      </c>
      <c r="E1907" s="730" t="n">
        <v>2</v>
      </c>
      <c r="F1907" s="731" t="n">
        <v>1.47</v>
      </c>
      <c r="G1907" t="inlineStr">
        <is>
          <t>6777萬</t>
        </is>
      </c>
      <c r="H1907" t="n">
        <v>488</v>
      </c>
      <c r="I1907" t="n">
        <v>279</v>
      </c>
      <c r="J1907" t="n">
        <v>10.18</v>
      </c>
      <c r="K1907" t="n">
        <v>140.5</v>
      </c>
      <c r="L1907" t="n">
        <v>137.5</v>
      </c>
      <c r="M1907" s="155" t="n">
        <v>0.48</v>
      </c>
      <c r="N1907" t="inlineStr">
        <is>
          <t>專注於細胞療法新藥研發</t>
        </is>
      </c>
    </row>
    <row r="1908">
      <c r="A1908" t="n">
        <v>6715</v>
      </c>
      <c r="B1908" t="inlineStr">
        <is>
          <t>嘉基</t>
        </is>
      </c>
      <c r="C1908" t="n">
        <v>443.5</v>
      </c>
      <c r="D1908" t="n">
        <v>437.5</v>
      </c>
      <c r="E1908" s="730" t="n">
        <v>-15.5</v>
      </c>
      <c r="F1908" s="731" t="n">
        <v>-3.42</v>
      </c>
      <c r="G1908" t="inlineStr">
        <is>
          <t>1.12億</t>
        </is>
      </c>
      <c r="H1908" t="n">
        <v>254</v>
      </c>
      <c r="I1908" t="n">
        <v>501</v>
      </c>
      <c r="J1908" t="n">
        <v>6.8</v>
      </c>
      <c r="K1908" t="n">
        <v>453</v>
      </c>
      <c r="L1908" t="n">
        <v>431</v>
      </c>
      <c r="M1908" s="155" t="n">
        <v>0.38</v>
      </c>
      <c r="N1908" t="inlineStr">
        <is>
          <t>嘉澤轉投資之高速連接線器廠商</t>
        </is>
      </c>
    </row>
    <row r="1909">
      <c r="A1909" t="n">
        <v>6716</v>
      </c>
      <c r="B1909" t="inlineStr">
        <is>
          <t>應廣</t>
        </is>
      </c>
      <c r="C1909" t="n">
        <v>104</v>
      </c>
      <c r="D1909" t="n">
        <v>106.5</v>
      </c>
      <c r="E1909" s="730" t="n">
        <v>3.5</v>
      </c>
      <c r="F1909" s="731" t="n">
        <v>3.4</v>
      </c>
      <c r="G1909" t="inlineStr">
        <is>
          <t>9148萬</t>
        </is>
      </c>
      <c r="H1909" t="n">
        <v>885</v>
      </c>
      <c r="I1909" t="n">
        <v>1858</v>
      </c>
      <c r="J1909" t="n">
        <v>3.02</v>
      </c>
      <c r="K1909" t="n">
        <v>107.5</v>
      </c>
      <c r="L1909" t="n">
        <v>100.5</v>
      </c>
      <c r="M1909" s="155" t="n">
        <v>2.92</v>
      </c>
      <c r="N1909" t="inlineStr">
        <is>
          <t>台灣散熱風扇微控制器龍頭廠</t>
        </is>
      </c>
    </row>
    <row r="1910">
      <c r="A1910" t="n">
        <v>6719</v>
      </c>
      <c r="B1910" t="inlineStr">
        <is>
          <t>力智</t>
        </is>
      </c>
      <c r="C1910" t="n">
        <v>244.5</v>
      </c>
      <c r="D1910" t="n">
        <v>240.5</v>
      </c>
      <c r="E1910" s="730" t="n">
        <v>-3</v>
      </c>
      <c r="F1910" s="731" t="n">
        <v>-1.23</v>
      </c>
      <c r="G1910" t="inlineStr">
        <is>
          <t>5.50億</t>
        </is>
      </c>
      <c r="H1910" t="n">
        <v>2314</v>
      </c>
      <c r="I1910" t="n">
        <v>5235</v>
      </c>
      <c r="J1910" t="n">
        <v>10.55</v>
      </c>
      <c r="K1910" t="n">
        <v>245</v>
      </c>
      <c r="L1910" t="n">
        <v>232</v>
      </c>
      <c r="M1910" s="155" t="n">
        <v>2.74</v>
      </c>
      <c r="N1910" t="inlineStr">
        <is>
          <t>華碩轉投資的電源管理IC設計公司</t>
        </is>
      </c>
    </row>
    <row r="1911">
      <c r="A1911" t="n">
        <v>6720</v>
      </c>
      <c r="B1911" t="inlineStr">
        <is>
          <t>久昌</t>
        </is>
      </c>
      <c r="C1911" t="n">
        <v>150.5</v>
      </c>
      <c r="D1911" t="n">
        <v>150.5</v>
      </c>
      <c r="E1911" s="730" t="n">
        <v>4</v>
      </c>
      <c r="F1911" s="731" t="n">
        <v>2.73</v>
      </c>
      <c r="G1911" t="inlineStr">
        <is>
          <t>1324萬</t>
        </is>
      </c>
      <c r="H1911" t="n">
        <v>88</v>
      </c>
      <c r="I1911" t="n">
        <v>127</v>
      </c>
      <c r="J1911" t="n">
        <v>3.02</v>
      </c>
      <c r="K1911" t="n">
        <v>154.5</v>
      </c>
      <c r="L1911" t="n">
        <v>147</v>
      </c>
      <c r="M1911" s="155" t="n">
        <v>0.29</v>
      </c>
      <c r="N1911" t="inlineStr">
        <is>
          <t>台灣霍爾IC及電源管理晶片供應商</t>
        </is>
      </c>
    </row>
    <row r="1912">
      <c r="A1912" t="n">
        <v>6721</v>
      </c>
      <c r="B1912" t="inlineStr">
        <is>
          <t>信實</t>
        </is>
      </c>
      <c r="C1912" t="n">
        <v>59</v>
      </c>
      <c r="D1912" t="n">
        <v>59.5</v>
      </c>
      <c r="E1912" s="730" t="n">
        <v>0.5</v>
      </c>
      <c r="F1912" s="731" t="n">
        <v>0.85</v>
      </c>
      <c r="G1912" t="inlineStr">
        <is>
          <t>47.3萬</t>
        </is>
      </c>
      <c r="H1912" t="n">
        <v>8</v>
      </c>
      <c r="I1912" t="n">
        <v>3</v>
      </c>
      <c r="J1912" t="n">
        <v>2.25</v>
      </c>
      <c r="K1912" t="n">
        <v>59.5</v>
      </c>
      <c r="L1912" t="n">
        <v>58.5</v>
      </c>
      <c r="M1912" s="155" t="n">
        <v>0.04</v>
      </c>
      <c r="N1912" t="inlineStr">
        <is>
          <t>主要為國內運輸機構及公家機關提供清潔、機電及保全服務</t>
        </is>
      </c>
    </row>
    <row r="1913">
      <c r="A1913" t="n">
        <v>6722</v>
      </c>
      <c r="B1913" t="inlineStr">
        <is>
          <t>輝創</t>
        </is>
      </c>
      <c r="C1913" t="n">
        <v>37.5</v>
      </c>
      <c r="D1913" t="n">
        <v>40.9</v>
      </c>
      <c r="E1913" s="730" t="n">
        <v>3.4</v>
      </c>
      <c r="F1913" s="731" t="n">
        <v>9.07</v>
      </c>
      <c r="G1913" t="inlineStr">
        <is>
          <t>1518萬</t>
        </is>
      </c>
      <c r="H1913" t="n">
        <v>383</v>
      </c>
      <c r="I1913" t="n">
        <v>134</v>
      </c>
      <c r="J1913" t="n">
        <v>8.84</v>
      </c>
      <c r="K1913" t="n">
        <v>41</v>
      </c>
      <c r="L1913" t="n">
        <v>37.5</v>
      </c>
      <c r="M1913" s="155" t="n">
        <v>0.43</v>
      </c>
      <c r="N1913" t="inlineStr">
        <is>
          <t>汽車電裝配備製造廠</t>
        </is>
      </c>
    </row>
    <row r="1914">
      <c r="A1914" t="n">
        <v>6725</v>
      </c>
      <c r="B1914" t="inlineStr">
        <is>
          <t>矽科宏晟</t>
        </is>
      </c>
      <c r="C1914" t="n">
        <v>334</v>
      </c>
      <c r="D1914" t="n">
        <v>327.5</v>
      </c>
      <c r="E1914" s="730" t="n">
        <v>2</v>
      </c>
      <c r="F1914" s="731" t="n">
        <v>0.61</v>
      </c>
      <c r="G1914" t="inlineStr">
        <is>
          <t>9235萬</t>
        </is>
      </c>
      <c r="H1914" t="n">
        <v>282</v>
      </c>
      <c r="I1914" t="n">
        <v>561</v>
      </c>
      <c r="J1914" t="n">
        <v>3.71</v>
      </c>
      <c r="K1914" t="n">
        <v>336</v>
      </c>
      <c r="L1914" t="n">
        <v>324</v>
      </c>
      <c r="M1914" s="155" t="n">
        <v>0.76</v>
      </c>
      <c r="N1914" t="inlineStr">
        <is>
          <t>化學藥品供應系統的領導商</t>
        </is>
      </c>
    </row>
    <row r="1915">
      <c r="A1915" t="n">
        <v>6727</v>
      </c>
      <c r="B1915" t="inlineStr">
        <is>
          <t>亞泰金屬</t>
        </is>
      </c>
      <c r="C1915" t="n">
        <v>550</v>
      </c>
      <c r="D1915" t="n">
        <v>536</v>
      </c>
      <c r="E1915" s="730" t="n">
        <v>-20</v>
      </c>
      <c r="F1915" s="731" t="n">
        <v>-3.6</v>
      </c>
      <c r="G1915" t="inlineStr">
        <is>
          <t>8.84億</t>
        </is>
      </c>
      <c r="H1915" t="n">
        <v>1628</v>
      </c>
      <c r="I1915" t="n">
        <v>2772</v>
      </c>
      <c r="J1915" t="n">
        <v>2.69</v>
      </c>
      <c r="K1915" t="n">
        <v>581</v>
      </c>
      <c r="L1915" t="n">
        <v>520</v>
      </c>
      <c r="M1915" s="155" t="n">
        <v>6.06</v>
      </c>
      <c r="N1915" t="inlineStr">
        <is>
          <t>全球知名的銅箔基板高階含浸設備製造商</t>
        </is>
      </c>
    </row>
    <row r="1916">
      <c r="A1916" t="n">
        <v>6728</v>
      </c>
      <c r="B1916" t="inlineStr">
        <is>
          <t>上洋</t>
        </is>
      </c>
      <c r="C1916" t="n">
        <v>112</v>
      </c>
      <c r="D1916" t="n">
        <v>115</v>
      </c>
      <c r="E1916" s="730" t="n">
        <v>2.5</v>
      </c>
      <c r="F1916" s="731" t="n">
        <v>2.22</v>
      </c>
      <c r="G1916" t="inlineStr">
        <is>
          <t>2021萬</t>
        </is>
      </c>
      <c r="H1916" t="n">
        <v>177</v>
      </c>
      <c r="I1916" t="n">
        <v>39</v>
      </c>
      <c r="J1916" t="n">
        <v>3.01</v>
      </c>
      <c r="K1916" t="n">
        <v>117</v>
      </c>
      <c r="L1916" t="n">
        <v>112</v>
      </c>
      <c r="M1916" s="155" t="n">
        <v>0.59</v>
      </c>
      <c r="N1916" t="inlineStr">
        <is>
          <t>商用洗衣設備與家電產品代理商</t>
        </is>
      </c>
    </row>
    <row r="1917">
      <c r="A1917" t="n">
        <v>6730</v>
      </c>
      <c r="B1917" t="inlineStr">
        <is>
          <t>常廣</t>
        </is>
      </c>
      <c r="C1917" t="n">
        <v>34.1</v>
      </c>
      <c r="D1917" t="n">
        <v>35</v>
      </c>
      <c r="E1917" s="730" t="n">
        <v>0.6</v>
      </c>
      <c r="F1917" s="731" t="n">
        <v>1.74</v>
      </c>
      <c r="G1917" t="inlineStr">
        <is>
          <t>31.3萬</t>
        </is>
      </c>
      <c r="H1917" t="n">
        <v>9</v>
      </c>
      <c r="I1917" t="n">
        <v>85</v>
      </c>
      <c r="J1917" t="n">
        <v>3.63</v>
      </c>
      <c r="K1917" t="n">
        <v>35</v>
      </c>
      <c r="L1917" t="n">
        <v>34.1</v>
      </c>
      <c r="M1917" s="155" t="n">
        <v>0.02</v>
      </c>
      <c r="N1917" t="inlineStr">
        <is>
          <t>微創手術耗材及器械製造商</t>
        </is>
      </c>
    </row>
    <row r="1918">
      <c r="A1918" t="n">
        <v>6732</v>
      </c>
      <c r="B1918" t="inlineStr">
        <is>
          <t>昇佳電子</t>
        </is>
      </c>
      <c r="C1918" t="n">
        <v>174</v>
      </c>
      <c r="D1918" t="n">
        <v>173</v>
      </c>
      <c r="E1918" s="730" t="n">
        <v>-1</v>
      </c>
      <c r="F1918" s="731" t="n">
        <v>-0.57</v>
      </c>
      <c r="G1918" t="inlineStr">
        <is>
          <t>4793萬</t>
        </is>
      </c>
      <c r="H1918" t="n">
        <v>280</v>
      </c>
      <c r="I1918" t="n">
        <v>476</v>
      </c>
      <c r="J1918" t="n">
        <v>4.89</v>
      </c>
      <c r="K1918" t="n">
        <v>174</v>
      </c>
      <c r="L1918" t="n">
        <v>169</v>
      </c>
      <c r="M1918" s="155" t="n">
        <v>0.57</v>
      </c>
      <c r="N1918" t="inlineStr">
        <is>
          <t>矽創旗下以感測器為主的IC設計公司</t>
        </is>
      </c>
    </row>
    <row r="1919">
      <c r="A1919" t="n">
        <v>6733</v>
      </c>
      <c r="B1919" t="inlineStr">
        <is>
          <t>博晟生醫</t>
        </is>
      </c>
      <c r="C1919" t="n">
        <v>26</v>
      </c>
      <c r="D1919" t="n">
        <v>25.85</v>
      </c>
      <c r="E1919" s="730" t="n">
        <v>-0.2</v>
      </c>
      <c r="F1919" s="731" t="n">
        <v>-0.77</v>
      </c>
      <c r="G1919" t="inlineStr">
        <is>
          <t>653萬</t>
        </is>
      </c>
      <c r="H1919" t="n">
        <v>255</v>
      </c>
      <c r="I1919" t="n">
        <v>357</v>
      </c>
      <c r="J1919" t="n">
        <v>13.43</v>
      </c>
      <c r="K1919" t="n">
        <v>26</v>
      </c>
      <c r="L1919" t="n">
        <v>25.45</v>
      </c>
      <c r="M1919" s="155" t="n">
        <v>0.19</v>
      </c>
      <c r="N1919" t="inlineStr">
        <is>
          <t>晟德旗下生物性骨材研發廠</t>
        </is>
      </c>
    </row>
    <row r="1920">
      <c r="A1920" t="n">
        <v>6735</v>
      </c>
      <c r="B1920" t="inlineStr">
        <is>
          <t>美達科技</t>
        </is>
      </c>
      <c r="C1920" t="n">
        <v>104</v>
      </c>
      <c r="D1920" t="n">
        <v>99.59999999999999</v>
      </c>
      <c r="E1920" s="730" t="n">
        <v>-4.4</v>
      </c>
      <c r="F1920" s="731" t="n">
        <v>-4.23</v>
      </c>
      <c r="G1920" t="inlineStr">
        <is>
          <t>1.06億</t>
        </is>
      </c>
      <c r="H1920" t="n">
        <v>1070</v>
      </c>
      <c r="I1920" t="n">
        <v>876</v>
      </c>
      <c r="J1920" t="n">
        <v>4.62</v>
      </c>
      <c r="K1920" t="n">
        <v>104</v>
      </c>
      <c r="L1920" t="n">
        <v>97.09999999999999</v>
      </c>
      <c r="M1920" s="155" t="n">
        <v>2.32</v>
      </c>
      <c r="N1920" t="inlineStr">
        <is>
          <t>半導體類比暨混合訊號IC測試設備知名廠商</t>
        </is>
      </c>
    </row>
    <row r="1921">
      <c r="A1921" t="n">
        <v>6739</v>
      </c>
      <c r="B1921" t="inlineStr">
        <is>
          <t>竹陞科技</t>
        </is>
      </c>
      <c r="C1921" t="n">
        <v>1260</v>
      </c>
      <c r="D1921" t="n">
        <v>1285</v>
      </c>
      <c r="E1921" s="730" t="n">
        <v>30</v>
      </c>
      <c r="F1921" s="731" t="n">
        <v>2.39</v>
      </c>
      <c r="G1921" t="inlineStr">
        <is>
          <t>1.99億</t>
        </is>
      </c>
      <c r="H1921" t="n">
        <v>156</v>
      </c>
      <c r="I1921" t="n">
        <v>270</v>
      </c>
      <c r="J1921" t="n">
        <v>2.34</v>
      </c>
      <c r="K1921" t="n">
        <v>1300</v>
      </c>
      <c r="L1921" t="n">
        <v>1245</v>
      </c>
      <c r="M1921" s="155" t="n">
        <v>0.67</v>
      </c>
      <c r="N1921" t="inlineStr">
        <is>
          <t>半導體智能化系統整合廠</t>
        </is>
      </c>
    </row>
    <row r="1922">
      <c r="A1922" t="n">
        <v>6741</v>
      </c>
      <c r="B1922" t="inlineStr">
        <is>
          <t>91APP*-KY</t>
        </is>
      </c>
      <c r="C1922" t="n">
        <v>64.90000000000001</v>
      </c>
      <c r="D1922" t="n">
        <v>64.2</v>
      </c>
      <c r="E1922" s="730" t="n">
        <v>-0.1</v>
      </c>
      <c r="F1922" s="731" t="n">
        <v>-0.16</v>
      </c>
      <c r="G1922" t="inlineStr">
        <is>
          <t>1280萬</t>
        </is>
      </c>
      <c r="H1922" t="n">
        <v>201</v>
      </c>
      <c r="I1922" t="n">
        <v>466</v>
      </c>
      <c r="J1922" t="n">
        <v>6.03</v>
      </c>
      <c r="K1922" t="n">
        <v>65.40000000000001</v>
      </c>
      <c r="L1922" t="n">
        <v>63.1</v>
      </c>
      <c r="M1922" s="155" t="n">
        <v>0.17</v>
      </c>
      <c r="N1922" t="inlineStr">
        <is>
          <t>台灣知名虛實融合(OMO)新零售服務商</t>
        </is>
      </c>
    </row>
    <row r="1923">
      <c r="A1923" t="n">
        <v>6742</v>
      </c>
      <c r="B1923" t="inlineStr">
        <is>
          <t>澤米</t>
        </is>
      </c>
      <c r="C1923" t="n">
        <v>61.2</v>
      </c>
      <c r="D1923" t="n">
        <v>59.1</v>
      </c>
      <c r="E1923" s="730" t="n">
        <v>-1.2</v>
      </c>
      <c r="F1923" s="731" t="n">
        <v>-1.99</v>
      </c>
      <c r="G1923" t="inlineStr">
        <is>
          <t>5607萬</t>
        </is>
      </c>
      <c r="H1923" t="n">
        <v>930</v>
      </c>
      <c r="I1923" t="n">
        <v>899</v>
      </c>
      <c r="J1923" t="n">
        <v>7.13</v>
      </c>
      <c r="K1923" t="n">
        <v>61.8</v>
      </c>
      <c r="L1923" t="n">
        <v>58.8</v>
      </c>
      <c r="M1923" s="155" t="n">
        <v>1.3</v>
      </c>
      <c r="N1923" t="inlineStr">
        <is>
          <t>光學鍍膜及半導體鍍膜公司</t>
        </is>
      </c>
    </row>
    <row r="1924">
      <c r="A1924" t="n">
        <v>6743</v>
      </c>
      <c r="B1924" t="inlineStr">
        <is>
          <t>安普新</t>
        </is>
      </c>
      <c r="C1924" t="n">
        <v>30.25</v>
      </c>
      <c r="D1924" t="n">
        <v>29.9</v>
      </c>
      <c r="E1924" s="730" t="n">
        <v>-0.15</v>
      </c>
      <c r="F1924" s="731" t="n">
        <v>-0.5</v>
      </c>
      <c r="G1924" t="inlineStr">
        <is>
          <t>1321萬</t>
        </is>
      </c>
      <c r="H1924" t="n">
        <v>446</v>
      </c>
      <c r="I1924" t="n">
        <v>545</v>
      </c>
      <c r="J1924" t="n">
        <v>15</v>
      </c>
      <c r="K1924" t="n">
        <v>30.25</v>
      </c>
      <c r="L1924" t="n">
        <v>29.2</v>
      </c>
      <c r="M1924" s="155" t="n">
        <v>0.3</v>
      </c>
      <c r="N1924" t="inlineStr">
        <is>
          <t>音樂娛樂或電競用耳機製造商</t>
        </is>
      </c>
    </row>
    <row r="1925">
      <c r="A1925" t="n">
        <v>6751</v>
      </c>
      <c r="B1925" t="inlineStr">
        <is>
          <t>智聯服務</t>
        </is>
      </c>
      <c r="C1925" t="n">
        <v>51.4</v>
      </c>
      <c r="D1925" t="n">
        <v>50.9</v>
      </c>
      <c r="E1925" s="730" t="n">
        <v>0.4</v>
      </c>
      <c r="F1925" s="731" t="n">
        <v>0.79</v>
      </c>
      <c r="G1925" t="inlineStr">
        <is>
          <t>333萬</t>
        </is>
      </c>
      <c r="H1925" t="n">
        <v>66</v>
      </c>
      <c r="I1925" t="n">
        <v>43</v>
      </c>
      <c r="J1925" t="n">
        <v>2.22</v>
      </c>
      <c r="K1925" t="n">
        <v>51.4</v>
      </c>
      <c r="L1925" t="n">
        <v>49.05</v>
      </c>
      <c r="M1925" s="155" t="n">
        <v>0.3</v>
      </c>
      <c r="N1925" t="inlineStr">
        <is>
          <t>宏碁旗下IT規劃整合及服務廠</t>
        </is>
      </c>
    </row>
    <row r="1926">
      <c r="A1926" t="n">
        <v>6752</v>
      </c>
      <c r="B1926" t="inlineStr">
        <is>
          <t>叡揚</t>
        </is>
      </c>
      <c r="C1926" t="n">
        <v>108</v>
      </c>
      <c r="D1926" t="n">
        <v>107.5</v>
      </c>
      <c r="E1926" s="730" t="n">
        <v>1</v>
      </c>
      <c r="F1926" s="731" t="n">
        <v>0.9399999999999999</v>
      </c>
      <c r="G1926" t="inlineStr">
        <is>
          <t>2118萬</t>
        </is>
      </c>
      <c r="H1926" t="n">
        <v>194</v>
      </c>
      <c r="I1926" t="n">
        <v>95</v>
      </c>
      <c r="J1926" t="n">
        <v>3.71</v>
      </c>
      <c r="K1926" t="n">
        <v>113.5</v>
      </c>
      <c r="L1926" t="n">
        <v>107</v>
      </c>
      <c r="M1926" s="155" t="n">
        <v>0.52</v>
      </c>
      <c r="N1926" t="inlineStr">
        <is>
          <t>企業e化應用軟體開發與服務廠</t>
        </is>
      </c>
    </row>
    <row r="1927">
      <c r="A1927" t="n">
        <v>6753</v>
      </c>
      <c r="B1927" t="inlineStr">
        <is>
          <t>龍德造船</t>
        </is>
      </c>
      <c r="C1927" t="n">
        <v>130</v>
      </c>
      <c r="D1927" t="n">
        <v>125.5</v>
      </c>
      <c r="E1927" s="730" t="n">
        <v>-4.5</v>
      </c>
      <c r="F1927" s="731" t="n">
        <v>-3.46</v>
      </c>
      <c r="G1927" t="inlineStr">
        <is>
          <t>1.20億</t>
        </is>
      </c>
      <c r="H1927" t="n">
        <v>951</v>
      </c>
      <c r="I1927" t="n">
        <v>1320</v>
      </c>
      <c r="J1927" t="n">
        <v>11.73</v>
      </c>
      <c r="K1927" t="n">
        <v>130</v>
      </c>
      <c r="L1927" t="n">
        <v>125</v>
      </c>
      <c r="M1927" s="155" t="n">
        <v>0.8100000000000001</v>
      </c>
      <c r="N1927" t="inlineStr">
        <is>
          <t>台灣民營造船業者</t>
        </is>
      </c>
    </row>
    <row r="1928">
      <c r="A1928" t="n">
        <v>6754</v>
      </c>
      <c r="B1928" t="inlineStr">
        <is>
          <t>匯僑設計</t>
        </is>
      </c>
      <c r="C1928" t="n">
        <v>46.6</v>
      </c>
      <c r="D1928" t="n">
        <v>45.75</v>
      </c>
      <c r="E1928" s="730" t="n">
        <v>-0.8</v>
      </c>
      <c r="F1928" s="731" t="n">
        <v>-1.72</v>
      </c>
      <c r="G1928" t="inlineStr">
        <is>
          <t>188萬</t>
        </is>
      </c>
      <c r="H1928" t="n">
        <v>41</v>
      </c>
      <c r="I1928" t="n">
        <v>45</v>
      </c>
      <c r="J1928" t="n">
        <v>6.6</v>
      </c>
      <c r="K1928" t="n">
        <v>46.6</v>
      </c>
      <c r="L1928" t="n">
        <v>45</v>
      </c>
      <c r="M1928" s="155" t="n">
        <v>0.06</v>
      </c>
      <c r="N1928" t="inlineStr">
        <is>
          <t>主要從事建築室內設計及裝潢裝修工程</t>
        </is>
      </c>
    </row>
    <row r="1929">
      <c r="A1929" t="n">
        <v>6756</v>
      </c>
      <c r="B1929" t="inlineStr">
        <is>
          <t>威鋒電子</t>
        </is>
      </c>
      <c r="C1929" t="n">
        <v>99</v>
      </c>
      <c r="D1929" t="n">
        <v>102.5</v>
      </c>
      <c r="E1929" s="730" t="n">
        <v>4</v>
      </c>
      <c r="F1929" s="731" t="n">
        <v>4.06</v>
      </c>
      <c r="G1929" t="inlineStr">
        <is>
          <t>6247萬</t>
        </is>
      </c>
      <c r="H1929" t="n">
        <v>616</v>
      </c>
      <c r="I1929" t="n">
        <v>518</v>
      </c>
      <c r="J1929" t="n">
        <v>7</v>
      </c>
      <c r="K1929" t="n">
        <v>104.5</v>
      </c>
      <c r="L1929" t="n">
        <v>99</v>
      </c>
      <c r="M1929" s="155" t="n">
        <v>0.88</v>
      </c>
      <c r="N1929" t="inlineStr">
        <is>
          <t>威盛旗下USB高速傳輸控制晶片廠</t>
        </is>
      </c>
    </row>
    <row r="1930">
      <c r="A1930" t="n">
        <v>6757</v>
      </c>
      <c r="B1930" t="inlineStr">
        <is>
          <t>台灣虎航</t>
        </is>
      </c>
      <c r="C1930" t="n">
        <v>59.1</v>
      </c>
      <c r="D1930" t="n">
        <v>56.4</v>
      </c>
      <c r="E1930" s="730" t="n">
        <v>-2.5</v>
      </c>
      <c r="F1930" s="731" t="n">
        <v>-4.24</v>
      </c>
      <c r="G1930" t="inlineStr">
        <is>
          <t>3.30億</t>
        </is>
      </c>
      <c r="H1930" t="n">
        <v>5872</v>
      </c>
      <c r="I1930" t="n">
        <v>1961</v>
      </c>
      <c r="J1930" t="n">
        <v>45.95</v>
      </c>
      <c r="K1930" t="n">
        <v>59.1</v>
      </c>
      <c r="L1930" t="n">
        <v>55.5</v>
      </c>
      <c r="M1930" s="155" t="n">
        <v>1.28</v>
      </c>
      <c r="N1930" t="inlineStr">
        <is>
          <t>華航旗下的廉價航空公司</t>
        </is>
      </c>
    </row>
    <row r="1931">
      <c r="A1931" t="n">
        <v>6761</v>
      </c>
      <c r="B1931" t="inlineStr">
        <is>
          <t>穩得</t>
        </is>
      </c>
      <c r="C1931" t="n">
        <v>213</v>
      </c>
      <c r="D1931" t="n">
        <v>203.5</v>
      </c>
      <c r="E1931" s="730" t="n">
        <v>-9.5</v>
      </c>
      <c r="F1931" s="731" t="n">
        <v>-4.46</v>
      </c>
      <c r="G1931" t="inlineStr">
        <is>
          <t>1.49億</t>
        </is>
      </c>
      <c r="H1931" t="n">
        <v>730</v>
      </c>
      <c r="I1931" t="n">
        <v>1962</v>
      </c>
      <c r="J1931" t="n">
        <v>3.5</v>
      </c>
      <c r="K1931" t="n">
        <v>213</v>
      </c>
      <c r="L1931" t="n">
        <v>201.5</v>
      </c>
      <c r="M1931" s="155" t="n">
        <v>2.09</v>
      </c>
      <c r="N1931" t="inlineStr">
        <is>
          <t>國內知名的EMC一站式服務商</t>
        </is>
      </c>
    </row>
    <row r="1932">
      <c r="A1932" t="n">
        <v>6762</v>
      </c>
      <c r="B1932" t="inlineStr">
        <is>
          <t>達亞</t>
        </is>
      </c>
      <c r="C1932" t="inlineStr">
        <is>
          <t>--</t>
        </is>
      </c>
      <c r="D1932" t="inlineStr">
        <is>
          <t>--</t>
        </is>
      </c>
      <c r="E1932" s="730" t="inlineStr">
        <is>
          <t>--</t>
        </is>
      </c>
      <c r="F1932" s="731" t="inlineStr">
        <is>
          <t>--</t>
        </is>
      </c>
      <c r="G1932" t="inlineStr">
        <is>
          <t>--</t>
        </is>
      </c>
      <c r="H1932" t="n">
        <v>0</v>
      </c>
      <c r="I1932" t="n">
        <v>8</v>
      </c>
      <c r="J1932" t="n">
        <v>3.52</v>
      </c>
      <c r="K1932" t="inlineStr">
        <is>
          <t>--</t>
        </is>
      </c>
      <c r="L1932" t="inlineStr">
        <is>
          <t>--</t>
        </is>
      </c>
      <c r="M1932" s="155" t="n">
        <v>0</v>
      </c>
      <c r="N1932" t="inlineStr">
        <is>
          <t>以二類、三類醫療器材及零組件研究開發與設計代工廠</t>
        </is>
      </c>
    </row>
    <row r="1933">
      <c r="A1933" t="n">
        <v>6763</v>
      </c>
      <c r="B1933" t="inlineStr">
        <is>
          <t>綠界科技*</t>
        </is>
      </c>
      <c r="C1933" t="n">
        <v>44.35</v>
      </c>
      <c r="D1933" t="n">
        <v>44.7</v>
      </c>
      <c r="E1933" s="730" t="n">
        <v>0.25</v>
      </c>
      <c r="F1933" s="731" t="n">
        <v>0.5600000000000001</v>
      </c>
      <c r="G1933" t="inlineStr">
        <is>
          <t>2361萬</t>
        </is>
      </c>
      <c r="H1933" t="n">
        <v>530</v>
      </c>
      <c r="I1933" t="n">
        <v>678</v>
      </c>
      <c r="J1933" t="n">
        <v>1.84</v>
      </c>
      <c r="K1933" t="n">
        <v>45.25</v>
      </c>
      <c r="L1933" t="n">
        <v>44</v>
      </c>
      <c r="M1933" s="155" t="n">
        <v>0.29</v>
      </c>
      <c r="N1933" t="inlineStr">
        <is>
          <t>歐買尬旗下第三方支付平台</t>
        </is>
      </c>
    </row>
    <row r="1934">
      <c r="A1934" t="n">
        <v>6767</v>
      </c>
      <c r="B1934" t="inlineStr">
        <is>
          <t>台微醫</t>
        </is>
      </c>
      <c r="C1934" t="n">
        <v>25</v>
      </c>
      <c r="D1934" t="n">
        <v>25.75</v>
      </c>
      <c r="E1934" s="730" t="n">
        <v>-0.15</v>
      </c>
      <c r="F1934" s="731" t="n">
        <v>-0.58</v>
      </c>
      <c r="G1934" t="inlineStr">
        <is>
          <t>203萬</t>
        </is>
      </c>
      <c r="H1934" t="n">
        <v>80</v>
      </c>
      <c r="I1934" t="n">
        <v>15</v>
      </c>
      <c r="J1934" t="n">
        <v>3.92</v>
      </c>
      <c r="K1934" t="n">
        <v>25.9</v>
      </c>
      <c r="L1934" t="n">
        <v>25</v>
      </c>
      <c r="M1934" s="155" t="n">
        <v>0.2</v>
      </c>
      <c r="N1934" t="inlineStr">
        <is>
          <t>鐿鈦旗下脊椎融合手術產品供應商</t>
        </is>
      </c>
    </row>
    <row r="1935">
      <c r="A1935" t="n">
        <v>6768</v>
      </c>
      <c r="B1935" t="inlineStr">
        <is>
          <t>志強-KY</t>
        </is>
      </c>
      <c r="C1935" t="n">
        <v>87.3</v>
      </c>
      <c r="D1935" t="n">
        <v>94</v>
      </c>
      <c r="E1935" s="730" t="n">
        <v>7</v>
      </c>
      <c r="F1935" s="731" t="n">
        <v>8.050000000000001</v>
      </c>
      <c r="G1935" t="inlineStr">
        <is>
          <t>2.17億</t>
        </is>
      </c>
      <c r="H1935" t="n">
        <v>2350</v>
      </c>
      <c r="I1935" t="n">
        <v>486</v>
      </c>
      <c r="J1935" t="n">
        <v>20.01</v>
      </c>
      <c r="K1935" t="n">
        <v>94.8</v>
      </c>
      <c r="L1935" t="n">
        <v>86.7</v>
      </c>
      <c r="M1935" s="155" t="n">
        <v>1.17</v>
      </c>
      <c r="N1935" t="inlineStr">
        <is>
          <t>足球鞋代工製造龍頭大廠</t>
        </is>
      </c>
    </row>
    <row r="1936">
      <c r="A1936" t="n">
        <v>6770</v>
      </c>
      <c r="B1936" t="inlineStr">
        <is>
          <t>力積電</t>
        </is>
      </c>
      <c r="C1936" t="n">
        <v>87</v>
      </c>
      <c r="D1936" t="n">
        <v>85.90000000000001</v>
      </c>
      <c r="E1936" s="730" t="n">
        <v>-1.1</v>
      </c>
      <c r="F1936" s="731" t="n">
        <v>-1.26</v>
      </c>
      <c r="G1936" t="inlineStr">
        <is>
          <t>84.9億</t>
        </is>
      </c>
      <c r="H1936" t="n">
        <v>99567</v>
      </c>
      <c r="I1936" t="n">
        <v>622572</v>
      </c>
      <c r="J1936" t="n">
        <v>427.99</v>
      </c>
      <c r="K1936" t="n">
        <v>88.59999999999999</v>
      </c>
      <c r="L1936" t="n">
        <v>83.7</v>
      </c>
      <c r="M1936" s="155" t="n">
        <v>2.35</v>
      </c>
      <c r="N1936" t="inlineStr">
        <is>
          <t>全球前十大晶圓代工廠之一</t>
        </is>
      </c>
    </row>
    <row r="1937">
      <c r="A1937" t="n">
        <v>6776</v>
      </c>
      <c r="B1937" t="inlineStr">
        <is>
          <t>展碁國際</t>
        </is>
      </c>
      <c r="C1937" t="n">
        <v>60.1</v>
      </c>
      <c r="D1937" t="n">
        <v>61.2</v>
      </c>
      <c r="E1937" s="730" t="n">
        <v>1.2</v>
      </c>
      <c r="F1937" s="731" t="n">
        <v>2</v>
      </c>
      <c r="G1937" t="inlineStr">
        <is>
          <t>5252萬</t>
        </is>
      </c>
      <c r="H1937" t="n">
        <v>865</v>
      </c>
      <c r="I1937" t="n">
        <v>458</v>
      </c>
      <c r="J1937" t="n">
        <v>9.16</v>
      </c>
      <c r="K1937" t="n">
        <v>61.4</v>
      </c>
      <c r="L1937" t="n">
        <v>60</v>
      </c>
      <c r="M1937" s="155" t="n">
        <v>0.9399999999999999</v>
      </c>
      <c r="N1937" t="inlineStr">
        <is>
          <t>台灣第二大電子通路代理商</t>
        </is>
      </c>
    </row>
    <row r="1938">
      <c r="A1938" t="n">
        <v>6781</v>
      </c>
      <c r="B1938" t="inlineStr">
        <is>
          <t>AES-KY</t>
        </is>
      </c>
      <c r="C1938" t="n">
        <v>1205</v>
      </c>
      <c r="D1938" t="n">
        <v>1130</v>
      </c>
      <c r="E1938" s="730" t="n">
        <v>-70</v>
      </c>
      <c r="F1938" s="731" t="n">
        <v>-5.83</v>
      </c>
      <c r="G1938" t="inlineStr">
        <is>
          <t>19.2億</t>
        </is>
      </c>
      <c r="H1938" t="n">
        <v>1685</v>
      </c>
      <c r="I1938" t="n">
        <v>1584</v>
      </c>
      <c r="J1938" t="n">
        <v>8.539999999999999</v>
      </c>
      <c r="K1938" t="n">
        <v>1205</v>
      </c>
      <c r="L1938" t="n">
        <v>1100</v>
      </c>
      <c r="M1938" s="155" t="n">
        <v>1.97</v>
      </c>
      <c r="N1938" t="inlineStr">
        <is>
          <t>新普轉投資之鋰電池模組製造商</t>
        </is>
      </c>
    </row>
    <row r="1939">
      <c r="A1939" t="n">
        <v>6782</v>
      </c>
      <c r="B1939" t="inlineStr">
        <is>
          <t>視陽</t>
        </is>
      </c>
      <c r="C1939" t="n">
        <v>194.5</v>
      </c>
      <c r="D1939" t="n">
        <v>194</v>
      </c>
      <c r="E1939" s="730" t="n">
        <v>-1</v>
      </c>
      <c r="F1939" s="731" t="n">
        <v>-0.51</v>
      </c>
      <c r="G1939" t="inlineStr">
        <is>
          <t>6590萬</t>
        </is>
      </c>
      <c r="H1939" t="n">
        <v>340</v>
      </c>
      <c r="I1939" t="n">
        <v>301</v>
      </c>
      <c r="J1939" t="n">
        <v>6.3</v>
      </c>
      <c r="K1939" t="n">
        <v>196</v>
      </c>
      <c r="L1939" t="n">
        <v>192</v>
      </c>
      <c r="M1939" s="155" t="n">
        <v>0.54</v>
      </c>
      <c r="N1939" t="inlineStr">
        <is>
          <t>明基材轉投資，為亞洲矽水膠隱形眼鏡代工龍頭</t>
        </is>
      </c>
    </row>
    <row r="1940">
      <c r="A1940" t="n">
        <v>6785</v>
      </c>
      <c r="B1940" t="inlineStr">
        <is>
          <t>昱展新藥</t>
        </is>
      </c>
      <c r="C1940" t="n">
        <v>122.5</v>
      </c>
      <c r="D1940" t="n">
        <v>119.5</v>
      </c>
      <c r="E1940" s="730" t="n">
        <v>-2.5</v>
      </c>
      <c r="F1940" s="731" t="n">
        <v>-2.05</v>
      </c>
      <c r="G1940" t="inlineStr">
        <is>
          <t>2074萬</t>
        </is>
      </c>
      <c r="H1940" t="n">
        <v>173</v>
      </c>
      <c r="I1940" t="n">
        <v>94</v>
      </c>
      <c r="J1940" t="n">
        <v>6.68</v>
      </c>
      <c r="K1940" t="n">
        <v>122.5</v>
      </c>
      <c r="L1940" t="n">
        <v>119</v>
      </c>
      <c r="M1940" s="155" t="n">
        <v>0.26</v>
      </c>
      <c r="N1940" t="inlineStr">
        <is>
          <t>開發治療鴉片類成癮症及難治型憂鬱症之長效藥物</t>
        </is>
      </c>
    </row>
    <row r="1941">
      <c r="A1941" t="n">
        <v>6788</v>
      </c>
      <c r="B1941" t="inlineStr">
        <is>
          <t>華景電</t>
        </is>
      </c>
      <c r="C1941" t="n">
        <v>412.5</v>
      </c>
      <c r="D1941" t="n">
        <v>401.5</v>
      </c>
      <c r="E1941" s="730" t="n">
        <v>-9</v>
      </c>
      <c r="F1941" s="731" t="n">
        <v>-2.19</v>
      </c>
      <c r="G1941" t="inlineStr">
        <is>
          <t>2.78億</t>
        </is>
      </c>
      <c r="H1941" t="n">
        <v>688</v>
      </c>
      <c r="I1941" t="n">
        <v>707</v>
      </c>
      <c r="J1941" t="n">
        <v>3.87</v>
      </c>
      <c r="K1941" t="n">
        <v>414.5</v>
      </c>
      <c r="L1941" t="n">
        <v>401</v>
      </c>
      <c r="M1941" s="155" t="n">
        <v>1.78</v>
      </c>
      <c r="N1941" t="inlineStr">
        <is>
          <t>國內晶圓製程AMC防治設備龍頭</t>
        </is>
      </c>
    </row>
    <row r="1942">
      <c r="A1942" t="n">
        <v>6789</v>
      </c>
      <c r="B1942" t="inlineStr">
        <is>
          <t>采鈺</t>
        </is>
      </c>
      <c r="C1942" t="n">
        <v>547</v>
      </c>
      <c r="D1942" t="n">
        <v>522</v>
      </c>
      <c r="E1942" s="730" t="n">
        <v>-25</v>
      </c>
      <c r="F1942" s="731" t="n">
        <v>-4.57</v>
      </c>
      <c r="G1942" t="inlineStr">
        <is>
          <t>17.1億</t>
        </is>
      </c>
      <c r="H1942" t="n">
        <v>3244</v>
      </c>
      <c r="I1942" t="n">
        <v>3436</v>
      </c>
      <c r="J1942" t="n">
        <v>31.83</v>
      </c>
      <c r="K1942" t="n">
        <v>547</v>
      </c>
      <c r="L1942" t="n">
        <v>515</v>
      </c>
      <c r="M1942" s="155" t="n">
        <v>1.02</v>
      </c>
      <c r="N1942" t="inlineStr">
        <is>
          <t>台積電旗下影像感測器後段製程生產企業</t>
        </is>
      </c>
    </row>
    <row r="1943">
      <c r="A1943" t="n">
        <v>6790</v>
      </c>
      <c r="B1943" t="inlineStr">
        <is>
          <t>永豐實</t>
        </is>
      </c>
      <c r="C1943" t="n">
        <v>39.5</v>
      </c>
      <c r="D1943" t="n">
        <v>39.65</v>
      </c>
      <c r="E1943" s="730" t="n">
        <v>0.15</v>
      </c>
      <c r="F1943" s="731" t="n">
        <v>0.38</v>
      </c>
      <c r="G1943" t="inlineStr">
        <is>
          <t>601萬</t>
        </is>
      </c>
      <c r="H1943" t="n">
        <v>152</v>
      </c>
      <c r="I1943" t="n">
        <v>200</v>
      </c>
      <c r="J1943" t="n">
        <v>26.71</v>
      </c>
      <c r="K1943" t="n">
        <v>39.65</v>
      </c>
      <c r="L1943" t="n">
        <v>39.45</v>
      </c>
      <c r="M1943" s="155" t="n">
        <v>0.06</v>
      </c>
      <c r="N1943" t="inlineStr">
        <is>
          <t>台灣家庭用紙龍頭製造商，為永豐餘旗下子公司</t>
        </is>
      </c>
    </row>
    <row r="1944">
      <c r="A1944" t="n">
        <v>6791</v>
      </c>
      <c r="B1944" t="inlineStr">
        <is>
          <t>虎門科技</t>
        </is>
      </c>
      <c r="C1944" t="n">
        <v>125</v>
      </c>
      <c r="D1944" t="n">
        <v>119</v>
      </c>
      <c r="E1944" s="730" t="n">
        <v>-6</v>
      </c>
      <c r="F1944" s="731" t="n">
        <v>-4.8</v>
      </c>
      <c r="G1944" t="inlineStr">
        <is>
          <t>3690萬</t>
        </is>
      </c>
      <c r="H1944" t="n">
        <v>310</v>
      </c>
      <c r="I1944" t="n">
        <v>105</v>
      </c>
      <c r="J1944" t="n">
        <v>2.08</v>
      </c>
      <c r="K1944" t="n">
        <v>125</v>
      </c>
      <c r="L1944" t="n">
        <v>114</v>
      </c>
      <c r="M1944" s="155" t="n">
        <v>1.49</v>
      </c>
      <c r="N1944" t="inlineStr">
        <is>
          <t>CAE、CPC導入暨顧問諮詢服務廠</t>
        </is>
      </c>
    </row>
    <row r="1945">
      <c r="A1945" t="n">
        <v>6792</v>
      </c>
      <c r="B1945" t="inlineStr">
        <is>
          <t>詠業</t>
        </is>
      </c>
      <c r="C1945" t="n">
        <v>72</v>
      </c>
      <c r="D1945" t="n">
        <v>70</v>
      </c>
      <c r="E1945" s="730" t="n">
        <v>-2</v>
      </c>
      <c r="F1945" s="731" t="n">
        <v>-2.78</v>
      </c>
      <c r="G1945" t="inlineStr">
        <is>
          <t>1150萬</t>
        </is>
      </c>
      <c r="H1945" t="n">
        <v>163</v>
      </c>
      <c r="I1945" t="n">
        <v>319</v>
      </c>
      <c r="J1945" t="n">
        <v>4.79</v>
      </c>
      <c r="K1945" t="n">
        <v>72</v>
      </c>
      <c r="L1945" t="n">
        <v>70</v>
      </c>
      <c r="M1945" s="155" t="n">
        <v>0.34</v>
      </c>
      <c r="N1945" t="inlineStr">
        <is>
          <t>達方轉投資的天線、壓電陶瓷元件、電路保護元件廠</t>
        </is>
      </c>
    </row>
    <row r="1946">
      <c r="A1946" t="n">
        <v>6794</v>
      </c>
      <c r="B1946" t="inlineStr">
        <is>
          <t>向榮生技</t>
        </is>
      </c>
      <c r="C1946" t="n">
        <v>82</v>
      </c>
      <c r="D1946" t="n">
        <v>82.8</v>
      </c>
      <c r="E1946" s="730" t="n">
        <v>0.1</v>
      </c>
      <c r="F1946" s="731" t="n">
        <v>0.12</v>
      </c>
      <c r="G1946" t="inlineStr">
        <is>
          <t>396萬</t>
        </is>
      </c>
      <c r="H1946" t="n">
        <v>48</v>
      </c>
      <c r="I1946" t="n">
        <v>54</v>
      </c>
      <c r="J1946" t="n">
        <v>6.37</v>
      </c>
      <c r="K1946" t="n">
        <v>84.7</v>
      </c>
      <c r="L1946" t="n">
        <v>81.09999999999999</v>
      </c>
      <c r="M1946" s="155" t="n">
        <v>0.1</v>
      </c>
      <c r="N1946" t="inlineStr">
        <is>
          <t>異體脂肪幹細胞新藥研發廠</t>
        </is>
      </c>
    </row>
    <row r="1947">
      <c r="A1947" t="n">
        <v>6796</v>
      </c>
      <c r="B1947" t="inlineStr">
        <is>
          <t>晉弘</t>
        </is>
      </c>
      <c r="C1947" t="n">
        <v>62</v>
      </c>
      <c r="D1947" t="n">
        <v>60.1</v>
      </c>
      <c r="E1947" s="730" t="n">
        <v>-1.8</v>
      </c>
      <c r="F1947" s="731" t="n">
        <v>-2.91</v>
      </c>
      <c r="G1947" t="inlineStr">
        <is>
          <t>851萬</t>
        </is>
      </c>
      <c r="H1947" t="n">
        <v>139</v>
      </c>
      <c r="I1947" t="n">
        <v>122</v>
      </c>
      <c r="J1947" t="n">
        <v>4.02</v>
      </c>
      <c r="K1947" t="n">
        <v>62.7</v>
      </c>
      <c r="L1947" t="n">
        <v>60</v>
      </c>
      <c r="M1947" s="155" t="n">
        <v>0.35</v>
      </c>
      <c r="N1947" t="inlineStr">
        <is>
          <t>醫療影像診斷系統解決方案供應商</t>
        </is>
      </c>
    </row>
    <row r="1948">
      <c r="A1948" t="n">
        <v>6799</v>
      </c>
      <c r="B1948" t="inlineStr">
        <is>
          <t>來頡</t>
        </is>
      </c>
      <c r="C1948" t="n">
        <v>107.5</v>
      </c>
      <c r="D1948" t="n">
        <v>104.5</v>
      </c>
      <c r="E1948" s="730" t="n">
        <v>-3</v>
      </c>
      <c r="F1948" s="731" t="n">
        <v>-2.79</v>
      </c>
      <c r="G1948" t="inlineStr">
        <is>
          <t>1.05億</t>
        </is>
      </c>
      <c r="H1948" t="n">
        <v>1007</v>
      </c>
      <c r="I1948" t="n">
        <v>2543</v>
      </c>
      <c r="J1948" t="n">
        <v>4.37</v>
      </c>
      <c r="K1948" t="n">
        <v>107.5</v>
      </c>
      <c r="L1948" t="n">
        <v>101</v>
      </c>
      <c r="M1948" s="155" t="n">
        <v>2.31</v>
      </c>
      <c r="N1948" t="inlineStr">
        <is>
          <t>台灣一家電源管理IC供應商</t>
        </is>
      </c>
    </row>
    <row r="1949">
      <c r="A1949" t="n">
        <v>6803</v>
      </c>
      <c r="B1949" t="inlineStr">
        <is>
          <t>崑鼎</t>
        </is>
      </c>
      <c r="C1949" t="n">
        <v>286</v>
      </c>
      <c r="D1949" t="n">
        <v>286.5</v>
      </c>
      <c r="E1949" s="730" t="n">
        <v>0</v>
      </c>
      <c r="F1949" s="731" t="n">
        <v>0</v>
      </c>
      <c r="G1949" t="inlineStr">
        <is>
          <t>2884萬</t>
        </is>
      </c>
      <c r="H1949" t="n">
        <v>101</v>
      </c>
      <c r="I1949" t="n">
        <v>122</v>
      </c>
      <c r="J1949" t="n">
        <v>7.28</v>
      </c>
      <c r="K1949" t="n">
        <v>286.5</v>
      </c>
      <c r="L1949" t="n">
        <v>285</v>
      </c>
      <c r="M1949" s="155" t="n">
        <v>0.14</v>
      </c>
      <c r="N1949" t="inlineStr">
        <is>
          <t>中鼎集團旗下，台灣知名廢棄物處理、焚化爐營運商</t>
        </is>
      </c>
    </row>
    <row r="1950">
      <c r="A1950" t="n">
        <v>6804</v>
      </c>
      <c r="B1950" t="inlineStr">
        <is>
          <t>明係</t>
        </is>
      </c>
      <c r="C1950" t="n">
        <v>16</v>
      </c>
      <c r="D1950" t="n">
        <v>15.95</v>
      </c>
      <c r="E1950" s="730" t="n">
        <v>-0.15</v>
      </c>
      <c r="F1950" s="731" t="n">
        <v>-0.93</v>
      </c>
      <c r="G1950" t="inlineStr">
        <is>
          <t>78.2萬</t>
        </is>
      </c>
      <c r="H1950" t="n">
        <v>49</v>
      </c>
      <c r="I1950" t="n">
        <v>36</v>
      </c>
      <c r="J1950" t="n">
        <v>4.75</v>
      </c>
      <c r="K1950" t="n">
        <v>16.1</v>
      </c>
      <c r="L1950" t="n">
        <v>15.85</v>
      </c>
      <c r="M1950" s="155" t="n">
        <v>0.1</v>
      </c>
      <c r="N1950" t="inlineStr">
        <is>
          <t>台灣自行車OEM/ODM公司</t>
        </is>
      </c>
    </row>
    <row r="1951">
      <c r="A1951" t="n">
        <v>6805</v>
      </c>
      <c r="B1951" t="inlineStr">
        <is>
          <t>富世達</t>
        </is>
      </c>
      <c r="C1951" t="n">
        <v>2150</v>
      </c>
      <c r="D1951" t="n">
        <v>2190</v>
      </c>
      <c r="E1951" s="730" t="n">
        <v>70</v>
      </c>
      <c r="F1951" s="731" t="n">
        <v>3.3</v>
      </c>
      <c r="G1951" t="inlineStr">
        <is>
          <t>93.8億</t>
        </is>
      </c>
      <c r="H1951" t="n">
        <v>4288</v>
      </c>
      <c r="I1951" t="n">
        <v>2842</v>
      </c>
      <c r="J1951" t="n">
        <v>6.86</v>
      </c>
      <c r="K1951" t="n">
        <v>2245</v>
      </c>
      <c r="L1951" t="n">
        <v>2100</v>
      </c>
      <c r="M1951" s="155" t="n">
        <v>6.26</v>
      </c>
      <c r="N1951" t="inlineStr">
        <is>
          <t>全球精密軸承製造領導商之一</t>
        </is>
      </c>
    </row>
    <row r="1952">
      <c r="A1952" t="n">
        <v>6806</v>
      </c>
      <c r="B1952" t="inlineStr">
        <is>
          <t>森崴能源</t>
        </is>
      </c>
      <c r="C1952" t="n">
        <v>8.109999999999999</v>
      </c>
      <c r="D1952" t="n">
        <v>7.72</v>
      </c>
      <c r="E1952" s="730" t="n">
        <v>0.34</v>
      </c>
      <c r="F1952" s="731" t="n">
        <v>4.61</v>
      </c>
      <c r="G1952" t="inlineStr">
        <is>
          <t>6613萬</t>
        </is>
      </c>
      <c r="H1952" t="n">
        <v>8272</v>
      </c>
      <c r="I1952" t="n">
        <v>4885</v>
      </c>
      <c r="J1952" t="n">
        <v>27.46</v>
      </c>
      <c r="K1952" t="n">
        <v>8.109999999999999</v>
      </c>
      <c r="L1952" t="n">
        <v>7.72</v>
      </c>
      <c r="M1952" s="155" t="n">
        <v>3.01</v>
      </c>
      <c r="N1952" t="inlineStr">
        <is>
          <t>正崴集團旗下，能源工程及整合服務商</t>
        </is>
      </c>
    </row>
    <row r="1953">
      <c r="A1953" t="n">
        <v>6807</v>
      </c>
      <c r="B1953" t="inlineStr">
        <is>
          <t>峰源-KY</t>
        </is>
      </c>
      <c r="C1953" t="n">
        <v>33.05</v>
      </c>
      <c r="D1953" t="n">
        <v>33.45</v>
      </c>
      <c r="E1953" s="730" t="n">
        <v>0</v>
      </c>
      <c r="F1953" s="731" t="n">
        <v>0</v>
      </c>
      <c r="G1953" t="inlineStr">
        <is>
          <t>39.8萬</t>
        </is>
      </c>
      <c r="H1953" t="n">
        <v>12</v>
      </c>
      <c r="I1953" t="n">
        <v>20</v>
      </c>
      <c r="J1953" t="n">
        <v>5.4</v>
      </c>
      <c r="K1953" t="n">
        <v>33.5</v>
      </c>
      <c r="L1953" t="n">
        <v>33</v>
      </c>
      <c r="M1953" s="155" t="n">
        <v>0.02</v>
      </c>
      <c r="N1953" t="inlineStr">
        <is>
          <t>室內傢俱研發生產銷售商</t>
        </is>
      </c>
    </row>
    <row r="1954">
      <c r="A1954" t="n">
        <v>6811</v>
      </c>
      <c r="B1954" t="inlineStr">
        <is>
          <t>宏碁資訊</t>
        </is>
      </c>
      <c r="C1954" t="n">
        <v>240</v>
      </c>
      <c r="D1954" t="n">
        <v>245</v>
      </c>
      <c r="E1954" s="730" t="n">
        <v>9</v>
      </c>
      <c r="F1954" s="731" t="n">
        <v>3.81</v>
      </c>
      <c r="G1954" t="inlineStr">
        <is>
          <t>2.77億</t>
        </is>
      </c>
      <c r="H1954" t="n">
        <v>1132</v>
      </c>
      <c r="I1954" t="n">
        <v>276</v>
      </c>
      <c r="J1954" t="n">
        <v>4.14</v>
      </c>
      <c r="K1954" t="n">
        <v>257</v>
      </c>
      <c r="L1954" t="n">
        <v>233</v>
      </c>
      <c r="M1954" s="155" t="n">
        <v>2.73</v>
      </c>
      <c r="N1954" t="inlineStr">
        <is>
          <t>宏碁旗下，企業數位轉型服務供應商</t>
        </is>
      </c>
    </row>
    <row r="1955">
      <c r="A1955" t="n">
        <v>6821</v>
      </c>
      <c r="B1955" t="inlineStr">
        <is>
          <t>聯寶</t>
        </is>
      </c>
      <c r="C1955" t="n">
        <v>69</v>
      </c>
      <c r="D1955" t="n">
        <v>69.90000000000001</v>
      </c>
      <c r="E1955" s="730" t="n">
        <v>0.9</v>
      </c>
      <c r="F1955" s="731" t="n">
        <v>1.3</v>
      </c>
      <c r="G1955" t="inlineStr">
        <is>
          <t>3607萬</t>
        </is>
      </c>
      <c r="H1955" t="n">
        <v>513</v>
      </c>
      <c r="I1955" t="n">
        <v>4474</v>
      </c>
      <c r="J1955" t="n">
        <v>3.29</v>
      </c>
      <c r="K1955" t="n">
        <v>71.8</v>
      </c>
      <c r="L1955" t="n">
        <v>68.90000000000001</v>
      </c>
      <c r="M1955" s="155" t="n">
        <v>1.56</v>
      </c>
      <c r="N1955" t="inlineStr">
        <is>
          <t>主要從事變壓器及電感器等磁性元件製造</t>
        </is>
      </c>
    </row>
    <row r="1956">
      <c r="A1956" t="n">
        <v>6823</v>
      </c>
      <c r="B1956" t="inlineStr">
        <is>
          <t>濾能</t>
        </is>
      </c>
      <c r="C1956" t="n">
        <v>74.40000000000001</v>
      </c>
      <c r="D1956" t="n">
        <v>73.90000000000001</v>
      </c>
      <c r="E1956" s="730" t="n">
        <v>-0.1</v>
      </c>
      <c r="F1956" s="731" t="n">
        <v>-0.14</v>
      </c>
      <c r="G1956" t="inlineStr">
        <is>
          <t>1182萬</t>
        </is>
      </c>
      <c r="H1956" t="n">
        <v>162</v>
      </c>
      <c r="I1956" t="n">
        <v>306</v>
      </c>
      <c r="J1956" t="n">
        <v>3.05</v>
      </c>
      <c r="K1956" t="n">
        <v>74.40000000000001</v>
      </c>
      <c r="L1956" t="n">
        <v>71.8</v>
      </c>
      <c r="M1956" s="155" t="n">
        <v>0.53</v>
      </c>
      <c r="N1956" t="inlineStr">
        <is>
          <t>半導體先進製程關鍵耗材供應商</t>
        </is>
      </c>
    </row>
    <row r="1957">
      <c r="A1957" t="n">
        <v>6829</v>
      </c>
      <c r="B1957" t="inlineStr">
        <is>
          <t>千附精密</t>
        </is>
      </c>
      <c r="C1957" t="n">
        <v>249</v>
      </c>
      <c r="D1957" t="n">
        <v>225</v>
      </c>
      <c r="E1957" s="730" t="n">
        <v>-20.5</v>
      </c>
      <c r="F1957" s="731" t="n">
        <v>-8.35</v>
      </c>
      <c r="G1957" t="inlineStr">
        <is>
          <t>7.08億</t>
        </is>
      </c>
      <c r="H1957" t="n">
        <v>3084</v>
      </c>
      <c r="I1957" t="n">
        <v>714</v>
      </c>
      <c r="J1957" t="n">
        <v>5.92</v>
      </c>
      <c r="K1957" t="n">
        <v>250</v>
      </c>
      <c r="L1957" t="n">
        <v>221</v>
      </c>
      <c r="M1957" s="155" t="n">
        <v>5.21</v>
      </c>
      <c r="N1957" t="inlineStr">
        <is>
          <t>精密零組件整合及半導體關鍵零組件製造商</t>
        </is>
      </c>
    </row>
    <row r="1958">
      <c r="A1958" t="n">
        <v>6830</v>
      </c>
      <c r="B1958" t="inlineStr">
        <is>
          <t>汎銓</t>
        </is>
      </c>
      <c r="C1958" t="n">
        <v>696</v>
      </c>
      <c r="D1958" t="n">
        <v>661</v>
      </c>
      <c r="E1958" s="730" t="n">
        <v>-22</v>
      </c>
      <c r="F1958" s="731" t="n">
        <v>-3.22</v>
      </c>
      <c r="G1958" t="inlineStr">
        <is>
          <t>10.7億</t>
        </is>
      </c>
      <c r="H1958" t="n">
        <v>1568</v>
      </c>
      <c r="I1958" t="n">
        <v>2345</v>
      </c>
      <c r="J1958" t="n">
        <v>5.34</v>
      </c>
      <c r="K1958" t="n">
        <v>704</v>
      </c>
      <c r="L1958" t="n">
        <v>660</v>
      </c>
      <c r="M1958" s="155" t="n">
        <v>3.03</v>
      </c>
      <c r="N1958" t="inlineStr">
        <is>
          <t>半導體材料分析服務龍頭</t>
        </is>
      </c>
    </row>
    <row r="1959">
      <c r="A1959" t="n">
        <v>6831</v>
      </c>
      <c r="B1959" t="inlineStr">
        <is>
          <t>邁科</t>
        </is>
      </c>
      <c r="C1959" t="n">
        <v>755</v>
      </c>
      <c r="D1959" t="n">
        <v>686</v>
      </c>
      <c r="E1959" s="730" t="n">
        <v>-76</v>
      </c>
      <c r="F1959" s="731" t="n">
        <v>-9.970000000000001</v>
      </c>
      <c r="G1959" t="inlineStr">
        <is>
          <t>22.8億</t>
        </is>
      </c>
      <c r="H1959" t="n">
        <v>3217</v>
      </c>
      <c r="I1959" t="n">
        <v>1385</v>
      </c>
      <c r="J1959" t="n">
        <v>6.75</v>
      </c>
      <c r="K1959" t="n">
        <v>755</v>
      </c>
      <c r="L1959" t="n">
        <v>686</v>
      </c>
      <c r="M1959" s="155" t="n">
        <v>4.77</v>
      </c>
      <c r="N1959" t="inlineStr">
        <is>
          <t>均溫板等散熱零組件及模組生產商</t>
        </is>
      </c>
    </row>
    <row r="1960">
      <c r="A1960" t="n">
        <v>6834</v>
      </c>
      <c r="B1960" t="inlineStr">
        <is>
          <t>天二科技</t>
        </is>
      </c>
      <c r="C1960" t="n">
        <v>72.5</v>
      </c>
      <c r="D1960" t="n">
        <v>73</v>
      </c>
      <c r="E1960" s="730" t="n">
        <v>-4</v>
      </c>
      <c r="F1960" s="731" t="n">
        <v>-5.19</v>
      </c>
      <c r="G1960" t="inlineStr">
        <is>
          <t>7747萬</t>
        </is>
      </c>
      <c r="H1960" t="n">
        <v>1067</v>
      </c>
      <c r="I1960" t="n">
        <v>1696</v>
      </c>
      <c r="J1960" t="n">
        <v>8.85</v>
      </c>
      <c r="K1960" t="n">
        <v>77.5</v>
      </c>
      <c r="L1960" t="n">
        <v>71</v>
      </c>
      <c r="M1960" s="155" t="n">
        <v>1.21</v>
      </c>
      <c r="N1960" t="inlineStr">
        <is>
          <t>被動元件貼片電阻製造商</t>
        </is>
      </c>
    </row>
    <row r="1961">
      <c r="A1961" t="n">
        <v>6835</v>
      </c>
      <c r="B1961" t="inlineStr">
        <is>
          <t>圓裕</t>
        </is>
      </c>
      <c r="C1961" t="n">
        <v>38.2</v>
      </c>
      <c r="D1961" t="n">
        <v>37.75</v>
      </c>
      <c r="E1961" s="730" t="n">
        <v>-0.45</v>
      </c>
      <c r="F1961" s="731" t="n">
        <v>-1.18</v>
      </c>
      <c r="G1961" t="inlineStr">
        <is>
          <t>804萬</t>
        </is>
      </c>
      <c r="H1961" t="n">
        <v>213</v>
      </c>
      <c r="I1961" t="n">
        <v>615</v>
      </c>
      <c r="J1961" t="n">
        <v>6.62</v>
      </c>
      <c r="K1961" t="n">
        <v>38.35</v>
      </c>
      <c r="L1961" t="n">
        <v>37.2</v>
      </c>
      <c r="M1961" s="155" t="n">
        <v>0.32</v>
      </c>
      <c r="N1961" t="inlineStr">
        <is>
          <t>台灣軟板及連接線組製造商</t>
        </is>
      </c>
    </row>
    <row r="1962">
      <c r="A1962" t="n">
        <v>6838</v>
      </c>
      <c r="B1962" t="inlineStr">
        <is>
          <t>台新藥</t>
        </is>
      </c>
      <c r="C1962" t="n">
        <v>25.45</v>
      </c>
      <c r="D1962" t="n">
        <v>25.85</v>
      </c>
      <c r="E1962" s="730" t="n">
        <v>0.7</v>
      </c>
      <c r="F1962" s="731" t="n">
        <v>2.78</v>
      </c>
      <c r="G1962" t="inlineStr">
        <is>
          <t>735萬</t>
        </is>
      </c>
      <c r="H1962" t="n">
        <v>283</v>
      </c>
      <c r="I1962" t="n">
        <v>189</v>
      </c>
      <c r="J1962" t="n">
        <v>15.1</v>
      </c>
      <c r="K1962" t="n">
        <v>26.75</v>
      </c>
      <c r="L1962" t="n">
        <v>25.4</v>
      </c>
      <c r="M1962" s="155" t="n">
        <v>0.19</v>
      </c>
      <c r="N1962" t="inlineStr">
        <is>
          <t>台耀旗下眼科、腫瘤和抗感染藥研發廠</t>
        </is>
      </c>
    </row>
    <row r="1963">
      <c r="A1963" t="n">
        <v>6840</v>
      </c>
      <c r="B1963" t="inlineStr">
        <is>
          <t>東研信超</t>
        </is>
      </c>
      <c r="C1963" t="n">
        <v>71.90000000000001</v>
      </c>
      <c r="D1963" t="n">
        <v>71.90000000000001</v>
      </c>
      <c r="E1963" s="730" t="n">
        <v>6.5</v>
      </c>
      <c r="F1963" s="731" t="n">
        <v>9.94</v>
      </c>
      <c r="G1963" t="inlineStr">
        <is>
          <t>2092萬</t>
        </is>
      </c>
      <c r="H1963" t="n">
        <v>291</v>
      </c>
      <c r="I1963" t="n">
        <v>129</v>
      </c>
      <c r="J1963" t="n">
        <v>3.08</v>
      </c>
      <c r="K1963" t="n">
        <v>71.90000000000001</v>
      </c>
      <c r="L1963" t="n">
        <v>71.90000000000001</v>
      </c>
      <c r="M1963" s="155" t="n">
        <v>0.95</v>
      </c>
      <c r="N1963" t="inlineStr">
        <is>
          <t>電子設備及電子產品的測試技術服務商</t>
        </is>
      </c>
    </row>
    <row r="1964">
      <c r="A1964" t="n">
        <v>6841</v>
      </c>
      <c r="B1964" t="inlineStr">
        <is>
          <t>長佳智能</t>
        </is>
      </c>
      <c r="C1964" t="n">
        <v>57.5</v>
      </c>
      <c r="D1964" t="n">
        <v>56.3</v>
      </c>
      <c r="E1964" s="730" t="n">
        <v>-0.1</v>
      </c>
      <c r="F1964" s="731" t="n">
        <v>-0.18</v>
      </c>
      <c r="G1964" t="inlineStr">
        <is>
          <t>1785萬</t>
        </is>
      </c>
      <c r="H1964" t="n">
        <v>317</v>
      </c>
      <c r="I1964" t="n">
        <v>411</v>
      </c>
      <c r="J1964" t="n">
        <v>9.52</v>
      </c>
      <c r="K1964" t="n">
        <v>57.5</v>
      </c>
      <c r="L1964" t="n">
        <v>55.9</v>
      </c>
      <c r="M1964" s="155" t="n">
        <v>0.33</v>
      </c>
      <c r="N1964" t="inlineStr">
        <is>
          <t>電腦分析輔助診斷系統供應商</t>
        </is>
      </c>
    </row>
    <row r="1965">
      <c r="A1965" t="n">
        <v>6843</v>
      </c>
      <c r="B1965" t="inlineStr">
        <is>
          <t>進典</t>
        </is>
      </c>
      <c r="C1965" t="n">
        <v>40.8</v>
      </c>
      <c r="D1965" t="n">
        <v>40.8</v>
      </c>
      <c r="E1965" s="730" t="n">
        <v>-0.1</v>
      </c>
      <c r="F1965" s="731" t="n">
        <v>-0.24</v>
      </c>
      <c r="G1965" t="inlineStr">
        <is>
          <t>81.7萬</t>
        </is>
      </c>
      <c r="H1965" t="n">
        <v>20</v>
      </c>
      <c r="I1965" t="n">
        <v>31</v>
      </c>
      <c r="J1965" t="n">
        <v>3.33</v>
      </c>
      <c r="K1965" t="n">
        <v>41</v>
      </c>
      <c r="L1965" t="n">
        <v>40.65</v>
      </c>
      <c r="M1965" s="155" t="n">
        <v>0.06</v>
      </c>
      <c r="N1965" t="inlineStr">
        <is>
          <t>高階工業閥門製造商</t>
        </is>
      </c>
    </row>
    <row r="1966">
      <c r="A1966" t="n">
        <v>6844</v>
      </c>
      <c r="B1966" t="inlineStr">
        <is>
          <t>諾貝兒</t>
        </is>
      </c>
      <c r="C1966" t="n">
        <v>63.5</v>
      </c>
      <c r="D1966" t="n">
        <v>64.09999999999999</v>
      </c>
      <c r="E1966" s="730" t="n">
        <v>-0.4</v>
      </c>
      <c r="F1966" s="731" t="n">
        <v>-0.62</v>
      </c>
      <c r="G1966" t="inlineStr">
        <is>
          <t>261萬</t>
        </is>
      </c>
      <c r="H1966" t="n">
        <v>41</v>
      </c>
      <c r="I1966" t="n">
        <v>32</v>
      </c>
      <c r="J1966" t="n">
        <v>3.74</v>
      </c>
      <c r="K1966" t="n">
        <v>64.09999999999999</v>
      </c>
      <c r="L1966" t="n">
        <v>63.1</v>
      </c>
      <c r="M1966" s="155" t="n">
        <v>0.11</v>
      </c>
      <c r="N1966" t="inlineStr">
        <is>
          <t>以「丁丁藥局」為品牌之連鎖藥妝及藥局通路業者</t>
        </is>
      </c>
    </row>
    <row r="1967">
      <c r="A1967" t="n">
        <v>6846</v>
      </c>
      <c r="B1967" t="inlineStr">
        <is>
          <t>綠茵</t>
        </is>
      </c>
      <c r="C1967" t="n">
        <v>66.8</v>
      </c>
      <c r="D1967" t="n">
        <v>67.09999999999999</v>
      </c>
      <c r="E1967" s="730" t="n">
        <v>-0.2</v>
      </c>
      <c r="F1967" s="731" t="n">
        <v>-0.3</v>
      </c>
      <c r="G1967" t="inlineStr">
        <is>
          <t>80.1萬</t>
        </is>
      </c>
      <c r="H1967" t="n">
        <v>12</v>
      </c>
      <c r="I1967" t="n">
        <v>23</v>
      </c>
      <c r="J1967" t="n">
        <v>2.71</v>
      </c>
      <c r="K1967" t="n">
        <v>67.09999999999999</v>
      </c>
      <c r="L1967" t="n">
        <v>66.5</v>
      </c>
      <c r="M1967" s="155" t="n">
        <v>0.04</v>
      </c>
      <c r="N1967" t="inlineStr">
        <is>
          <t>台灣保健食品原料製造商</t>
        </is>
      </c>
    </row>
    <row r="1968">
      <c r="A1968" t="n">
        <v>6855</v>
      </c>
      <c r="B1968" t="inlineStr">
        <is>
          <t>數泓科</t>
        </is>
      </c>
      <c r="C1968" t="n">
        <v>129</v>
      </c>
      <c r="D1968" t="n">
        <v>129</v>
      </c>
      <c r="E1968" s="730" t="n">
        <v>11.5</v>
      </c>
      <c r="F1968" s="731" t="n">
        <v>9.789999999999999</v>
      </c>
      <c r="G1968" t="inlineStr">
        <is>
          <t>632萬</t>
        </is>
      </c>
      <c r="H1968" t="n">
        <v>49</v>
      </c>
      <c r="I1968" t="n">
        <v>25</v>
      </c>
      <c r="J1968" t="n">
        <v>2.32</v>
      </c>
      <c r="K1968" t="n">
        <v>129</v>
      </c>
      <c r="L1968" t="n">
        <v>129</v>
      </c>
      <c r="M1968" s="155" t="n">
        <v>0.21</v>
      </c>
      <c r="N1968" t="inlineStr">
        <is>
          <t>台灣數位手工具領導者</t>
        </is>
      </c>
    </row>
    <row r="1969">
      <c r="A1969" t="n">
        <v>6856</v>
      </c>
      <c r="B1969" t="inlineStr">
        <is>
          <t>鑫傳</t>
        </is>
      </c>
      <c r="C1969" t="n">
        <v>49.3</v>
      </c>
      <c r="D1969" t="n">
        <v>50</v>
      </c>
      <c r="E1969" s="730" t="n">
        <v>0.7</v>
      </c>
      <c r="F1969" s="731" t="n">
        <v>1.42</v>
      </c>
      <c r="G1969" t="inlineStr">
        <is>
          <t>29.5萬</t>
        </is>
      </c>
      <c r="H1969" t="n">
        <v>6</v>
      </c>
      <c r="I1969" t="n">
        <v>4</v>
      </c>
      <c r="J1969" t="n">
        <v>2.82</v>
      </c>
      <c r="K1969" t="n">
        <v>50</v>
      </c>
      <c r="L1969" t="n">
        <v>49</v>
      </c>
      <c r="M1969" s="155" t="n">
        <v>0.02</v>
      </c>
      <c r="N1969" t="inlineStr">
        <is>
          <t>台數科轉投資衛星電視台、節目製作、電視購物公司</t>
        </is>
      </c>
    </row>
    <row r="1970">
      <c r="A1970" t="n">
        <v>6859</v>
      </c>
      <c r="B1970" t="inlineStr">
        <is>
          <t>伯特光</t>
        </is>
      </c>
      <c r="C1970" t="n">
        <v>131</v>
      </c>
      <c r="D1970" t="n">
        <v>128.5</v>
      </c>
      <c r="E1970" s="730" t="n">
        <v>-3.5</v>
      </c>
      <c r="F1970" s="731" t="n">
        <v>-2.65</v>
      </c>
      <c r="G1970" t="inlineStr">
        <is>
          <t>3353萬</t>
        </is>
      </c>
      <c r="H1970" t="n">
        <v>260</v>
      </c>
      <c r="I1970" t="n">
        <v>228</v>
      </c>
      <c r="J1970" t="n">
        <v>4.16</v>
      </c>
      <c r="K1970" t="n">
        <v>134.5</v>
      </c>
      <c r="L1970" t="n">
        <v>126</v>
      </c>
      <c r="M1970" s="155" t="n">
        <v>0.63</v>
      </c>
      <c r="N1970" t="inlineStr">
        <is>
          <t>台灣精密光學鏡片模具大廠</t>
        </is>
      </c>
    </row>
    <row r="1971">
      <c r="A1971" t="n">
        <v>6861</v>
      </c>
      <c r="B1971" t="inlineStr">
        <is>
          <t>睿生光電</t>
        </is>
      </c>
      <c r="C1971" t="n">
        <v>390</v>
      </c>
      <c r="D1971" t="n">
        <v>370</v>
      </c>
      <c r="E1971" s="730" t="n">
        <v>-26</v>
      </c>
      <c r="F1971" s="731" t="n">
        <v>-6.57</v>
      </c>
      <c r="G1971" t="inlineStr">
        <is>
          <t>11.0億</t>
        </is>
      </c>
      <c r="H1971" t="n">
        <v>2988</v>
      </c>
      <c r="I1971" t="n">
        <v>2205</v>
      </c>
      <c r="J1971" t="n">
        <v>4.16</v>
      </c>
      <c r="K1971" t="n">
        <v>395.5</v>
      </c>
      <c r="L1971" t="n">
        <v>356.5</v>
      </c>
      <c r="M1971" s="155" t="n">
        <v>7.18</v>
      </c>
      <c r="N1971" t="inlineStr">
        <is>
          <t>經營X光平板感測器產品</t>
        </is>
      </c>
    </row>
    <row r="1972">
      <c r="A1972" t="n">
        <v>6862</v>
      </c>
      <c r="B1972" t="inlineStr">
        <is>
          <t>三集瑞-KY</t>
        </is>
      </c>
      <c r="C1972" t="n">
        <v>211.5</v>
      </c>
      <c r="D1972" t="n">
        <v>199.5</v>
      </c>
      <c r="E1972" s="730" t="n">
        <v>-14.5</v>
      </c>
      <c r="F1972" s="731" t="n">
        <v>-6.78</v>
      </c>
      <c r="G1972" t="inlineStr">
        <is>
          <t>5.03億</t>
        </is>
      </c>
      <c r="H1972" t="n">
        <v>2522</v>
      </c>
      <c r="I1972" t="n">
        <v>2706</v>
      </c>
      <c r="J1972" t="n">
        <v>5</v>
      </c>
      <c r="K1972" t="n">
        <v>215</v>
      </c>
      <c r="L1972" t="n">
        <v>193.5</v>
      </c>
      <c r="M1972" s="155" t="n">
        <v>5.04</v>
      </c>
      <c r="N1972" t="inlineStr">
        <is>
          <t>台灣領先的電感器製造商之一</t>
        </is>
      </c>
    </row>
    <row r="1973">
      <c r="A1973" t="n">
        <v>6863</v>
      </c>
      <c r="B1973" t="inlineStr">
        <is>
          <t>永道-KY</t>
        </is>
      </c>
      <c r="C1973" t="n">
        <v>110.5</v>
      </c>
      <c r="D1973" t="n">
        <v>110</v>
      </c>
      <c r="E1973" s="730" t="n">
        <v>-0.5</v>
      </c>
      <c r="F1973" s="731" t="n">
        <v>-0.45</v>
      </c>
      <c r="G1973" t="inlineStr">
        <is>
          <t>1323萬</t>
        </is>
      </c>
      <c r="H1973" t="n">
        <v>121</v>
      </c>
      <c r="I1973" t="n">
        <v>126</v>
      </c>
      <c r="J1973" t="n">
        <v>7.49</v>
      </c>
      <c r="K1973" t="n">
        <v>112</v>
      </c>
      <c r="L1973" t="n">
        <v>107.5</v>
      </c>
      <c r="M1973" s="155" t="n">
        <v>0.16</v>
      </c>
      <c r="N1973" t="inlineStr">
        <is>
          <t>永豐餘旗下RFID標籤ODM廠</t>
        </is>
      </c>
    </row>
    <row r="1974">
      <c r="A1974" t="n">
        <v>6865</v>
      </c>
      <c r="B1974" t="inlineStr">
        <is>
          <t>偉康科技</t>
        </is>
      </c>
      <c r="C1974" t="n">
        <v>26.05</v>
      </c>
      <c r="D1974" t="n">
        <v>26.5</v>
      </c>
      <c r="E1974" s="730" t="n">
        <v>0.5</v>
      </c>
      <c r="F1974" s="731" t="n">
        <v>1.92</v>
      </c>
      <c r="G1974" t="inlineStr">
        <is>
          <t>183萬</t>
        </is>
      </c>
      <c r="H1974" t="n">
        <v>69</v>
      </c>
      <c r="I1974" t="n">
        <v>37</v>
      </c>
      <c r="J1974" t="n">
        <v>1.58</v>
      </c>
      <c r="K1974" t="n">
        <v>28</v>
      </c>
      <c r="L1974" t="n">
        <v>26</v>
      </c>
      <c r="M1974" s="155" t="n">
        <v>0.44</v>
      </c>
      <c r="N1974" t="inlineStr">
        <is>
          <t>金融業數位轉型解決方案供應商</t>
        </is>
      </c>
    </row>
    <row r="1975">
      <c r="A1975" t="n">
        <v>6869</v>
      </c>
      <c r="B1975" t="inlineStr">
        <is>
          <t>雲豹能源</t>
        </is>
      </c>
      <c r="C1975" t="n">
        <v>85.2</v>
      </c>
      <c r="D1975" t="n">
        <v>84.40000000000001</v>
      </c>
      <c r="E1975" s="730" t="n">
        <v>-0.9</v>
      </c>
      <c r="F1975" s="731" t="n">
        <v>-1.06</v>
      </c>
      <c r="G1975" t="inlineStr">
        <is>
          <t>7059萬</t>
        </is>
      </c>
      <c r="H1975" t="n">
        <v>839</v>
      </c>
      <c r="I1975" t="n">
        <v>1038</v>
      </c>
      <c r="J1975" t="n">
        <v>13.78</v>
      </c>
      <c r="K1975" t="n">
        <v>85.3</v>
      </c>
      <c r="L1975" t="n">
        <v>83.59999999999999</v>
      </c>
      <c r="M1975" s="155" t="n">
        <v>0.61</v>
      </c>
      <c r="N1975" t="inlineStr">
        <is>
          <t>再生能源一站式整合服務商</t>
        </is>
      </c>
    </row>
    <row r="1976">
      <c r="A1976" t="n">
        <v>6870</v>
      </c>
      <c r="B1976" t="inlineStr">
        <is>
          <t>騰雲</t>
        </is>
      </c>
      <c r="C1976" t="n">
        <v>321.5</v>
      </c>
      <c r="D1976" t="n">
        <v>321.5</v>
      </c>
      <c r="E1976" s="730" t="n">
        <v>29</v>
      </c>
      <c r="F1976" s="731" t="n">
        <v>9.91</v>
      </c>
      <c r="G1976" t="inlineStr">
        <is>
          <t>6044萬</t>
        </is>
      </c>
      <c r="H1976" t="n">
        <v>188</v>
      </c>
      <c r="I1976" t="n">
        <v>309</v>
      </c>
      <c r="J1976" t="n">
        <v>2.34</v>
      </c>
      <c r="K1976" t="n">
        <v>321.5</v>
      </c>
      <c r="L1976" t="n">
        <v>321.5</v>
      </c>
      <c r="M1976" s="155" t="n">
        <v>0.8</v>
      </c>
      <c r="N1976" t="inlineStr">
        <is>
          <t>台灣專業零售業一站式解決方案提供商</t>
        </is>
      </c>
    </row>
    <row r="1977">
      <c r="A1977" t="n">
        <v>6872</v>
      </c>
      <c r="B1977" t="inlineStr">
        <is>
          <t>浩宇生醫</t>
        </is>
      </c>
      <c r="C1977" t="n">
        <v>17.1</v>
      </c>
      <c r="D1977" t="n">
        <v>17.3</v>
      </c>
      <c r="E1977" s="730" t="n">
        <v>0.2</v>
      </c>
      <c r="F1977" s="731" t="n">
        <v>1.17</v>
      </c>
      <c r="G1977" t="inlineStr">
        <is>
          <t>75.1萬</t>
        </is>
      </c>
      <c r="H1977" t="n">
        <v>44</v>
      </c>
      <c r="I1977" t="n">
        <v>56</v>
      </c>
      <c r="J1977" t="n">
        <v>7.08</v>
      </c>
      <c r="K1977" t="n">
        <v>17.3</v>
      </c>
      <c r="L1977" t="n">
        <v>17</v>
      </c>
      <c r="M1977" s="155" t="n">
        <v>0.06</v>
      </c>
      <c r="N1977" t="inlineStr">
        <is>
          <t>聚焦式超音波及治療導引追蹤系統研發廠</t>
        </is>
      </c>
    </row>
    <row r="1978">
      <c r="A1978" t="n">
        <v>6873</v>
      </c>
      <c r="B1978" t="inlineStr">
        <is>
          <t>泓德能源</t>
        </is>
      </c>
      <c r="C1978" t="n">
        <v>90.3</v>
      </c>
      <c r="D1978" t="n">
        <v>90.2</v>
      </c>
      <c r="E1978" s="730" t="n">
        <v>0</v>
      </c>
      <c r="F1978" s="731" t="n">
        <v>0</v>
      </c>
      <c r="G1978" t="inlineStr">
        <is>
          <t>3606萬</t>
        </is>
      </c>
      <c r="H1978" t="n">
        <v>403</v>
      </c>
      <c r="I1978" t="n">
        <v>1014</v>
      </c>
      <c r="J1978" t="n">
        <v>14.26</v>
      </c>
      <c r="K1978" t="n">
        <v>90.3</v>
      </c>
      <c r="L1978" t="n">
        <v>89</v>
      </c>
      <c r="M1978" s="155" t="n">
        <v>0.28</v>
      </c>
      <c r="N1978" t="inlineStr">
        <is>
          <t>太陽能系統整合商</t>
        </is>
      </c>
    </row>
    <row r="1979">
      <c r="A1979" t="n">
        <v>6874</v>
      </c>
      <c r="B1979" t="inlineStr">
        <is>
          <t>倍力</t>
        </is>
      </c>
      <c r="C1979" t="n">
        <v>83</v>
      </c>
      <c r="D1979" t="n">
        <v>83.3</v>
      </c>
      <c r="E1979" s="730" t="n">
        <v>1.3</v>
      </c>
      <c r="F1979" s="731" t="n">
        <v>1.59</v>
      </c>
      <c r="G1979" t="inlineStr">
        <is>
          <t>1164萬</t>
        </is>
      </c>
      <c r="H1979" t="n">
        <v>139</v>
      </c>
      <c r="I1979" t="n">
        <v>66</v>
      </c>
      <c r="J1979" t="n">
        <v>2.2</v>
      </c>
      <c r="K1979" t="n">
        <v>86</v>
      </c>
      <c r="L1979" t="n">
        <v>82</v>
      </c>
      <c r="M1979" s="155" t="n">
        <v>0.63</v>
      </c>
      <c r="N1979" t="inlineStr">
        <is>
          <t>資通轉投資之企業軟體代理及開發廠</t>
        </is>
      </c>
    </row>
    <row r="1980">
      <c r="A1980" t="n">
        <v>6875</v>
      </c>
      <c r="B1980" t="inlineStr">
        <is>
          <t>國邑*</t>
        </is>
      </c>
      <c r="C1980" t="n">
        <v>35.55</v>
      </c>
      <c r="D1980" t="n">
        <v>35</v>
      </c>
      <c r="E1980" s="730" t="n">
        <v>-0.6</v>
      </c>
      <c r="F1980" s="731" t="n">
        <v>-1.69</v>
      </c>
      <c r="G1980" t="inlineStr">
        <is>
          <t>447萬</t>
        </is>
      </c>
      <c r="H1980" t="n">
        <v>127</v>
      </c>
      <c r="I1980" t="n">
        <v>147</v>
      </c>
      <c r="J1980" t="n">
        <v>6.46</v>
      </c>
      <c r="K1980" t="n">
        <v>36</v>
      </c>
      <c r="L1980" t="n">
        <v>35</v>
      </c>
      <c r="M1980" s="155" t="n">
        <v>0.1</v>
      </c>
      <c r="N1980" t="inlineStr">
        <is>
          <t>脂質體緩釋劑型肺高壓治療藥物研發廠</t>
        </is>
      </c>
    </row>
    <row r="1981">
      <c r="A1981" t="n">
        <v>6877</v>
      </c>
      <c r="B1981" t="inlineStr">
        <is>
          <t>鏵友益</t>
        </is>
      </c>
      <c r="C1981" t="n">
        <v>162</v>
      </c>
      <c r="D1981" t="n">
        <v>158</v>
      </c>
      <c r="E1981" s="730" t="n">
        <v>-4</v>
      </c>
      <c r="F1981" s="731" t="n">
        <v>-2.47</v>
      </c>
      <c r="G1981" t="inlineStr">
        <is>
          <t>5197萬</t>
        </is>
      </c>
      <c r="H1981" t="n">
        <v>333</v>
      </c>
      <c r="I1981" t="n">
        <v>634</v>
      </c>
      <c r="J1981" t="n">
        <v>4.7</v>
      </c>
      <c r="K1981" t="n">
        <v>162</v>
      </c>
      <c r="L1981" t="n">
        <v>152.5</v>
      </c>
      <c r="M1981" s="155" t="n">
        <v>0.71</v>
      </c>
      <c r="N1981" t="inlineStr">
        <is>
          <t>國內半導體及光電產業之檢測功能自動化設備供應商</t>
        </is>
      </c>
    </row>
    <row r="1982">
      <c r="A1982" t="n">
        <v>6881</v>
      </c>
      <c r="B1982" t="inlineStr">
        <is>
          <t>潤德</t>
        </is>
      </c>
      <c r="C1982" t="n">
        <v>259.5</v>
      </c>
      <c r="D1982" t="n">
        <v>268.5</v>
      </c>
      <c r="E1982" s="730" t="n">
        <v>1.5</v>
      </c>
      <c r="F1982" s="731" t="n">
        <v>0.5600000000000001</v>
      </c>
      <c r="G1982" t="inlineStr">
        <is>
          <t>611萬</t>
        </is>
      </c>
      <c r="H1982" t="n">
        <v>23</v>
      </c>
      <c r="I1982" t="n">
        <v>8</v>
      </c>
      <c r="J1982" t="n">
        <v>1.5</v>
      </c>
      <c r="K1982" t="n">
        <v>268.5</v>
      </c>
      <c r="L1982" t="n">
        <v>259.5</v>
      </c>
      <c r="M1982" s="155" t="n">
        <v>0.15</v>
      </c>
      <c r="N1982" t="inlineStr">
        <is>
          <t>潤泰材旗下室內裝修設計公司</t>
        </is>
      </c>
    </row>
    <row r="1983">
      <c r="A1983" t="n">
        <v>6884</v>
      </c>
      <c r="B1983" t="inlineStr">
        <is>
          <t>海柏特</t>
        </is>
      </c>
      <c r="C1983" t="n">
        <v>33.3</v>
      </c>
      <c r="D1983" t="n">
        <v>33.5</v>
      </c>
      <c r="E1983" s="730" t="n">
        <v>0.15</v>
      </c>
      <c r="F1983" s="731" t="n">
        <v>0.45</v>
      </c>
      <c r="G1983" t="inlineStr">
        <is>
          <t>80.2萬</t>
        </is>
      </c>
      <c r="H1983" t="n">
        <v>24</v>
      </c>
      <c r="I1983" t="n">
        <v>10</v>
      </c>
      <c r="J1983" t="n">
        <v>1.84</v>
      </c>
      <c r="K1983" t="n">
        <v>33.7</v>
      </c>
      <c r="L1983" t="n">
        <v>33.3</v>
      </c>
      <c r="M1983" s="155" t="n">
        <v>0.13</v>
      </c>
      <c r="N1983" t="inlineStr">
        <is>
          <t>宏碁旗下資訊產品售後服務提供商</t>
        </is>
      </c>
    </row>
    <row r="1984">
      <c r="A1984" t="n">
        <v>6885</v>
      </c>
      <c r="B1984" t="inlineStr">
        <is>
          <t>全福生技</t>
        </is>
      </c>
      <c r="C1984" t="n">
        <v>22.4</v>
      </c>
      <c r="D1984" t="n">
        <v>24.55</v>
      </c>
      <c r="E1984" s="730" t="n">
        <v>2.2</v>
      </c>
      <c r="F1984" s="731" t="n">
        <v>9.84</v>
      </c>
      <c r="G1984" t="inlineStr">
        <is>
          <t>2551萬</t>
        </is>
      </c>
      <c r="H1984" t="n">
        <v>1078</v>
      </c>
      <c r="I1984" t="n">
        <v>539</v>
      </c>
      <c r="J1984" t="n">
        <v>13.3</v>
      </c>
      <c r="K1984" t="n">
        <v>24.55</v>
      </c>
      <c r="L1984" t="n">
        <v>22.35</v>
      </c>
      <c r="M1984" s="155" t="n">
        <v>0.8100000000000001</v>
      </c>
      <c r="N1984" t="inlineStr">
        <is>
          <t>眼科疾病治療藥物研發廠</t>
        </is>
      </c>
    </row>
    <row r="1985">
      <c r="A1985" t="n">
        <v>6887</v>
      </c>
      <c r="B1985" t="inlineStr">
        <is>
          <t>寶綠特-KY</t>
        </is>
      </c>
      <c r="C1985" t="n">
        <v>36.95</v>
      </c>
      <c r="D1985" t="n">
        <v>36</v>
      </c>
      <c r="E1985" s="730" t="n">
        <v>-0.95</v>
      </c>
      <c r="F1985" s="731" t="n">
        <v>-2.57</v>
      </c>
      <c r="G1985" t="inlineStr">
        <is>
          <t>7.29萬</t>
        </is>
      </c>
      <c r="H1985" t="n">
        <v>2</v>
      </c>
      <c r="I1985" t="n">
        <v>69</v>
      </c>
      <c r="J1985" t="n">
        <v>7.42</v>
      </c>
      <c r="K1985" t="n">
        <v>36.95</v>
      </c>
      <c r="L1985" t="n">
        <v>36</v>
      </c>
      <c r="M1985" s="155" t="n">
        <v>0</v>
      </c>
      <c r="N1985" t="inlineStr">
        <is>
          <t>再生聚酯產業鍊資源與技術整合者</t>
        </is>
      </c>
    </row>
    <row r="1986">
      <c r="A1986" t="n">
        <v>6890</v>
      </c>
      <c r="B1986" t="inlineStr">
        <is>
          <t>來億-KY</t>
        </is>
      </c>
      <c r="C1986" t="n">
        <v>177.5</v>
      </c>
      <c r="D1986" t="n">
        <v>191.5</v>
      </c>
      <c r="E1986" s="730" t="n">
        <v>17</v>
      </c>
      <c r="F1986" s="731" t="n">
        <v>9.74</v>
      </c>
      <c r="G1986" t="inlineStr">
        <is>
          <t>4.57億</t>
        </is>
      </c>
      <c r="H1986" t="n">
        <v>2436</v>
      </c>
      <c r="I1986" t="n">
        <v>557</v>
      </c>
      <c r="J1986" t="n">
        <v>24.94</v>
      </c>
      <c r="K1986" t="n">
        <v>191.5</v>
      </c>
      <c r="L1986" t="n">
        <v>175.5</v>
      </c>
      <c r="M1986" s="155" t="n">
        <v>0.98</v>
      </c>
      <c r="N1986" t="inlineStr">
        <is>
          <t>專為國際品牌代工製造鞋廠</t>
        </is>
      </c>
    </row>
    <row r="1987">
      <c r="A1987" t="n">
        <v>6894</v>
      </c>
      <c r="B1987" t="inlineStr">
        <is>
          <t>衛司特</t>
        </is>
      </c>
      <c r="C1987" t="n">
        <v>418</v>
      </c>
      <c r="D1987" t="n">
        <v>399</v>
      </c>
      <c r="E1987" s="730" t="n">
        <v>-10</v>
      </c>
      <c r="F1987" s="731" t="n">
        <v>-2.44</v>
      </c>
      <c r="G1987" t="inlineStr">
        <is>
          <t>9641萬</t>
        </is>
      </c>
      <c r="H1987" t="n">
        <v>241</v>
      </c>
      <c r="I1987" t="n">
        <v>244</v>
      </c>
      <c r="J1987" t="n">
        <v>2.38</v>
      </c>
      <c r="K1987" t="n">
        <v>418</v>
      </c>
      <c r="L1987" t="n">
        <v>388</v>
      </c>
      <c r="M1987" s="155" t="n">
        <v>1.01</v>
      </c>
      <c r="N1987" t="inlineStr">
        <is>
          <t>聖暉轉投資PCB製程應用電解設備及耗材廠</t>
        </is>
      </c>
    </row>
    <row r="1988">
      <c r="A1988" t="n">
        <v>6895</v>
      </c>
      <c r="B1988" t="inlineStr">
        <is>
          <t>宏碩系統</t>
        </is>
      </c>
      <c r="C1988" t="n">
        <v>145</v>
      </c>
      <c r="D1988" t="n">
        <v>141</v>
      </c>
      <c r="E1988" s="730" t="n">
        <v>-5.5</v>
      </c>
      <c r="F1988" s="731" t="n">
        <v>-3.75</v>
      </c>
      <c r="G1988" t="inlineStr">
        <is>
          <t>1868萬</t>
        </is>
      </c>
      <c r="H1988" t="n">
        <v>132</v>
      </c>
      <c r="I1988" t="n">
        <v>120</v>
      </c>
      <c r="J1988" t="n">
        <v>3.41</v>
      </c>
      <c r="K1988" t="n">
        <v>145</v>
      </c>
      <c r="L1988" t="n">
        <v>140</v>
      </c>
      <c r="M1988" s="155" t="n">
        <v>0.39</v>
      </c>
      <c r="N1988" t="inlineStr">
        <is>
          <t>國內知名的高功率真空微波管製造商</t>
        </is>
      </c>
    </row>
    <row r="1989">
      <c r="A1989" t="n">
        <v>6899</v>
      </c>
      <c r="B1989" t="inlineStr">
        <is>
          <t>創為精密</t>
        </is>
      </c>
      <c r="C1989" t="n">
        <v>66.09999999999999</v>
      </c>
      <c r="D1989" t="n">
        <v>64.09999999999999</v>
      </c>
      <c r="E1989" s="730" t="n">
        <v>-2</v>
      </c>
      <c r="F1989" s="731" t="n">
        <v>-3.03</v>
      </c>
      <c r="G1989" t="inlineStr">
        <is>
          <t>1153萬</t>
        </is>
      </c>
      <c r="H1989" t="n">
        <v>181</v>
      </c>
      <c r="I1989" t="n">
        <v>422</v>
      </c>
      <c r="J1989" t="n">
        <v>4.24</v>
      </c>
      <c r="K1989" t="n">
        <v>66.09999999999999</v>
      </c>
      <c r="L1989" t="n">
        <v>62.1</v>
      </c>
      <c r="M1989" s="155" t="n">
        <v>0.43</v>
      </c>
      <c r="N1989" t="inlineStr">
        <is>
          <t>台灣專業的觸控面板製造商之一</t>
        </is>
      </c>
    </row>
    <row r="1990">
      <c r="A1990" t="n">
        <v>6901</v>
      </c>
      <c r="B1990" t="inlineStr">
        <is>
          <t>鑽石投資</t>
        </is>
      </c>
      <c r="C1990" t="n">
        <v>13</v>
      </c>
      <c r="D1990" t="n">
        <v>13.2</v>
      </c>
      <c r="E1990" s="730" t="n">
        <v>0.05</v>
      </c>
      <c r="F1990" s="731" t="n">
        <v>0.38</v>
      </c>
      <c r="G1990" t="inlineStr">
        <is>
          <t>1688萬</t>
        </is>
      </c>
      <c r="H1990" t="n">
        <v>1300</v>
      </c>
      <c r="I1990" t="n">
        <v>1971</v>
      </c>
      <c r="J1990" t="n">
        <v>85.29000000000001</v>
      </c>
      <c r="K1990" t="n">
        <v>13.25</v>
      </c>
      <c r="L1990" t="n">
        <v>12.8</v>
      </c>
      <c r="M1990" s="155" t="n">
        <v>0.15</v>
      </c>
      <c r="N1990" t="inlineStr">
        <is>
          <t>台灣大型永續型生技創投公司</t>
        </is>
      </c>
    </row>
    <row r="1991">
      <c r="A1991" t="n">
        <v>6902</v>
      </c>
      <c r="B1991" t="inlineStr">
        <is>
          <t>GOGOLOOK</t>
        </is>
      </c>
      <c r="C1991" t="n">
        <v>147</v>
      </c>
      <c r="D1991" t="n">
        <v>141.5</v>
      </c>
      <c r="E1991" s="730" t="n">
        <v>-5.5</v>
      </c>
      <c r="F1991" s="731" t="n">
        <v>-3.74</v>
      </c>
      <c r="G1991" t="inlineStr">
        <is>
          <t>3667萬</t>
        </is>
      </c>
      <c r="H1991" t="n">
        <v>260</v>
      </c>
      <c r="I1991" t="n">
        <v>434</v>
      </c>
      <c r="J1991" t="n">
        <v>3.55</v>
      </c>
      <c r="K1991" t="n">
        <v>147</v>
      </c>
      <c r="L1991" t="n">
        <v>137</v>
      </c>
      <c r="M1991" s="155" t="n">
        <v>0.74</v>
      </c>
      <c r="N1991" t="inlineStr">
        <is>
          <t>全球數位防詐及風險管理服務商</t>
        </is>
      </c>
    </row>
    <row r="1992">
      <c r="A1992" t="n">
        <v>6903</v>
      </c>
      <c r="B1992" t="inlineStr">
        <is>
          <t>巨漢</t>
        </is>
      </c>
      <c r="C1992" t="n">
        <v>405.5</v>
      </c>
      <c r="D1992" t="n">
        <v>392.5</v>
      </c>
      <c r="E1992" s="730" t="n">
        <v>-8.5</v>
      </c>
      <c r="F1992" s="731" t="n">
        <v>-2.12</v>
      </c>
      <c r="G1992" t="inlineStr">
        <is>
          <t>2.83億</t>
        </is>
      </c>
      <c r="H1992" t="n">
        <v>721</v>
      </c>
      <c r="I1992" t="n">
        <v>1321</v>
      </c>
      <c r="J1992" t="n">
        <v>6.67</v>
      </c>
      <c r="K1992" t="n">
        <v>405.5</v>
      </c>
      <c r="L1992" t="n">
        <v>386.5</v>
      </c>
      <c r="M1992" s="155" t="n">
        <v>1.08</v>
      </c>
      <c r="N1992" t="inlineStr">
        <is>
          <t>無塵室及機電空調之統包工程廠商</t>
        </is>
      </c>
    </row>
    <row r="1993">
      <c r="A1993" t="n">
        <v>6904</v>
      </c>
      <c r="B1993" t="inlineStr">
        <is>
          <t>伯鑫</t>
        </is>
      </c>
      <c r="C1993" t="n">
        <v>119</v>
      </c>
      <c r="D1993" t="n">
        <v>119</v>
      </c>
      <c r="E1993" s="730" t="n">
        <v>1</v>
      </c>
      <c r="F1993" s="731" t="n">
        <v>0.85</v>
      </c>
      <c r="G1993" t="inlineStr">
        <is>
          <t>11.9萬</t>
        </is>
      </c>
      <c r="H1993" t="n">
        <v>1</v>
      </c>
      <c r="I1993" t="n">
        <v>1</v>
      </c>
      <c r="J1993" t="n">
        <v>1.85</v>
      </c>
      <c r="K1993" t="n">
        <v>119</v>
      </c>
      <c r="L1993" t="n">
        <v>119</v>
      </c>
      <c r="M1993" s="155" t="n">
        <v>0.01</v>
      </c>
      <c r="N1993" t="inlineStr">
        <is>
          <t>國內活動扳手之專業領導製造廠</t>
        </is>
      </c>
    </row>
    <row r="1994">
      <c r="A1994" t="n">
        <v>6906</v>
      </c>
      <c r="B1994" t="inlineStr">
        <is>
          <t>現觀科</t>
        </is>
      </c>
      <c r="C1994" t="n">
        <v>104.5</v>
      </c>
      <c r="D1994" t="n">
        <v>101</v>
      </c>
      <c r="E1994" s="730" t="n">
        <v>-4</v>
      </c>
      <c r="F1994" s="731" t="n">
        <v>-3.81</v>
      </c>
      <c r="G1994" t="inlineStr">
        <is>
          <t>2002萬</t>
        </is>
      </c>
      <c r="H1994" t="n">
        <v>196</v>
      </c>
      <c r="I1994" t="n">
        <v>593</v>
      </c>
      <c r="J1994" t="n">
        <v>3.35</v>
      </c>
      <c r="K1994" t="n">
        <v>105</v>
      </c>
      <c r="L1994" t="n">
        <v>101</v>
      </c>
      <c r="M1994" s="155" t="n">
        <v>0.58</v>
      </c>
      <c r="N1994" t="inlineStr">
        <is>
          <t>專注與電信業者合作提供數據分析平台領域</t>
        </is>
      </c>
    </row>
    <row r="1995">
      <c r="A1995" t="n">
        <v>6907</v>
      </c>
      <c r="B1995" t="inlineStr">
        <is>
          <t>雅特力-KY</t>
        </is>
      </c>
      <c r="C1995" t="n">
        <v>131</v>
      </c>
      <c r="D1995" t="n">
        <v>127.5</v>
      </c>
      <c r="E1995" s="730" t="n">
        <v>-0.5</v>
      </c>
      <c r="F1995" s="731" t="n">
        <v>-0.39</v>
      </c>
      <c r="G1995" t="inlineStr">
        <is>
          <t>1.80億</t>
        </is>
      </c>
      <c r="H1995" t="n">
        <v>1421</v>
      </c>
      <c r="I1995" t="n">
        <v>1140</v>
      </c>
      <c r="J1995" t="n">
        <v>6.25</v>
      </c>
      <c r="K1995" t="n">
        <v>133</v>
      </c>
      <c r="L1995" t="n">
        <v>122</v>
      </c>
      <c r="M1995" s="155" t="n">
        <v>2.27</v>
      </c>
      <c r="N1995" t="inlineStr">
        <is>
          <t>智原旗下高效能微控制晶片設計公司</t>
        </is>
      </c>
    </row>
    <row r="1996">
      <c r="A1996" t="n">
        <v>6909</v>
      </c>
      <c r="B1996" t="inlineStr">
        <is>
          <t>創控</t>
        </is>
      </c>
      <c r="C1996" t="n">
        <v>53</v>
      </c>
      <c r="D1996" t="n">
        <v>51.3</v>
      </c>
      <c r="E1996" s="730" t="n">
        <v>-1.5</v>
      </c>
      <c r="F1996" s="731" t="n">
        <v>-2.84</v>
      </c>
      <c r="G1996" t="inlineStr">
        <is>
          <t>3272萬</t>
        </is>
      </c>
      <c r="H1996" t="n">
        <v>634</v>
      </c>
      <c r="I1996" t="n">
        <v>816</v>
      </c>
      <c r="J1996" t="n">
        <v>6.72</v>
      </c>
      <c r="K1996" t="n">
        <v>53.5</v>
      </c>
      <c r="L1996" t="n">
        <v>50.6</v>
      </c>
      <c r="M1996" s="155" t="n">
        <v>0.9399999999999999</v>
      </c>
      <c r="N1996" t="inlineStr">
        <is>
          <t>國內唯一自主開發的VOCs設備製造商</t>
        </is>
      </c>
    </row>
    <row r="1997">
      <c r="A1997" t="n">
        <v>6910</v>
      </c>
      <c r="B1997" t="inlineStr">
        <is>
          <t>德鴻</t>
        </is>
      </c>
      <c r="C1997" t="n">
        <v>29.05</v>
      </c>
      <c r="D1997" t="n">
        <v>28.55</v>
      </c>
      <c r="E1997" s="730" t="n">
        <v>-0.45</v>
      </c>
      <c r="F1997" s="731" t="n">
        <v>-1.55</v>
      </c>
      <c r="G1997" t="inlineStr">
        <is>
          <t>195萬</t>
        </is>
      </c>
      <c r="H1997" t="n">
        <v>68</v>
      </c>
      <c r="I1997" t="n">
        <v>46</v>
      </c>
      <c r="J1997" t="n">
        <v>3.05</v>
      </c>
      <c r="K1997" t="n">
        <v>29.15</v>
      </c>
      <c r="L1997" t="n">
        <v>28.3</v>
      </c>
      <c r="M1997" s="155" t="n">
        <v>0.22</v>
      </c>
      <c r="N1997" t="inlineStr">
        <is>
          <t>專注數位轉型、智能語音辨識、客戶心聲領域</t>
        </is>
      </c>
    </row>
    <row r="1998">
      <c r="A1998" t="n">
        <v>6913</v>
      </c>
      <c r="B1998" t="inlineStr">
        <is>
          <t>鴻呈</t>
        </is>
      </c>
      <c r="C1998" t="n">
        <v>141.5</v>
      </c>
      <c r="D1998" t="n">
        <v>135</v>
      </c>
      <c r="E1998" s="730" t="n">
        <v>-5</v>
      </c>
      <c r="F1998" s="731" t="n">
        <v>-3.57</v>
      </c>
      <c r="G1998" t="inlineStr">
        <is>
          <t>6560萬</t>
        </is>
      </c>
      <c r="H1998" t="n">
        <v>487</v>
      </c>
      <c r="I1998" t="n">
        <v>875</v>
      </c>
      <c r="J1998" t="n">
        <v>4.38</v>
      </c>
      <c r="K1998" t="n">
        <v>141.5</v>
      </c>
      <c r="L1998" t="n">
        <v>132.5</v>
      </c>
      <c r="M1998" s="155" t="n">
        <v>1.11</v>
      </c>
      <c r="N1998" t="inlineStr">
        <is>
          <t>全球線纜製造組裝規劃供應商</t>
        </is>
      </c>
    </row>
    <row r="1999">
      <c r="A1999" t="n">
        <v>6914</v>
      </c>
      <c r="B1999" t="inlineStr">
        <is>
          <t>阜爾運通</t>
        </is>
      </c>
      <c r="C1999" t="n">
        <v>141</v>
      </c>
      <c r="D1999" t="n">
        <v>142</v>
      </c>
      <c r="E1999" s="730" t="n">
        <v>1</v>
      </c>
      <c r="F1999" s="731" t="n">
        <v>0.71</v>
      </c>
      <c r="G1999" t="inlineStr">
        <is>
          <t>1162萬</t>
        </is>
      </c>
      <c r="H1999" t="n">
        <v>82</v>
      </c>
      <c r="I1999" t="n">
        <v>131</v>
      </c>
      <c r="J1999" t="n">
        <v>6.62</v>
      </c>
      <c r="K1999" t="n">
        <v>142.5</v>
      </c>
      <c r="L1999" t="n">
        <v>141</v>
      </c>
      <c r="M1999" s="155" t="n">
        <v>0.12</v>
      </c>
      <c r="N1999" t="inlineStr">
        <is>
          <t>主要從事停車場自動化設備製造及銷售、停車場收費及管理服務</t>
        </is>
      </c>
    </row>
    <row r="2000">
      <c r="A2000" t="n">
        <v>6916</v>
      </c>
      <c r="B2000" t="inlineStr">
        <is>
          <t>華凌</t>
        </is>
      </c>
      <c r="C2000" t="n">
        <v>18.2</v>
      </c>
      <c r="D2000" t="n">
        <v>18.4</v>
      </c>
      <c r="E2000" s="730" t="n">
        <v>-0.15</v>
      </c>
      <c r="F2000" s="731" t="n">
        <v>-0.8100000000000001</v>
      </c>
      <c r="G2000" t="inlineStr">
        <is>
          <t>65.6萬</t>
        </is>
      </c>
      <c r="H2000" t="n">
        <v>37</v>
      </c>
      <c r="I2000" t="n">
        <v>45</v>
      </c>
      <c r="J2000" t="n">
        <v>6.75</v>
      </c>
      <c r="K2000" t="n">
        <v>18.45</v>
      </c>
      <c r="L2000" t="n">
        <v>17.9</v>
      </c>
      <c r="M2000" s="155" t="n">
        <v>0.05</v>
      </c>
      <c r="N2000" t="inlineStr">
        <is>
          <t>液晶顯示器模組(LCM)生產銷售商</t>
        </is>
      </c>
    </row>
    <row r="2001">
      <c r="A2001" t="n">
        <v>6918</v>
      </c>
      <c r="B2001" t="inlineStr">
        <is>
          <t>愛派司</t>
        </is>
      </c>
      <c r="C2001" t="n">
        <v>73.59999999999999</v>
      </c>
      <c r="D2001" t="n">
        <v>73.7</v>
      </c>
      <c r="E2001" s="730" t="n">
        <v>0.2</v>
      </c>
      <c r="F2001" s="731" t="n">
        <v>0.27</v>
      </c>
      <c r="G2001" t="inlineStr">
        <is>
          <t>236萬</t>
        </is>
      </c>
      <c r="H2001" t="n">
        <v>32</v>
      </c>
      <c r="I2001" t="n">
        <v>45</v>
      </c>
      <c r="J2001" t="n">
        <v>3.46</v>
      </c>
      <c r="K2001" t="n">
        <v>74.09999999999999</v>
      </c>
      <c r="L2001" t="n">
        <v>73.3</v>
      </c>
      <c r="M2001" s="155" t="n">
        <v>0.09</v>
      </c>
      <c r="N2001" t="inlineStr">
        <is>
          <t>專注於亞洲專有骨板骨釘系統研發製造商</t>
        </is>
      </c>
    </row>
    <row r="2002">
      <c r="A2002" t="n">
        <v>6919</v>
      </c>
      <c r="B2002" t="inlineStr">
        <is>
          <t>康霈*</t>
        </is>
      </c>
      <c r="C2002" t="n">
        <v>98.59999999999999</v>
      </c>
      <c r="D2002" t="n">
        <v>96.8</v>
      </c>
      <c r="E2002" s="730" t="n">
        <v>-1.8</v>
      </c>
      <c r="F2002" s="731" t="n">
        <v>-1.83</v>
      </c>
      <c r="G2002" t="inlineStr">
        <is>
          <t>3.43億</t>
        </is>
      </c>
      <c r="H2002" t="n">
        <v>3532</v>
      </c>
      <c r="I2002" t="n">
        <v>6430</v>
      </c>
      <c r="J2002" t="n">
        <v>7.79</v>
      </c>
      <c r="K2002" t="n">
        <v>99.59999999999999</v>
      </c>
      <c r="L2002" t="n">
        <v>96.7</v>
      </c>
      <c r="M2002" s="155" t="n">
        <v>0.23</v>
      </c>
      <c r="N2002" t="inlineStr">
        <is>
          <t>專注醫美與慢性發炎疾病新藥開發公司</t>
        </is>
      </c>
    </row>
    <row r="2003">
      <c r="A2003" t="n">
        <v>6922</v>
      </c>
      <c r="B2003" t="inlineStr">
        <is>
          <t>宸曜</t>
        </is>
      </c>
      <c r="C2003" t="n">
        <v>208</v>
      </c>
      <c r="D2003" t="n">
        <v>197.5</v>
      </c>
      <c r="E2003" s="730" t="n">
        <v>-14.5</v>
      </c>
      <c r="F2003" s="731" t="n">
        <v>-6.84</v>
      </c>
      <c r="G2003" t="inlineStr">
        <is>
          <t>1.22億</t>
        </is>
      </c>
      <c r="H2003" t="n">
        <v>611</v>
      </c>
      <c r="I2003" t="n">
        <v>598</v>
      </c>
      <c r="J2003" t="n">
        <v>2.72</v>
      </c>
      <c r="K2003" t="n">
        <v>208</v>
      </c>
      <c r="L2003" t="n">
        <v>195</v>
      </c>
      <c r="M2003" s="155" t="n">
        <v>2.25</v>
      </c>
      <c r="N2003" t="inlineStr">
        <is>
          <t>台灣工業控制產品、應用電腦及工業電腦公司</t>
        </is>
      </c>
    </row>
    <row r="2004">
      <c r="A2004" t="n">
        <v>6923</v>
      </c>
      <c r="B2004" t="inlineStr">
        <is>
          <t>中台</t>
        </is>
      </c>
      <c r="C2004" t="n">
        <v>77.40000000000001</v>
      </c>
      <c r="D2004" t="n">
        <v>77.2</v>
      </c>
      <c r="E2004" s="730" t="n">
        <v>-0.1</v>
      </c>
      <c r="F2004" s="731" t="n">
        <v>-0.13</v>
      </c>
      <c r="G2004" t="inlineStr">
        <is>
          <t>748萬</t>
        </is>
      </c>
      <c r="H2004" t="n">
        <v>97</v>
      </c>
      <c r="I2004" t="n">
        <v>176</v>
      </c>
      <c r="J2004" t="n">
        <v>9.15</v>
      </c>
      <c r="K2004" t="n">
        <v>77.5</v>
      </c>
      <c r="L2004" t="n">
        <v>76.7</v>
      </c>
      <c r="M2004" s="155" t="n">
        <v>0.11</v>
      </c>
      <c r="N2004" t="inlineStr">
        <is>
          <t>可寧衛轉投資之國內首家廢光源處理廠</t>
        </is>
      </c>
    </row>
    <row r="2005">
      <c r="A2005" t="n">
        <v>6925</v>
      </c>
      <c r="B2005" t="inlineStr">
        <is>
          <t>意藍</t>
        </is>
      </c>
      <c r="C2005" t="n">
        <v>65.09999999999999</v>
      </c>
      <c r="D2005" t="n">
        <v>69</v>
      </c>
      <c r="E2005" s="730" t="n">
        <v>6.2</v>
      </c>
      <c r="F2005" s="731" t="n">
        <v>9.869999999999999</v>
      </c>
      <c r="G2005" t="inlineStr">
        <is>
          <t>4395萬</t>
        </is>
      </c>
      <c r="H2005" t="n">
        <v>645</v>
      </c>
      <c r="I2005" t="n">
        <v>161</v>
      </c>
      <c r="J2005" t="n">
        <v>2</v>
      </c>
      <c r="K2005" t="n">
        <v>69</v>
      </c>
      <c r="L2005" t="n">
        <v>65.09999999999999</v>
      </c>
      <c r="M2005" s="155" t="n">
        <v>3.23</v>
      </c>
      <c r="N2005" t="inlineStr">
        <is>
          <t>提供AI與大數據技術之智能數據服務提供商</t>
        </is>
      </c>
    </row>
    <row r="2006">
      <c r="A2006" t="n">
        <v>6928</v>
      </c>
      <c r="B2006" t="inlineStr">
        <is>
          <t>攸泰科技</t>
        </is>
      </c>
      <c r="C2006" t="n">
        <v>48.15</v>
      </c>
      <c r="D2006" t="n">
        <v>47.75</v>
      </c>
      <c r="E2006" s="730" t="n">
        <v>-0.45</v>
      </c>
      <c r="F2006" s="731" t="n">
        <v>-0.93</v>
      </c>
      <c r="G2006" t="inlineStr">
        <is>
          <t>785萬</t>
        </is>
      </c>
      <c r="H2006" t="n">
        <v>165</v>
      </c>
      <c r="I2006" t="n">
        <v>181</v>
      </c>
      <c r="J2006" t="n">
        <v>8.6</v>
      </c>
      <c r="K2006" t="n">
        <v>48.15</v>
      </c>
      <c r="L2006" t="n">
        <v>47</v>
      </c>
      <c r="M2006" s="155" t="n">
        <v>0.19</v>
      </c>
      <c r="N2006" t="inlineStr">
        <is>
          <t>大眾控轉投資工業電腦公司</t>
        </is>
      </c>
    </row>
    <row r="2007">
      <c r="A2007" t="n">
        <v>6929</v>
      </c>
      <c r="B2007" t="inlineStr">
        <is>
          <t>佑全</t>
        </is>
      </c>
      <c r="C2007" t="n">
        <v>21.8</v>
      </c>
      <c r="D2007" t="n">
        <v>22</v>
      </c>
      <c r="E2007" s="730" t="n">
        <v>-0.05</v>
      </c>
      <c r="F2007" s="731" t="n">
        <v>-0.23</v>
      </c>
      <c r="G2007" t="inlineStr">
        <is>
          <t>47.5萬</t>
        </is>
      </c>
      <c r="H2007" t="n">
        <v>22</v>
      </c>
      <c r="I2007" t="n">
        <v>14</v>
      </c>
      <c r="J2007" t="n">
        <v>4.51</v>
      </c>
      <c r="K2007" t="n">
        <v>22</v>
      </c>
      <c r="L2007" t="n">
        <v>21.05</v>
      </c>
      <c r="M2007" s="155" t="n">
        <v>0.05</v>
      </c>
      <c r="N2007" t="inlineStr">
        <is>
          <t>台灣大型連鎖藥局</t>
        </is>
      </c>
    </row>
    <row r="2008">
      <c r="A2008" t="n">
        <v>6931</v>
      </c>
      <c r="B2008" t="inlineStr">
        <is>
          <t>青松健康</t>
        </is>
      </c>
      <c r="C2008" t="n">
        <v>40</v>
      </c>
      <c r="D2008" t="n">
        <v>39.9</v>
      </c>
      <c r="E2008" s="730" t="n">
        <v>-0.1</v>
      </c>
      <c r="F2008" s="731" t="n">
        <v>-0.25</v>
      </c>
      <c r="G2008" t="inlineStr">
        <is>
          <t>234萬</t>
        </is>
      </c>
      <c r="H2008" t="n">
        <v>59</v>
      </c>
      <c r="I2008" t="n">
        <v>91</v>
      </c>
      <c r="J2008" t="n">
        <v>6.62</v>
      </c>
      <c r="K2008" t="n">
        <v>40</v>
      </c>
      <c r="L2008" t="n">
        <v>39.55</v>
      </c>
      <c r="M2008" s="155" t="n">
        <v>0.09</v>
      </c>
      <c r="N2008" t="inlineStr">
        <is>
          <t>台灣中部地區頗具規模之連鎖照顧服務機構</t>
        </is>
      </c>
    </row>
    <row r="2009">
      <c r="A2009" t="n">
        <v>6933</v>
      </c>
      <c r="B2009" t="inlineStr">
        <is>
          <t>AMAX-KY</t>
        </is>
      </c>
      <c r="C2009" t="n">
        <v>194.5</v>
      </c>
      <c r="D2009" t="n">
        <v>183</v>
      </c>
      <c r="E2009" s="730" t="n">
        <v>-6.5</v>
      </c>
      <c r="F2009" s="731" t="n">
        <v>-3.43</v>
      </c>
      <c r="G2009" t="inlineStr">
        <is>
          <t>2.83億</t>
        </is>
      </c>
      <c r="H2009" t="n">
        <v>1519</v>
      </c>
      <c r="I2009" t="n">
        <v>355</v>
      </c>
      <c r="J2009" t="n">
        <v>4.24</v>
      </c>
      <c r="K2009" t="n">
        <v>195</v>
      </c>
      <c r="L2009" t="n">
        <v>180</v>
      </c>
      <c r="M2009" s="155" t="n">
        <v>3.58</v>
      </c>
      <c r="N2009" t="inlineStr">
        <is>
          <t>提供AI高效能運算、高密度伺服器和存儲、液冷整機櫃解決方案</t>
        </is>
      </c>
    </row>
    <row r="2010">
      <c r="A2010" t="n">
        <v>6934</v>
      </c>
      <c r="B2010" t="inlineStr">
        <is>
          <t>心誠鎂</t>
        </is>
      </c>
      <c r="C2010" t="n">
        <v>72.59999999999999</v>
      </c>
      <c r="D2010" t="n">
        <v>71.90000000000001</v>
      </c>
      <c r="E2010" s="730" t="n">
        <v>-0.7</v>
      </c>
      <c r="F2010" s="731" t="n">
        <v>-0.96</v>
      </c>
      <c r="G2010" t="inlineStr">
        <is>
          <t>933萬</t>
        </is>
      </c>
      <c r="H2010" t="n">
        <v>127</v>
      </c>
      <c r="I2010" t="n">
        <v>72</v>
      </c>
      <c r="J2010" t="n">
        <v>3.6</v>
      </c>
      <c r="K2010" t="n">
        <v>75</v>
      </c>
      <c r="L2010" t="n">
        <v>71.90000000000001</v>
      </c>
      <c r="M2010" s="155" t="n">
        <v>0.35</v>
      </c>
      <c r="N2010" t="inlineStr">
        <is>
          <t>吸入式藥物遞送裝置研發及CDMO廠</t>
        </is>
      </c>
    </row>
    <row r="2011">
      <c r="A2011" t="n">
        <v>6936</v>
      </c>
      <c r="B2011" t="inlineStr">
        <is>
          <t>永鴻生技</t>
        </is>
      </c>
      <c r="C2011" t="n">
        <v>33.5</v>
      </c>
      <c r="D2011" t="n">
        <v>33.7</v>
      </c>
      <c r="E2011" s="730" t="n">
        <v>0.3</v>
      </c>
      <c r="F2011" s="731" t="n">
        <v>0.9</v>
      </c>
      <c r="G2011" t="inlineStr">
        <is>
          <t>194萬</t>
        </is>
      </c>
      <c r="H2011" t="n">
        <v>58</v>
      </c>
      <c r="I2011" t="n">
        <v>63</v>
      </c>
      <c r="J2011" t="n">
        <v>7.28</v>
      </c>
      <c r="K2011" t="n">
        <v>33.75</v>
      </c>
      <c r="L2011" t="n">
        <v>33.25</v>
      </c>
      <c r="M2011" s="155" t="n">
        <v>0.08</v>
      </c>
      <c r="N2011" t="inlineStr">
        <is>
          <t>永信轉投資，為台灣動保藥廠領導品牌之一</t>
        </is>
      </c>
    </row>
    <row r="2012">
      <c r="A2012" t="n">
        <v>6937</v>
      </c>
      <c r="B2012" t="inlineStr">
        <is>
          <t>天虹</t>
        </is>
      </c>
      <c r="C2012" t="n">
        <v>311.5</v>
      </c>
      <c r="D2012" t="n">
        <v>300.5</v>
      </c>
      <c r="E2012" s="730" t="n">
        <v>-10.5</v>
      </c>
      <c r="F2012" s="731" t="n">
        <v>-3.38</v>
      </c>
      <c r="G2012" t="inlineStr">
        <is>
          <t>2.09億</t>
        </is>
      </c>
      <c r="H2012" t="n">
        <v>695</v>
      </c>
      <c r="I2012" t="n">
        <v>1021</v>
      </c>
      <c r="J2012" t="n">
        <v>6.77</v>
      </c>
      <c r="K2012" t="n">
        <v>311.5</v>
      </c>
      <c r="L2012" t="n">
        <v>295.5</v>
      </c>
      <c r="M2012" s="155" t="n">
        <v>1.03</v>
      </c>
      <c r="N2012" t="inlineStr">
        <is>
          <t>國內關鍵半導體零組件主要供應商</t>
        </is>
      </c>
    </row>
    <row r="2013">
      <c r="A2013" t="n">
        <v>6944</v>
      </c>
      <c r="B2013" t="inlineStr">
        <is>
          <t>兆聯實業</t>
        </is>
      </c>
      <c r="C2013" t="n">
        <v>938</v>
      </c>
      <c r="D2013" t="n">
        <v>900</v>
      </c>
      <c r="E2013" s="730" t="n">
        <v>-32</v>
      </c>
      <c r="F2013" s="731" t="n">
        <v>-3.43</v>
      </c>
      <c r="G2013" t="inlineStr">
        <is>
          <t>7.05億</t>
        </is>
      </c>
      <c r="H2013" t="n">
        <v>774</v>
      </c>
      <c r="I2013" t="n">
        <v>728</v>
      </c>
      <c r="J2013" t="n">
        <v>7.67</v>
      </c>
      <c r="K2013" t="n">
        <v>938</v>
      </c>
      <c r="L2013" t="n">
        <v>899</v>
      </c>
      <c r="M2013" s="155" t="n">
        <v>1.01</v>
      </c>
      <c r="N2013" t="inlineStr">
        <is>
          <t>台灣純水及廢水回收系統規劃設計之工程公司</t>
        </is>
      </c>
    </row>
    <row r="2014">
      <c r="A2014" t="n">
        <v>6952</v>
      </c>
      <c r="B2014" t="inlineStr">
        <is>
          <t>大武山</t>
        </is>
      </c>
      <c r="C2014" t="n">
        <v>36.8</v>
      </c>
      <c r="D2014" t="n">
        <v>36.45</v>
      </c>
      <c r="E2014" s="730" t="n">
        <v>-0.55</v>
      </c>
      <c r="F2014" s="731" t="n">
        <v>-1.49</v>
      </c>
      <c r="G2014" t="inlineStr">
        <is>
          <t>69.7萬</t>
        </is>
      </c>
      <c r="H2014" t="n">
        <v>19</v>
      </c>
      <c r="I2014" t="n">
        <v>35</v>
      </c>
      <c r="J2014" t="n">
        <v>6.83</v>
      </c>
      <c r="K2014" t="n">
        <v>37</v>
      </c>
      <c r="L2014" t="n">
        <v>36.45</v>
      </c>
      <c r="M2014" s="155" t="n">
        <v>0.03</v>
      </c>
      <c r="N2014" t="inlineStr">
        <is>
          <t>台灣前三大雞蛋供應商之一</t>
        </is>
      </c>
    </row>
    <row r="2015">
      <c r="A2015" t="n">
        <v>6953</v>
      </c>
      <c r="B2015" t="inlineStr">
        <is>
          <t>家碩</t>
        </is>
      </c>
      <c r="C2015" t="n">
        <v>247.5</v>
      </c>
      <c r="D2015" t="n">
        <v>247.5</v>
      </c>
      <c r="E2015" s="730" t="n">
        <v>0.5</v>
      </c>
      <c r="F2015" s="731" t="n">
        <v>0.2</v>
      </c>
      <c r="G2015" t="inlineStr">
        <is>
          <t>1734萬</t>
        </is>
      </c>
      <c r="H2015" t="n">
        <v>71</v>
      </c>
      <c r="I2015" t="n">
        <v>150</v>
      </c>
      <c r="J2015" t="n">
        <v>3</v>
      </c>
      <c r="K2015" t="n">
        <v>248.5</v>
      </c>
      <c r="L2015" t="n">
        <v>240.5</v>
      </c>
      <c r="M2015" s="155" t="n">
        <v>0.24</v>
      </c>
      <c r="N2015" t="inlineStr">
        <is>
          <t>家登旗下的EUV光罩及傳載自動化之技術解決方案商</t>
        </is>
      </c>
    </row>
    <row r="2016">
      <c r="A2016" t="n">
        <v>6957</v>
      </c>
      <c r="B2016" t="inlineStr">
        <is>
          <t>裕慶-KY</t>
        </is>
      </c>
      <c r="C2016" t="n">
        <v>174</v>
      </c>
      <c r="D2016" t="n">
        <v>181</v>
      </c>
      <c r="E2016" s="730" t="n">
        <v>9.5</v>
      </c>
      <c r="F2016" s="731" t="n">
        <v>5.54</v>
      </c>
      <c r="G2016" t="inlineStr">
        <is>
          <t>6502萬</t>
        </is>
      </c>
      <c r="H2016" t="n">
        <v>367</v>
      </c>
      <c r="I2016" t="n">
        <v>156</v>
      </c>
      <c r="J2016" t="n">
        <v>5.55</v>
      </c>
      <c r="K2016" t="n">
        <v>181</v>
      </c>
      <c r="L2016" t="n">
        <v>174</v>
      </c>
      <c r="M2016" s="155" t="n">
        <v>0.66</v>
      </c>
      <c r="N2016" t="inlineStr">
        <is>
          <t>商用展示架及電動床機構件研發商</t>
        </is>
      </c>
    </row>
    <row r="2017">
      <c r="A2017" t="n">
        <v>6958</v>
      </c>
      <c r="B2017" t="inlineStr">
        <is>
          <t>日盛台駿</t>
        </is>
      </c>
      <c r="C2017" t="n">
        <v>17</v>
      </c>
      <c r="D2017" t="n">
        <v>17.45</v>
      </c>
      <c r="E2017" s="730" t="n">
        <v>0.05</v>
      </c>
      <c r="F2017" s="731" t="n">
        <v>0.29</v>
      </c>
      <c r="G2017" t="inlineStr">
        <is>
          <t>100.0萬</t>
        </is>
      </c>
      <c r="H2017" t="n">
        <v>58</v>
      </c>
      <c r="I2017" t="n">
        <v>77</v>
      </c>
      <c r="J2017" t="n">
        <v>40.13</v>
      </c>
      <c r="K2017" t="n">
        <v>17.5</v>
      </c>
      <c r="L2017" t="n">
        <v>17</v>
      </c>
      <c r="M2017" s="155" t="n">
        <v>0.01</v>
      </c>
      <c r="N2017" t="inlineStr">
        <is>
          <t>台灣第四大租賃業公司</t>
        </is>
      </c>
    </row>
    <row r="2018">
      <c r="A2018" t="n">
        <v>6961</v>
      </c>
      <c r="B2018" t="inlineStr">
        <is>
          <t>旅天下</t>
        </is>
      </c>
      <c r="C2018" t="n">
        <v>60.1</v>
      </c>
      <c r="D2018" t="n">
        <v>60.2</v>
      </c>
      <c r="E2018" s="730" t="n">
        <v>0</v>
      </c>
      <c r="F2018" s="731" t="n">
        <v>0</v>
      </c>
      <c r="G2018" t="inlineStr">
        <is>
          <t>222萬</t>
        </is>
      </c>
      <c r="H2018" t="n">
        <v>37</v>
      </c>
      <c r="I2018" t="n">
        <v>96</v>
      </c>
      <c r="J2018" t="n">
        <v>2.68</v>
      </c>
      <c r="K2018" t="n">
        <v>60.5</v>
      </c>
      <c r="L2018" t="n">
        <v>60</v>
      </c>
      <c r="M2018" s="155" t="n">
        <v>0.14</v>
      </c>
      <c r="N2018" t="inlineStr">
        <is>
          <t>雄獅集團旗下之旅遊服務提供商</t>
        </is>
      </c>
    </row>
    <row r="2019">
      <c r="A2019" t="n">
        <v>6962</v>
      </c>
      <c r="B2019" t="inlineStr">
        <is>
          <t>奕力-KY</t>
        </is>
      </c>
      <c r="C2019" t="n">
        <v>38.2</v>
      </c>
      <c r="D2019" t="n">
        <v>38.15</v>
      </c>
      <c r="E2019" s="730" t="n">
        <v>0.05</v>
      </c>
      <c r="F2019" s="731" t="n">
        <v>0.13</v>
      </c>
      <c r="G2019" t="inlineStr">
        <is>
          <t>1.55億</t>
        </is>
      </c>
      <c r="H2019" t="n">
        <v>4099</v>
      </c>
      <c r="I2019" t="n">
        <v>5107</v>
      </c>
      <c r="J2019" t="n">
        <v>49.24</v>
      </c>
      <c r="K2019" t="n">
        <v>38.25</v>
      </c>
      <c r="L2019" t="n">
        <v>37.25</v>
      </c>
      <c r="M2019" s="155" t="n">
        <v>0.83</v>
      </c>
      <c r="N2019" t="inlineStr">
        <is>
          <t>聯發科旗下顯示器驅動IC設計公司</t>
        </is>
      </c>
    </row>
    <row r="2020">
      <c r="A2020" t="n">
        <v>6965</v>
      </c>
      <c r="B2020" t="inlineStr">
        <is>
          <t>中傑-KY</t>
        </is>
      </c>
      <c r="C2020" t="n">
        <v>79</v>
      </c>
      <c r="D2020" t="n">
        <v>81</v>
      </c>
      <c r="E2020" s="730" t="n">
        <v>1.9</v>
      </c>
      <c r="F2020" s="731" t="n">
        <v>2.4</v>
      </c>
      <c r="G2020" t="inlineStr">
        <is>
          <t>1200萬</t>
        </is>
      </c>
      <c r="H2020" t="n">
        <v>149</v>
      </c>
      <c r="I2020" t="n">
        <v>81</v>
      </c>
      <c r="J2020" t="n">
        <v>15.63</v>
      </c>
      <c r="K2020" t="n">
        <v>81.5</v>
      </c>
      <c r="L2020" t="n">
        <v>79</v>
      </c>
      <c r="M2020" s="155" t="n">
        <v>0.1</v>
      </c>
      <c r="N2020" t="inlineStr">
        <is>
          <t>國際品牌代工製鞋廠</t>
        </is>
      </c>
    </row>
    <row r="2021">
      <c r="A2021" t="n">
        <v>6967</v>
      </c>
      <c r="B2021" t="inlineStr">
        <is>
          <t>汎瑋材料</t>
        </is>
      </c>
      <c r="C2021" t="n">
        <v>72</v>
      </c>
      <c r="D2021" t="n">
        <v>70</v>
      </c>
      <c r="E2021" s="730" t="n">
        <v>-0.9</v>
      </c>
      <c r="F2021" s="731" t="n">
        <v>-1.27</v>
      </c>
      <c r="G2021" t="inlineStr">
        <is>
          <t>549萬</t>
        </is>
      </c>
      <c r="H2021" t="n">
        <v>78</v>
      </c>
      <c r="I2021" t="n">
        <v>102</v>
      </c>
      <c r="J2021" t="n">
        <v>2.49</v>
      </c>
      <c r="K2021" t="n">
        <v>72</v>
      </c>
      <c r="L2021" t="n">
        <v>69.90000000000001</v>
      </c>
      <c r="M2021" s="155" t="n">
        <v>0.31</v>
      </c>
      <c r="N2021" t="inlineStr">
        <is>
          <t>電子功能性材料製造商兼經銷商</t>
        </is>
      </c>
    </row>
    <row r="2022">
      <c r="A2022" t="n">
        <v>6968</v>
      </c>
      <c r="B2022" t="inlineStr">
        <is>
          <t>萬達寵物</t>
        </is>
      </c>
      <c r="C2022" t="n">
        <v>42.8</v>
      </c>
      <c r="D2022" t="n">
        <v>42.6</v>
      </c>
      <c r="E2022" s="730" t="n">
        <v>-0.4</v>
      </c>
      <c r="F2022" s="731" t="n">
        <v>-0.93</v>
      </c>
      <c r="G2022" t="inlineStr">
        <is>
          <t>439萬</t>
        </is>
      </c>
      <c r="H2022" t="n">
        <v>103</v>
      </c>
      <c r="I2022" t="n">
        <v>129</v>
      </c>
      <c r="J2022" t="n">
        <v>4.94</v>
      </c>
      <c r="K2022" t="n">
        <v>43</v>
      </c>
      <c r="L2022" t="n">
        <v>42.45</v>
      </c>
      <c r="M2022" s="155" t="n">
        <v>0.21</v>
      </c>
      <c r="N2022" t="inlineStr">
        <is>
          <t>寵物食用品及寵物美容服務供應商</t>
        </is>
      </c>
    </row>
    <row r="2023">
      <c r="A2023" t="n">
        <v>6971</v>
      </c>
      <c r="B2023" t="inlineStr">
        <is>
          <t>惠民實業</t>
        </is>
      </c>
      <c r="C2023" t="n">
        <v>27.1</v>
      </c>
      <c r="D2023" t="n">
        <v>27.1</v>
      </c>
      <c r="E2023" s="730" t="n">
        <v>0.05</v>
      </c>
      <c r="F2023" s="731" t="n">
        <v>0.18</v>
      </c>
      <c r="G2023" t="inlineStr">
        <is>
          <t>86.5萬</t>
        </is>
      </c>
      <c r="H2023" t="n">
        <v>32</v>
      </c>
      <c r="I2023" t="n">
        <v>53</v>
      </c>
      <c r="J2023" t="n">
        <v>3.87</v>
      </c>
      <c r="K2023" t="n">
        <v>27.4</v>
      </c>
      <c r="L2023" t="n">
        <v>26.95</v>
      </c>
      <c r="M2023" s="155" t="n">
        <v>0.08</v>
      </c>
      <c r="N2023" t="inlineStr">
        <is>
          <t>從事污廢水處理操作維護、工程承攬之業者</t>
        </is>
      </c>
    </row>
    <row r="2024">
      <c r="A2024" t="n">
        <v>6982</v>
      </c>
      <c r="B2024" t="inlineStr">
        <is>
          <t>大井泵浦</t>
        </is>
      </c>
      <c r="C2024" t="n">
        <v>57.4</v>
      </c>
      <c r="D2024" t="n">
        <v>56</v>
      </c>
      <c r="E2024" s="730" t="n">
        <v>0.9</v>
      </c>
      <c r="F2024" s="731" t="n">
        <v>1.63</v>
      </c>
      <c r="G2024" t="inlineStr">
        <is>
          <t>507萬</t>
        </is>
      </c>
      <c r="H2024" t="n">
        <v>91</v>
      </c>
      <c r="I2024" t="n">
        <v>100</v>
      </c>
      <c r="J2024" t="n">
        <v>4.07</v>
      </c>
      <c r="K2024" t="n">
        <v>57.4</v>
      </c>
      <c r="L2024" t="n">
        <v>55.1</v>
      </c>
      <c r="M2024" s="155" t="n">
        <v>0.22</v>
      </c>
      <c r="N2024" t="inlineStr">
        <is>
          <t>台灣老牌的水泵產品銷售商</t>
        </is>
      </c>
    </row>
    <row r="2025">
      <c r="A2025" t="n">
        <v>6983</v>
      </c>
      <c r="B2025" t="inlineStr">
        <is>
          <t>華洋精機</t>
        </is>
      </c>
      <c r="C2025" t="n">
        <v>370.5</v>
      </c>
      <c r="D2025" t="n">
        <v>355</v>
      </c>
      <c r="E2025" s="730" t="n">
        <v>-15.5</v>
      </c>
      <c r="F2025" s="731" t="n">
        <v>-4.18</v>
      </c>
      <c r="G2025" t="inlineStr">
        <is>
          <t>8577萬</t>
        </is>
      </c>
      <c r="H2025" t="n">
        <v>241</v>
      </c>
      <c r="I2025" t="n">
        <v>412</v>
      </c>
      <c r="J2025" t="n">
        <v>1.8</v>
      </c>
      <c r="K2025" t="n">
        <v>370.5</v>
      </c>
      <c r="L2025" t="n">
        <v>345.5</v>
      </c>
      <c r="M2025" s="155" t="n">
        <v>1.34</v>
      </c>
      <c r="N2025" t="inlineStr">
        <is>
          <t>EUV光罩AOI微粒設備供應商</t>
        </is>
      </c>
    </row>
    <row r="2026">
      <c r="A2026" t="n">
        <v>6994</v>
      </c>
      <c r="B2026" t="inlineStr">
        <is>
          <t>富威電力</t>
        </is>
      </c>
      <c r="C2026" t="n">
        <v>65.5</v>
      </c>
      <c r="D2026" t="n">
        <v>62.8</v>
      </c>
      <c r="E2026" s="730" t="n">
        <v>-3.2</v>
      </c>
      <c r="F2026" s="731" t="n">
        <v>-4.85</v>
      </c>
      <c r="G2026" t="inlineStr">
        <is>
          <t>3973萬</t>
        </is>
      </c>
      <c r="H2026" t="n">
        <v>626</v>
      </c>
      <c r="I2026" t="n">
        <v>961</v>
      </c>
      <c r="J2026" t="n">
        <v>7.42</v>
      </c>
      <c r="K2026" t="n">
        <v>65.5</v>
      </c>
      <c r="L2026" t="n">
        <v>62.4</v>
      </c>
      <c r="M2026" s="155" t="n">
        <v>0.84</v>
      </c>
      <c r="N2026" t="inlineStr">
        <is>
          <t>森崴能源旗下綠電交易平台</t>
        </is>
      </c>
    </row>
    <row r="2027">
      <c r="A2027" t="n">
        <v>6996</v>
      </c>
      <c r="B2027" t="inlineStr">
        <is>
          <t>力領科技</t>
        </is>
      </c>
      <c r="C2027" t="n">
        <v>188.5</v>
      </c>
      <c r="D2027" t="n">
        <v>191.5</v>
      </c>
      <c r="E2027" s="730" t="n">
        <v>2</v>
      </c>
      <c r="F2027" s="731" t="n">
        <v>1.06</v>
      </c>
      <c r="G2027" t="inlineStr">
        <is>
          <t>2226萬</t>
        </is>
      </c>
      <c r="H2027" t="n">
        <v>118</v>
      </c>
      <c r="I2027" t="n">
        <v>203</v>
      </c>
      <c r="J2027" t="n">
        <v>4.2</v>
      </c>
      <c r="K2027" t="n">
        <v>191.5</v>
      </c>
      <c r="L2027" t="n">
        <v>187</v>
      </c>
      <c r="M2027" s="155" t="n">
        <v>0.28</v>
      </c>
      <c r="N2027" t="inlineStr">
        <is>
          <t>矽創旗下LCD驅動IC設計公司</t>
        </is>
      </c>
    </row>
    <row r="2028">
      <c r="A2028" t="n">
        <v>6997</v>
      </c>
      <c r="B2028" t="inlineStr">
        <is>
          <t>博弘</t>
        </is>
      </c>
      <c r="C2028" t="n">
        <v>77.5</v>
      </c>
      <c r="D2028" t="n">
        <v>72</v>
      </c>
      <c r="E2028" s="730" t="n">
        <v>-5.5</v>
      </c>
      <c r="F2028" s="731" t="n">
        <v>-7.1</v>
      </c>
      <c r="G2028" t="inlineStr">
        <is>
          <t>65.5萬</t>
        </is>
      </c>
      <c r="H2028" t="n">
        <v>9</v>
      </c>
      <c r="I2028" t="n">
        <v>13</v>
      </c>
      <c r="J2028" t="n">
        <v>2.21</v>
      </c>
      <c r="K2028" t="n">
        <v>77.5</v>
      </c>
      <c r="L2028" t="n">
        <v>70.5</v>
      </c>
      <c r="M2028" s="155" t="n">
        <v>0.04</v>
      </c>
      <c r="N2028" t="inlineStr">
        <is>
          <t>隸屬遠東集團，遠傳旗下之一站式雲端服務供應商</t>
        </is>
      </c>
    </row>
    <row r="2029">
      <c r="A2029" t="n">
        <v>7402</v>
      </c>
      <c r="B2029" t="inlineStr">
        <is>
          <t>邑錡</t>
        </is>
      </c>
      <c r="C2029" t="n">
        <v>104.5</v>
      </c>
      <c r="D2029" t="n">
        <v>101</v>
      </c>
      <c r="E2029" s="730" t="n">
        <v>-3</v>
      </c>
      <c r="F2029" s="731" t="n">
        <v>-2.88</v>
      </c>
      <c r="G2029" t="inlineStr">
        <is>
          <t>3813萬</t>
        </is>
      </c>
      <c r="H2029" t="n">
        <v>376</v>
      </c>
      <c r="I2029" t="n">
        <v>467</v>
      </c>
      <c r="J2029" t="n">
        <v>3.53</v>
      </c>
      <c r="K2029" t="n">
        <v>105.5</v>
      </c>
      <c r="L2029" t="n">
        <v>99.59999999999999</v>
      </c>
      <c r="M2029" s="155" t="n">
        <v>1.07</v>
      </c>
      <c r="N2029" t="inlineStr">
        <is>
          <t>以「Brinno」為品牌之縮時攝影機供應商</t>
        </is>
      </c>
    </row>
    <row r="2030">
      <c r="A2030" t="n">
        <v>7547</v>
      </c>
      <c r="B2030" t="inlineStr">
        <is>
          <t>碩網</t>
        </is>
      </c>
      <c r="C2030" t="n">
        <v>64</v>
      </c>
      <c r="D2030" t="n">
        <v>63.1</v>
      </c>
      <c r="E2030" s="730" t="n">
        <v>-0.3</v>
      </c>
      <c r="F2030" s="731" t="n">
        <v>-0.47</v>
      </c>
      <c r="G2030" t="inlineStr">
        <is>
          <t>775萬</t>
        </is>
      </c>
      <c r="H2030" t="n">
        <v>122</v>
      </c>
      <c r="I2030" t="n">
        <v>175</v>
      </c>
      <c r="J2030" t="n">
        <v>3.37</v>
      </c>
      <c r="K2030" t="n">
        <v>64.5</v>
      </c>
      <c r="L2030" t="n">
        <v>62.5</v>
      </c>
      <c r="M2030" s="155" t="n">
        <v>0.36</v>
      </c>
      <c r="N2030" t="inlineStr">
        <is>
          <t>金融業聊天機器人平台研發廠</t>
        </is>
      </c>
    </row>
    <row r="2031">
      <c r="A2031" t="n">
        <v>7556</v>
      </c>
      <c r="B2031" t="inlineStr">
        <is>
          <t>意德士</t>
        </is>
      </c>
      <c r="C2031" t="n">
        <v>287</v>
      </c>
      <c r="D2031" t="n">
        <v>272</v>
      </c>
      <c r="E2031" s="730" t="n">
        <v>-6.5</v>
      </c>
      <c r="F2031" s="731" t="n">
        <v>-2.33</v>
      </c>
      <c r="G2031" t="inlineStr">
        <is>
          <t>2753萬</t>
        </is>
      </c>
      <c r="H2031" t="n">
        <v>101</v>
      </c>
      <c r="I2031" t="n">
        <v>159</v>
      </c>
      <c r="J2031" t="n">
        <v>2.77</v>
      </c>
      <c r="K2031" t="n">
        <v>287</v>
      </c>
      <c r="L2031" t="n">
        <v>268</v>
      </c>
      <c r="M2031" s="155" t="n">
        <v>0.37</v>
      </c>
      <c r="N2031" t="inlineStr">
        <is>
          <t>半導體設備耗材供應商</t>
        </is>
      </c>
    </row>
    <row r="2032">
      <c r="A2032" t="n">
        <v>7584</v>
      </c>
      <c r="B2032" t="inlineStr">
        <is>
          <t>樂意</t>
        </is>
      </c>
      <c r="C2032" t="n">
        <v>24.25</v>
      </c>
      <c r="D2032" t="n">
        <v>23.6</v>
      </c>
      <c r="E2032" s="730" t="n">
        <v>0</v>
      </c>
      <c r="F2032" s="731" t="n">
        <v>0</v>
      </c>
      <c r="G2032" t="inlineStr">
        <is>
          <t>35.4萬</t>
        </is>
      </c>
      <c r="H2032" t="n">
        <v>15</v>
      </c>
      <c r="I2032" t="n">
        <v>35</v>
      </c>
      <c r="J2032" t="n">
        <v>1.65</v>
      </c>
      <c r="K2032" t="n">
        <v>24.25</v>
      </c>
      <c r="L2032" t="n">
        <v>23.25</v>
      </c>
      <c r="M2032" s="155" t="n">
        <v>0.09</v>
      </c>
      <c r="N2032" t="inlineStr">
        <is>
          <t>台灣知名遊戲代理營運商</t>
        </is>
      </c>
    </row>
    <row r="2033">
      <c r="A2033" t="n">
        <v>7642</v>
      </c>
      <c r="B2033" t="inlineStr">
        <is>
          <t>昶瑞機電</t>
        </is>
      </c>
      <c r="C2033" t="n">
        <v>66.7</v>
      </c>
      <c r="D2033" t="n">
        <v>65.90000000000001</v>
      </c>
      <c r="E2033" s="730" t="n">
        <v>-0.9</v>
      </c>
      <c r="F2033" s="731" t="n">
        <v>-1.35</v>
      </c>
      <c r="G2033" t="inlineStr">
        <is>
          <t>493萬</t>
        </is>
      </c>
      <c r="H2033" t="n">
        <v>75</v>
      </c>
      <c r="I2033" t="n">
        <v>26</v>
      </c>
      <c r="J2033" t="n">
        <v>3.02</v>
      </c>
      <c r="K2033" t="n">
        <v>66.7</v>
      </c>
      <c r="L2033" t="n">
        <v>65.40000000000001</v>
      </c>
      <c r="M2033" s="155" t="n">
        <v>0.25</v>
      </c>
      <c r="N2033" t="inlineStr">
        <is>
          <t>台灣直流馬達吊扇製造商</t>
        </is>
      </c>
    </row>
    <row r="2034">
      <c r="A2034" t="n">
        <v>7703</v>
      </c>
      <c r="B2034" t="inlineStr">
        <is>
          <t>銳澤</t>
        </is>
      </c>
      <c r="C2034" t="n">
        <v>208.5</v>
      </c>
      <c r="D2034" t="n">
        <v>205.5</v>
      </c>
      <c r="E2034" s="730" t="n">
        <v>-3</v>
      </c>
      <c r="F2034" s="731" t="n">
        <v>-1.44</v>
      </c>
      <c r="G2034" t="inlineStr">
        <is>
          <t>2744萬</t>
        </is>
      </c>
      <c r="H2034" t="n">
        <v>133</v>
      </c>
      <c r="I2034" t="n">
        <v>293</v>
      </c>
      <c r="J2034" t="n">
        <v>3.47</v>
      </c>
      <c r="K2034" t="n">
        <v>208.5</v>
      </c>
      <c r="L2034" t="n">
        <v>205</v>
      </c>
      <c r="M2034" s="155" t="n">
        <v>0.38</v>
      </c>
      <c r="N2034" t="inlineStr">
        <is>
          <t>朋億旗下，高科技產業廠務及製程設備廠商</t>
        </is>
      </c>
    </row>
    <row r="2035">
      <c r="A2035" t="n">
        <v>7704</v>
      </c>
      <c r="B2035" t="inlineStr">
        <is>
          <t>明遠精密</t>
        </is>
      </c>
      <c r="C2035" t="n">
        <v>62.4</v>
      </c>
      <c r="D2035" t="n">
        <v>61.5</v>
      </c>
      <c r="E2035" s="730" t="n">
        <v>-0.9</v>
      </c>
      <c r="F2035" s="731" t="n">
        <v>-1.44</v>
      </c>
      <c r="G2035" t="inlineStr">
        <is>
          <t>714萬</t>
        </is>
      </c>
      <c r="H2035" t="n">
        <v>117</v>
      </c>
      <c r="I2035" t="n">
        <v>259</v>
      </c>
      <c r="J2035" t="n">
        <v>3.38</v>
      </c>
      <c r="K2035" t="n">
        <v>62.4</v>
      </c>
      <c r="L2035" t="n">
        <v>60.3</v>
      </c>
      <c r="M2035" s="155" t="n">
        <v>0.35</v>
      </c>
      <c r="N2035" t="inlineStr">
        <is>
          <t>日揚旗下，臭氧產生器系統維修商</t>
        </is>
      </c>
    </row>
    <row r="2036">
      <c r="A2036" t="n">
        <v>7705</v>
      </c>
      <c r="B2036" t="inlineStr">
        <is>
          <t>三商餐飲</t>
        </is>
      </c>
      <c r="C2036" t="n">
        <v>31.4</v>
      </c>
      <c r="D2036" t="n">
        <v>31.25</v>
      </c>
      <c r="E2036" s="730" t="n">
        <v>-0.1</v>
      </c>
      <c r="F2036" s="731" t="n">
        <v>-0.32</v>
      </c>
      <c r="G2036" t="inlineStr">
        <is>
          <t>110萬</t>
        </is>
      </c>
      <c r="H2036" t="n">
        <v>35</v>
      </c>
      <c r="I2036" t="n">
        <v>149</v>
      </c>
      <c r="J2036" t="n">
        <v>6.61</v>
      </c>
      <c r="K2036" t="n">
        <v>31.45</v>
      </c>
      <c r="L2036" t="n">
        <v>31.2</v>
      </c>
      <c r="M2036" s="155" t="n">
        <v>0.05</v>
      </c>
      <c r="N2036" t="inlineStr">
        <is>
          <t>三商旗下，經營多品牌連鎖餐飲服務</t>
        </is>
      </c>
    </row>
    <row r="2037">
      <c r="A2037" t="n">
        <v>7708</v>
      </c>
      <c r="B2037" t="inlineStr">
        <is>
          <t>全家餐飲</t>
        </is>
      </c>
      <c r="C2037" t="n">
        <v>91.8</v>
      </c>
      <c r="D2037" t="n">
        <v>92</v>
      </c>
      <c r="E2037" s="730" t="n">
        <v>0.1</v>
      </c>
      <c r="F2037" s="731" t="n">
        <v>0.11</v>
      </c>
      <c r="G2037" t="inlineStr">
        <is>
          <t>138萬</t>
        </is>
      </c>
      <c r="H2037" t="n">
        <v>15</v>
      </c>
      <c r="I2037" t="n">
        <v>13</v>
      </c>
      <c r="J2037" t="n">
        <v>2.55</v>
      </c>
      <c r="K2037" t="n">
        <v>92</v>
      </c>
      <c r="L2037" t="n">
        <v>91.3</v>
      </c>
      <c r="M2037" s="155" t="n">
        <v>0.06</v>
      </c>
      <c r="N2037" t="inlineStr">
        <is>
          <t>全家旗下，從事連鎖餐飲服務</t>
        </is>
      </c>
    </row>
    <row r="2038">
      <c r="A2038" t="n">
        <v>7709</v>
      </c>
      <c r="B2038" t="inlineStr">
        <is>
          <t>榮田</t>
        </is>
      </c>
      <c r="C2038" t="n">
        <v>133.5</v>
      </c>
      <c r="D2038" t="n">
        <v>133.5</v>
      </c>
      <c r="E2038" s="730" t="n">
        <v>12</v>
      </c>
      <c r="F2038" s="731" t="n">
        <v>9.880000000000001</v>
      </c>
      <c r="G2038" t="inlineStr">
        <is>
          <t>2630萬</t>
        </is>
      </c>
      <c r="H2038" t="n">
        <v>198</v>
      </c>
      <c r="I2038" t="n">
        <v>375</v>
      </c>
      <c r="J2038" t="n">
        <v>3.91</v>
      </c>
      <c r="K2038" t="n">
        <v>133.5</v>
      </c>
      <c r="L2038" t="n">
        <v>133.5</v>
      </c>
      <c r="M2038" s="155" t="n">
        <v>0.51</v>
      </c>
      <c r="N2038" t="inlineStr">
        <is>
          <t>立式車床領導大廠</t>
        </is>
      </c>
    </row>
    <row r="2039">
      <c r="A2039" t="n">
        <v>7711</v>
      </c>
      <c r="B2039" t="inlineStr">
        <is>
          <t>永擎</t>
        </is>
      </c>
      <c r="C2039" t="n">
        <v>415.5</v>
      </c>
      <c r="D2039" t="n">
        <v>403.5</v>
      </c>
      <c r="E2039" s="730" t="n">
        <v>-9.5</v>
      </c>
      <c r="F2039" s="731" t="n">
        <v>-2.3</v>
      </c>
      <c r="G2039" t="inlineStr">
        <is>
          <t>4.24億</t>
        </is>
      </c>
      <c r="H2039" t="n">
        <v>1055</v>
      </c>
      <c r="I2039" t="n">
        <v>1033</v>
      </c>
      <c r="J2039" t="n">
        <v>7.17</v>
      </c>
      <c r="K2039" t="n">
        <v>418</v>
      </c>
      <c r="L2039" t="n">
        <v>390</v>
      </c>
      <c r="M2039" s="155" t="n">
        <v>1.47</v>
      </c>
      <c r="N2039" t="inlineStr">
        <is>
          <t>華擎轉投資伺服器主機板及伺服器整機系統公司</t>
        </is>
      </c>
    </row>
    <row r="2040">
      <c r="A2040" t="n">
        <v>7712</v>
      </c>
      <c r="B2040" t="inlineStr">
        <is>
          <t>博盛半導體</t>
        </is>
      </c>
      <c r="C2040" t="n">
        <v>162</v>
      </c>
      <c r="D2040" t="n">
        <v>158</v>
      </c>
      <c r="E2040" s="730" t="n">
        <v>-3.5</v>
      </c>
      <c r="F2040" s="731" t="n">
        <v>-2.17</v>
      </c>
      <c r="G2040" t="inlineStr">
        <is>
          <t>1.02億</t>
        </is>
      </c>
      <c r="H2040" t="n">
        <v>648</v>
      </c>
      <c r="I2040" t="n">
        <v>1793</v>
      </c>
      <c r="J2040" t="n">
        <v>3.26</v>
      </c>
      <c r="K2040" t="n">
        <v>166</v>
      </c>
      <c r="L2040" t="n">
        <v>155</v>
      </c>
      <c r="M2040" s="155" t="n">
        <v>1.99</v>
      </c>
      <c r="N2040" t="inlineStr">
        <is>
          <t>專業功率半導體元件及功率積體電路設計公司</t>
        </is>
      </c>
    </row>
    <row r="2041">
      <c r="A2041" t="n">
        <v>7713</v>
      </c>
      <c r="B2041" t="inlineStr">
        <is>
          <t>威力德生醫</t>
        </is>
      </c>
      <c r="C2041" t="n">
        <v>73.90000000000001</v>
      </c>
      <c r="D2041" t="n">
        <v>72.90000000000001</v>
      </c>
      <c r="E2041" s="730" t="n">
        <v>-1</v>
      </c>
      <c r="F2041" s="731" t="n">
        <v>-1.35</v>
      </c>
      <c r="G2041" t="inlineStr">
        <is>
          <t>644萬</t>
        </is>
      </c>
      <c r="H2041" t="n">
        <v>89</v>
      </c>
      <c r="I2041" t="n">
        <v>63</v>
      </c>
      <c r="J2041" t="n">
        <v>4.55</v>
      </c>
      <c r="K2041" t="n">
        <v>73.90000000000001</v>
      </c>
      <c r="L2041" t="n">
        <v>70.59999999999999</v>
      </c>
      <c r="M2041" s="155" t="n">
        <v>0.2</v>
      </c>
      <c r="N2041" t="inlineStr">
        <is>
          <t>主要代理經銷羅氏體外診斷之相關設備醫材廠</t>
        </is>
      </c>
    </row>
    <row r="2042">
      <c r="A2042" t="n">
        <v>7714</v>
      </c>
      <c r="B2042" t="inlineStr">
        <is>
          <t>創泓科技</t>
        </is>
      </c>
      <c r="C2042" t="n">
        <v>125</v>
      </c>
      <c r="D2042" t="n">
        <v>125</v>
      </c>
      <c r="E2042" s="730" t="n">
        <v>-0.5</v>
      </c>
      <c r="F2042" s="731" t="n">
        <v>-0.4</v>
      </c>
      <c r="G2042" t="inlineStr">
        <is>
          <t>1381萬</t>
        </is>
      </c>
      <c r="H2042" t="n">
        <v>112</v>
      </c>
      <c r="I2042" t="n">
        <v>116</v>
      </c>
      <c r="J2042" t="n">
        <v>2.1</v>
      </c>
      <c r="K2042" t="n">
        <v>125</v>
      </c>
      <c r="L2042" t="n">
        <v>121</v>
      </c>
      <c r="M2042" s="155" t="n">
        <v>0.53</v>
      </c>
      <c r="N2042" t="inlineStr">
        <is>
          <t>網路資安軟硬體代理商</t>
        </is>
      </c>
    </row>
    <row r="2043">
      <c r="A2043" t="n">
        <v>7715</v>
      </c>
      <c r="B2043" t="inlineStr">
        <is>
          <t>裕山</t>
        </is>
      </c>
      <c r="C2043" t="n">
        <v>28.2</v>
      </c>
      <c r="D2043" t="n">
        <v>28</v>
      </c>
      <c r="E2043" s="730" t="n">
        <v>0.05</v>
      </c>
      <c r="F2043" s="731" t="n">
        <v>0.18</v>
      </c>
      <c r="G2043" t="inlineStr">
        <is>
          <t>181萬</t>
        </is>
      </c>
      <c r="H2043" t="n">
        <v>65</v>
      </c>
      <c r="I2043" t="n">
        <v>71</v>
      </c>
      <c r="J2043" t="n">
        <v>3.27</v>
      </c>
      <c r="K2043" t="n">
        <v>28.2</v>
      </c>
      <c r="L2043" t="n">
        <v>27.8</v>
      </c>
      <c r="M2043" s="155" t="n">
        <v>0.2</v>
      </c>
      <c r="N2043" t="inlineStr">
        <is>
          <t>基士德轉投資之土壤及地下水污染整治工程服務商</t>
        </is>
      </c>
    </row>
    <row r="2044">
      <c r="A2044" t="n">
        <v>7716</v>
      </c>
      <c r="B2044" t="inlineStr">
        <is>
          <t>昱臺國際</t>
        </is>
      </c>
      <c r="C2044" t="inlineStr">
        <is>
          <t>--</t>
        </is>
      </c>
      <c r="D2044" t="inlineStr">
        <is>
          <t>--</t>
        </is>
      </c>
      <c r="E2044" s="730" t="inlineStr">
        <is>
          <t>--</t>
        </is>
      </c>
      <c r="F2044" s="731" t="inlineStr">
        <is>
          <t>--</t>
        </is>
      </c>
      <c r="G2044" t="inlineStr">
        <is>
          <t>--</t>
        </is>
      </c>
      <c r="H2044" t="n">
        <v>0</v>
      </c>
      <c r="I2044" t="n">
        <v>3</v>
      </c>
      <c r="J2044" t="n">
        <v>2.25</v>
      </c>
      <c r="K2044" t="inlineStr">
        <is>
          <t>--</t>
        </is>
      </c>
      <c r="L2044" t="inlineStr">
        <is>
          <t>--</t>
        </is>
      </c>
      <c r="M2044" s="155" t="n">
        <v>0</v>
      </c>
      <c r="N2044" t="inlineStr">
        <is>
          <t>主要提供貨物之海運承攬服務</t>
        </is>
      </c>
    </row>
    <row r="2045">
      <c r="A2045" t="n">
        <v>7717</v>
      </c>
      <c r="B2045" t="inlineStr">
        <is>
          <t>萊德光電-KY</t>
        </is>
      </c>
      <c r="C2045" t="n">
        <v>675</v>
      </c>
      <c r="D2045" t="n">
        <v>646</v>
      </c>
      <c r="E2045" s="730" t="n">
        <v>-23</v>
      </c>
      <c r="F2045" s="731" t="n">
        <v>-3.44</v>
      </c>
      <c r="G2045" t="inlineStr">
        <is>
          <t>2.07億</t>
        </is>
      </c>
      <c r="H2045" t="n">
        <v>315</v>
      </c>
      <c r="I2045" t="n">
        <v>490</v>
      </c>
      <c r="J2045" t="n">
        <v>2.48</v>
      </c>
      <c r="K2045" t="n">
        <v>688</v>
      </c>
      <c r="L2045" t="n">
        <v>636</v>
      </c>
      <c r="M2045" s="155" t="n">
        <v>1.27</v>
      </c>
      <c r="N2045" t="inlineStr">
        <is>
          <t>聚焦在利基型產品的光纖被動元件廠商</t>
        </is>
      </c>
    </row>
    <row r="2046">
      <c r="A2046" t="n">
        <v>7718</v>
      </c>
      <c r="B2046" t="inlineStr">
        <is>
          <t>友鋮</t>
        </is>
      </c>
      <c r="C2046" t="n">
        <v>51</v>
      </c>
      <c r="D2046" t="n">
        <v>49.6</v>
      </c>
      <c r="E2046" s="730" t="n">
        <v>-0.1</v>
      </c>
      <c r="F2046" s="731" t="n">
        <v>-0.2</v>
      </c>
      <c r="G2046" t="inlineStr">
        <is>
          <t>90.5萬</t>
        </is>
      </c>
      <c r="H2046" t="n">
        <v>18</v>
      </c>
      <c r="I2046" t="n">
        <v>37</v>
      </c>
      <c r="J2046" t="n">
        <v>4.64</v>
      </c>
      <c r="K2046" t="n">
        <v>51</v>
      </c>
      <c r="L2046" t="n">
        <v>49.6</v>
      </c>
      <c r="M2046" s="155" t="n">
        <v>0.04</v>
      </c>
      <c r="N2046" t="inlineStr">
        <is>
          <t>台灣車用與工業用扣件供應商</t>
        </is>
      </c>
    </row>
    <row r="2047">
      <c r="A2047" t="n">
        <v>7721</v>
      </c>
      <c r="B2047" t="inlineStr">
        <is>
          <t>微程式</t>
        </is>
      </c>
      <c r="C2047" t="n">
        <v>79.5</v>
      </c>
      <c r="D2047" t="n">
        <v>75.7</v>
      </c>
      <c r="E2047" s="730" t="n">
        <v>-4.3</v>
      </c>
      <c r="F2047" s="731" t="n">
        <v>-5.38</v>
      </c>
      <c r="G2047" t="inlineStr">
        <is>
          <t>8090萬</t>
        </is>
      </c>
      <c r="H2047" t="n">
        <v>1057</v>
      </c>
      <c r="I2047" t="n">
        <v>815</v>
      </c>
      <c r="J2047" t="n">
        <v>5.54</v>
      </c>
      <c r="K2047" t="n">
        <v>80</v>
      </c>
      <c r="L2047" t="n">
        <v>74.3</v>
      </c>
      <c r="M2047" s="155" t="n">
        <v>2.1</v>
      </c>
      <c r="N2047" t="inlineStr">
        <is>
          <t>IOT科技服務及電子支付設備供應商</t>
        </is>
      </c>
    </row>
    <row r="2048">
      <c r="A2048" t="n">
        <v>7722</v>
      </c>
      <c r="B2048" t="inlineStr">
        <is>
          <t>LINEPAY</t>
        </is>
      </c>
      <c r="C2048" t="n">
        <v>280</v>
      </c>
      <c r="D2048" t="n">
        <v>270.5</v>
      </c>
      <c r="E2048" s="730" t="n">
        <v>-9.5</v>
      </c>
      <c r="F2048" s="731" t="n">
        <v>-3.39</v>
      </c>
      <c r="G2048" t="inlineStr">
        <is>
          <t>5142萬</t>
        </is>
      </c>
      <c r="H2048" t="n">
        <v>189</v>
      </c>
      <c r="I2048" t="n">
        <v>140</v>
      </c>
      <c r="J2048" t="n">
        <v>6.8</v>
      </c>
      <c r="K2048" t="n">
        <v>280</v>
      </c>
      <c r="L2048" t="n">
        <v>268</v>
      </c>
      <c r="M2048" s="155" t="n">
        <v>0.28</v>
      </c>
      <c r="N2048" t="inlineStr">
        <is>
          <t>台灣行動支付領導品牌</t>
        </is>
      </c>
    </row>
    <row r="2049">
      <c r="A2049" t="n">
        <v>7723</v>
      </c>
      <c r="B2049" t="inlineStr">
        <is>
          <t>築間</t>
        </is>
      </c>
      <c r="C2049" t="n">
        <v>22.65</v>
      </c>
      <c r="D2049" t="n">
        <v>22.9</v>
      </c>
      <c r="E2049" s="730" t="n">
        <v>0.25</v>
      </c>
      <c r="F2049" s="731" t="n">
        <v>1.1</v>
      </c>
      <c r="G2049" t="inlineStr">
        <is>
          <t>319萬</t>
        </is>
      </c>
      <c r="H2049" t="n">
        <v>139</v>
      </c>
      <c r="I2049" t="n">
        <v>157</v>
      </c>
      <c r="J2049" t="n">
        <v>4.96</v>
      </c>
      <c r="K2049" t="n">
        <v>23.3</v>
      </c>
      <c r="L2049" t="n">
        <v>22.5</v>
      </c>
      <c r="M2049" s="155" t="n">
        <v>0.28</v>
      </c>
      <c r="N2049" t="inlineStr">
        <is>
          <t>台灣知名火鍋與燒肉連鎖餐飲企業</t>
        </is>
      </c>
    </row>
    <row r="2050">
      <c r="A2050" t="n">
        <v>7728</v>
      </c>
      <c r="B2050" t="inlineStr">
        <is>
          <t>光焱科技</t>
        </is>
      </c>
      <c r="C2050" t="n">
        <v>744</v>
      </c>
      <c r="D2050" t="n">
        <v>715</v>
      </c>
      <c r="E2050" s="730" t="n">
        <v>-25</v>
      </c>
      <c r="F2050" s="731" t="n">
        <v>-3.38</v>
      </c>
      <c r="G2050" t="inlineStr">
        <is>
          <t>6440萬</t>
        </is>
      </c>
      <c r="H2050" t="n">
        <v>89</v>
      </c>
      <c r="I2050" t="n">
        <v>155</v>
      </c>
      <c r="J2050" t="n">
        <v>1.39</v>
      </c>
      <c r="K2050" t="n">
        <v>746</v>
      </c>
      <c r="L2050" t="n">
        <v>714</v>
      </c>
      <c r="M2050" s="155" t="n">
        <v>0.64</v>
      </c>
      <c r="N2050" t="inlineStr">
        <is>
          <t>光電子晶片(PIC)檢測大廠</t>
        </is>
      </c>
    </row>
    <row r="2051">
      <c r="A2051" t="n">
        <v>7732</v>
      </c>
      <c r="B2051" t="inlineStr">
        <is>
          <t>金興精密</t>
        </is>
      </c>
      <c r="C2051" t="n">
        <v>36.3</v>
      </c>
      <c r="D2051" t="n">
        <v>36.1</v>
      </c>
      <c r="E2051" s="730" t="n">
        <v>0.05</v>
      </c>
      <c r="F2051" s="731" t="n">
        <v>0.14</v>
      </c>
      <c r="G2051" t="inlineStr">
        <is>
          <t>101萬</t>
        </is>
      </c>
      <c r="H2051" t="n">
        <v>28</v>
      </c>
      <c r="I2051" t="n">
        <v>30</v>
      </c>
      <c r="J2051" t="n">
        <v>6.47</v>
      </c>
      <c r="K2051" t="n">
        <v>36.3</v>
      </c>
      <c r="L2051" t="n">
        <v>35.75</v>
      </c>
      <c r="M2051" s="155" t="n">
        <v>0.04</v>
      </c>
      <c r="N2051" t="inlineStr">
        <is>
          <t>台灣車用散熱風扇、馬達、鼓風機製造商</t>
        </is>
      </c>
    </row>
    <row r="2052">
      <c r="A2052" t="n">
        <v>7734</v>
      </c>
      <c r="B2052" t="inlineStr">
        <is>
          <t>印能科技</t>
        </is>
      </c>
      <c r="C2052" t="n">
        <v>3425</v>
      </c>
      <c r="D2052" t="n">
        <v>3230</v>
      </c>
      <c r="E2052" s="730" t="n">
        <v>-185</v>
      </c>
      <c r="F2052" s="731" t="n">
        <v>-5.42</v>
      </c>
      <c r="G2052" t="inlineStr">
        <is>
          <t>3.92億</t>
        </is>
      </c>
      <c r="H2052" t="n">
        <v>120</v>
      </c>
      <c r="I2052" t="n">
        <v>325</v>
      </c>
      <c r="J2052" t="n">
        <v>2.8</v>
      </c>
      <c r="K2052" t="n">
        <v>3425</v>
      </c>
      <c r="L2052" t="n">
        <v>3230</v>
      </c>
      <c r="M2052" s="155" t="n">
        <v>0.43</v>
      </c>
      <c r="N2052" t="inlineStr">
        <is>
          <t>半導體封裝製程氣泡解決方案商</t>
        </is>
      </c>
    </row>
    <row r="2053">
      <c r="A2053" t="n">
        <v>7736</v>
      </c>
      <c r="B2053" t="inlineStr">
        <is>
          <t>虎山</t>
        </is>
      </c>
      <c r="C2053" t="n">
        <v>74.3</v>
      </c>
      <c r="D2053" t="n">
        <v>74</v>
      </c>
      <c r="E2053" s="730" t="n">
        <v>-0.3</v>
      </c>
      <c r="F2053" s="731" t="n">
        <v>-0.4</v>
      </c>
      <c r="G2053" t="inlineStr">
        <is>
          <t>66.5萬</t>
        </is>
      </c>
      <c r="H2053" t="n">
        <v>9</v>
      </c>
      <c r="I2053" t="n">
        <v>60</v>
      </c>
      <c r="J2053" t="n">
        <v>7.6</v>
      </c>
      <c r="K2053" t="n">
        <v>74.3</v>
      </c>
      <c r="L2053" t="n">
        <v>73.2</v>
      </c>
      <c r="M2053" s="155" t="n">
        <v>0.01</v>
      </c>
      <c r="N2053" t="inlineStr">
        <is>
          <t>全球AM車門把手產銷龍頭</t>
        </is>
      </c>
    </row>
    <row r="2054">
      <c r="A2054" t="n">
        <v>7738</v>
      </c>
      <c r="B2054" t="inlineStr">
        <is>
          <t>東聯互動</t>
        </is>
      </c>
      <c r="C2054" t="n">
        <v>180</v>
      </c>
      <c r="D2054" t="n">
        <v>171</v>
      </c>
      <c r="E2054" s="730" t="n">
        <v>-3</v>
      </c>
      <c r="F2054" s="731" t="n">
        <v>-1.72</v>
      </c>
      <c r="G2054" t="inlineStr">
        <is>
          <t>1009萬</t>
        </is>
      </c>
      <c r="H2054" t="n">
        <v>59</v>
      </c>
      <c r="I2054" t="n">
        <v>60</v>
      </c>
      <c r="J2054" t="n">
        <v>2.74</v>
      </c>
      <c r="K2054" t="n">
        <v>180</v>
      </c>
      <c r="L2054" t="n">
        <v>169</v>
      </c>
      <c r="M2054" s="155" t="n">
        <v>0.22</v>
      </c>
      <c r="N2054" t="inlineStr">
        <is>
          <t>為外籍工作者提供小額跨境匯兌服務</t>
        </is>
      </c>
    </row>
    <row r="2055">
      <c r="A2055" t="n">
        <v>7743</v>
      </c>
      <c r="B2055" t="inlineStr">
        <is>
          <t>金利食安</t>
        </is>
      </c>
      <c r="C2055" t="n">
        <v>19</v>
      </c>
      <c r="D2055" t="n">
        <v>19</v>
      </c>
      <c r="E2055" s="730" t="n">
        <v>-0.05</v>
      </c>
      <c r="F2055" s="731" t="n">
        <v>-0.26</v>
      </c>
      <c r="G2055" t="inlineStr">
        <is>
          <t>1.90萬</t>
        </is>
      </c>
      <c r="H2055" t="n">
        <v>1</v>
      </c>
      <c r="I2055" t="n">
        <v>16</v>
      </c>
      <c r="J2055" t="n">
        <v>3.65</v>
      </c>
      <c r="K2055" t="n">
        <v>19</v>
      </c>
      <c r="L2055" t="n">
        <v>19</v>
      </c>
      <c r="M2055" s="155" t="n">
        <v>0</v>
      </c>
      <c r="N2055" t="inlineStr">
        <is>
          <t>冷壓蔬果汁供應商</t>
        </is>
      </c>
    </row>
    <row r="2056">
      <c r="A2056" t="n">
        <v>7744</v>
      </c>
      <c r="B2056" t="inlineStr">
        <is>
          <t>崴寶</t>
        </is>
      </c>
      <c r="C2056" t="n">
        <v>515</v>
      </c>
      <c r="D2056" t="n">
        <v>500</v>
      </c>
      <c r="E2056" s="730" t="n">
        <v>3</v>
      </c>
      <c r="F2056" s="731" t="n">
        <v>0.6</v>
      </c>
      <c r="G2056" t="inlineStr">
        <is>
          <t>2.25億</t>
        </is>
      </c>
      <c r="H2056" t="n">
        <v>437</v>
      </c>
      <c r="I2056" t="n">
        <v>261</v>
      </c>
      <c r="J2056" t="n">
        <v>3.2</v>
      </c>
      <c r="K2056" t="n">
        <v>540</v>
      </c>
      <c r="L2056" t="n">
        <v>490</v>
      </c>
      <c r="M2056" s="155" t="n">
        <v>1.37</v>
      </c>
      <c r="N2056" t="inlineStr">
        <is>
          <t>機構整合解決方案服務商</t>
        </is>
      </c>
    </row>
    <row r="2057">
      <c r="A2057" t="n">
        <v>7747</v>
      </c>
      <c r="B2057" t="inlineStr">
        <is>
          <t>昕奇雲端</t>
        </is>
      </c>
      <c r="C2057" t="n">
        <v>128</v>
      </c>
      <c r="D2057" t="n">
        <v>128.5</v>
      </c>
      <c r="E2057" s="730" t="n">
        <v>0</v>
      </c>
      <c r="F2057" s="731" t="n">
        <v>0</v>
      </c>
      <c r="G2057" t="inlineStr">
        <is>
          <t>89.8萬</t>
        </is>
      </c>
      <c r="H2057" t="n">
        <v>7</v>
      </c>
      <c r="I2057" t="n">
        <v>2</v>
      </c>
      <c r="J2057" t="n">
        <v>2.74</v>
      </c>
      <c r="K2057" t="n">
        <v>128.5</v>
      </c>
      <c r="L2057" t="n">
        <v>128</v>
      </c>
      <c r="M2057" s="155" t="n">
        <v>0.03</v>
      </c>
      <c r="N2057" t="inlineStr">
        <is>
          <t>上奇轉投資雲端服務及網通資安公司</t>
        </is>
      </c>
    </row>
    <row r="2058">
      <c r="A2058" t="n">
        <v>7749</v>
      </c>
      <c r="B2058" t="inlineStr">
        <is>
          <t>意騰-KY</t>
        </is>
      </c>
      <c r="C2058" t="n">
        <v>507</v>
      </c>
      <c r="D2058" t="n">
        <v>491</v>
      </c>
      <c r="E2058" s="730" t="n">
        <v>-8</v>
      </c>
      <c r="F2058" s="731" t="n">
        <v>-1.6</v>
      </c>
      <c r="G2058" t="inlineStr">
        <is>
          <t>2.12億</t>
        </is>
      </c>
      <c r="H2058" t="n">
        <v>432</v>
      </c>
      <c r="I2058" t="n">
        <v>720</v>
      </c>
      <c r="J2058" t="n">
        <v>4.65</v>
      </c>
      <c r="K2058" t="n">
        <v>509</v>
      </c>
      <c r="L2058" t="n">
        <v>485.5</v>
      </c>
      <c r="M2058" s="155" t="n">
        <v>0.93</v>
      </c>
      <c r="N2058" t="inlineStr">
        <is>
          <t>AI聲學處理及語音識別ASIC及AI智財授權公司</t>
        </is>
      </c>
    </row>
    <row r="2059">
      <c r="A2059" t="n">
        <v>7750</v>
      </c>
      <c r="B2059" t="inlineStr">
        <is>
          <t>新代</t>
        </is>
      </c>
      <c r="C2059" t="n">
        <v>2280</v>
      </c>
      <c r="D2059" t="n">
        <v>2200</v>
      </c>
      <c r="E2059" s="730" t="n">
        <v>-50</v>
      </c>
      <c r="F2059" s="731" t="n">
        <v>-2.22</v>
      </c>
      <c r="G2059" t="inlineStr">
        <is>
          <t>10.2億</t>
        </is>
      </c>
      <c r="H2059" t="n">
        <v>455</v>
      </c>
      <c r="I2059" t="n">
        <v>603</v>
      </c>
      <c r="J2059" t="n">
        <v>7.18</v>
      </c>
      <c r="K2059" t="n">
        <v>2305</v>
      </c>
      <c r="L2059" t="n">
        <v>2200</v>
      </c>
      <c r="M2059" s="155" t="n">
        <v>0.63</v>
      </c>
      <c r="N2059" t="inlineStr">
        <is>
          <t>生產精密設備控制器為主的製造商</t>
        </is>
      </c>
    </row>
    <row r="2060">
      <c r="A2060" t="n">
        <v>7751</v>
      </c>
      <c r="B2060" t="inlineStr">
        <is>
          <t>竑騰</t>
        </is>
      </c>
      <c r="C2060" t="n">
        <v>1820</v>
      </c>
      <c r="D2060" t="n">
        <v>1670</v>
      </c>
      <c r="E2060" s="730" t="n">
        <v>-160</v>
      </c>
      <c r="F2060" s="731" t="n">
        <v>-8.74</v>
      </c>
      <c r="G2060" t="inlineStr">
        <is>
          <t>9.15億</t>
        </is>
      </c>
      <c r="H2060" t="n">
        <v>540</v>
      </c>
      <c r="I2060" t="n">
        <v>337</v>
      </c>
      <c r="J2060" t="n">
        <v>2.69</v>
      </c>
      <c r="K2060" t="n">
        <v>1860</v>
      </c>
      <c r="L2060" t="n">
        <v>1650</v>
      </c>
      <c r="M2060" s="155" t="n">
        <v>2.01</v>
      </c>
      <c r="N2060" t="inlineStr">
        <is>
          <t>半導體封裝及檢測設備製造商</t>
        </is>
      </c>
    </row>
    <row r="2061">
      <c r="A2061" t="n">
        <v>7753</v>
      </c>
      <c r="B2061" t="inlineStr">
        <is>
          <t>星亞</t>
        </is>
      </c>
      <c r="C2061" t="n">
        <v>43.65</v>
      </c>
      <c r="D2061" t="n">
        <v>43.15</v>
      </c>
      <c r="E2061" s="730" t="n">
        <v>-0.4</v>
      </c>
      <c r="F2061" s="731" t="n">
        <v>-0.92</v>
      </c>
      <c r="G2061" t="inlineStr">
        <is>
          <t>151萬</t>
        </is>
      </c>
      <c r="H2061" t="n">
        <v>35</v>
      </c>
      <c r="I2061" t="n">
        <v>58</v>
      </c>
      <c r="J2061" t="n">
        <v>2.5</v>
      </c>
      <c r="K2061" t="n">
        <v>43.7</v>
      </c>
      <c r="L2061" t="n">
        <v>42.65</v>
      </c>
      <c r="M2061" s="155" t="n">
        <v>0.14</v>
      </c>
      <c r="N2061" t="inlineStr">
        <is>
          <t>台亞旗下數位顯示系統及視覺燈光系統製造商</t>
        </is>
      </c>
    </row>
    <row r="2062">
      <c r="A2062" t="n">
        <v>7757</v>
      </c>
      <c r="B2062" t="inlineStr">
        <is>
          <t>金色三麥</t>
        </is>
      </c>
      <c r="C2062" t="n">
        <v>113</v>
      </c>
      <c r="D2062" t="n">
        <v>110</v>
      </c>
      <c r="E2062" s="730" t="n">
        <v>0</v>
      </c>
      <c r="F2062" s="731" t="n">
        <v>0</v>
      </c>
      <c r="G2062" t="inlineStr">
        <is>
          <t>956萬</t>
        </is>
      </c>
      <c r="H2062" t="n">
        <v>87</v>
      </c>
      <c r="I2062" t="n">
        <v>42</v>
      </c>
      <c r="J2062" t="n">
        <v>2.41</v>
      </c>
      <c r="K2062" t="n">
        <v>113</v>
      </c>
      <c r="L2062" t="n">
        <v>107.5</v>
      </c>
      <c r="M2062" s="155" t="n">
        <v>0.36</v>
      </c>
      <c r="N2062" t="inlineStr">
        <is>
          <t>主要經營精釀啤酒釀造及餐廳</t>
        </is>
      </c>
    </row>
    <row r="2063">
      <c r="A2063" t="n">
        <v>7760</v>
      </c>
      <c r="B2063" t="inlineStr">
        <is>
          <t>享溫馨</t>
        </is>
      </c>
      <c r="C2063" t="n">
        <v>31.45</v>
      </c>
      <c r="D2063" t="n">
        <v>31.95</v>
      </c>
      <c r="E2063" s="730" t="n">
        <v>-0.35</v>
      </c>
      <c r="F2063" s="731" t="n">
        <v>-1.08</v>
      </c>
      <c r="G2063" t="inlineStr">
        <is>
          <t>416萬</t>
        </is>
      </c>
      <c r="H2063" t="n">
        <v>132</v>
      </c>
      <c r="I2063" t="n">
        <v>169</v>
      </c>
      <c r="J2063" t="n">
        <v>6.6</v>
      </c>
      <c r="K2063" t="n">
        <v>31.95</v>
      </c>
      <c r="L2063" t="n">
        <v>31.25</v>
      </c>
      <c r="M2063" s="155" t="n">
        <v>0.2</v>
      </c>
      <c r="N2063" t="inlineStr">
        <is>
          <t>主要從事庭園式KTV及餐飲業務</t>
        </is>
      </c>
    </row>
    <row r="2064">
      <c r="A2064" t="n">
        <v>7765</v>
      </c>
      <c r="B2064" t="inlineStr">
        <is>
          <t>中華資安</t>
        </is>
      </c>
      <c r="C2064" t="n">
        <v>266.5</v>
      </c>
      <c r="D2064" t="n">
        <v>261.5</v>
      </c>
      <c r="E2064" s="730" t="n">
        <v>-9.5</v>
      </c>
      <c r="F2064" s="731" t="n">
        <v>-3.51</v>
      </c>
      <c r="G2064" t="inlineStr">
        <is>
          <t>4003萬</t>
        </is>
      </c>
      <c r="H2064" t="n">
        <v>153</v>
      </c>
      <c r="I2064" t="n">
        <v>165</v>
      </c>
      <c r="J2064" t="n">
        <v>4.07</v>
      </c>
      <c r="K2064" t="n">
        <v>271.5</v>
      </c>
      <c r="L2064" t="n">
        <v>259.5</v>
      </c>
      <c r="M2064" s="155" t="n">
        <v>0.38</v>
      </c>
      <c r="N2064" t="inlineStr">
        <is>
          <t>中華電信轉投資，資安專業服務公司</t>
        </is>
      </c>
    </row>
    <row r="2065">
      <c r="A2065" t="n">
        <v>7767</v>
      </c>
      <c r="B2065" t="inlineStr">
        <is>
          <t>仁大資訊</t>
        </is>
      </c>
      <c r="C2065" t="n">
        <v>41.5</v>
      </c>
      <c r="D2065" t="n">
        <v>41.95</v>
      </c>
      <c r="E2065" s="730" t="n">
        <v>0.35</v>
      </c>
      <c r="F2065" s="731" t="n">
        <v>0.84</v>
      </c>
      <c r="G2065" t="inlineStr">
        <is>
          <t>87.4萬</t>
        </is>
      </c>
      <c r="H2065" t="n">
        <v>21</v>
      </c>
      <c r="I2065" t="n">
        <v>55</v>
      </c>
      <c r="J2065" t="n">
        <v>3.01</v>
      </c>
      <c r="K2065" t="n">
        <v>41.95</v>
      </c>
      <c r="L2065" t="n">
        <v>41.35</v>
      </c>
      <c r="M2065" s="155" t="n">
        <v>0.07000000000000001</v>
      </c>
      <c r="N2065" t="inlineStr">
        <is>
          <t>一站式全方位資訊服務系統整合廠商</t>
        </is>
      </c>
    </row>
    <row r="2066">
      <c r="A2066" t="n">
        <v>7768</v>
      </c>
      <c r="B2066" t="inlineStr">
        <is>
          <t>頌勝科技</t>
        </is>
      </c>
      <c r="C2066" t="n">
        <v>421</v>
      </c>
      <c r="D2066" t="n">
        <v>428</v>
      </c>
      <c r="E2066" s="730" t="n">
        <v>12</v>
      </c>
      <c r="F2066" s="731" t="n">
        <v>2.88</v>
      </c>
      <c r="G2066" t="inlineStr">
        <is>
          <t>4.12億</t>
        </is>
      </c>
      <c r="H2066" t="n">
        <v>966</v>
      </c>
      <c r="I2066" t="n">
        <v>435</v>
      </c>
      <c r="J2066" t="n">
        <v>7.01</v>
      </c>
      <c r="K2066" t="n">
        <v>440</v>
      </c>
      <c r="L2066" t="n">
        <v>418.5</v>
      </c>
      <c r="M2066" s="155" t="n">
        <v>1.38</v>
      </c>
      <c r="N2066" t="inlineStr">
        <is>
          <t>從事半導體CMP研磨墊材料、醫療保健鞋墊等生產</t>
        </is>
      </c>
    </row>
    <row r="2067">
      <c r="A2067" t="n">
        <v>7769</v>
      </c>
      <c r="B2067" t="inlineStr">
        <is>
          <t>鴻勁</t>
        </is>
      </c>
      <c r="C2067" t="n">
        <v>7120</v>
      </c>
      <c r="D2067" t="n">
        <v>7175</v>
      </c>
      <c r="E2067" s="730" t="n">
        <v>-340</v>
      </c>
      <c r="F2067" s="731" t="n">
        <v>-4.52</v>
      </c>
      <c r="G2067" t="inlineStr">
        <is>
          <t>78.8億</t>
        </is>
      </c>
      <c r="H2067" t="n">
        <v>1090</v>
      </c>
      <c r="I2067" t="n">
        <v>1056</v>
      </c>
      <c r="J2067" t="n">
        <v>17.99</v>
      </c>
      <c r="K2067" t="n">
        <v>7480</v>
      </c>
      <c r="L2067" t="n">
        <v>7110</v>
      </c>
      <c r="M2067" s="155" t="n">
        <v>0.61</v>
      </c>
      <c r="N2067" t="inlineStr">
        <is>
          <t>國內知名的半導體IC測試設備供應商</t>
        </is>
      </c>
    </row>
    <row r="2068">
      <c r="A2068" t="n">
        <v>7770</v>
      </c>
      <c r="B2068" t="inlineStr">
        <is>
          <t>君曜</t>
        </is>
      </c>
      <c r="C2068" t="n">
        <v>43.15</v>
      </c>
      <c r="D2068" t="n">
        <v>44.05</v>
      </c>
      <c r="E2068" s="730" t="n">
        <v>0</v>
      </c>
      <c r="F2068" s="731" t="n">
        <v>0</v>
      </c>
      <c r="G2068" t="inlineStr">
        <is>
          <t>112萬</t>
        </is>
      </c>
      <c r="H2068" t="n">
        <v>26</v>
      </c>
      <c r="I2068" t="n">
        <v>50</v>
      </c>
      <c r="J2068" t="n">
        <v>3.01</v>
      </c>
      <c r="K2068" t="n">
        <v>44.05</v>
      </c>
      <c r="L2068" t="n">
        <v>42.6</v>
      </c>
      <c r="M2068" s="155" t="n">
        <v>0.09</v>
      </c>
      <c r="N2068" t="inlineStr">
        <is>
          <t>專攻高速傳輸介面及觸控IC設計公司</t>
        </is>
      </c>
    </row>
    <row r="2069">
      <c r="A2069" t="n">
        <v>7772</v>
      </c>
      <c r="B2069" t="inlineStr">
        <is>
          <t>耀穎</t>
        </is>
      </c>
      <c r="C2069" t="n">
        <v>150</v>
      </c>
      <c r="D2069" t="n">
        <v>143</v>
      </c>
      <c r="E2069" s="730" t="n">
        <v>-3.5</v>
      </c>
      <c r="F2069" s="731" t="n">
        <v>-2.39</v>
      </c>
      <c r="G2069" t="inlineStr">
        <is>
          <t>2259萬</t>
        </is>
      </c>
      <c r="H2069" t="n">
        <v>156</v>
      </c>
      <c r="I2069" t="n">
        <v>312</v>
      </c>
      <c r="J2069" t="n">
        <v>2.65</v>
      </c>
      <c r="K2069" t="n">
        <v>152.5</v>
      </c>
      <c r="L2069" t="n">
        <v>142</v>
      </c>
      <c r="M2069" s="155" t="n">
        <v>0.59</v>
      </c>
      <c r="N2069" t="inlineStr">
        <is>
          <t>半導體光學整合製造商</t>
        </is>
      </c>
    </row>
    <row r="2070">
      <c r="A2070" t="n">
        <v>7777</v>
      </c>
      <c r="B2070" t="inlineStr">
        <is>
          <t>能率亞洲</t>
        </is>
      </c>
      <c r="C2070" t="n">
        <v>43.75</v>
      </c>
      <c r="D2070" t="n">
        <v>41.05</v>
      </c>
      <c r="E2070" s="730" t="n">
        <v>-2.5</v>
      </c>
      <c r="F2070" s="731" t="n">
        <v>-5.74</v>
      </c>
      <c r="G2070" t="inlineStr">
        <is>
          <t>3.26億</t>
        </is>
      </c>
      <c r="H2070" t="n">
        <v>7708</v>
      </c>
      <c r="I2070" t="n">
        <v>9054</v>
      </c>
      <c r="J2070" t="n">
        <v>18.25</v>
      </c>
      <c r="K2070" t="n">
        <v>44.85</v>
      </c>
      <c r="L2070" t="n">
        <v>40</v>
      </c>
      <c r="M2070" s="155" t="n">
        <v>4.22</v>
      </c>
      <c r="N2070" t="inlineStr">
        <is>
          <t>台灣第二家掛牌的永續型創業投資公司</t>
        </is>
      </c>
    </row>
    <row r="2071">
      <c r="A2071" t="n">
        <v>7780</v>
      </c>
      <c r="B2071" t="inlineStr">
        <is>
          <t>大研生醫*</t>
        </is>
      </c>
      <c r="C2071" t="n">
        <v>17.6</v>
      </c>
      <c r="D2071" t="n">
        <v>17.55</v>
      </c>
      <c r="E2071" s="730" t="n">
        <v>-0.05</v>
      </c>
      <c r="F2071" s="731" t="n">
        <v>-0.28</v>
      </c>
      <c r="G2071" t="inlineStr">
        <is>
          <t>3257萬</t>
        </is>
      </c>
      <c r="H2071" t="n">
        <v>1854</v>
      </c>
      <c r="I2071" t="n">
        <v>2233</v>
      </c>
      <c r="J2071" t="n">
        <v>8.1</v>
      </c>
      <c r="K2071" t="n">
        <v>17.7</v>
      </c>
      <c r="L2071" t="n">
        <v>17.5</v>
      </c>
      <c r="M2071" s="155" t="n">
        <v>0.23</v>
      </c>
      <c r="N2071" t="inlineStr">
        <is>
          <t>尚凡旗下子公司，以生產保健食品為主</t>
        </is>
      </c>
    </row>
    <row r="2072">
      <c r="A2072" t="n">
        <v>7782</v>
      </c>
      <c r="B2072" t="inlineStr">
        <is>
          <t>光速火箭</t>
        </is>
      </c>
      <c r="C2072" t="n">
        <v>25.5</v>
      </c>
      <c r="D2072" t="n">
        <v>25.55</v>
      </c>
      <c r="E2072" s="730" t="n">
        <v>-0.1</v>
      </c>
      <c r="F2072" s="731" t="n">
        <v>-0.39</v>
      </c>
      <c r="G2072" t="inlineStr">
        <is>
          <t>48.2萬</t>
        </is>
      </c>
      <c r="H2072" t="n">
        <v>19</v>
      </c>
      <c r="I2072" t="n">
        <v>32</v>
      </c>
      <c r="J2072" t="n">
        <v>2.32</v>
      </c>
      <c r="K2072" t="n">
        <v>25.65</v>
      </c>
      <c r="L2072" t="n">
        <v>25.2</v>
      </c>
      <c r="M2072" s="155" t="n">
        <v>0.08</v>
      </c>
      <c r="N2072" t="inlineStr">
        <is>
          <t>專注自有香氛品牌、電商平台領域</t>
        </is>
      </c>
    </row>
    <row r="2073">
      <c r="A2073" t="n">
        <v>7786</v>
      </c>
      <c r="B2073" t="inlineStr">
        <is>
          <t>東方風能</t>
        </is>
      </c>
      <c r="C2073" t="n">
        <v>115</v>
      </c>
      <c r="D2073" t="n">
        <v>114</v>
      </c>
      <c r="E2073" s="730" t="n">
        <v>-1</v>
      </c>
      <c r="F2073" s="731" t="n">
        <v>-0.87</v>
      </c>
      <c r="G2073" t="inlineStr">
        <is>
          <t>3773萬</t>
        </is>
      </c>
      <c r="H2073" t="n">
        <v>332</v>
      </c>
      <c r="I2073" t="n">
        <v>276</v>
      </c>
      <c r="J2073" t="n">
        <v>17.6</v>
      </c>
      <c r="K2073" t="n">
        <v>115.5</v>
      </c>
      <c r="L2073" t="n">
        <v>113</v>
      </c>
      <c r="M2073" s="155" t="n">
        <v>0.19</v>
      </c>
      <c r="N2073" t="inlineStr">
        <is>
          <t>經營離岸風力發電相關工程</t>
        </is>
      </c>
    </row>
    <row r="2074">
      <c r="A2074" t="n">
        <v>7788</v>
      </c>
      <c r="B2074" t="inlineStr">
        <is>
          <t>松川精密</t>
        </is>
      </c>
      <c r="C2074" t="n">
        <v>190</v>
      </c>
      <c r="D2074" t="n">
        <v>182</v>
      </c>
      <c r="E2074" s="730" t="n">
        <v>-7.5</v>
      </c>
      <c r="F2074" s="731" t="n">
        <v>-3.96</v>
      </c>
      <c r="G2074" t="inlineStr">
        <is>
          <t>1.31億</t>
        </is>
      </c>
      <c r="H2074" t="n">
        <v>717</v>
      </c>
      <c r="I2074" t="n">
        <v>1386</v>
      </c>
      <c r="J2074" t="n">
        <v>7.97</v>
      </c>
      <c r="K2074" t="n">
        <v>190</v>
      </c>
      <c r="L2074" t="n">
        <v>178</v>
      </c>
      <c r="M2074" s="155" t="n">
        <v>0.9</v>
      </c>
      <c r="N2074" t="inlineStr">
        <is>
          <t>台灣最具規模的繼電器製造公司</t>
        </is>
      </c>
    </row>
    <row r="2075">
      <c r="A2075" t="n">
        <v>7791</v>
      </c>
      <c r="B2075" t="inlineStr">
        <is>
          <t>皇家可口</t>
        </is>
      </c>
      <c r="C2075" t="n">
        <v>68</v>
      </c>
      <c r="D2075" t="n">
        <v>67.5</v>
      </c>
      <c r="E2075" s="730" t="n">
        <v>-0.5</v>
      </c>
      <c r="F2075" s="731" t="n">
        <v>-0.74</v>
      </c>
      <c r="G2075" t="inlineStr">
        <is>
          <t>380萬</t>
        </is>
      </c>
      <c r="H2075" t="n">
        <v>59</v>
      </c>
      <c r="I2075" t="n">
        <v>113</v>
      </c>
      <c r="J2075" t="n">
        <v>8</v>
      </c>
      <c r="K2075" t="n">
        <v>68.2</v>
      </c>
      <c r="L2075" t="n">
        <v>67.5</v>
      </c>
      <c r="M2075" s="155" t="n">
        <v>0.07000000000000001</v>
      </c>
      <c r="N2075" t="inlineStr">
        <is>
          <t>南僑旗下冰品大廠</t>
        </is>
      </c>
    </row>
    <row r="2076">
      <c r="A2076" t="n">
        <v>7792</v>
      </c>
      <c r="B2076" t="inlineStr">
        <is>
          <t>安葆</t>
        </is>
      </c>
      <c r="C2076" t="n">
        <v>300</v>
      </c>
      <c r="D2076" t="n">
        <v>290.5</v>
      </c>
      <c r="E2076" s="730" t="n">
        <v>-4.5</v>
      </c>
      <c r="F2076" s="731" t="n">
        <v>-1.53</v>
      </c>
      <c r="G2076" t="inlineStr">
        <is>
          <t>5131萬</t>
        </is>
      </c>
      <c r="H2076" t="n">
        <v>176</v>
      </c>
      <c r="I2076" t="n">
        <v>315</v>
      </c>
      <c r="J2076" t="n">
        <v>4.67</v>
      </c>
      <c r="K2076" t="n">
        <v>303</v>
      </c>
      <c r="L2076" t="n">
        <v>285</v>
      </c>
      <c r="M2076" s="155" t="n">
        <v>0.38</v>
      </c>
      <c r="N2076" t="inlineStr">
        <is>
          <t>提供能源運用規劃及電力系統規劃解決方案</t>
        </is>
      </c>
    </row>
    <row r="2077">
      <c r="A2077" t="n">
        <v>7794</v>
      </c>
      <c r="B2077" t="inlineStr">
        <is>
          <t>宏碁智新</t>
        </is>
      </c>
      <c r="C2077" t="n">
        <v>30</v>
      </c>
      <c r="D2077" t="n">
        <v>32.75</v>
      </c>
      <c r="E2077" s="730" t="n">
        <v>2.95</v>
      </c>
      <c r="F2077" s="731" t="n">
        <v>9.9</v>
      </c>
      <c r="G2077" t="inlineStr">
        <is>
          <t>1124萬</t>
        </is>
      </c>
      <c r="H2077" t="n">
        <v>353</v>
      </c>
      <c r="I2077" t="n">
        <v>56</v>
      </c>
      <c r="J2077" t="n">
        <v>2.8</v>
      </c>
      <c r="K2077" t="n">
        <v>32.75</v>
      </c>
      <c r="L2077" t="n">
        <v>30</v>
      </c>
      <c r="M2077" s="155" t="n">
        <v>1.26</v>
      </c>
      <c r="N2077" t="inlineStr">
        <is>
          <t>宏碁旗下智慧空氣品質解決方案服務商</t>
        </is>
      </c>
    </row>
    <row r="2078">
      <c r="A2078" t="n">
        <v>7795</v>
      </c>
      <c r="B2078" t="inlineStr">
        <is>
          <t>長廣</t>
        </is>
      </c>
      <c r="C2078" t="n">
        <v>411.5</v>
      </c>
      <c r="D2078" t="n">
        <v>393.5</v>
      </c>
      <c r="E2078" s="730" t="n">
        <v>-16.5</v>
      </c>
      <c r="F2078" s="731" t="n">
        <v>-4.02</v>
      </c>
      <c r="G2078" t="inlineStr">
        <is>
          <t>1.40億</t>
        </is>
      </c>
      <c r="H2078" t="n">
        <v>353</v>
      </c>
      <c r="I2078" t="n">
        <v>457</v>
      </c>
      <c r="J2078" t="n">
        <v>7.88</v>
      </c>
      <c r="K2078" t="n">
        <v>411.5</v>
      </c>
      <c r="L2078" t="n">
        <v>385</v>
      </c>
      <c r="M2078" s="155" t="n">
        <v>0.45</v>
      </c>
      <c r="N2078" t="inlineStr">
        <is>
          <t>長興旗下，ABF載板真空壓膜領導商</t>
        </is>
      </c>
    </row>
    <row r="2079">
      <c r="A2079" t="n">
        <v>7799</v>
      </c>
      <c r="B2079" t="inlineStr">
        <is>
          <t>禾榮科</t>
        </is>
      </c>
      <c r="C2079" t="n">
        <v>331</v>
      </c>
      <c r="D2079" t="n">
        <v>326</v>
      </c>
      <c r="E2079" s="730" t="n">
        <v>-4</v>
      </c>
      <c r="F2079" s="731" t="n">
        <v>-1.21</v>
      </c>
      <c r="G2079" t="inlineStr">
        <is>
          <t>8184萬</t>
        </is>
      </c>
      <c r="H2079" t="n">
        <v>247</v>
      </c>
      <c r="I2079" t="n">
        <v>339</v>
      </c>
      <c r="J2079" t="n">
        <v>15.8</v>
      </c>
      <c r="K2079" t="n">
        <v>340.5</v>
      </c>
      <c r="L2079" t="n">
        <v>320.5</v>
      </c>
      <c r="M2079" s="155" t="n">
        <v>0.16</v>
      </c>
      <c r="N2079" t="inlineStr">
        <is>
          <t>台灣首家硼中子捕獲治療系統(AB-BNCT)供應商</t>
        </is>
      </c>
    </row>
    <row r="2080">
      <c r="A2080" t="n">
        <v>7805</v>
      </c>
      <c r="B2080" t="inlineStr">
        <is>
          <t>威聯通</t>
        </is>
      </c>
      <c r="C2080" t="n">
        <v>797</v>
      </c>
      <c r="D2080" t="n">
        <v>794</v>
      </c>
      <c r="E2080" s="730" t="n">
        <v>-5</v>
      </c>
      <c r="F2080" s="731" t="n">
        <v>-0.63</v>
      </c>
      <c r="G2080" t="inlineStr">
        <is>
          <t>7352萬</t>
        </is>
      </c>
      <c r="H2080" t="n">
        <v>93</v>
      </c>
      <c r="I2080" t="n">
        <v>179</v>
      </c>
      <c r="J2080" t="n">
        <v>3.31</v>
      </c>
      <c r="K2080" t="n">
        <v>802</v>
      </c>
      <c r="L2080" t="n">
        <v>780</v>
      </c>
      <c r="M2080" s="155" t="n">
        <v>0.28</v>
      </c>
      <c r="N2080" t="inlineStr">
        <is>
          <t>台灣知名網路儲存裝置(NAS)製造商</t>
        </is>
      </c>
    </row>
    <row r="2081">
      <c r="A2081" t="n">
        <v>7810</v>
      </c>
      <c r="B2081" t="inlineStr">
        <is>
          <t>捷創科技</t>
        </is>
      </c>
      <c r="C2081" t="n">
        <v>247</v>
      </c>
      <c r="D2081" t="n">
        <v>234.5</v>
      </c>
      <c r="E2081" s="730" t="n">
        <v>-9.5</v>
      </c>
      <c r="F2081" s="731" t="n">
        <v>-3.89</v>
      </c>
      <c r="G2081" t="inlineStr">
        <is>
          <t>4458萬</t>
        </is>
      </c>
      <c r="H2081" t="n">
        <v>189</v>
      </c>
      <c r="I2081" t="n">
        <v>209</v>
      </c>
      <c r="J2081" t="n">
        <v>2.03</v>
      </c>
      <c r="K2081" t="n">
        <v>247</v>
      </c>
      <c r="L2081" t="n">
        <v>231.5</v>
      </c>
      <c r="M2081" s="155" t="n">
        <v>0.93</v>
      </c>
      <c r="N2081" t="inlineStr">
        <is>
          <t>半導體設備銷售與工程技術服務商</t>
        </is>
      </c>
    </row>
    <row r="2082">
      <c r="A2082" t="n">
        <v>7811</v>
      </c>
      <c r="B2082" t="inlineStr">
        <is>
          <t>民盛</t>
        </is>
      </c>
      <c r="C2082" t="n">
        <v>79.3</v>
      </c>
      <c r="D2082" t="n">
        <v>80</v>
      </c>
      <c r="E2082" s="730" t="n">
        <v>0.7</v>
      </c>
      <c r="F2082" s="731" t="n">
        <v>0.88</v>
      </c>
      <c r="G2082" t="inlineStr">
        <is>
          <t>159萬</t>
        </is>
      </c>
      <c r="H2082" t="n">
        <v>20</v>
      </c>
      <c r="I2082" t="n">
        <v>46</v>
      </c>
      <c r="J2082" t="n">
        <v>3.34</v>
      </c>
      <c r="K2082" t="n">
        <v>80</v>
      </c>
      <c r="L2082" t="n">
        <v>79</v>
      </c>
      <c r="M2082" s="155" t="n">
        <v>0.06</v>
      </c>
      <c r="N2082" t="inlineStr">
        <is>
          <t>復盛應用轉投資運動功能性鞋及護具製造商</t>
        </is>
      </c>
    </row>
    <row r="2083">
      <c r="A2083" t="n">
        <v>7818</v>
      </c>
      <c r="B2083" t="inlineStr">
        <is>
          <t>溢泰實業</t>
        </is>
      </c>
      <c r="C2083" t="n">
        <v>65.7</v>
      </c>
      <c r="D2083" t="n">
        <v>65.7</v>
      </c>
      <c r="E2083" s="730" t="n">
        <v>0.2</v>
      </c>
      <c r="F2083" s="731" t="n">
        <v>0.31</v>
      </c>
      <c r="G2083" t="inlineStr">
        <is>
          <t>2104萬</t>
        </is>
      </c>
      <c r="H2083" t="n">
        <v>321</v>
      </c>
      <c r="I2083" t="n">
        <v>582</v>
      </c>
      <c r="J2083" t="n">
        <v>16.79</v>
      </c>
      <c r="K2083" t="n">
        <v>66</v>
      </c>
      <c r="L2083" t="n">
        <v>65</v>
      </c>
      <c r="M2083" s="155" t="n">
        <v>0.19</v>
      </c>
      <c r="N2083" t="inlineStr">
        <is>
          <t>從事水資源產品及戶外車載產品製造及銷售</t>
        </is>
      </c>
    </row>
    <row r="2084">
      <c r="A2084" t="n">
        <v>7819</v>
      </c>
      <c r="B2084" t="inlineStr">
        <is>
          <t>精誠金融</t>
        </is>
      </c>
      <c r="C2084" t="n">
        <v>45.95</v>
      </c>
      <c r="D2084" t="n">
        <v>48.65</v>
      </c>
      <c r="E2084" s="730" t="n">
        <v>2.9</v>
      </c>
      <c r="F2084" s="731" t="n">
        <v>6.34</v>
      </c>
      <c r="G2084" t="inlineStr">
        <is>
          <t>2565萬</t>
        </is>
      </c>
      <c r="H2084" t="n">
        <v>537</v>
      </c>
      <c r="I2084" t="n">
        <v>0</v>
      </c>
      <c r="J2084" t="n">
        <v>2.53</v>
      </c>
      <c r="K2084" t="n">
        <v>49.95</v>
      </c>
      <c r="L2084" t="n">
        <v>45.95</v>
      </c>
      <c r="M2084" s="155" t="n">
        <v>2.13</v>
      </c>
      <c r="N2084" t="inlineStr">
        <is>
          <t>精誠旗下，專注刷卡機設備及收單系統開發領域</t>
        </is>
      </c>
    </row>
    <row r="2085">
      <c r="A2085" t="n">
        <v>7820</v>
      </c>
      <c r="B2085" t="inlineStr">
        <is>
          <t>立盈</t>
        </is>
      </c>
      <c r="C2085" t="n">
        <v>126</v>
      </c>
      <c r="D2085" t="n">
        <v>122.5</v>
      </c>
      <c r="E2085" s="730" t="n">
        <v>-5</v>
      </c>
      <c r="F2085" s="731" t="n">
        <v>-3.92</v>
      </c>
      <c r="G2085" t="inlineStr">
        <is>
          <t>785萬</t>
        </is>
      </c>
      <c r="H2085" t="n">
        <v>64</v>
      </c>
      <c r="I2085" t="n">
        <v>107</v>
      </c>
      <c r="J2085" t="n">
        <v>3.78</v>
      </c>
      <c r="K2085" t="n">
        <v>126</v>
      </c>
      <c r="L2085" t="n">
        <v>121.5</v>
      </c>
      <c r="M2085" s="155" t="n">
        <v>0.17</v>
      </c>
      <c r="N2085" t="inlineStr">
        <is>
          <t>氟化鈣污泥處理及人造螢石銷售商</t>
        </is>
      </c>
    </row>
    <row r="2086">
      <c r="A2086" t="n">
        <v>7821</v>
      </c>
      <c r="B2086" t="inlineStr">
        <is>
          <t>神數</t>
        </is>
      </c>
      <c r="C2086" t="n">
        <v>46.8</v>
      </c>
      <c r="D2086" t="n">
        <v>46.05</v>
      </c>
      <c r="E2086" s="730" t="n">
        <v>-0.15</v>
      </c>
      <c r="F2086" s="731" t="n">
        <v>-0.32</v>
      </c>
      <c r="G2086" t="inlineStr">
        <is>
          <t>2062萬</t>
        </is>
      </c>
      <c r="H2086" t="n">
        <v>447</v>
      </c>
      <c r="I2086" t="n">
        <v>371</v>
      </c>
      <c r="J2086" t="n">
        <v>12.19</v>
      </c>
      <c r="K2086" t="n">
        <v>46.8</v>
      </c>
      <c r="L2086" t="n">
        <v>45.6</v>
      </c>
      <c r="M2086" s="155" t="n">
        <v>0.37</v>
      </c>
      <c r="N2086" t="inlineStr">
        <is>
          <t>聯華神通集團旗下，全球前三大車用電子品牌</t>
        </is>
      </c>
    </row>
    <row r="2087">
      <c r="A2087" t="n">
        <v>7822</v>
      </c>
      <c r="B2087" t="inlineStr">
        <is>
          <t>倍利科</t>
        </is>
      </c>
      <c r="C2087" t="n">
        <v>1100</v>
      </c>
      <c r="D2087" t="n">
        <v>1045</v>
      </c>
      <c r="E2087" s="730" t="n">
        <v>-50</v>
      </c>
      <c r="F2087" s="731" t="n">
        <v>-4.57</v>
      </c>
      <c r="G2087" t="inlineStr">
        <is>
          <t>2.09億</t>
        </is>
      </c>
      <c r="H2087" t="n">
        <v>199</v>
      </c>
      <c r="I2087" t="n">
        <v>384</v>
      </c>
      <c r="J2087" t="n">
        <v>4.56</v>
      </c>
      <c r="K2087" t="n">
        <v>1100</v>
      </c>
      <c r="L2087" t="n">
        <v>1030</v>
      </c>
      <c r="M2087" s="155" t="n">
        <v>0.44</v>
      </c>
      <c r="N2087" t="inlineStr">
        <is>
          <t>專注於光學檢測與量測設備的公司</t>
        </is>
      </c>
    </row>
    <row r="2088">
      <c r="A2088" t="n">
        <v>7828</v>
      </c>
      <c r="B2088" t="inlineStr">
        <is>
          <t>創新服務</t>
        </is>
      </c>
      <c r="C2088" t="n">
        <v>1495</v>
      </c>
      <c r="D2088" t="n">
        <v>1495</v>
      </c>
      <c r="E2088" s="730" t="n">
        <v>45</v>
      </c>
      <c r="F2088" s="731" t="n">
        <v>3.1</v>
      </c>
      <c r="G2088" t="inlineStr">
        <is>
          <t>3.17億</t>
        </is>
      </c>
      <c r="H2088" t="n">
        <v>219</v>
      </c>
      <c r="I2088" t="n">
        <v>584</v>
      </c>
      <c r="J2088" t="n">
        <v>4.05</v>
      </c>
      <c r="K2088" t="n">
        <v>1500</v>
      </c>
      <c r="L2088" t="n">
        <v>1390</v>
      </c>
      <c r="M2088" s="155" t="n">
        <v>0.54</v>
      </c>
      <c r="N2088" t="inlineStr">
        <is>
          <t>國內知名的全自動探針卡植針設備製造商</t>
        </is>
      </c>
    </row>
    <row r="2089">
      <c r="A2089" t="n">
        <v>7842</v>
      </c>
      <c r="B2089" t="inlineStr">
        <is>
          <t>天能綠電</t>
        </is>
      </c>
      <c r="C2089" t="n">
        <v>119</v>
      </c>
      <c r="D2089" t="n">
        <v>111.5</v>
      </c>
      <c r="E2089" s="730" t="n">
        <v>-1.5</v>
      </c>
      <c r="F2089" s="731" t="n">
        <v>-1.33</v>
      </c>
      <c r="G2089" t="inlineStr">
        <is>
          <t>601萬</t>
        </is>
      </c>
      <c r="H2089" t="n">
        <v>54</v>
      </c>
      <c r="I2089" t="n">
        <v>141</v>
      </c>
      <c r="J2089" t="n">
        <v>1.83</v>
      </c>
      <c r="K2089" t="n">
        <v>119</v>
      </c>
      <c r="L2089" t="n">
        <v>111.5</v>
      </c>
      <c r="M2089" s="155" t="n">
        <v>0.3</v>
      </c>
      <c r="N2089" t="inlineStr">
        <is>
          <t>雲豹能源旗下全方位能源永續解決方案服務公司</t>
        </is>
      </c>
    </row>
    <row r="2090">
      <c r="A2090" t="n">
        <v>8011</v>
      </c>
      <c r="B2090" t="inlineStr">
        <is>
          <t>台通</t>
        </is>
      </c>
      <c r="C2090" t="n">
        <v>18.9</v>
      </c>
      <c r="D2090" t="n">
        <v>19.1</v>
      </c>
      <c r="E2090" s="730" t="n">
        <v>0.3</v>
      </c>
      <c r="F2090" s="731" t="n">
        <v>1.6</v>
      </c>
      <c r="G2090" t="inlineStr">
        <is>
          <t>4382萬</t>
        </is>
      </c>
      <c r="H2090" t="n">
        <v>2324</v>
      </c>
      <c r="I2090" t="n">
        <v>1470</v>
      </c>
      <c r="J2090" t="n">
        <v>16.59</v>
      </c>
      <c r="K2090" t="n">
        <v>19.2</v>
      </c>
      <c r="L2090" t="n">
        <v>18.5</v>
      </c>
      <c r="M2090" s="155" t="n">
        <v>1.4</v>
      </c>
      <c r="N2090" t="inlineStr">
        <is>
          <t>台灣光纖線纜與光纖被動元件製造商</t>
        </is>
      </c>
    </row>
    <row r="2091">
      <c r="A2091" t="n">
        <v>8016</v>
      </c>
      <c r="B2091" t="inlineStr">
        <is>
          <t>矽創</t>
        </is>
      </c>
      <c r="C2091" t="n">
        <v>309</v>
      </c>
      <c r="D2091" t="n">
        <v>302</v>
      </c>
      <c r="E2091" s="730" t="n">
        <v>-7</v>
      </c>
      <c r="F2091" s="731" t="n">
        <v>-2.27</v>
      </c>
      <c r="G2091" t="inlineStr">
        <is>
          <t>8.20億</t>
        </is>
      </c>
      <c r="H2091" t="n">
        <v>2720</v>
      </c>
      <c r="I2091" t="n">
        <v>3325</v>
      </c>
      <c r="J2091" t="n">
        <v>12.01</v>
      </c>
      <c r="K2091" t="n">
        <v>309</v>
      </c>
      <c r="L2091" t="n">
        <v>296.5</v>
      </c>
      <c r="M2091" s="155" t="n">
        <v>2.26</v>
      </c>
      <c r="N2091" t="inlineStr">
        <is>
          <t>台灣感測元件及顯示屏驅動IC廠</t>
        </is>
      </c>
    </row>
    <row r="2092">
      <c r="A2092" t="n">
        <v>8021</v>
      </c>
      <c r="B2092" t="inlineStr">
        <is>
          <t>尖點</t>
        </is>
      </c>
      <c r="C2092" t="n">
        <v>476.5</v>
      </c>
      <c r="D2092" t="n">
        <v>445</v>
      </c>
      <c r="E2092" s="730" t="n">
        <v>-19</v>
      </c>
      <c r="F2092" s="731" t="n">
        <v>-4.09</v>
      </c>
      <c r="G2092" t="inlineStr">
        <is>
          <t>4.10億</t>
        </is>
      </c>
      <c r="H2092" t="n">
        <v>914</v>
      </c>
      <c r="I2092" t="n">
        <v>1861</v>
      </c>
      <c r="J2092" t="n">
        <v>14.57</v>
      </c>
      <c r="K2092" t="n">
        <v>476.5</v>
      </c>
      <c r="L2092" t="n">
        <v>440</v>
      </c>
      <c r="M2092" s="155" t="n">
        <v>0.63</v>
      </c>
      <c r="N2092" t="inlineStr">
        <is>
          <t>全球前三大PCB鑽針生產商之一</t>
        </is>
      </c>
    </row>
    <row r="2093">
      <c r="A2093" s="729" t="n">
        <v>8024</v>
      </c>
      <c r="B2093" t="inlineStr">
        <is>
          <t>佑華</t>
        </is>
      </c>
      <c r="C2093" t="n">
        <v>12.5</v>
      </c>
      <c r="D2093" t="n">
        <v>12.4</v>
      </c>
      <c r="E2093" s="730" t="n">
        <v>0</v>
      </c>
      <c r="F2093" s="731" t="n">
        <v>0</v>
      </c>
      <c r="G2093" t="inlineStr">
        <is>
          <t>201萬</t>
        </is>
      </c>
      <c r="H2093" t="n">
        <v>164</v>
      </c>
      <c r="I2093" t="n">
        <v>67</v>
      </c>
      <c r="J2093" t="n">
        <v>4.52</v>
      </c>
      <c r="K2093" t="n">
        <v>12.5</v>
      </c>
      <c r="L2093" t="n">
        <v>12.15</v>
      </c>
      <c r="M2093" s="155" t="n">
        <v>0.36</v>
      </c>
      <c r="N2093" t="inlineStr">
        <is>
          <t>玩具語音IC與MCU生產商</t>
        </is>
      </c>
    </row>
    <row r="2094">
      <c r="A2094" s="729" t="n">
        <v>8027</v>
      </c>
      <c r="B2094" t="inlineStr">
        <is>
          <t>鈦昇</t>
        </is>
      </c>
      <c r="C2094" t="n">
        <v>297</v>
      </c>
      <c r="D2094" t="n">
        <v>277.5</v>
      </c>
      <c r="E2094" s="730" t="n">
        <v>-5.5</v>
      </c>
      <c r="F2094" s="731" t="n">
        <v>-1.94</v>
      </c>
      <c r="G2094" t="inlineStr">
        <is>
          <t>4.38億</t>
        </is>
      </c>
      <c r="H2094" t="n">
        <v>1578</v>
      </c>
      <c r="I2094" t="n">
        <v>1573</v>
      </c>
      <c r="J2094" t="n">
        <v>11</v>
      </c>
      <c r="K2094" t="n">
        <v>297</v>
      </c>
      <c r="L2094" t="n">
        <v>269</v>
      </c>
      <c r="M2094" s="155" t="n">
        <v>1.44</v>
      </c>
      <c r="N2094" t="inlineStr">
        <is>
          <t>專業於半導體、主機板、高階基板材料等設備廠商</t>
        </is>
      </c>
    </row>
    <row r="2095">
      <c r="A2095" s="729" t="n">
        <v>8028</v>
      </c>
      <c r="B2095" t="inlineStr">
        <is>
          <t>昇陽半導體</t>
        </is>
      </c>
      <c r="C2095" t="n">
        <v>351</v>
      </c>
      <c r="D2095" t="n">
        <v>335</v>
      </c>
      <c r="E2095" s="730" t="n">
        <v>-21.5</v>
      </c>
      <c r="F2095" s="731" t="n">
        <v>-6.03</v>
      </c>
      <c r="G2095" t="inlineStr">
        <is>
          <t>27.0億</t>
        </is>
      </c>
      <c r="H2095" t="n">
        <v>7913</v>
      </c>
      <c r="I2095" t="n">
        <v>14562</v>
      </c>
      <c r="J2095" t="n">
        <v>17.97</v>
      </c>
      <c r="K2095" t="n">
        <v>354</v>
      </c>
      <c r="L2095" t="n">
        <v>333</v>
      </c>
      <c r="M2095" s="155" t="n">
        <v>4.51</v>
      </c>
      <c r="N2095" t="inlineStr">
        <is>
          <t>主要從事再生晶圓與晶圓薄化代工業務</t>
        </is>
      </c>
    </row>
    <row r="2096">
      <c r="A2096" s="729" t="n">
        <v>8032</v>
      </c>
      <c r="B2096" t="inlineStr">
        <is>
          <t>光菱</t>
        </is>
      </c>
      <c r="C2096" t="n">
        <v>43.75</v>
      </c>
      <c r="D2096" t="n">
        <v>46.65</v>
      </c>
      <c r="E2096" s="730" t="n">
        <v>2.9</v>
      </c>
      <c r="F2096" s="731" t="n">
        <v>6.63</v>
      </c>
      <c r="G2096" t="inlineStr">
        <is>
          <t>2103萬</t>
        </is>
      </c>
      <c r="H2096" t="n">
        <v>465</v>
      </c>
      <c r="I2096" t="n">
        <v>420</v>
      </c>
      <c r="J2096" t="n">
        <v>5.18</v>
      </c>
      <c r="K2096" t="n">
        <v>46.65</v>
      </c>
      <c r="L2096" t="n">
        <v>43.15</v>
      </c>
      <c r="M2096" s="155" t="n">
        <v>0.9</v>
      </c>
      <c r="N2096" t="inlineStr">
        <is>
          <t>瑞薩、三菱等日系原廠產品在台代理商</t>
        </is>
      </c>
    </row>
    <row r="2097">
      <c r="A2097" s="729" t="n">
        <v>8033</v>
      </c>
      <c r="B2097" t="inlineStr">
        <is>
          <t>雷虎</t>
        </is>
      </c>
      <c r="C2097" t="n">
        <v>140.5</v>
      </c>
      <c r="D2097" t="n">
        <v>136</v>
      </c>
      <c r="E2097" s="730" t="n">
        <v>-5</v>
      </c>
      <c r="F2097" s="731" t="n">
        <v>-3.55</v>
      </c>
      <c r="G2097" t="inlineStr">
        <is>
          <t>5.65億</t>
        </is>
      </c>
      <c r="H2097" t="n">
        <v>4143</v>
      </c>
      <c r="I2097" t="n">
        <v>4451</v>
      </c>
      <c r="J2097" t="n">
        <v>16.46</v>
      </c>
      <c r="K2097" t="n">
        <v>140.5</v>
      </c>
      <c r="L2097" t="n">
        <v>134.5</v>
      </c>
      <c r="M2097" s="155" t="n">
        <v>2.52</v>
      </c>
      <c r="N2097" t="inlineStr">
        <is>
          <t>全球前五大遙控模型玩具廠</t>
        </is>
      </c>
    </row>
    <row r="2098">
      <c r="A2098" s="729" t="n">
        <v>8034</v>
      </c>
      <c r="B2098" t="inlineStr">
        <is>
          <t>榮群</t>
        </is>
      </c>
      <c r="C2098" t="n">
        <v>24.35</v>
      </c>
      <c r="D2098" t="n">
        <v>25.05</v>
      </c>
      <c r="E2098" s="730" t="n">
        <v>0.8</v>
      </c>
      <c r="F2098" s="731" t="n">
        <v>3.3</v>
      </c>
      <c r="G2098" t="inlineStr">
        <is>
          <t>1866萬</t>
        </is>
      </c>
      <c r="H2098" t="n">
        <v>759</v>
      </c>
      <c r="I2098" t="n">
        <v>418</v>
      </c>
      <c r="J2098" t="n">
        <v>5.66</v>
      </c>
      <c r="K2098" t="n">
        <v>25.05</v>
      </c>
      <c r="L2098" t="n">
        <v>24.1</v>
      </c>
      <c r="M2098" s="155" t="n">
        <v>1.34</v>
      </c>
      <c r="N2098" t="inlineStr">
        <is>
          <t>台灣網路接取設備製造商</t>
        </is>
      </c>
    </row>
    <row r="2099">
      <c r="A2099" s="729" t="n">
        <v>8038</v>
      </c>
      <c r="B2099" t="inlineStr">
        <is>
          <t>長園科</t>
        </is>
      </c>
      <c r="C2099" t="n">
        <v>41.7</v>
      </c>
      <c r="D2099" t="n">
        <v>40.7</v>
      </c>
      <c r="E2099" s="730" t="n">
        <v>-0.85</v>
      </c>
      <c r="F2099" s="731" t="n">
        <v>-2.05</v>
      </c>
      <c r="G2099" t="inlineStr">
        <is>
          <t>1087萬</t>
        </is>
      </c>
      <c r="H2099" t="n">
        <v>267</v>
      </c>
      <c r="I2099" t="n">
        <v>458</v>
      </c>
      <c r="J2099" t="n">
        <v>6.23</v>
      </c>
      <c r="K2099" t="n">
        <v>41.7</v>
      </c>
      <c r="L2099" t="n">
        <v>40.3</v>
      </c>
      <c r="M2099" s="155" t="n">
        <v>0.43</v>
      </c>
      <c r="N2099" t="inlineStr">
        <is>
          <t>氧化鋰鐵電池模組系統應用生產商</t>
        </is>
      </c>
    </row>
    <row r="2100">
      <c r="A2100" s="729" t="n">
        <v>8039</v>
      </c>
      <c r="B2100" t="inlineStr">
        <is>
          <t>台虹</t>
        </is>
      </c>
      <c r="C2100" t="n">
        <v>156.5</v>
      </c>
      <c r="D2100" t="n">
        <v>147</v>
      </c>
      <c r="E2100" s="730" t="n">
        <v>-6</v>
      </c>
      <c r="F2100" s="731" t="n">
        <v>-3.92</v>
      </c>
      <c r="G2100" t="inlineStr">
        <is>
          <t>26.0億</t>
        </is>
      </c>
      <c r="H2100" t="n">
        <v>17438</v>
      </c>
      <c r="I2100" t="n">
        <v>27254</v>
      </c>
      <c r="J2100" t="n">
        <v>26.37</v>
      </c>
      <c r="K2100" t="n">
        <v>160.5</v>
      </c>
      <c r="L2100" t="n">
        <v>143</v>
      </c>
      <c r="M2100" s="155" t="n">
        <v>6.61</v>
      </c>
      <c r="N2100" t="inlineStr">
        <is>
          <t>全球前三大FCCL製造商</t>
        </is>
      </c>
    </row>
    <row r="2101">
      <c r="A2101" s="729" t="n">
        <v>8040</v>
      </c>
      <c r="B2101" t="inlineStr">
        <is>
          <t>九暘</t>
        </is>
      </c>
      <c r="C2101" t="n">
        <v>113</v>
      </c>
      <c r="D2101" t="n">
        <v>105.5</v>
      </c>
      <c r="E2101" s="730" t="n">
        <v>-7</v>
      </c>
      <c r="F2101" s="731" t="n">
        <v>-6.22</v>
      </c>
      <c r="G2101" t="inlineStr">
        <is>
          <t>2.95億</t>
        </is>
      </c>
      <c r="H2101" t="n">
        <v>2754</v>
      </c>
      <c r="I2101" t="n">
        <v>3675</v>
      </c>
      <c r="J2101" t="n">
        <v>9.640000000000001</v>
      </c>
      <c r="K2101" t="n">
        <v>113.5</v>
      </c>
      <c r="L2101" t="n">
        <v>104</v>
      </c>
      <c r="M2101" s="155" t="n">
        <v>2.86</v>
      </c>
      <c r="N2101" t="inlineStr">
        <is>
          <t>台灣前二大乙太網路IC供應商</t>
        </is>
      </c>
    </row>
    <row r="2102">
      <c r="A2102" s="729" t="n">
        <v>8042</v>
      </c>
      <c r="B2102" t="inlineStr">
        <is>
          <t>金山電</t>
        </is>
      </c>
      <c r="C2102" t="n">
        <v>168.5</v>
      </c>
      <c r="D2102" t="n">
        <v>162</v>
      </c>
      <c r="E2102" s="730" t="n">
        <v>-7</v>
      </c>
      <c r="F2102" s="731" t="n">
        <v>-4.14</v>
      </c>
      <c r="G2102" t="inlineStr">
        <is>
          <t>1.62億</t>
        </is>
      </c>
      <c r="H2102" t="n">
        <v>1016</v>
      </c>
      <c r="I2102" t="n">
        <v>1448</v>
      </c>
      <c r="J2102" t="n">
        <v>12.95</v>
      </c>
      <c r="K2102" t="n">
        <v>168.5</v>
      </c>
      <c r="L2102" t="n">
        <v>153</v>
      </c>
      <c r="M2102" s="155" t="n">
        <v>0.78</v>
      </c>
      <c r="N2102" t="inlineStr">
        <is>
          <t>MB、SPS、CRT用之鋁質電解電容器大廠</t>
        </is>
      </c>
    </row>
    <row r="2103">
      <c r="A2103" s="729" t="n">
        <v>8043</v>
      </c>
      <c r="B2103" t="inlineStr">
        <is>
          <t>蜜望實</t>
        </is>
      </c>
      <c r="C2103" t="n">
        <v>154.5</v>
      </c>
      <c r="D2103" t="n">
        <v>157</v>
      </c>
      <c r="E2103" s="730" t="n">
        <v>2</v>
      </c>
      <c r="F2103" s="731" t="n">
        <v>1.29</v>
      </c>
      <c r="G2103" t="inlineStr">
        <is>
          <t>27.1億</t>
        </is>
      </c>
      <c r="H2103" t="n">
        <v>18307</v>
      </c>
      <c r="I2103" t="n">
        <v>18904</v>
      </c>
      <c r="J2103" t="n">
        <v>7.99</v>
      </c>
      <c r="K2103" t="n">
        <v>158</v>
      </c>
      <c r="L2103" t="n">
        <v>142.5</v>
      </c>
      <c r="M2103" s="155" t="n">
        <v>22.91</v>
      </c>
      <c r="N2103" t="inlineStr">
        <is>
          <t>主要代理太陽誘電之積層陶瓷電容及電感</t>
        </is>
      </c>
    </row>
    <row r="2104">
      <c r="A2104" s="729" t="n">
        <v>8044</v>
      </c>
      <c r="B2104" t="inlineStr">
        <is>
          <t>網家</t>
        </is>
      </c>
      <c r="C2104" t="n">
        <v>29.15</v>
      </c>
      <c r="D2104" t="n">
        <v>30.4</v>
      </c>
      <c r="E2104" s="730" t="n">
        <v>1.4</v>
      </c>
      <c r="F2104" s="731" t="n">
        <v>4.83</v>
      </c>
      <c r="G2104" t="inlineStr">
        <is>
          <t>7690萬</t>
        </is>
      </c>
      <c r="H2104" t="n">
        <v>2545</v>
      </c>
      <c r="I2104" t="n">
        <v>1852</v>
      </c>
      <c r="J2104" t="n">
        <v>20.48</v>
      </c>
      <c r="K2104" t="n">
        <v>30.8</v>
      </c>
      <c r="L2104" t="n">
        <v>29.15</v>
      </c>
      <c r="M2104" s="155" t="n">
        <v>1.24</v>
      </c>
      <c r="N2104" t="inlineStr">
        <is>
          <t>台灣知名電商平台企業</t>
        </is>
      </c>
    </row>
    <row r="2105">
      <c r="A2105" s="729" t="n">
        <v>8045</v>
      </c>
      <c r="B2105" t="inlineStr">
        <is>
          <t>達運光電</t>
        </is>
      </c>
      <c r="C2105" t="n">
        <v>71.5</v>
      </c>
      <c r="D2105" t="n">
        <v>69.7</v>
      </c>
      <c r="E2105" s="730" t="n">
        <v>-1.6</v>
      </c>
      <c r="F2105" s="731" t="n">
        <v>-2.24</v>
      </c>
      <c r="G2105" t="inlineStr">
        <is>
          <t>2673萬</t>
        </is>
      </c>
      <c r="H2105" t="n">
        <v>381</v>
      </c>
      <c r="I2105" t="n">
        <v>492</v>
      </c>
      <c r="J2105" t="n">
        <v>9.5</v>
      </c>
      <c r="K2105" t="n">
        <v>73.5</v>
      </c>
      <c r="L2105" t="n">
        <v>67.3</v>
      </c>
      <c r="M2105" s="155" t="n">
        <v>0.4</v>
      </c>
      <c r="N2105" t="inlineStr">
        <is>
          <t>從事室內外射頻與光傳輸設備的研發與製造</t>
        </is>
      </c>
    </row>
    <row r="2106">
      <c r="A2106" s="729" t="n">
        <v>8046</v>
      </c>
      <c r="B2106" t="inlineStr">
        <is>
          <t>南電</t>
        </is>
      </c>
      <c r="C2106" t="n">
        <v>905</v>
      </c>
      <c r="D2106" t="n">
        <v>862</v>
      </c>
      <c r="E2106" s="730" t="n">
        <v>-43</v>
      </c>
      <c r="F2106" s="731" t="n">
        <v>-4.75</v>
      </c>
      <c r="G2106" t="inlineStr">
        <is>
          <t>116億</t>
        </is>
      </c>
      <c r="H2106" t="n">
        <v>13377</v>
      </c>
      <c r="I2106" t="n">
        <v>21418</v>
      </c>
      <c r="J2106" t="n">
        <v>64.62</v>
      </c>
      <c r="K2106" t="n">
        <v>907</v>
      </c>
      <c r="L2106" t="n">
        <v>834</v>
      </c>
      <c r="M2106" s="155" t="n">
        <v>2.07</v>
      </c>
      <c r="N2106" t="inlineStr">
        <is>
          <t>台塑集團旗下PCB載板與IC載板製造商</t>
        </is>
      </c>
    </row>
    <row r="2107">
      <c r="A2107" s="729" t="n">
        <v>8047</v>
      </c>
      <c r="B2107" t="inlineStr">
        <is>
          <t>星雲</t>
        </is>
      </c>
      <c r="C2107" t="n">
        <v>43.7</v>
      </c>
      <c r="D2107" t="n">
        <v>45.5</v>
      </c>
      <c r="E2107" s="730" t="n">
        <v>1.5</v>
      </c>
      <c r="F2107" s="731" t="n">
        <v>3.41</v>
      </c>
      <c r="G2107" t="inlineStr">
        <is>
          <t>250萬</t>
        </is>
      </c>
      <c r="H2107" t="n">
        <v>57</v>
      </c>
      <c r="I2107" t="n">
        <v>47</v>
      </c>
      <c r="J2107" t="n">
        <v>4.17</v>
      </c>
      <c r="K2107" t="n">
        <v>45.5</v>
      </c>
      <c r="L2107" t="n">
        <v>43.1</v>
      </c>
      <c r="M2107" s="155" t="n">
        <v>0.14</v>
      </c>
      <c r="N2107" t="inlineStr">
        <is>
          <t>世界知名的電腦割字機製造大廠</t>
        </is>
      </c>
    </row>
    <row r="2108">
      <c r="A2108" s="729" t="n">
        <v>8048</v>
      </c>
      <c r="B2108" t="inlineStr">
        <is>
          <t>德勝</t>
        </is>
      </c>
      <c r="C2108" t="n">
        <v>62.2</v>
      </c>
      <c r="D2108" t="n">
        <v>62</v>
      </c>
      <c r="E2108" s="730" t="n">
        <v>0</v>
      </c>
      <c r="F2108" s="731" t="n">
        <v>0</v>
      </c>
      <c r="G2108" t="inlineStr">
        <is>
          <t>2098萬</t>
        </is>
      </c>
      <c r="H2108" t="n">
        <v>341</v>
      </c>
      <c r="I2108" t="n">
        <v>377</v>
      </c>
      <c r="J2108" t="n">
        <v>5.77</v>
      </c>
      <c r="K2108" t="n">
        <v>62.2</v>
      </c>
      <c r="L2108" t="n">
        <v>61</v>
      </c>
      <c r="M2108" s="155" t="n">
        <v>0.59</v>
      </c>
      <c r="N2108" t="inlineStr">
        <is>
          <t>台灣光纖網路局端、用戶端設備製造商</t>
        </is>
      </c>
    </row>
    <row r="2109">
      <c r="A2109" s="729" t="n">
        <v>8049</v>
      </c>
      <c r="B2109" t="inlineStr">
        <is>
          <t>晶采</t>
        </is>
      </c>
      <c r="C2109" t="n">
        <v>27.2</v>
      </c>
      <c r="D2109" t="n">
        <v>27.15</v>
      </c>
      <c r="E2109" s="730" t="n">
        <v>0.15</v>
      </c>
      <c r="F2109" s="731" t="n">
        <v>0.5600000000000001</v>
      </c>
      <c r="G2109" t="inlineStr">
        <is>
          <t>1206萬</t>
        </is>
      </c>
      <c r="H2109" t="n">
        <v>447</v>
      </c>
      <c r="I2109" t="n">
        <v>404</v>
      </c>
      <c r="J2109" t="n">
        <v>11.83</v>
      </c>
      <c r="K2109" t="n">
        <v>27.2</v>
      </c>
      <c r="L2109" t="n">
        <v>26.7</v>
      </c>
      <c r="M2109" s="155" t="n">
        <v>0.38</v>
      </c>
      <c r="N2109" t="inlineStr">
        <is>
          <t>台灣中小尺寸液晶模組廠</t>
        </is>
      </c>
    </row>
    <row r="2110">
      <c r="A2110" s="729" t="n">
        <v>8050</v>
      </c>
      <c r="B2110" t="inlineStr">
        <is>
          <t>廣積</t>
        </is>
      </c>
      <c r="C2110" t="n">
        <v>58.7</v>
      </c>
      <c r="D2110" t="n">
        <v>60</v>
      </c>
      <c r="E2110" s="730" t="n">
        <v>1.3</v>
      </c>
      <c r="F2110" s="731" t="n">
        <v>2.21</v>
      </c>
      <c r="G2110" t="inlineStr">
        <is>
          <t>1.72億</t>
        </is>
      </c>
      <c r="H2110" t="n">
        <v>2910</v>
      </c>
      <c r="I2110" t="n">
        <v>5307</v>
      </c>
      <c r="J2110" t="n">
        <v>20.52</v>
      </c>
      <c r="K2110" t="n">
        <v>60.4</v>
      </c>
      <c r="L2110" t="n">
        <v>58.1</v>
      </c>
      <c r="M2110" s="155" t="n">
        <v>1.42</v>
      </c>
      <c r="N2110" t="inlineStr">
        <is>
          <t>以工業級嵌入式系統為主之工業電腦廠商</t>
        </is>
      </c>
    </row>
    <row r="2111">
      <c r="A2111" s="729" t="n">
        <v>8054</v>
      </c>
      <c r="B2111" t="inlineStr">
        <is>
          <t>安國</t>
        </is>
      </c>
      <c r="C2111" t="n">
        <v>102.5</v>
      </c>
      <c r="D2111" t="n">
        <v>101.5</v>
      </c>
      <c r="E2111" s="730" t="n">
        <v>-0.5</v>
      </c>
      <c r="F2111" s="731" t="n">
        <v>-0.49</v>
      </c>
      <c r="G2111" t="inlineStr">
        <is>
          <t>1.58億</t>
        </is>
      </c>
      <c r="H2111" t="n">
        <v>1554</v>
      </c>
      <c r="I2111" t="n">
        <v>2677</v>
      </c>
      <c r="J2111" t="n">
        <v>10.62</v>
      </c>
      <c r="K2111" t="n">
        <v>105</v>
      </c>
      <c r="L2111" t="n">
        <v>101</v>
      </c>
      <c r="M2111" s="155" t="n">
        <v>1.47</v>
      </c>
      <c r="N2111" t="inlineStr">
        <is>
          <t>台灣USB介面裝置控制IC廠</t>
        </is>
      </c>
    </row>
    <row r="2112">
      <c r="A2112" s="729" t="n">
        <v>8059</v>
      </c>
      <c r="B2112" t="inlineStr">
        <is>
          <t>凱碩</t>
        </is>
      </c>
      <c r="C2112" t="n">
        <v>19</v>
      </c>
      <c r="D2112" t="n">
        <v>20</v>
      </c>
      <c r="E2112" s="730" t="n">
        <v>0.9</v>
      </c>
      <c r="F2112" s="731" t="n">
        <v>4.71</v>
      </c>
      <c r="G2112" t="inlineStr">
        <is>
          <t>2159萬</t>
        </is>
      </c>
      <c r="H2112" t="n">
        <v>1086</v>
      </c>
      <c r="I2112" t="n">
        <v>475</v>
      </c>
      <c r="J2112" t="n">
        <v>19.4</v>
      </c>
      <c r="K2112" t="n">
        <v>20.5</v>
      </c>
      <c r="L2112" t="n">
        <v>19</v>
      </c>
      <c r="M2112" s="155" t="n">
        <v>0.5600000000000001</v>
      </c>
      <c r="N2112" t="inlineStr">
        <is>
          <t>金寶旗下網通設備OBM/ODM廠</t>
        </is>
      </c>
    </row>
    <row r="2113">
      <c r="A2113" s="729" t="n">
        <v>8064</v>
      </c>
      <c r="B2113" t="inlineStr">
        <is>
          <t>東捷</t>
        </is>
      </c>
      <c r="C2113" t="n">
        <v>159</v>
      </c>
      <c r="D2113" t="n">
        <v>157</v>
      </c>
      <c r="E2113" s="730" t="n">
        <v>0</v>
      </c>
      <c r="F2113" s="731" t="n">
        <v>0</v>
      </c>
      <c r="G2113" t="inlineStr">
        <is>
          <t>39.4億</t>
        </is>
      </c>
      <c r="H2113" t="n">
        <v>24926</v>
      </c>
      <c r="I2113" t="n">
        <v>16253</v>
      </c>
      <c r="J2113" t="n">
        <v>18.48</v>
      </c>
      <c r="K2113" t="n">
        <v>165</v>
      </c>
      <c r="L2113" t="n">
        <v>152.5</v>
      </c>
      <c r="M2113" s="155" t="n">
        <v>13.49</v>
      </c>
      <c r="N2113" t="inlineStr">
        <is>
          <t>志聖轉投資的顯示器設備商</t>
        </is>
      </c>
    </row>
    <row r="2114">
      <c r="A2114" s="729" t="n">
        <v>8066</v>
      </c>
      <c r="B2114" t="inlineStr">
        <is>
          <t>來思達</t>
        </is>
      </c>
      <c r="C2114" t="n">
        <v>16</v>
      </c>
      <c r="D2114" t="n">
        <v>16</v>
      </c>
      <c r="E2114" s="730" t="n">
        <v>0</v>
      </c>
      <c r="F2114" s="731" t="n">
        <v>0</v>
      </c>
      <c r="G2114" t="inlineStr">
        <is>
          <t>24.0萬</t>
        </is>
      </c>
      <c r="H2114" t="n">
        <v>225</v>
      </c>
      <c r="I2114" t="n">
        <v>157</v>
      </c>
      <c r="J2114" t="n">
        <v>3.66</v>
      </c>
      <c r="K2114" t="n">
        <v>16.05</v>
      </c>
      <c r="L2114" t="n">
        <v>15.95</v>
      </c>
      <c r="M2114" s="155" t="n">
        <v>0.61</v>
      </c>
      <c r="N2114" t="inlineStr">
        <is>
          <t>擁有自有品牌之B2B傢俱商，為美國進口傢俱前五名廠商</t>
        </is>
      </c>
    </row>
    <row r="2115">
      <c r="A2115" s="729" t="n">
        <v>8067</v>
      </c>
      <c r="B2115" t="inlineStr">
        <is>
          <t>志旭</t>
        </is>
      </c>
      <c r="C2115" t="n">
        <v>12.6</v>
      </c>
      <c r="D2115" t="n">
        <v>12.75</v>
      </c>
      <c r="E2115" s="730" t="n">
        <v>-0.65</v>
      </c>
      <c r="F2115" s="731" t="n">
        <v>-4.85</v>
      </c>
      <c r="G2115" t="inlineStr">
        <is>
          <t>6.36萬</t>
        </is>
      </c>
      <c r="H2115" t="n">
        <v>5</v>
      </c>
      <c r="I2115" t="n">
        <v>11</v>
      </c>
      <c r="J2115" t="n">
        <v>2.07</v>
      </c>
      <c r="K2115" t="n">
        <v>12.75</v>
      </c>
      <c r="L2115" t="n">
        <v>12.6</v>
      </c>
      <c r="M2115" s="155" t="n">
        <v>0.02</v>
      </c>
      <c r="N2115" t="inlineStr">
        <is>
          <t>光電資訊產品及美妝商品之專業代理商</t>
        </is>
      </c>
    </row>
    <row r="2116">
      <c r="A2116" s="729" t="n">
        <v>8068</v>
      </c>
      <c r="B2116" t="inlineStr">
        <is>
          <t>全達</t>
        </is>
      </c>
      <c r="C2116" t="n">
        <v>20</v>
      </c>
      <c r="D2116" t="n">
        <v>20.25</v>
      </c>
      <c r="E2116" s="730" t="n">
        <v>0.25</v>
      </c>
      <c r="F2116" s="731" t="n">
        <v>1.25</v>
      </c>
      <c r="G2116" t="inlineStr">
        <is>
          <t>1090萬</t>
        </is>
      </c>
      <c r="H2116" t="n">
        <v>537</v>
      </c>
      <c r="I2116" t="n">
        <v>406</v>
      </c>
      <c r="J2116" t="n">
        <v>8.08</v>
      </c>
      <c r="K2116" t="n">
        <v>21</v>
      </c>
      <c r="L2116" t="n">
        <v>19.85</v>
      </c>
      <c r="M2116" s="155" t="n">
        <v>0.66</v>
      </c>
      <c r="N2116" t="inlineStr">
        <is>
          <t>大宇資旗下的IC零組件通路商</t>
        </is>
      </c>
    </row>
    <row r="2117">
      <c r="A2117" s="729" t="n">
        <v>8069</v>
      </c>
      <c r="B2117" t="inlineStr">
        <is>
          <t>元太</t>
        </is>
      </c>
      <c r="C2117" t="n">
        <v>223.5</v>
      </c>
      <c r="D2117" t="n">
        <v>224</v>
      </c>
      <c r="E2117" s="730" t="n">
        <v>-1</v>
      </c>
      <c r="F2117" s="731" t="n">
        <v>-0.44</v>
      </c>
      <c r="G2117" t="inlineStr">
        <is>
          <t>15.0億</t>
        </is>
      </c>
      <c r="H2117" t="n">
        <v>6801</v>
      </c>
      <c r="I2117" t="n">
        <v>10590</v>
      </c>
      <c r="J2117" t="n">
        <v>115.42</v>
      </c>
      <c r="K2117" t="n">
        <v>227</v>
      </c>
      <c r="L2117" t="n">
        <v>216</v>
      </c>
      <c r="M2117" s="155" t="n">
        <v>0.59</v>
      </c>
      <c r="N2117" t="inlineStr">
        <is>
          <t>全球電子紙龍頭廠</t>
        </is>
      </c>
    </row>
    <row r="2118">
      <c r="A2118" s="729" t="n">
        <v>8070</v>
      </c>
      <c r="B2118" t="inlineStr">
        <is>
          <t>長華*</t>
        </is>
      </c>
      <c r="C2118" t="n">
        <v>53.9</v>
      </c>
      <c r="D2118" t="n">
        <v>58</v>
      </c>
      <c r="E2118" s="730" t="n">
        <v>5.2</v>
      </c>
      <c r="F2118" s="731" t="n">
        <v>9.85</v>
      </c>
      <c r="G2118" t="inlineStr">
        <is>
          <t>16.5億</t>
        </is>
      </c>
      <c r="H2118" t="n">
        <v>29148</v>
      </c>
      <c r="I2118" t="n">
        <v>10427</v>
      </c>
      <c r="J2118" t="n">
        <v>7.26</v>
      </c>
      <c r="K2118" t="n">
        <v>58</v>
      </c>
      <c r="L2118" t="n">
        <v>51.4</v>
      </c>
      <c r="M2118" s="155" t="n">
        <v>4.02</v>
      </c>
      <c r="N2118" t="inlineStr">
        <is>
          <t>半導體封裝材料及設備通路商</t>
        </is>
      </c>
    </row>
    <row r="2119">
      <c r="A2119" s="729" t="n">
        <v>8071</v>
      </c>
      <c r="B2119" t="inlineStr">
        <is>
          <t>能率網通</t>
        </is>
      </c>
      <c r="C2119" t="n">
        <v>24.3</v>
      </c>
      <c r="D2119" t="n">
        <v>23.35</v>
      </c>
      <c r="E2119" s="730" t="n">
        <v>-0.05</v>
      </c>
      <c r="F2119" s="731" t="n">
        <v>-0.21</v>
      </c>
      <c r="G2119" t="inlineStr">
        <is>
          <t>1.68億</t>
        </is>
      </c>
      <c r="H2119" t="n">
        <v>7181</v>
      </c>
      <c r="I2119" t="n">
        <v>2580</v>
      </c>
      <c r="J2119" t="n">
        <v>6.01</v>
      </c>
      <c r="K2119" t="n">
        <v>24.5</v>
      </c>
      <c r="L2119" t="n">
        <v>22.2</v>
      </c>
      <c r="M2119" s="155" t="n">
        <v>11.95</v>
      </c>
      <c r="N2119" t="inlineStr">
        <is>
          <t>專精事務機塑膠機構件及隱形眼鏡之生產業務</t>
        </is>
      </c>
    </row>
    <row r="2120">
      <c r="A2120" s="729" t="n">
        <v>8072</v>
      </c>
      <c r="B2120" t="inlineStr">
        <is>
          <t>陞泰</t>
        </is>
      </c>
      <c r="C2120" t="n">
        <v>28.6</v>
      </c>
      <c r="D2120" t="n">
        <v>29.45</v>
      </c>
      <c r="E2120" s="730" t="n">
        <v>1.05</v>
      </c>
      <c r="F2120" s="731" t="n">
        <v>3.7</v>
      </c>
      <c r="G2120" t="inlineStr">
        <is>
          <t>4894萬</t>
        </is>
      </c>
      <c r="H2120" t="n">
        <v>1650</v>
      </c>
      <c r="I2120" t="n">
        <v>337</v>
      </c>
      <c r="J2120" t="n">
        <v>8</v>
      </c>
      <c r="K2120" t="n">
        <v>30.75</v>
      </c>
      <c r="L2120" t="n">
        <v>28.3</v>
      </c>
      <c r="M2120" s="155" t="n">
        <v>2.06</v>
      </c>
      <c r="N2120" t="inlineStr">
        <is>
          <t>從事安全監控系統及半導體代理業務</t>
        </is>
      </c>
    </row>
    <row r="2121">
      <c r="A2121" s="729" t="n">
        <v>8074</v>
      </c>
      <c r="B2121" t="inlineStr">
        <is>
          <t>鉅橡</t>
        </is>
      </c>
      <c r="C2121" t="n">
        <v>77.2</v>
      </c>
      <c r="D2121" t="n">
        <v>74.2</v>
      </c>
      <c r="E2121" s="730" t="n">
        <v>-2.3</v>
      </c>
      <c r="F2121" s="731" t="n">
        <v>-3.01</v>
      </c>
      <c r="G2121" t="inlineStr">
        <is>
          <t>1.07億</t>
        </is>
      </c>
      <c r="H2121" t="n">
        <v>1436</v>
      </c>
      <c r="I2121" t="n">
        <v>1934</v>
      </c>
      <c r="J2121" t="n">
        <v>8.699999999999999</v>
      </c>
      <c r="K2121" t="n">
        <v>77.40000000000001</v>
      </c>
      <c r="L2121" t="n">
        <v>72.09999999999999</v>
      </c>
      <c r="M2121" s="155" t="n">
        <v>1.65</v>
      </c>
      <c r="N2121" t="inlineStr">
        <is>
          <t>全球最大PCB墊板供應商</t>
        </is>
      </c>
    </row>
    <row r="2122">
      <c r="A2122" s="729" t="n">
        <v>8076</v>
      </c>
      <c r="B2122" t="inlineStr">
        <is>
          <t>伍豐</t>
        </is>
      </c>
      <c r="C2122" t="n">
        <v>25</v>
      </c>
      <c r="D2122" t="n">
        <v>24.95</v>
      </c>
      <c r="E2122" s="730" t="n">
        <v>0.05</v>
      </c>
      <c r="F2122" s="731" t="n">
        <v>0.2</v>
      </c>
      <c r="G2122" t="inlineStr">
        <is>
          <t>3148萬</t>
        </is>
      </c>
      <c r="H2122" t="n">
        <v>1271</v>
      </c>
      <c r="I2122" t="n">
        <v>1637</v>
      </c>
      <c r="J2122" t="n">
        <v>29.22</v>
      </c>
      <c r="K2122" t="n">
        <v>25.15</v>
      </c>
      <c r="L2122" t="n">
        <v>24.45</v>
      </c>
      <c r="M2122" s="155" t="n">
        <v>0.43</v>
      </c>
      <c r="N2122" t="inlineStr">
        <is>
          <t>跨入博奕產業之台灣POS專業廠商</t>
        </is>
      </c>
    </row>
    <row r="2123">
      <c r="A2123" s="729" t="n">
        <v>8077</v>
      </c>
      <c r="B2123" t="inlineStr">
        <is>
          <t>洛碁</t>
        </is>
      </c>
      <c r="C2123" t="n">
        <v>49</v>
      </c>
      <c r="D2123" t="n">
        <v>49</v>
      </c>
      <c r="E2123" s="730" t="n">
        <v>0.35</v>
      </c>
      <c r="F2123" s="731" t="n">
        <v>0.72</v>
      </c>
      <c r="G2123" t="inlineStr">
        <is>
          <t>19.6萬</t>
        </is>
      </c>
      <c r="H2123" t="n">
        <v>4</v>
      </c>
      <c r="I2123" t="n">
        <v>11</v>
      </c>
      <c r="J2123" t="n">
        <v>2.19</v>
      </c>
      <c r="K2123" t="n">
        <v>49</v>
      </c>
      <c r="L2123" t="n">
        <v>48.7</v>
      </c>
      <c r="M2123" s="155" t="n">
        <v>0.02</v>
      </c>
      <c r="N2123" t="inlineStr">
        <is>
          <t>以台北市為主的飯店經營業者</t>
        </is>
      </c>
    </row>
    <row r="2124">
      <c r="A2124" s="729" t="n">
        <v>8080</v>
      </c>
      <c r="B2124" t="inlineStr">
        <is>
          <t>泰霖</t>
        </is>
      </c>
      <c r="C2124" t="n">
        <v>28</v>
      </c>
      <c r="D2124" t="n">
        <v>27.9</v>
      </c>
      <c r="E2124" s="730" t="n">
        <v>-0.25</v>
      </c>
      <c r="F2124" s="731" t="n">
        <v>-0.89</v>
      </c>
      <c r="G2124" t="inlineStr">
        <is>
          <t>123萬</t>
        </is>
      </c>
      <c r="H2124" t="n">
        <v>44</v>
      </c>
      <c r="I2124" t="n">
        <v>36</v>
      </c>
      <c r="J2124" t="n">
        <v>6.72</v>
      </c>
      <c r="K2124" t="n">
        <v>28</v>
      </c>
      <c r="L2124" t="n">
        <v>27.9</v>
      </c>
      <c r="M2124" s="155" t="n">
        <v>0.07000000000000001</v>
      </c>
      <c r="N2124" t="inlineStr">
        <is>
          <t>營建剩餘土石方工程商</t>
        </is>
      </c>
    </row>
    <row r="2125">
      <c r="A2125" s="729" t="n">
        <v>8081</v>
      </c>
      <c r="B2125" t="inlineStr">
        <is>
          <t>致新</t>
        </is>
      </c>
      <c r="C2125" t="n">
        <v>290</v>
      </c>
      <c r="D2125" t="n">
        <v>284.5</v>
      </c>
      <c r="E2125" s="730" t="n">
        <v>-5.5</v>
      </c>
      <c r="F2125" s="731" t="n">
        <v>-1.9</v>
      </c>
      <c r="G2125" t="inlineStr">
        <is>
          <t>3.80億</t>
        </is>
      </c>
      <c r="H2125" t="n">
        <v>1336</v>
      </c>
      <c r="I2125" t="n">
        <v>1647</v>
      </c>
      <c r="J2125" t="n">
        <v>8.619999999999999</v>
      </c>
      <c r="K2125" t="n">
        <v>291</v>
      </c>
      <c r="L2125" t="n">
        <v>279.5</v>
      </c>
      <c r="M2125" s="155" t="n">
        <v>1.55</v>
      </c>
      <c r="N2125" t="inlineStr">
        <is>
          <t>台灣前三大類比IC設計公司</t>
        </is>
      </c>
    </row>
    <row r="2126">
      <c r="A2126" s="729" t="n">
        <v>8083</v>
      </c>
      <c r="B2126" t="inlineStr">
        <is>
          <t>瑞穎</t>
        </is>
      </c>
      <c r="C2126" t="n">
        <v>169</v>
      </c>
      <c r="D2126" t="n">
        <v>170</v>
      </c>
      <c r="E2126" s="730" t="n">
        <v>2</v>
      </c>
      <c r="F2126" s="731" t="n">
        <v>1.19</v>
      </c>
      <c r="G2126" t="inlineStr">
        <is>
          <t>2024萬</t>
        </is>
      </c>
      <c r="H2126" t="n">
        <v>120</v>
      </c>
      <c r="I2126" t="n">
        <v>63</v>
      </c>
      <c r="J2126" t="n">
        <v>3.51</v>
      </c>
      <c r="K2126" t="n">
        <v>170</v>
      </c>
      <c r="L2126" t="n">
        <v>167.5</v>
      </c>
      <c r="M2126" s="155" t="n">
        <v>0.34</v>
      </c>
      <c r="N2126" t="inlineStr">
        <is>
          <t>台灣軸承製造商，主要應用於車庫門、手推車等</t>
        </is>
      </c>
    </row>
    <row r="2127">
      <c r="A2127" s="729" t="n">
        <v>8084</v>
      </c>
      <c r="B2127" t="inlineStr">
        <is>
          <t>巨虹</t>
        </is>
      </c>
      <c r="C2127" t="n">
        <v>50</v>
      </c>
      <c r="D2127" t="n">
        <v>49.5</v>
      </c>
      <c r="E2127" s="730" t="n">
        <v>0.5</v>
      </c>
      <c r="F2127" s="731" t="n">
        <v>1.02</v>
      </c>
      <c r="G2127" t="inlineStr">
        <is>
          <t>719萬</t>
        </is>
      </c>
      <c r="H2127" t="n">
        <v>146</v>
      </c>
      <c r="I2127" t="n">
        <v>137</v>
      </c>
      <c r="J2127" t="n">
        <v>6.95</v>
      </c>
      <c r="K2127" t="n">
        <v>50.7</v>
      </c>
      <c r="L2127" t="n">
        <v>48.6</v>
      </c>
      <c r="M2127" s="155" t="n">
        <v>0.21</v>
      </c>
      <c r="N2127" t="inlineStr">
        <is>
          <t>經營記憶體通路及餐飲、助聽器等產品</t>
        </is>
      </c>
    </row>
    <row r="2128">
      <c r="A2128" s="729" t="n">
        <v>8085</v>
      </c>
      <c r="B2128" t="inlineStr">
        <is>
          <t>福華</t>
        </is>
      </c>
      <c r="C2128" t="n">
        <v>13.35</v>
      </c>
      <c r="D2128" t="n">
        <v>13.35</v>
      </c>
      <c r="E2128" s="730" t="n">
        <v>1.2</v>
      </c>
      <c r="F2128" s="731" t="n">
        <v>9.880000000000001</v>
      </c>
      <c r="G2128" t="inlineStr">
        <is>
          <t>705萬</t>
        </is>
      </c>
      <c r="H2128" t="n">
        <v>528</v>
      </c>
      <c r="I2128" t="n">
        <v>550</v>
      </c>
      <c r="J2128" t="n">
        <v>14</v>
      </c>
      <c r="K2128" t="n">
        <v>13.35</v>
      </c>
      <c r="L2128" t="n">
        <v>13.35</v>
      </c>
      <c r="M2128" s="155" t="n">
        <v>0.38</v>
      </c>
      <c r="N2128" t="inlineStr">
        <is>
          <t>大同集團旗下電子零組件廠</t>
        </is>
      </c>
    </row>
    <row r="2129">
      <c r="A2129" s="729" t="n">
        <v>8086</v>
      </c>
      <c r="B2129" t="inlineStr">
        <is>
          <t>宏捷科</t>
        </is>
      </c>
      <c r="C2129" t="n">
        <v>168</v>
      </c>
      <c r="D2129" t="n">
        <v>168</v>
      </c>
      <c r="E2129" s="730" t="n">
        <v>2</v>
      </c>
      <c r="F2129" s="731" t="n">
        <v>1.2</v>
      </c>
      <c r="G2129" t="inlineStr">
        <is>
          <t>9.58億</t>
        </is>
      </c>
      <c r="H2129" t="n">
        <v>5736</v>
      </c>
      <c r="I2129" t="n">
        <v>9845</v>
      </c>
      <c r="J2129" t="n">
        <v>19.65</v>
      </c>
      <c r="K2129" t="n">
        <v>173.5</v>
      </c>
      <c r="L2129" t="n">
        <v>163.5</v>
      </c>
      <c r="M2129" s="155" t="n">
        <v>2.92</v>
      </c>
      <c r="N2129" t="inlineStr">
        <is>
          <t>全球前三大砷化鎵晶圓代工廠</t>
        </is>
      </c>
    </row>
    <row r="2130">
      <c r="A2130" s="729" t="n">
        <v>8087</v>
      </c>
      <c r="B2130" t="inlineStr">
        <is>
          <t>麗升能源</t>
        </is>
      </c>
      <c r="C2130" t="n">
        <v>34.1</v>
      </c>
      <c r="D2130" t="n">
        <v>33.8</v>
      </c>
      <c r="E2130" s="730" t="n">
        <v>-0.05</v>
      </c>
      <c r="F2130" s="731" t="n">
        <v>-0.15</v>
      </c>
      <c r="G2130" t="inlineStr">
        <is>
          <t>139萬</t>
        </is>
      </c>
      <c r="H2130" t="n">
        <v>42</v>
      </c>
      <c r="I2130" t="n">
        <v>64</v>
      </c>
      <c r="J2130" t="n">
        <v>3.87</v>
      </c>
      <c r="K2130" t="n">
        <v>34.15</v>
      </c>
      <c r="L2130" t="n">
        <v>33.6</v>
      </c>
      <c r="M2130" s="155" t="n">
        <v>0.11</v>
      </c>
      <c r="N2130" t="inlineStr">
        <is>
          <t>從事太陽能、風電等再生能源電廠投資與建置業務</t>
        </is>
      </c>
    </row>
    <row r="2131">
      <c r="A2131" s="729" t="n">
        <v>8088</v>
      </c>
      <c r="B2131" t="inlineStr">
        <is>
          <t>品安</t>
        </is>
      </c>
      <c r="C2131" t="n">
        <v>60.1</v>
      </c>
      <c r="D2131" t="n">
        <v>65.59999999999999</v>
      </c>
      <c r="E2131" s="730" t="n">
        <v>5.9</v>
      </c>
      <c r="F2131" s="731" t="n">
        <v>9.880000000000001</v>
      </c>
      <c r="G2131" t="inlineStr">
        <is>
          <t>9.96億</t>
        </is>
      </c>
      <c r="H2131" t="n">
        <v>15653</v>
      </c>
      <c r="I2131" t="n">
        <v>8559</v>
      </c>
      <c r="J2131" t="n">
        <v>6.09</v>
      </c>
      <c r="K2131" t="n">
        <v>65.59999999999999</v>
      </c>
      <c r="L2131" t="n">
        <v>60</v>
      </c>
      <c r="M2131" s="155" t="n">
        <v>25.69</v>
      </c>
      <c r="N2131" t="inlineStr">
        <is>
          <t>台灣記憶體模組廠</t>
        </is>
      </c>
    </row>
    <row r="2132">
      <c r="A2132" s="729" t="n">
        <v>8089</v>
      </c>
      <c r="B2132" t="inlineStr">
        <is>
          <t>康全電訊</t>
        </is>
      </c>
      <c r="C2132" t="n">
        <v>20.45</v>
      </c>
      <c r="D2132" t="n">
        <v>20.85</v>
      </c>
      <c r="E2132" s="730" t="n">
        <v>0.4</v>
      </c>
      <c r="F2132" s="731" t="n">
        <v>1.96</v>
      </c>
      <c r="G2132" t="inlineStr">
        <is>
          <t>924萬</t>
        </is>
      </c>
      <c r="H2132" t="n">
        <v>455</v>
      </c>
      <c r="I2132" t="n">
        <v>216</v>
      </c>
      <c r="J2132" t="n">
        <v>6.6</v>
      </c>
      <c r="K2132" t="n">
        <v>21.2</v>
      </c>
      <c r="L2132" t="n">
        <v>19.85</v>
      </c>
      <c r="M2132" s="155" t="n">
        <v>0.6899999999999999</v>
      </c>
      <c r="N2132" t="inlineStr">
        <is>
          <t>訊舟轉投資網路通訊設備廠</t>
        </is>
      </c>
    </row>
    <row r="2133">
      <c r="A2133" s="729" t="n">
        <v>8091</v>
      </c>
      <c r="B2133" t="inlineStr">
        <is>
          <t>翔名</t>
        </is>
      </c>
      <c r="C2133" t="n">
        <v>264</v>
      </c>
      <c r="D2133" t="n">
        <v>252</v>
      </c>
      <c r="E2133" s="730" t="n">
        <v>-13.5</v>
      </c>
      <c r="F2133" s="731" t="n">
        <v>-5.08</v>
      </c>
      <c r="G2133" t="inlineStr">
        <is>
          <t>1.60億</t>
        </is>
      </c>
      <c r="H2133" t="n">
        <v>629</v>
      </c>
      <c r="I2133" t="n">
        <v>429</v>
      </c>
      <c r="J2133" t="n">
        <v>5.36</v>
      </c>
      <c r="K2133" t="n">
        <v>264</v>
      </c>
      <c r="L2133" t="n">
        <v>248</v>
      </c>
      <c r="M2133" s="155" t="n">
        <v>1.18</v>
      </c>
      <c r="N2133" t="inlineStr">
        <is>
          <t>台灣半導體離子植入機之關鍵零件最大供應商</t>
        </is>
      </c>
    </row>
    <row r="2134">
      <c r="A2134" s="729" t="n">
        <v>8092</v>
      </c>
      <c r="B2134" t="inlineStr">
        <is>
          <t>建暐</t>
        </is>
      </c>
      <c r="C2134" t="n">
        <v>17.45</v>
      </c>
      <c r="D2134" t="n">
        <v>16.9</v>
      </c>
      <c r="E2134" s="730" t="n">
        <v>-0.2</v>
      </c>
      <c r="F2134" s="731" t="n">
        <v>-1.17</v>
      </c>
      <c r="G2134" t="inlineStr">
        <is>
          <t>229萬</t>
        </is>
      </c>
      <c r="H2134" t="n">
        <v>135</v>
      </c>
      <c r="I2134" t="n">
        <v>162</v>
      </c>
      <c r="J2134" t="n">
        <v>5.72</v>
      </c>
      <c r="K2134" t="n">
        <v>17.45</v>
      </c>
      <c r="L2134" t="n">
        <v>16.65</v>
      </c>
      <c r="M2134" s="155" t="n">
        <v>0.24</v>
      </c>
      <c r="N2134" t="inlineStr">
        <is>
          <t>IC封裝模具及量測儀器廠製造商</t>
        </is>
      </c>
    </row>
    <row r="2135">
      <c r="A2135" s="729" t="n">
        <v>8093</v>
      </c>
      <c r="B2135" t="inlineStr">
        <is>
          <t>保銳</t>
        </is>
      </c>
      <c r="C2135" t="n">
        <v>18.4</v>
      </c>
      <c r="D2135" t="n">
        <v>18.25</v>
      </c>
      <c r="E2135" s="730" t="n">
        <v>-0.35</v>
      </c>
      <c r="F2135" s="731" t="n">
        <v>-1.88</v>
      </c>
      <c r="G2135" t="inlineStr">
        <is>
          <t>23.3萬</t>
        </is>
      </c>
      <c r="H2135" t="n">
        <v>13</v>
      </c>
      <c r="I2135" t="n">
        <v>25</v>
      </c>
      <c r="J2135" t="n">
        <v>5.66</v>
      </c>
      <c r="K2135" t="n">
        <v>18.4</v>
      </c>
      <c r="L2135" t="n">
        <v>17.7</v>
      </c>
      <c r="M2135" s="155" t="n">
        <v>0.04</v>
      </c>
      <c r="N2135" t="inlineStr">
        <is>
          <t>主攻高階DIY市場且經營自有品牌之電源與電腦週邊廠</t>
        </is>
      </c>
    </row>
    <row r="2136">
      <c r="A2136" s="729" t="n">
        <v>8096</v>
      </c>
      <c r="B2136" t="inlineStr">
        <is>
          <t>擎亞</t>
        </is>
      </c>
      <c r="C2136" t="n">
        <v>137</v>
      </c>
      <c r="D2136" t="n">
        <v>137</v>
      </c>
      <c r="E2136" s="730" t="n">
        <v>2.5</v>
      </c>
      <c r="F2136" s="731" t="n">
        <v>1.86</v>
      </c>
      <c r="G2136" t="inlineStr">
        <is>
          <t>25.7億</t>
        </is>
      </c>
      <c r="H2136" t="n">
        <v>18850</v>
      </c>
      <c r="I2136" t="n">
        <v>12793</v>
      </c>
      <c r="J2136" t="n">
        <v>14.93</v>
      </c>
      <c r="K2136" t="n">
        <v>145</v>
      </c>
      <c r="L2136" t="n">
        <v>132</v>
      </c>
      <c r="M2136" s="155" t="n">
        <v>12.62</v>
      </c>
      <c r="N2136" t="inlineStr">
        <is>
          <t>為韓國三星在台之主要合作夥伴</t>
        </is>
      </c>
    </row>
    <row r="2137">
      <c r="A2137" s="729" t="n">
        <v>8097</v>
      </c>
      <c r="B2137" t="inlineStr">
        <is>
          <t>常珵</t>
        </is>
      </c>
      <c r="C2137" t="n">
        <v>61.2</v>
      </c>
      <c r="D2137" t="n">
        <v>61.2</v>
      </c>
      <c r="E2137" s="730" t="n">
        <v>1.4</v>
      </c>
      <c r="F2137" s="731" t="n">
        <v>2.34</v>
      </c>
      <c r="G2137" t="inlineStr">
        <is>
          <t>2069萬</t>
        </is>
      </c>
      <c r="H2137" t="n">
        <v>339</v>
      </c>
      <c r="I2137" t="n">
        <v>91</v>
      </c>
      <c r="J2137" t="n">
        <v>6.38</v>
      </c>
      <c r="K2137" t="n">
        <v>62.6</v>
      </c>
      <c r="L2137" t="n">
        <v>59.7</v>
      </c>
      <c r="M2137" s="155" t="n">
        <v>0.53</v>
      </c>
      <c r="N2137" t="inlineStr">
        <is>
          <t>網通CPE設備供應商</t>
        </is>
      </c>
    </row>
    <row r="2138">
      <c r="A2138" s="729" t="n">
        <v>8099</v>
      </c>
      <c r="B2138" t="inlineStr">
        <is>
          <t>大世科</t>
        </is>
      </c>
      <c r="C2138" t="n">
        <v>62.1</v>
      </c>
      <c r="D2138" t="n">
        <v>62.6</v>
      </c>
      <c r="E2138" s="730" t="n">
        <v>0.4</v>
      </c>
      <c r="F2138" s="731" t="n">
        <v>0.64</v>
      </c>
      <c r="G2138" t="inlineStr">
        <is>
          <t>1287萬</t>
        </is>
      </c>
      <c r="H2138" t="n">
        <v>207</v>
      </c>
      <c r="I2138" t="n">
        <v>137</v>
      </c>
      <c r="J2138" t="n">
        <v>10.01</v>
      </c>
      <c r="K2138" t="n">
        <v>63.7</v>
      </c>
      <c r="L2138" t="n">
        <v>61.9</v>
      </c>
      <c r="M2138" s="155" t="n">
        <v>0.21</v>
      </c>
      <c r="N2138" t="inlineStr">
        <is>
          <t>大同旗下資訊通信系統整合廠商</t>
        </is>
      </c>
    </row>
    <row r="2139">
      <c r="A2139" s="729" t="n">
        <v>8101</v>
      </c>
      <c r="B2139" t="inlineStr">
        <is>
          <t>華冠</t>
        </is>
      </c>
      <c r="C2139" t="n">
        <v>15.05</v>
      </c>
      <c r="D2139" t="n">
        <v>15</v>
      </c>
      <c r="E2139" s="730" t="n">
        <v>0.45</v>
      </c>
      <c r="F2139" s="731" t="n">
        <v>3.09</v>
      </c>
      <c r="G2139" t="inlineStr">
        <is>
          <t>64.6萬</t>
        </is>
      </c>
      <c r="H2139" t="n">
        <v>44</v>
      </c>
      <c r="I2139" t="n">
        <v>18</v>
      </c>
      <c r="J2139" t="n">
        <v>5.37</v>
      </c>
      <c r="K2139" t="n">
        <v>15.1</v>
      </c>
      <c r="L2139" t="n">
        <v>14.3</v>
      </c>
      <c r="M2139" s="155" t="n">
        <v>0.3</v>
      </c>
      <c r="N2139" t="inlineStr">
        <is>
          <t>台灣從事行動通訊產品製造商</t>
        </is>
      </c>
    </row>
    <row r="2140">
      <c r="A2140" s="729" t="n">
        <v>8102</v>
      </c>
      <c r="B2140" t="inlineStr">
        <is>
          <t>傑霖科技</t>
        </is>
      </c>
      <c r="C2140" t="n">
        <v>73</v>
      </c>
      <c r="D2140" t="n">
        <v>80</v>
      </c>
      <c r="E2140" s="730" t="n">
        <v>6.6</v>
      </c>
      <c r="F2140" s="731" t="n">
        <v>8.99</v>
      </c>
      <c r="G2140" t="inlineStr">
        <is>
          <t>1517萬</t>
        </is>
      </c>
      <c r="H2140" t="n">
        <v>207</v>
      </c>
      <c r="I2140" t="n">
        <v>68</v>
      </c>
      <c r="J2140" t="n">
        <v>2.34</v>
      </c>
      <c r="K2140" t="n">
        <v>80</v>
      </c>
      <c r="L2140" t="n">
        <v>71.5</v>
      </c>
      <c r="M2140" s="155" t="n">
        <v>0.89</v>
      </c>
      <c r="N2140" t="inlineStr">
        <is>
          <t>專注於影像處理IC設計公司</t>
        </is>
      </c>
    </row>
    <row r="2141">
      <c r="A2141" s="729" t="n">
        <v>8103</v>
      </c>
      <c r="B2141" t="inlineStr">
        <is>
          <t>瀚荃</t>
        </is>
      </c>
      <c r="C2141" t="n">
        <v>113</v>
      </c>
      <c r="D2141" t="n">
        <v>103.5</v>
      </c>
      <c r="E2141" s="730" t="n">
        <v>-10</v>
      </c>
      <c r="F2141" s="731" t="n">
        <v>-8.81</v>
      </c>
      <c r="G2141" t="inlineStr">
        <is>
          <t>3.33億</t>
        </is>
      </c>
      <c r="H2141" t="n">
        <v>3142</v>
      </c>
      <c r="I2141" t="n">
        <v>2912</v>
      </c>
      <c r="J2141" t="n">
        <v>7.84</v>
      </c>
      <c r="K2141" t="n">
        <v>113</v>
      </c>
      <c r="L2141" t="n">
        <v>102.5</v>
      </c>
      <c r="M2141" s="155" t="n">
        <v>4.01</v>
      </c>
      <c r="N2141" t="inlineStr">
        <is>
          <t>各種應用之連接器及線纜組件廠</t>
        </is>
      </c>
    </row>
    <row r="2142">
      <c r="A2142" s="729" t="n">
        <v>8104</v>
      </c>
      <c r="B2142" t="inlineStr">
        <is>
          <t>錸寶</t>
        </is>
      </c>
      <c r="C2142" t="n">
        <v>40.65</v>
      </c>
      <c r="D2142" t="n">
        <v>40.55</v>
      </c>
      <c r="E2142" s="730" t="n">
        <v>-0.95</v>
      </c>
      <c r="F2142" s="731" t="n">
        <v>-2.29</v>
      </c>
      <c r="G2142" t="inlineStr">
        <is>
          <t>1.18億</t>
        </is>
      </c>
      <c r="H2142" t="n">
        <v>2962</v>
      </c>
      <c r="I2142" t="n">
        <v>6620</v>
      </c>
      <c r="J2142" t="n">
        <v>10.41</v>
      </c>
      <c r="K2142" t="n">
        <v>41.15</v>
      </c>
      <c r="L2142" t="n">
        <v>39</v>
      </c>
      <c r="M2142" s="155" t="n">
        <v>2.85</v>
      </c>
      <c r="N2142" t="inlineStr">
        <is>
          <t>錸德轉投資的全球PMOLED龍頭廠商</t>
        </is>
      </c>
    </row>
    <row r="2143">
      <c r="A2143" s="729" t="n">
        <v>8105</v>
      </c>
      <c r="B2143" t="inlineStr">
        <is>
          <t>凌巨</t>
        </is>
      </c>
      <c r="C2143" t="n">
        <v>19.8</v>
      </c>
      <c r="D2143" t="n">
        <v>21.2</v>
      </c>
      <c r="E2143" s="730" t="n">
        <v>1.9</v>
      </c>
      <c r="F2143" s="731" t="n">
        <v>9.84</v>
      </c>
      <c r="G2143" t="inlineStr">
        <is>
          <t>8.66億</t>
        </is>
      </c>
      <c r="H2143" t="n">
        <v>44056</v>
      </c>
      <c r="I2143" t="n">
        <v>9872</v>
      </c>
      <c r="J2143" t="n">
        <v>44.15</v>
      </c>
      <c r="K2143" t="n">
        <v>21.2</v>
      </c>
      <c r="L2143" t="n">
        <v>17.8</v>
      </c>
      <c r="M2143" s="155" t="n">
        <v>9.98</v>
      </c>
      <c r="N2143" t="inlineStr">
        <is>
          <t>從事製造利基型顯示模組</t>
        </is>
      </c>
    </row>
    <row r="2144">
      <c r="A2144" s="729" t="n">
        <v>8107</v>
      </c>
      <c r="B2144" t="inlineStr">
        <is>
          <t>大億金茂</t>
        </is>
      </c>
      <c r="C2144" t="n">
        <v>12.55</v>
      </c>
      <c r="D2144" t="n">
        <v>12.35</v>
      </c>
      <c r="E2144" s="730" t="n">
        <v>-0.2</v>
      </c>
      <c r="F2144" s="731" t="n">
        <v>-1.59</v>
      </c>
      <c r="G2144" t="inlineStr">
        <is>
          <t>90.5萬</t>
        </is>
      </c>
      <c r="H2144" t="n">
        <v>73</v>
      </c>
      <c r="I2144" t="n">
        <v>582</v>
      </c>
      <c r="J2144" t="n">
        <v>7.5</v>
      </c>
      <c r="K2144" t="n">
        <v>12.55</v>
      </c>
      <c r="L2144" t="n">
        <v>12.3</v>
      </c>
      <c r="M2144" s="155" t="n">
        <v>0.1</v>
      </c>
      <c r="N2144" t="inlineStr">
        <is>
          <t>大億集團旗下之汽車零組件供應商</t>
        </is>
      </c>
    </row>
    <row r="2145">
      <c r="A2145" s="729" t="n">
        <v>8109</v>
      </c>
      <c r="B2145" t="inlineStr">
        <is>
          <t>博大</t>
        </is>
      </c>
      <c r="C2145" t="n">
        <v>127</v>
      </c>
      <c r="D2145" t="n">
        <v>123</v>
      </c>
      <c r="E2145" s="730" t="n">
        <v>-3.5</v>
      </c>
      <c r="F2145" s="731" t="n">
        <v>-2.77</v>
      </c>
      <c r="G2145" t="inlineStr">
        <is>
          <t>3248萬</t>
        </is>
      </c>
      <c r="H2145" t="n">
        <v>262</v>
      </c>
      <c r="I2145" t="n">
        <v>385</v>
      </c>
      <c r="J2145" t="n">
        <v>8.220000000000001</v>
      </c>
      <c r="K2145" t="n">
        <v>127.5</v>
      </c>
      <c r="L2145" t="n">
        <v>122</v>
      </c>
      <c r="M2145" s="155" t="n">
        <v>0.32</v>
      </c>
      <c r="N2145" t="inlineStr">
        <is>
          <t>台灣專攻工業與通訊應用之利基型電源廠</t>
        </is>
      </c>
    </row>
    <row r="2146">
      <c r="A2146" s="729" t="n">
        <v>8110</v>
      </c>
      <c r="B2146" t="inlineStr">
        <is>
          <t>華東</t>
        </is>
      </c>
      <c r="C2146" t="n">
        <v>63.9</v>
      </c>
      <c r="D2146" t="n">
        <v>61.6</v>
      </c>
      <c r="E2146" s="730" t="n">
        <v>-3.6</v>
      </c>
      <c r="F2146" s="731" t="n">
        <v>-5.52</v>
      </c>
      <c r="G2146" t="inlineStr">
        <is>
          <t>23.4億</t>
        </is>
      </c>
      <c r="H2146" t="n">
        <v>37950</v>
      </c>
      <c r="I2146" t="n">
        <v>69136</v>
      </c>
      <c r="J2146" t="n">
        <v>51.77</v>
      </c>
      <c r="K2146" t="n">
        <v>65.5</v>
      </c>
      <c r="L2146" t="n">
        <v>58.9</v>
      </c>
      <c r="M2146" s="155" t="n">
        <v>7.33</v>
      </c>
      <c r="N2146" t="inlineStr">
        <is>
          <t>華新集團旗下封測廠</t>
        </is>
      </c>
    </row>
    <row r="2147">
      <c r="A2147" s="729" t="n">
        <v>8111</v>
      </c>
      <c r="B2147" t="inlineStr">
        <is>
          <t>立碁</t>
        </is>
      </c>
      <c r="C2147" t="n">
        <v>67</v>
      </c>
      <c r="D2147" t="n">
        <v>63.6</v>
      </c>
      <c r="E2147" s="730" t="n">
        <v>-2.4</v>
      </c>
      <c r="F2147" s="731" t="n">
        <v>-3.64</v>
      </c>
      <c r="G2147" t="inlineStr">
        <is>
          <t>1.89億</t>
        </is>
      </c>
      <c r="H2147" t="n">
        <v>2901</v>
      </c>
      <c r="I2147" t="n">
        <v>2064</v>
      </c>
      <c r="J2147" t="n">
        <v>10.91</v>
      </c>
      <c r="K2147" t="n">
        <v>68</v>
      </c>
      <c r="L2147" t="n">
        <v>63</v>
      </c>
      <c r="M2147" s="155" t="n">
        <v>2.66</v>
      </c>
      <c r="N2147" t="inlineStr">
        <is>
          <t>台灣LED元件生產商及封裝大廠</t>
        </is>
      </c>
    </row>
    <row r="2148">
      <c r="A2148" s="729" t="n">
        <v>8112</v>
      </c>
      <c r="B2148" t="inlineStr">
        <is>
          <t>至上</t>
        </is>
      </c>
      <c r="C2148" t="n">
        <v>93</v>
      </c>
      <c r="D2148" t="n">
        <v>94.5</v>
      </c>
      <c r="E2148" s="730" t="n">
        <v>3.1</v>
      </c>
      <c r="F2148" s="731" t="n">
        <v>3.39</v>
      </c>
      <c r="G2148" t="inlineStr">
        <is>
          <t>76.0億</t>
        </is>
      </c>
      <c r="H2148" t="n">
        <v>81027</v>
      </c>
      <c r="I2148" t="n">
        <v>34931</v>
      </c>
      <c r="J2148" t="n">
        <v>52.53</v>
      </c>
      <c r="K2148" t="n">
        <v>96.5</v>
      </c>
      <c r="L2148" t="n">
        <v>91.59999999999999</v>
      </c>
      <c r="M2148" s="155" t="n">
        <v>15.43</v>
      </c>
      <c r="N2148" t="inlineStr">
        <is>
          <t>主要代理品牌以Samsung為主之IC通路商</t>
        </is>
      </c>
    </row>
    <row r="2149">
      <c r="A2149" s="729" t="n">
        <v>8114</v>
      </c>
      <c r="B2149" t="inlineStr">
        <is>
          <t>振樺電</t>
        </is>
      </c>
      <c r="C2149" t="n">
        <v>260</v>
      </c>
      <c r="D2149" t="n">
        <v>254.5</v>
      </c>
      <c r="E2149" s="730" t="n">
        <v>-5</v>
      </c>
      <c r="F2149" s="731" t="n">
        <v>-1.93</v>
      </c>
      <c r="G2149" t="inlineStr">
        <is>
          <t>5.74億</t>
        </is>
      </c>
      <c r="H2149" t="n">
        <v>2296</v>
      </c>
      <c r="I2149" t="n">
        <v>1417</v>
      </c>
      <c r="J2149" t="n">
        <v>7.65</v>
      </c>
      <c r="K2149" t="n">
        <v>262</v>
      </c>
      <c r="L2149" t="n">
        <v>239.5</v>
      </c>
      <c r="M2149" s="155" t="n">
        <v>3</v>
      </c>
      <c r="N2149" t="inlineStr">
        <is>
          <t>全球前五大POS品牌廠之一</t>
        </is>
      </c>
    </row>
    <row r="2150">
      <c r="A2150" s="729" t="n">
        <v>8121</v>
      </c>
      <c r="B2150" t="inlineStr">
        <is>
          <t>越峰</t>
        </is>
      </c>
      <c r="C2150" t="n">
        <v>40.2</v>
      </c>
      <c r="D2150" t="n">
        <v>38.75</v>
      </c>
      <c r="E2150" s="730" t="n">
        <v>-0.85</v>
      </c>
      <c r="F2150" s="731" t="n">
        <v>-2.15</v>
      </c>
      <c r="G2150" t="inlineStr">
        <is>
          <t>7848萬</t>
        </is>
      </c>
      <c r="H2150" t="n">
        <v>2051</v>
      </c>
      <c r="I2150" t="n">
        <v>2845</v>
      </c>
      <c r="J2150" t="n">
        <v>21.3</v>
      </c>
      <c r="K2150" t="n">
        <v>40.2</v>
      </c>
      <c r="L2150" t="n">
        <v>37.5</v>
      </c>
      <c r="M2150" s="155" t="n">
        <v>0.96</v>
      </c>
      <c r="N2150" t="inlineStr">
        <is>
          <t>台聚旗下、台灣最大錳鋅系列鐵芯等電感類製造商</t>
        </is>
      </c>
    </row>
    <row r="2151">
      <c r="A2151" s="729" t="n">
        <v>8131</v>
      </c>
      <c r="B2151" t="inlineStr">
        <is>
          <t>福懋科</t>
        </is>
      </c>
      <c r="C2151" t="n">
        <v>75.8</v>
      </c>
      <c r="D2151" t="n">
        <v>73.5</v>
      </c>
      <c r="E2151" s="730" t="n">
        <v>-2</v>
      </c>
      <c r="F2151" s="731" t="n">
        <v>-2.65</v>
      </c>
      <c r="G2151" t="inlineStr">
        <is>
          <t>7.19億</t>
        </is>
      </c>
      <c r="H2151" t="n">
        <v>9714</v>
      </c>
      <c r="I2151" t="n">
        <v>13156</v>
      </c>
      <c r="J2151" t="n">
        <v>44.22</v>
      </c>
      <c r="K2151" t="n">
        <v>76.7</v>
      </c>
      <c r="L2151" t="n">
        <v>71</v>
      </c>
      <c r="M2151" s="155" t="n">
        <v>2.2</v>
      </c>
      <c r="N2151" t="inlineStr">
        <is>
          <t>南亞科旗下記憶體封測廠</t>
        </is>
      </c>
    </row>
    <row r="2152">
      <c r="A2152" s="729" t="n">
        <v>8147</v>
      </c>
      <c r="B2152" t="inlineStr">
        <is>
          <t>正淩</t>
        </is>
      </c>
      <c r="C2152" t="n">
        <v>172</v>
      </c>
      <c r="D2152" t="n">
        <v>168</v>
      </c>
      <c r="E2152" s="730" t="n">
        <v>-3.5</v>
      </c>
      <c r="F2152" s="731" t="n">
        <v>-2.04</v>
      </c>
      <c r="G2152" t="inlineStr">
        <is>
          <t>1.66億</t>
        </is>
      </c>
      <c r="H2152" t="n">
        <v>1009</v>
      </c>
      <c r="I2152" t="n">
        <v>917</v>
      </c>
      <c r="J2152" t="n">
        <v>4.17</v>
      </c>
      <c r="K2152" t="n">
        <v>172.5</v>
      </c>
      <c r="L2152" t="n">
        <v>161.5</v>
      </c>
      <c r="M2152" s="155" t="n">
        <v>2.43</v>
      </c>
      <c r="N2152" t="inlineStr">
        <is>
          <t>生產PC、工業及通信用的連接器廠商</t>
        </is>
      </c>
    </row>
    <row r="2153">
      <c r="A2153" s="729" t="n">
        <v>8150</v>
      </c>
      <c r="B2153" t="inlineStr">
        <is>
          <t>南茂</t>
        </is>
      </c>
      <c r="C2153" t="n">
        <v>104.5</v>
      </c>
      <c r="D2153" t="n">
        <v>98.59999999999999</v>
      </c>
      <c r="E2153" s="730" t="n">
        <v>-7.9</v>
      </c>
      <c r="F2153" s="731" t="n">
        <v>-7.42</v>
      </c>
      <c r="G2153" t="inlineStr">
        <is>
          <t>61.2億</t>
        </is>
      </c>
      <c r="H2153" t="n">
        <v>60328</v>
      </c>
      <c r="I2153" t="n">
        <v>74045</v>
      </c>
      <c r="J2153" t="n">
        <v>70.45</v>
      </c>
      <c r="K2153" t="n">
        <v>110</v>
      </c>
      <c r="L2153" t="n">
        <v>97.3</v>
      </c>
      <c r="M2153" s="155" t="n">
        <v>8.56</v>
      </c>
      <c r="N2153" t="inlineStr">
        <is>
          <t>全球前3大LCD驅動IC封測廠</t>
        </is>
      </c>
    </row>
    <row r="2154">
      <c r="A2154" s="729" t="n">
        <v>8155</v>
      </c>
      <c r="B2154" t="inlineStr">
        <is>
          <t>博智</t>
        </is>
      </c>
      <c r="C2154" t="n">
        <v>403.5</v>
      </c>
      <c r="D2154" t="n">
        <v>393</v>
      </c>
      <c r="E2154" s="730" t="n">
        <v>-5.5</v>
      </c>
      <c r="F2154" s="731" t="n">
        <v>-1.38</v>
      </c>
      <c r="G2154" t="inlineStr">
        <is>
          <t>5.00億</t>
        </is>
      </c>
      <c r="H2154" t="n">
        <v>1284</v>
      </c>
      <c r="I2154" t="n">
        <v>1615</v>
      </c>
      <c r="J2154" t="n">
        <v>6.16</v>
      </c>
      <c r="K2154" t="n">
        <v>403.5</v>
      </c>
      <c r="L2154" t="n">
        <v>381</v>
      </c>
      <c r="M2154" s="155" t="n">
        <v>2.12</v>
      </c>
      <c r="N2154" t="inlineStr">
        <is>
          <t>仁寶旗下工業及商業用PCB廠</t>
        </is>
      </c>
    </row>
    <row r="2155">
      <c r="A2155" s="729" t="n">
        <v>8163</v>
      </c>
      <c r="B2155" t="inlineStr">
        <is>
          <t>達方</t>
        </is>
      </c>
      <c r="C2155" t="n">
        <v>41.8</v>
      </c>
      <c r="D2155" t="n">
        <v>41.6</v>
      </c>
      <c r="E2155" s="730" t="n">
        <v>-0.2</v>
      </c>
      <c r="F2155" s="731" t="n">
        <v>-0.48</v>
      </c>
      <c r="G2155" t="inlineStr">
        <is>
          <t>2.71億</t>
        </is>
      </c>
      <c r="H2155" t="n">
        <v>6525</v>
      </c>
      <c r="I2155" t="n">
        <v>7283</v>
      </c>
      <c r="J2155" t="n">
        <v>28</v>
      </c>
      <c r="K2155" t="n">
        <v>43.5</v>
      </c>
      <c r="L2155" t="n">
        <v>40.1</v>
      </c>
      <c r="M2155" s="155" t="n">
        <v>2.33</v>
      </c>
      <c r="N2155" t="inlineStr">
        <is>
          <t>全球知名NB鍵盤廠</t>
        </is>
      </c>
    </row>
    <row r="2156">
      <c r="A2156" s="729" t="n">
        <v>8171</v>
      </c>
      <c r="B2156" t="inlineStr">
        <is>
          <t>天宇</t>
        </is>
      </c>
      <c r="C2156" t="n">
        <v>24.5</v>
      </c>
      <c r="D2156" t="n">
        <v>23.8</v>
      </c>
      <c r="E2156" s="730" t="n">
        <v>-0.9</v>
      </c>
      <c r="F2156" s="731" t="n">
        <v>-3.64</v>
      </c>
      <c r="G2156" t="inlineStr">
        <is>
          <t>713萬</t>
        </is>
      </c>
      <c r="H2156" t="n">
        <v>299</v>
      </c>
      <c r="I2156" t="n">
        <v>294</v>
      </c>
      <c r="J2156" t="n">
        <v>11.29</v>
      </c>
      <c r="K2156" t="n">
        <v>24.5</v>
      </c>
      <c r="L2156" t="n">
        <v>23.7</v>
      </c>
      <c r="M2156" s="155" t="n">
        <v>0.26</v>
      </c>
      <c r="N2156" t="inlineStr">
        <is>
          <t>專攻電池模組與電源管理模組之廠商</t>
        </is>
      </c>
    </row>
    <row r="2157">
      <c r="A2157" s="729" t="n">
        <v>8176</v>
      </c>
      <c r="B2157" t="inlineStr">
        <is>
          <t>智捷</t>
        </is>
      </c>
      <c r="C2157" t="n">
        <v>10.2</v>
      </c>
      <c r="D2157" t="n">
        <v>10.35</v>
      </c>
      <c r="E2157" s="730" t="n">
        <v>0.1</v>
      </c>
      <c r="F2157" s="731" t="n">
        <v>0.98</v>
      </c>
      <c r="G2157" t="inlineStr">
        <is>
          <t>337萬</t>
        </is>
      </c>
      <c r="H2157" t="n">
        <v>328</v>
      </c>
      <c r="I2157" t="n">
        <v>238</v>
      </c>
      <c r="J2157" t="n">
        <v>7.17</v>
      </c>
      <c r="K2157" t="n">
        <v>10.5</v>
      </c>
      <c r="L2157" t="n">
        <v>10.15</v>
      </c>
      <c r="M2157" s="155" t="n">
        <v>0.46</v>
      </c>
      <c r="N2157" t="inlineStr">
        <is>
          <t>台灣無線網路傳輸設備ODM/OEM廠</t>
        </is>
      </c>
    </row>
    <row r="2158">
      <c r="A2158" s="729" t="n">
        <v>8182</v>
      </c>
      <c r="B2158" t="inlineStr">
        <is>
          <t>加高</t>
        </is>
      </c>
      <c r="C2158" t="n">
        <v>43.55</v>
      </c>
      <c r="D2158" t="n">
        <v>43.2</v>
      </c>
      <c r="E2158" s="730" t="n">
        <v>-1.15</v>
      </c>
      <c r="F2158" s="731" t="n">
        <v>-2.59</v>
      </c>
      <c r="G2158" t="inlineStr">
        <is>
          <t>1.04億</t>
        </is>
      </c>
      <c r="H2158" t="n">
        <v>2447</v>
      </c>
      <c r="I2158" t="n">
        <v>6390</v>
      </c>
      <c r="J2158" t="n">
        <v>10.7</v>
      </c>
      <c r="K2158" t="n">
        <v>43.55</v>
      </c>
      <c r="L2158" t="n">
        <v>41.8</v>
      </c>
      <c r="M2158" s="155" t="n">
        <v>2.29</v>
      </c>
      <c r="N2158" t="inlineStr">
        <is>
          <t>日本大真空轉投資，為台灣石英元件製造商</t>
        </is>
      </c>
    </row>
    <row r="2159">
      <c r="A2159" s="729" t="n">
        <v>8183</v>
      </c>
      <c r="B2159" t="inlineStr">
        <is>
          <t>精星</t>
        </is>
      </c>
      <c r="C2159" t="n">
        <v>32.4</v>
      </c>
      <c r="D2159" t="n">
        <v>32.4</v>
      </c>
      <c r="E2159" s="730" t="n">
        <v>0.35</v>
      </c>
      <c r="F2159" s="731" t="n">
        <v>1.09</v>
      </c>
      <c r="G2159" t="inlineStr">
        <is>
          <t>1911萬</t>
        </is>
      </c>
      <c r="H2159" t="n">
        <v>598</v>
      </c>
      <c r="I2159" t="n">
        <v>610</v>
      </c>
      <c r="J2159" t="n">
        <v>12.13</v>
      </c>
      <c r="K2159" t="n">
        <v>32.4</v>
      </c>
      <c r="L2159" t="n">
        <v>31.7</v>
      </c>
      <c r="M2159" s="155" t="n">
        <v>0.49</v>
      </c>
      <c r="N2159" t="inlineStr">
        <is>
          <t>專業電子製造服務(EMS)廠商</t>
        </is>
      </c>
    </row>
    <row r="2160">
      <c r="A2160" s="729" t="n">
        <v>8201</v>
      </c>
      <c r="B2160" t="inlineStr">
        <is>
          <t>無敵</t>
        </is>
      </c>
      <c r="C2160" t="n">
        <v>13.8</v>
      </c>
      <c r="D2160" t="n">
        <v>13.6</v>
      </c>
      <c r="E2160" s="730" t="n">
        <v>-0.1</v>
      </c>
      <c r="F2160" s="731" t="n">
        <v>-0.73</v>
      </c>
      <c r="G2160" t="inlineStr">
        <is>
          <t>273萬</t>
        </is>
      </c>
      <c r="H2160" t="n">
        <v>200</v>
      </c>
      <c r="I2160" t="n">
        <v>239</v>
      </c>
      <c r="J2160" t="n">
        <v>6.24</v>
      </c>
      <c r="K2160" t="n">
        <v>13.8</v>
      </c>
      <c r="L2160" t="n">
        <v>13.5</v>
      </c>
      <c r="M2160" s="155" t="n">
        <v>0.32</v>
      </c>
      <c r="N2160" t="inlineStr">
        <is>
          <t>英業達轉投資電子辭典公司</t>
        </is>
      </c>
    </row>
    <row r="2161">
      <c r="A2161" s="729" t="n">
        <v>8210</v>
      </c>
      <c r="B2161" t="inlineStr">
        <is>
          <t>勤誠</t>
        </is>
      </c>
      <c r="C2161" t="n">
        <v>1410</v>
      </c>
      <c r="D2161" t="n">
        <v>1375</v>
      </c>
      <c r="E2161" s="730" t="n">
        <v>-25</v>
      </c>
      <c r="F2161" s="731" t="n">
        <v>-1.79</v>
      </c>
      <c r="G2161" t="inlineStr">
        <is>
          <t>19.7億</t>
        </is>
      </c>
      <c r="H2161" t="n">
        <v>1412</v>
      </c>
      <c r="I2161" t="n">
        <v>1322</v>
      </c>
      <c r="J2161" t="n">
        <v>12.53</v>
      </c>
      <c r="K2161" t="n">
        <v>1465</v>
      </c>
      <c r="L2161" t="n">
        <v>1350</v>
      </c>
      <c r="M2161" s="155" t="n">
        <v>1.13</v>
      </c>
      <c r="N2161" t="inlineStr">
        <is>
          <t>台灣伺服器機殼龍頭廠</t>
        </is>
      </c>
    </row>
    <row r="2162">
      <c r="A2162" s="729" t="n">
        <v>8213</v>
      </c>
      <c r="B2162" t="inlineStr">
        <is>
          <t>志超</t>
        </is>
      </c>
      <c r="C2162" t="n">
        <v>38.7</v>
      </c>
      <c r="D2162" t="n">
        <v>38.05</v>
      </c>
      <c r="E2162" s="730" t="n">
        <v>-0.8</v>
      </c>
      <c r="F2162" s="731" t="n">
        <v>-2.06</v>
      </c>
      <c r="G2162" t="inlineStr">
        <is>
          <t>6340萬</t>
        </is>
      </c>
      <c r="H2162" t="n">
        <v>1681</v>
      </c>
      <c r="I2162" t="n">
        <v>1551</v>
      </c>
      <c r="J2162" t="n">
        <v>27.12</v>
      </c>
      <c r="K2162" t="n">
        <v>38.75</v>
      </c>
      <c r="L2162" t="n">
        <v>37.2</v>
      </c>
      <c r="M2162" s="155" t="n">
        <v>0.62</v>
      </c>
      <c r="N2162" t="inlineStr">
        <is>
          <t>全球最大光電板廠商</t>
        </is>
      </c>
    </row>
    <row r="2163">
      <c r="A2163" s="729" t="n">
        <v>8215</v>
      </c>
      <c r="B2163" t="inlineStr">
        <is>
          <t>明基材</t>
        </is>
      </c>
      <c r="C2163" t="n">
        <v>32.5</v>
      </c>
      <c r="D2163" t="n">
        <v>31.45</v>
      </c>
      <c r="E2163" s="730" t="n">
        <v>-0.9</v>
      </c>
      <c r="F2163" s="731" t="n">
        <v>-2.78</v>
      </c>
      <c r="G2163" t="inlineStr">
        <is>
          <t>2.92億</t>
        </is>
      </c>
      <c r="H2163" t="n">
        <v>9288</v>
      </c>
      <c r="I2163" t="n">
        <v>6756</v>
      </c>
      <c r="J2163" t="n">
        <v>32.07</v>
      </c>
      <c r="K2163" t="n">
        <v>32.55</v>
      </c>
      <c r="L2163" t="n">
        <v>30.15</v>
      </c>
      <c r="M2163" s="155" t="n">
        <v>2.9</v>
      </c>
      <c r="N2163" t="inlineStr">
        <is>
          <t>全球前五大、台灣第一大偏光板供應商</t>
        </is>
      </c>
    </row>
    <row r="2164">
      <c r="A2164" s="729" t="n">
        <v>8222</v>
      </c>
      <c r="B2164" t="inlineStr">
        <is>
          <t>寶一</t>
        </is>
      </c>
      <c r="C2164" t="n">
        <v>38.65</v>
      </c>
      <c r="D2164" t="n">
        <v>36.8</v>
      </c>
      <c r="E2164" s="730" t="n">
        <v>-1.45</v>
      </c>
      <c r="F2164" s="731" t="n">
        <v>-3.79</v>
      </c>
      <c r="G2164" t="inlineStr">
        <is>
          <t>3268萬</t>
        </is>
      </c>
      <c r="H2164" t="n">
        <v>888</v>
      </c>
      <c r="I2164" t="n">
        <v>859</v>
      </c>
      <c r="J2164" t="n">
        <v>6.86</v>
      </c>
      <c r="K2164" t="n">
        <v>38.65</v>
      </c>
      <c r="L2164" t="n">
        <v>36.1</v>
      </c>
      <c r="M2164" s="155" t="n">
        <v>1.29</v>
      </c>
      <c r="N2164" t="inlineStr">
        <is>
          <t>專注於航空發動機內的高溫段零組件製造商</t>
        </is>
      </c>
    </row>
    <row r="2165">
      <c r="A2165" s="729" t="n">
        <v>8227</v>
      </c>
      <c r="B2165" t="inlineStr">
        <is>
          <t>巨有科技</t>
        </is>
      </c>
      <c r="C2165" t="n">
        <v>220</v>
      </c>
      <c r="D2165" t="n">
        <v>223</v>
      </c>
      <c r="E2165" s="730" t="n">
        <v>4</v>
      </c>
      <c r="F2165" s="731" t="n">
        <v>1.83</v>
      </c>
      <c r="G2165" t="inlineStr">
        <is>
          <t>5.31億</t>
        </is>
      </c>
      <c r="H2165" t="n">
        <v>2387</v>
      </c>
      <c r="I2165" t="n">
        <v>2420</v>
      </c>
      <c r="J2165" t="n">
        <v>3.95</v>
      </c>
      <c r="K2165" t="n">
        <v>229</v>
      </c>
      <c r="L2165" t="n">
        <v>214</v>
      </c>
      <c r="M2165" s="155" t="n">
        <v>6.04</v>
      </c>
      <c r="N2165" t="inlineStr">
        <is>
          <t>台灣最早成立之IC 設計服務公司</t>
        </is>
      </c>
    </row>
    <row r="2166">
      <c r="A2166" s="729" t="n">
        <v>8234</v>
      </c>
      <c r="B2166" t="inlineStr">
        <is>
          <t>新漢</t>
        </is>
      </c>
      <c r="C2166" t="n">
        <v>75.90000000000001</v>
      </c>
      <c r="D2166" t="n">
        <v>71.09999999999999</v>
      </c>
      <c r="E2166" s="730" t="n">
        <v>-4.8</v>
      </c>
      <c r="F2166" s="731" t="n">
        <v>-6.32</v>
      </c>
      <c r="G2166" t="inlineStr">
        <is>
          <t>1.47億</t>
        </is>
      </c>
      <c r="H2166" t="n">
        <v>2044</v>
      </c>
      <c r="I2166" t="n">
        <v>1877</v>
      </c>
      <c r="J2166" t="n">
        <v>14.12</v>
      </c>
      <c r="K2166" t="n">
        <v>75.90000000000001</v>
      </c>
      <c r="L2166" t="n">
        <v>70.40000000000001</v>
      </c>
      <c r="M2166" s="155" t="n">
        <v>1.45</v>
      </c>
      <c r="N2166" t="inlineStr">
        <is>
          <t>台灣工業電腦廠商</t>
        </is>
      </c>
    </row>
    <row r="2167">
      <c r="A2167" s="729" t="n">
        <v>8240</v>
      </c>
      <c r="B2167" t="inlineStr">
        <is>
          <t>華宏</t>
        </is>
      </c>
      <c r="C2167" t="n">
        <v>64.8</v>
      </c>
      <c r="D2167" t="n">
        <v>62.4</v>
      </c>
      <c r="E2167" s="730" t="n">
        <v>-1.4</v>
      </c>
      <c r="F2167" s="731" t="n">
        <v>-2.19</v>
      </c>
      <c r="G2167" t="inlineStr">
        <is>
          <t>6459萬</t>
        </is>
      </c>
      <c r="H2167" t="n">
        <v>1040</v>
      </c>
      <c r="I2167" t="n">
        <v>2463</v>
      </c>
      <c r="J2167" t="n">
        <v>10</v>
      </c>
      <c r="K2167" t="n">
        <v>64.8</v>
      </c>
      <c r="L2167" t="n">
        <v>60.5</v>
      </c>
      <c r="M2167" s="155" t="n">
        <v>1.04</v>
      </c>
      <c r="N2167" t="inlineStr">
        <is>
          <t>國內背光模組光學膜片最大專業製造裁切廠</t>
        </is>
      </c>
    </row>
    <row r="2168">
      <c r="A2168" s="729" t="n">
        <v>8249</v>
      </c>
      <c r="B2168" t="inlineStr">
        <is>
          <t>菱光</t>
        </is>
      </c>
      <c r="C2168" t="n">
        <v>56.2</v>
      </c>
      <c r="D2168" t="n">
        <v>54.8</v>
      </c>
      <c r="E2168" s="730" t="n">
        <v>-1</v>
      </c>
      <c r="F2168" s="731" t="n">
        <v>-1.79</v>
      </c>
      <c r="G2168" t="inlineStr">
        <is>
          <t>6104萬</t>
        </is>
      </c>
      <c r="H2168" t="n">
        <v>1122</v>
      </c>
      <c r="I2168" t="n">
        <v>3874</v>
      </c>
      <c r="J2168" t="n">
        <v>13.78</v>
      </c>
      <c r="K2168" t="n">
        <v>56.2</v>
      </c>
      <c r="L2168" t="n">
        <v>54</v>
      </c>
      <c r="M2168" s="155" t="n">
        <v>0.84</v>
      </c>
      <c r="N2168" t="inlineStr">
        <is>
          <t>全球彩色接觸式CIS龍頭廠</t>
        </is>
      </c>
    </row>
    <row r="2169">
      <c r="A2169" s="729" t="n">
        <v>8255</v>
      </c>
      <c r="B2169" t="inlineStr">
        <is>
          <t>朋程</t>
        </is>
      </c>
      <c r="C2169" t="n">
        <v>185</v>
      </c>
      <c r="D2169" t="n">
        <v>180.5</v>
      </c>
      <c r="E2169" s="730" t="n">
        <v>-5.5</v>
      </c>
      <c r="F2169" s="731" t="n">
        <v>-2.96</v>
      </c>
      <c r="G2169" t="inlineStr">
        <is>
          <t>5.34億</t>
        </is>
      </c>
      <c r="H2169" t="n">
        <v>2968</v>
      </c>
      <c r="I2169" t="n">
        <v>6518</v>
      </c>
      <c r="J2169" t="n">
        <v>10.18</v>
      </c>
      <c r="K2169" t="n">
        <v>185.5</v>
      </c>
      <c r="L2169" t="n">
        <v>177</v>
      </c>
      <c r="M2169" s="155" t="n">
        <v>2.92</v>
      </c>
      <c r="N2169" t="inlineStr">
        <is>
          <t>全球燃油車發電機二極體龍頭之一</t>
        </is>
      </c>
    </row>
    <row r="2170">
      <c r="A2170" s="729" t="n">
        <v>8261</v>
      </c>
      <c r="B2170" t="inlineStr">
        <is>
          <t>富鼎</t>
        </is>
      </c>
      <c r="C2170" t="n">
        <v>176.5</v>
      </c>
      <c r="D2170" t="n">
        <v>167.5</v>
      </c>
      <c r="E2170" s="730" t="n">
        <v>-6.5</v>
      </c>
      <c r="F2170" s="731" t="n">
        <v>-3.74</v>
      </c>
      <c r="G2170" t="inlineStr">
        <is>
          <t>14.7億</t>
        </is>
      </c>
      <c r="H2170" t="n">
        <v>8766</v>
      </c>
      <c r="I2170" t="n">
        <v>15274</v>
      </c>
      <c r="J2170" t="n">
        <v>11.89</v>
      </c>
      <c r="K2170" t="n">
        <v>178.5</v>
      </c>
      <c r="L2170" t="n">
        <v>161.5</v>
      </c>
      <c r="M2170" s="155" t="n">
        <v>10.45</v>
      </c>
      <c r="N2170" t="inlineStr">
        <is>
          <t>提供MOSFET、IGBT和電源IC之解決方案商</t>
        </is>
      </c>
    </row>
    <row r="2171">
      <c r="A2171" s="729" t="n">
        <v>8271</v>
      </c>
      <c r="B2171" t="inlineStr">
        <is>
          <t>宇瞻</t>
        </is>
      </c>
      <c r="C2171" t="n">
        <v>251</v>
      </c>
      <c r="D2171" t="n">
        <v>257.5</v>
      </c>
      <c r="E2171" s="730" t="n">
        <v>9</v>
      </c>
      <c r="F2171" s="731" t="n">
        <v>3.62</v>
      </c>
      <c r="G2171" t="inlineStr">
        <is>
          <t>29.7億</t>
        </is>
      </c>
      <c r="H2171" t="n">
        <v>11617</v>
      </c>
      <c r="I2171" t="n">
        <v>5788</v>
      </c>
      <c r="J2171" t="n">
        <v>12.96</v>
      </c>
      <c r="K2171" t="n">
        <v>264.5</v>
      </c>
      <c r="L2171" t="n">
        <v>248</v>
      </c>
      <c r="M2171" s="155" t="n">
        <v>9.4</v>
      </c>
      <c r="N2171" t="inlineStr">
        <is>
          <t>全球前十大DRAM模組廠</t>
        </is>
      </c>
    </row>
    <row r="2172">
      <c r="A2172" s="729" t="n">
        <v>8272</v>
      </c>
      <c r="B2172" t="inlineStr">
        <is>
          <t>全景軟體</t>
        </is>
      </c>
      <c r="C2172" t="n">
        <v>74.5</v>
      </c>
      <c r="D2172" t="n">
        <v>75.40000000000001</v>
      </c>
      <c r="E2172" s="730" t="n">
        <v>1.5</v>
      </c>
      <c r="F2172" s="731" t="n">
        <v>2.03</v>
      </c>
      <c r="G2172" t="inlineStr">
        <is>
          <t>386萬</t>
        </is>
      </c>
      <c r="H2172" t="n">
        <v>51</v>
      </c>
      <c r="I2172" t="n">
        <v>25</v>
      </c>
      <c r="J2172" t="n">
        <v>1.9</v>
      </c>
      <c r="K2172" t="n">
        <v>78</v>
      </c>
      <c r="L2172" t="n">
        <v>74.2</v>
      </c>
      <c r="M2172" s="155" t="n">
        <v>0.27</v>
      </c>
      <c r="N2172" t="inlineStr">
        <is>
          <t>緯創旗下，專注身份認證的資訊安全軟體公司</t>
        </is>
      </c>
    </row>
    <row r="2173">
      <c r="A2173" s="729" t="n">
        <v>8277</v>
      </c>
      <c r="B2173" t="inlineStr">
        <is>
          <t>商丞</t>
        </is>
      </c>
      <c r="C2173" t="n">
        <v>10.4</v>
      </c>
      <c r="D2173" t="n">
        <v>10.4</v>
      </c>
      <c r="E2173" s="730" t="n">
        <v>0.93</v>
      </c>
      <c r="F2173" s="731" t="n">
        <v>9.82</v>
      </c>
      <c r="G2173" t="inlineStr">
        <is>
          <t>833萬</t>
        </is>
      </c>
      <c r="H2173" t="n">
        <v>803</v>
      </c>
      <c r="I2173" t="n">
        <v>818</v>
      </c>
      <c r="J2173" t="n">
        <v>9.16</v>
      </c>
      <c r="K2173" t="n">
        <v>10.4</v>
      </c>
      <c r="L2173" t="n">
        <v>10.4</v>
      </c>
      <c r="M2173" s="155" t="n">
        <v>0.88</v>
      </c>
      <c r="N2173" t="inlineStr">
        <is>
          <t>記憶體模組兼儲存設備廠</t>
        </is>
      </c>
    </row>
    <row r="2174">
      <c r="A2174" s="729" t="n">
        <v>8279</v>
      </c>
      <c r="B2174" t="inlineStr">
        <is>
          <t>生展</t>
        </is>
      </c>
      <c r="C2174" t="n">
        <v>98</v>
      </c>
      <c r="D2174" t="n">
        <v>96.7</v>
      </c>
      <c r="E2174" s="730" t="n">
        <v>0</v>
      </c>
      <c r="F2174" s="731" t="n">
        <v>0</v>
      </c>
      <c r="G2174" t="inlineStr">
        <is>
          <t>194萬</t>
        </is>
      </c>
      <c r="H2174" t="n">
        <v>20</v>
      </c>
      <c r="I2174" t="n">
        <v>13</v>
      </c>
      <c r="J2174" t="n">
        <v>2.71</v>
      </c>
      <c r="K2174" t="n">
        <v>98</v>
      </c>
      <c r="L2174" t="n">
        <v>96.3</v>
      </c>
      <c r="M2174" s="155" t="n">
        <v>0.07000000000000001</v>
      </c>
      <c r="N2174" t="inlineStr">
        <is>
          <t>生達旗下原料藥及保健品研發廠商</t>
        </is>
      </c>
    </row>
    <row r="2175">
      <c r="A2175" s="729" t="n">
        <v>8284</v>
      </c>
      <c r="B2175" t="inlineStr">
        <is>
          <t>三竹</t>
        </is>
      </c>
      <c r="C2175" t="n">
        <v>62.7</v>
      </c>
      <c r="D2175" t="n">
        <v>63</v>
      </c>
      <c r="E2175" s="730" t="n">
        <v>-0.3</v>
      </c>
      <c r="F2175" s="731" t="n">
        <v>-0.47</v>
      </c>
      <c r="G2175" t="inlineStr">
        <is>
          <t>107萬</t>
        </is>
      </c>
      <c r="H2175" t="n">
        <v>17</v>
      </c>
      <c r="I2175" t="n">
        <v>23</v>
      </c>
      <c r="J2175" t="n">
        <v>4.73</v>
      </c>
      <c r="K2175" t="n">
        <v>63.3</v>
      </c>
      <c r="L2175" t="n">
        <v>62.7</v>
      </c>
      <c r="M2175" s="155" t="n">
        <v>0.04</v>
      </c>
      <c r="N2175" t="inlineStr">
        <is>
          <t>金融服務軟體供應商</t>
        </is>
      </c>
    </row>
    <row r="2176">
      <c r="A2176" s="729" t="n">
        <v>8289</v>
      </c>
      <c r="B2176" t="inlineStr">
        <is>
          <t>泰藝</t>
        </is>
      </c>
      <c r="C2176" t="n">
        <v>70.09999999999999</v>
      </c>
      <c r="D2176" t="n">
        <v>69.8</v>
      </c>
      <c r="E2176" s="730" t="n">
        <v>-0.3</v>
      </c>
      <c r="F2176" s="731" t="n">
        <v>-0.43</v>
      </c>
      <c r="G2176" t="inlineStr">
        <is>
          <t>2.80億</t>
        </is>
      </c>
      <c r="H2176" t="n">
        <v>4108</v>
      </c>
      <c r="I2176" t="n">
        <v>8834</v>
      </c>
      <c r="J2176" t="n">
        <v>6.83</v>
      </c>
      <c r="K2176" t="n">
        <v>70.40000000000001</v>
      </c>
      <c r="L2176" t="n">
        <v>65.90000000000001</v>
      </c>
      <c r="M2176" s="155" t="n">
        <v>6.01</v>
      </c>
      <c r="N2176" t="inlineStr">
        <is>
          <t>台灣專業石英振盪器製造商</t>
        </is>
      </c>
    </row>
    <row r="2177">
      <c r="A2177" s="729" t="n">
        <v>8291</v>
      </c>
      <c r="B2177" t="inlineStr">
        <is>
          <t>尚茂</t>
        </is>
      </c>
      <c r="C2177" t="n">
        <v>97.2</v>
      </c>
      <c r="D2177" t="n">
        <v>97.2</v>
      </c>
      <c r="E2177" s="730" t="n">
        <v>-10.8</v>
      </c>
      <c r="F2177" s="731" t="n">
        <v>-10</v>
      </c>
      <c r="G2177" t="inlineStr">
        <is>
          <t>292萬</t>
        </is>
      </c>
      <c r="H2177" t="n">
        <v>30</v>
      </c>
      <c r="I2177" t="n">
        <v>235</v>
      </c>
      <c r="J2177" t="n">
        <v>1.75</v>
      </c>
      <c r="K2177" t="n">
        <v>97.2</v>
      </c>
      <c r="L2177" t="n">
        <v>97.2</v>
      </c>
      <c r="M2177" s="155" t="n">
        <v>0.17</v>
      </c>
      <c r="N2177" t="inlineStr">
        <is>
          <t>台灣利基型銅箔基板廠</t>
        </is>
      </c>
    </row>
    <row r="2178">
      <c r="A2178" s="729" t="n">
        <v>8299</v>
      </c>
      <c r="B2178" t="inlineStr">
        <is>
          <t>群聯</t>
        </is>
      </c>
      <c r="C2178" t="n">
        <v>2810</v>
      </c>
      <c r="D2178" t="n">
        <v>2820</v>
      </c>
      <c r="E2178" s="730" t="n">
        <v>50</v>
      </c>
      <c r="F2178" s="731" t="n">
        <v>1.81</v>
      </c>
      <c r="G2178" t="inlineStr">
        <is>
          <t>258億</t>
        </is>
      </c>
      <c r="H2178" t="n">
        <v>9267</v>
      </c>
      <c r="I2178" t="n">
        <v>8040</v>
      </c>
      <c r="J2178" t="n">
        <v>22.11</v>
      </c>
      <c r="K2178" t="n">
        <v>2835</v>
      </c>
      <c r="L2178" t="n">
        <v>2690</v>
      </c>
      <c r="M2178" s="155" t="n">
        <v>4.19</v>
      </c>
      <c r="N2178" t="inlineStr">
        <is>
          <t>全球USB控制IC設計之龍頭企業</t>
        </is>
      </c>
    </row>
    <row r="2179">
      <c r="A2179" s="729" t="n">
        <v>8341</v>
      </c>
      <c r="B2179" t="inlineStr">
        <is>
          <t>日友</t>
        </is>
      </c>
      <c r="C2179" t="n">
        <v>76.5</v>
      </c>
      <c r="D2179" t="n">
        <v>76.7</v>
      </c>
      <c r="E2179" s="730" t="n">
        <v>0.1</v>
      </c>
      <c r="F2179" s="731" t="n">
        <v>0.13</v>
      </c>
      <c r="G2179" t="inlineStr">
        <is>
          <t>1926萬</t>
        </is>
      </c>
      <c r="H2179" t="n">
        <v>252</v>
      </c>
      <c r="I2179" t="n">
        <v>228</v>
      </c>
      <c r="J2179" t="n">
        <v>13</v>
      </c>
      <c r="K2179" t="n">
        <v>76.7</v>
      </c>
      <c r="L2179" t="n">
        <v>76.09999999999999</v>
      </c>
      <c r="M2179" s="155" t="n">
        <v>0.19</v>
      </c>
      <c r="N2179" t="inlineStr">
        <is>
          <t>潤泰新轉投資之台灣最大醫療廢棄物處理廠商之一</t>
        </is>
      </c>
    </row>
    <row r="2180">
      <c r="A2180" s="729" t="n">
        <v>8342</v>
      </c>
      <c r="B2180" t="inlineStr">
        <is>
          <t>益張</t>
        </is>
      </c>
      <c r="C2180" t="n">
        <v>88.90000000000001</v>
      </c>
      <c r="D2180" t="n">
        <v>88.8</v>
      </c>
      <c r="E2180" s="730" t="n">
        <v>-1.1</v>
      </c>
      <c r="F2180" s="731" t="n">
        <v>-1.22</v>
      </c>
      <c r="G2180" t="inlineStr">
        <is>
          <t>17.8萬</t>
        </is>
      </c>
      <c r="H2180" t="n">
        <v>2</v>
      </c>
      <c r="I2180" t="n">
        <v>3</v>
      </c>
      <c r="J2180" t="n">
        <v>3.35</v>
      </c>
      <c r="K2180" t="n">
        <v>88.90000000000001</v>
      </c>
      <c r="L2180" t="n">
        <v>88.8</v>
      </c>
      <c r="M2180" s="155" t="n">
        <v>0.01</v>
      </c>
      <c r="N2180" t="inlineStr">
        <is>
          <t>台灣最大商用金屬展示架製造商</t>
        </is>
      </c>
    </row>
    <row r="2181">
      <c r="A2181" s="729" t="n">
        <v>8349</v>
      </c>
      <c r="B2181" t="inlineStr">
        <is>
          <t>恒耀</t>
        </is>
      </c>
      <c r="C2181" t="n">
        <v>41.7</v>
      </c>
      <c r="D2181" t="n">
        <v>41.85</v>
      </c>
      <c r="E2181" s="730" t="n">
        <v>0.15</v>
      </c>
      <c r="F2181" s="731" t="n">
        <v>0.36</v>
      </c>
      <c r="G2181" t="inlineStr">
        <is>
          <t>429萬</t>
        </is>
      </c>
      <c r="H2181" t="n">
        <v>103</v>
      </c>
      <c r="I2181" t="n">
        <v>258</v>
      </c>
      <c r="J2181" t="n">
        <v>20.88</v>
      </c>
      <c r="K2181" t="n">
        <v>42</v>
      </c>
      <c r="L2181" t="n">
        <v>41.45</v>
      </c>
      <c r="M2181" s="155" t="n">
        <v>0.05</v>
      </c>
      <c r="N2181" t="inlineStr">
        <is>
          <t>車用與工業用扣件製造與貿易廠商</t>
        </is>
      </c>
    </row>
    <row r="2182">
      <c r="A2182" s="729" t="n">
        <v>8354</v>
      </c>
      <c r="B2182" t="inlineStr">
        <is>
          <t>冠好</t>
        </is>
      </c>
      <c r="C2182" t="n">
        <v>16.8</v>
      </c>
      <c r="D2182" t="n">
        <v>16.7</v>
      </c>
      <c r="E2182" s="730" t="n">
        <v>-0.1</v>
      </c>
      <c r="F2182" s="731" t="n">
        <v>-0.6</v>
      </c>
      <c r="G2182" t="inlineStr">
        <is>
          <t>165萬</t>
        </is>
      </c>
      <c r="H2182" t="n">
        <v>100</v>
      </c>
      <c r="I2182" t="n">
        <v>749</v>
      </c>
      <c r="J2182" t="n">
        <v>7.85</v>
      </c>
      <c r="K2182" t="n">
        <v>16.8</v>
      </c>
      <c r="L2182" t="n">
        <v>16.4</v>
      </c>
      <c r="M2182" s="155" t="n">
        <v>0.13</v>
      </c>
      <c r="N2182" t="inlineStr">
        <is>
          <t>特殊商標專業製造廠，有粘標籤、自粘膠帶等</t>
        </is>
      </c>
    </row>
    <row r="2183">
      <c r="A2183" s="729" t="n">
        <v>8358</v>
      </c>
      <c r="B2183" t="inlineStr">
        <is>
          <t>金居</t>
        </is>
      </c>
      <c r="C2183" t="n">
        <v>662</v>
      </c>
      <c r="D2183" t="n">
        <v>627</v>
      </c>
      <c r="E2183" s="730" t="n">
        <v>-41</v>
      </c>
      <c r="F2183" s="731" t="n">
        <v>-6.14</v>
      </c>
      <c r="G2183" t="inlineStr">
        <is>
          <t>255億</t>
        </is>
      </c>
      <c r="H2183" t="n">
        <v>39089</v>
      </c>
      <c r="I2183" t="n">
        <v>8530</v>
      </c>
      <c r="J2183" t="n">
        <v>25.26</v>
      </c>
      <c r="K2183" t="n">
        <v>687</v>
      </c>
      <c r="L2183" t="n">
        <v>613</v>
      </c>
      <c r="M2183" s="155" t="n">
        <v>15.48</v>
      </c>
      <c r="N2183" t="inlineStr">
        <is>
          <t>台灣前三大電解銅箔製造商</t>
        </is>
      </c>
    </row>
    <row r="2184">
      <c r="A2184" s="729" t="n">
        <v>8367</v>
      </c>
      <c r="B2184" t="inlineStr">
        <is>
          <t>建新國際</t>
        </is>
      </c>
      <c r="C2184" t="n">
        <v>41</v>
      </c>
      <c r="D2184" t="n">
        <v>41</v>
      </c>
      <c r="E2184" s="730" t="n">
        <v>-0.2</v>
      </c>
      <c r="F2184" s="731" t="n">
        <v>-0.49</v>
      </c>
      <c r="G2184" t="inlineStr">
        <is>
          <t>90.4萬</t>
        </is>
      </c>
      <c r="H2184" t="n">
        <v>22</v>
      </c>
      <c r="I2184" t="n">
        <v>32</v>
      </c>
      <c r="J2184" t="n">
        <v>9.220000000000001</v>
      </c>
      <c r="K2184" t="n">
        <v>41.3</v>
      </c>
      <c r="L2184" t="n">
        <v>40.85</v>
      </c>
      <c r="M2184" s="155" t="n">
        <v>0.02</v>
      </c>
      <c r="N2184" t="inlineStr">
        <is>
          <t>台灣從事貨櫃場服務之業者</t>
        </is>
      </c>
    </row>
    <row r="2185">
      <c r="A2185" s="729" t="n">
        <v>8374</v>
      </c>
      <c r="B2185" t="inlineStr">
        <is>
          <t>羅昇</t>
        </is>
      </c>
      <c r="C2185" t="n">
        <v>109.5</v>
      </c>
      <c r="D2185" t="n">
        <v>102</v>
      </c>
      <c r="E2185" s="730" t="n">
        <v>-10</v>
      </c>
      <c r="F2185" s="731" t="n">
        <v>-8.93</v>
      </c>
      <c r="G2185" t="inlineStr">
        <is>
          <t>2.62億</t>
        </is>
      </c>
      <c r="H2185" t="n">
        <v>2516</v>
      </c>
      <c r="I2185" t="n">
        <v>2933</v>
      </c>
      <c r="J2185" t="n">
        <v>11.23</v>
      </c>
      <c r="K2185" t="n">
        <v>109.5</v>
      </c>
      <c r="L2185" t="n">
        <v>101</v>
      </c>
      <c r="M2185" s="155" t="n">
        <v>2.82</v>
      </c>
      <c r="N2185" t="inlineStr">
        <is>
          <t>自動化機電零組件代理暨技術服務商</t>
        </is>
      </c>
    </row>
    <row r="2186">
      <c r="A2186" s="729" t="n">
        <v>8383</v>
      </c>
      <c r="B2186" t="inlineStr">
        <is>
          <t>千附</t>
        </is>
      </c>
      <c r="C2186" t="n">
        <v>64.2</v>
      </c>
      <c r="D2186" t="n">
        <v>60.4</v>
      </c>
      <c r="E2186" s="730" t="n">
        <v>-3.8</v>
      </c>
      <c r="F2186" s="731" t="n">
        <v>-5.92</v>
      </c>
      <c r="G2186" t="inlineStr">
        <is>
          <t>1.79億</t>
        </is>
      </c>
      <c r="H2186" t="n">
        <v>2961</v>
      </c>
      <c r="I2186" t="n">
        <v>1940</v>
      </c>
      <c r="J2186" t="n">
        <v>11.38</v>
      </c>
      <c r="K2186" t="n">
        <v>64.2</v>
      </c>
      <c r="L2186" t="n">
        <v>58.7</v>
      </c>
      <c r="M2186" s="155" t="n">
        <v>2.6</v>
      </c>
      <c r="N2186" t="inlineStr">
        <is>
          <t>TFT-LCD及半導體廠無塵室供應商</t>
        </is>
      </c>
    </row>
    <row r="2187">
      <c r="A2187" s="729" t="n">
        <v>8390</v>
      </c>
      <c r="B2187" t="inlineStr">
        <is>
          <t>金益鼎</t>
        </is>
      </c>
      <c r="C2187" t="n">
        <v>121</v>
      </c>
      <c r="D2187" t="n">
        <v>120</v>
      </c>
      <c r="E2187" s="730" t="n">
        <v>-0.5</v>
      </c>
      <c r="F2187" s="731" t="n">
        <v>-0.41</v>
      </c>
      <c r="G2187" t="inlineStr">
        <is>
          <t>1.33億</t>
        </is>
      </c>
      <c r="H2187" t="n">
        <v>1139</v>
      </c>
      <c r="I2187" t="n">
        <v>1030</v>
      </c>
      <c r="J2187" t="n">
        <v>9.609999999999999</v>
      </c>
      <c r="K2187" t="n">
        <v>121</v>
      </c>
      <c r="L2187" t="n">
        <v>114.5</v>
      </c>
      <c r="M2187" s="155" t="n">
        <v>1.19</v>
      </c>
      <c r="N2187" t="inlineStr">
        <is>
          <t>台灣清運處理固體電子廢棄物業者</t>
        </is>
      </c>
    </row>
    <row r="2188">
      <c r="A2188" s="729" t="n">
        <v>8401</v>
      </c>
      <c r="B2188" t="inlineStr">
        <is>
          <t>白紗科</t>
        </is>
      </c>
      <c r="C2188" t="n">
        <v>22.9</v>
      </c>
      <c r="D2188" t="n">
        <v>22.9</v>
      </c>
      <c r="E2188" s="730" t="n">
        <v>0</v>
      </c>
      <c r="F2188" s="731" t="n">
        <v>0</v>
      </c>
      <c r="G2188" t="inlineStr">
        <is>
          <t>146萬</t>
        </is>
      </c>
      <c r="H2188" t="n">
        <v>64</v>
      </c>
      <c r="I2188" t="n">
        <v>69</v>
      </c>
      <c r="J2188" t="n">
        <v>7.07</v>
      </c>
      <c r="K2188" t="n">
        <v>22.9</v>
      </c>
      <c r="L2188" t="n">
        <v>22.75</v>
      </c>
      <c r="M2188" s="155" t="n">
        <v>0.09</v>
      </c>
      <c r="N2188" t="inlineStr">
        <is>
          <t>台灣合版印刷龍頭</t>
        </is>
      </c>
    </row>
    <row r="2189">
      <c r="A2189" s="729" t="n">
        <v>8403</v>
      </c>
      <c r="B2189" t="inlineStr">
        <is>
          <t>盛弘</t>
        </is>
      </c>
      <c r="C2189" t="n">
        <v>19.55</v>
      </c>
      <c r="D2189" t="n">
        <v>19.6</v>
      </c>
      <c r="E2189" s="730" t="n">
        <v>0.05</v>
      </c>
      <c r="F2189" s="731" t="n">
        <v>0.26</v>
      </c>
      <c r="G2189" t="inlineStr">
        <is>
          <t>305萬</t>
        </is>
      </c>
      <c r="H2189" t="n">
        <v>157</v>
      </c>
      <c r="I2189" t="n">
        <v>269</v>
      </c>
      <c r="J2189" t="n">
        <v>13.76</v>
      </c>
      <c r="K2189" t="n">
        <v>19.75</v>
      </c>
      <c r="L2189" t="n">
        <v>19.5</v>
      </c>
      <c r="M2189" s="155" t="n">
        <v>0.11</v>
      </c>
      <c r="N2189" t="inlineStr">
        <is>
          <t>敏盛醫控股旗下醫藥流通及健康管理業者</t>
        </is>
      </c>
    </row>
    <row r="2190">
      <c r="A2190" s="729" t="n">
        <v>8404</v>
      </c>
      <c r="B2190" t="inlineStr">
        <is>
          <t>百和興業-KY</t>
        </is>
      </c>
      <c r="C2190" t="n">
        <v>16.7</v>
      </c>
      <c r="D2190" t="n">
        <v>17.15</v>
      </c>
      <c r="E2190" s="730" t="n">
        <v>0.45</v>
      </c>
      <c r="F2190" s="731" t="n">
        <v>2.69</v>
      </c>
      <c r="G2190" t="inlineStr">
        <is>
          <t>1315萬</t>
        </is>
      </c>
      <c r="H2190" t="n">
        <v>774</v>
      </c>
      <c r="I2190" t="n">
        <v>464</v>
      </c>
      <c r="J2190" t="n">
        <v>41.99</v>
      </c>
      <c r="K2190" t="n">
        <v>17.2</v>
      </c>
      <c r="L2190" t="n">
        <v>16.65</v>
      </c>
      <c r="M2190" s="155" t="n">
        <v>0.18</v>
      </c>
      <c r="N2190" t="inlineStr">
        <is>
          <t>全球最大黏扣帶製造商</t>
        </is>
      </c>
    </row>
    <row r="2191">
      <c r="A2191" s="729" t="n">
        <v>8409</v>
      </c>
      <c r="B2191" t="inlineStr">
        <is>
          <t>商之器</t>
        </is>
      </c>
      <c r="C2191" t="n">
        <v>19</v>
      </c>
      <c r="D2191" t="n">
        <v>19.1</v>
      </c>
      <c r="E2191" s="730" t="n">
        <v>0.15</v>
      </c>
      <c r="F2191" s="731" t="n">
        <v>0.79</v>
      </c>
      <c r="G2191" t="inlineStr">
        <is>
          <t>51.5萬</t>
        </is>
      </c>
      <c r="H2191" t="n">
        <v>27</v>
      </c>
      <c r="I2191" t="n">
        <v>14</v>
      </c>
      <c r="J2191" t="n">
        <v>3.2</v>
      </c>
      <c r="K2191" t="n">
        <v>19.35</v>
      </c>
      <c r="L2191" t="n">
        <v>18.95</v>
      </c>
      <c r="M2191" s="155" t="n">
        <v>0.08</v>
      </c>
      <c r="N2191" t="inlineStr">
        <is>
          <t>台灣醫療影像PACS系統龍頭廠</t>
        </is>
      </c>
    </row>
    <row r="2192">
      <c r="A2192" s="729" t="n">
        <v>8410</v>
      </c>
      <c r="B2192" t="inlineStr">
        <is>
          <t>森田</t>
        </is>
      </c>
      <c r="C2192" t="n">
        <v>35.1</v>
      </c>
      <c r="D2192" t="n">
        <v>34.95</v>
      </c>
      <c r="E2192" s="730" t="n">
        <v>0.05</v>
      </c>
      <c r="F2192" s="731" t="n">
        <v>0.14</v>
      </c>
      <c r="G2192" t="inlineStr">
        <is>
          <t>251萬</t>
        </is>
      </c>
      <c r="H2192" t="n">
        <v>72</v>
      </c>
      <c r="I2192" t="n">
        <v>100</v>
      </c>
      <c r="J2192" t="n">
        <v>3.66</v>
      </c>
      <c r="K2192" t="n">
        <v>35.2</v>
      </c>
      <c r="L2192" t="n">
        <v>34.5</v>
      </c>
      <c r="M2192" s="155" t="n">
        <v>0.2</v>
      </c>
      <c r="N2192" t="inlineStr">
        <is>
          <t>台灣最大3C產品之膜內轉印(IMR)印刷廠</t>
        </is>
      </c>
    </row>
    <row r="2193">
      <c r="A2193" s="729" t="n">
        <v>8411</v>
      </c>
      <c r="B2193" t="inlineStr">
        <is>
          <t>福貞-KY</t>
        </is>
      </c>
      <c r="C2193" t="n">
        <v>12.05</v>
      </c>
      <c r="D2193" t="n">
        <v>12.05</v>
      </c>
      <c r="E2193" s="730" t="n">
        <v>-0.1</v>
      </c>
      <c r="F2193" s="731" t="n">
        <v>-0.82</v>
      </c>
      <c r="G2193" t="inlineStr">
        <is>
          <t>117萬</t>
        </is>
      </c>
      <c r="H2193" t="n">
        <v>97</v>
      </c>
      <c r="I2193" t="n">
        <v>161</v>
      </c>
      <c r="J2193" t="n">
        <v>21.84</v>
      </c>
      <c r="K2193" t="n">
        <v>12.1</v>
      </c>
      <c r="L2193" t="n">
        <v>11.95</v>
      </c>
      <c r="M2193" s="155" t="n">
        <v>0.04</v>
      </c>
      <c r="N2193" t="inlineStr">
        <is>
          <t>大陸專業金屬包裝產品供應大廠</t>
        </is>
      </c>
    </row>
    <row r="2194">
      <c r="A2194" s="729" t="n">
        <v>8415</v>
      </c>
      <c r="B2194" t="inlineStr">
        <is>
          <t>大國鋼</t>
        </is>
      </c>
      <c r="C2194" t="n">
        <v>35.1</v>
      </c>
      <c r="D2194" t="n">
        <v>34.8</v>
      </c>
      <c r="E2194" s="730" t="n">
        <v>-0.15</v>
      </c>
      <c r="F2194" s="731" t="n">
        <v>-0.43</v>
      </c>
      <c r="G2194" t="inlineStr">
        <is>
          <t>1480萬</t>
        </is>
      </c>
      <c r="H2194" t="n">
        <v>426</v>
      </c>
      <c r="I2194" t="n">
        <v>733</v>
      </c>
      <c r="J2194" t="n">
        <v>103.15</v>
      </c>
      <c r="K2194" t="n">
        <v>35.1</v>
      </c>
      <c r="L2194" t="n">
        <v>34.55</v>
      </c>
      <c r="M2194" s="155" t="n">
        <v>0.04</v>
      </c>
      <c r="N2194" t="inlineStr">
        <is>
          <t>大成鋼轉投資之大型螺絲螺帽配銷商</t>
        </is>
      </c>
    </row>
    <row r="2195">
      <c r="A2195" s="729" t="n">
        <v>8416</v>
      </c>
      <c r="B2195" t="inlineStr">
        <is>
          <t>實威</t>
        </is>
      </c>
      <c r="C2195" t="n">
        <v>183</v>
      </c>
      <c r="D2195" t="n">
        <v>181</v>
      </c>
      <c r="E2195" s="730" t="n">
        <v>-0.5</v>
      </c>
      <c r="F2195" s="731" t="n">
        <v>-0.28</v>
      </c>
      <c r="G2195" t="inlineStr">
        <is>
          <t>596萬</t>
        </is>
      </c>
      <c r="H2195" t="n">
        <v>33</v>
      </c>
      <c r="I2195" t="n">
        <v>68</v>
      </c>
      <c r="J2195" t="n">
        <v>2.82</v>
      </c>
      <c r="K2195" t="n">
        <v>183</v>
      </c>
      <c r="L2195" t="n">
        <v>179</v>
      </c>
      <c r="M2195" s="155" t="n">
        <v>0.12</v>
      </c>
      <c r="N2195" t="inlineStr">
        <is>
          <t>3D CAD/CAM/CAE/PDM軟硬體代理商</t>
        </is>
      </c>
    </row>
    <row r="2196">
      <c r="A2196" s="729" t="n">
        <v>8421</v>
      </c>
      <c r="B2196" t="inlineStr">
        <is>
          <t>旭源</t>
        </is>
      </c>
      <c r="C2196" t="n">
        <v>13.4</v>
      </c>
      <c r="D2196" t="n">
        <v>13.1</v>
      </c>
      <c r="E2196" s="730" t="n">
        <v>-0.25</v>
      </c>
      <c r="F2196" s="731" t="n">
        <v>-1.87</v>
      </c>
      <c r="G2196" t="inlineStr">
        <is>
          <t>58.9萬</t>
        </is>
      </c>
      <c r="H2196" t="n">
        <v>45</v>
      </c>
      <c r="I2196" t="n">
        <v>46</v>
      </c>
      <c r="J2196" t="n">
        <v>5.48</v>
      </c>
      <c r="K2196" t="n">
        <v>13.4</v>
      </c>
      <c r="L2196" t="n">
        <v>13</v>
      </c>
      <c r="M2196" s="155" t="n">
        <v>0.08</v>
      </c>
      <c r="N2196" t="inlineStr">
        <is>
          <t>飲料標籤及生產設備製造商</t>
        </is>
      </c>
    </row>
    <row r="2197">
      <c r="A2197" s="729" t="n">
        <v>8422</v>
      </c>
      <c r="B2197" t="inlineStr">
        <is>
          <t>可寧衛*</t>
        </is>
      </c>
      <c r="C2197" t="n">
        <v>27.95</v>
      </c>
      <c r="D2197" t="n">
        <v>27.35</v>
      </c>
      <c r="E2197" s="730" t="n">
        <v>-0.35</v>
      </c>
      <c r="F2197" s="731" t="n">
        <v>-1.26</v>
      </c>
      <c r="G2197" t="inlineStr">
        <is>
          <t>3.78億</t>
        </is>
      </c>
      <c r="H2197" t="n">
        <v>13934</v>
      </c>
      <c r="I2197" t="n">
        <v>9907</v>
      </c>
      <c r="J2197" t="n">
        <v>13.58</v>
      </c>
      <c r="K2197" t="n">
        <v>27.95</v>
      </c>
      <c r="L2197" t="n">
        <v>26.75</v>
      </c>
      <c r="M2197" s="155" t="n">
        <v>1.03</v>
      </c>
      <c r="N2197" t="inlineStr">
        <is>
          <t>台灣最大重金屬廢棄物固化處理廠</t>
        </is>
      </c>
    </row>
    <row r="2198">
      <c r="A2198" s="729" t="n">
        <v>8423</v>
      </c>
      <c r="B2198" t="inlineStr">
        <is>
          <t>保綠-KY</t>
        </is>
      </c>
      <c r="C2198" t="n">
        <v>17.7</v>
      </c>
      <c r="D2198" t="n">
        <v>17.65</v>
      </c>
      <c r="E2198" s="730" t="n">
        <v>-0.05</v>
      </c>
      <c r="F2198" s="731" t="n">
        <v>-0.28</v>
      </c>
      <c r="G2198" t="inlineStr">
        <is>
          <t>15.9萬</t>
        </is>
      </c>
      <c r="H2198" t="n">
        <v>9</v>
      </c>
      <c r="I2198" t="n">
        <v>34</v>
      </c>
      <c r="J2198" t="n">
        <v>4.17</v>
      </c>
      <c r="K2198" t="n">
        <v>17.8</v>
      </c>
      <c r="L2198" t="n">
        <v>17.45</v>
      </c>
      <c r="M2198" s="155" t="n">
        <v>0.02</v>
      </c>
      <c r="N2198" t="inlineStr">
        <is>
          <t>馬來西亞最大的再生膠、膠粉及膠粒製造商</t>
        </is>
      </c>
    </row>
    <row r="2199">
      <c r="A2199" s="729" t="n">
        <v>8424</v>
      </c>
      <c r="B2199" t="inlineStr">
        <is>
          <t>惠普</t>
        </is>
      </c>
      <c r="C2199" t="n">
        <v>73.3</v>
      </c>
      <c r="D2199" t="n">
        <v>72.90000000000001</v>
      </c>
      <c r="E2199" s="730" t="n">
        <v>-0.1</v>
      </c>
      <c r="F2199" s="731" t="n">
        <v>-0.14</v>
      </c>
      <c r="G2199" t="inlineStr">
        <is>
          <t>248萬</t>
        </is>
      </c>
      <c r="H2199" t="n">
        <v>34</v>
      </c>
      <c r="I2199" t="n">
        <v>38</v>
      </c>
      <c r="J2199" t="n">
        <v>3.61</v>
      </c>
      <c r="K2199" t="n">
        <v>73.40000000000001</v>
      </c>
      <c r="L2199" t="n">
        <v>72.8</v>
      </c>
      <c r="M2199" s="155" t="n">
        <v>0.09</v>
      </c>
      <c r="N2199" t="inlineStr">
        <is>
          <t>台灣最大矽酸鈣板廠</t>
        </is>
      </c>
    </row>
    <row r="2200">
      <c r="A2200" s="729" t="n">
        <v>8426</v>
      </c>
      <c r="B2200" t="inlineStr">
        <is>
          <t>紅木-KY</t>
        </is>
      </c>
      <c r="C2200" t="n">
        <v>21.35</v>
      </c>
      <c r="D2200" t="n">
        <v>21.5</v>
      </c>
      <c r="E2200" s="730" t="n">
        <v>-0.2</v>
      </c>
      <c r="F2200" s="731" t="n">
        <v>-0.92</v>
      </c>
      <c r="G2200" t="inlineStr">
        <is>
          <t>71.0萬</t>
        </is>
      </c>
      <c r="H2200" t="n">
        <v>33</v>
      </c>
      <c r="I2200" t="n">
        <v>41</v>
      </c>
      <c r="J2200" t="n">
        <v>5.02</v>
      </c>
      <c r="K2200" t="n">
        <v>21.75</v>
      </c>
      <c r="L2200" t="n">
        <v>21.35</v>
      </c>
      <c r="M2200" s="155" t="n">
        <v>0.07000000000000001</v>
      </c>
      <c r="N2200" t="inlineStr">
        <is>
          <t>國際精品的裝潢承包商</t>
        </is>
      </c>
    </row>
    <row r="2201">
      <c r="A2201" s="729" t="n">
        <v>8429</v>
      </c>
      <c r="B2201" t="inlineStr">
        <is>
          <t>金麗-KY</t>
        </is>
      </c>
      <c r="C2201" t="n">
        <v>6.18</v>
      </c>
      <c r="D2201" t="n">
        <v>6.31</v>
      </c>
      <c r="E2201" s="730" t="n">
        <v>0.14</v>
      </c>
      <c r="F2201" s="731" t="n">
        <v>2.27</v>
      </c>
      <c r="G2201" t="inlineStr">
        <is>
          <t>171萬</t>
        </is>
      </c>
      <c r="H2201" t="n">
        <v>271</v>
      </c>
      <c r="I2201" t="n">
        <v>458</v>
      </c>
      <c r="J2201" t="n">
        <v>18.57</v>
      </c>
      <c r="K2201" t="n">
        <v>6.35</v>
      </c>
      <c r="L2201" t="n">
        <v>6.18</v>
      </c>
      <c r="M2201" s="155" t="n">
        <v>0.15</v>
      </c>
      <c r="N2201" t="inlineStr">
        <is>
          <t>大陸三、四線城市中低價品牌服飾與休閒鞋業者</t>
        </is>
      </c>
    </row>
    <row r="2202">
      <c r="A2202" s="729" t="n">
        <v>8431</v>
      </c>
      <c r="B2202" t="inlineStr">
        <is>
          <t>匯鑽科</t>
        </is>
      </c>
      <c r="C2202" t="n">
        <v>56</v>
      </c>
      <c r="D2202" t="n">
        <v>53.9</v>
      </c>
      <c r="E2202" s="730" t="n">
        <v>-1.9</v>
      </c>
      <c r="F2202" s="731" t="n">
        <v>-3.41</v>
      </c>
      <c r="G2202" t="inlineStr">
        <is>
          <t>3973萬</t>
        </is>
      </c>
      <c r="H2202" t="n">
        <v>730</v>
      </c>
      <c r="I2202" t="n">
        <v>654</v>
      </c>
      <c r="J2202" t="n">
        <v>4.88</v>
      </c>
      <c r="K2202" t="n">
        <v>56</v>
      </c>
      <c r="L2202" t="n">
        <v>53.6</v>
      </c>
      <c r="M2202" s="155" t="n">
        <v>1.5</v>
      </c>
      <c r="N2202" t="inlineStr">
        <is>
          <t>亞太知名表面處理大廠</t>
        </is>
      </c>
    </row>
    <row r="2203">
      <c r="A2203" s="729" t="n">
        <v>8432</v>
      </c>
      <c r="B2203" t="inlineStr">
        <is>
          <t>東生華</t>
        </is>
      </c>
      <c r="C2203" t="n">
        <v>49.75</v>
      </c>
      <c r="D2203" t="n">
        <v>50.2</v>
      </c>
      <c r="E2203" s="730" t="n">
        <v>0.45</v>
      </c>
      <c r="F2203" s="731" t="n">
        <v>0.9</v>
      </c>
      <c r="G2203" t="inlineStr">
        <is>
          <t>294萬</t>
        </is>
      </c>
      <c r="H2203" t="n">
        <v>59</v>
      </c>
      <c r="I2203" t="n">
        <v>61</v>
      </c>
      <c r="J2203" t="n">
        <v>3.84</v>
      </c>
      <c r="K2203" t="n">
        <v>50.2</v>
      </c>
      <c r="L2203" t="n">
        <v>49.55</v>
      </c>
      <c r="M2203" s="155" t="n">
        <v>0.15</v>
      </c>
      <c r="N2203" t="inlineStr">
        <is>
          <t>東洋旗下慢性病用藥與新藥研發公司</t>
        </is>
      </c>
    </row>
    <row r="2204">
      <c r="A2204" s="729" t="n">
        <v>8433</v>
      </c>
      <c r="B2204" t="inlineStr">
        <is>
          <t>弘帆</t>
        </is>
      </c>
      <c r="C2204" t="n">
        <v>52.2</v>
      </c>
      <c r="D2204" t="n">
        <v>51.6</v>
      </c>
      <c r="E2204" s="730" t="n">
        <v>-0.4</v>
      </c>
      <c r="F2204" s="731" t="n">
        <v>-0.77</v>
      </c>
      <c r="G2204" t="inlineStr">
        <is>
          <t>212萬</t>
        </is>
      </c>
      <c r="H2204" t="n">
        <v>41</v>
      </c>
      <c r="I2204" t="n">
        <v>39</v>
      </c>
      <c r="J2204" t="n">
        <v>5.45</v>
      </c>
      <c r="K2204" t="n">
        <v>52.2</v>
      </c>
      <c r="L2204" t="n">
        <v>51.5</v>
      </c>
      <c r="M2204" s="155" t="n">
        <v>0.08</v>
      </c>
      <c r="N2204" t="inlineStr">
        <is>
          <t>全方位女性與孩童配件飾品供應商，產品外銷歐美為主</t>
        </is>
      </c>
    </row>
    <row r="2205">
      <c r="A2205" s="729" t="n">
        <v>8435</v>
      </c>
      <c r="B2205" t="inlineStr">
        <is>
          <t>鉅邁</t>
        </is>
      </c>
      <c r="C2205" t="n">
        <v>55.6</v>
      </c>
      <c r="D2205" t="n">
        <v>55.3</v>
      </c>
      <c r="E2205" s="730" t="n">
        <v>-0.7</v>
      </c>
      <c r="F2205" s="731" t="n">
        <v>-1.25</v>
      </c>
      <c r="G2205" t="inlineStr">
        <is>
          <t>287萬</t>
        </is>
      </c>
      <c r="H2205" t="n">
        <v>52</v>
      </c>
      <c r="I2205" t="n">
        <v>44</v>
      </c>
      <c r="J2205" t="n">
        <v>3.52</v>
      </c>
      <c r="K2205" t="n">
        <v>55.6</v>
      </c>
      <c r="L2205" t="n">
        <v>54.8</v>
      </c>
      <c r="M2205" s="155" t="n">
        <v>0.15</v>
      </c>
      <c r="N2205" t="inlineStr">
        <is>
          <t>台灣前三大工業水處理藥劑公司</t>
        </is>
      </c>
    </row>
    <row r="2206">
      <c r="A2206" s="729" t="n">
        <v>8436</v>
      </c>
      <c r="B2206" t="inlineStr">
        <is>
          <t>大江</t>
        </is>
      </c>
      <c r="C2206" t="n">
        <v>120.5</v>
      </c>
      <c r="D2206" t="n">
        <v>120.5</v>
      </c>
      <c r="E2206" s="730" t="n">
        <v>0.5</v>
      </c>
      <c r="F2206" s="731" t="n">
        <v>0.42</v>
      </c>
      <c r="G2206" t="inlineStr">
        <is>
          <t>3923萬</t>
        </is>
      </c>
      <c r="H2206" t="n">
        <v>327</v>
      </c>
      <c r="I2206" t="n">
        <v>628</v>
      </c>
      <c r="J2206" t="n">
        <v>11.77</v>
      </c>
      <c r="K2206" t="n">
        <v>121</v>
      </c>
      <c r="L2206" t="n">
        <v>119</v>
      </c>
      <c r="M2206" s="155" t="n">
        <v>0.28</v>
      </c>
      <c r="N2206" t="inlineStr">
        <is>
          <t>專為大廠研發保健品、保養品及有效添加物等公司</t>
        </is>
      </c>
    </row>
    <row r="2207">
      <c r="A2207" s="729" t="n">
        <v>8437</v>
      </c>
      <c r="B2207" t="inlineStr">
        <is>
          <t>大地-KY</t>
        </is>
      </c>
      <c r="C2207" t="n">
        <v>10.75</v>
      </c>
      <c r="D2207" t="n">
        <v>10.85</v>
      </c>
      <c r="E2207" s="730" t="n">
        <v>0.05</v>
      </c>
      <c r="F2207" s="731" t="n">
        <v>0.46</v>
      </c>
      <c r="G2207" t="inlineStr">
        <is>
          <t>165萬</t>
        </is>
      </c>
      <c r="H2207" t="n">
        <v>154</v>
      </c>
      <c r="I2207" t="n">
        <v>103</v>
      </c>
      <c r="J2207" t="n">
        <v>4.7</v>
      </c>
      <c r="K2207" t="n">
        <v>10.9</v>
      </c>
      <c r="L2207" t="n">
        <v>10.55</v>
      </c>
      <c r="M2207" s="155" t="n">
        <v>0.33</v>
      </c>
      <c r="N2207" t="inlineStr">
        <is>
          <t>大陸知名幼教品牌，提供幼教諮詢服務</t>
        </is>
      </c>
    </row>
    <row r="2208">
      <c r="A2208" s="729" t="n">
        <v>8438</v>
      </c>
      <c r="B2208" t="inlineStr">
        <is>
          <t>昶昕</t>
        </is>
      </c>
      <c r="C2208" t="n">
        <v>87</v>
      </c>
      <c r="D2208" t="n">
        <v>85.7</v>
      </c>
      <c r="E2208" s="730" t="n">
        <v>-1.3</v>
      </c>
      <c r="F2208" s="731" t="n">
        <v>-1.49</v>
      </c>
      <c r="G2208" t="inlineStr">
        <is>
          <t>2633萬</t>
        </is>
      </c>
      <c r="H2208" t="n">
        <v>309</v>
      </c>
      <c r="I2208" t="n">
        <v>423</v>
      </c>
      <c r="J2208" t="n">
        <v>6.99</v>
      </c>
      <c r="K2208" t="n">
        <v>87</v>
      </c>
      <c r="L2208" t="n">
        <v>83.90000000000001</v>
      </c>
      <c r="M2208" s="155" t="n">
        <v>0.44</v>
      </c>
      <c r="N2208" t="inlineStr">
        <is>
          <t>台灣主要PCB廢液處理商，市佔超過8成</t>
        </is>
      </c>
    </row>
    <row r="2209">
      <c r="A2209" s="729" t="n">
        <v>8440</v>
      </c>
      <c r="B2209" t="inlineStr">
        <is>
          <t>綠電</t>
        </is>
      </c>
      <c r="C2209" t="n">
        <v>23.1</v>
      </c>
      <c r="D2209" t="n">
        <v>23.15</v>
      </c>
      <c r="E2209" s="730" t="n">
        <v>0</v>
      </c>
      <c r="F2209" s="731" t="n">
        <v>0</v>
      </c>
      <c r="G2209" t="inlineStr">
        <is>
          <t>482萬</t>
        </is>
      </c>
      <c r="H2209" t="n">
        <v>209</v>
      </c>
      <c r="I2209" t="n">
        <v>711</v>
      </c>
      <c r="J2209" t="n">
        <v>5.03</v>
      </c>
      <c r="K2209" t="n">
        <v>23.55</v>
      </c>
      <c r="L2209" t="n">
        <v>22.8</v>
      </c>
      <c r="M2209" s="155" t="n">
        <v>0.42</v>
      </c>
      <c r="N2209" t="inlineStr">
        <is>
          <t>台灣最大的廢家電及廢資訊物品回收業者</t>
        </is>
      </c>
    </row>
    <row r="2210">
      <c r="A2210" s="729" t="n">
        <v>8442</v>
      </c>
      <c r="B2210" t="inlineStr">
        <is>
          <t>威宏-KY</t>
        </is>
      </c>
      <c r="C2210" t="n">
        <v>40.85</v>
      </c>
      <c r="D2210" t="n">
        <v>40.4</v>
      </c>
      <c r="E2210" s="730" t="n">
        <v>0.85</v>
      </c>
      <c r="F2210" s="731" t="n">
        <v>2.15</v>
      </c>
      <c r="G2210" t="inlineStr">
        <is>
          <t>563萬</t>
        </is>
      </c>
      <c r="H2210" t="n">
        <v>138</v>
      </c>
      <c r="I2210" t="n">
        <v>112</v>
      </c>
      <c r="J2210" t="n">
        <v>7.02</v>
      </c>
      <c r="K2210" t="n">
        <v>41.65</v>
      </c>
      <c r="L2210" t="n">
        <v>40.25</v>
      </c>
      <c r="M2210" s="155" t="n">
        <v>0.2</v>
      </c>
      <c r="N2210" t="inlineStr">
        <is>
          <t>為全球知名運動用品及精品包袋代工製造商</t>
        </is>
      </c>
    </row>
    <row r="2211">
      <c r="A2211" s="729" t="n">
        <v>8443</v>
      </c>
      <c r="B2211" t="inlineStr">
        <is>
          <t>阿瘦</t>
        </is>
      </c>
      <c r="C2211" t="n">
        <v>11</v>
      </c>
      <c r="D2211" t="n">
        <v>11.2</v>
      </c>
      <c r="E2211" s="730" t="n">
        <v>-0.05</v>
      </c>
      <c r="F2211" s="731" t="n">
        <v>-0.44</v>
      </c>
      <c r="G2211" t="inlineStr">
        <is>
          <t>18.9萬</t>
        </is>
      </c>
      <c r="H2211" t="n">
        <v>17</v>
      </c>
      <c r="I2211" t="n">
        <v>39</v>
      </c>
      <c r="J2211" t="n">
        <v>6.68</v>
      </c>
      <c r="K2211" t="n">
        <v>11.3</v>
      </c>
      <c r="L2211" t="n">
        <v>11</v>
      </c>
      <c r="M2211" s="155" t="n">
        <v>0.03</v>
      </c>
      <c r="N2211" t="inlineStr">
        <is>
          <t>台灣第一家掛牌的鞋業自有品牌業者</t>
        </is>
      </c>
    </row>
    <row r="2212">
      <c r="A2212" s="729" t="n">
        <v>8444</v>
      </c>
      <c r="B2212" t="inlineStr">
        <is>
          <t>綠河-KY</t>
        </is>
      </c>
      <c r="C2212" t="n">
        <v>4.98</v>
      </c>
      <c r="D2212" t="n">
        <v>4.67</v>
      </c>
      <c r="E2212" s="730" t="n">
        <v>-0.33</v>
      </c>
      <c r="F2212" s="731" t="n">
        <v>-6.6</v>
      </c>
      <c r="G2212" t="inlineStr">
        <is>
          <t>39.8萬</t>
        </is>
      </c>
      <c r="H2212" t="n">
        <v>84</v>
      </c>
      <c r="I2212" t="n">
        <v>37</v>
      </c>
      <c r="J2212" t="n">
        <v>11.12</v>
      </c>
      <c r="K2212" t="n">
        <v>4.98</v>
      </c>
      <c r="L2212" t="n">
        <v>4.66</v>
      </c>
      <c r="M2212" s="155" t="n">
        <v>0.08</v>
      </c>
      <c r="N2212" t="inlineStr">
        <is>
          <t>泰國塑合板與橡膠木實木板材產銷商</t>
        </is>
      </c>
    </row>
    <row r="2213">
      <c r="A2213" s="729" t="n">
        <v>8446</v>
      </c>
      <c r="B2213" t="inlineStr">
        <is>
          <t>華研</t>
        </is>
      </c>
      <c r="C2213" t="n">
        <v>84.59999999999999</v>
      </c>
      <c r="D2213" t="n">
        <v>84.40000000000001</v>
      </c>
      <c r="E2213" s="730" t="n">
        <v>-0.2</v>
      </c>
      <c r="F2213" s="731" t="n">
        <v>-0.24</v>
      </c>
      <c r="G2213" t="inlineStr">
        <is>
          <t>1173萬</t>
        </is>
      </c>
      <c r="H2213" t="n">
        <v>139</v>
      </c>
      <c r="I2213" t="n">
        <v>140</v>
      </c>
      <c r="J2213" t="n">
        <v>5.29</v>
      </c>
      <c r="K2213" t="n">
        <v>85.09999999999999</v>
      </c>
      <c r="L2213" t="n">
        <v>84</v>
      </c>
      <c r="M2213" s="155" t="n">
        <v>0.26</v>
      </c>
      <c r="N2213" t="inlineStr">
        <is>
          <t>亞洲跨國唱片製作及歌手經紀人公司</t>
        </is>
      </c>
    </row>
    <row r="2214">
      <c r="A2214" s="729" t="n">
        <v>8450</v>
      </c>
      <c r="B2214" t="inlineStr">
        <is>
          <t>霹靂</t>
        </is>
      </c>
      <c r="C2214" t="n">
        <v>15.6</v>
      </c>
      <c r="D2214" t="n">
        <v>15.75</v>
      </c>
      <c r="E2214" s="730" t="n">
        <v>0.15</v>
      </c>
      <c r="F2214" s="731" t="n">
        <v>0.96</v>
      </c>
      <c r="G2214" t="inlineStr">
        <is>
          <t>70.2萬</t>
        </is>
      </c>
      <c r="H2214" t="n">
        <v>45</v>
      </c>
      <c r="I2214" t="n">
        <v>73</v>
      </c>
      <c r="J2214" t="n">
        <v>5.13</v>
      </c>
      <c r="K2214" t="n">
        <v>15.8</v>
      </c>
      <c r="L2214" t="n">
        <v>15.5</v>
      </c>
      <c r="M2214" s="155" t="n">
        <v>0.09</v>
      </c>
      <c r="N2214" t="inlineStr">
        <is>
          <t>台灣布袋戲文創業者</t>
        </is>
      </c>
    </row>
    <row r="2215">
      <c r="A2215" s="729" t="n">
        <v>8454</v>
      </c>
      <c r="B2215" t="inlineStr">
        <is>
          <t>富邦媒</t>
        </is>
      </c>
      <c r="C2215" t="n">
        <v>237</v>
      </c>
      <c r="D2215" t="n">
        <v>265.5</v>
      </c>
      <c r="E2215" s="730" t="n">
        <v>24</v>
      </c>
      <c r="F2215" s="731" t="n">
        <v>9.94</v>
      </c>
      <c r="G2215" t="inlineStr">
        <is>
          <t>14.0億</t>
        </is>
      </c>
      <c r="H2215" t="n">
        <v>5540</v>
      </c>
      <c r="I2215" t="n">
        <v>2731</v>
      </c>
      <c r="J2215" t="n">
        <v>26.5</v>
      </c>
      <c r="K2215" t="n">
        <v>265.5</v>
      </c>
      <c r="L2215" t="n">
        <v>231</v>
      </c>
      <c r="M2215" s="155" t="n">
        <v>2.09</v>
      </c>
      <c r="N2215" t="inlineStr">
        <is>
          <t>台灣網路購物龍頭平台</t>
        </is>
      </c>
    </row>
    <row r="2216">
      <c r="A2216" s="729" t="n">
        <v>8455</v>
      </c>
      <c r="B2216" t="inlineStr">
        <is>
          <t>大拓-KY</t>
        </is>
      </c>
      <c r="C2216" t="n">
        <v>43.9</v>
      </c>
      <c r="D2216" t="n">
        <v>41.2</v>
      </c>
      <c r="E2216" s="730" t="n">
        <v>-0.6</v>
      </c>
      <c r="F2216" s="731" t="n">
        <v>-1.44</v>
      </c>
      <c r="G2216" t="inlineStr">
        <is>
          <t>391萬</t>
        </is>
      </c>
      <c r="H2216" t="n">
        <v>92</v>
      </c>
      <c r="I2216" t="n">
        <v>153</v>
      </c>
      <c r="J2216" t="n">
        <v>2.52</v>
      </c>
      <c r="K2216" t="n">
        <v>43.9</v>
      </c>
      <c r="L2216" t="n">
        <v>40.95</v>
      </c>
      <c r="M2216" s="155" t="n">
        <v>0.36</v>
      </c>
      <c r="N2216" t="inlineStr">
        <is>
          <t>國內知名的電機、電子零組件代理經銷商</t>
        </is>
      </c>
    </row>
    <row r="2217">
      <c r="A2217" s="729" t="n">
        <v>8462</v>
      </c>
      <c r="B2217" t="inlineStr">
        <is>
          <t>柏文</t>
        </is>
      </c>
      <c r="C2217" t="n">
        <v>140.5</v>
      </c>
      <c r="D2217" t="n">
        <v>140</v>
      </c>
      <c r="E2217" s="730" t="n">
        <v>-1.5</v>
      </c>
      <c r="F2217" s="731" t="n">
        <v>-1.06</v>
      </c>
      <c r="G2217" t="inlineStr">
        <is>
          <t>1442萬</t>
        </is>
      </c>
      <c r="H2217" t="n">
        <v>103</v>
      </c>
      <c r="I2217" t="n">
        <v>145</v>
      </c>
      <c r="J2217" t="n">
        <v>8.039999999999999</v>
      </c>
      <c r="K2217" t="n">
        <v>141.5</v>
      </c>
      <c r="L2217" t="n">
        <v>138.5</v>
      </c>
      <c r="M2217" s="155" t="n">
        <v>0.13</v>
      </c>
      <c r="N2217" t="inlineStr">
        <is>
          <t>台灣連鎖健身俱樂部業者</t>
        </is>
      </c>
    </row>
    <row r="2218">
      <c r="A2218" s="729" t="n">
        <v>8463</v>
      </c>
      <c r="B2218" t="inlineStr">
        <is>
          <t>潤泰材</t>
        </is>
      </c>
      <c r="C2218" t="n">
        <v>21.65</v>
      </c>
      <c r="D2218" t="n">
        <v>21.65</v>
      </c>
      <c r="E2218" s="730" t="n">
        <v>-0.05</v>
      </c>
      <c r="F2218" s="731" t="n">
        <v>-0.23</v>
      </c>
      <c r="G2218" t="inlineStr">
        <is>
          <t>190萬</t>
        </is>
      </c>
      <c r="H2218" t="n">
        <v>88</v>
      </c>
      <c r="I2218" t="n">
        <v>94</v>
      </c>
      <c r="J2218" t="n">
        <v>15</v>
      </c>
      <c r="K2218" t="n">
        <v>21.75</v>
      </c>
      <c r="L2218" t="n">
        <v>21.45</v>
      </c>
      <c r="M2218" s="155" t="n">
        <v>0.06</v>
      </c>
      <c r="N2218" t="inlineStr">
        <is>
          <t>潤泰集團旗下水泥及預拌式泥作材料大廠</t>
        </is>
      </c>
    </row>
    <row r="2219">
      <c r="A2219" s="729" t="n">
        <v>8464</v>
      </c>
      <c r="B2219" t="inlineStr">
        <is>
          <t>億豐</t>
        </is>
      </c>
      <c r="C2219" t="n">
        <v>323.5</v>
      </c>
      <c r="D2219" t="n">
        <v>322</v>
      </c>
      <c r="E2219" s="730" t="n">
        <v>-2</v>
      </c>
      <c r="F2219" s="731" t="n">
        <v>-0.62</v>
      </c>
      <c r="G2219" t="inlineStr">
        <is>
          <t>2.45億</t>
        </is>
      </c>
      <c r="H2219" t="n">
        <v>763</v>
      </c>
      <c r="I2219" t="n">
        <v>1155</v>
      </c>
      <c r="J2219" t="n">
        <v>29.3</v>
      </c>
      <c r="K2219" t="n">
        <v>324.5</v>
      </c>
      <c r="L2219" t="n">
        <v>317.5</v>
      </c>
      <c r="M2219" s="155" t="n">
        <v>0.26</v>
      </c>
      <c r="N2219" t="inlineStr">
        <is>
          <t>全球窗簾製造大廠</t>
        </is>
      </c>
    </row>
    <row r="2220">
      <c r="A2220" s="729" t="n">
        <v>8466</v>
      </c>
      <c r="B2220" t="inlineStr">
        <is>
          <t>美吉吉-KY</t>
        </is>
      </c>
      <c r="C2220" t="n">
        <v>16.35</v>
      </c>
      <c r="D2220" t="n">
        <v>16.1</v>
      </c>
      <c r="E2220" s="730" t="n">
        <v>-0.1</v>
      </c>
      <c r="F2220" s="731" t="n">
        <v>-0.62</v>
      </c>
      <c r="G2220" t="inlineStr">
        <is>
          <t>106萬</t>
        </is>
      </c>
      <c r="H2220" t="n">
        <v>66</v>
      </c>
      <c r="I2220" t="n">
        <v>367</v>
      </c>
      <c r="J2220" t="n">
        <v>7.98</v>
      </c>
      <c r="K2220" t="n">
        <v>16.5</v>
      </c>
      <c r="L2220" t="n">
        <v>16</v>
      </c>
      <c r="M2220" s="155" t="n">
        <v>0.08</v>
      </c>
      <c r="N2220" t="inlineStr">
        <is>
          <t>全球知名塑膠地磚製造廠商</t>
        </is>
      </c>
    </row>
    <row r="2221">
      <c r="A2221" s="729" t="n">
        <v>8467</v>
      </c>
      <c r="B2221" t="inlineStr">
        <is>
          <t>波力-KY</t>
        </is>
      </c>
      <c r="C2221" t="n">
        <v>135</v>
      </c>
      <c r="D2221" t="n">
        <v>131.5</v>
      </c>
      <c r="E2221" s="730" t="n">
        <v>0</v>
      </c>
      <c r="F2221" s="731" t="n">
        <v>0</v>
      </c>
      <c r="G2221" t="inlineStr">
        <is>
          <t>275萬</t>
        </is>
      </c>
      <c r="H2221" t="n">
        <v>21</v>
      </c>
      <c r="I2221" t="n">
        <v>31</v>
      </c>
      <c r="J2221" t="n">
        <v>4.84</v>
      </c>
      <c r="K2221" t="n">
        <v>135</v>
      </c>
      <c r="L2221" t="n">
        <v>128.5</v>
      </c>
      <c r="M2221" s="155" t="n">
        <v>0.04</v>
      </c>
      <c r="N2221" t="inlineStr">
        <is>
          <t>全球最大碳纖維冰上曲棍球桿製造廠</t>
        </is>
      </c>
    </row>
    <row r="2222">
      <c r="A2222" s="729" t="n">
        <v>8472</v>
      </c>
      <c r="B2222" t="inlineStr">
        <is>
          <t>夠麻吉</t>
        </is>
      </c>
      <c r="C2222" t="n">
        <v>88.09999999999999</v>
      </c>
      <c r="D2222" t="n">
        <v>90</v>
      </c>
      <c r="E2222" s="730" t="n">
        <v>4.1</v>
      </c>
      <c r="F2222" s="731" t="n">
        <v>4.77</v>
      </c>
      <c r="G2222" t="inlineStr">
        <is>
          <t>1211萬</t>
        </is>
      </c>
      <c r="H2222" t="n">
        <v>139</v>
      </c>
      <c r="I2222" t="n">
        <v>78</v>
      </c>
      <c r="J2222" t="n">
        <v>1.77</v>
      </c>
      <c r="K2222" t="n">
        <v>90</v>
      </c>
      <c r="L2222" t="n">
        <v>82.90000000000001</v>
      </c>
      <c r="M2222" s="155" t="n">
        <v>0.78</v>
      </c>
      <c r="N2222" t="inlineStr">
        <is>
          <t>台灣最大吃喝玩樂票券平台「GOMAJI」</t>
        </is>
      </c>
    </row>
    <row r="2223">
      <c r="A2223" s="729" t="n">
        <v>8473</v>
      </c>
      <c r="B2223" t="inlineStr">
        <is>
          <t>山林水</t>
        </is>
      </c>
      <c r="C2223" t="n">
        <v>55.7</v>
      </c>
      <c r="D2223" t="n">
        <v>56</v>
      </c>
      <c r="E2223" s="730" t="n">
        <v>0.6</v>
      </c>
      <c r="F2223" s="731" t="n">
        <v>1.08</v>
      </c>
      <c r="G2223" t="inlineStr">
        <is>
          <t>6.93億</t>
        </is>
      </c>
      <c r="H2223" t="n">
        <v>12499</v>
      </c>
      <c r="I2223" t="n">
        <v>4234</v>
      </c>
      <c r="J2223" t="n">
        <v>18.12</v>
      </c>
      <c r="K2223" t="n">
        <v>57</v>
      </c>
      <c r="L2223" t="n">
        <v>53.9</v>
      </c>
      <c r="M2223" s="155" t="n">
        <v>6.9</v>
      </c>
      <c r="N2223" t="inlineStr">
        <is>
          <t>力麒旗下水處理工程公司</t>
        </is>
      </c>
    </row>
    <row r="2224">
      <c r="A2224" s="729" t="n">
        <v>8476</v>
      </c>
      <c r="B2224" t="inlineStr">
        <is>
          <t>台境*</t>
        </is>
      </c>
      <c r="C2224" t="n">
        <v>15.6</v>
      </c>
      <c r="D2224" t="n">
        <v>15.4</v>
      </c>
      <c r="E2224" s="730" t="n">
        <v>-0.2</v>
      </c>
      <c r="F2224" s="731" t="n">
        <v>-1.28</v>
      </c>
      <c r="G2224" t="inlineStr">
        <is>
          <t>579萬</t>
        </is>
      </c>
      <c r="H2224" t="n">
        <v>376</v>
      </c>
      <c r="I2224" t="n">
        <v>437</v>
      </c>
      <c r="J2224" t="n">
        <v>8.31</v>
      </c>
      <c r="K2224" t="n">
        <v>15.7</v>
      </c>
      <c r="L2224" t="n">
        <v>15.2</v>
      </c>
      <c r="M2224" s="155" t="n">
        <v>0.23</v>
      </c>
      <c r="N2224" t="inlineStr">
        <is>
          <t>專注發展土壤、地下水領域的環保工程服務商</t>
        </is>
      </c>
    </row>
    <row r="2225">
      <c r="A2225" s="729" t="n">
        <v>8477</v>
      </c>
      <c r="B2225" t="inlineStr">
        <is>
          <t>創業家</t>
        </is>
      </c>
      <c r="C2225" t="n">
        <v>19.2</v>
      </c>
      <c r="D2225" t="n">
        <v>19.2</v>
      </c>
      <c r="E2225" s="730" t="n">
        <v>-0.15</v>
      </c>
      <c r="F2225" s="731" t="n">
        <v>-0.78</v>
      </c>
      <c r="G2225" t="inlineStr">
        <is>
          <t>310萬</t>
        </is>
      </c>
      <c r="H2225" t="n">
        <v>167</v>
      </c>
      <c r="I2225" t="n">
        <v>339</v>
      </c>
      <c r="J2225" t="n">
        <v>6.42</v>
      </c>
      <c r="K2225" t="n">
        <v>19.2</v>
      </c>
      <c r="L2225" t="n">
        <v>18</v>
      </c>
      <c r="M2225" s="155" t="n">
        <v>0.26</v>
      </c>
      <c r="N2225" t="inlineStr">
        <is>
          <t>主要經營「生活市集」電商平台</t>
        </is>
      </c>
    </row>
    <row r="2226">
      <c r="A2226" s="729" t="n">
        <v>8478</v>
      </c>
      <c r="B2226" t="inlineStr">
        <is>
          <t>東哥遊艇</t>
        </is>
      </c>
      <c r="C2226" t="n">
        <v>155.5</v>
      </c>
      <c r="D2226" t="n">
        <v>154.5</v>
      </c>
      <c r="E2226" s="730" t="n">
        <v>-1</v>
      </c>
      <c r="F2226" s="731" t="n">
        <v>-0.64</v>
      </c>
      <c r="G2226" t="inlineStr">
        <is>
          <t>3264萬</t>
        </is>
      </c>
      <c r="H2226" t="n">
        <v>213</v>
      </c>
      <c r="I2226" t="n">
        <v>231</v>
      </c>
      <c r="J2226" t="n">
        <v>9.4</v>
      </c>
      <c r="K2226" t="n">
        <v>155.5</v>
      </c>
      <c r="L2226" t="n">
        <v>152.5</v>
      </c>
      <c r="M2226" s="155" t="n">
        <v>0.23</v>
      </c>
      <c r="N2226" t="inlineStr">
        <is>
          <t>亞洲地區唯一擁有自有品牌之遊艇製造商</t>
        </is>
      </c>
    </row>
    <row r="2227">
      <c r="A2227" s="729" t="n">
        <v>8481</v>
      </c>
      <c r="B2227" t="inlineStr">
        <is>
          <t>政伸</t>
        </is>
      </c>
      <c r="C2227" t="n">
        <v>41</v>
      </c>
      <c r="D2227" t="n">
        <v>41.35</v>
      </c>
      <c r="E2227" s="730" t="n">
        <v>0.4</v>
      </c>
      <c r="F2227" s="731" t="n">
        <v>0.98</v>
      </c>
      <c r="G2227" t="inlineStr">
        <is>
          <t>115萬</t>
        </is>
      </c>
      <c r="H2227" t="n">
        <v>28</v>
      </c>
      <c r="I2227" t="n">
        <v>32</v>
      </c>
      <c r="J2227" t="n">
        <v>6.66</v>
      </c>
      <c r="K2227" t="n">
        <v>41.4</v>
      </c>
      <c r="L2227" t="n">
        <v>41</v>
      </c>
      <c r="M2227" s="155" t="n">
        <v>0.04</v>
      </c>
      <c r="N2227" t="inlineStr">
        <is>
          <t>全球最大自行車貼標印刷公司</t>
        </is>
      </c>
    </row>
    <row r="2228">
      <c r="A2228" s="729" t="n">
        <v>8482</v>
      </c>
      <c r="B2228" t="inlineStr">
        <is>
          <t>商億-KY</t>
        </is>
      </c>
      <c r="C2228" t="n">
        <v>49</v>
      </c>
      <c r="D2228" t="n">
        <v>49.2</v>
      </c>
      <c r="E2228" s="730" t="n">
        <v>0.2</v>
      </c>
      <c r="F2228" s="731" t="n">
        <v>0.41</v>
      </c>
      <c r="G2228" t="inlineStr">
        <is>
          <t>34.6萬</t>
        </is>
      </c>
      <c r="H2228" t="n">
        <v>7</v>
      </c>
      <c r="I2228" t="n">
        <v>9</v>
      </c>
      <c r="J2228" t="n">
        <v>10.74</v>
      </c>
      <c r="K2228" t="n">
        <v>49.9</v>
      </c>
      <c r="L2228" t="n">
        <v>49</v>
      </c>
      <c r="M2228" s="155" t="n">
        <v>0.01</v>
      </c>
      <c r="N2228" t="inlineStr">
        <is>
          <t>主要出口至北美的高端室內傢俱製造商</t>
        </is>
      </c>
    </row>
    <row r="2229">
      <c r="A2229" s="729" t="n">
        <v>8488</v>
      </c>
      <c r="B2229" t="inlineStr">
        <is>
          <t>吉源-KY</t>
        </is>
      </c>
      <c r="C2229" t="n">
        <v>10.2</v>
      </c>
      <c r="D2229" t="n">
        <v>10.2</v>
      </c>
      <c r="E2229" s="730" t="n">
        <v>0.05</v>
      </c>
      <c r="F2229" s="731" t="n">
        <v>0.49</v>
      </c>
      <c r="G2229" t="inlineStr">
        <is>
          <t>1.02萬</t>
        </is>
      </c>
      <c r="H2229" t="n">
        <v>1</v>
      </c>
      <c r="I2229" t="n">
        <v>8</v>
      </c>
      <c r="J2229" t="n">
        <v>7.35</v>
      </c>
      <c r="K2229" t="n">
        <v>10.2</v>
      </c>
      <c r="L2229" t="n">
        <v>10.2</v>
      </c>
      <c r="M2229" s="155" t="n">
        <v>0</v>
      </c>
      <c r="N2229" t="inlineStr">
        <is>
          <t>台商金屬飲料包材大廠</t>
        </is>
      </c>
    </row>
    <row r="2230">
      <c r="A2230" s="729" t="n">
        <v>8489</v>
      </c>
      <c r="B2230" t="inlineStr">
        <is>
          <t>三貝德</t>
        </is>
      </c>
      <c r="C2230" t="n">
        <v>23.05</v>
      </c>
      <c r="D2230" t="n">
        <v>22.6</v>
      </c>
      <c r="E2230" s="730" t="n">
        <v>-0.7</v>
      </c>
      <c r="F2230" s="731" t="n">
        <v>-3</v>
      </c>
      <c r="G2230" t="inlineStr">
        <is>
          <t>515萬</t>
        </is>
      </c>
      <c r="H2230" t="n">
        <v>230</v>
      </c>
      <c r="I2230" t="n">
        <v>99</v>
      </c>
      <c r="J2230" t="n">
        <v>5.99</v>
      </c>
      <c r="K2230" t="n">
        <v>23.05</v>
      </c>
      <c r="L2230" t="n">
        <v>21.75</v>
      </c>
      <c r="M2230" s="155" t="n">
        <v>0.38</v>
      </c>
      <c r="N2230" t="inlineStr">
        <is>
          <t>致力於K12數位教學及品牌代理授權業者</t>
        </is>
      </c>
    </row>
    <row r="2231">
      <c r="A2231" s="729" t="n">
        <v>8499</v>
      </c>
      <c r="B2231" t="inlineStr">
        <is>
          <t>鼎炫-KY</t>
        </is>
      </c>
      <c r="C2231" t="n">
        <v>301</v>
      </c>
      <c r="D2231" t="n">
        <v>298.5</v>
      </c>
      <c r="E2231" s="730" t="n">
        <v>-3</v>
      </c>
      <c r="F2231" s="731" t="n">
        <v>-1</v>
      </c>
      <c r="G2231" t="inlineStr">
        <is>
          <t>2070萬</t>
        </is>
      </c>
      <c r="H2231" t="n">
        <v>70</v>
      </c>
      <c r="I2231" t="n">
        <v>206</v>
      </c>
      <c r="J2231" t="n">
        <v>4.12</v>
      </c>
      <c r="K2231" t="n">
        <v>301.5</v>
      </c>
      <c r="L2231" t="n">
        <v>292.5</v>
      </c>
      <c r="M2231" s="155" t="n">
        <v>0.17</v>
      </c>
      <c r="N2231" t="inlineStr">
        <is>
          <t>電子衡器及EMI導電材料生產商</t>
        </is>
      </c>
    </row>
    <row r="2232">
      <c r="A2232" s="729" t="n">
        <v>8905</v>
      </c>
      <c r="B2232" t="inlineStr">
        <is>
          <t>裕國</t>
        </is>
      </c>
      <c r="C2232" t="n">
        <v>29.55</v>
      </c>
      <c r="D2232" t="n">
        <v>29.55</v>
      </c>
      <c r="E2232" s="730" t="n">
        <v>0.3</v>
      </c>
      <c r="F2232" s="731" t="n">
        <v>1.03</v>
      </c>
      <c r="G2232" t="inlineStr">
        <is>
          <t>2.96萬</t>
        </is>
      </c>
      <c r="H2232" t="n">
        <v>1</v>
      </c>
      <c r="I2232" t="n">
        <v>5</v>
      </c>
      <c r="J2232" t="n">
        <v>11.94</v>
      </c>
      <c r="K2232" t="n">
        <v>29.55</v>
      </c>
      <c r="L2232" t="n">
        <v>29.55</v>
      </c>
      <c r="M2232" s="155" t="n">
        <v>0</v>
      </c>
      <c r="N2232" t="inlineStr">
        <is>
          <t>主要從事肉品、冷凍冷藏倉儲、營建業務</t>
        </is>
      </c>
    </row>
    <row r="2233">
      <c r="A2233" s="729" t="n">
        <v>8906</v>
      </c>
      <c r="B2233" t="inlineStr">
        <is>
          <t>花王</t>
        </is>
      </c>
      <c r="C2233" t="n">
        <v>23.75</v>
      </c>
      <c r="D2233" t="n">
        <v>23.85</v>
      </c>
      <c r="E2233" s="730" t="n">
        <v>-0.05</v>
      </c>
      <c r="F2233" s="731" t="n">
        <v>-0.21</v>
      </c>
      <c r="G2233" t="inlineStr">
        <is>
          <t>42.9萬</t>
        </is>
      </c>
      <c r="H2233" t="n">
        <v>18</v>
      </c>
      <c r="I2233" t="n">
        <v>65</v>
      </c>
      <c r="J2233" t="n">
        <v>4.4</v>
      </c>
      <c r="K2233" t="n">
        <v>23.9</v>
      </c>
      <c r="L2233" t="n">
        <v>23.7</v>
      </c>
      <c r="M2233" s="155" t="n">
        <v>0.04</v>
      </c>
      <c r="N2233" t="inlineStr">
        <is>
          <t>知名一貫化印製作業廠</t>
        </is>
      </c>
    </row>
    <row r="2234">
      <c r="A2234" s="729" t="n">
        <v>8908</v>
      </c>
      <c r="B2234" t="inlineStr">
        <is>
          <t>欣雄</t>
        </is>
      </c>
      <c r="C2234" t="n">
        <v>40.8</v>
      </c>
      <c r="D2234" t="n">
        <v>40.95</v>
      </c>
      <c r="E2234" s="730" t="n">
        <v>0.05</v>
      </c>
      <c r="F2234" s="731" t="n">
        <v>0.12</v>
      </c>
      <c r="G2234" t="inlineStr">
        <is>
          <t>727萬</t>
        </is>
      </c>
      <c r="H2234" t="n">
        <v>178</v>
      </c>
      <c r="I2234" t="n">
        <v>305</v>
      </c>
      <c r="J2234" t="n">
        <v>31.53</v>
      </c>
      <c r="K2234" t="n">
        <v>41</v>
      </c>
      <c r="L2234" t="n">
        <v>40.75</v>
      </c>
      <c r="M2234" s="155" t="n">
        <v>0.06</v>
      </c>
      <c r="N2234" t="inlineStr">
        <is>
          <t>主要經營高雄市鳳山、大寮等13區之天然氣業者</t>
        </is>
      </c>
    </row>
    <row r="2235">
      <c r="A2235" s="729" t="n">
        <v>8916</v>
      </c>
      <c r="B2235" t="inlineStr">
        <is>
          <t>光隆</t>
        </is>
      </c>
      <c r="C2235" t="n">
        <v>44.9</v>
      </c>
      <c r="D2235" t="n">
        <v>44.85</v>
      </c>
      <c r="E2235" s="730" t="n">
        <v>-0.1</v>
      </c>
      <c r="F2235" s="731" t="n">
        <v>-0.22</v>
      </c>
      <c r="G2235" t="inlineStr">
        <is>
          <t>845萬</t>
        </is>
      </c>
      <c r="H2235" t="n">
        <v>189</v>
      </c>
      <c r="I2235" t="n">
        <v>201</v>
      </c>
      <c r="J2235" t="n">
        <v>15.03</v>
      </c>
      <c r="K2235" t="n">
        <v>44.9</v>
      </c>
      <c r="L2235" t="n">
        <v>44.45</v>
      </c>
      <c r="M2235" s="155" t="n">
        <v>0.13</v>
      </c>
      <c r="N2235" t="inlineStr">
        <is>
          <t>國內知名的羽絨原料加工及寢具製造商</t>
        </is>
      </c>
    </row>
    <row r="2236">
      <c r="A2236" s="729" t="n">
        <v>8917</v>
      </c>
      <c r="B2236" t="inlineStr">
        <is>
          <t>欣泰</t>
        </is>
      </c>
      <c r="C2236" t="n">
        <v>52.5</v>
      </c>
      <c r="D2236" t="n">
        <v>52.6</v>
      </c>
      <c r="E2236" s="730" t="n">
        <v>0.6</v>
      </c>
      <c r="F2236" s="731" t="n">
        <v>1.15</v>
      </c>
      <c r="G2236" t="inlineStr">
        <is>
          <t>105萬</t>
        </is>
      </c>
      <c r="H2236" t="n">
        <v>20</v>
      </c>
      <c r="I2236" t="n">
        <v>17</v>
      </c>
      <c r="J2236" t="n">
        <v>16.27</v>
      </c>
      <c r="K2236" t="n">
        <v>52.6</v>
      </c>
      <c r="L2236" t="n">
        <v>52.3</v>
      </c>
      <c r="M2236" s="155" t="n">
        <v>0.01</v>
      </c>
      <c r="N2236" t="inlineStr">
        <is>
          <t>主要經營新北市樹林、土城等9區之天然氣業者</t>
        </is>
      </c>
    </row>
    <row r="2237">
      <c r="A2237" s="729" t="n">
        <v>8921</v>
      </c>
      <c r="B2237" t="inlineStr">
        <is>
          <t>沈氏</t>
        </is>
      </c>
      <c r="C2237" t="n">
        <v>18.55</v>
      </c>
      <c r="D2237" t="n">
        <v>18.4</v>
      </c>
      <c r="E2237" s="730" t="n">
        <v>0.4</v>
      </c>
      <c r="F2237" s="731" t="n">
        <v>2.22</v>
      </c>
      <c r="G2237" t="inlineStr">
        <is>
          <t>3.69萬</t>
        </is>
      </c>
      <c r="H2237" t="n">
        <v>2</v>
      </c>
      <c r="I2237" t="n">
        <v>2</v>
      </c>
      <c r="J2237" t="n">
        <v>4.66</v>
      </c>
      <c r="K2237" t="n">
        <v>18.55</v>
      </c>
      <c r="L2237" t="n">
        <v>18.4</v>
      </c>
      <c r="M2237" s="155" t="n">
        <v>0</v>
      </c>
      <c r="N2237" t="inlineStr">
        <is>
          <t>永豐餘集團轉投資之印刷廠</t>
        </is>
      </c>
    </row>
    <row r="2238">
      <c r="A2238" s="729" t="n">
        <v>8923</v>
      </c>
      <c r="B2238" t="inlineStr">
        <is>
          <t>時報</t>
        </is>
      </c>
      <c r="C2238" t="n">
        <v>18.9</v>
      </c>
      <c r="D2238" t="n">
        <v>18.9</v>
      </c>
      <c r="E2238" s="730" t="n">
        <v>0</v>
      </c>
      <c r="F2238" s="731" t="n">
        <v>0</v>
      </c>
      <c r="G2238" t="inlineStr">
        <is>
          <t>17.0萬</t>
        </is>
      </c>
      <c r="H2238" t="n">
        <v>9</v>
      </c>
      <c r="I2238" t="n">
        <v>8</v>
      </c>
      <c r="J2238" t="n">
        <v>3.04</v>
      </c>
      <c r="K2238" t="n">
        <v>18.9</v>
      </c>
      <c r="L2238" t="n">
        <v>18.9</v>
      </c>
      <c r="M2238" s="155" t="n">
        <v>0.03</v>
      </c>
      <c r="N2238" t="inlineStr">
        <is>
          <t>台灣大型出版社之一</t>
        </is>
      </c>
    </row>
    <row r="2239">
      <c r="A2239" s="729" t="n">
        <v>8924</v>
      </c>
      <c r="B2239" t="inlineStr">
        <is>
          <t>大田</t>
        </is>
      </c>
      <c r="C2239" t="n">
        <v>59.1</v>
      </c>
      <c r="D2239" t="n">
        <v>59</v>
      </c>
      <c r="E2239" s="730" t="n">
        <v>-0.3</v>
      </c>
      <c r="F2239" s="731" t="n">
        <v>-0.51</v>
      </c>
      <c r="G2239" t="inlineStr">
        <is>
          <t>797萬</t>
        </is>
      </c>
      <c r="H2239" t="n">
        <v>135</v>
      </c>
      <c r="I2239" t="n">
        <v>389</v>
      </c>
      <c r="J2239" t="n">
        <v>8.380000000000001</v>
      </c>
      <c r="K2239" t="n">
        <v>59.8</v>
      </c>
      <c r="L2239" t="n">
        <v>58.8</v>
      </c>
      <c r="M2239" s="155" t="n">
        <v>0.16</v>
      </c>
      <c r="N2239" t="inlineStr">
        <is>
          <t>全球前四大高爾夫球桿頭代工廠之一</t>
        </is>
      </c>
    </row>
    <row r="2240">
      <c r="A2240" s="729" t="n">
        <v>8926</v>
      </c>
      <c r="B2240" t="inlineStr">
        <is>
          <t>台汽電</t>
        </is>
      </c>
      <c r="C2240" t="n">
        <v>67.3</v>
      </c>
      <c r="D2240" t="n">
        <v>67.40000000000001</v>
      </c>
      <c r="E2240" s="730" t="n">
        <v>0.2</v>
      </c>
      <c r="F2240" s="731" t="n">
        <v>0.3</v>
      </c>
      <c r="G2240" t="inlineStr">
        <is>
          <t>4.65億</t>
        </is>
      </c>
      <c r="H2240" t="n">
        <v>6944</v>
      </c>
      <c r="I2240" t="n">
        <v>17909</v>
      </c>
      <c r="J2240" t="n">
        <v>83.03</v>
      </c>
      <c r="K2240" t="n">
        <v>68.2</v>
      </c>
      <c r="L2240" t="n">
        <v>66</v>
      </c>
      <c r="M2240" s="155" t="n">
        <v>0.84</v>
      </c>
      <c r="N2240" t="inlineStr">
        <is>
          <t>為一開發、投資、興建及營運汽電共生廠及民營電廠</t>
        </is>
      </c>
    </row>
    <row r="2241">
      <c r="A2241" s="729" t="n">
        <v>8927</v>
      </c>
      <c r="B2241" t="inlineStr">
        <is>
          <t>北基</t>
        </is>
      </c>
      <c r="C2241" t="n">
        <v>18.9</v>
      </c>
      <c r="D2241" t="n">
        <v>19.55</v>
      </c>
      <c r="E2241" s="730" t="n">
        <v>0.65</v>
      </c>
      <c r="F2241" s="731" t="n">
        <v>3.44</v>
      </c>
      <c r="G2241" t="inlineStr">
        <is>
          <t>2395萬</t>
        </is>
      </c>
      <c r="H2241" t="n">
        <v>1245</v>
      </c>
      <c r="I2241" t="n">
        <v>696</v>
      </c>
      <c r="J2241" t="n">
        <v>41.91</v>
      </c>
      <c r="K2241" t="n">
        <v>19.95</v>
      </c>
      <c r="L2241" t="n">
        <v>18.55</v>
      </c>
      <c r="M2241" s="155" t="n">
        <v>0.29</v>
      </c>
      <c r="N2241" t="inlineStr">
        <is>
          <t>國內加油站經營商，擁有80個據點</t>
        </is>
      </c>
    </row>
    <row r="2242">
      <c r="A2242" s="729" t="n">
        <v>8928</v>
      </c>
      <c r="B2242" t="inlineStr">
        <is>
          <t>鉅明</t>
        </is>
      </c>
      <c r="C2242" t="n">
        <v>20.85</v>
      </c>
      <c r="D2242" t="n">
        <v>21.5</v>
      </c>
      <c r="E2242" s="730" t="n">
        <v>0.65</v>
      </c>
      <c r="F2242" s="731" t="n">
        <v>3.12</v>
      </c>
      <c r="G2242" t="inlineStr">
        <is>
          <t>97.5萬</t>
        </is>
      </c>
      <c r="H2242" t="n">
        <v>46</v>
      </c>
      <c r="I2242" t="n">
        <v>47</v>
      </c>
      <c r="J2242" t="n">
        <v>5.09</v>
      </c>
      <c r="K2242" t="n">
        <v>21.5</v>
      </c>
      <c r="L2242" t="n">
        <v>20.8</v>
      </c>
      <c r="M2242" s="155" t="n">
        <v>0.09</v>
      </c>
      <c r="N2242" t="inlineStr">
        <is>
          <t>全球前四大高爾夫球桿頭代工廠之一</t>
        </is>
      </c>
    </row>
    <row r="2243">
      <c r="A2243" s="729" t="n">
        <v>8929</v>
      </c>
      <c r="B2243" t="inlineStr">
        <is>
          <t>富堡</t>
        </is>
      </c>
      <c r="C2243" t="n">
        <v>13.8</v>
      </c>
      <c r="D2243" t="n">
        <v>14.9</v>
      </c>
      <c r="E2243" s="730" t="n">
        <v>1.35</v>
      </c>
      <c r="F2243" s="731" t="n">
        <v>9.960000000000001</v>
      </c>
      <c r="G2243" t="inlineStr">
        <is>
          <t>225萬</t>
        </is>
      </c>
      <c r="H2243" t="n">
        <v>156</v>
      </c>
      <c r="I2243" t="n">
        <v>61</v>
      </c>
      <c r="J2243" t="n">
        <v>5.06</v>
      </c>
      <c r="K2243" t="n">
        <v>14.9</v>
      </c>
      <c r="L2243" t="n">
        <v>13.8</v>
      </c>
      <c r="M2243" s="155" t="n">
        <v>0.31</v>
      </c>
      <c r="N2243" t="inlineStr">
        <is>
          <t>主要生產不織布及成人紙尿褲產品</t>
        </is>
      </c>
    </row>
    <row r="2244">
      <c r="A2244" s="729" t="n">
        <v>8930</v>
      </c>
      <c r="B2244" t="inlineStr">
        <is>
          <t>青鋼</t>
        </is>
      </c>
      <c r="C2244" t="n">
        <v>28.3</v>
      </c>
      <c r="D2244" t="n">
        <v>28.15</v>
      </c>
      <c r="E2244" s="730" t="n">
        <v>-0.05</v>
      </c>
      <c r="F2244" s="731" t="n">
        <v>-0.18</v>
      </c>
      <c r="G2244" t="inlineStr">
        <is>
          <t>269萬</t>
        </is>
      </c>
      <c r="H2244" t="n">
        <v>96</v>
      </c>
      <c r="I2244" t="n">
        <v>59</v>
      </c>
      <c r="J2244" t="n">
        <v>8.18</v>
      </c>
      <c r="K2244" t="n">
        <v>28.3</v>
      </c>
      <c r="L2244" t="n">
        <v>27.9</v>
      </c>
      <c r="M2244" s="155" t="n">
        <v>0.12</v>
      </c>
      <c r="N2244" t="inlineStr">
        <is>
          <t>亞洲最大輕鋼架生產商</t>
        </is>
      </c>
    </row>
    <row r="2245">
      <c r="A2245" s="729" t="n">
        <v>8931</v>
      </c>
      <c r="B2245" t="inlineStr">
        <is>
          <t>大汽電</t>
        </is>
      </c>
      <c r="C2245" t="n">
        <v>42.75</v>
      </c>
      <c r="D2245" t="n">
        <v>42.3</v>
      </c>
      <c r="E2245" s="730" t="n">
        <v>0</v>
      </c>
      <c r="F2245" s="731" t="n">
        <v>0</v>
      </c>
      <c r="G2245" t="inlineStr">
        <is>
          <t>413萬</t>
        </is>
      </c>
      <c r="H2245" t="n">
        <v>98</v>
      </c>
      <c r="I2245" t="n">
        <v>139</v>
      </c>
      <c r="J2245" t="n">
        <v>12.23</v>
      </c>
      <c r="K2245" t="n">
        <v>42.75</v>
      </c>
      <c r="L2245" t="n">
        <v>41.9</v>
      </c>
      <c r="M2245" s="155" t="n">
        <v>0.08</v>
      </c>
      <c r="N2245" t="inlineStr">
        <is>
          <t>設於大園工業區內之汽電共生公司</t>
        </is>
      </c>
    </row>
    <row r="2246">
      <c r="A2246" s="729" t="n">
        <v>8932</v>
      </c>
      <c r="B2246" t="inlineStr">
        <is>
          <t>智通*</t>
        </is>
      </c>
      <c r="C2246" t="n">
        <v>103</v>
      </c>
      <c r="D2246" t="n">
        <v>102.5</v>
      </c>
      <c r="E2246" s="730" t="n">
        <v>-1</v>
      </c>
      <c r="F2246" s="731" t="n">
        <v>-0.97</v>
      </c>
      <c r="G2246" t="inlineStr">
        <is>
          <t>2.06億</t>
        </is>
      </c>
      <c r="H2246" t="n">
        <v>2023</v>
      </c>
      <c r="I2246" t="n">
        <v>3896</v>
      </c>
      <c r="J2246" t="n">
        <v>8.949999999999999</v>
      </c>
      <c r="K2246" t="n">
        <v>104.5</v>
      </c>
      <c r="L2246" t="n">
        <v>100</v>
      </c>
      <c r="M2246" s="155" t="n">
        <v>0.57</v>
      </c>
      <c r="N2246" t="inlineStr">
        <is>
          <t>專注拉鍊業與軟體科技雙主業領域</t>
        </is>
      </c>
    </row>
    <row r="2247">
      <c r="A2247" s="729" t="n">
        <v>8933</v>
      </c>
      <c r="B2247" t="inlineStr">
        <is>
          <t>愛地雅</t>
        </is>
      </c>
      <c r="C2247" t="n">
        <v>4.6</v>
      </c>
      <c r="D2247" t="n">
        <v>4.46</v>
      </c>
      <c r="E2247" s="730" t="n">
        <v>-0.14</v>
      </c>
      <c r="F2247" s="731" t="n">
        <v>-3.04</v>
      </c>
      <c r="G2247" t="inlineStr">
        <is>
          <t>138萬</t>
        </is>
      </c>
      <c r="H2247" t="n">
        <v>313</v>
      </c>
      <c r="I2247" t="n">
        <v>473</v>
      </c>
      <c r="J2247" t="n">
        <v>32.67</v>
      </c>
      <c r="K2247" t="n">
        <v>4.6</v>
      </c>
      <c r="L2247" t="n">
        <v>4.37</v>
      </c>
      <c r="M2247" s="155" t="n">
        <v>0.1</v>
      </c>
      <c r="N2247" t="inlineStr">
        <is>
          <t>台灣第三大自行車生產廠商</t>
        </is>
      </c>
    </row>
    <row r="2248">
      <c r="A2248" s="729" t="n">
        <v>8935</v>
      </c>
      <c r="B2248" t="inlineStr">
        <is>
          <t>邦泰</t>
        </is>
      </c>
      <c r="C2248" t="n">
        <v>20.85</v>
      </c>
      <c r="D2248" t="n">
        <v>22.25</v>
      </c>
      <c r="E2248" s="730" t="n">
        <v>1.4</v>
      </c>
      <c r="F2248" s="731" t="n">
        <v>6.71</v>
      </c>
      <c r="G2248" t="inlineStr">
        <is>
          <t>3453萬</t>
        </is>
      </c>
      <c r="H2248" t="n">
        <v>1568</v>
      </c>
      <c r="I2248" t="n">
        <v>737</v>
      </c>
      <c r="J2248" t="n">
        <v>11.35</v>
      </c>
      <c r="K2248" t="n">
        <v>22.85</v>
      </c>
      <c r="L2248" t="n">
        <v>20.85</v>
      </c>
      <c r="M2248" s="155" t="n">
        <v>1.38</v>
      </c>
      <c r="N2248" t="inlineStr">
        <is>
          <t>台灣鞋材及複合材料研發生產大廠</t>
        </is>
      </c>
    </row>
    <row r="2249">
      <c r="A2249" s="729" t="n">
        <v>8936</v>
      </c>
      <c r="B2249" t="inlineStr">
        <is>
          <t>國統</t>
        </is>
      </c>
      <c r="C2249" t="n">
        <v>53.6</v>
      </c>
      <c r="D2249" t="n">
        <v>52.5</v>
      </c>
      <c r="E2249" s="730" t="n">
        <v>-0.9</v>
      </c>
      <c r="F2249" s="731" t="n">
        <v>-1.69</v>
      </c>
      <c r="G2249" t="inlineStr">
        <is>
          <t>2.08億</t>
        </is>
      </c>
      <c r="H2249" t="n">
        <v>3970</v>
      </c>
      <c r="I2249" t="n">
        <v>4888</v>
      </c>
      <c r="J2249" t="n">
        <v>24.81</v>
      </c>
      <c r="K2249" t="n">
        <v>53.6</v>
      </c>
      <c r="L2249" t="n">
        <v>51.8</v>
      </c>
      <c r="M2249" s="155" t="n">
        <v>1.6</v>
      </c>
      <c r="N2249" t="inlineStr">
        <is>
          <t>專營輸水管材之製造與承包公司，並兼營海水淡化業務</t>
        </is>
      </c>
    </row>
    <row r="2250">
      <c r="A2250" s="729" t="n">
        <v>8937</v>
      </c>
      <c r="B2250" t="inlineStr">
        <is>
          <t>合騏*</t>
        </is>
      </c>
      <c r="C2250" t="n">
        <v>26.75</v>
      </c>
      <c r="D2250" t="n">
        <v>26.4</v>
      </c>
      <c r="E2250" s="730" t="n">
        <v>-0.35</v>
      </c>
      <c r="F2250" s="731" t="n">
        <v>-1.31</v>
      </c>
      <c r="G2250" t="inlineStr">
        <is>
          <t>650萬</t>
        </is>
      </c>
      <c r="H2250" t="n">
        <v>248</v>
      </c>
      <c r="I2250" t="n">
        <v>488</v>
      </c>
      <c r="J2250" t="n">
        <v>10.79</v>
      </c>
      <c r="K2250" t="n">
        <v>26.75</v>
      </c>
      <c r="L2250" t="n">
        <v>26</v>
      </c>
      <c r="M2250" s="155" t="n">
        <v>0.06</v>
      </c>
      <c r="N2250" t="inlineStr">
        <is>
          <t>自創品牌「ADLY」多功能休閒車專業製造廠商</t>
        </is>
      </c>
    </row>
    <row r="2251">
      <c r="A2251" s="729" t="n">
        <v>8938</v>
      </c>
      <c r="B2251" t="inlineStr">
        <is>
          <t>明安</t>
        </is>
      </c>
      <c r="C2251" t="n">
        <v>52.5</v>
      </c>
      <c r="D2251" t="n">
        <v>52.8</v>
      </c>
      <c r="E2251" s="730" t="n">
        <v>0.4</v>
      </c>
      <c r="F2251" s="731" t="n">
        <v>0.76</v>
      </c>
      <c r="G2251" t="inlineStr">
        <is>
          <t>813萬</t>
        </is>
      </c>
      <c r="H2251" t="n">
        <v>155</v>
      </c>
      <c r="I2251" t="n">
        <v>456</v>
      </c>
      <c r="J2251" t="n">
        <v>15.7</v>
      </c>
      <c r="K2251" t="n">
        <v>52.8</v>
      </c>
      <c r="L2251" t="n">
        <v>52.1</v>
      </c>
      <c r="M2251" s="155" t="n">
        <v>0.1</v>
      </c>
      <c r="N2251" t="inlineStr">
        <is>
          <t>全球前四大高爾夫球桿頭代工廠之一</t>
        </is>
      </c>
    </row>
    <row r="2252">
      <c r="A2252" s="729" t="n">
        <v>8940</v>
      </c>
      <c r="B2252" t="inlineStr">
        <is>
          <t>新天地</t>
        </is>
      </c>
      <c r="C2252" t="n">
        <v>16.55</v>
      </c>
      <c r="D2252" t="n">
        <v>16.65</v>
      </c>
      <c r="E2252" s="730" t="n">
        <v>0.05</v>
      </c>
      <c r="F2252" s="731" t="n">
        <v>0.3</v>
      </c>
      <c r="G2252" t="inlineStr">
        <is>
          <t>101萬</t>
        </is>
      </c>
      <c r="H2252" t="n">
        <v>61</v>
      </c>
      <c r="I2252" t="n">
        <v>71</v>
      </c>
      <c r="J2252" t="n">
        <v>6.75</v>
      </c>
      <c r="K2252" t="n">
        <v>16.65</v>
      </c>
      <c r="L2252" t="n">
        <v>16.45</v>
      </c>
      <c r="M2252" s="155" t="n">
        <v>0.09</v>
      </c>
      <c r="N2252" t="inlineStr">
        <is>
          <t>於台灣北中南部擁有多家大型婚宴會館業者</t>
        </is>
      </c>
    </row>
    <row r="2253">
      <c r="A2253" s="729" t="n">
        <v>8941</v>
      </c>
      <c r="B2253" t="inlineStr">
        <is>
          <t>關中</t>
        </is>
      </c>
      <c r="C2253" t="n">
        <v>43.1</v>
      </c>
      <c r="D2253" t="n">
        <v>43.65</v>
      </c>
      <c r="E2253" s="730" t="n">
        <v>0.05</v>
      </c>
      <c r="F2253" s="731" t="n">
        <v>0.11</v>
      </c>
      <c r="G2253" t="inlineStr">
        <is>
          <t>133萬</t>
        </is>
      </c>
      <c r="H2253" t="n">
        <v>31</v>
      </c>
      <c r="I2253" t="n">
        <v>10</v>
      </c>
      <c r="J2253" t="n">
        <v>3.5</v>
      </c>
      <c r="K2253" t="n">
        <v>43.7</v>
      </c>
      <c r="L2253" t="n">
        <v>42.3</v>
      </c>
      <c r="M2253" s="155" t="n">
        <v>0.09</v>
      </c>
      <c r="N2253" t="inlineStr">
        <is>
          <t>以生產烤肉爐、節能熱水器為主製造商</t>
        </is>
      </c>
    </row>
    <row r="2254">
      <c r="A2254" s="729" t="n">
        <v>8942</v>
      </c>
      <c r="B2254" t="inlineStr">
        <is>
          <t>森鉅</t>
        </is>
      </c>
      <c r="C2254" t="n">
        <v>41.7</v>
      </c>
      <c r="D2254" t="n">
        <v>41</v>
      </c>
      <c r="E2254" s="730" t="n">
        <v>-0.7</v>
      </c>
      <c r="F2254" s="731" t="n">
        <v>-1.68</v>
      </c>
      <c r="G2254" t="inlineStr">
        <is>
          <t>1994萬</t>
        </is>
      </c>
      <c r="H2254" t="n">
        <v>487</v>
      </c>
      <c r="I2254" t="n">
        <v>480</v>
      </c>
      <c r="J2254" t="n">
        <v>19.88</v>
      </c>
      <c r="K2254" t="n">
        <v>42</v>
      </c>
      <c r="L2254" t="n">
        <v>40.55</v>
      </c>
      <c r="M2254" s="155" t="n">
        <v>0.24</v>
      </c>
      <c r="N2254" t="inlineStr">
        <is>
          <t>台灣最大鋁塑複合板製造商</t>
        </is>
      </c>
    </row>
    <row r="2255">
      <c r="A2255" s="729" t="n">
        <v>8996</v>
      </c>
      <c r="B2255" t="inlineStr">
        <is>
          <t>高力</t>
        </is>
      </c>
      <c r="C2255" t="n">
        <v>1050</v>
      </c>
      <c r="D2255" t="n">
        <v>1050</v>
      </c>
      <c r="E2255" s="730" t="n">
        <v>5</v>
      </c>
      <c r="F2255" s="731" t="n">
        <v>0.48</v>
      </c>
      <c r="G2255" t="inlineStr">
        <is>
          <t>21.2億</t>
        </is>
      </c>
      <c r="H2255" t="n">
        <v>2016</v>
      </c>
      <c r="I2255" t="n">
        <v>3590</v>
      </c>
      <c r="J2255" t="n">
        <v>9.35</v>
      </c>
      <c r="K2255" t="n">
        <v>1080</v>
      </c>
      <c r="L2255" t="n">
        <v>1030</v>
      </c>
      <c r="M2255" s="155" t="n">
        <v>2.18</v>
      </c>
      <c r="N2255" t="inlineStr">
        <is>
          <t>台灣唯一製造硬銲型不銹鋼板式熱交換器廠</t>
        </is>
      </c>
    </row>
    <row r="2256">
      <c r="A2256" s="729" t="n">
        <v>9802</v>
      </c>
      <c r="B2256" t="inlineStr">
        <is>
          <t>鈺齊-KY</t>
        </is>
      </c>
      <c r="C2256" t="n">
        <v>77.59999999999999</v>
      </c>
      <c r="D2256" t="n">
        <v>80.5</v>
      </c>
      <c r="E2256" s="730" t="n">
        <v>2.8</v>
      </c>
      <c r="F2256" s="731" t="n">
        <v>3.6</v>
      </c>
      <c r="G2256" t="inlineStr">
        <is>
          <t>2.29億</t>
        </is>
      </c>
      <c r="H2256" t="n">
        <v>2875</v>
      </c>
      <c r="I2256" t="n">
        <v>1661</v>
      </c>
      <c r="J2256" t="n">
        <v>20.1</v>
      </c>
      <c r="K2256" t="n">
        <v>81.40000000000001</v>
      </c>
      <c r="L2256" t="n">
        <v>76.8</v>
      </c>
      <c r="M2256" s="155" t="n">
        <v>1.43</v>
      </c>
      <c r="N2256" t="inlineStr">
        <is>
          <t>主要從事各種功能鞋款代工研發的廠商</t>
        </is>
      </c>
    </row>
    <row r="2257">
      <c r="A2257" s="729" t="n">
        <v>9902</v>
      </c>
      <c r="B2257" t="inlineStr">
        <is>
          <t>台火</t>
        </is>
      </c>
      <c r="C2257" t="n">
        <v>14</v>
      </c>
      <c r="D2257" t="n">
        <v>14.25</v>
      </c>
      <c r="E2257" s="730" t="n">
        <v>0.45</v>
      </c>
      <c r="F2257" s="731" t="n">
        <v>3.26</v>
      </c>
      <c r="G2257" t="inlineStr">
        <is>
          <t>474萬</t>
        </is>
      </c>
      <c r="H2257" t="n">
        <v>337</v>
      </c>
      <c r="I2257" t="n">
        <v>173</v>
      </c>
      <c r="J2257" t="n">
        <v>9.800000000000001</v>
      </c>
      <c r="K2257" t="n">
        <v>14.45</v>
      </c>
      <c r="L2257" t="n">
        <v>13.8</v>
      </c>
      <c r="M2257" s="155" t="n">
        <v>0.34</v>
      </c>
      <c r="N2257" t="inlineStr">
        <is>
          <t>進口轎車、垃圾車、建材貿易商，亦從事小客車租賃及建營開發</t>
        </is>
      </c>
    </row>
    <row r="2258">
      <c r="A2258" s="729" t="n">
        <v>9904</v>
      </c>
      <c r="B2258" t="inlineStr">
        <is>
          <t>寶成</t>
        </is>
      </c>
      <c r="C2258" t="n">
        <v>25.75</v>
      </c>
      <c r="D2258" t="n">
        <v>26.1</v>
      </c>
      <c r="E2258" s="730" t="n">
        <v>0.3</v>
      </c>
      <c r="F2258" s="731" t="n">
        <v>1.16</v>
      </c>
      <c r="G2258" t="inlineStr">
        <is>
          <t>6.19億</t>
        </is>
      </c>
      <c r="H2258" t="n">
        <v>23672</v>
      </c>
      <c r="I2258" t="n">
        <v>16034</v>
      </c>
      <c r="J2258" t="n">
        <v>294.68</v>
      </c>
      <c r="K2258" t="n">
        <v>26.35</v>
      </c>
      <c r="L2258" t="n">
        <v>25.65</v>
      </c>
      <c r="M2258" s="155" t="n">
        <v>0.8</v>
      </c>
      <c r="N2258" t="inlineStr">
        <is>
          <t>全球運動鞋及休閒鞋代工龍頭</t>
        </is>
      </c>
    </row>
    <row r="2259">
      <c r="A2259" s="729" t="n">
        <v>9905</v>
      </c>
      <c r="B2259" t="inlineStr">
        <is>
          <t>大華</t>
        </is>
      </c>
      <c r="C2259" t="n">
        <v>20.85</v>
      </c>
      <c r="D2259" t="n">
        <v>20.85</v>
      </c>
      <c r="E2259" s="730" t="n">
        <v>0</v>
      </c>
      <c r="F2259" s="731" t="n">
        <v>0</v>
      </c>
      <c r="G2259" t="inlineStr">
        <is>
          <t>318萬</t>
        </is>
      </c>
      <c r="H2259" t="n">
        <v>153</v>
      </c>
      <c r="I2259" t="n">
        <v>103</v>
      </c>
      <c r="J2259" t="n">
        <v>30.5</v>
      </c>
      <c r="K2259" t="n">
        <v>20.9</v>
      </c>
      <c r="L2259" t="n">
        <v>20.7</v>
      </c>
      <c r="M2259" s="155" t="n">
        <v>0.05</v>
      </c>
      <c r="N2259" t="inlineStr">
        <is>
          <t>台灣最大食品飲料綜合包裝容器廠</t>
        </is>
      </c>
    </row>
    <row r="2260">
      <c r="A2260" s="729" t="n">
        <v>9906</v>
      </c>
      <c r="B2260" t="inlineStr">
        <is>
          <t>欣巴巴</t>
        </is>
      </c>
      <c r="C2260" t="n">
        <v>35.95</v>
      </c>
      <c r="D2260" t="n">
        <v>36.55</v>
      </c>
      <c r="E2260" s="730" t="n">
        <v>0.65</v>
      </c>
      <c r="F2260" s="731" t="n">
        <v>1.81</v>
      </c>
      <c r="G2260" t="inlineStr">
        <is>
          <t>563萬</t>
        </is>
      </c>
      <c r="H2260" t="n">
        <v>158</v>
      </c>
      <c r="I2260" t="n">
        <v>196</v>
      </c>
      <c r="J2260" t="n">
        <v>9.039999999999999</v>
      </c>
      <c r="K2260" t="n">
        <v>36.55</v>
      </c>
      <c r="L2260" t="n">
        <v>34.9</v>
      </c>
      <c r="M2260" s="155" t="n">
        <v>0.17</v>
      </c>
      <c r="N2260" t="inlineStr">
        <is>
          <t>高雄巴巴集團旗下建商</t>
        </is>
      </c>
    </row>
    <row r="2261">
      <c r="A2261" s="729" t="n">
        <v>9907</v>
      </c>
      <c r="B2261" t="inlineStr">
        <is>
          <t>統一實</t>
        </is>
      </c>
      <c r="C2261" t="n">
        <v>16.25</v>
      </c>
      <c r="D2261" t="n">
        <v>16.35</v>
      </c>
      <c r="E2261" s="730" t="n">
        <v>0.15</v>
      </c>
      <c r="F2261" s="731" t="n">
        <v>0.93</v>
      </c>
      <c r="G2261" t="inlineStr">
        <is>
          <t>7195萬</t>
        </is>
      </c>
      <c r="H2261" t="n">
        <v>4404</v>
      </c>
      <c r="I2261" t="n">
        <v>3589</v>
      </c>
      <c r="J2261" t="n">
        <v>157.91</v>
      </c>
      <c r="K2261" t="n">
        <v>16.4</v>
      </c>
      <c r="L2261" t="n">
        <v>16.25</v>
      </c>
      <c r="M2261" s="155" t="n">
        <v>0.28</v>
      </c>
      <c r="N2261" t="inlineStr">
        <is>
          <t>台灣馬口鐵第一大廠</t>
        </is>
      </c>
    </row>
    <row r="2262">
      <c r="A2262" s="729" t="n">
        <v>9908</v>
      </c>
      <c r="B2262" t="inlineStr">
        <is>
          <t>大台北</t>
        </is>
      </c>
      <c r="C2262" t="n">
        <v>29.3</v>
      </c>
      <c r="D2262" t="n">
        <v>29.25</v>
      </c>
      <c r="E2262" s="730" t="n">
        <v>-0.05</v>
      </c>
      <c r="F2262" s="731" t="n">
        <v>-0.17</v>
      </c>
      <c r="G2262" t="inlineStr">
        <is>
          <t>664萬</t>
        </is>
      </c>
      <c r="H2262" t="n">
        <v>229</v>
      </c>
      <c r="I2262" t="n">
        <v>281</v>
      </c>
      <c r="J2262" t="n">
        <v>51.64</v>
      </c>
      <c r="K2262" t="n">
        <v>29.4</v>
      </c>
      <c r="L2262" t="n">
        <v>29.15</v>
      </c>
      <c r="M2262" s="155" t="n">
        <v>0.04</v>
      </c>
      <c r="N2262" t="inlineStr">
        <is>
          <t>主要經營台北市信義、松山等地區之天然氣業者</t>
        </is>
      </c>
    </row>
    <row r="2263">
      <c r="A2263" s="729" t="n">
        <v>9910</v>
      </c>
      <c r="B2263" t="inlineStr">
        <is>
          <t>豐泰</t>
        </is>
      </c>
      <c r="C2263" t="n">
        <v>71.8</v>
      </c>
      <c r="D2263" t="n">
        <v>79</v>
      </c>
      <c r="E2263" s="730" t="n">
        <v>7.1</v>
      </c>
      <c r="F2263" s="731" t="n">
        <v>9.869999999999999</v>
      </c>
      <c r="G2263" t="inlineStr">
        <is>
          <t>9.46億</t>
        </is>
      </c>
      <c r="H2263" t="n">
        <v>12322</v>
      </c>
      <c r="I2263" t="n">
        <v>3113</v>
      </c>
      <c r="J2263" t="n">
        <v>98.75</v>
      </c>
      <c r="K2263" t="n">
        <v>79</v>
      </c>
      <c r="L2263" t="n">
        <v>71.59999999999999</v>
      </c>
      <c r="M2263" s="155" t="n">
        <v>1.25</v>
      </c>
      <c r="N2263" t="inlineStr">
        <is>
          <t>全球知名運動鞋代工廠</t>
        </is>
      </c>
    </row>
    <row r="2264">
      <c r="A2264" s="729" t="n">
        <v>9911</v>
      </c>
      <c r="B2264" t="inlineStr">
        <is>
          <t>櫻花</t>
        </is>
      </c>
      <c r="C2264" t="n">
        <v>81.8</v>
      </c>
      <c r="D2264" t="n">
        <v>82.59999999999999</v>
      </c>
      <c r="E2264" s="730" t="n">
        <v>0.6</v>
      </c>
      <c r="F2264" s="731" t="n">
        <v>0.73</v>
      </c>
      <c r="G2264" t="inlineStr">
        <is>
          <t>5262萬</t>
        </is>
      </c>
      <c r="H2264" t="n">
        <v>638</v>
      </c>
      <c r="I2264" t="n">
        <v>362</v>
      </c>
      <c r="J2264" t="n">
        <v>22.24</v>
      </c>
      <c r="K2264" t="n">
        <v>83</v>
      </c>
      <c r="L2264" t="n">
        <v>81.8</v>
      </c>
      <c r="M2264" s="155" t="n">
        <v>0.29</v>
      </c>
      <c r="N2264" t="inlineStr">
        <is>
          <t>台灣最大系統廚具連鎖通路品牌</t>
        </is>
      </c>
    </row>
    <row r="2265">
      <c r="A2265" s="729" t="n">
        <v>9912</v>
      </c>
      <c r="B2265" t="inlineStr">
        <is>
          <t>偉聯</t>
        </is>
      </c>
      <c r="C2265" t="n">
        <v>12.4</v>
      </c>
      <c r="D2265" t="n">
        <v>12.45</v>
      </c>
      <c r="E2265" s="730" t="n">
        <v>0</v>
      </c>
      <c r="F2265" s="731" t="n">
        <v>0</v>
      </c>
      <c r="G2265" t="inlineStr">
        <is>
          <t>70.7萬</t>
        </is>
      </c>
      <c r="H2265" t="n">
        <v>57</v>
      </c>
      <c r="I2265" t="n">
        <v>51</v>
      </c>
      <c r="J2265" t="n">
        <v>5.42</v>
      </c>
      <c r="K2265" t="n">
        <v>12.5</v>
      </c>
      <c r="L2265" t="n">
        <v>12.35</v>
      </c>
      <c r="M2265" s="155" t="n">
        <v>0.11</v>
      </c>
      <c r="N2265" t="inlineStr">
        <is>
          <t>以自有品牌發展專業用途顯示器廠</t>
        </is>
      </c>
    </row>
    <row r="2266">
      <c r="A2266" s="729" t="n">
        <v>9914</v>
      </c>
      <c r="B2266" t="inlineStr">
        <is>
          <t>美利達</t>
        </is>
      </c>
      <c r="C2266" t="n">
        <v>68.09999999999999</v>
      </c>
      <c r="D2266" t="n">
        <v>68.90000000000001</v>
      </c>
      <c r="E2266" s="730" t="n">
        <v>0.9</v>
      </c>
      <c r="F2266" s="731" t="n">
        <v>1.32</v>
      </c>
      <c r="G2266" t="inlineStr">
        <is>
          <t>1.09億</t>
        </is>
      </c>
      <c r="H2266" t="n">
        <v>1596</v>
      </c>
      <c r="I2266" t="n">
        <v>1818</v>
      </c>
      <c r="J2266" t="n">
        <v>29.9</v>
      </c>
      <c r="K2266" t="n">
        <v>69.3</v>
      </c>
      <c r="L2266" t="n">
        <v>67.59999999999999</v>
      </c>
      <c r="M2266" s="155" t="n">
        <v>0.53</v>
      </c>
      <c r="N2266" t="inlineStr">
        <is>
          <t>台灣第二大自行車生產廠商</t>
        </is>
      </c>
    </row>
    <row r="2267">
      <c r="A2267" s="729" t="n">
        <v>9917</v>
      </c>
      <c r="B2267" t="inlineStr">
        <is>
          <t>中保科</t>
        </is>
      </c>
      <c r="C2267" t="n">
        <v>115</v>
      </c>
      <c r="D2267" t="n">
        <v>114.5</v>
      </c>
      <c r="E2267" s="730" t="n">
        <v>-0.5</v>
      </c>
      <c r="F2267" s="731" t="n">
        <v>-0.43</v>
      </c>
      <c r="G2267" t="inlineStr">
        <is>
          <t>5380萬</t>
        </is>
      </c>
      <c r="H2267" t="n">
        <v>471</v>
      </c>
      <c r="I2267" t="n">
        <v>495</v>
      </c>
      <c r="J2267" t="n">
        <v>45.12</v>
      </c>
      <c r="K2267" t="n">
        <v>115</v>
      </c>
      <c r="L2267" t="n">
        <v>114</v>
      </c>
      <c r="M2267" s="155" t="n">
        <v>0.1</v>
      </c>
      <c r="N2267" t="inlineStr">
        <is>
          <t>台灣最大的保全業者</t>
        </is>
      </c>
    </row>
    <row r="2268">
      <c r="A2268" s="729" t="n">
        <v>9918</v>
      </c>
      <c r="B2268" t="inlineStr">
        <is>
          <t>欣天然</t>
        </is>
      </c>
      <c r="C2268" t="n">
        <v>43.4</v>
      </c>
      <c r="D2268" t="n">
        <v>43.75</v>
      </c>
      <c r="E2268" s="730" t="n">
        <v>0.25</v>
      </c>
      <c r="F2268" s="731" t="n">
        <v>0.57</v>
      </c>
      <c r="G2268" t="inlineStr">
        <is>
          <t>222萬</t>
        </is>
      </c>
      <c r="H2268" t="n">
        <v>51</v>
      </c>
      <c r="I2268" t="n">
        <v>104</v>
      </c>
      <c r="J2268" t="n">
        <v>18.05</v>
      </c>
      <c r="K2268" t="n">
        <v>44</v>
      </c>
      <c r="L2268" t="n">
        <v>43.35</v>
      </c>
      <c r="M2268" s="155" t="n">
        <v>0.03</v>
      </c>
      <c r="N2268" t="inlineStr">
        <is>
          <t>主要經營新北市中和、永和、新店、深坑之天然氣業者</t>
        </is>
      </c>
    </row>
    <row r="2269">
      <c r="A2269" s="729" t="n">
        <v>9919</v>
      </c>
      <c r="B2269" t="inlineStr">
        <is>
          <t>康那香</t>
        </is>
      </c>
      <c r="C2269" t="n">
        <v>14.2</v>
      </c>
      <c r="D2269" t="n">
        <v>14.15</v>
      </c>
      <c r="E2269" s="730" t="n">
        <v>0</v>
      </c>
      <c r="F2269" s="731" t="n">
        <v>0</v>
      </c>
      <c r="G2269" t="inlineStr">
        <is>
          <t>835萬</t>
        </is>
      </c>
      <c r="H2269" t="n">
        <v>595</v>
      </c>
      <c r="I2269" t="n">
        <v>577</v>
      </c>
      <c r="J2269" t="n">
        <v>19.54</v>
      </c>
      <c r="K2269" t="n">
        <v>14.2</v>
      </c>
      <c r="L2269" t="n">
        <v>13.9</v>
      </c>
      <c r="M2269" s="155" t="n">
        <v>0.3</v>
      </c>
      <c r="N2269" t="inlineStr">
        <is>
          <t>為國內衛生棉及化妝棉、濕紙巾之製造龍頭企業</t>
        </is>
      </c>
    </row>
    <row r="2270">
      <c r="A2270" s="729" t="n">
        <v>9921</v>
      </c>
      <c r="B2270" t="inlineStr">
        <is>
          <t>巨大</t>
        </is>
      </c>
      <c r="C2270" t="n">
        <v>69.59999999999999</v>
      </c>
      <c r="D2270" t="n">
        <v>69.8</v>
      </c>
      <c r="E2270" s="730" t="n">
        <v>0</v>
      </c>
      <c r="F2270" s="731" t="n">
        <v>0</v>
      </c>
      <c r="G2270" t="inlineStr">
        <is>
          <t>1.28億</t>
        </is>
      </c>
      <c r="H2270" t="n">
        <v>1830</v>
      </c>
      <c r="I2270" t="n">
        <v>2041</v>
      </c>
      <c r="J2270" t="n">
        <v>39.21</v>
      </c>
      <c r="K2270" t="n">
        <v>70.5</v>
      </c>
      <c r="L2270" t="n">
        <v>69.40000000000001</v>
      </c>
      <c r="M2270" s="155" t="n">
        <v>0.47</v>
      </c>
      <c r="N2270" t="inlineStr">
        <is>
          <t>全球最大自行車生產廠商</t>
        </is>
      </c>
    </row>
    <row r="2271">
      <c r="A2271" s="729" t="n">
        <v>9924</v>
      </c>
      <c r="B2271" t="inlineStr">
        <is>
          <t>福興</t>
        </is>
      </c>
      <c r="C2271" t="n">
        <v>42.7</v>
      </c>
      <c r="D2271" t="n">
        <v>42.8</v>
      </c>
      <c r="E2271" s="730" t="n">
        <v>0.15</v>
      </c>
      <c r="F2271" s="731" t="n">
        <v>0.35</v>
      </c>
      <c r="G2271" t="inlineStr">
        <is>
          <t>402萬</t>
        </is>
      </c>
      <c r="H2271" t="n">
        <v>94</v>
      </c>
      <c r="I2271" t="n">
        <v>204</v>
      </c>
      <c r="J2271" t="n">
        <v>15.08</v>
      </c>
      <c r="K2271" t="n">
        <v>42.95</v>
      </c>
      <c r="L2271" t="n">
        <v>42.45</v>
      </c>
      <c r="M2271" s="155" t="n">
        <v>0.06</v>
      </c>
      <c r="N2271" t="inlineStr">
        <is>
          <t>亞洲最大，全球第二大門鎖廠商</t>
        </is>
      </c>
    </row>
    <row r="2272">
      <c r="A2272" s="729" t="n">
        <v>9925</v>
      </c>
      <c r="B2272" t="inlineStr">
        <is>
          <t>新保</t>
        </is>
      </c>
      <c r="C2272" t="n">
        <v>40.15</v>
      </c>
      <c r="D2272" t="n">
        <v>40.2</v>
      </c>
      <c r="E2272" s="730" t="n">
        <v>-0.05</v>
      </c>
      <c r="F2272" s="731" t="n">
        <v>-0.12</v>
      </c>
      <c r="G2272" t="inlineStr">
        <is>
          <t>1129萬</t>
        </is>
      </c>
      <c r="H2272" t="n">
        <v>281</v>
      </c>
      <c r="I2272" t="n">
        <v>321</v>
      </c>
      <c r="J2272" t="n">
        <v>38.75</v>
      </c>
      <c r="K2272" t="n">
        <v>40.3</v>
      </c>
      <c r="L2272" t="n">
        <v>40.1</v>
      </c>
      <c r="M2272" s="155" t="n">
        <v>0.07000000000000001</v>
      </c>
      <c r="N2272" t="inlineStr">
        <is>
          <t>台灣第二大保全業者</t>
        </is>
      </c>
    </row>
    <row r="2273">
      <c r="A2273" s="729" t="n">
        <v>9926</v>
      </c>
      <c r="B2273" t="inlineStr">
        <is>
          <t>新海</t>
        </is>
      </c>
      <c r="C2273" t="n">
        <v>49</v>
      </c>
      <c r="D2273" t="n">
        <v>49.05</v>
      </c>
      <c r="E2273" s="730" t="n">
        <v>0.05</v>
      </c>
      <c r="F2273" s="731" t="n">
        <v>0.1</v>
      </c>
      <c r="G2273" t="inlineStr">
        <is>
          <t>123萬</t>
        </is>
      </c>
      <c r="H2273" t="n">
        <v>25</v>
      </c>
      <c r="I2273" t="n">
        <v>36</v>
      </c>
      <c r="J2273" t="n">
        <v>17.95</v>
      </c>
      <c r="K2273" t="n">
        <v>49.2</v>
      </c>
      <c r="L2273" t="n">
        <v>48.95</v>
      </c>
      <c r="M2273" s="155" t="n">
        <v>0.01</v>
      </c>
      <c r="N2273" t="inlineStr">
        <is>
          <t>主要經營新北市三重、板橋及新莊區之天然氣業者</t>
        </is>
      </c>
    </row>
    <row r="2274">
      <c r="A2274" s="729" t="n">
        <v>9927</v>
      </c>
      <c r="B2274" t="inlineStr">
        <is>
          <t>泰銘</t>
        </is>
      </c>
      <c r="C2274" t="n">
        <v>68.2</v>
      </c>
      <c r="D2274" t="n">
        <v>68.5</v>
      </c>
      <c r="E2274" s="730" t="n">
        <v>0.2</v>
      </c>
      <c r="F2274" s="731" t="n">
        <v>0.29</v>
      </c>
      <c r="G2274" t="inlineStr">
        <is>
          <t>868萬</t>
        </is>
      </c>
      <c r="H2274" t="n">
        <v>131</v>
      </c>
      <c r="I2274" t="n">
        <v>116</v>
      </c>
      <c r="J2274" t="n">
        <v>12</v>
      </c>
      <c r="K2274" t="n">
        <v>68.8</v>
      </c>
      <c r="L2274" t="n">
        <v>68</v>
      </c>
      <c r="M2274" s="155" t="n">
        <v>0.11</v>
      </c>
      <c r="N2274" t="inlineStr">
        <is>
          <t>亞洲最大合金鉛製造廠商之一</t>
        </is>
      </c>
    </row>
    <row r="2275">
      <c r="A2275" s="729" t="n">
        <v>9928</v>
      </c>
      <c r="B2275" t="inlineStr">
        <is>
          <t>中視</t>
        </is>
      </c>
      <c r="C2275" t="n">
        <v>17.85</v>
      </c>
      <c r="D2275" t="n">
        <v>18</v>
      </c>
      <c r="E2275" s="730" t="n">
        <v>0.1</v>
      </c>
      <c r="F2275" s="731" t="n">
        <v>0.5600000000000001</v>
      </c>
      <c r="G2275" t="inlineStr">
        <is>
          <t>82.0萬</t>
        </is>
      </c>
      <c r="H2275" t="n">
        <v>46</v>
      </c>
      <c r="I2275" t="n">
        <v>52</v>
      </c>
      <c r="J2275" t="n">
        <v>7.07</v>
      </c>
      <c r="K2275" t="n">
        <v>18</v>
      </c>
      <c r="L2275" t="n">
        <v>17.65</v>
      </c>
      <c r="M2275" s="155" t="n">
        <v>0.07000000000000001</v>
      </c>
      <c r="N2275" t="inlineStr">
        <is>
          <t>台灣五家無線電視台之一</t>
        </is>
      </c>
    </row>
    <row r="2276">
      <c r="A2276" s="729" t="n">
        <v>9929</v>
      </c>
      <c r="B2276" t="inlineStr">
        <is>
          <t>秋雨</t>
        </is>
      </c>
      <c r="C2276" t="n">
        <v>11.6</v>
      </c>
      <c r="D2276" t="n">
        <v>11.6</v>
      </c>
      <c r="E2276" s="730" t="n">
        <v>0</v>
      </c>
      <c r="F2276" s="731" t="n">
        <v>0</v>
      </c>
      <c r="G2276" t="inlineStr">
        <is>
          <t>9.21萬</t>
        </is>
      </c>
      <c r="H2276" t="n">
        <v>8</v>
      </c>
      <c r="I2276" t="n">
        <v>18</v>
      </c>
      <c r="J2276" t="n">
        <v>10.13</v>
      </c>
      <c r="K2276" t="n">
        <v>11.7</v>
      </c>
      <c r="L2276" t="n">
        <v>11.3</v>
      </c>
      <c r="M2276" s="155" t="n">
        <v>0.01</v>
      </c>
      <c r="N2276" t="inlineStr">
        <is>
          <t>台灣第一家股票上市之印刷業者</t>
        </is>
      </c>
    </row>
    <row r="2277">
      <c r="A2277" s="729" t="n">
        <v>9930</v>
      </c>
      <c r="B2277" t="inlineStr">
        <is>
          <t>中聯資源</t>
        </is>
      </c>
      <c r="C2277" t="n">
        <v>68.90000000000001</v>
      </c>
      <c r="D2277" t="n">
        <v>69.8</v>
      </c>
      <c r="E2277" s="730" t="n">
        <v>0.8</v>
      </c>
      <c r="F2277" s="731" t="n">
        <v>1.16</v>
      </c>
      <c r="G2277" t="inlineStr">
        <is>
          <t>846萬</t>
        </is>
      </c>
      <c r="H2277" t="n">
        <v>122</v>
      </c>
      <c r="I2277" t="n">
        <v>88</v>
      </c>
      <c r="J2277" t="n">
        <v>24.85</v>
      </c>
      <c r="K2277" t="n">
        <v>69.8</v>
      </c>
      <c r="L2277" t="n">
        <v>68.90000000000001</v>
      </c>
      <c r="M2277" s="155" t="n">
        <v>0.05</v>
      </c>
      <c r="N2277" t="inlineStr">
        <is>
          <t>主營採用中鋼爐石粉製造高強度水泥</t>
        </is>
      </c>
    </row>
    <row r="2278">
      <c r="A2278" s="729" t="n">
        <v>9931</v>
      </c>
      <c r="B2278" t="inlineStr">
        <is>
          <t>欣高</t>
        </is>
      </c>
      <c r="C2278" t="n">
        <v>34.75</v>
      </c>
      <c r="D2278" t="n">
        <v>34.95</v>
      </c>
      <c r="E2278" s="730" t="n">
        <v>0.2</v>
      </c>
      <c r="F2278" s="731" t="n">
        <v>0.58</v>
      </c>
      <c r="G2278" t="inlineStr">
        <is>
          <t>216萬</t>
        </is>
      </c>
      <c r="H2278" t="n">
        <v>62</v>
      </c>
      <c r="I2278" t="n">
        <v>49</v>
      </c>
      <c r="J2278" t="n">
        <v>12.04</v>
      </c>
      <c r="K2278" t="n">
        <v>34.95</v>
      </c>
      <c r="L2278" t="n">
        <v>34.6</v>
      </c>
      <c r="M2278" s="155" t="n">
        <v>0.05</v>
      </c>
      <c r="N2278" t="inlineStr">
        <is>
          <t>主要經營高雄市三民、左營等營業區之天然氣業者</t>
        </is>
      </c>
    </row>
    <row r="2279">
      <c r="A2279" s="729" t="n">
        <v>9933</v>
      </c>
      <c r="B2279" t="inlineStr">
        <is>
          <t>中鼎</t>
        </is>
      </c>
      <c r="C2279" t="n">
        <v>39.65</v>
      </c>
      <c r="D2279" t="n">
        <v>39.35</v>
      </c>
      <c r="E2279" s="730" t="n">
        <v>-0.3</v>
      </c>
      <c r="F2279" s="731" t="n">
        <v>-0.76</v>
      </c>
      <c r="G2279" t="inlineStr">
        <is>
          <t>1.55億</t>
        </is>
      </c>
      <c r="H2279" t="n">
        <v>3938</v>
      </c>
      <c r="I2279" t="n">
        <v>5439</v>
      </c>
      <c r="J2279" t="n">
        <v>94.44</v>
      </c>
      <c r="K2279" t="n">
        <v>39.65</v>
      </c>
      <c r="L2279" t="n">
        <v>38.85</v>
      </c>
      <c r="M2279" s="155" t="n">
        <v>0.44</v>
      </c>
      <c r="N2279" t="inlineStr">
        <is>
          <t>台灣最大統包工程公司</t>
        </is>
      </c>
    </row>
    <row r="2280">
      <c r="A2280" s="729" t="n">
        <v>9934</v>
      </c>
      <c r="B2280" t="inlineStr">
        <is>
          <t>成霖</t>
        </is>
      </c>
      <c r="C2280" t="n">
        <v>10.05</v>
      </c>
      <c r="D2280" t="n">
        <v>9.94</v>
      </c>
      <c r="E2280" s="730" t="n">
        <v>-0.02</v>
      </c>
      <c r="F2280" s="731" t="n">
        <v>-0.2</v>
      </c>
      <c r="G2280" t="inlineStr">
        <is>
          <t>915萬</t>
        </is>
      </c>
      <c r="H2280" t="n">
        <v>921</v>
      </c>
      <c r="I2280" t="n">
        <v>730</v>
      </c>
      <c r="J2280" t="n">
        <v>41.1</v>
      </c>
      <c r="K2280" t="n">
        <v>10.15</v>
      </c>
      <c r="L2280" t="n">
        <v>9.82</v>
      </c>
      <c r="M2280" s="155" t="n">
        <v>0.22</v>
      </c>
      <c r="N2280" t="inlineStr">
        <is>
          <t>亞洲最大水龍頭專業製造廠商</t>
        </is>
      </c>
    </row>
    <row r="2281">
      <c r="A2281" s="729" t="n">
        <v>9935</v>
      </c>
      <c r="B2281" t="inlineStr">
        <is>
          <t>慶豐富</t>
        </is>
      </c>
      <c r="C2281" t="n">
        <v>18.95</v>
      </c>
      <c r="D2281" t="n">
        <v>19</v>
      </c>
      <c r="E2281" s="730" t="n">
        <v>0.1</v>
      </c>
      <c r="F2281" s="731" t="n">
        <v>0.53</v>
      </c>
      <c r="G2281" t="inlineStr">
        <is>
          <t>630萬</t>
        </is>
      </c>
      <c r="H2281" t="n">
        <v>332</v>
      </c>
      <c r="I2281" t="n">
        <v>464</v>
      </c>
      <c r="J2281" t="n">
        <v>17.78</v>
      </c>
      <c r="K2281" t="n">
        <v>19.1</v>
      </c>
      <c r="L2281" t="n">
        <v>18.9</v>
      </c>
      <c r="M2281" s="155" t="n">
        <v>0.19</v>
      </c>
      <c r="N2281" t="inlineStr">
        <is>
          <t>台灣第一大窗簾傢飾廠</t>
        </is>
      </c>
    </row>
    <row r="2282">
      <c r="A2282" s="729" t="n">
        <v>9937</v>
      </c>
      <c r="B2282" t="inlineStr">
        <is>
          <t>全國</t>
        </is>
      </c>
      <c r="C2282" t="n">
        <v>55.2</v>
      </c>
      <c r="D2282" t="n">
        <v>55.8</v>
      </c>
      <c r="E2282" s="730" t="n">
        <v>0.1</v>
      </c>
      <c r="F2282" s="731" t="n">
        <v>0.18</v>
      </c>
      <c r="G2282" t="inlineStr">
        <is>
          <t>305萬</t>
        </is>
      </c>
      <c r="H2282" t="n">
        <v>55</v>
      </c>
      <c r="I2282" t="n">
        <v>47</v>
      </c>
      <c r="J2282" t="n">
        <v>30.9</v>
      </c>
      <c r="K2282" t="n">
        <v>56</v>
      </c>
      <c r="L2282" t="n">
        <v>55.2</v>
      </c>
      <c r="M2282" s="155" t="n">
        <v>0.02</v>
      </c>
      <c r="N2282" t="inlineStr">
        <is>
          <t>台灣知名加油站經營商，站數逾百座</t>
        </is>
      </c>
    </row>
    <row r="2283">
      <c r="A2283" s="729" t="n">
        <v>9938</v>
      </c>
      <c r="B2283" t="inlineStr">
        <is>
          <t>百和</t>
        </is>
      </c>
      <c r="C2283" t="n">
        <v>44.1</v>
      </c>
      <c r="D2283" t="n">
        <v>45.2</v>
      </c>
      <c r="E2283" s="730" t="n">
        <v>1.15</v>
      </c>
      <c r="F2283" s="731" t="n">
        <v>2.61</v>
      </c>
      <c r="G2283" t="inlineStr">
        <is>
          <t>1.75億</t>
        </is>
      </c>
      <c r="H2283" t="n">
        <v>3889</v>
      </c>
      <c r="I2283" t="n">
        <v>3409</v>
      </c>
      <c r="J2283" t="n">
        <v>29.8</v>
      </c>
      <c r="K2283" t="n">
        <v>45.65</v>
      </c>
      <c r="L2283" t="n">
        <v>43.95</v>
      </c>
      <c r="M2283" s="155" t="n">
        <v>1.31</v>
      </c>
      <c r="N2283" t="inlineStr">
        <is>
          <t>全球最大黏扣帶製造商</t>
        </is>
      </c>
    </row>
    <row r="2284">
      <c r="A2284" s="729" t="n">
        <v>9939</v>
      </c>
      <c r="B2284" t="inlineStr">
        <is>
          <t>宏全</t>
        </is>
      </c>
      <c r="C2284" t="n">
        <v>124.5</v>
      </c>
      <c r="D2284" t="n">
        <v>123.5</v>
      </c>
      <c r="E2284" s="730" t="n">
        <v>-1</v>
      </c>
      <c r="F2284" s="731" t="n">
        <v>-0.8</v>
      </c>
      <c r="G2284" t="inlineStr">
        <is>
          <t>1.52億</t>
        </is>
      </c>
      <c r="H2284" t="n">
        <v>1224</v>
      </c>
      <c r="I2284" t="n">
        <v>1036</v>
      </c>
      <c r="J2284" t="n">
        <v>29.58</v>
      </c>
      <c r="K2284" t="n">
        <v>125.5</v>
      </c>
      <c r="L2284" t="n">
        <v>123.5</v>
      </c>
      <c r="M2284" s="155" t="n">
        <v>0.41</v>
      </c>
      <c r="N2284" t="inlineStr">
        <is>
          <t>台灣最大的飲料包材及飲料代工製造商</t>
        </is>
      </c>
    </row>
    <row r="2285">
      <c r="A2285" s="729" t="n">
        <v>9940</v>
      </c>
      <c r="B2285" t="inlineStr">
        <is>
          <t>信義</t>
        </is>
      </c>
      <c r="C2285" t="n">
        <v>19.05</v>
      </c>
      <c r="D2285" t="n">
        <v>19.1</v>
      </c>
      <c r="E2285" s="730" t="n">
        <v>0</v>
      </c>
      <c r="F2285" s="731" t="n">
        <v>0</v>
      </c>
      <c r="G2285" t="inlineStr">
        <is>
          <t>1166萬</t>
        </is>
      </c>
      <c r="H2285" t="n">
        <v>612</v>
      </c>
      <c r="I2285" t="n">
        <v>594</v>
      </c>
      <c r="J2285" t="n">
        <v>73.68000000000001</v>
      </c>
      <c r="K2285" t="n">
        <v>19.2</v>
      </c>
      <c r="L2285" t="n">
        <v>18.95</v>
      </c>
      <c r="M2285" s="155" t="n">
        <v>0.08</v>
      </c>
      <c r="N2285" t="inlineStr">
        <is>
          <t>台灣主要房仲業者</t>
        </is>
      </c>
    </row>
    <row r="2286">
      <c r="A2286" s="729" t="n">
        <v>9941</v>
      </c>
      <c r="B2286" t="inlineStr">
        <is>
          <t>裕融</t>
        </is>
      </c>
      <c r="C2286" t="n">
        <v>73.8</v>
      </c>
      <c r="D2286" t="n">
        <v>77</v>
      </c>
      <c r="E2286" s="730" t="n">
        <v>3.4</v>
      </c>
      <c r="F2286" s="731" t="n">
        <v>4.62</v>
      </c>
      <c r="G2286" t="inlineStr">
        <is>
          <t>5.99億</t>
        </is>
      </c>
      <c r="H2286" t="n">
        <v>7838</v>
      </c>
      <c r="I2286" t="n">
        <v>1783</v>
      </c>
      <c r="J2286" t="n">
        <v>57.56</v>
      </c>
      <c r="K2286" t="n">
        <v>78</v>
      </c>
      <c r="L2286" t="n">
        <v>73.2</v>
      </c>
      <c r="M2286" s="155" t="n">
        <v>1.36</v>
      </c>
      <c r="N2286" t="inlineStr">
        <is>
          <t>裕隆集團旗下汽車融資業者</t>
        </is>
      </c>
    </row>
    <row r="2287">
      <c r="A2287" s="729" t="n">
        <v>9942</v>
      </c>
      <c r="B2287" t="inlineStr">
        <is>
          <t>茂順</t>
        </is>
      </c>
      <c r="C2287" t="n">
        <v>120</v>
      </c>
      <c r="D2287" t="n">
        <v>119.5</v>
      </c>
      <c r="E2287" s="730" t="n">
        <v>-0.5</v>
      </c>
      <c r="F2287" s="731" t="n">
        <v>-0.42</v>
      </c>
      <c r="G2287" t="inlineStr">
        <is>
          <t>1305萬</t>
        </is>
      </c>
      <c r="H2287" t="n">
        <v>109</v>
      </c>
      <c r="I2287" t="n">
        <v>135</v>
      </c>
      <c r="J2287" t="n">
        <v>8.32</v>
      </c>
      <c r="K2287" t="n">
        <v>120.5</v>
      </c>
      <c r="L2287" t="n">
        <v>119</v>
      </c>
      <c r="M2287" s="155" t="n">
        <v>0.13</v>
      </c>
      <c r="N2287" t="inlineStr">
        <is>
          <t>台灣第一大、全球前五大密封元件製造商</t>
        </is>
      </c>
    </row>
    <row r="2288">
      <c r="A2288" s="729" t="n">
        <v>9943</v>
      </c>
      <c r="B2288" t="inlineStr">
        <is>
          <t>好樂迪</t>
        </is>
      </c>
      <c r="C2288" t="n">
        <v>55.7</v>
      </c>
      <c r="D2288" t="n">
        <v>56</v>
      </c>
      <c r="E2288" s="730" t="n">
        <v>0.4</v>
      </c>
      <c r="F2288" s="731" t="n">
        <v>0.72</v>
      </c>
      <c r="G2288" t="inlineStr">
        <is>
          <t>566萬</t>
        </is>
      </c>
      <c r="H2288" t="n">
        <v>101</v>
      </c>
      <c r="I2288" t="n">
        <v>93</v>
      </c>
      <c r="J2288" t="n">
        <v>12.52</v>
      </c>
      <c r="K2288" t="n">
        <v>56.7</v>
      </c>
      <c r="L2288" t="n">
        <v>55.6</v>
      </c>
      <c r="M2288" s="155" t="n">
        <v>0.08</v>
      </c>
      <c r="N2288" t="inlineStr">
        <is>
          <t>台灣知名KTV業者</t>
        </is>
      </c>
    </row>
    <row r="2289">
      <c r="A2289" s="729" t="n">
        <v>9944</v>
      </c>
      <c r="B2289" t="inlineStr">
        <is>
          <t>新麗</t>
        </is>
      </c>
      <c r="C2289" t="n">
        <v>16.9</v>
      </c>
      <c r="D2289" t="n">
        <v>16.85</v>
      </c>
      <c r="E2289" s="730" t="n">
        <v>-0.05</v>
      </c>
      <c r="F2289" s="731" t="n">
        <v>-0.3</v>
      </c>
      <c r="G2289" t="inlineStr">
        <is>
          <t>105萬</t>
        </is>
      </c>
      <c r="H2289" t="n">
        <v>62</v>
      </c>
      <c r="I2289" t="n">
        <v>141</v>
      </c>
      <c r="J2289" t="n">
        <v>10.59</v>
      </c>
      <c r="K2289" t="n">
        <v>16.9</v>
      </c>
      <c r="L2289" t="n">
        <v>16.85</v>
      </c>
      <c r="M2289" s="155" t="n">
        <v>0.06</v>
      </c>
      <c r="N2289" t="inlineStr">
        <is>
          <t>東南亞最大的樹脂棉製造商之一</t>
        </is>
      </c>
    </row>
    <row r="2290">
      <c r="A2290" s="729" t="n">
        <v>9945</v>
      </c>
      <c r="B2290" t="inlineStr">
        <is>
          <t>潤泰新</t>
        </is>
      </c>
      <c r="C2290" t="n">
        <v>23.7</v>
      </c>
      <c r="D2290" t="n">
        <v>23.9</v>
      </c>
      <c r="E2290" s="730" t="n">
        <v>0.2</v>
      </c>
      <c r="F2290" s="731" t="n">
        <v>0.84</v>
      </c>
      <c r="G2290" t="inlineStr">
        <is>
          <t>2.15億</t>
        </is>
      </c>
      <c r="H2290" t="n">
        <v>9097</v>
      </c>
      <c r="I2290" t="n">
        <v>8200</v>
      </c>
      <c r="J2290" t="n">
        <v>284.42</v>
      </c>
      <c r="K2290" t="n">
        <v>24</v>
      </c>
      <c r="L2290" t="n">
        <v>23.35</v>
      </c>
      <c r="M2290" s="155" t="n">
        <v>0.32</v>
      </c>
      <c r="N2290" t="inlineStr">
        <is>
          <t>潤泰集團旗下建商</t>
        </is>
      </c>
    </row>
    <row r="2291">
      <c r="A2291" s="729" t="n">
        <v>9946</v>
      </c>
      <c r="B2291" t="inlineStr">
        <is>
          <t>三發地產</t>
        </is>
      </c>
      <c r="C2291" t="n">
        <v>16.55</v>
      </c>
      <c r="D2291" t="n">
        <v>16.55</v>
      </c>
      <c r="E2291" s="730" t="n">
        <v>0</v>
      </c>
      <c r="F2291" s="731" t="n">
        <v>0</v>
      </c>
      <c r="G2291" t="inlineStr">
        <is>
          <t>533萬</t>
        </is>
      </c>
      <c r="H2291" t="n">
        <v>325</v>
      </c>
      <c r="I2291" t="n">
        <v>396</v>
      </c>
      <c r="J2291" t="n">
        <v>32.66</v>
      </c>
      <c r="K2291" t="n">
        <v>16.55</v>
      </c>
      <c r="L2291" t="n">
        <v>16.35</v>
      </c>
      <c r="M2291" s="155" t="n">
        <v>0.1</v>
      </c>
      <c r="N2291" t="inlineStr">
        <is>
          <t>全心投控轉投資公司，以都會區為主要開發標的</t>
        </is>
      </c>
    </row>
    <row r="2292">
      <c r="A2292" s="729" t="n">
        <v>9949</v>
      </c>
      <c r="B2292" t="inlineStr">
        <is>
          <t>琉園</t>
        </is>
      </c>
      <c r="C2292" t="n">
        <v>23</v>
      </c>
      <c r="D2292" t="n">
        <v>22.9</v>
      </c>
      <c r="E2292" s="730" t="n">
        <v>-0.35</v>
      </c>
      <c r="F2292" s="731" t="n">
        <v>-1.51</v>
      </c>
      <c r="G2292" t="inlineStr">
        <is>
          <t>22.9萬</t>
        </is>
      </c>
      <c r="H2292" t="n">
        <v>10</v>
      </c>
      <c r="I2292" t="n">
        <v>55</v>
      </c>
      <c r="J2292" t="n">
        <v>4.49</v>
      </c>
      <c r="K2292" t="n">
        <v>23</v>
      </c>
      <c r="L2292" t="n">
        <v>22.85</v>
      </c>
      <c r="M2292" s="155" t="n">
        <v>0.02</v>
      </c>
      <c r="N2292" t="inlineStr">
        <is>
          <t>以「tittot琉園」為品牌之水晶玻璃藝術品業者</t>
        </is>
      </c>
    </row>
    <row r="2293">
      <c r="A2293" s="729" t="n">
        <v>9950</v>
      </c>
      <c r="B2293" t="inlineStr">
        <is>
          <t>萬國通</t>
        </is>
      </c>
      <c r="C2293" t="n">
        <v>11.9</v>
      </c>
      <c r="D2293" t="n">
        <v>11.1</v>
      </c>
      <c r="E2293" s="730" t="n">
        <v>0.1</v>
      </c>
      <c r="F2293" s="731" t="n">
        <v>0.91</v>
      </c>
      <c r="G2293" t="inlineStr">
        <is>
          <t>115萬</t>
        </is>
      </c>
      <c r="H2293" t="n">
        <v>104</v>
      </c>
      <c r="I2293" t="n">
        <v>73</v>
      </c>
      <c r="J2293" t="n">
        <v>16.77</v>
      </c>
      <c r="K2293" t="n">
        <v>11.9</v>
      </c>
      <c r="L2293" t="n">
        <v>10.95</v>
      </c>
      <c r="M2293" s="155" t="n">
        <v>0.06</v>
      </c>
      <c r="N2293" t="inlineStr">
        <is>
          <t>台灣最大旅行箱製造商</t>
        </is>
      </c>
    </row>
    <row r="2294">
      <c r="A2294" s="729" t="n">
        <v>9951</v>
      </c>
      <c r="B2294" t="inlineStr">
        <is>
          <t>皇田</t>
        </is>
      </c>
      <c r="C2294" t="n">
        <v>52.3</v>
      </c>
      <c r="D2294" t="n">
        <v>52.2</v>
      </c>
      <c r="E2294" s="730" t="n">
        <v>-0.2</v>
      </c>
      <c r="F2294" s="731" t="n">
        <v>-0.38</v>
      </c>
      <c r="G2294" t="inlineStr">
        <is>
          <t>734萬</t>
        </is>
      </c>
      <c r="H2294" t="n">
        <v>141</v>
      </c>
      <c r="I2294" t="n">
        <v>208</v>
      </c>
      <c r="J2294" t="n">
        <v>7.33</v>
      </c>
      <c r="K2294" t="n">
        <v>52.3</v>
      </c>
      <c r="L2294" t="n">
        <v>51.9</v>
      </c>
      <c r="M2294" s="155" t="n">
        <v>0.19</v>
      </c>
      <c r="N2294" t="inlineStr">
        <is>
          <t>全球第二大汽車窗簾ODM廠</t>
        </is>
      </c>
    </row>
    <row r="2295">
      <c r="A2295" s="729" t="n">
        <v>9955</v>
      </c>
      <c r="B2295" t="inlineStr">
        <is>
          <t>佳龍</t>
        </is>
      </c>
      <c r="C2295" t="n">
        <v>28.9</v>
      </c>
      <c r="D2295" t="n">
        <v>28.45</v>
      </c>
      <c r="E2295" s="730" t="n">
        <v>-0.4</v>
      </c>
      <c r="F2295" s="731" t="n">
        <v>-1.39</v>
      </c>
      <c r="G2295" t="inlineStr">
        <is>
          <t>845萬</t>
        </is>
      </c>
      <c r="H2295" t="n">
        <v>297</v>
      </c>
      <c r="I2295" t="n">
        <v>461</v>
      </c>
      <c r="J2295" t="n">
        <v>10.44</v>
      </c>
      <c r="K2295" t="n">
        <v>28.9</v>
      </c>
      <c r="L2295" t="n">
        <v>28.25</v>
      </c>
      <c r="M2295" s="155" t="n">
        <v>0.28</v>
      </c>
      <c r="N2295" t="inlineStr">
        <is>
          <t>台灣一貫化電子廢棄物處理廠</t>
        </is>
      </c>
    </row>
    <row r="2296">
      <c r="A2296" s="729" t="n">
        <v>9958</v>
      </c>
      <c r="B2296" t="inlineStr">
        <is>
          <t>世紀鋼</t>
        </is>
      </c>
      <c r="C2296" t="n">
        <v>106</v>
      </c>
      <c r="D2296" t="n">
        <v>102.5</v>
      </c>
      <c r="E2296" s="730" t="n">
        <v>-2.5</v>
      </c>
      <c r="F2296" s="731" t="n">
        <v>-2.38</v>
      </c>
      <c r="G2296" t="inlineStr">
        <is>
          <t>2.36億</t>
        </is>
      </c>
      <c r="H2296" t="n">
        <v>2296</v>
      </c>
      <c r="I2296" t="n">
        <v>2364</v>
      </c>
      <c r="J2296" t="n">
        <v>24.69</v>
      </c>
      <c r="K2296" t="n">
        <v>106</v>
      </c>
      <c r="L2296" t="n">
        <v>101.5</v>
      </c>
      <c r="M2296" s="155" t="n">
        <v>0.93</v>
      </c>
      <c r="N2296" t="inlineStr">
        <is>
          <t>台灣鋼構大廠</t>
        </is>
      </c>
    </row>
    <row r="2297">
      <c r="A2297" s="729" t="n">
        <v>9960</v>
      </c>
      <c r="B2297" t="inlineStr">
        <is>
          <t>邁達康</t>
        </is>
      </c>
      <c r="C2297" t="n">
        <v>30.1</v>
      </c>
      <c r="D2297" t="n">
        <v>30.7</v>
      </c>
      <c r="E2297" s="730" t="n">
        <v>0.3</v>
      </c>
      <c r="F2297" s="731" t="n">
        <v>0.99</v>
      </c>
      <c r="G2297" t="inlineStr">
        <is>
          <t>123萬</t>
        </is>
      </c>
      <c r="H2297" t="n">
        <v>41</v>
      </c>
      <c r="I2297" t="n">
        <v>160</v>
      </c>
      <c r="J2297" t="n">
        <v>3.36</v>
      </c>
      <c r="K2297" t="n">
        <v>30.7</v>
      </c>
      <c r="L2297" t="n">
        <v>30</v>
      </c>
      <c r="M2297" s="155" t="n">
        <v>0.12</v>
      </c>
      <c r="N2297" t="inlineStr">
        <is>
          <t>台灣最大的高爾夫球銷售網站</t>
        </is>
      </c>
    </row>
    <row r="2298">
      <c r="A2298" s="729" t="n">
        <v>9962</v>
      </c>
      <c r="B2298" t="inlineStr">
        <is>
          <t>有益</t>
        </is>
      </c>
      <c r="C2298" t="n">
        <v>9.66</v>
      </c>
      <c r="D2298" t="n">
        <v>9.699999999999999</v>
      </c>
      <c r="E2298" s="730" t="n">
        <v>0.04</v>
      </c>
      <c r="F2298" s="731" t="n">
        <v>0.41</v>
      </c>
      <c r="G2298" t="inlineStr">
        <is>
          <t>75.4萬</t>
        </is>
      </c>
      <c r="H2298" t="n">
        <v>78</v>
      </c>
      <c r="I2298" t="n">
        <v>76</v>
      </c>
      <c r="J2298" t="n">
        <v>9.02</v>
      </c>
      <c r="K2298" t="n">
        <v>9.699999999999999</v>
      </c>
      <c r="L2298" t="n">
        <v>9.640000000000001</v>
      </c>
      <c r="M2298" s="155" t="n">
        <v>0.09</v>
      </c>
      <c r="N2298" t="inlineStr">
        <is>
          <t>台灣不鏽鋼厚板第一大廠</t>
        </is>
      </c>
    </row>
  </sheetData>
  <conditionalFormatting sqref="E2093:E1048576">
    <cfRule type="cellIs" priority="3" operator="lessThan" dxfId="41">
      <formula>0</formula>
    </cfRule>
    <cfRule type="cellIs" priority="4" operator="greaterThan" dxfId="40">
      <formula>0</formula>
    </cfRule>
  </conditionalFormatting>
  <conditionalFormatting sqref="E2:E2092">
    <cfRule type="cellIs" priority="1" operator="lessThan" dxfId="41">
      <formula>0</formula>
    </cfRule>
    <cfRule type="cellIs" priority="2" operator="greaterThan" dxfId="40">
      <formula>0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工作表3">
    <outlinePr summaryBelow="1" summaryRight="1"/>
    <pageSetUpPr/>
  </sheetPr>
  <dimension ref="A1:K21"/>
  <sheetViews>
    <sheetView workbookViewId="0">
      <selection activeCell="C2" sqref="C2:J21"/>
    </sheetView>
  </sheetViews>
  <sheetFormatPr baseColWidth="8" defaultRowHeight="16.5"/>
  <cols>
    <col width="27.75" bestFit="1" customWidth="1" min="2" max="2"/>
    <col width="8.5" bestFit="1" customWidth="1" min="3" max="6"/>
    <col width="8" bestFit="1" customWidth="1" min="7" max="7"/>
    <col width="11.875" bestFit="1" customWidth="1" min="8" max="8"/>
    <col width="10.5" bestFit="1" customWidth="1" min="9" max="9"/>
    <col width="12.75" bestFit="1" customWidth="1" min="10" max="11"/>
    <col width="77" bestFit="1" customWidth="1" min="12" max="12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最新</t>
        </is>
      </c>
      <c r="D1" t="inlineStr">
        <is>
          <t>開市</t>
        </is>
      </c>
      <c r="E1" t="inlineStr">
        <is>
          <t>高</t>
        </is>
      </c>
      <c r="F1" t="inlineStr">
        <is>
          <t>低</t>
        </is>
      </c>
      <c r="G1" t="inlineStr">
        <is>
          <t>升跌</t>
        </is>
      </c>
      <c r="H1" t="inlineStr">
        <is>
          <t>升跌率%</t>
        </is>
      </c>
      <c r="I1" t="inlineStr">
        <is>
          <t>成交量</t>
        </is>
      </c>
      <c r="J1" t="inlineStr">
        <is>
          <t>時間</t>
        </is>
      </c>
      <c r="K1" s="178" t="inlineStr">
        <is>
          <t>https://www.wantgoo.com/global/us-stocks</t>
        </is>
      </c>
    </row>
    <row r="2">
      <c r="A2" s="61" t="inlineStr">
        <is>
          <t>VT</t>
        </is>
      </c>
      <c r="B2" s="61" t="inlineStr">
        <is>
          <t>Vanguard Total World Stock Index Fund ETF Shares</t>
        </is>
      </c>
      <c r="C2" t="n">
        <v>155.57</v>
      </c>
      <c r="D2" t="n">
        <v>155.7</v>
      </c>
      <c r="E2" t="n">
        <v>156.29</v>
      </c>
      <c r="F2" t="n">
        <v>155.32</v>
      </c>
      <c r="G2" t="n">
        <v>0.36</v>
      </c>
      <c r="H2" t="n">
        <v>0.0023</v>
      </c>
      <c r="I2" t="n">
        <v>2570408</v>
      </c>
      <c r="J2" s="733" t="n">
        <v>46165</v>
      </c>
    </row>
    <row r="3">
      <c r="A3" s="61" t="inlineStr">
        <is>
          <t>IOT</t>
        </is>
      </c>
      <c r="B3" s="61" t="inlineStr">
        <is>
          <t>Samsara Inc</t>
        </is>
      </c>
      <c r="C3" t="n">
        <v>31.15</v>
      </c>
      <c r="D3" t="n">
        <v>30.45</v>
      </c>
      <c r="E3" t="n">
        <v>31.63</v>
      </c>
      <c r="F3" t="n">
        <v>30.45</v>
      </c>
      <c r="G3" t="n">
        <v>1</v>
      </c>
      <c r="H3" t="n">
        <v>0.0332</v>
      </c>
      <c r="I3" t="n">
        <v>3354145</v>
      </c>
      <c r="J3" s="733" t="n">
        <v>46165</v>
      </c>
      <c r="K3" s="178" t="inlineStr">
        <is>
          <t>https://finance.yahoo.com/portfolio/p_0/view/fv</t>
        </is>
      </c>
    </row>
    <row r="4">
      <c r="A4" s="61" t="inlineStr">
        <is>
          <t>AEP</t>
        </is>
      </c>
      <c r="B4" s="61" t="inlineStr">
        <is>
          <t>美國電力</t>
        </is>
      </c>
      <c r="C4" t="n">
        <v>131.59</v>
      </c>
      <c r="D4" t="n">
        <v>129.66</v>
      </c>
      <c r="E4" t="n">
        <v>131.75</v>
      </c>
      <c r="F4" t="n">
        <v>129.58</v>
      </c>
      <c r="G4" t="n">
        <v>1.98</v>
      </c>
      <c r="H4" t="n">
        <v>0.0153</v>
      </c>
      <c r="I4" t="n">
        <v>3280669</v>
      </c>
      <c r="J4" s="733" t="n">
        <v>46165</v>
      </c>
    </row>
    <row r="5">
      <c r="A5" s="61" t="inlineStr">
        <is>
          <t>SO</t>
        </is>
      </c>
      <c r="B5" s="61" t="inlineStr">
        <is>
          <t>南方公司</t>
        </is>
      </c>
      <c r="C5" t="n">
        <v>94.55</v>
      </c>
      <c r="D5" t="n">
        <v>94.48999999999999</v>
      </c>
      <c r="E5" t="n">
        <v>94.8</v>
      </c>
      <c r="F5" t="n">
        <v>93.77</v>
      </c>
      <c r="G5" t="n">
        <v>0.31</v>
      </c>
      <c r="H5" t="n">
        <v>0.0033</v>
      </c>
      <c r="I5" t="n">
        <v>3396170</v>
      </c>
      <c r="J5" s="733" t="n">
        <v>46165</v>
      </c>
      <c r="K5" s="178" t="inlineStr">
        <is>
          <t>https://hk.investing.com/portfolio/?portfolioID=ZWU1ZzJtN25kMDwzbzs4Pg%3D%3D</t>
        </is>
      </c>
    </row>
    <row r="6">
      <c r="A6" s="61" t="inlineStr">
        <is>
          <t>VZ</t>
        </is>
      </c>
      <c r="B6" s="61" t="inlineStr">
        <is>
          <t>威瑞森通訊公司</t>
        </is>
      </c>
      <c r="C6" t="n">
        <v>48.35</v>
      </c>
      <c r="D6" t="n">
        <v>48.5</v>
      </c>
      <c r="E6" t="n">
        <v>48.52</v>
      </c>
      <c r="F6" t="n">
        <v>48.05</v>
      </c>
      <c r="G6" t="n">
        <v>0.08</v>
      </c>
      <c r="H6" t="n">
        <v>0.0017</v>
      </c>
      <c r="I6" t="n">
        <v>14723376</v>
      </c>
      <c r="J6" s="733" t="n">
        <v>46165</v>
      </c>
    </row>
    <row r="7">
      <c r="A7" s="61" t="inlineStr">
        <is>
          <t>EPD</t>
        </is>
      </c>
      <c r="B7" s="61" t="inlineStr">
        <is>
          <t>Enterprise Products Partners LP</t>
        </is>
      </c>
      <c r="C7" t="n">
        <v>39.63</v>
      </c>
      <c r="D7" t="n">
        <v>39.22</v>
      </c>
      <c r="E7" t="n">
        <v>39.73</v>
      </c>
      <c r="F7" t="n">
        <v>39.22</v>
      </c>
      <c r="G7" t="n">
        <v>0.16</v>
      </c>
      <c r="H7" t="n">
        <v>0.0041</v>
      </c>
      <c r="I7" t="n">
        <v>3563684</v>
      </c>
      <c r="J7" s="733" t="n">
        <v>46165</v>
      </c>
    </row>
    <row r="8">
      <c r="A8" s="61" t="inlineStr">
        <is>
          <t>ENB</t>
        </is>
      </c>
      <c r="B8" s="61" t="inlineStr">
        <is>
          <t>Enbridge Inc.</t>
        </is>
      </c>
      <c r="C8" t="n">
        <v>58.04</v>
      </c>
      <c r="D8" t="n">
        <v>57.72</v>
      </c>
      <c r="E8" t="n">
        <v>58.45</v>
      </c>
      <c r="F8" t="n">
        <v>57.7</v>
      </c>
      <c r="G8" t="n">
        <v>0.25</v>
      </c>
      <c r="H8" t="n">
        <v>0.0043</v>
      </c>
      <c r="I8" t="n">
        <v>4463810</v>
      </c>
      <c r="J8" s="733" t="n">
        <v>46165</v>
      </c>
    </row>
    <row r="9">
      <c r="A9" s="61" t="inlineStr">
        <is>
          <t>O</t>
        </is>
      </c>
      <c r="B9" s="61" t="inlineStr">
        <is>
          <t>Realty Income Corp</t>
        </is>
      </c>
      <c r="C9" t="n">
        <v>62.02</v>
      </c>
      <c r="D9" t="n">
        <v>62.23</v>
      </c>
      <c r="E9" t="n">
        <v>62.42</v>
      </c>
      <c r="F9" t="n">
        <v>61.57</v>
      </c>
      <c r="G9" t="n">
        <v>-0.21</v>
      </c>
      <c r="H9" t="n">
        <v>-0.0034</v>
      </c>
      <c r="I9" t="n">
        <v>4335673</v>
      </c>
      <c r="J9" s="733" t="n">
        <v>46165</v>
      </c>
    </row>
    <row r="10">
      <c r="A10" s="61" t="inlineStr">
        <is>
          <t>MO</t>
        </is>
      </c>
      <c r="B10" s="61" t="inlineStr">
        <is>
          <t>奧馳亞集團</t>
        </is>
      </c>
      <c r="C10" t="n">
        <v>73.90000000000001</v>
      </c>
      <c r="D10" t="n">
        <v>73.69</v>
      </c>
      <c r="E10" t="n">
        <v>74.16</v>
      </c>
      <c r="F10" t="n">
        <v>73.48</v>
      </c>
      <c r="G10" t="n">
        <v>0.19</v>
      </c>
      <c r="H10" t="n">
        <v>0.0026</v>
      </c>
      <c r="I10" t="n">
        <v>4505977</v>
      </c>
      <c r="J10" s="733" t="n">
        <v>46165</v>
      </c>
    </row>
    <row r="11">
      <c r="A11" s="61" t="inlineStr">
        <is>
          <t>SNPS</t>
        </is>
      </c>
      <c r="B11" s="61" t="inlineStr">
        <is>
          <t>Synopsys Inc</t>
        </is>
      </c>
      <c r="C11" t="n">
        <v>524.74</v>
      </c>
      <c r="D11" t="n">
        <v>510</v>
      </c>
      <c r="E11" t="n">
        <v>534.11</v>
      </c>
      <c r="F11" t="n">
        <v>508.51</v>
      </c>
      <c r="G11" t="n">
        <v>20.76</v>
      </c>
      <c r="H11" t="n">
        <v>0.0412</v>
      </c>
      <c r="I11" t="n">
        <v>1873634</v>
      </c>
      <c r="J11" s="733" t="n">
        <v>46165</v>
      </c>
    </row>
    <row r="12">
      <c r="A12" s="61" t="inlineStr">
        <is>
          <t>CDNS</t>
        </is>
      </c>
      <c r="B12" s="61" t="inlineStr">
        <is>
          <t>Cadence Design Systems Inc</t>
        </is>
      </c>
      <c r="C12" t="n">
        <v>373.59</v>
      </c>
      <c r="D12" t="n">
        <v>361.88</v>
      </c>
      <c r="E12" t="n">
        <v>381.55</v>
      </c>
      <c r="F12" t="n">
        <v>361.54</v>
      </c>
      <c r="G12" t="n">
        <v>15.13</v>
      </c>
      <c r="H12" t="n">
        <v>0.0422</v>
      </c>
      <c r="I12" t="n">
        <v>2206625</v>
      </c>
      <c r="J12" s="733" t="n">
        <v>46165</v>
      </c>
    </row>
    <row r="13">
      <c r="A13" s="61" t="inlineStr">
        <is>
          <t>QQQ</t>
        </is>
      </c>
      <c r="B13" s="61" t="inlineStr">
        <is>
          <t>景順QQQ ETF</t>
        </is>
      </c>
      <c r="C13" t="n">
        <v>717.54</v>
      </c>
      <c r="D13" t="n">
        <v>718.0700000000001</v>
      </c>
      <c r="E13" t="n">
        <v>722.12</v>
      </c>
      <c r="F13" t="n">
        <v>715.95</v>
      </c>
      <c r="G13" t="n">
        <v>3.03</v>
      </c>
      <c r="H13" t="n">
        <v>0.0042</v>
      </c>
      <c r="I13" t="n">
        <v>33118575</v>
      </c>
      <c r="J13" s="733" t="n">
        <v>46165</v>
      </c>
    </row>
    <row r="14">
      <c r="A14" s="61" t="inlineStr">
        <is>
          <t>KLAC</t>
        </is>
      </c>
      <c r="B14" s="61" t="inlineStr">
        <is>
          <t>KLA Corporation</t>
        </is>
      </c>
      <c r="C14" t="n">
        <v>1888.38</v>
      </c>
      <c r="D14" t="n">
        <v>1874.99</v>
      </c>
      <c r="E14" t="n">
        <v>1910.13</v>
      </c>
      <c r="F14" t="n">
        <v>1861.73</v>
      </c>
      <c r="G14" t="n">
        <v>46.2</v>
      </c>
      <c r="H14" t="n">
        <v>0.0251</v>
      </c>
      <c r="I14" t="n">
        <v>723721</v>
      </c>
      <c r="J14" s="733" t="n">
        <v>46165</v>
      </c>
    </row>
    <row r="15">
      <c r="A15" s="61" t="inlineStr">
        <is>
          <t>LLY</t>
        </is>
      </c>
      <c r="B15" s="61" t="inlineStr">
        <is>
          <t>禮來製藥</t>
        </is>
      </c>
      <c r="C15" t="n">
        <v>1065</v>
      </c>
      <c r="D15" t="n">
        <v>1049.81</v>
      </c>
      <c r="E15" t="n">
        <v>1070.34</v>
      </c>
      <c r="F15" t="n">
        <v>1047.07</v>
      </c>
      <c r="G15" t="n">
        <v>23.35</v>
      </c>
      <c r="H15" t="n">
        <v>0.0224</v>
      </c>
      <c r="I15" t="n">
        <v>3472924</v>
      </c>
      <c r="J15" s="733" t="n">
        <v>46165</v>
      </c>
    </row>
    <row r="16">
      <c r="A16" s="61" t="inlineStr">
        <is>
          <t>TSLA</t>
        </is>
      </c>
      <c r="B16" s="61" t="inlineStr">
        <is>
          <t>特斯拉</t>
        </is>
      </c>
      <c r="C16" t="n">
        <v>426.01</v>
      </c>
      <c r="D16" t="n">
        <v>422.67</v>
      </c>
      <c r="E16" t="n">
        <v>431.51</v>
      </c>
      <c r="F16" t="n">
        <v>420.51</v>
      </c>
      <c r="G16" t="n">
        <v>8.16</v>
      </c>
      <c r="H16" t="n">
        <v>0.0195</v>
      </c>
      <c r="I16" t="n">
        <v>46104710</v>
      </c>
      <c r="J16" s="733" t="n">
        <v>46165</v>
      </c>
    </row>
    <row r="17">
      <c r="A17" s="61" t="inlineStr">
        <is>
          <t>VRTX</t>
        </is>
      </c>
      <c r="B17" s="61" t="inlineStr">
        <is>
          <t>Vertex Pharmaceuticals Inc</t>
        </is>
      </c>
      <c r="C17" t="n">
        <v>434.52</v>
      </c>
      <c r="D17" t="n">
        <v>437.07</v>
      </c>
      <c r="E17" t="n">
        <v>438.84</v>
      </c>
      <c r="F17" t="n">
        <v>432.96</v>
      </c>
      <c r="G17" t="n">
        <v>0.98</v>
      </c>
      <c r="H17" t="n">
        <v>0.0023</v>
      </c>
      <c r="I17" t="n">
        <v>1746340</v>
      </c>
      <c r="J17" s="733" t="n">
        <v>46165</v>
      </c>
    </row>
    <row r="18">
      <c r="A18" s="61" t="inlineStr">
        <is>
          <t>CRWD</t>
        </is>
      </c>
      <c r="B18" s="61" t="inlineStr">
        <is>
          <t>CrowdStrike Holdings Inc</t>
        </is>
      </c>
      <c r="C18" t="n">
        <v>663.46</v>
      </c>
      <c r="D18" t="n">
        <v>650.5</v>
      </c>
      <c r="E18" t="n">
        <v>674.84</v>
      </c>
      <c r="F18" t="n">
        <v>649.6</v>
      </c>
      <c r="G18" t="n">
        <v>15.23</v>
      </c>
      <c r="H18" t="n">
        <v>0.0235</v>
      </c>
      <c r="I18" t="n">
        <v>2781663</v>
      </c>
      <c r="J18" s="733" t="n">
        <v>46165</v>
      </c>
    </row>
    <row r="19">
      <c r="A19" s="61" t="inlineStr">
        <is>
          <t>ASML</t>
        </is>
      </c>
      <c r="B19" s="61" t="inlineStr">
        <is>
          <t>ASML</t>
        </is>
      </c>
      <c r="C19" t="n">
        <v>1632.9</v>
      </c>
      <c r="D19" t="n">
        <v>1620.03</v>
      </c>
      <c r="E19" t="n">
        <v>1653.53</v>
      </c>
      <c r="F19" t="n">
        <v>1615.85</v>
      </c>
      <c r="G19" t="n">
        <v>40.9</v>
      </c>
      <c r="H19" t="n">
        <v>0.0257</v>
      </c>
      <c r="I19" t="n">
        <v>1669568</v>
      </c>
      <c r="J19" s="733" t="n">
        <v>46165</v>
      </c>
    </row>
    <row r="20">
      <c r="A20" s="61" t="inlineStr">
        <is>
          <t>MSFT</t>
        </is>
      </c>
      <c r="B20" s="61" t="inlineStr">
        <is>
          <t>微軟公司</t>
        </is>
      </c>
      <c r="C20" t="n">
        <v>418.57</v>
      </c>
      <c r="D20" t="n">
        <v>419.54</v>
      </c>
      <c r="E20" t="n">
        <v>424.4</v>
      </c>
      <c r="F20" t="n">
        <v>416.33</v>
      </c>
      <c r="G20" t="n">
        <v>-0.52</v>
      </c>
      <c r="H20" t="n">
        <v>-0.0012</v>
      </c>
      <c r="I20" t="n">
        <v>22390344</v>
      </c>
      <c r="J20" s="733" t="n">
        <v>46165</v>
      </c>
    </row>
    <row r="21">
      <c r="A21" s="61" t="inlineStr">
        <is>
          <t>NVDA</t>
        </is>
      </c>
      <c r="B21" s="61" t="inlineStr">
        <is>
          <t>英偉達公司</t>
        </is>
      </c>
      <c r="C21" t="n">
        <v>215.33</v>
      </c>
      <c r="D21" t="n">
        <v>220.9</v>
      </c>
      <c r="E21" t="n">
        <v>221.01</v>
      </c>
      <c r="F21" t="n">
        <v>214.8</v>
      </c>
      <c r="G21" t="n">
        <v>-4.18</v>
      </c>
      <c r="H21" t="n">
        <v>-0.019</v>
      </c>
      <c r="I21" t="n">
        <v>169275710</v>
      </c>
      <c r="J21" s="733" t="n">
        <v>46165</v>
      </c>
    </row>
  </sheetData>
  <hyperlinks>
    <hyperlink xmlns:r="http://schemas.openxmlformats.org/officeDocument/2006/relationships" ref="K1" r:id="rId1"/>
    <hyperlink xmlns:r="http://schemas.openxmlformats.org/officeDocument/2006/relationships" ref="K3" r:id="rId2"/>
    <hyperlink xmlns:r="http://schemas.openxmlformats.org/officeDocument/2006/relationships" ref="K5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J28" sqref="J28"/>
    </sheetView>
  </sheetViews>
  <sheetFormatPr baseColWidth="8" defaultRowHeight="16.5"/>
  <cols>
    <col width="9.5" bestFit="1" customWidth="1" min="1" max="1"/>
    <col width="5.75" bestFit="1" customWidth="1" min="2" max="2"/>
    <col width="9.75" bestFit="1" customWidth="1" min="3" max="3"/>
    <col width="7.5" bestFit="1" customWidth="1" min="4" max="4"/>
    <col width="9.75" bestFit="1" customWidth="1" min="5" max="5"/>
  </cols>
  <sheetData>
    <row r="1">
      <c r="A1" s="198" t="inlineStr">
        <is>
          <t>存款日</t>
        </is>
      </c>
      <c r="B1" s="198" t="inlineStr">
        <is>
          <t>幣別</t>
        </is>
      </c>
      <c r="C1" s="198" t="inlineStr">
        <is>
          <t>台幣金額</t>
        </is>
      </c>
      <c r="D1" s="198" t="inlineStr">
        <is>
          <t>匯率</t>
        </is>
      </c>
      <c r="E1" s="198" t="inlineStr">
        <is>
          <t>外幣金額</t>
        </is>
      </c>
    </row>
    <row r="2">
      <c r="A2" s="74" t="n">
        <v>45915</v>
      </c>
      <c r="B2" t="inlineStr">
        <is>
          <t>USD</t>
        </is>
      </c>
      <c r="C2" t="n">
        <v>100000</v>
      </c>
      <c r="D2" t="n">
        <v>30.317</v>
      </c>
      <c r="E2" s="729">
        <f>C2/D2</f>
        <v/>
      </c>
    </row>
    <row r="3">
      <c r="A3" s="74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6.5"/>
  <cols>
    <col width="11.875" bestFit="1" customWidth="1" min="1" max="1"/>
    <col width="12.25" bestFit="1" customWidth="1" min="2" max="5"/>
  </cols>
  <sheetData>
    <row r="1">
      <c r="A1" t="inlineStr">
        <is>
          <t>Column1</t>
        </is>
      </c>
      <c r="B1" t="inlineStr">
        <is>
          <t>現鈔買入</t>
        </is>
      </c>
      <c r="C1" t="inlineStr">
        <is>
          <t>現鈔賣出</t>
        </is>
      </c>
      <c r="D1" t="inlineStr">
        <is>
          <t>即期買入</t>
        </is>
      </c>
      <c r="E1" t="inlineStr">
        <is>
          <t>即期賣出</t>
        </is>
      </c>
    </row>
    <row r="2">
      <c r="A2" s="74" t="n">
        <v>45923</v>
      </c>
      <c r="B2" t="n">
        <v>29.88</v>
      </c>
      <c r="C2" t="n">
        <v>30.55</v>
      </c>
      <c r="D2" t="n">
        <v>30.23</v>
      </c>
      <c r="E2" t="n">
        <v>30.33</v>
      </c>
    </row>
    <row r="3">
      <c r="A3" s="74" t="n">
        <v>45922</v>
      </c>
      <c r="B3" t="n">
        <v>29.845</v>
      </c>
      <c r="C3" t="n">
        <v>30.515</v>
      </c>
      <c r="D3" t="n">
        <v>30.195</v>
      </c>
      <c r="E3" t="n">
        <v>30.295</v>
      </c>
    </row>
    <row r="4">
      <c r="A4" s="74" t="n">
        <v>45919</v>
      </c>
      <c r="B4" t="n">
        <v>29.81</v>
      </c>
      <c r="C4" t="n">
        <v>30.48</v>
      </c>
      <c r="D4" t="n">
        <v>30.16</v>
      </c>
      <c r="E4" t="n">
        <v>30.26</v>
      </c>
    </row>
    <row r="5">
      <c r="A5" s="74" t="n">
        <v>45918</v>
      </c>
      <c r="B5" t="n">
        <v>29.675</v>
      </c>
      <c r="C5" t="n">
        <v>30.345</v>
      </c>
      <c r="D5" t="n">
        <v>30.025</v>
      </c>
      <c r="E5" t="n">
        <v>30.125</v>
      </c>
    </row>
    <row r="6">
      <c r="A6" s="74" t="n">
        <v>45917</v>
      </c>
      <c r="B6" t="n">
        <v>29.64</v>
      </c>
      <c r="C6" t="n">
        <v>30.31</v>
      </c>
      <c r="D6" t="n">
        <v>29.99</v>
      </c>
      <c r="E6" t="n">
        <v>30.09</v>
      </c>
    </row>
    <row r="7">
      <c r="A7" s="74" t="n">
        <v>45916</v>
      </c>
      <c r="B7" t="n">
        <v>29.665</v>
      </c>
      <c r="C7" t="n">
        <v>30.335</v>
      </c>
      <c r="D7" t="n">
        <v>30.015</v>
      </c>
      <c r="E7" t="n">
        <v>30.115</v>
      </c>
    </row>
    <row r="8">
      <c r="A8" s="74" t="n">
        <v>45915</v>
      </c>
      <c r="B8" t="n">
        <v>29.805</v>
      </c>
      <c r="C8" t="n">
        <v>30.475</v>
      </c>
      <c r="D8" t="n">
        <v>30.155</v>
      </c>
      <c r="E8" t="n">
        <v>30.255</v>
      </c>
    </row>
    <row r="9">
      <c r="A9" s="74" t="n">
        <v>45912</v>
      </c>
      <c r="B9" t="n">
        <v>29.815</v>
      </c>
      <c r="C9" t="n">
        <v>30.485</v>
      </c>
      <c r="D9" t="n">
        <v>30.165</v>
      </c>
      <c r="E9" t="n">
        <v>30.265</v>
      </c>
    </row>
    <row r="10">
      <c r="A10" s="74" t="n">
        <v>45911</v>
      </c>
      <c r="B10" t="n">
        <v>29.905</v>
      </c>
      <c r="C10" t="n">
        <v>30.575</v>
      </c>
      <c r="D10" t="n">
        <v>30.255</v>
      </c>
      <c r="E10" t="n">
        <v>30.355</v>
      </c>
    </row>
    <row r="11">
      <c r="A11" s="74" t="n">
        <v>45910</v>
      </c>
      <c r="B11" t="n">
        <v>29.87</v>
      </c>
      <c r="C11" t="n">
        <v>30.54</v>
      </c>
      <c r="D11" t="n">
        <v>30.22</v>
      </c>
      <c r="E11" t="n">
        <v>30.32</v>
      </c>
    </row>
    <row r="12">
      <c r="A12" s="74" t="n">
        <v>45909</v>
      </c>
      <c r="B12" t="n">
        <v>29.95</v>
      </c>
      <c r="C12" t="n">
        <v>30.62</v>
      </c>
      <c r="D12" t="n">
        <v>30.3</v>
      </c>
      <c r="E12" t="n">
        <v>30.4</v>
      </c>
    </row>
    <row r="13">
      <c r="A13" s="74" t="n">
        <v>45908</v>
      </c>
      <c r="B13" t="n">
        <v>30.095</v>
      </c>
      <c r="C13" t="n">
        <v>30.765</v>
      </c>
      <c r="D13" t="n">
        <v>30.445</v>
      </c>
      <c r="E13" t="n">
        <v>30.545</v>
      </c>
    </row>
    <row r="14">
      <c r="A14" s="74" t="n">
        <v>45905</v>
      </c>
      <c r="B14" t="n">
        <v>30.165</v>
      </c>
      <c r="C14" t="n">
        <v>30.835</v>
      </c>
      <c r="D14" t="n">
        <v>30.515</v>
      </c>
      <c r="E14" t="n">
        <v>30.615</v>
      </c>
    </row>
    <row r="15">
      <c r="A15" s="74" t="n">
        <v>45904</v>
      </c>
      <c r="B15" t="n">
        <v>30.295</v>
      </c>
      <c r="C15" t="n">
        <v>30.965</v>
      </c>
      <c r="D15" t="n">
        <v>30.645</v>
      </c>
      <c r="E15" t="n">
        <v>30.745</v>
      </c>
    </row>
    <row r="16">
      <c r="A16" s="74" t="n">
        <v>45903</v>
      </c>
      <c r="B16" t="n">
        <v>30.315</v>
      </c>
      <c r="C16" t="n">
        <v>30.985</v>
      </c>
      <c r="D16" t="n">
        <v>30.665</v>
      </c>
      <c r="E16" t="n">
        <v>30.765</v>
      </c>
    </row>
    <row r="17">
      <c r="A17" s="74" t="n">
        <v>45902</v>
      </c>
      <c r="B17" t="n">
        <v>30.275</v>
      </c>
      <c r="C17" t="n">
        <v>30.945</v>
      </c>
      <c r="D17" t="n">
        <v>30.625</v>
      </c>
      <c r="E17" t="n">
        <v>30.725</v>
      </c>
    </row>
    <row r="18">
      <c r="A18" s="74" t="n">
        <v>45901</v>
      </c>
      <c r="B18" t="n">
        <v>30.215</v>
      </c>
      <c r="C18" t="n">
        <v>30.885</v>
      </c>
      <c r="D18" t="n">
        <v>30.565</v>
      </c>
      <c r="E18" t="n">
        <v>30.665</v>
      </c>
    </row>
    <row r="19">
      <c r="A19" s="74" t="n">
        <v>45898</v>
      </c>
      <c r="B19" t="n">
        <v>30.19</v>
      </c>
      <c r="C19" t="n">
        <v>30.86</v>
      </c>
      <c r="D19" t="n">
        <v>30.54</v>
      </c>
      <c r="E19" t="n">
        <v>30.64</v>
      </c>
    </row>
    <row r="20">
      <c r="A20" s="74" t="n">
        <v>45897</v>
      </c>
      <c r="B20" t="n">
        <v>30.18</v>
      </c>
      <c r="C20" t="n">
        <v>30.85</v>
      </c>
      <c r="D20" t="n">
        <v>30.53</v>
      </c>
      <c r="E20" t="n">
        <v>30.63</v>
      </c>
    </row>
    <row r="21">
      <c r="A21" s="74" t="n">
        <v>45896</v>
      </c>
      <c r="B21" t="n">
        <v>30.17</v>
      </c>
      <c r="C21" t="n">
        <v>30.84</v>
      </c>
      <c r="D21" t="n">
        <v>30.52</v>
      </c>
      <c r="E21" t="n">
        <v>30.62</v>
      </c>
    </row>
    <row r="22">
      <c r="A22" s="74" t="n">
        <v>45895</v>
      </c>
      <c r="B22" t="n">
        <v>30.14</v>
      </c>
      <c r="C22" t="n">
        <v>30.81</v>
      </c>
      <c r="D22" t="n">
        <v>30.49</v>
      </c>
      <c r="E22" t="n">
        <v>30.59</v>
      </c>
    </row>
    <row r="23">
      <c r="A23" s="74" t="n">
        <v>45894</v>
      </c>
      <c r="B23" t="n">
        <v>30.035</v>
      </c>
      <c r="C23" t="n">
        <v>30.705</v>
      </c>
      <c r="D23" t="n">
        <v>30.385</v>
      </c>
      <c r="E23" t="n">
        <v>30.485</v>
      </c>
    </row>
    <row r="24">
      <c r="A24" s="74" t="n">
        <v>45891</v>
      </c>
      <c r="B24" t="n">
        <v>30.185</v>
      </c>
      <c r="C24" t="n">
        <v>30.855</v>
      </c>
      <c r="D24" t="n">
        <v>30.535</v>
      </c>
      <c r="E24" t="n">
        <v>30.635</v>
      </c>
    </row>
    <row r="25">
      <c r="A25" s="74" t="n">
        <v>45890</v>
      </c>
      <c r="B25" t="n">
        <v>30.1</v>
      </c>
      <c r="C25" t="n">
        <v>30.77</v>
      </c>
      <c r="D25" t="n">
        <v>30.45</v>
      </c>
      <c r="E25" t="n">
        <v>30.55</v>
      </c>
    </row>
    <row r="26">
      <c r="A26" s="74" t="n">
        <v>45889</v>
      </c>
      <c r="B26" t="n">
        <v>29.9</v>
      </c>
      <c r="C26" t="n">
        <v>30.57</v>
      </c>
      <c r="D26" t="n">
        <v>30.25</v>
      </c>
      <c r="E26" t="n">
        <v>30.35</v>
      </c>
    </row>
    <row r="27">
      <c r="A27" s="74" t="n">
        <v>45888</v>
      </c>
      <c r="B27" t="n">
        <v>29.71</v>
      </c>
      <c r="C27" t="n">
        <v>30.38</v>
      </c>
      <c r="D27" t="n">
        <v>30.06</v>
      </c>
      <c r="E27" t="n">
        <v>30.16</v>
      </c>
    </row>
    <row r="28">
      <c r="A28" s="74" t="n">
        <v>45887</v>
      </c>
      <c r="B28" t="n">
        <v>29.645</v>
      </c>
      <c r="C28" t="n">
        <v>30.315</v>
      </c>
      <c r="D28" t="n">
        <v>29.995</v>
      </c>
      <c r="E28" t="n">
        <v>30.095</v>
      </c>
    </row>
    <row r="29">
      <c r="A29" s="74" t="n">
        <v>45884</v>
      </c>
      <c r="B29" t="n">
        <v>29.59</v>
      </c>
      <c r="C29" t="n">
        <v>30.26</v>
      </c>
      <c r="D29" t="n">
        <v>29.94</v>
      </c>
      <c r="E29" t="n">
        <v>30.04</v>
      </c>
    </row>
    <row r="30">
      <c r="A30" s="74" t="n">
        <v>45883</v>
      </c>
      <c r="B30" t="n">
        <v>29.575</v>
      </c>
      <c r="C30" t="n">
        <v>30.245</v>
      </c>
      <c r="D30" t="n">
        <v>29.925</v>
      </c>
      <c r="E30" t="n">
        <v>30.025</v>
      </c>
    </row>
    <row r="31">
      <c r="A31" s="74" t="n">
        <v>45882</v>
      </c>
      <c r="B31" t="n">
        <v>29.545</v>
      </c>
      <c r="C31" t="n">
        <v>30.215</v>
      </c>
      <c r="D31" t="n">
        <v>29.895</v>
      </c>
      <c r="E31" t="n">
        <v>29.995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codeName="工作表2">
    <outlinePr summaryBelow="1" summaryRight="1"/>
    <pageSetUpPr/>
  </sheetPr>
  <dimension ref="A1:C2"/>
  <sheetViews>
    <sheetView workbookViewId="0">
      <selection activeCell="G29" sqref="G29"/>
    </sheetView>
  </sheetViews>
  <sheetFormatPr baseColWidth="8" defaultRowHeight="16.5"/>
  <cols>
    <col width="10.375" bestFit="1" customWidth="1" min="1" max="1"/>
    <col width="17.5" bestFit="1" customWidth="1" min="2" max="2"/>
    <col width="24.625" bestFit="1" customWidth="1" min="3" max="3"/>
  </cols>
  <sheetData>
    <row r="1">
      <c r="A1" t="n">
        <v>20200805</v>
      </c>
      <c r="B1" t="inlineStr">
        <is>
          <t>即時資訊程式碼</t>
        </is>
      </c>
      <c r="C1" t="inlineStr">
        <is>
          <t>成交明細改為成交彙整</t>
        </is>
      </c>
    </row>
    <row r="2">
      <c r="A2" t="n">
        <v>20211014</v>
      </c>
      <c r="C2" t="inlineStr">
        <is>
          <t>報價 mapping 改為XQ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工作表6">
    <outlinePr summaryBelow="1" summaryRight="1"/>
    <pageSetUpPr/>
  </sheetPr>
  <dimension ref="A1:Y57"/>
  <sheetViews>
    <sheetView workbookViewId="0">
      <selection activeCell="P21" sqref="P21"/>
    </sheetView>
  </sheetViews>
  <sheetFormatPr baseColWidth="8" defaultRowHeight="16.5"/>
  <cols>
    <col width="10.5" bestFit="1" customWidth="1" style="61" min="1" max="1"/>
    <col width="9" customWidth="1" style="61" min="2" max="14"/>
    <col width="15" bestFit="1" customWidth="1" style="61" min="15" max="15"/>
    <col width="9" customWidth="1" style="61" min="16" max="27"/>
  </cols>
  <sheetData>
    <row r="1">
      <c r="A1" s="61" t="inlineStr">
        <is>
          <t>日期</t>
        </is>
      </c>
      <c r="B1" s="61" t="inlineStr">
        <is>
          <t xml:space="preserve">	幣別</t>
        </is>
      </c>
      <c r="C1" s="61" t="inlineStr">
        <is>
          <t xml:space="preserve">	日前餘額</t>
        </is>
      </c>
      <c r="D1" s="61" t="inlineStr">
        <is>
          <t xml:space="preserve">	本日存提</t>
        </is>
      </c>
      <c r="E1" s="61" t="inlineStr">
        <is>
          <t xml:space="preserve">	權利金收入與支出</t>
        </is>
      </c>
      <c r="F1" s="61" t="inlineStr">
        <is>
          <t xml:space="preserve">	手續費期交稅合計</t>
        </is>
      </c>
      <c r="G1" s="61" t="inlineStr">
        <is>
          <t xml:space="preserve">	本日期貨平倉損益淨額</t>
        </is>
      </c>
      <c r="H1" s="61" t="inlineStr">
        <is>
          <t xml:space="preserve">	本日餘額</t>
        </is>
      </c>
      <c r="I1" s="61" t="inlineStr">
        <is>
          <t xml:space="preserve">	未沖銷期貨浮動損益</t>
        </is>
      </c>
      <c r="J1" s="61" t="inlineStr">
        <is>
          <t xml:space="preserve">	權益數</t>
        </is>
      </c>
      <c r="K1" s="61" t="inlineStr">
        <is>
          <t xml:space="preserve">	選擇權權利金市值</t>
        </is>
      </c>
      <c r="L1" s="61" t="inlineStr">
        <is>
          <t xml:space="preserve">	權益總值</t>
        </is>
      </c>
      <c r="M1" s="61" t="inlineStr">
        <is>
          <t xml:space="preserve">	選擇權未平倉參考損益</t>
        </is>
      </c>
    </row>
    <row r="2">
      <c r="A2" s="62" t="n">
        <v>44440</v>
      </c>
      <c r="B2" s="61" t="inlineStr">
        <is>
          <t xml:space="preserve">	新台幣</t>
        </is>
      </c>
      <c r="C2" s="61" t="inlineStr">
        <is>
          <t xml:space="preserve">	53603</t>
        </is>
      </c>
      <c r="D2" s="61" t="inlineStr">
        <is>
          <t xml:space="preserve">	0</t>
        </is>
      </c>
      <c r="E2" s="61" t="inlineStr">
        <is>
          <t xml:space="preserve">	0</t>
        </is>
      </c>
      <c r="F2" s="61" t="inlineStr">
        <is>
          <t xml:space="preserve">	0</t>
        </is>
      </c>
      <c r="G2" s="61" t="inlineStr">
        <is>
          <t xml:space="preserve">	0</t>
        </is>
      </c>
      <c r="H2" s="61" t="inlineStr">
        <is>
          <t xml:space="preserve">	53603</t>
        </is>
      </c>
      <c r="I2" s="61" t="inlineStr">
        <is>
          <t xml:space="preserve">	0</t>
        </is>
      </c>
      <c r="J2" s="61" t="inlineStr">
        <is>
          <t xml:space="preserve">	53603</t>
        </is>
      </c>
      <c r="K2" s="61" t="inlineStr">
        <is>
          <t xml:space="preserve">	0</t>
        </is>
      </c>
      <c r="L2" s="61" t="inlineStr">
        <is>
          <t xml:space="preserve">	53603</t>
        </is>
      </c>
      <c r="M2" s="61" t="inlineStr">
        <is>
          <t xml:space="preserve">	0</t>
        </is>
      </c>
    </row>
    <row r="3">
      <c r="A3" s="62" t="n">
        <v>44442</v>
      </c>
      <c r="B3" s="61" t="inlineStr">
        <is>
          <t xml:space="preserve">	新台幣</t>
        </is>
      </c>
      <c r="C3" s="61" t="inlineStr">
        <is>
          <t xml:space="preserve">	53603</t>
        </is>
      </c>
      <c r="D3" s="61" t="inlineStr">
        <is>
          <t xml:space="preserve">	0</t>
        </is>
      </c>
      <c r="E3" s="61" t="inlineStr">
        <is>
          <t xml:space="preserve">	-1125</t>
        </is>
      </c>
      <c r="F3" s="61" t="inlineStr">
        <is>
          <t xml:space="preserve">	51</t>
        </is>
      </c>
      <c r="G3" s="61" t="inlineStr">
        <is>
          <t xml:space="preserve">	0</t>
        </is>
      </c>
      <c r="H3" s="61" t="inlineStr">
        <is>
          <t xml:space="preserve">	52427</t>
        </is>
      </c>
      <c r="I3" s="61" t="inlineStr">
        <is>
          <t xml:space="preserve">	0</t>
        </is>
      </c>
      <c r="J3" s="61" t="inlineStr">
        <is>
          <t xml:space="preserve">	52427</t>
        </is>
      </c>
      <c r="K3" s="61" t="inlineStr">
        <is>
          <t xml:space="preserve">	650</t>
        </is>
      </c>
      <c r="L3" s="61" t="inlineStr">
        <is>
          <t xml:space="preserve">	53077</t>
        </is>
      </c>
      <c r="M3" s="61" t="inlineStr">
        <is>
          <t xml:space="preserve">	-475</t>
        </is>
      </c>
    </row>
    <row r="4">
      <c r="A4" s="62" t="n">
        <v>44445</v>
      </c>
      <c r="B4" s="61" t="inlineStr">
        <is>
          <t xml:space="preserve">	新台幣</t>
        </is>
      </c>
      <c r="C4" s="61" t="inlineStr">
        <is>
          <t xml:space="preserve">	52427</t>
        </is>
      </c>
      <c r="D4" s="61" t="inlineStr">
        <is>
          <t xml:space="preserve">	0</t>
        </is>
      </c>
      <c r="E4" s="61" t="inlineStr">
        <is>
          <t xml:space="preserve">	0</t>
        </is>
      </c>
      <c r="F4" s="61" t="inlineStr">
        <is>
          <t xml:space="preserve">	0</t>
        </is>
      </c>
      <c r="G4" s="61" t="inlineStr">
        <is>
          <t xml:space="preserve">	0</t>
        </is>
      </c>
      <c r="H4" s="61" t="inlineStr">
        <is>
          <t xml:space="preserve">	52427</t>
        </is>
      </c>
      <c r="I4" s="61" t="inlineStr">
        <is>
          <t xml:space="preserve">	0</t>
        </is>
      </c>
      <c r="J4" s="61" t="inlineStr">
        <is>
          <t xml:space="preserve">	52427</t>
        </is>
      </c>
      <c r="K4" s="61" t="inlineStr">
        <is>
          <t xml:space="preserve">	185</t>
        </is>
      </c>
      <c r="L4" s="61" t="inlineStr">
        <is>
          <t xml:space="preserve">	52612</t>
        </is>
      </c>
      <c r="M4" s="61" t="inlineStr">
        <is>
          <t xml:space="preserve">	-940</t>
        </is>
      </c>
    </row>
    <row r="5">
      <c r="A5" s="62" t="n">
        <v>44446</v>
      </c>
      <c r="B5" s="61" t="inlineStr">
        <is>
          <t xml:space="preserve">	新台幣</t>
        </is>
      </c>
      <c r="C5" s="61" t="inlineStr">
        <is>
          <t xml:space="preserve">	52427</t>
        </is>
      </c>
      <c r="D5" s="61" t="inlineStr">
        <is>
          <t xml:space="preserve">	0</t>
        </is>
      </c>
      <c r="E5" s="61" t="inlineStr">
        <is>
          <t xml:space="preserve">	-1000</t>
        </is>
      </c>
      <c r="F5" s="61" t="inlineStr">
        <is>
          <t xml:space="preserve">	102</t>
        </is>
      </c>
      <c r="G5" s="61" t="inlineStr">
        <is>
          <t xml:space="preserve">	0</t>
        </is>
      </c>
      <c r="H5" s="61" t="inlineStr">
        <is>
          <t xml:space="preserve">	51325</t>
        </is>
      </c>
      <c r="I5" s="61" t="inlineStr">
        <is>
          <t xml:space="preserve">	0</t>
        </is>
      </c>
      <c r="J5" s="61" t="inlineStr">
        <is>
          <t xml:space="preserve">	51325</t>
        </is>
      </c>
      <c r="K5" s="61" t="inlineStr">
        <is>
          <t xml:space="preserve">	895</t>
        </is>
      </c>
      <c r="L5" s="61" t="inlineStr">
        <is>
          <t xml:space="preserve">	52220</t>
        </is>
      </c>
      <c r="M5" s="61" t="inlineStr">
        <is>
          <t xml:space="preserve">	-1230</t>
        </is>
      </c>
    </row>
    <row r="6">
      <c r="A6" s="62" t="n">
        <v>44447</v>
      </c>
      <c r="B6" s="61" t="inlineStr">
        <is>
          <t xml:space="preserve">	新台幣</t>
        </is>
      </c>
      <c r="C6" s="61" t="inlineStr">
        <is>
          <t xml:space="preserve">	51325</t>
        </is>
      </c>
      <c r="D6" s="61" t="inlineStr">
        <is>
          <t xml:space="preserve">	0</t>
        </is>
      </c>
      <c r="E6" s="61" t="inlineStr">
        <is>
          <t xml:space="preserve">	800</t>
        </is>
      </c>
      <c r="F6" s="61" t="inlineStr">
        <is>
          <t xml:space="preserve">	134</t>
        </is>
      </c>
      <c r="G6" s="61" t="inlineStr">
        <is>
          <t xml:space="preserve">	0</t>
        </is>
      </c>
      <c r="H6" s="61" t="inlineStr">
        <is>
          <t xml:space="preserve">	51991</t>
        </is>
      </c>
      <c r="I6" s="61" t="inlineStr">
        <is>
          <t xml:space="preserve">	0</t>
        </is>
      </c>
      <c r="J6" s="61" t="inlineStr">
        <is>
          <t xml:space="preserve">	51991</t>
        </is>
      </c>
      <c r="K6" s="61" t="inlineStr">
        <is>
          <t xml:space="preserve">	0</t>
        </is>
      </c>
      <c r="L6" s="61" t="inlineStr">
        <is>
          <t xml:space="preserve">	51991</t>
        </is>
      </c>
      <c r="M6" s="61" t="inlineStr">
        <is>
          <t xml:space="preserve">	0</t>
        </is>
      </c>
    </row>
    <row r="7">
      <c r="A7" s="62" t="n">
        <v>44448</v>
      </c>
      <c r="B7" s="61" t="inlineStr">
        <is>
          <t xml:space="preserve">	新台幣</t>
        </is>
      </c>
      <c r="C7" s="61" t="inlineStr">
        <is>
          <t xml:space="preserve">	51991</t>
        </is>
      </c>
      <c r="D7" s="61" t="inlineStr">
        <is>
          <t xml:space="preserve">	0</t>
        </is>
      </c>
      <c r="E7" s="61" t="inlineStr">
        <is>
          <t xml:space="preserve">	-1400</t>
        </is>
      </c>
      <c r="F7" s="61" t="inlineStr">
        <is>
          <t xml:space="preserve">	113</t>
        </is>
      </c>
      <c r="G7" s="61" t="inlineStr">
        <is>
          <t xml:space="preserve">	0</t>
        </is>
      </c>
      <c r="H7" s="61" t="inlineStr">
        <is>
          <t xml:space="preserve">	50478</t>
        </is>
      </c>
      <c r="I7" s="61" t="inlineStr">
        <is>
          <t xml:space="preserve">	0</t>
        </is>
      </c>
      <c r="J7" s="61" t="inlineStr">
        <is>
          <t xml:space="preserve">	50478</t>
        </is>
      </c>
      <c r="K7" s="61" t="inlineStr">
        <is>
          <t xml:space="preserve">	1550</t>
        </is>
      </c>
      <c r="L7" s="61" t="inlineStr">
        <is>
          <t xml:space="preserve">	52028</t>
        </is>
      </c>
      <c r="M7" s="61" t="inlineStr">
        <is>
          <t xml:space="preserve">	150</t>
        </is>
      </c>
    </row>
    <row r="8">
      <c r="A8" s="62" t="n">
        <v>44449</v>
      </c>
      <c r="B8" s="61" t="inlineStr">
        <is>
          <t xml:space="preserve">	新台幣</t>
        </is>
      </c>
      <c r="C8" s="61" t="inlineStr">
        <is>
          <t xml:space="preserve">	50478</t>
        </is>
      </c>
      <c r="D8" s="61" t="inlineStr">
        <is>
          <t xml:space="preserve">	0</t>
        </is>
      </c>
      <c r="E8" s="61" t="inlineStr">
        <is>
          <t xml:space="preserve">	0</t>
        </is>
      </c>
      <c r="F8" s="61" t="inlineStr">
        <is>
          <t xml:space="preserve">	0</t>
        </is>
      </c>
      <c r="G8" s="61" t="inlineStr">
        <is>
          <t xml:space="preserve">	0</t>
        </is>
      </c>
      <c r="H8" s="61" t="inlineStr">
        <is>
          <t xml:space="preserve">	50478</t>
        </is>
      </c>
      <c r="I8" s="61" t="inlineStr">
        <is>
          <t xml:space="preserve">	0</t>
        </is>
      </c>
      <c r="J8" s="61" t="inlineStr">
        <is>
          <t xml:space="preserve">	50478</t>
        </is>
      </c>
      <c r="K8" s="61" t="inlineStr">
        <is>
          <t xml:space="preserve">	2050</t>
        </is>
      </c>
      <c r="L8" s="61" t="inlineStr">
        <is>
          <t xml:space="preserve">	52528</t>
        </is>
      </c>
      <c r="M8" s="61" t="inlineStr">
        <is>
          <t xml:space="preserve">	650</t>
        </is>
      </c>
    </row>
    <row r="9">
      <c r="A9" s="62" t="n">
        <v>44452</v>
      </c>
      <c r="B9" s="61" t="inlineStr">
        <is>
          <t xml:space="preserve">	新台幣</t>
        </is>
      </c>
      <c r="C9" s="61" t="inlineStr">
        <is>
          <t xml:space="preserve">	50478</t>
        </is>
      </c>
      <c r="D9" s="61" t="inlineStr">
        <is>
          <t xml:space="preserve">	0</t>
        </is>
      </c>
      <c r="E9" s="61" t="inlineStr">
        <is>
          <t xml:space="preserve">	0</t>
        </is>
      </c>
      <c r="F9" s="61" t="inlineStr">
        <is>
          <t xml:space="preserve">	0</t>
        </is>
      </c>
      <c r="G9" s="61" t="inlineStr">
        <is>
          <t xml:space="preserve">	0</t>
        </is>
      </c>
      <c r="H9" s="61" t="inlineStr">
        <is>
          <t xml:space="preserve">	50478</t>
        </is>
      </c>
      <c r="I9" s="61" t="inlineStr">
        <is>
          <t xml:space="preserve">	0</t>
        </is>
      </c>
      <c r="J9" s="61" t="inlineStr">
        <is>
          <t xml:space="preserve">	50478</t>
        </is>
      </c>
      <c r="K9" s="61" t="inlineStr">
        <is>
          <t xml:space="preserve">	1850</t>
        </is>
      </c>
      <c r="L9" s="61" t="inlineStr">
        <is>
          <t xml:space="preserve">	52328</t>
        </is>
      </c>
      <c r="M9" s="61" t="inlineStr">
        <is>
          <t xml:space="preserve">	450</t>
        </is>
      </c>
    </row>
    <row r="10">
      <c r="A10" s="62" t="n">
        <v>44453</v>
      </c>
      <c r="B10" s="61" t="inlineStr">
        <is>
          <t xml:space="preserve">	新台幣</t>
        </is>
      </c>
      <c r="C10" s="61" t="inlineStr">
        <is>
          <t xml:space="preserve">	50478</t>
        </is>
      </c>
      <c r="D10" s="61" t="inlineStr">
        <is>
          <t xml:space="preserve">	0</t>
        </is>
      </c>
      <c r="E10" s="61" t="inlineStr">
        <is>
          <t xml:space="preserve">	0</t>
        </is>
      </c>
      <c r="F10" s="61" t="inlineStr">
        <is>
          <t xml:space="preserve">	0</t>
        </is>
      </c>
      <c r="G10" s="61" t="inlineStr">
        <is>
          <t xml:space="preserve">	0</t>
        </is>
      </c>
      <c r="H10" s="61" t="inlineStr">
        <is>
          <t xml:space="preserve">	50478</t>
        </is>
      </c>
      <c r="I10" s="61" t="inlineStr">
        <is>
          <t xml:space="preserve">	0</t>
        </is>
      </c>
      <c r="J10" s="61" t="inlineStr">
        <is>
          <t xml:space="preserve">	50478</t>
        </is>
      </c>
      <c r="K10" s="61" t="inlineStr">
        <is>
          <t xml:space="preserve">	2100</t>
        </is>
      </c>
      <c r="L10" s="61" t="inlineStr">
        <is>
          <t xml:space="preserve">	52578</t>
        </is>
      </c>
      <c r="M10" s="61" t="inlineStr">
        <is>
          <t xml:space="preserve">	700</t>
        </is>
      </c>
    </row>
    <row r="11">
      <c r="A11" s="62" t="n">
        <v>44454</v>
      </c>
      <c r="B11" s="61" t="inlineStr">
        <is>
          <t xml:space="preserve">	新台幣</t>
        </is>
      </c>
      <c r="C11" s="61" t="inlineStr">
        <is>
          <t xml:space="preserve">	50478</t>
        </is>
      </c>
      <c r="D11" s="61" t="inlineStr">
        <is>
          <t xml:space="preserve">	0</t>
        </is>
      </c>
      <c r="E11" s="61" t="inlineStr">
        <is>
          <t xml:space="preserve">	2500</t>
        </is>
      </c>
      <c r="F11" s="61" t="inlineStr">
        <is>
          <t xml:space="preserve">	134</t>
        </is>
      </c>
      <c r="G11" s="61" t="inlineStr">
        <is>
          <t xml:space="preserve">	0</t>
        </is>
      </c>
      <c r="H11" s="61" t="inlineStr">
        <is>
          <t xml:space="preserve">	52844</t>
        </is>
      </c>
      <c r="I11" s="61" t="inlineStr">
        <is>
          <t xml:space="preserve">	0</t>
        </is>
      </c>
      <c r="J11" s="61" t="inlineStr">
        <is>
          <t xml:space="preserve">	52844</t>
        </is>
      </c>
      <c r="K11" s="61" t="inlineStr">
        <is>
          <t xml:space="preserve">	0</t>
        </is>
      </c>
      <c r="L11" s="61" t="inlineStr">
        <is>
          <t xml:space="preserve">	52844</t>
        </is>
      </c>
      <c r="M11" s="61" t="inlineStr">
        <is>
          <t xml:space="preserve">	0</t>
        </is>
      </c>
    </row>
    <row r="12">
      <c r="A12" s="62" t="n">
        <v>44455</v>
      </c>
      <c r="B12" s="61" t="inlineStr">
        <is>
          <t xml:space="preserve">	新台幣</t>
        </is>
      </c>
      <c r="C12" s="61" t="inlineStr">
        <is>
          <t xml:space="preserve">	52844</t>
        </is>
      </c>
      <c r="D12" s="61" t="inlineStr">
        <is>
          <t xml:space="preserve">	0</t>
        </is>
      </c>
      <c r="E12" s="61" t="inlineStr">
        <is>
          <t xml:space="preserve">	0</t>
        </is>
      </c>
      <c r="F12" s="61" t="inlineStr">
        <is>
          <t xml:space="preserve">	0</t>
        </is>
      </c>
      <c r="G12" s="61" t="inlineStr">
        <is>
          <t xml:space="preserve">	0</t>
        </is>
      </c>
      <c r="H12" s="61" t="inlineStr">
        <is>
          <t xml:space="preserve">	52844</t>
        </is>
      </c>
      <c r="I12" s="61" t="inlineStr">
        <is>
          <t xml:space="preserve">	0</t>
        </is>
      </c>
      <c r="J12" s="61" t="inlineStr">
        <is>
          <t xml:space="preserve">	52844</t>
        </is>
      </c>
      <c r="K12" s="61" t="inlineStr">
        <is>
          <t xml:space="preserve">	0</t>
        </is>
      </c>
      <c r="L12" s="61" t="inlineStr">
        <is>
          <t xml:space="preserve">	52844</t>
        </is>
      </c>
      <c r="M12" s="61" t="inlineStr">
        <is>
          <t xml:space="preserve">	0</t>
        </is>
      </c>
    </row>
    <row r="13">
      <c r="A13" s="62" t="n">
        <v>44470</v>
      </c>
      <c r="B13" s="61" t="inlineStr">
        <is>
          <t xml:space="preserve">	新台幣</t>
        </is>
      </c>
      <c r="C13" s="61" t="inlineStr">
        <is>
          <t xml:space="preserve">	52844</t>
        </is>
      </c>
      <c r="D13" s="61" t="inlineStr">
        <is>
          <t xml:space="preserve">	0</t>
        </is>
      </c>
      <c r="E13" s="61" t="inlineStr">
        <is>
          <t xml:space="preserve">	-4400</t>
        </is>
      </c>
      <c r="F13" s="61" t="inlineStr">
        <is>
          <t xml:space="preserve">	54</t>
        </is>
      </c>
      <c r="G13" s="61" t="inlineStr">
        <is>
          <t xml:space="preserve">	0</t>
        </is>
      </c>
      <c r="H13" s="61" t="inlineStr">
        <is>
          <t xml:space="preserve">	48390</t>
        </is>
      </c>
      <c r="I13" s="61" t="inlineStr">
        <is>
          <t xml:space="preserve">	0</t>
        </is>
      </c>
      <c r="J13" s="61" t="inlineStr">
        <is>
          <t xml:space="preserve">	48390</t>
        </is>
      </c>
      <c r="K13" s="61" t="inlineStr">
        <is>
          <t xml:space="preserve">	6250</t>
        </is>
      </c>
      <c r="L13" s="61" t="inlineStr">
        <is>
          <t xml:space="preserve">	54640</t>
        </is>
      </c>
      <c r="M13" s="61" t="inlineStr">
        <is>
          <t xml:space="preserve">	1850</t>
        </is>
      </c>
    </row>
    <row r="14">
      <c r="A14" s="62" t="n">
        <v>44473</v>
      </c>
      <c r="B14" s="61" t="inlineStr">
        <is>
          <t xml:space="preserve">	新台幣</t>
        </is>
      </c>
      <c r="C14" s="61" t="inlineStr">
        <is>
          <t xml:space="preserve">	48390</t>
        </is>
      </c>
      <c r="D14" s="61" t="inlineStr">
        <is>
          <t xml:space="preserve">	0</t>
        </is>
      </c>
      <c r="E14" s="61" t="inlineStr">
        <is>
          <t xml:space="preserve">	0</t>
        </is>
      </c>
      <c r="F14" s="61" t="inlineStr">
        <is>
          <t xml:space="preserve">	0</t>
        </is>
      </c>
      <c r="G14" s="61" t="inlineStr">
        <is>
          <t xml:space="preserve">	0</t>
        </is>
      </c>
      <c r="H14" s="61" t="inlineStr">
        <is>
          <t xml:space="preserve">	48390</t>
        </is>
      </c>
      <c r="I14" s="61" t="inlineStr">
        <is>
          <t xml:space="preserve">	0</t>
        </is>
      </c>
      <c r="J14" s="61" t="inlineStr">
        <is>
          <t xml:space="preserve">	48390</t>
        </is>
      </c>
      <c r="K14" s="61" t="inlineStr">
        <is>
          <t xml:space="preserve">	8100</t>
        </is>
      </c>
      <c r="L14" s="61" t="inlineStr">
        <is>
          <t xml:space="preserve">	56490</t>
        </is>
      </c>
      <c r="M14" s="61" t="inlineStr">
        <is>
          <t xml:space="preserve">	3700</t>
        </is>
      </c>
    </row>
    <row r="15">
      <c r="A15" s="62" t="n">
        <v>44474</v>
      </c>
      <c r="B15" s="61" t="inlineStr">
        <is>
          <t xml:space="preserve">	新台幣</t>
        </is>
      </c>
      <c r="C15" s="61" t="inlineStr">
        <is>
          <t xml:space="preserve">	48390</t>
        </is>
      </c>
      <c r="D15" s="61" t="inlineStr">
        <is>
          <t xml:space="preserve">	0</t>
        </is>
      </c>
      <c r="E15" s="61" t="inlineStr">
        <is>
          <t xml:space="preserve">	0</t>
        </is>
      </c>
      <c r="F15" s="61" t="inlineStr">
        <is>
          <t xml:space="preserve">	0</t>
        </is>
      </c>
      <c r="G15" s="61" t="inlineStr">
        <is>
          <t xml:space="preserve">	0</t>
        </is>
      </c>
      <c r="H15" s="61" t="inlineStr">
        <is>
          <t xml:space="preserve">	48390</t>
        </is>
      </c>
      <c r="I15" s="61" t="inlineStr">
        <is>
          <t xml:space="preserve">	0</t>
        </is>
      </c>
      <c r="J15" s="61" t="inlineStr">
        <is>
          <t xml:space="preserve">	48390</t>
        </is>
      </c>
      <c r="K15" s="61" t="inlineStr">
        <is>
          <t xml:space="preserve">	4600</t>
        </is>
      </c>
      <c r="L15" s="61" t="inlineStr">
        <is>
          <t xml:space="preserve">	52990</t>
        </is>
      </c>
      <c r="M15" s="61" t="inlineStr">
        <is>
          <t xml:space="preserve">	200</t>
        </is>
      </c>
    </row>
    <row r="16">
      <c r="A16" s="62" t="n">
        <v>44475</v>
      </c>
      <c r="B16" s="61" t="inlineStr">
        <is>
          <t xml:space="preserve">	新台幣</t>
        </is>
      </c>
      <c r="C16" s="61" t="inlineStr">
        <is>
          <t xml:space="preserve">	48390</t>
        </is>
      </c>
      <c r="D16" s="61" t="inlineStr">
        <is>
          <t xml:space="preserve">	0</t>
        </is>
      </c>
      <c r="E16" s="61" t="inlineStr">
        <is>
          <t xml:space="preserve">	4300</t>
        </is>
      </c>
      <c r="F16" s="61" t="inlineStr">
        <is>
          <t xml:space="preserve">	66</t>
        </is>
      </c>
      <c r="G16" s="61" t="inlineStr">
        <is>
          <t xml:space="preserve">	0</t>
        </is>
      </c>
      <c r="H16" s="61" t="inlineStr">
        <is>
          <t xml:space="preserve">	52624</t>
        </is>
      </c>
      <c r="I16" s="61" t="inlineStr">
        <is>
          <t xml:space="preserve">	0</t>
        </is>
      </c>
      <c r="J16" s="61" t="inlineStr">
        <is>
          <t xml:space="preserve">	52624</t>
        </is>
      </c>
      <c r="K16" s="61" t="inlineStr">
        <is>
          <t xml:space="preserve">	0</t>
        </is>
      </c>
      <c r="L16" s="61" t="inlineStr">
        <is>
          <t xml:space="preserve">	52624</t>
        </is>
      </c>
      <c r="M16" s="61" t="inlineStr">
        <is>
          <t xml:space="preserve">	0</t>
        </is>
      </c>
    </row>
    <row r="17">
      <c r="A17" s="62" t="n">
        <v>44487</v>
      </c>
      <c r="B17" s="61" t="inlineStr">
        <is>
          <t xml:space="preserve">	新台幣</t>
        </is>
      </c>
      <c r="C17" s="61" t="inlineStr">
        <is>
          <t xml:space="preserve">	50222</t>
        </is>
      </c>
      <c r="D17" s="61" t="inlineStr">
        <is>
          <t xml:space="preserve">	0</t>
        </is>
      </c>
      <c r="E17" s="61" t="inlineStr">
        <is>
          <t xml:space="preserve">	0</t>
        </is>
      </c>
      <c r="F17" s="61" t="inlineStr">
        <is>
          <t xml:space="preserve">	0</t>
        </is>
      </c>
      <c r="G17" s="61" t="inlineStr">
        <is>
          <t xml:space="preserve">	0</t>
        </is>
      </c>
      <c r="H17" s="61" t="inlineStr">
        <is>
          <t xml:space="preserve">	50222</t>
        </is>
      </c>
      <c r="I17" s="61" t="inlineStr">
        <is>
          <t xml:space="preserve">	0</t>
        </is>
      </c>
      <c r="J17" s="61" t="inlineStr">
        <is>
          <t xml:space="preserve">	50222</t>
        </is>
      </c>
      <c r="K17" s="61" t="inlineStr">
        <is>
          <t xml:space="preserve">	620</t>
        </is>
      </c>
      <c r="L17" s="61" t="inlineStr">
        <is>
          <t xml:space="preserve">	50842</t>
        </is>
      </c>
      <c r="M17" s="61" t="inlineStr">
        <is>
          <t xml:space="preserve">	-1680</t>
        </is>
      </c>
    </row>
    <row r="18">
      <c r="A18" s="62" t="n">
        <v>44554</v>
      </c>
      <c r="B18" s="61" t="inlineStr">
        <is>
          <t xml:space="preserve">	新台幣</t>
        </is>
      </c>
      <c r="C18" s="61" t="inlineStr">
        <is>
          <t xml:space="preserve">	50222</t>
        </is>
      </c>
      <c r="D18" s="61" t="inlineStr">
        <is>
          <t xml:space="preserve">	0</t>
        </is>
      </c>
      <c r="E18" s="61" t="inlineStr">
        <is>
          <t xml:space="preserve">	-850</t>
        </is>
      </c>
      <c r="F18" s="61" t="inlineStr">
        <is>
          <t xml:space="preserve">	51</t>
        </is>
      </c>
      <c r="G18" s="61" t="inlineStr">
        <is>
          <t xml:space="preserve">	0</t>
        </is>
      </c>
      <c r="H18" s="61" t="inlineStr">
        <is>
          <t xml:space="preserve">	49321</t>
        </is>
      </c>
      <c r="I18" s="61" t="inlineStr">
        <is>
          <t xml:space="preserve">	0</t>
        </is>
      </c>
      <c r="J18" s="61" t="inlineStr">
        <is>
          <t xml:space="preserve">	49321</t>
        </is>
      </c>
      <c r="K18" s="61" t="inlineStr">
        <is>
          <t xml:space="preserve">	875</t>
        </is>
      </c>
      <c r="L18" s="61" t="inlineStr">
        <is>
          <t xml:space="preserve">	50196</t>
        </is>
      </c>
      <c r="M18" s="61" t="inlineStr">
        <is>
          <t xml:space="preserve">	25</t>
        </is>
      </c>
    </row>
    <row r="19">
      <c r="A19" s="62" t="n">
        <v>44557</v>
      </c>
      <c r="B19" s="61" t="inlineStr">
        <is>
          <t xml:space="preserve">	新台幣</t>
        </is>
      </c>
      <c r="C19" s="61" t="inlineStr">
        <is>
          <t xml:space="preserve">	49321</t>
        </is>
      </c>
      <c r="D19" s="61" t="inlineStr">
        <is>
          <t xml:space="preserve">	0</t>
        </is>
      </c>
      <c r="E19" s="61" t="inlineStr">
        <is>
          <t xml:space="preserve">	0</t>
        </is>
      </c>
      <c r="F19" s="61" t="inlineStr">
        <is>
          <t xml:space="preserve">	0</t>
        </is>
      </c>
      <c r="G19" s="61" t="inlineStr">
        <is>
          <t xml:space="preserve">	0</t>
        </is>
      </c>
      <c r="H19" s="61" t="inlineStr">
        <is>
          <t xml:space="preserve">	49321</t>
        </is>
      </c>
      <c r="I19" s="61" t="inlineStr">
        <is>
          <t xml:space="preserve">	0</t>
        </is>
      </c>
      <c r="J19" s="61" t="inlineStr">
        <is>
          <t xml:space="preserve">	49321</t>
        </is>
      </c>
      <c r="K19" s="61" t="inlineStr">
        <is>
          <t xml:space="preserve">	230</t>
        </is>
      </c>
      <c r="L19" s="61" t="inlineStr">
        <is>
          <t xml:space="preserve">	49551</t>
        </is>
      </c>
      <c r="M19" s="61" t="inlineStr">
        <is>
          <t xml:space="preserve">	-620</t>
        </is>
      </c>
    </row>
    <row r="20">
      <c r="A20" s="62" t="n">
        <v>44579</v>
      </c>
      <c r="B20" s="61" t="inlineStr">
        <is>
          <t xml:space="preserve">	新台幣</t>
        </is>
      </c>
      <c r="C20" s="61" t="inlineStr">
        <is>
          <t xml:space="preserve">	46919</t>
        </is>
      </c>
      <c r="D20" s="61" t="inlineStr">
        <is>
          <t xml:space="preserve">	0</t>
        </is>
      </c>
      <c r="E20" s="61" t="inlineStr">
        <is>
          <t xml:space="preserve">	0</t>
        </is>
      </c>
      <c r="F20" s="61" t="inlineStr">
        <is>
          <t xml:space="preserve">	0</t>
        </is>
      </c>
      <c r="G20" s="61" t="inlineStr">
        <is>
          <t xml:space="preserve">	0</t>
        </is>
      </c>
      <c r="H20" s="61" t="inlineStr">
        <is>
          <t xml:space="preserve">	46919</t>
        </is>
      </c>
      <c r="I20" s="61" t="inlineStr">
        <is>
          <t xml:space="preserve">	0</t>
        </is>
      </c>
      <c r="J20" s="61" t="inlineStr">
        <is>
          <t xml:space="preserve">	46919</t>
        </is>
      </c>
      <c r="K20" s="61" t="inlineStr">
        <is>
          <t xml:space="preserve">	1550</t>
        </is>
      </c>
      <c r="L20" s="61" t="inlineStr">
        <is>
          <t xml:space="preserve">	48469</t>
        </is>
      </c>
      <c r="M20" s="61" t="inlineStr">
        <is>
          <t xml:space="preserve">	-750</t>
        </is>
      </c>
    </row>
    <row r="21">
      <c r="A21" s="62" t="n">
        <v>44582</v>
      </c>
      <c r="B21" s="61" t="inlineStr">
        <is>
          <t xml:space="preserve">	新台幣</t>
        </is>
      </c>
      <c r="C21" s="61" t="inlineStr">
        <is>
          <t xml:space="preserve">	46919</t>
        </is>
      </c>
      <c r="D21" s="61" t="inlineStr">
        <is>
          <t xml:space="preserve">	0</t>
        </is>
      </c>
      <c r="E21" s="61" t="inlineStr">
        <is>
          <t xml:space="preserve">	-5100</t>
        </is>
      </c>
      <c r="F21" s="61" t="inlineStr">
        <is>
          <t xml:space="preserve">	106</t>
        </is>
      </c>
      <c r="G21" s="61" t="inlineStr">
        <is>
          <t xml:space="preserve">	0</t>
        </is>
      </c>
      <c r="H21" s="61" t="inlineStr">
        <is>
          <t xml:space="preserve">	41713</t>
        </is>
      </c>
      <c r="I21" s="61" t="inlineStr">
        <is>
          <t xml:space="preserve">	0</t>
        </is>
      </c>
      <c r="J21" s="61" t="inlineStr">
        <is>
          <t xml:space="preserve">	41713</t>
        </is>
      </c>
      <c r="K21" s="61" t="inlineStr">
        <is>
          <t xml:space="preserve">	3625</t>
        </is>
      </c>
      <c r="L21" s="61" t="inlineStr">
        <is>
          <t xml:space="preserve">	45338</t>
        </is>
      </c>
      <c r="M21" s="61" t="inlineStr">
        <is>
          <t xml:space="preserve">	-1475</t>
        </is>
      </c>
    </row>
    <row r="22">
      <c r="A22" s="62" t="n">
        <v>44585</v>
      </c>
      <c r="B22" s="61" t="inlineStr">
        <is>
          <t xml:space="preserve">	新台幣</t>
        </is>
      </c>
      <c r="C22" s="61" t="inlineStr">
        <is>
          <t xml:space="preserve">	41713</t>
        </is>
      </c>
      <c r="D22" s="61" t="inlineStr">
        <is>
          <t xml:space="preserve">	0</t>
        </is>
      </c>
      <c r="E22" s="61" t="inlineStr">
        <is>
          <t xml:space="preserve">	0</t>
        </is>
      </c>
      <c r="F22" s="61" t="inlineStr">
        <is>
          <t xml:space="preserve">	0</t>
        </is>
      </c>
      <c r="G22" s="61" t="inlineStr">
        <is>
          <t xml:space="preserve">	0</t>
        </is>
      </c>
      <c r="H22" s="61" t="inlineStr">
        <is>
          <t xml:space="preserve">	41713</t>
        </is>
      </c>
      <c r="I22" s="61" t="inlineStr">
        <is>
          <t xml:space="preserve">	0</t>
        </is>
      </c>
      <c r="J22" s="61" t="inlineStr">
        <is>
          <t xml:space="preserve">	41713</t>
        </is>
      </c>
      <c r="K22" s="61" t="inlineStr">
        <is>
          <t xml:space="preserve">	925</t>
        </is>
      </c>
      <c r="L22" s="61" t="inlineStr">
        <is>
          <t xml:space="preserve">	42638</t>
        </is>
      </c>
      <c r="M22" s="61" t="inlineStr">
        <is>
          <t xml:space="preserve">	-4175</t>
        </is>
      </c>
    </row>
    <row r="23">
      <c r="A23" s="62" t="n">
        <v>44586</v>
      </c>
      <c r="B23" s="61" t="inlineStr">
        <is>
          <t xml:space="preserve">	新台幣</t>
        </is>
      </c>
      <c r="C23" s="61" t="inlineStr">
        <is>
          <t xml:space="preserve">	41713</t>
        </is>
      </c>
      <c r="D23" s="61" t="inlineStr">
        <is>
          <t xml:space="preserve">	0</t>
        </is>
      </c>
      <c r="E23" s="61" t="inlineStr">
        <is>
          <t xml:space="preserve">	0</t>
        </is>
      </c>
      <c r="F23" s="61" t="inlineStr">
        <is>
          <t xml:space="preserve">	0</t>
        </is>
      </c>
      <c r="G23" s="61" t="inlineStr">
        <is>
          <t xml:space="preserve">	0</t>
        </is>
      </c>
      <c r="H23" s="61" t="inlineStr">
        <is>
          <t xml:space="preserve">	41713</t>
        </is>
      </c>
      <c r="I23" s="61" t="inlineStr">
        <is>
          <t xml:space="preserve">	0</t>
        </is>
      </c>
      <c r="J23" s="61" t="inlineStr">
        <is>
          <t xml:space="preserve">	41713</t>
        </is>
      </c>
      <c r="K23" s="61" t="inlineStr">
        <is>
          <t xml:space="preserve">	2875</t>
        </is>
      </c>
      <c r="L23" s="61" t="inlineStr">
        <is>
          <t xml:space="preserve">	44588</t>
        </is>
      </c>
      <c r="M23" s="61" t="inlineStr">
        <is>
          <t xml:space="preserve">	-2225</t>
        </is>
      </c>
    </row>
    <row r="24">
      <c r="A24" s="62" t="n">
        <v>44657</v>
      </c>
      <c r="B24" s="61" t="inlineStr">
        <is>
          <t xml:space="preserve">	新台幣</t>
        </is>
      </c>
      <c r="C24" s="61" t="inlineStr">
        <is>
          <t xml:space="preserve">	41713</t>
        </is>
      </c>
      <c r="D24" s="61" t="inlineStr">
        <is>
          <t xml:space="preserve">	0</t>
        </is>
      </c>
      <c r="E24" s="61" t="inlineStr">
        <is>
          <t xml:space="preserve">	-1750</t>
        </is>
      </c>
      <c r="F24" s="61" t="inlineStr">
        <is>
          <t xml:space="preserve">	106</t>
        </is>
      </c>
      <c r="G24" s="61" t="inlineStr">
        <is>
          <t xml:space="preserve">	0</t>
        </is>
      </c>
      <c r="H24" s="61" t="inlineStr">
        <is>
          <t xml:space="preserve">	39857</t>
        </is>
      </c>
      <c r="I24" s="61" t="inlineStr">
        <is>
          <t xml:space="preserve">	0</t>
        </is>
      </c>
      <c r="J24" s="61" t="inlineStr">
        <is>
          <t xml:space="preserve">	39857</t>
        </is>
      </c>
      <c r="K24" s="61" t="inlineStr">
        <is>
          <t xml:space="preserve">	2050</t>
        </is>
      </c>
      <c r="L24" s="61" t="inlineStr">
        <is>
          <t xml:space="preserve">	41907</t>
        </is>
      </c>
      <c r="M24" s="61" t="inlineStr">
        <is>
          <t xml:space="preserve">	300</t>
        </is>
      </c>
    </row>
    <row r="25">
      <c r="A25" s="62" t="n">
        <v>44658</v>
      </c>
      <c r="B25" s="61" t="inlineStr">
        <is>
          <t xml:space="preserve">	新台幣</t>
        </is>
      </c>
      <c r="C25" s="61" t="inlineStr">
        <is>
          <t xml:space="preserve">	39857</t>
        </is>
      </c>
      <c r="D25" s="61" t="inlineStr">
        <is>
          <t xml:space="preserve">	0</t>
        </is>
      </c>
      <c r="E25" s="61" t="inlineStr">
        <is>
          <t xml:space="preserve">	0</t>
        </is>
      </c>
      <c r="F25" s="61" t="inlineStr">
        <is>
          <t xml:space="preserve">	0</t>
        </is>
      </c>
      <c r="G25" s="61" t="inlineStr">
        <is>
          <t xml:space="preserve">	0</t>
        </is>
      </c>
      <c r="H25" s="61" t="inlineStr">
        <is>
          <t xml:space="preserve">	39857</t>
        </is>
      </c>
      <c r="I25" s="61" t="inlineStr">
        <is>
          <t xml:space="preserve">	0</t>
        </is>
      </c>
      <c r="J25" s="61" t="inlineStr">
        <is>
          <t xml:space="preserve">	39857</t>
        </is>
      </c>
      <c r="K25" s="61" t="inlineStr">
        <is>
          <t xml:space="preserve">	290</t>
        </is>
      </c>
      <c r="L25" s="61" t="inlineStr">
        <is>
          <t xml:space="preserve">	40147</t>
        </is>
      </c>
      <c r="M25" s="61" t="inlineStr">
        <is>
          <t xml:space="preserve">	-1460</t>
        </is>
      </c>
    </row>
    <row r="26">
      <c r="A26" s="62" t="n">
        <v>44659</v>
      </c>
      <c r="B26" s="61" t="inlineStr">
        <is>
          <t xml:space="preserve">	新台幣</t>
        </is>
      </c>
      <c r="C26" s="61" t="inlineStr">
        <is>
          <t xml:space="preserve">	39857</t>
        </is>
      </c>
      <c r="D26" s="61" t="inlineStr">
        <is>
          <t xml:space="preserve">	0</t>
        </is>
      </c>
      <c r="E26" s="61" t="inlineStr">
        <is>
          <t xml:space="preserve">	0</t>
        </is>
      </c>
      <c r="F26" s="61" t="inlineStr">
        <is>
          <t xml:space="preserve">	0</t>
        </is>
      </c>
      <c r="G26" s="61" t="inlineStr">
        <is>
          <t xml:space="preserve">	0</t>
        </is>
      </c>
      <c r="H26" s="61" t="inlineStr">
        <is>
          <t xml:space="preserve">	39857</t>
        </is>
      </c>
      <c r="I26" s="61" t="inlineStr">
        <is>
          <t xml:space="preserve">	0</t>
        </is>
      </c>
      <c r="J26" s="61" t="inlineStr">
        <is>
          <t xml:space="preserve">	39857</t>
        </is>
      </c>
      <c r="K26" s="61" t="inlineStr">
        <is>
          <t xml:space="preserve">	505</t>
        </is>
      </c>
      <c r="L26" s="61" t="inlineStr">
        <is>
          <t xml:space="preserve">	40362</t>
        </is>
      </c>
      <c r="M26" s="61" t="inlineStr">
        <is>
          <t xml:space="preserve">	-1245</t>
        </is>
      </c>
    </row>
    <row r="27">
      <c r="A27" s="62" t="n">
        <v>44662</v>
      </c>
      <c r="B27" s="61" t="inlineStr">
        <is>
          <t xml:space="preserve">	新台幣</t>
        </is>
      </c>
      <c r="C27" s="61" t="inlineStr">
        <is>
          <t xml:space="preserve">	39857</t>
        </is>
      </c>
      <c r="D27" s="61" t="inlineStr">
        <is>
          <t xml:space="preserve">	0</t>
        </is>
      </c>
      <c r="E27" s="61" t="inlineStr">
        <is>
          <t xml:space="preserve">	0</t>
        </is>
      </c>
      <c r="F27" s="61" t="inlineStr">
        <is>
          <t xml:space="preserve">	0</t>
        </is>
      </c>
      <c r="G27" s="61" t="inlineStr">
        <is>
          <t xml:space="preserve">	0</t>
        </is>
      </c>
      <c r="H27" s="61" t="inlineStr">
        <is>
          <t xml:space="preserve">	39857</t>
        </is>
      </c>
      <c r="I27" s="61" t="inlineStr">
        <is>
          <t xml:space="preserve">	0</t>
        </is>
      </c>
      <c r="J27" s="61" t="inlineStr">
        <is>
          <t xml:space="preserve">	39857</t>
        </is>
      </c>
      <c r="K27" s="61" t="inlineStr">
        <is>
          <t xml:space="preserve">	30</t>
        </is>
      </c>
      <c r="L27" s="61" t="inlineStr">
        <is>
          <t xml:space="preserve">	39887</t>
        </is>
      </c>
      <c r="M27" s="61" t="inlineStr">
        <is>
          <t xml:space="preserve">	-1720</t>
        </is>
      </c>
    </row>
    <row r="28">
      <c r="A28" s="62" t="n">
        <v>44663</v>
      </c>
      <c r="B28" s="61" t="inlineStr">
        <is>
          <t xml:space="preserve">	新台幣</t>
        </is>
      </c>
      <c r="C28" s="61" t="inlineStr">
        <is>
          <t xml:space="preserve">	39857</t>
        </is>
      </c>
      <c r="D28" s="61" t="inlineStr">
        <is>
          <t xml:space="preserve">	0</t>
        </is>
      </c>
      <c r="E28" s="61" t="inlineStr">
        <is>
          <t xml:space="preserve">	-3400</t>
        </is>
      </c>
      <c r="F28" s="61" t="inlineStr">
        <is>
          <t xml:space="preserve">	104</t>
        </is>
      </c>
      <c r="G28" s="61" t="inlineStr">
        <is>
          <t xml:space="preserve">	0</t>
        </is>
      </c>
      <c r="H28" s="61" t="inlineStr">
        <is>
          <t xml:space="preserve">	36353</t>
        </is>
      </c>
      <c r="I28" s="61" t="inlineStr">
        <is>
          <t xml:space="preserve">	0</t>
        </is>
      </c>
      <c r="J28" s="61" t="inlineStr">
        <is>
          <t xml:space="preserve">	36353</t>
        </is>
      </c>
      <c r="K28" s="61" t="inlineStr">
        <is>
          <t xml:space="preserve">	3240</t>
        </is>
      </c>
      <c r="L28" s="61" t="inlineStr">
        <is>
          <t xml:space="preserve">	39593</t>
        </is>
      </c>
      <c r="M28" s="61" t="inlineStr">
        <is>
          <t xml:space="preserve">	-1910</t>
        </is>
      </c>
    </row>
    <row r="29">
      <c r="A29" s="62" t="n">
        <v>44732</v>
      </c>
      <c r="B29" s="61" t="inlineStr">
        <is>
          <t xml:space="preserve">	新台幣</t>
        </is>
      </c>
      <c r="C29" s="61" t="inlineStr">
        <is>
          <t xml:space="preserve">	32499</t>
        </is>
      </c>
      <c r="D29" s="61" t="inlineStr">
        <is>
          <t xml:space="preserve">	0</t>
        </is>
      </c>
      <c r="E29" s="61" t="inlineStr">
        <is>
          <t xml:space="preserve">	-8400</t>
        </is>
      </c>
      <c r="F29" s="61" t="inlineStr">
        <is>
          <t xml:space="preserve">	109</t>
        </is>
      </c>
      <c r="G29" s="61" t="inlineStr">
        <is>
          <t xml:space="preserve">	0</t>
        </is>
      </c>
      <c r="H29" s="61" t="inlineStr">
        <is>
          <t xml:space="preserve">	23990</t>
        </is>
      </c>
      <c r="I29" s="61" t="inlineStr">
        <is>
          <t xml:space="preserve">	0</t>
        </is>
      </c>
      <c r="J29" s="61" t="inlineStr">
        <is>
          <t xml:space="preserve">	23990</t>
        </is>
      </c>
      <c r="K29" s="61" t="inlineStr">
        <is>
          <t xml:space="preserve">	10125</t>
        </is>
      </c>
      <c r="L29" s="61" t="inlineStr">
        <is>
          <t xml:space="preserve">	34115</t>
        </is>
      </c>
      <c r="M29" s="61" t="inlineStr">
        <is>
          <t xml:space="preserve">	1725</t>
        </is>
      </c>
    </row>
    <row r="30">
      <c r="A30" s="62" t="n">
        <v>44733</v>
      </c>
      <c r="B30" s="61" t="inlineStr">
        <is>
          <t xml:space="preserve">	新台幣</t>
        </is>
      </c>
      <c r="C30" s="61" t="inlineStr">
        <is>
          <t xml:space="preserve">	23990</t>
        </is>
      </c>
      <c r="D30" s="61" t="inlineStr">
        <is>
          <t xml:space="preserve">	0</t>
        </is>
      </c>
      <c r="E30" s="61" t="inlineStr">
        <is>
          <t xml:space="preserve">	0</t>
        </is>
      </c>
      <c r="F30" s="61" t="inlineStr">
        <is>
          <t xml:space="preserve">	0</t>
        </is>
      </c>
      <c r="G30" s="61" t="inlineStr">
        <is>
          <t xml:space="preserve">	0</t>
        </is>
      </c>
      <c r="H30" s="61" t="inlineStr">
        <is>
          <t xml:space="preserve">	23990</t>
        </is>
      </c>
      <c r="I30" s="61" t="inlineStr">
        <is>
          <t xml:space="preserve">	0</t>
        </is>
      </c>
      <c r="J30" s="61" t="inlineStr">
        <is>
          <t xml:space="preserve">	23990</t>
        </is>
      </c>
      <c r="K30" s="61" t="inlineStr">
        <is>
          <t xml:space="preserve">	625</t>
        </is>
      </c>
      <c r="L30" s="61" t="inlineStr">
        <is>
          <t xml:space="preserve">	24615</t>
        </is>
      </c>
      <c r="M30" s="61" t="inlineStr">
        <is>
          <t xml:space="preserve">	-7775</t>
        </is>
      </c>
    </row>
    <row r="31">
      <c r="A31" s="62" t="n">
        <v>44740</v>
      </c>
      <c r="B31" s="61" t="inlineStr">
        <is>
          <t xml:space="preserve">	新台幣</t>
        </is>
      </c>
      <c r="C31" s="61" t="inlineStr">
        <is>
          <t xml:space="preserve">	29525</t>
        </is>
      </c>
      <c r="D31" s="61" t="inlineStr">
        <is>
          <t xml:space="preserve">	0</t>
        </is>
      </c>
      <c r="E31" s="61" t="inlineStr">
        <is>
          <t xml:space="preserve">	-575</t>
        </is>
      </c>
      <c r="F31" s="61" t="inlineStr">
        <is>
          <t xml:space="preserve">	101</t>
        </is>
      </c>
      <c r="G31" s="61" t="inlineStr">
        <is>
          <t xml:space="preserve">	0</t>
        </is>
      </c>
      <c r="H31" s="61" t="inlineStr">
        <is>
          <t xml:space="preserve">	28849</t>
        </is>
      </c>
      <c r="I31" s="61" t="inlineStr">
        <is>
          <t xml:space="preserve">	0</t>
        </is>
      </c>
      <c r="J31" s="61" t="inlineStr">
        <is>
          <t xml:space="preserve">	28849</t>
        </is>
      </c>
      <c r="K31" s="61" t="inlineStr">
        <is>
          <t xml:space="preserve">	715</t>
        </is>
      </c>
      <c r="L31" s="61" t="inlineStr">
        <is>
          <t xml:space="preserve">	29564</t>
        </is>
      </c>
      <c r="M31" s="61" t="inlineStr">
        <is>
          <t xml:space="preserve">	140</t>
        </is>
      </c>
      <c r="O31" s="61" t="inlineStr">
        <is>
          <t>成交時間</t>
        </is>
      </c>
      <c r="P31" s="61" t="inlineStr">
        <is>
          <t>買賣別</t>
        </is>
      </c>
      <c r="Q31" s="61" t="inlineStr">
        <is>
          <t>商品名稱</t>
        </is>
      </c>
      <c r="R31" s="61" t="inlineStr">
        <is>
          <t>口數</t>
        </is>
      </c>
      <c r="S31" s="61" t="inlineStr">
        <is>
          <t>新倉價</t>
        </is>
      </c>
      <c r="T31" s="61" t="inlineStr">
        <is>
          <t>平倉價</t>
        </is>
      </c>
      <c r="U31" s="61" t="inlineStr">
        <is>
          <t>手續費</t>
        </is>
      </c>
      <c r="V31" s="61" t="inlineStr">
        <is>
          <t>期交稅</t>
        </is>
      </c>
      <c r="W31" s="61" t="inlineStr">
        <is>
          <t>平倉損益淨額</t>
        </is>
      </c>
      <c r="X31" s="61" t="inlineStr">
        <is>
          <t>幣別</t>
        </is>
      </c>
    </row>
    <row r="32">
      <c r="A32" s="62" t="n">
        <v>44746</v>
      </c>
      <c r="B32" s="61" t="inlineStr">
        <is>
          <t xml:space="preserve">	新台幣</t>
        </is>
      </c>
      <c r="C32" s="61" t="inlineStr">
        <is>
          <t xml:space="preserve">	28849</t>
        </is>
      </c>
      <c r="D32" s="61" t="inlineStr">
        <is>
          <t xml:space="preserve">	0</t>
        </is>
      </c>
      <c r="E32" s="61" t="inlineStr">
        <is>
          <t xml:space="preserve">	-4450</t>
        </is>
      </c>
      <c r="F32" s="61" t="inlineStr">
        <is>
          <t xml:space="preserve">	54</t>
        </is>
      </c>
      <c r="G32" s="61" t="inlineStr">
        <is>
          <t xml:space="preserve">	0</t>
        </is>
      </c>
      <c r="H32" s="61" t="inlineStr">
        <is>
          <t xml:space="preserve">	24345</t>
        </is>
      </c>
      <c r="I32" s="61" t="inlineStr">
        <is>
          <t xml:space="preserve">	0</t>
        </is>
      </c>
      <c r="J32" s="61" t="inlineStr">
        <is>
          <t xml:space="preserve">	24345</t>
        </is>
      </c>
      <c r="K32" s="61" t="inlineStr">
        <is>
          <t xml:space="preserve">	5100</t>
        </is>
      </c>
      <c r="L32" s="61" t="inlineStr">
        <is>
          <t xml:space="preserve">	29445</t>
        </is>
      </c>
      <c r="M32" s="61" t="inlineStr">
        <is>
          <t xml:space="preserve">	650</t>
        </is>
      </c>
      <c r="O32" s="181" t="n">
        <v>44956.58834490741</v>
      </c>
      <c r="P32" s="61" t="inlineStr">
        <is>
          <t>買進-&gt;賣出</t>
        </is>
      </c>
      <c r="Q32" s="61" t="inlineStr">
        <is>
          <t>台指14450P01</t>
        </is>
      </c>
      <c r="R32" s="61" t="n">
        <v>2</v>
      </c>
      <c r="S32" s="61" t="n">
        <v>14</v>
      </c>
      <c r="T32" s="104" t="n">
        <v>14450</v>
      </c>
      <c r="U32" s="61" t="n">
        <v>100</v>
      </c>
      <c r="V32" s="61" t="n">
        <v>2</v>
      </c>
      <c r="W32" s="104" t="n">
        <v>-1502</v>
      </c>
      <c r="X32" s="61" t="inlineStr">
        <is>
          <t>新台幣</t>
        </is>
      </c>
    </row>
    <row r="33">
      <c r="A33" s="62" t="n">
        <v>44747</v>
      </c>
      <c r="B33" s="61" t="inlineStr">
        <is>
          <t xml:space="preserve">	新台幣</t>
        </is>
      </c>
      <c r="C33" s="61" t="inlineStr">
        <is>
          <t xml:space="preserve">	24345</t>
        </is>
      </c>
      <c r="D33" s="61" t="inlineStr">
        <is>
          <t xml:space="preserve">	0</t>
        </is>
      </c>
      <c r="E33" s="61" t="inlineStr">
        <is>
          <t xml:space="preserve">	0</t>
        </is>
      </c>
      <c r="F33" s="61" t="inlineStr">
        <is>
          <t xml:space="preserve">	0</t>
        </is>
      </c>
      <c r="G33" s="61" t="inlineStr">
        <is>
          <t xml:space="preserve">	0</t>
        </is>
      </c>
      <c r="H33" s="61" t="inlineStr">
        <is>
          <t xml:space="preserve">	24345</t>
        </is>
      </c>
      <c r="I33" s="61" t="inlineStr">
        <is>
          <t xml:space="preserve">	0</t>
        </is>
      </c>
      <c r="J33" s="61" t="inlineStr">
        <is>
          <t xml:space="preserve">	24345</t>
        </is>
      </c>
      <c r="K33" s="61" t="inlineStr">
        <is>
          <t xml:space="preserve">	2100</t>
        </is>
      </c>
      <c r="L33" s="61" t="inlineStr">
        <is>
          <t xml:space="preserve">	26445</t>
        </is>
      </c>
      <c r="M33" s="61" t="inlineStr">
        <is>
          <t xml:space="preserve">	-2350</t>
        </is>
      </c>
      <c r="O33" s="181" t="n">
        <v>44956.58835648148</v>
      </c>
      <c r="P33" s="61" t="inlineStr">
        <is>
          <t>買進-&gt;賣出</t>
        </is>
      </c>
      <c r="Q33" s="61" t="inlineStr">
        <is>
          <t>台指14500P01</t>
        </is>
      </c>
      <c r="R33" s="61" t="n">
        <v>2</v>
      </c>
      <c r="S33" s="61" t="n">
        <v>17</v>
      </c>
      <c r="T33" s="104" t="n">
        <v>14500</v>
      </c>
      <c r="U33" s="61" t="n">
        <v>100</v>
      </c>
      <c r="V33" s="61" t="n">
        <v>2</v>
      </c>
      <c r="W33" s="104" t="n">
        <v>-1802</v>
      </c>
      <c r="X33" s="61" t="inlineStr">
        <is>
          <t>新台幣</t>
        </is>
      </c>
    </row>
    <row r="34">
      <c r="A34" s="62" t="n">
        <v>44754</v>
      </c>
      <c r="B34" s="61" t="inlineStr">
        <is>
          <t xml:space="preserve">	新台幣</t>
        </is>
      </c>
      <c r="C34" s="61" t="inlineStr">
        <is>
          <t xml:space="preserve">	27941</t>
        </is>
      </c>
      <c r="D34" s="61" t="inlineStr">
        <is>
          <t xml:space="preserve">	0</t>
        </is>
      </c>
      <c r="E34" s="61" t="inlineStr">
        <is>
          <t xml:space="preserve">	500</t>
        </is>
      </c>
      <c r="F34" s="61" t="inlineStr">
        <is>
          <t xml:space="preserve">	158</t>
        </is>
      </c>
      <c r="G34" s="61" t="inlineStr">
        <is>
          <t xml:space="preserve">	0</t>
        </is>
      </c>
      <c r="H34" s="61" t="inlineStr">
        <is>
          <t xml:space="preserve">	28283</t>
        </is>
      </c>
      <c r="I34" s="61" t="inlineStr">
        <is>
          <t xml:space="preserve">	0</t>
        </is>
      </c>
      <c r="J34" s="61" t="inlineStr">
        <is>
          <t xml:space="preserve">	28283</t>
        </is>
      </c>
      <c r="K34" s="61" t="inlineStr">
        <is>
          <t xml:space="preserve">	3050</t>
        </is>
      </c>
      <c r="L34" s="61" t="inlineStr">
        <is>
          <t xml:space="preserve">	31333</t>
        </is>
      </c>
      <c r="M34" s="61" t="inlineStr">
        <is>
          <t xml:space="preserve">	1550</t>
        </is>
      </c>
      <c r="O34" s="181" t="n">
        <v>44979.57420138889</v>
      </c>
      <c r="P34" s="61" t="inlineStr">
        <is>
          <t>買進-&gt;賣出</t>
        </is>
      </c>
      <c r="Q34" s="61" t="inlineStr">
        <is>
          <t>台指W415700C02</t>
        </is>
      </c>
      <c r="R34" s="61" t="n">
        <v>1</v>
      </c>
      <c r="S34" s="61" t="n">
        <v>16.5</v>
      </c>
      <c r="T34" s="104" t="n">
        <v>15700</v>
      </c>
      <c r="U34" s="61" t="n">
        <v>50</v>
      </c>
      <c r="V34" s="61" t="n">
        <v>1</v>
      </c>
      <c r="W34" s="61" t="n">
        <v>-876</v>
      </c>
      <c r="X34" s="61" t="inlineStr">
        <is>
          <t>新台幣</t>
        </is>
      </c>
    </row>
    <row r="35">
      <c r="A35" s="62" t="n">
        <v>44763</v>
      </c>
      <c r="B35" s="61" t="inlineStr">
        <is>
          <t xml:space="preserve">	新台幣</t>
        </is>
      </c>
      <c r="C35" s="61" t="inlineStr">
        <is>
          <t xml:space="preserve">	27383</t>
        </is>
      </c>
      <c r="D35" s="61" t="inlineStr">
        <is>
          <t xml:space="preserve">	0</t>
        </is>
      </c>
      <c r="E35" s="61" t="inlineStr">
        <is>
          <t xml:space="preserve">	-4350</t>
        </is>
      </c>
      <c r="F35" s="61" t="inlineStr">
        <is>
          <t xml:space="preserve">	54</t>
        </is>
      </c>
      <c r="G35" s="61" t="inlineStr">
        <is>
          <t xml:space="preserve">	0</t>
        </is>
      </c>
      <c r="H35" s="61" t="inlineStr">
        <is>
          <t xml:space="preserve">	22979</t>
        </is>
      </c>
      <c r="I35" s="61" t="inlineStr">
        <is>
          <t xml:space="preserve">	0</t>
        </is>
      </c>
      <c r="J35" s="61" t="inlineStr">
        <is>
          <t xml:space="preserve">	22979</t>
        </is>
      </c>
      <c r="K35" s="61" t="inlineStr">
        <is>
          <t xml:space="preserve">	1850</t>
        </is>
      </c>
      <c r="L35" s="61" t="inlineStr">
        <is>
          <t xml:space="preserve">	24829</t>
        </is>
      </c>
      <c r="M35" s="61" t="inlineStr">
        <is>
          <t xml:space="preserve">	-2500</t>
        </is>
      </c>
      <c r="O35" s="181" t="n">
        <v>45000.58273148148</v>
      </c>
      <c r="P35" s="61" t="inlineStr">
        <is>
          <t>買進-&gt;賣出</t>
        </is>
      </c>
      <c r="Q35" s="61" t="inlineStr">
        <is>
          <t>台指15300P03</t>
        </is>
      </c>
      <c r="R35" s="61" t="n">
        <v>1</v>
      </c>
      <c r="S35" s="61" t="n">
        <v>50</v>
      </c>
      <c r="T35" s="104" t="n">
        <v>15300</v>
      </c>
      <c r="U35" s="61" t="n">
        <v>50</v>
      </c>
      <c r="V35" s="61" t="n">
        <v>3</v>
      </c>
      <c r="W35" s="104" t="n">
        <v>-2553</v>
      </c>
      <c r="X35" s="61" t="inlineStr">
        <is>
          <t>新台幣</t>
        </is>
      </c>
    </row>
    <row r="36">
      <c r="A36" s="62" t="n">
        <v>44764</v>
      </c>
      <c r="B36" s="61" t="inlineStr">
        <is>
          <t xml:space="preserve">	新台幣</t>
        </is>
      </c>
      <c r="C36" s="61" t="inlineStr">
        <is>
          <t xml:space="preserve">	22979</t>
        </is>
      </c>
      <c r="D36" s="61" t="inlineStr">
        <is>
          <t xml:space="preserve">	0</t>
        </is>
      </c>
      <c r="E36" s="61" t="inlineStr">
        <is>
          <t xml:space="preserve">	0</t>
        </is>
      </c>
      <c r="F36" s="61" t="inlineStr">
        <is>
          <t xml:space="preserve">	0</t>
        </is>
      </c>
      <c r="G36" s="61" t="inlineStr">
        <is>
          <t xml:space="preserve">	0</t>
        </is>
      </c>
      <c r="H36" s="61" t="inlineStr">
        <is>
          <t xml:space="preserve">	22979</t>
        </is>
      </c>
      <c r="I36" s="61" t="inlineStr">
        <is>
          <t xml:space="preserve">	0</t>
        </is>
      </c>
      <c r="J36" s="61" t="inlineStr">
        <is>
          <t xml:space="preserve">	22979</t>
        </is>
      </c>
      <c r="K36" s="61" t="inlineStr">
        <is>
          <t xml:space="preserve">	1350</t>
        </is>
      </c>
      <c r="L36" s="61" t="inlineStr">
        <is>
          <t xml:space="preserve">	24329</t>
        </is>
      </c>
      <c r="M36" s="61" t="inlineStr">
        <is>
          <t xml:space="preserve">	-3000</t>
        </is>
      </c>
      <c r="O36" s="181" t="n">
        <v>45077.57557870371</v>
      </c>
      <c r="P36" s="61" t="inlineStr">
        <is>
          <t>買進-&gt;賣出</t>
        </is>
      </c>
      <c r="Q36" s="61" t="inlineStr">
        <is>
          <t>TX516800E3</t>
        </is>
      </c>
      <c r="R36" s="61" t="n">
        <v>1</v>
      </c>
      <c r="S36" s="61" t="n">
        <v>18.5</v>
      </c>
      <c r="T36" s="104" t="n">
        <v>16800</v>
      </c>
      <c r="U36" s="61" t="n">
        <v>50</v>
      </c>
      <c r="V36" s="61" t="n">
        <v>1</v>
      </c>
      <c r="W36" s="61" t="n">
        <v>-976</v>
      </c>
      <c r="X36" s="61" t="inlineStr">
        <is>
          <t>新台幣</t>
        </is>
      </c>
    </row>
    <row r="37">
      <c r="A37" s="62" t="n">
        <v>44767</v>
      </c>
      <c r="B37" s="61" t="inlineStr">
        <is>
          <t xml:space="preserve">	新台幣</t>
        </is>
      </c>
      <c r="C37" s="61" t="inlineStr">
        <is>
          <t xml:space="preserve">	22979</t>
        </is>
      </c>
      <c r="D37" s="61" t="inlineStr">
        <is>
          <t xml:space="preserve">	0</t>
        </is>
      </c>
      <c r="E37" s="61" t="inlineStr">
        <is>
          <t xml:space="preserve">	0</t>
        </is>
      </c>
      <c r="F37" s="61" t="inlineStr">
        <is>
          <t xml:space="preserve">	0</t>
        </is>
      </c>
      <c r="G37" s="61" t="inlineStr">
        <is>
          <t xml:space="preserve">	0</t>
        </is>
      </c>
      <c r="H37" s="61" t="inlineStr">
        <is>
          <t xml:space="preserve">	22979</t>
        </is>
      </c>
      <c r="I37" s="61" t="inlineStr">
        <is>
          <t xml:space="preserve">	0</t>
        </is>
      </c>
      <c r="J37" s="61" t="inlineStr">
        <is>
          <t xml:space="preserve">	22979</t>
        </is>
      </c>
      <c r="K37" s="61" t="inlineStr">
        <is>
          <t xml:space="preserve">	475</t>
        </is>
      </c>
      <c r="L37" s="61" t="inlineStr">
        <is>
          <t xml:space="preserve">	23454</t>
        </is>
      </c>
      <c r="M37" s="61" t="inlineStr">
        <is>
          <t xml:space="preserve">	-3875</t>
        </is>
      </c>
      <c r="O37" s="181" t="n">
        <v>45105.57612268518</v>
      </c>
      <c r="P37" s="61" t="inlineStr">
        <is>
          <t>買進-&gt;賣出</t>
        </is>
      </c>
      <c r="Q37" s="61" t="inlineStr">
        <is>
          <t>台指W416700P06</t>
        </is>
      </c>
      <c r="R37" s="61" t="n">
        <v>5</v>
      </c>
      <c r="S37" s="61" t="n">
        <v>2</v>
      </c>
      <c r="T37" s="104" t="n">
        <v>16700</v>
      </c>
      <c r="U37" s="61" t="n">
        <v>250</v>
      </c>
      <c r="V37" s="61" t="n">
        <v>0</v>
      </c>
      <c r="W37" s="61" t="n">
        <v>-750</v>
      </c>
      <c r="X37" s="61" t="inlineStr">
        <is>
          <t>新台幣</t>
        </is>
      </c>
    </row>
    <row r="38">
      <c r="A38" s="62" t="n">
        <v>44768</v>
      </c>
      <c r="B38" s="61" t="inlineStr">
        <is>
          <t xml:space="preserve">	新台幣</t>
        </is>
      </c>
      <c r="C38" s="61" t="inlineStr">
        <is>
          <t xml:space="preserve">	22979</t>
        </is>
      </c>
      <c r="D38" s="61" t="inlineStr">
        <is>
          <t xml:space="preserve">	0</t>
        </is>
      </c>
      <c r="E38" s="61" t="inlineStr">
        <is>
          <t xml:space="preserve">	0</t>
        </is>
      </c>
      <c r="F38" s="61" t="inlineStr">
        <is>
          <t xml:space="preserve">	0</t>
        </is>
      </c>
      <c r="G38" s="61" t="inlineStr">
        <is>
          <t xml:space="preserve">	0</t>
        </is>
      </c>
      <c r="H38" s="61" t="inlineStr">
        <is>
          <t xml:space="preserve">	22979</t>
        </is>
      </c>
      <c r="I38" s="61" t="inlineStr">
        <is>
          <t xml:space="preserve">	0</t>
        </is>
      </c>
      <c r="J38" s="61" t="inlineStr">
        <is>
          <t xml:space="preserve">	22979</t>
        </is>
      </c>
      <c r="K38" s="61" t="inlineStr">
        <is>
          <t xml:space="preserve">	250</t>
        </is>
      </c>
      <c r="L38" s="61" t="inlineStr">
        <is>
          <t xml:space="preserve">	23229</t>
        </is>
      </c>
      <c r="M38" s="61" t="inlineStr">
        <is>
          <t xml:space="preserve">	-4100</t>
        </is>
      </c>
      <c r="O38" s="181" t="n">
        <v>45119.57285879629</v>
      </c>
      <c r="P38" s="61" t="inlineStr">
        <is>
          <t>買進-&gt;賣出</t>
        </is>
      </c>
      <c r="Q38" s="61" t="inlineStr">
        <is>
          <t>台指W216400P07</t>
        </is>
      </c>
      <c r="R38" s="61" t="n">
        <v>1</v>
      </c>
      <c r="S38" s="61" t="n">
        <v>12</v>
      </c>
      <c r="T38" s="104" t="n">
        <v>16400</v>
      </c>
      <c r="U38" s="61" t="n">
        <v>50</v>
      </c>
      <c r="V38" s="61" t="n">
        <v>1</v>
      </c>
      <c r="W38" s="61" t="n">
        <v>-651</v>
      </c>
      <c r="X38" s="61" t="inlineStr">
        <is>
          <t>新台幣</t>
        </is>
      </c>
    </row>
    <row r="39">
      <c r="A39" s="62" t="n">
        <v>44837</v>
      </c>
      <c r="B39" s="61" t="inlineStr">
        <is>
          <t xml:space="preserve">	新台幣</t>
        </is>
      </c>
      <c r="C39" s="61" t="inlineStr">
        <is>
          <t xml:space="preserve">	22979</t>
        </is>
      </c>
      <c r="D39" s="61" t="inlineStr">
        <is>
          <t xml:space="preserve">	0</t>
        </is>
      </c>
      <c r="E39" s="61" t="inlineStr">
        <is>
          <t xml:space="preserve">	-3000</t>
        </is>
      </c>
      <c r="F39" s="61" t="inlineStr">
        <is>
          <t xml:space="preserve">	53</t>
        </is>
      </c>
      <c r="G39" s="61" t="inlineStr">
        <is>
          <t xml:space="preserve">	0</t>
        </is>
      </c>
      <c r="H39" s="61" t="inlineStr">
        <is>
          <t xml:space="preserve">	19926</t>
        </is>
      </c>
      <c r="I39" s="61" t="inlineStr">
        <is>
          <t xml:space="preserve">	0</t>
        </is>
      </c>
      <c r="J39" s="61" t="inlineStr">
        <is>
          <t xml:space="preserve">	19926</t>
        </is>
      </c>
      <c r="K39" s="61" t="inlineStr">
        <is>
          <t xml:space="preserve">	2350</t>
        </is>
      </c>
      <c r="L39" s="61" t="inlineStr">
        <is>
          <t xml:space="preserve">	22276</t>
        </is>
      </c>
      <c r="M39" s="61" t="inlineStr">
        <is>
          <t xml:space="preserve">	-650</t>
        </is>
      </c>
      <c r="O39" s="181" t="n">
        <v>45119.57289351852</v>
      </c>
      <c r="P39" s="61" t="inlineStr">
        <is>
          <t>買進-&gt;賣出</t>
        </is>
      </c>
      <c r="Q39" s="61" t="inlineStr">
        <is>
          <t>台指W216600P07</t>
        </is>
      </c>
      <c r="R39" s="61" t="n">
        <v>2</v>
      </c>
      <c r="S39" s="61" t="n">
        <v>5</v>
      </c>
      <c r="T39" s="104" t="n">
        <v>16600</v>
      </c>
      <c r="U39" s="61" t="n">
        <v>100</v>
      </c>
      <c r="V39" s="61" t="n">
        <v>0</v>
      </c>
      <c r="W39" s="61" t="n">
        <v>-600</v>
      </c>
      <c r="X39" s="61" t="inlineStr">
        <is>
          <t>新台幣</t>
        </is>
      </c>
    </row>
    <row r="40">
      <c r="A40" s="62" t="n">
        <v>44838</v>
      </c>
      <c r="B40" s="61" t="inlineStr">
        <is>
          <t xml:space="preserve">	新台幣</t>
        </is>
      </c>
      <c r="C40" s="61" t="inlineStr">
        <is>
          <t xml:space="preserve">	19926</t>
        </is>
      </c>
      <c r="D40" s="61" t="inlineStr">
        <is>
          <t xml:space="preserve">	0</t>
        </is>
      </c>
      <c r="E40" s="61" t="inlineStr">
        <is>
          <t xml:space="preserve">	0</t>
        </is>
      </c>
      <c r="F40" s="61" t="inlineStr">
        <is>
          <t xml:space="preserve">	0</t>
        </is>
      </c>
      <c r="G40" s="61" t="inlineStr">
        <is>
          <t xml:space="preserve">	0</t>
        </is>
      </c>
      <c r="H40" s="61" t="inlineStr">
        <is>
          <t xml:space="preserve">	19926</t>
        </is>
      </c>
      <c r="I40" s="61" t="inlineStr">
        <is>
          <t xml:space="preserve">	0</t>
        </is>
      </c>
      <c r="J40" s="61" t="inlineStr">
        <is>
          <t xml:space="preserve">	19926</t>
        </is>
      </c>
      <c r="K40" s="61" t="inlineStr">
        <is>
          <t xml:space="preserve">	95</t>
        </is>
      </c>
      <c r="L40" s="61" t="inlineStr">
        <is>
          <t xml:space="preserve">	20021</t>
        </is>
      </c>
      <c r="M40" s="61" t="inlineStr">
        <is>
          <t xml:space="preserve">	-2905</t>
        </is>
      </c>
      <c r="O40" s="181" t="n">
        <v>45119.57289351852</v>
      </c>
      <c r="P40" s="61" t="inlineStr">
        <is>
          <t>買進-&gt;賣出</t>
        </is>
      </c>
      <c r="Q40" s="61" t="inlineStr">
        <is>
          <t>台指W216650P07</t>
        </is>
      </c>
      <c r="R40" s="61" t="n">
        <v>2</v>
      </c>
      <c r="S40" s="61" t="n">
        <v>8</v>
      </c>
      <c r="T40" s="104" t="n">
        <v>16650</v>
      </c>
      <c r="U40" s="61" t="n">
        <v>100</v>
      </c>
      <c r="V40" s="61" t="n">
        <v>0</v>
      </c>
      <c r="W40" s="61" t="n">
        <v>-900</v>
      </c>
      <c r="X40" s="61" t="inlineStr">
        <is>
          <t>新台幣</t>
        </is>
      </c>
    </row>
    <row r="41">
      <c r="A41" s="62" t="n">
        <v>44851</v>
      </c>
      <c r="B41" s="61" t="inlineStr">
        <is>
          <t xml:space="preserve">	新台幣</t>
        </is>
      </c>
      <c r="C41" s="61" t="inlineStr">
        <is>
          <t xml:space="preserve">	19926</t>
        </is>
      </c>
      <c r="D41" s="61" t="inlineStr">
        <is>
          <t xml:space="preserve">	0</t>
        </is>
      </c>
      <c r="E41" s="61" t="inlineStr">
        <is>
          <t xml:space="preserve">	-850</t>
        </is>
      </c>
      <c r="F41" s="61" t="inlineStr">
        <is>
          <t xml:space="preserve">	51</t>
        </is>
      </c>
      <c r="G41" s="61" t="inlineStr">
        <is>
          <t xml:space="preserve">	0</t>
        </is>
      </c>
      <c r="H41" s="61" t="inlineStr">
        <is>
          <t xml:space="preserve">	19025</t>
        </is>
      </c>
      <c r="I41" s="61" t="inlineStr">
        <is>
          <t xml:space="preserve">	0</t>
        </is>
      </c>
      <c r="J41" s="61" t="inlineStr">
        <is>
          <t xml:space="preserve">	19025</t>
        </is>
      </c>
      <c r="K41" s="61" t="inlineStr">
        <is>
          <t xml:space="preserve">	410</t>
        </is>
      </c>
      <c r="L41" s="61" t="inlineStr">
        <is>
          <t xml:space="preserve">	19435</t>
        </is>
      </c>
      <c r="M41" s="61" t="inlineStr">
        <is>
          <t xml:space="preserve">	-440</t>
        </is>
      </c>
    </row>
    <row r="42">
      <c r="A42" s="62" t="n">
        <v>44852</v>
      </c>
      <c r="B42" s="61" t="inlineStr">
        <is>
          <t xml:space="preserve">	新台幣</t>
        </is>
      </c>
      <c r="C42" s="61" t="inlineStr">
        <is>
          <t xml:space="preserve">	19025</t>
        </is>
      </c>
      <c r="D42" s="61" t="inlineStr">
        <is>
          <t xml:space="preserve">	0</t>
        </is>
      </c>
      <c r="E42" s="61" t="inlineStr">
        <is>
          <t xml:space="preserve">	0</t>
        </is>
      </c>
      <c r="F42" s="61" t="inlineStr">
        <is>
          <t xml:space="preserve">	0</t>
        </is>
      </c>
      <c r="G42" s="61" t="inlineStr">
        <is>
          <t xml:space="preserve">	0</t>
        </is>
      </c>
      <c r="H42" s="61" t="inlineStr">
        <is>
          <t xml:space="preserve">	19025</t>
        </is>
      </c>
      <c r="I42" s="61" t="inlineStr">
        <is>
          <t xml:space="preserve">	0</t>
        </is>
      </c>
      <c r="J42" s="61" t="inlineStr">
        <is>
          <t xml:space="preserve">	19025</t>
        </is>
      </c>
      <c r="K42" s="61" t="inlineStr">
        <is>
          <t xml:space="preserve">	65</t>
        </is>
      </c>
      <c r="L42" s="61" t="inlineStr">
        <is>
          <t xml:space="preserve">	19090</t>
        </is>
      </c>
      <c r="M42" s="61" t="inlineStr">
        <is>
          <t xml:space="preserve">	-785</t>
        </is>
      </c>
    </row>
    <row r="43">
      <c r="A43" s="62" t="n">
        <v>44901</v>
      </c>
      <c r="B43" s="61" t="inlineStr">
        <is>
          <t xml:space="preserve">	新台幣</t>
        </is>
      </c>
      <c r="C43" s="61" t="inlineStr">
        <is>
          <t xml:space="preserve">	19025</t>
        </is>
      </c>
      <c r="D43" s="61" t="inlineStr">
        <is>
          <t xml:space="preserve">	0</t>
        </is>
      </c>
      <c r="E43" s="61" t="inlineStr">
        <is>
          <t xml:space="preserve">	-1550</t>
        </is>
      </c>
      <c r="F43" s="61" t="inlineStr">
        <is>
          <t xml:space="preserve">	206</t>
        </is>
      </c>
      <c r="G43" s="61" t="inlineStr">
        <is>
          <t xml:space="preserve">	0</t>
        </is>
      </c>
      <c r="H43" s="61" t="inlineStr">
        <is>
          <t xml:space="preserve">	17269</t>
        </is>
      </c>
      <c r="I43" s="61" t="inlineStr">
        <is>
          <t xml:space="preserve">	0</t>
        </is>
      </c>
      <c r="J43" s="61" t="inlineStr">
        <is>
          <t xml:space="preserve">	17269</t>
        </is>
      </c>
      <c r="K43" s="61" t="inlineStr">
        <is>
          <t xml:space="preserve">	80</t>
        </is>
      </c>
      <c r="L43" s="61" t="inlineStr">
        <is>
          <t xml:space="preserve">	17349</t>
        </is>
      </c>
      <c r="M43" s="61" t="inlineStr">
        <is>
          <t xml:space="preserve">	-1470</t>
        </is>
      </c>
      <c r="O43" s="61" t="inlineStr">
        <is>
          <t>成交時間</t>
        </is>
      </c>
      <c r="P43" s="61" t="inlineStr">
        <is>
          <t>買賣別</t>
        </is>
      </c>
      <c r="Q43" s="61" t="inlineStr">
        <is>
          <t>商品名稱</t>
        </is>
      </c>
      <c r="R43" s="61" t="inlineStr">
        <is>
          <t>成交口數</t>
        </is>
      </c>
      <c r="S43" s="61" t="inlineStr">
        <is>
          <t>成交價</t>
        </is>
      </c>
      <c r="T43" s="61" t="inlineStr">
        <is>
          <t>手續費</t>
        </is>
      </c>
      <c r="U43" s="61" t="inlineStr">
        <is>
          <t>交易稅</t>
        </is>
      </c>
      <c r="V43" s="61" t="inlineStr">
        <is>
          <t>成交收付</t>
        </is>
      </c>
      <c r="W43" s="61" t="inlineStr">
        <is>
          <t>委託書號</t>
        </is>
      </c>
      <c r="X43" s="61" t="inlineStr">
        <is>
          <t>倉別</t>
        </is>
      </c>
      <c r="Y43" s="61" t="inlineStr">
        <is>
          <t>幣別</t>
        </is>
      </c>
    </row>
    <row r="44">
      <c r="A44" s="62" t="n">
        <v>44907</v>
      </c>
      <c r="B44" s="61" t="inlineStr">
        <is>
          <t xml:space="preserve">	新台幣</t>
        </is>
      </c>
      <c r="C44" s="61" t="inlineStr">
        <is>
          <t xml:space="preserve">	17269</t>
        </is>
      </c>
      <c r="D44" s="61" t="inlineStr">
        <is>
          <t xml:space="preserve">	0</t>
        </is>
      </c>
      <c r="E44" s="61" t="inlineStr">
        <is>
          <t xml:space="preserve">	-2000</t>
        </is>
      </c>
      <c r="F44" s="61" t="inlineStr">
        <is>
          <t xml:space="preserve">	52</t>
        </is>
      </c>
      <c r="G44" s="61" t="inlineStr">
        <is>
          <t xml:space="preserve">	0</t>
        </is>
      </c>
      <c r="H44" s="61" t="inlineStr">
        <is>
          <t xml:space="preserve">	15217</t>
        </is>
      </c>
      <c r="I44" s="61" t="inlineStr">
        <is>
          <t xml:space="preserve">	0</t>
        </is>
      </c>
      <c r="J44" s="61" t="inlineStr">
        <is>
          <t xml:space="preserve">	15217</t>
        </is>
      </c>
      <c r="K44" s="61" t="inlineStr">
        <is>
          <t xml:space="preserve">	1475</t>
        </is>
      </c>
      <c r="L44" s="61" t="inlineStr">
        <is>
          <t xml:space="preserve">	16692</t>
        </is>
      </c>
      <c r="M44" s="61" t="inlineStr">
        <is>
          <t xml:space="preserve">	-525</t>
        </is>
      </c>
      <c r="O44" s="181" t="n">
        <v>45118.43817129629</v>
      </c>
      <c r="P44" s="61" t="inlineStr">
        <is>
          <t>買進</t>
        </is>
      </c>
      <c r="Q44" s="61" t="inlineStr">
        <is>
          <t>台指W216600P07</t>
        </is>
      </c>
      <c r="R44" s="61" t="n">
        <v>2</v>
      </c>
      <c r="S44" s="61" t="n">
        <v>5</v>
      </c>
      <c r="T44" s="61" t="n">
        <v>100</v>
      </c>
      <c r="U44" s="61" t="n">
        <v>0</v>
      </c>
      <c r="V44" s="61" t="n">
        <v>-500</v>
      </c>
      <c r="W44" s="61" t="inlineStr">
        <is>
          <t>s0531</t>
        </is>
      </c>
      <c r="X44" s="61" t="inlineStr">
        <is>
          <t>新倉</t>
        </is>
      </c>
      <c r="Y44" s="61" t="inlineStr">
        <is>
          <t>新台幣</t>
        </is>
      </c>
    </row>
    <row r="45">
      <c r="A45" s="62" t="n">
        <v>44908</v>
      </c>
      <c r="B45" s="61" t="inlineStr">
        <is>
          <t xml:space="preserve">	新台幣</t>
        </is>
      </c>
      <c r="C45" s="61" t="inlineStr">
        <is>
          <t xml:space="preserve">	15217</t>
        </is>
      </c>
      <c r="D45" s="61" t="inlineStr">
        <is>
          <t xml:space="preserve">	0</t>
        </is>
      </c>
      <c r="E45" s="61" t="inlineStr">
        <is>
          <t xml:space="preserve">	0</t>
        </is>
      </c>
      <c r="F45" s="61" t="inlineStr">
        <is>
          <t xml:space="preserve">	0</t>
        </is>
      </c>
      <c r="G45" s="61" t="inlineStr">
        <is>
          <t xml:space="preserve">	0</t>
        </is>
      </c>
      <c r="H45" s="61" t="inlineStr">
        <is>
          <t xml:space="preserve">	15217</t>
        </is>
      </c>
      <c r="I45" s="61" t="inlineStr">
        <is>
          <t xml:space="preserve">	0</t>
        </is>
      </c>
      <c r="J45" s="61" t="inlineStr">
        <is>
          <t xml:space="preserve">	15217</t>
        </is>
      </c>
      <c r="K45" s="61" t="inlineStr">
        <is>
          <t xml:space="preserve">	2050</t>
        </is>
      </c>
      <c r="L45" s="61" t="inlineStr">
        <is>
          <t xml:space="preserve">	17267</t>
        </is>
      </c>
      <c r="M45" s="61" t="inlineStr">
        <is>
          <t xml:space="preserve">	50</t>
        </is>
      </c>
      <c r="O45" s="181" t="n">
        <v>45118.43775462963</v>
      </c>
      <c r="P45" s="61" t="inlineStr">
        <is>
          <t>買進</t>
        </is>
      </c>
      <c r="Q45" s="61" t="inlineStr">
        <is>
          <t>台指W216650P07</t>
        </is>
      </c>
      <c r="R45" s="61" t="n">
        <v>2</v>
      </c>
      <c r="S45" s="61" t="n">
        <v>8</v>
      </c>
      <c r="T45" s="61" t="n">
        <v>100</v>
      </c>
      <c r="U45" s="61" t="n">
        <v>0</v>
      </c>
      <c r="V45" s="61" t="n">
        <v>-800</v>
      </c>
      <c r="W45" s="61" t="inlineStr">
        <is>
          <t>s0514</t>
        </is>
      </c>
      <c r="X45" s="61" t="inlineStr">
        <is>
          <t>新倉</t>
        </is>
      </c>
      <c r="Y45" s="61" t="inlineStr">
        <is>
          <t>新台幣</t>
        </is>
      </c>
    </row>
    <row r="46">
      <c r="A46" s="62" t="n">
        <v>44944</v>
      </c>
      <c r="B46" s="61" t="inlineStr">
        <is>
          <t xml:space="preserve">	新台幣</t>
        </is>
      </c>
      <c r="C46" s="61" t="inlineStr">
        <is>
          <t xml:space="preserve">	15217</t>
        </is>
      </c>
      <c r="D46" s="61" t="inlineStr">
        <is>
          <t xml:space="preserve">	0</t>
        </is>
      </c>
      <c r="E46" s="61" t="inlineStr">
        <is>
          <t xml:space="preserve">	-3100</t>
        </is>
      </c>
      <c r="F46" s="61" t="inlineStr">
        <is>
          <t xml:space="preserve">	204</t>
        </is>
      </c>
      <c r="G46" s="61" t="inlineStr">
        <is>
          <t xml:space="preserve">	0</t>
        </is>
      </c>
      <c r="H46" s="61" t="inlineStr">
        <is>
          <t xml:space="preserve">	11913</t>
        </is>
      </c>
      <c r="I46" s="61" t="inlineStr">
        <is>
          <t xml:space="preserve">	0</t>
        </is>
      </c>
      <c r="J46" s="61" t="inlineStr">
        <is>
          <t xml:space="preserve">	11913</t>
        </is>
      </c>
      <c r="K46" s="61" t="inlineStr">
        <is>
          <t xml:space="preserve">	4100</t>
        </is>
      </c>
      <c r="L46" s="61" t="inlineStr">
        <is>
          <t xml:space="preserve">	16013</t>
        </is>
      </c>
      <c r="M46" s="61" t="inlineStr">
        <is>
          <t xml:space="preserve">	1000</t>
        </is>
      </c>
      <c r="O46" s="181" t="n">
        <v>45117.54172453703</v>
      </c>
      <c r="P46" s="61" t="inlineStr">
        <is>
          <t>買進</t>
        </is>
      </c>
      <c r="Q46" s="61" t="inlineStr">
        <is>
          <t>台指W216400P07</t>
        </is>
      </c>
      <c r="R46" s="61" t="n">
        <v>1</v>
      </c>
      <c r="S46" s="61" t="n">
        <v>12</v>
      </c>
      <c r="T46" s="61" t="n">
        <v>50</v>
      </c>
      <c r="U46" s="61" t="n">
        <v>1</v>
      </c>
      <c r="V46" s="61" t="n">
        <v>-600</v>
      </c>
      <c r="W46" s="61" t="inlineStr">
        <is>
          <t>s06xo</t>
        </is>
      </c>
      <c r="X46" s="61" t="inlineStr">
        <is>
          <t>新倉</t>
        </is>
      </c>
      <c r="Y46" s="61" t="inlineStr">
        <is>
          <t>新台幣</t>
        </is>
      </c>
    </row>
    <row r="47">
      <c r="A47" s="62" t="n">
        <v>44956</v>
      </c>
      <c r="B47" s="61" t="inlineStr">
        <is>
          <t xml:space="preserve">	新台幣</t>
        </is>
      </c>
      <c r="C47" s="61" t="inlineStr">
        <is>
          <t xml:space="preserve">	11913</t>
        </is>
      </c>
      <c r="D47" s="61" t="inlineStr">
        <is>
          <t xml:space="preserve">	0</t>
        </is>
      </c>
      <c r="E47" s="61" t="inlineStr">
        <is>
          <t xml:space="preserve">	0</t>
        </is>
      </c>
      <c r="F47" s="61" t="inlineStr">
        <is>
          <t xml:space="preserve">	0</t>
        </is>
      </c>
      <c r="G47" s="61" t="inlineStr">
        <is>
          <t xml:space="preserve">	0</t>
        </is>
      </c>
      <c r="H47" s="61" t="inlineStr">
        <is>
          <t xml:space="preserve">	11913</t>
        </is>
      </c>
      <c r="I47" s="61" t="inlineStr">
        <is>
          <t xml:space="preserve">	0</t>
        </is>
      </c>
      <c r="J47" s="61" t="inlineStr">
        <is>
          <t xml:space="preserve">	11913</t>
        </is>
      </c>
      <c r="K47" s="61" t="inlineStr">
        <is>
          <t xml:space="preserve">	0</t>
        </is>
      </c>
      <c r="L47" s="61" t="inlineStr">
        <is>
          <t xml:space="preserve">	11913</t>
        </is>
      </c>
      <c r="M47" s="61" t="inlineStr">
        <is>
          <t xml:space="preserve">	0</t>
        </is>
      </c>
      <c r="O47" s="181" t="n">
        <v>45104.97880787037</v>
      </c>
      <c r="P47" s="61" t="inlineStr">
        <is>
          <t>買進</t>
        </is>
      </c>
      <c r="Q47" s="61" t="inlineStr">
        <is>
          <t>台指W416700P06</t>
        </is>
      </c>
      <c r="R47" s="61" t="n">
        <v>5</v>
      </c>
      <c r="S47" s="61" t="n">
        <v>2</v>
      </c>
      <c r="T47" s="61" t="n">
        <v>250</v>
      </c>
      <c r="U47" s="61" t="n">
        <v>0</v>
      </c>
      <c r="V47" s="61" t="n">
        <v>-500</v>
      </c>
      <c r="W47" s="61" t="inlineStr">
        <is>
          <t>a02GL</t>
        </is>
      </c>
      <c r="X47" s="61" t="inlineStr">
        <is>
          <t>新倉</t>
        </is>
      </c>
      <c r="Y47" s="61" t="inlineStr">
        <is>
          <t>新台幣</t>
        </is>
      </c>
    </row>
    <row r="48">
      <c r="A48" s="62" t="n">
        <v>44977</v>
      </c>
      <c r="B48" s="61" t="inlineStr">
        <is>
          <t xml:space="preserve">	新台幣</t>
        </is>
      </c>
      <c r="C48" s="61" t="inlineStr">
        <is>
          <t xml:space="preserve">	11913</t>
        </is>
      </c>
      <c r="D48" s="61" t="inlineStr">
        <is>
          <t xml:space="preserve">	0</t>
        </is>
      </c>
      <c r="E48" s="61" t="inlineStr">
        <is>
          <t xml:space="preserve">	-825</t>
        </is>
      </c>
      <c r="F48" s="61" t="inlineStr">
        <is>
          <t xml:space="preserve">	51</t>
        </is>
      </c>
      <c r="G48" s="61" t="inlineStr">
        <is>
          <t xml:space="preserve">	0</t>
        </is>
      </c>
      <c r="H48" s="61" t="inlineStr">
        <is>
          <t xml:space="preserve">	11037</t>
        </is>
      </c>
      <c r="I48" s="61" t="inlineStr">
        <is>
          <t xml:space="preserve">	0</t>
        </is>
      </c>
      <c r="J48" s="61" t="inlineStr">
        <is>
          <t xml:space="preserve">	11037</t>
        </is>
      </c>
      <c r="K48" s="61" t="inlineStr">
        <is>
          <t xml:space="preserve">	650</t>
        </is>
      </c>
      <c r="L48" s="61" t="inlineStr">
        <is>
          <t xml:space="preserve">	11687</t>
        </is>
      </c>
      <c r="M48" s="61" t="inlineStr">
        <is>
          <t xml:space="preserve">	-175</t>
        </is>
      </c>
      <c r="O48" s="181" t="n">
        <v>45075.53280092592</v>
      </c>
      <c r="P48" s="61" t="inlineStr">
        <is>
          <t>買進</t>
        </is>
      </c>
      <c r="Q48" s="61" t="inlineStr">
        <is>
          <t>TX516800E3</t>
        </is>
      </c>
      <c r="R48" s="61" t="n">
        <v>1</v>
      </c>
      <c r="S48" s="61" t="n">
        <v>18.5</v>
      </c>
      <c r="T48" s="61" t="n">
        <v>50</v>
      </c>
      <c r="U48" s="61" t="n">
        <v>1</v>
      </c>
      <c r="V48" s="61" t="n">
        <v>-925</v>
      </c>
      <c r="W48" s="61" t="inlineStr">
        <is>
          <t>s05qC</t>
        </is>
      </c>
      <c r="X48" s="61" t="inlineStr">
        <is>
          <t>新倉</t>
        </is>
      </c>
      <c r="Y48" s="61" t="inlineStr">
        <is>
          <t>新台幣</t>
        </is>
      </c>
    </row>
    <row r="49">
      <c r="A49" s="62" t="n">
        <v>44978</v>
      </c>
      <c r="B49" s="61" t="inlineStr">
        <is>
          <t xml:space="preserve">	新台幣</t>
        </is>
      </c>
      <c r="C49" s="61" t="inlineStr">
        <is>
          <t xml:space="preserve">	11037</t>
        </is>
      </c>
      <c r="D49" s="61" t="inlineStr">
        <is>
          <t xml:space="preserve">	0</t>
        </is>
      </c>
      <c r="E49" s="61" t="inlineStr">
        <is>
          <t xml:space="preserve">	0</t>
        </is>
      </c>
      <c r="F49" s="61" t="inlineStr">
        <is>
          <t xml:space="preserve">	0</t>
        </is>
      </c>
      <c r="G49" s="61" t="inlineStr">
        <is>
          <t xml:space="preserve">	0</t>
        </is>
      </c>
      <c r="H49" s="61" t="inlineStr">
        <is>
          <t xml:space="preserve">	11037</t>
        </is>
      </c>
      <c r="I49" s="61" t="inlineStr">
        <is>
          <t xml:space="preserve">	0</t>
        </is>
      </c>
      <c r="J49" s="61" t="inlineStr">
        <is>
          <t xml:space="preserve">	11037</t>
        </is>
      </c>
      <c r="K49" s="61" t="inlineStr">
        <is>
          <t xml:space="preserve">	295</t>
        </is>
      </c>
      <c r="L49" s="61" t="inlineStr">
        <is>
          <t xml:space="preserve">	11332</t>
        </is>
      </c>
      <c r="M49" s="61" t="inlineStr">
        <is>
          <t xml:space="preserve">	-530</t>
        </is>
      </c>
      <c r="O49" s="181" t="n">
        <v>44998.42601851852</v>
      </c>
      <c r="P49" s="61" t="inlineStr">
        <is>
          <t>買進</t>
        </is>
      </c>
      <c r="Q49" s="61" t="inlineStr">
        <is>
          <t>台指15300P03</t>
        </is>
      </c>
      <c r="R49" s="61" t="n">
        <v>1</v>
      </c>
      <c r="S49" s="61" t="n">
        <v>50</v>
      </c>
      <c r="T49" s="61" t="n">
        <v>50</v>
      </c>
      <c r="U49" s="61" t="n">
        <v>3</v>
      </c>
      <c r="V49" s="104" t="n">
        <v>-2500</v>
      </c>
      <c r="W49" s="61" t="inlineStr">
        <is>
          <t>s04Sa</t>
        </is>
      </c>
      <c r="X49" s="61" t="inlineStr">
        <is>
          <t>新倉</t>
        </is>
      </c>
      <c r="Y49" s="61" t="inlineStr">
        <is>
          <t>新台幣</t>
        </is>
      </c>
    </row>
    <row r="50">
      <c r="A50" s="62" t="n">
        <v>44998</v>
      </c>
      <c r="B50" s="61" t="inlineStr">
        <is>
          <t xml:space="preserve">	新台幣</t>
        </is>
      </c>
      <c r="C50" s="61" t="inlineStr">
        <is>
          <t xml:space="preserve">	11037</t>
        </is>
      </c>
      <c r="D50" s="61" t="inlineStr">
        <is>
          <t xml:space="preserve">	0</t>
        </is>
      </c>
      <c r="E50" s="61" t="inlineStr">
        <is>
          <t xml:space="preserve">	-2500</t>
        </is>
      </c>
      <c r="F50" s="61" t="inlineStr">
        <is>
          <t xml:space="preserve">	53</t>
        </is>
      </c>
      <c r="G50" s="61" t="inlineStr">
        <is>
          <t xml:space="preserve">	0</t>
        </is>
      </c>
      <c r="H50" s="61" t="inlineStr">
        <is>
          <t xml:space="preserve">	8484</t>
        </is>
      </c>
      <c r="I50" s="61" t="inlineStr">
        <is>
          <t xml:space="preserve">	0</t>
        </is>
      </c>
      <c r="J50" s="61" t="inlineStr">
        <is>
          <t xml:space="preserve">	8484</t>
        </is>
      </c>
      <c r="K50" s="61" t="inlineStr">
        <is>
          <t xml:space="preserve">	1525</t>
        </is>
      </c>
      <c r="L50" s="61" t="inlineStr">
        <is>
          <t xml:space="preserve">	10009</t>
        </is>
      </c>
      <c r="M50" s="61" t="inlineStr">
        <is>
          <t xml:space="preserve">	-975</t>
        </is>
      </c>
      <c r="O50" s="181" t="n">
        <v>44977.52929398148</v>
      </c>
      <c r="P50" s="61" t="inlineStr">
        <is>
          <t>買進</t>
        </is>
      </c>
      <c r="Q50" s="61" t="inlineStr">
        <is>
          <t>台指W415700C02</t>
        </is>
      </c>
      <c r="R50" s="61" t="n">
        <v>1</v>
      </c>
      <c r="S50" s="61" t="n">
        <v>16.5</v>
      </c>
      <c r="T50" s="61" t="n">
        <v>50</v>
      </c>
      <c r="U50" s="61" t="n">
        <v>1</v>
      </c>
      <c r="V50" s="61" t="n">
        <v>-825</v>
      </c>
      <c r="W50" s="61" t="inlineStr">
        <is>
          <t>s09Oe</t>
        </is>
      </c>
      <c r="X50" s="61" t="inlineStr">
        <is>
          <t>新倉</t>
        </is>
      </c>
      <c r="Y50" s="61" t="inlineStr">
        <is>
          <t>新台幣</t>
        </is>
      </c>
    </row>
    <row r="51">
      <c r="A51" s="62" t="n">
        <v>44999</v>
      </c>
      <c r="B51" s="61" t="inlineStr">
        <is>
          <t xml:space="preserve">	新台幣</t>
        </is>
      </c>
      <c r="C51" s="61" t="inlineStr">
        <is>
          <t xml:space="preserve">	8484</t>
        </is>
      </c>
      <c r="D51" s="61" t="inlineStr">
        <is>
          <t xml:space="preserve">	0</t>
        </is>
      </c>
      <c r="E51" s="61" t="inlineStr">
        <is>
          <t xml:space="preserve">	0</t>
        </is>
      </c>
      <c r="F51" s="61" t="inlineStr">
        <is>
          <t xml:space="preserve">	0</t>
        </is>
      </c>
      <c r="G51" s="61" t="inlineStr">
        <is>
          <t xml:space="preserve">	0</t>
        </is>
      </c>
      <c r="H51" s="61" t="inlineStr">
        <is>
          <t xml:space="preserve">	8484</t>
        </is>
      </c>
      <c r="I51" s="61" t="inlineStr">
        <is>
          <t xml:space="preserve">	0</t>
        </is>
      </c>
      <c r="J51" s="61" t="inlineStr">
        <is>
          <t xml:space="preserve">	8484</t>
        </is>
      </c>
      <c r="K51" s="61" t="inlineStr">
        <is>
          <t xml:space="preserve">	3400</t>
        </is>
      </c>
      <c r="L51" s="61" t="inlineStr">
        <is>
          <t xml:space="preserve">	11884</t>
        </is>
      </c>
      <c r="M51" s="61" t="inlineStr">
        <is>
          <t xml:space="preserve">	900</t>
        </is>
      </c>
      <c r="O51" s="181" t="n">
        <v>44944.02094907407</v>
      </c>
      <c r="P51" s="61" t="inlineStr">
        <is>
          <t>買進</t>
        </is>
      </c>
      <c r="Q51" s="61" t="inlineStr">
        <is>
          <t>台指14500P01</t>
        </is>
      </c>
      <c r="R51" s="61" t="n">
        <v>2</v>
      </c>
      <c r="S51" s="61" t="n">
        <v>17</v>
      </c>
      <c r="T51" s="61" t="n">
        <v>100</v>
      </c>
      <c r="U51" s="61" t="n">
        <v>2</v>
      </c>
      <c r="V51" s="104" t="n">
        <v>-1700</v>
      </c>
      <c r="W51" s="61" t="inlineStr">
        <is>
          <t>a02qB</t>
        </is>
      </c>
      <c r="X51" s="61" t="inlineStr">
        <is>
          <t>新倉</t>
        </is>
      </c>
      <c r="Y51" s="61" t="inlineStr">
        <is>
          <t>新台幣</t>
        </is>
      </c>
    </row>
    <row r="52">
      <c r="A52" s="62" t="n">
        <v>45075</v>
      </c>
      <c r="B52" s="61" t="inlineStr">
        <is>
          <t xml:space="preserve">	新台幣</t>
        </is>
      </c>
      <c r="C52" s="61" t="inlineStr">
        <is>
          <t xml:space="preserve">	8484</t>
        </is>
      </c>
      <c r="D52" s="61" t="inlineStr">
        <is>
          <t xml:space="preserve">	0</t>
        </is>
      </c>
      <c r="E52" s="61" t="inlineStr">
        <is>
          <t xml:space="preserve">	-925</t>
        </is>
      </c>
      <c r="F52" s="61" t="inlineStr">
        <is>
          <t xml:space="preserve">	51</t>
        </is>
      </c>
      <c r="G52" s="61" t="inlineStr">
        <is>
          <t xml:space="preserve">	0</t>
        </is>
      </c>
      <c r="H52" s="61" t="inlineStr">
        <is>
          <t xml:space="preserve">	7508</t>
        </is>
      </c>
      <c r="I52" s="61" t="inlineStr">
        <is>
          <t xml:space="preserve">	0</t>
        </is>
      </c>
      <c r="J52" s="61" t="inlineStr">
        <is>
          <t xml:space="preserve">	7508</t>
        </is>
      </c>
      <c r="K52" s="61" t="inlineStr">
        <is>
          <t xml:space="preserve">	975</t>
        </is>
      </c>
      <c r="L52" s="61" t="inlineStr">
        <is>
          <t xml:space="preserve">	8483</t>
        </is>
      </c>
      <c r="M52" s="61" t="inlineStr">
        <is>
          <t xml:space="preserve">	50</t>
        </is>
      </c>
      <c r="O52" s="181" t="n">
        <v>44944.02019675926</v>
      </c>
      <c r="P52" s="61" t="inlineStr">
        <is>
          <t>買進</t>
        </is>
      </c>
      <c r="Q52" s="61" t="inlineStr">
        <is>
          <t>台指14450P01</t>
        </is>
      </c>
      <c r="R52" s="61" t="n">
        <v>2</v>
      </c>
      <c r="S52" s="61" t="n">
        <v>14</v>
      </c>
      <c r="T52" s="61" t="n">
        <v>100</v>
      </c>
      <c r="U52" s="61" t="n">
        <v>2</v>
      </c>
      <c r="V52" s="104" t="n">
        <v>-1400</v>
      </c>
      <c r="W52" s="61" t="inlineStr">
        <is>
          <t>a02qK</t>
        </is>
      </c>
      <c r="X52" s="61" t="inlineStr">
        <is>
          <t>新倉</t>
        </is>
      </c>
      <c r="Y52" s="61" t="inlineStr">
        <is>
          <t>新台幣</t>
        </is>
      </c>
    </row>
    <row r="53">
      <c r="A53" s="62" t="n">
        <v>45076</v>
      </c>
      <c r="B53" s="61" t="inlineStr">
        <is>
          <t xml:space="preserve">	新台幣</t>
        </is>
      </c>
      <c r="C53" s="61" t="inlineStr">
        <is>
          <t xml:space="preserve">	7508</t>
        </is>
      </c>
      <c r="D53" s="61" t="inlineStr">
        <is>
          <t xml:space="preserve">	0</t>
        </is>
      </c>
      <c r="E53" s="61" t="inlineStr">
        <is>
          <t xml:space="preserve">	0</t>
        </is>
      </c>
      <c r="F53" s="61" t="inlineStr">
        <is>
          <t xml:space="preserve">	0</t>
        </is>
      </c>
      <c r="G53" s="61" t="inlineStr">
        <is>
          <t xml:space="preserve">	0</t>
        </is>
      </c>
      <c r="H53" s="61" t="inlineStr">
        <is>
          <t xml:space="preserve">	7508</t>
        </is>
      </c>
      <c r="I53" s="61" t="inlineStr">
        <is>
          <t xml:space="preserve">	0</t>
        </is>
      </c>
      <c r="J53" s="61" t="inlineStr">
        <is>
          <t xml:space="preserve">	7508</t>
        </is>
      </c>
      <c r="K53" s="61" t="inlineStr">
        <is>
          <t xml:space="preserve">	295</t>
        </is>
      </c>
      <c r="L53" s="61" t="inlineStr">
        <is>
          <t xml:space="preserve">	7803</t>
        </is>
      </c>
      <c r="M53" s="61" t="inlineStr">
        <is>
          <t xml:space="preserve">	-630</t>
        </is>
      </c>
    </row>
    <row r="54">
      <c r="A54" s="62" t="n">
        <v>45117</v>
      </c>
      <c r="B54" s="61" t="inlineStr">
        <is>
          <t xml:space="preserve">	新台幣</t>
        </is>
      </c>
      <c r="C54" s="61" t="inlineStr">
        <is>
          <t xml:space="preserve">	6758</t>
        </is>
      </c>
      <c r="D54" s="61" t="inlineStr">
        <is>
          <t xml:space="preserve">	0</t>
        </is>
      </c>
      <c r="E54" s="61" t="inlineStr">
        <is>
          <t xml:space="preserve">	-600</t>
        </is>
      </c>
      <c r="F54" s="61" t="inlineStr">
        <is>
          <t xml:space="preserve">	51</t>
        </is>
      </c>
      <c r="G54" s="61" t="inlineStr">
        <is>
          <t xml:space="preserve">	0</t>
        </is>
      </c>
      <c r="H54" s="61" t="inlineStr">
        <is>
          <t xml:space="preserve">	6107</t>
        </is>
      </c>
      <c r="I54" s="61" t="inlineStr">
        <is>
          <t xml:space="preserve">	0</t>
        </is>
      </c>
      <c r="J54" s="61" t="inlineStr">
        <is>
          <t xml:space="preserve">	6107</t>
        </is>
      </c>
      <c r="K54" s="61" t="inlineStr">
        <is>
          <t xml:space="preserve">	1350</t>
        </is>
      </c>
      <c r="L54" s="61" t="inlineStr">
        <is>
          <t xml:space="preserve">	7457</t>
        </is>
      </c>
      <c r="M54" s="61" t="inlineStr">
        <is>
          <t xml:space="preserve">	750</t>
        </is>
      </c>
    </row>
    <row r="55">
      <c r="A55" s="62" t="n">
        <v>45118</v>
      </c>
      <c r="B55" s="61" t="inlineStr">
        <is>
          <t xml:space="preserve">	新台幣</t>
        </is>
      </c>
      <c r="C55" s="61" t="inlineStr">
        <is>
          <t xml:space="preserve">	6107</t>
        </is>
      </c>
      <c r="D55" s="61" t="inlineStr">
        <is>
          <t xml:space="preserve">	0</t>
        </is>
      </c>
      <c r="E55" s="61" t="inlineStr">
        <is>
          <t xml:space="preserve">	-1300</t>
        </is>
      </c>
      <c r="F55" s="61" t="inlineStr">
        <is>
          <t xml:space="preserve">	200</t>
        </is>
      </c>
      <c r="G55" s="61" t="inlineStr">
        <is>
          <t xml:space="preserve">	0</t>
        </is>
      </c>
      <c r="H55" s="61" t="inlineStr">
        <is>
          <t xml:space="preserve">	4607</t>
        </is>
      </c>
      <c r="I55" s="61" t="inlineStr">
        <is>
          <t xml:space="preserve">	0</t>
        </is>
      </c>
      <c r="J55" s="61" t="inlineStr">
        <is>
          <t xml:space="preserve">	4607</t>
        </is>
      </c>
      <c r="K55" s="61" t="inlineStr">
        <is>
          <t xml:space="preserve">	970</t>
        </is>
      </c>
      <c r="L55" s="61" t="inlineStr">
        <is>
          <t xml:space="preserve">	5577</t>
        </is>
      </c>
      <c r="M55" s="61" t="inlineStr">
        <is>
          <t xml:space="preserve">	-930</t>
        </is>
      </c>
    </row>
    <row r="56">
      <c r="A56" s="62" t="n">
        <v>45146</v>
      </c>
      <c r="B56" s="61" t="inlineStr">
        <is>
          <t xml:space="preserve">	新台幣</t>
        </is>
      </c>
      <c r="C56" s="61" t="inlineStr">
        <is>
          <t xml:space="preserve">	4607</t>
        </is>
      </c>
      <c r="D56" s="61" t="inlineStr">
        <is>
          <t xml:space="preserve">	0</t>
        </is>
      </c>
      <c r="E56" s="61" t="inlineStr">
        <is>
          <t xml:space="preserve">	-4300</t>
        </is>
      </c>
      <c r="F56" s="61" t="inlineStr">
        <is>
          <t xml:space="preserve">	105</t>
        </is>
      </c>
      <c r="G56" s="61" t="inlineStr">
        <is>
          <t xml:space="preserve">	0</t>
        </is>
      </c>
      <c r="H56" s="61" t="inlineStr">
        <is>
          <t xml:space="preserve">	202</t>
        </is>
      </c>
      <c r="I56" s="61" t="inlineStr">
        <is>
          <t xml:space="preserve">	0</t>
        </is>
      </c>
      <c r="J56" s="61" t="inlineStr">
        <is>
          <t xml:space="preserve">	202</t>
        </is>
      </c>
      <c r="K56" s="61" t="inlineStr">
        <is>
          <t xml:space="preserve">	3750</t>
        </is>
      </c>
      <c r="L56" s="61" t="inlineStr">
        <is>
          <t xml:space="preserve">	3952</t>
        </is>
      </c>
      <c r="M56" s="61" t="inlineStr">
        <is>
          <t xml:space="preserve">	-550</t>
        </is>
      </c>
    </row>
    <row r="57">
      <c r="A57" s="62" t="n">
        <v>45147</v>
      </c>
      <c r="B57" s="61" t="inlineStr">
        <is>
          <t xml:space="preserve">	新台幣</t>
        </is>
      </c>
      <c r="C57" s="61" t="inlineStr">
        <is>
          <t xml:space="preserve">	202</t>
        </is>
      </c>
      <c r="D57" s="61" t="inlineStr">
        <is>
          <t xml:space="preserve">	0</t>
        </is>
      </c>
      <c r="E57" s="61" t="inlineStr">
        <is>
          <t xml:space="preserve">	0</t>
        </is>
      </c>
      <c r="F57" s="61" t="inlineStr">
        <is>
          <t xml:space="preserve">	0</t>
        </is>
      </c>
      <c r="G57" s="61" t="inlineStr">
        <is>
          <t xml:space="preserve">	0</t>
        </is>
      </c>
      <c r="H57" s="61" t="inlineStr">
        <is>
          <t xml:space="preserve">	202</t>
        </is>
      </c>
      <c r="I57" s="61" t="inlineStr">
        <is>
          <t xml:space="preserve">	0</t>
        </is>
      </c>
      <c r="J57" s="61" t="inlineStr">
        <is>
          <t xml:space="preserve">	202</t>
        </is>
      </c>
      <c r="K57" s="61" t="inlineStr">
        <is>
          <t xml:space="preserve">	0</t>
        </is>
      </c>
      <c r="L57" s="61" t="inlineStr">
        <is>
          <t xml:space="preserve">	202</t>
        </is>
      </c>
      <c r="M57" s="61" t="inlineStr">
        <is>
          <t xml:space="preserve">	0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1">
    <outlinePr summaryBelow="0" summaryRight="0"/>
    <pageSetUpPr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baseColWidth="8" defaultColWidth="9" defaultRowHeight="16.5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2.62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3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9.5" bestFit="1" customWidth="1" style="226" min="18" max="18"/>
    <col hidden="1" outlineLevel="1" width="10.125" customWidth="1" style="226" min="19" max="19"/>
    <col hidden="1" outlineLevel="1" width="0.12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2.875" bestFit="1" customWidth="1" style="226" min="26" max="26"/>
    <col width="12.875" customWidth="1" style="226" min="27" max="27"/>
    <col width="25.125" customWidth="1" style="230" min="28" max="28"/>
    <col width="17.625" customWidth="1" style="230" min="29" max="29"/>
    <col width="9" customWidth="1" style="226" min="30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226" t="inlineStr">
        <is>
          <t>買進理由</t>
        </is>
      </c>
      <c r="AC1" s="226" t="inlineStr">
        <is>
          <t>賣出理由</t>
        </is>
      </c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 t="n"/>
      <c r="G2" s="229">
        <f>'14股'!G63</f>
        <v/>
      </c>
      <c r="H2" s="229">
        <f>'14股'!H63</f>
        <v/>
      </c>
      <c r="I2" s="229" t="n"/>
      <c r="J2" s="229" t="n"/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697">
        <f>'14股'!P63</f>
        <v/>
      </c>
      <c r="Q2" s="229">
        <f>'14股'!Q63</f>
        <v/>
      </c>
      <c r="R2" s="229">
        <f>'14股'!R63</f>
        <v/>
      </c>
      <c r="S2" s="229">
        <f>'14股'!S63</f>
        <v/>
      </c>
      <c r="T2" s="229">
        <f>'14股'!T63</f>
        <v/>
      </c>
      <c r="U2" s="229">
        <f>'14股'!U63</f>
        <v/>
      </c>
      <c r="V2" s="229">
        <f>'14股'!V63</f>
        <v/>
      </c>
      <c r="W2" s="229">
        <f>'14股'!W63</f>
        <v/>
      </c>
      <c r="X2" s="229">
        <f>'14股'!X63</f>
        <v/>
      </c>
      <c r="Y2" s="229">
        <f>'14股'!Y63</f>
        <v/>
      </c>
      <c r="Z2" s="279" t="n"/>
      <c r="AA2" s="588" t="n"/>
    </row>
    <row r="3">
      <c r="A3" s="734" t="n">
        <v>42369</v>
      </c>
      <c r="B3" s="229" t="n"/>
      <c r="C3" s="229" t="n"/>
      <c r="D3" s="229">
        <f>'15股'!D144</f>
        <v/>
      </c>
      <c r="E3" s="229">
        <f>'15股'!E144</f>
        <v/>
      </c>
      <c r="F3" s="229" t="n"/>
      <c r="G3" s="280">
        <f>'15股'!G144</f>
        <v/>
      </c>
      <c r="H3" s="280">
        <f>'15股'!H144</f>
        <v/>
      </c>
      <c r="I3" s="234" t="n"/>
      <c r="J3" s="229" t="n"/>
      <c r="K3" s="280">
        <f>'15股'!K144</f>
        <v/>
      </c>
      <c r="L3" s="280">
        <f>'15股'!L144</f>
        <v/>
      </c>
      <c r="M3" s="280">
        <f>'15股'!M144</f>
        <v/>
      </c>
      <c r="N3" s="280">
        <f>'15股'!N144</f>
        <v/>
      </c>
      <c r="O3" s="280">
        <f>'15股'!O144</f>
        <v/>
      </c>
      <c r="P3" s="697">
        <f>'15股'!P144</f>
        <v/>
      </c>
      <c r="Q3" s="280">
        <f>'15股'!Q144</f>
        <v/>
      </c>
      <c r="R3" s="280">
        <f>'15股'!R144</f>
        <v/>
      </c>
      <c r="S3" s="280">
        <f>'15股'!S144</f>
        <v/>
      </c>
      <c r="T3" s="280">
        <f>'15股'!T144</f>
        <v/>
      </c>
      <c r="U3" s="280">
        <f>'15股'!U144</f>
        <v/>
      </c>
      <c r="V3" s="280">
        <f>'15股'!V144</f>
        <v/>
      </c>
      <c r="W3" s="280">
        <f>'15股'!W144</f>
        <v/>
      </c>
      <c r="X3" s="280">
        <f>'15股'!X144</f>
        <v/>
      </c>
      <c r="Y3" s="280">
        <f>'15股'!Y144</f>
        <v/>
      </c>
      <c r="Z3" s="281" t="n"/>
      <c r="AA3" s="588" t="n"/>
    </row>
    <row r="4">
      <c r="A4" s="734" t="n">
        <v>42735</v>
      </c>
      <c r="B4" s="229" t="n"/>
      <c r="C4" s="229" t="n"/>
      <c r="D4" s="229">
        <f>'16股'!D54</f>
        <v/>
      </c>
      <c r="E4" s="229">
        <f>'16股'!E142</f>
        <v/>
      </c>
      <c r="F4" s="229" t="n"/>
      <c r="G4" s="280">
        <f>'16股'!G54</f>
        <v/>
      </c>
      <c r="H4" s="280">
        <f>'16股'!H54</f>
        <v/>
      </c>
      <c r="I4" s="234" t="n"/>
      <c r="J4" s="229" t="n"/>
      <c r="K4" s="280">
        <f>'16股'!K54</f>
        <v/>
      </c>
      <c r="L4" s="280">
        <f>'16股'!L54</f>
        <v/>
      </c>
      <c r="M4" s="280">
        <f>'16股'!M54</f>
        <v/>
      </c>
      <c r="N4" s="280">
        <f>'16股'!N54</f>
        <v/>
      </c>
      <c r="O4" s="280">
        <f>'16股'!O54</f>
        <v/>
      </c>
      <c r="P4" s="697">
        <f>'16股'!P54</f>
        <v/>
      </c>
      <c r="Q4" s="280">
        <f>'16股'!Q54</f>
        <v/>
      </c>
      <c r="R4" s="280">
        <f>'16股'!R54</f>
        <v/>
      </c>
      <c r="S4" s="280">
        <f>'16股'!S142</f>
        <v/>
      </c>
      <c r="T4" s="280">
        <f>'16股'!T142</f>
        <v/>
      </c>
      <c r="U4" s="280">
        <f>'16股'!U54</f>
        <v/>
      </c>
      <c r="V4" s="280">
        <f>'16股'!V142</f>
        <v/>
      </c>
      <c r="W4" s="280">
        <f>'16股'!W142</f>
        <v/>
      </c>
      <c r="X4" s="280">
        <f>'16股'!X54</f>
        <v/>
      </c>
      <c r="Y4" s="280">
        <f>'16股'!Y54</f>
        <v/>
      </c>
      <c r="Z4" s="281" t="n"/>
      <c r="AA4" s="588" t="n"/>
    </row>
    <row r="5">
      <c r="A5" s="734" t="n">
        <v>43100</v>
      </c>
      <c r="B5" s="229" t="n"/>
      <c r="C5" s="229" t="n"/>
      <c r="D5" s="229">
        <f>'17股'!D37</f>
        <v/>
      </c>
      <c r="E5" s="229">
        <f>'16股'!E143</f>
        <v/>
      </c>
      <c r="F5" s="229" t="n"/>
      <c r="G5" s="280">
        <f>'17股'!G37</f>
        <v/>
      </c>
      <c r="H5" s="280">
        <f>'17股'!H37</f>
        <v/>
      </c>
      <c r="I5" s="234" t="n"/>
      <c r="J5" s="229" t="n"/>
      <c r="K5" s="280">
        <f>'16股'!K55</f>
        <v/>
      </c>
      <c r="L5" s="280">
        <f>'16股'!L55</f>
        <v/>
      </c>
      <c r="M5" s="280">
        <f>'16股'!M55</f>
        <v/>
      </c>
      <c r="N5" s="280">
        <f>'16股'!N55</f>
        <v/>
      </c>
      <c r="O5" s="280">
        <f>'17股'!O37</f>
        <v/>
      </c>
      <c r="P5" s="697">
        <f>'17股'!P37</f>
        <v/>
      </c>
      <c r="Q5" s="280">
        <f>'17股'!Q37</f>
        <v/>
      </c>
      <c r="R5" s="280">
        <f>'17股'!R37</f>
        <v/>
      </c>
      <c r="S5" s="280">
        <f>'16股'!S143</f>
        <v/>
      </c>
      <c r="T5" s="280">
        <f>'16股'!T143</f>
        <v/>
      </c>
      <c r="U5" s="280">
        <f>'17股'!U37</f>
        <v/>
      </c>
      <c r="V5" s="280">
        <f>'16股'!V143</f>
        <v/>
      </c>
      <c r="W5" s="280">
        <f>'16股'!W143</f>
        <v/>
      </c>
      <c r="X5" s="280">
        <f>'17股'!X37</f>
        <v/>
      </c>
      <c r="Y5" s="280">
        <f>'17股'!Y37</f>
        <v/>
      </c>
      <c r="Z5" s="281" t="n"/>
      <c r="AA5" s="588" t="n"/>
    </row>
    <row r="6">
      <c r="A6" s="734" t="n">
        <v>43465</v>
      </c>
      <c r="B6" s="229" t="n"/>
      <c r="C6" s="229" t="n"/>
      <c r="D6" s="229">
        <f>'18股'!D21</f>
        <v/>
      </c>
      <c r="E6" s="229">
        <f>'16股'!E144</f>
        <v/>
      </c>
      <c r="F6" s="229" t="n"/>
      <c r="G6" s="280">
        <f>'18股'!G21</f>
        <v/>
      </c>
      <c r="H6" s="280">
        <f>'18股'!H21</f>
        <v/>
      </c>
      <c r="I6" s="234" t="n"/>
      <c r="J6" s="229" t="n"/>
      <c r="K6" s="280">
        <f>'16股'!K56</f>
        <v/>
      </c>
      <c r="L6" s="280">
        <f>'16股'!L56</f>
        <v/>
      </c>
      <c r="M6" s="280">
        <f>'16股'!M56</f>
        <v/>
      </c>
      <c r="N6" s="280">
        <f>'16股'!N56</f>
        <v/>
      </c>
      <c r="O6" s="280">
        <f>'18股'!O21</f>
        <v/>
      </c>
      <c r="P6" s="697">
        <f>'18股'!P21</f>
        <v/>
      </c>
      <c r="Q6" s="280">
        <f>'18股'!Q21</f>
        <v/>
      </c>
      <c r="R6" s="280">
        <f>'18股'!R21</f>
        <v/>
      </c>
      <c r="S6" s="280">
        <f>'16股'!S144</f>
        <v/>
      </c>
      <c r="T6" s="280">
        <f>'16股'!T144</f>
        <v/>
      </c>
      <c r="U6" s="280">
        <f>'18股'!U21</f>
        <v/>
      </c>
      <c r="V6" s="280">
        <f>'16股'!V144</f>
        <v/>
      </c>
      <c r="W6" s="280">
        <f>'16股'!W144</f>
        <v/>
      </c>
      <c r="X6" s="280">
        <f>'18股'!X21</f>
        <v/>
      </c>
      <c r="Y6" s="280">
        <f>'18股'!Y21</f>
        <v/>
      </c>
      <c r="Z6" s="281" t="n"/>
      <c r="AA6" s="588" t="n"/>
    </row>
    <row r="7">
      <c r="A7" s="231" t="n"/>
      <c r="B7" s="232" t="n"/>
      <c r="C7" s="232" t="n"/>
      <c r="D7" s="232" t="n"/>
      <c r="E7" s="232" t="n"/>
      <c r="F7" s="232" t="n"/>
      <c r="G7" s="232" t="n"/>
      <c r="H7" s="232" t="n"/>
      <c r="I7" s="282" t="n"/>
      <c r="J7" s="42" t="n"/>
      <c r="K7" s="232" t="n"/>
      <c r="L7" s="283" t="n"/>
      <c r="M7" s="232" t="n"/>
      <c r="N7" s="232" t="n"/>
      <c r="O7" s="590" t="n"/>
      <c r="P7" s="591" t="n"/>
      <c r="Q7" s="591" t="n"/>
      <c r="R7" s="591" t="n"/>
      <c r="S7" s="591" t="n"/>
      <c r="T7" s="591" t="n"/>
      <c r="U7" s="69" t="n"/>
      <c r="V7" s="69" t="n"/>
      <c r="W7" s="71" t="n"/>
      <c r="X7" s="592" t="n"/>
      <c r="Y7" s="42" t="n"/>
      <c r="Z7" s="735" t="n"/>
      <c r="AA7" s="588" t="n"/>
    </row>
    <row r="8">
      <c r="A8" s="228" t="n">
        <v>43109</v>
      </c>
      <c r="B8" s="229" t="inlineStr">
        <is>
          <t>普通買進</t>
        </is>
      </c>
      <c r="C8" s="229" t="n">
        <v>4306</v>
      </c>
      <c r="D8" s="229">
        <f>VLOOKUP(C8,#REF!,2,FALSE)</f>
        <v/>
      </c>
      <c r="E8" s="229" t="n">
        <v>2000</v>
      </c>
      <c r="F8" s="229" t="n">
        <v>15.45</v>
      </c>
      <c r="G8" s="229">
        <f>E8*F8</f>
        <v/>
      </c>
      <c r="H8" s="229" t="n">
        <v>26</v>
      </c>
      <c r="I8" s="234" t="n">
        <v>43124</v>
      </c>
      <c r="J8" s="16" t="n">
        <v>14.9</v>
      </c>
      <c r="K8" s="229">
        <f>E8*J8</f>
        <v/>
      </c>
      <c r="L8" s="17" t="n">
        <v>25</v>
      </c>
      <c r="M8" s="229" t="n">
        <v>89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>
        <v>10</v>
      </c>
      <c r="T8" s="585">
        <f>IF(ROUND(R8*(1+V8),0)&gt;5000,ROUND(ROUND(R8*(1+V8),0)*2%,0),0)</f>
        <v/>
      </c>
      <c r="U8" s="65">
        <f>(V8*50%)/(1+50%*V8)</f>
        <v/>
      </c>
      <c r="V8" s="65" t="n"/>
      <c r="W8" s="66" t="n">
        <v>0.11</v>
      </c>
      <c r="X8" s="586">
        <f>(P8+Q8)/G8</f>
        <v/>
      </c>
      <c r="Y8" s="16">
        <f>VLOOKUP(C8,#REF!,3,FALSE)</f>
        <v/>
      </c>
      <c r="Z8" s="587">
        <f>VLOOKUP(C8,#REF!,6,FALSE)</f>
        <v/>
      </c>
      <c r="AA8" s="588">
        <f>IF(I8="",((TODAY()-A8)*G8)/365.24,((I8-A8)*G8)/365.24)</f>
        <v/>
      </c>
      <c r="AB8" s="230" t="inlineStr">
        <is>
          <t>阿水一式</t>
        </is>
      </c>
    </row>
    <row r="9">
      <c r="A9" s="734" t="n"/>
      <c r="B9" s="229" t="n"/>
      <c r="C9" s="229" t="n"/>
      <c r="D9" s="229" t="n"/>
      <c r="E9" s="229" t="n"/>
      <c r="F9" s="229" t="n"/>
      <c r="G9" s="280" t="n"/>
      <c r="H9" s="280" t="n"/>
      <c r="I9" s="234" t="n"/>
      <c r="J9" s="229" t="n"/>
      <c r="K9" s="280" t="n"/>
      <c r="L9" s="280" t="n"/>
      <c r="M9" s="280" t="n"/>
      <c r="N9" s="280" t="n"/>
      <c r="O9" s="280" t="n"/>
      <c r="P9" s="280" t="n"/>
      <c r="Q9" s="585" t="n"/>
      <c r="R9" s="280" t="n"/>
      <c r="S9" s="229" t="n"/>
      <c r="T9" s="585" t="n"/>
      <c r="U9" s="65" t="n"/>
      <c r="V9" s="285" t="n"/>
      <c r="W9" s="286" t="n"/>
      <c r="X9" s="285" t="n"/>
      <c r="Y9" s="229" t="n"/>
      <c r="Z9" s="587" t="n"/>
      <c r="AA9" s="588" t="n"/>
    </row>
    <row r="10">
      <c r="A10" s="231" t="n"/>
      <c r="B10" s="232" t="n"/>
      <c r="C10" s="232" t="n"/>
      <c r="D10" s="232" t="n"/>
      <c r="E10" s="232" t="n"/>
      <c r="F10" s="232" t="n"/>
      <c r="G10" s="232" t="n"/>
      <c r="H10" s="232" t="n"/>
      <c r="I10" s="233" t="n"/>
      <c r="J10" s="42" t="n"/>
      <c r="K10" s="232" t="n"/>
      <c r="L10" s="589" t="n"/>
      <c r="M10" s="232" t="n"/>
      <c r="N10" s="232" t="n"/>
      <c r="O10" s="590" t="n"/>
      <c r="P10" s="591" t="n"/>
      <c r="Q10" s="591" t="n"/>
      <c r="R10" s="591" t="n"/>
      <c r="S10" s="591" t="n"/>
      <c r="T10" s="591" t="n"/>
      <c r="U10" s="69" t="n"/>
      <c r="V10" s="69" t="n"/>
      <c r="W10" s="71" t="n"/>
      <c r="X10" s="592" t="n"/>
      <c r="Y10" s="42" t="n"/>
      <c r="Z10" s="47" t="n"/>
      <c r="AA10" s="588" t="n"/>
    </row>
    <row r="11">
      <c r="A11" s="228" t="n"/>
      <c r="B11" s="229" t="n"/>
      <c r="C11" s="229" t="n"/>
      <c r="D11" s="229" t="n"/>
      <c r="E11" s="229" t="n"/>
      <c r="F11" s="229" t="n"/>
      <c r="G11" s="229" t="n"/>
      <c r="H11" s="229" t="n"/>
      <c r="I11" s="234" t="n"/>
      <c r="J11" s="229" t="n"/>
      <c r="K11" s="229" t="n"/>
      <c r="L11" s="229" t="n"/>
      <c r="M11" s="229" t="n"/>
      <c r="N11" s="229" t="n"/>
      <c r="O11" s="584" t="n"/>
      <c r="P11" s="585" t="n"/>
      <c r="Q11" s="585" t="n"/>
      <c r="R11" s="585" t="n"/>
      <c r="S11" s="585" t="n"/>
      <c r="T11" s="585" t="n"/>
      <c r="U11" s="585" t="n"/>
      <c r="V11" s="65" t="n"/>
      <c r="W11" s="66" t="n"/>
      <c r="X11" s="586" t="n"/>
      <c r="Y11" s="16" t="n"/>
      <c r="Z11" s="587" t="n"/>
      <c r="AA11" s="588" t="n"/>
    </row>
    <row r="12">
      <c r="A12" s="235">
        <f>MIN(A13:A15)</f>
        <v/>
      </c>
      <c r="B12" s="236" t="n"/>
      <c r="C12" s="237" t="n"/>
      <c r="D12" s="236" t="n"/>
      <c r="E12" s="236" t="n"/>
      <c r="F12" s="236" t="n"/>
      <c r="G12" s="236" t="n"/>
      <c r="H12" s="236" t="n"/>
      <c r="I12" s="21" t="n"/>
      <c r="J12" s="22" t="n"/>
      <c r="K12" s="236" t="n"/>
      <c r="L12" s="661" t="n"/>
      <c r="M12" s="236" t="n"/>
      <c r="N12" s="236" t="n"/>
      <c r="O12" s="662" t="n"/>
      <c r="P12" s="663" t="n"/>
      <c r="Q12" s="663" t="n"/>
      <c r="R12" s="663" t="n"/>
      <c r="S12" s="663" t="n"/>
      <c r="T12" s="663" t="n"/>
      <c r="U12" s="663" t="n"/>
      <c r="V12" s="70" t="n"/>
      <c r="W12" s="72" t="n"/>
      <c r="X12" s="664" t="n"/>
      <c r="Y12" s="22" t="n"/>
      <c r="Z12" s="27" t="n"/>
      <c r="AA12" s="588" t="n"/>
    </row>
    <row r="13" hidden="1">
      <c r="A13" s="235" t="n"/>
      <c r="B13" s="236" t="n"/>
      <c r="C13" s="237" t="n"/>
      <c r="D13" s="236" t="n"/>
      <c r="E13" s="236" t="n"/>
      <c r="F13" s="236" t="n"/>
      <c r="G13" s="236" t="n"/>
      <c r="H13" s="236" t="n"/>
      <c r="I13" s="21" t="n"/>
      <c r="J13" s="22" t="n"/>
      <c r="K13" s="236" t="n"/>
      <c r="L13" s="661" t="n"/>
      <c r="M13" s="236" t="n"/>
      <c r="N13" s="236" t="n"/>
      <c r="O13" s="662" t="n"/>
      <c r="P13" s="663" t="n"/>
      <c r="Q13" s="663" t="n"/>
      <c r="R13" s="663" t="n"/>
      <c r="S13" s="663" t="n"/>
      <c r="T13" s="663" t="n"/>
      <c r="U13" s="663" t="n"/>
      <c r="V13" s="70" t="n"/>
      <c r="W13" s="72" t="n"/>
      <c r="X13" s="664" t="n"/>
      <c r="Y13" s="22" t="n"/>
      <c r="Z13" s="27" t="n"/>
      <c r="AA13" s="588">
        <f>((I13-A13)*G13)/365.24</f>
        <v/>
      </c>
    </row>
    <row r="14">
      <c r="A14" s="228" t="n">
        <v>43270</v>
      </c>
      <c r="B14" s="229" t="inlineStr">
        <is>
          <t>普通買進</t>
        </is>
      </c>
      <c r="C14" s="229" t="n">
        <v>2027</v>
      </c>
      <c r="D14" s="229">
        <f>VLOOKUP(C14,#REF!,2,FALSE)</f>
        <v/>
      </c>
      <c r="E14" s="229" t="n">
        <v>1000</v>
      </c>
      <c r="F14" s="229" t="n">
        <v>40</v>
      </c>
      <c r="G14" s="229">
        <f>E14*F14</f>
        <v/>
      </c>
      <c r="H14" s="229" t="n">
        <v>34</v>
      </c>
      <c r="I14" s="234" t="n">
        <v>43277</v>
      </c>
      <c r="J14" s="16" t="n">
        <v>36.1</v>
      </c>
      <c r="K14" s="229">
        <f>E14*J14</f>
        <v/>
      </c>
      <c r="L14" s="17" t="n">
        <v>30.5</v>
      </c>
      <c r="M14" s="229" t="n">
        <v>108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>
        <v>10</v>
      </c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>
        <v>0.11</v>
      </c>
      <c r="X14" s="586">
        <f>(P14+Q14)/G14</f>
        <v/>
      </c>
      <c r="Y14" s="16">
        <f>VLOOKUP(C14,#REF!,3,FALSE)</f>
        <v/>
      </c>
      <c r="Z14" s="587">
        <f>VLOOKUP(C14,#REF!,6,FALSE)</f>
        <v/>
      </c>
      <c r="AA14" s="588">
        <f>IF(I14="",((TODAY()-A14)*G14)/365.24,((I14-A14)*G14)/365.24)</f>
        <v/>
      </c>
      <c r="AB14" s="230" t="inlineStr">
        <is>
          <t>阿水一式</t>
        </is>
      </c>
      <c r="AC14" s="230" t="inlineStr">
        <is>
          <t>跌破20MA</t>
        </is>
      </c>
    </row>
    <row r="15" ht="17.25" customHeight="1" thickBot="1">
      <c r="A15" s="238" t="n"/>
      <c r="B15" s="239" t="n"/>
      <c r="C15" s="239" t="n"/>
      <c r="D15" s="239" t="n"/>
      <c r="E15" s="239" t="n"/>
      <c r="F15" s="239" t="n"/>
      <c r="G15" s="239" t="n"/>
      <c r="H15" s="239" t="n"/>
      <c r="I15" s="240" t="n"/>
      <c r="J15" s="51" t="n"/>
      <c r="K15" s="239" t="n"/>
      <c r="L15" s="593" t="n"/>
      <c r="M15" s="239" t="n"/>
      <c r="N15" s="239" t="n"/>
      <c r="O15" s="594" t="n"/>
      <c r="P15" s="595" t="n"/>
      <c r="Q15" s="595" t="n"/>
      <c r="R15" s="595" t="n"/>
      <c r="S15" s="595" t="n"/>
      <c r="T15" s="596" t="n"/>
      <c r="U15" s="595" t="n"/>
      <c r="V15" s="595" t="n"/>
      <c r="W15" s="73" t="n"/>
      <c r="X15" s="597" t="n"/>
      <c r="Y15" s="51" t="n"/>
      <c r="Z15" s="56" t="n"/>
      <c r="AA15" s="588" t="n"/>
    </row>
    <row r="16" ht="17.25" customHeight="1" thickBot="1">
      <c r="A16" s="241" t="n"/>
      <c r="D16" s="226" t="n"/>
      <c r="I16" s="30" t="n"/>
      <c r="J16" s="31" t="n"/>
      <c r="L16" s="665" t="n"/>
      <c r="O16" s="666" t="n"/>
      <c r="P16" s="667" t="n"/>
      <c r="Q16" s="667" t="n"/>
      <c r="R16" s="667" t="n"/>
      <c r="S16" s="667" t="n"/>
      <c r="T16" s="667" t="n"/>
      <c r="U16" s="667" t="n"/>
      <c r="V16" s="667" t="n"/>
      <c r="W16" s="667" t="n"/>
      <c r="X16" s="668" t="n"/>
      <c r="Y16" s="31" t="n"/>
      <c r="Z16" s="31" t="n"/>
      <c r="AA16" s="588" t="n"/>
    </row>
    <row r="17" ht="17.25" customHeight="1" thickBot="1">
      <c r="A17" s="669" t="n"/>
      <c r="B17" s="600" t="n"/>
      <c r="C17" s="670" t="n"/>
      <c r="D17" s="569" t="inlineStr">
        <is>
          <t>持股小計</t>
        </is>
      </c>
      <c r="E17" s="736" t="n"/>
      <c r="F17" s="670" t="n"/>
      <c r="G17" s="59">
        <f>SUM(G12:G15)</f>
        <v/>
      </c>
      <c r="H17" s="59">
        <f>SUM(H12:H15)</f>
        <v/>
      </c>
      <c r="I17" s="736" t="n"/>
      <c r="J17" s="670" t="n"/>
      <c r="K17" s="59" t="n"/>
      <c r="L17" s="671" t="n"/>
      <c r="M17" s="671" t="n"/>
      <c r="N17" s="672" t="n"/>
      <c r="O17" s="59">
        <f>SUM(O12:O15)</f>
        <v/>
      </c>
      <c r="P17" s="673">
        <f>SUM(P12:P15)</f>
        <v/>
      </c>
      <c r="Q17" s="59">
        <f>SUM(Q12:Q15)</f>
        <v/>
      </c>
      <c r="R17" s="59">
        <f>SUM(R12:R15)</f>
        <v/>
      </c>
      <c r="S17" s="548" t="n"/>
      <c r="T17" s="548" t="n"/>
      <c r="U17" s="548" t="n"/>
      <c r="V17" s="548" t="n"/>
      <c r="W17" s="548" t="n"/>
      <c r="X17" s="674">
        <f>(P17+Q17)/G17</f>
        <v/>
      </c>
      <c r="Y17" s="532" t="inlineStr">
        <is>
          <t>年化報酬率</t>
        </is>
      </c>
      <c r="Z17" s="675">
        <f>IF(AA17=0,0,(P17+Q17)/(AA17))</f>
        <v/>
      </c>
      <c r="AA17" s="588">
        <f>SUM(AA12:AA15)</f>
        <v/>
      </c>
    </row>
    <row r="18" ht="17.25" customFormat="1" customHeight="1" s="244" thickBot="1">
      <c r="A18" s="602" t="n"/>
      <c r="C18" s="676" t="n"/>
      <c r="D18" s="569" t="inlineStr">
        <is>
          <t>2019總計</t>
        </is>
      </c>
      <c r="E18" s="677" t="n"/>
      <c r="F18" s="676" t="n"/>
      <c r="G18" s="60">
        <f>SUM(G7:G15)</f>
        <v/>
      </c>
      <c r="H18" s="60">
        <f>SUM(H7:H15)</f>
        <v/>
      </c>
      <c r="I18" s="677" t="n"/>
      <c r="J18" s="676" t="n"/>
      <c r="K18" s="60">
        <f>SUM(K7:K15)</f>
        <v/>
      </c>
      <c r="L18" s="60">
        <f>SUM(L7:L15)</f>
        <v/>
      </c>
      <c r="M18" s="60">
        <f>SUM(M7:M15)</f>
        <v/>
      </c>
      <c r="N18" s="60">
        <f>SUM(N7:N15)</f>
        <v/>
      </c>
      <c r="O18" s="60">
        <f>SUM(O7:O15)</f>
        <v/>
      </c>
      <c r="P18" s="678">
        <f>SUM(P7:P15)</f>
        <v/>
      </c>
      <c r="Q18" s="60">
        <f>SUM(Q7:Q15)</f>
        <v/>
      </c>
      <c r="R18" s="60">
        <f>SUM(R7:R15)</f>
        <v/>
      </c>
      <c r="S18" s="68" t="n"/>
      <c r="T18" s="68" t="n"/>
      <c r="U18" s="68" t="n"/>
      <c r="V18" s="68" t="n"/>
      <c r="W18" s="68" t="n"/>
      <c r="X18" s="674">
        <f>(P18+Q18)/G18</f>
        <v/>
      </c>
      <c r="Y18" s="604" t="n"/>
      <c r="Z18" s="675">
        <f>IF(AA18=0,0,(P18+Q18)/(AA18))</f>
        <v/>
      </c>
      <c r="AA18" s="588">
        <f>SUM(AA2:AA15)</f>
        <v/>
      </c>
      <c r="AB18" s="242" t="n"/>
      <c r="AC18" s="243" t="n"/>
    </row>
    <row r="19" ht="17.25" customFormat="1" customHeight="1" s="244" thickBot="1">
      <c r="A19" s="610" t="n"/>
      <c r="B19" s="611" t="n"/>
      <c r="C19" s="679" t="n"/>
      <c r="D19" s="569" t="inlineStr">
        <is>
          <t>總計</t>
        </is>
      </c>
      <c r="E19" s="680" t="n"/>
      <c r="F19" s="679" t="n"/>
      <c r="G19" s="60">
        <f>SUM(G2:G15)</f>
        <v/>
      </c>
      <c r="H19" s="60">
        <f>SUM(H2:H15)</f>
        <v/>
      </c>
      <c r="I19" s="680" t="n"/>
      <c r="J19" s="679" t="n"/>
      <c r="K19" s="60">
        <f>SUM(K2:K15)</f>
        <v/>
      </c>
      <c r="L19" s="60">
        <f>SUM(L2:L15)</f>
        <v/>
      </c>
      <c r="M19" s="60">
        <f>SUM(M2:M15)</f>
        <v/>
      </c>
      <c r="N19" s="60">
        <f>SUM(N2:N15)</f>
        <v/>
      </c>
      <c r="O19" s="60">
        <f>SUM(O2:O15)</f>
        <v/>
      </c>
      <c r="P19" s="678">
        <f>SUM(P2:P15)</f>
        <v/>
      </c>
      <c r="Q19" s="60">
        <f>SUM(Q2:Q15)</f>
        <v/>
      </c>
      <c r="R19" s="60">
        <f>SUM(R2:R15)</f>
        <v/>
      </c>
      <c r="S19" s="68" t="n"/>
      <c r="T19" s="68" t="n"/>
      <c r="U19" s="68" t="n"/>
      <c r="V19" s="68" t="n"/>
      <c r="W19" s="68" t="n"/>
      <c r="X19" s="674">
        <f>(P19+Q19)/G19</f>
        <v/>
      </c>
      <c r="Y19" s="613" t="n"/>
      <c r="Z19" s="675">
        <f>IF(AA19=0,0,(P19+Q19)/(AA19))</f>
        <v/>
      </c>
      <c r="AA19" s="588">
        <f>AA18+'16股'!AA55</f>
        <v/>
      </c>
      <c r="AB19" s="242" t="n"/>
      <c r="AC19" s="242" t="n"/>
    </row>
    <row r="20">
      <c r="P20" s="686" t="n"/>
      <c r="Z20" s="737" t="n"/>
      <c r="AA20" s="588" t="n"/>
    </row>
    <row r="21" ht="17.25" customHeight="1" thickBot="1">
      <c r="A21" s="288" t="n"/>
      <c r="B21" s="245" t="n"/>
      <c r="C21" s="245" t="n"/>
      <c r="D21" s="226" t="n"/>
      <c r="P21" s="686" t="n"/>
      <c r="AA21" s="588" t="n"/>
    </row>
    <row r="22" ht="17.25" customHeight="1" thickBot="1">
      <c r="A22" s="61" t="n"/>
      <c r="C22" s="61" t="inlineStr">
        <is>
          <t>阿水一式</t>
        </is>
      </c>
      <c r="D22" s="159" t="inlineStr">
        <is>
          <t>總計</t>
        </is>
      </c>
      <c r="E22" s="289" t="n"/>
      <c r="F22" s="289" t="n"/>
      <c r="G22" s="59">
        <f>SUMIF($AB12:$AB15,"阿水一式",G12:G15)</f>
        <v/>
      </c>
      <c r="H22" s="59">
        <f>SUMIF($AB12:$AB15,"阿水一式",H12:H15)</f>
        <v/>
      </c>
      <c r="I22" s="289" t="n"/>
      <c r="J22" s="289" t="n"/>
      <c r="K22" s="59" t="n"/>
      <c r="L22" s="671" t="n"/>
      <c r="M22" s="671" t="n"/>
      <c r="N22" s="672" t="n"/>
      <c r="O22" s="59">
        <f>SUMIF($AB12:$AB15,"阿水一式",O12:O15)</f>
        <v/>
      </c>
      <c r="P22" s="673">
        <f>SUMIF($AB7:$AB15,"阿水一式",P7:P15)</f>
        <v/>
      </c>
      <c r="Q22" s="59">
        <f>SUMIF($AB12:$AB15,"阿水一式",Q12:Q15)</f>
        <v/>
      </c>
      <c r="R22" s="59">
        <f>SUMIF($AB12:$AB15,"阿水一式",R12:R15)</f>
        <v/>
      </c>
      <c r="S22" s="548" t="n"/>
      <c r="T22" s="548" t="n"/>
      <c r="U22" s="548" t="n"/>
      <c r="V22" s="548" t="n"/>
      <c r="W22" s="548" t="n"/>
      <c r="X22" s="674">
        <f>(P22+Q22)/G22</f>
        <v/>
      </c>
      <c r="Y22" s="289" t="n"/>
      <c r="Z22" s="675">
        <f>(1+X22)^(1/((TODAY()-A7)/365.25))-1</f>
        <v/>
      </c>
      <c r="AA22" s="588">
        <f>((I22-A22)*G22)/365.24</f>
        <v/>
      </c>
    </row>
    <row r="23">
      <c r="A23" s="62" t="n"/>
      <c r="C23" s="61" t="n"/>
      <c r="D23" s="226" t="n"/>
    </row>
    <row r="24">
      <c r="A24" s="62" t="n"/>
      <c r="C24" s="61" t="n"/>
      <c r="D24" s="226" t="n"/>
    </row>
    <row r="25">
      <c r="A25" s="62" t="n"/>
      <c r="C25" s="61" t="n"/>
      <c r="D25" s="226" t="n"/>
    </row>
    <row r="26">
      <c r="A26" s="62" t="n"/>
      <c r="C26" s="61" t="n"/>
      <c r="D26" s="226" t="n"/>
    </row>
    <row r="27">
      <c r="A27" s="62" t="n"/>
      <c r="C27" s="61" t="n"/>
      <c r="D27" s="226" t="n"/>
    </row>
    <row r="28">
      <c r="A28" s="62" t="n"/>
      <c r="C28" s="61" t="n"/>
      <c r="D28" s="226" t="n"/>
    </row>
    <row r="29">
      <c r="A29" s="62" t="n"/>
      <c r="C29" s="61" t="n"/>
      <c r="D29" s="226" t="n"/>
    </row>
    <row r="30">
      <c r="A30" s="62" t="n"/>
      <c r="C30" s="61" t="n"/>
      <c r="D30" s="226" t="n"/>
    </row>
    <row r="31">
      <c r="A31" s="62" t="n"/>
      <c r="C31" s="61" t="n"/>
      <c r="D31" s="226" t="n"/>
    </row>
    <row r="32">
      <c r="A32" s="62" t="n"/>
      <c r="C32" s="61" t="n"/>
      <c r="D32" s="226" t="n"/>
    </row>
    <row r="33">
      <c r="B33" s="245" t="n"/>
      <c r="C33" s="288" t="n"/>
      <c r="D33" s="226" t="n"/>
    </row>
    <row r="34">
      <c r="B34" s="245" t="n"/>
      <c r="C34" s="288" t="n"/>
      <c r="D34" s="226" t="n"/>
    </row>
    <row r="35">
      <c r="B35" s="245" t="n"/>
      <c r="C35" s="288" t="n"/>
      <c r="D35" s="226" t="n"/>
    </row>
    <row r="36">
      <c r="B36" s="245" t="n"/>
      <c r="C36" s="288" t="n"/>
      <c r="D36" s="226" t="n"/>
    </row>
    <row r="37">
      <c r="B37" s="245" t="n"/>
      <c r="C37" s="288" t="n"/>
      <c r="D37" s="226" t="n"/>
    </row>
    <row r="38">
      <c r="B38" s="245" t="n"/>
      <c r="C38" s="288" t="n"/>
      <c r="D38" s="226" t="n"/>
    </row>
    <row r="39">
      <c r="B39" s="245" t="n"/>
      <c r="C39" s="245" t="n"/>
      <c r="D39" s="226" t="n"/>
    </row>
    <row r="40">
      <c r="B40" s="245" t="n"/>
      <c r="C40" s="245" t="n"/>
      <c r="D40" s="226" t="n"/>
    </row>
    <row r="41">
      <c r="B41" s="245" t="n"/>
      <c r="C41" s="245" t="n"/>
      <c r="D41" s="226" t="n"/>
    </row>
    <row r="42">
      <c r="B42" s="245" t="n"/>
      <c r="C42" s="245" t="n"/>
      <c r="D42" s="226" t="n"/>
    </row>
    <row r="43">
      <c r="B43" s="245" t="n"/>
      <c r="C43" s="245" t="n"/>
      <c r="D43" s="226" t="n"/>
    </row>
    <row r="44">
      <c r="B44" s="245" t="n"/>
      <c r="C44" s="245" t="n"/>
      <c r="D44" s="226" t="n"/>
    </row>
    <row r="45">
      <c r="A45" s="245" t="n"/>
      <c r="B45" s="245" t="n"/>
      <c r="C45" s="245" t="n"/>
      <c r="D45" s="226" t="n"/>
    </row>
    <row r="46">
      <c r="A46" s="245" t="n"/>
      <c r="B46" s="245" t="n"/>
      <c r="C46" s="245" t="n"/>
      <c r="D46" s="226" t="n"/>
    </row>
    <row r="47">
      <c r="A47" s="245" t="n"/>
      <c r="B47" s="245" t="n"/>
      <c r="C47" s="245" t="n"/>
      <c r="D47" s="226" t="n"/>
    </row>
    <row r="48">
      <c r="A48" s="245" t="n"/>
      <c r="B48" s="245" t="n"/>
      <c r="C48" s="245" t="n"/>
      <c r="D48" s="226" t="n"/>
    </row>
    <row r="49">
      <c r="A49" s="245" t="n"/>
      <c r="B49" s="245" t="n"/>
      <c r="C49" s="245" t="n"/>
      <c r="D49" s="226" t="n"/>
    </row>
    <row r="50">
      <c r="A50" s="245" t="n"/>
      <c r="B50" s="245" t="n"/>
      <c r="C50" s="245" t="n"/>
      <c r="D50" s="226" t="n"/>
    </row>
    <row r="51">
      <c r="A51" s="245" t="n"/>
      <c r="B51" s="245" t="n"/>
      <c r="C51" s="245" t="n"/>
      <c r="D51" s="226" t="n"/>
    </row>
    <row r="52">
      <c r="A52" s="245" t="n"/>
      <c r="B52" s="245" t="n"/>
      <c r="C52" s="245" t="n"/>
      <c r="D52" s="226" t="n"/>
    </row>
  </sheetData>
  <autoFilter ref="A1:AA54"/>
  <mergeCells count="6">
    <mergeCell ref="I17:J19"/>
    <mergeCell ref="K22:N22"/>
    <mergeCell ref="K17:N17"/>
    <mergeCell ref="Y17:Y19"/>
    <mergeCell ref="A17:C19"/>
    <mergeCell ref="E17:F19"/>
  </mergeCells>
  <conditionalFormatting sqref="Z1:AA1 Z7:AA14 Z15:Z19 Z21:AA1048576 AA2:AA5 AA15:AA20">
    <cfRule type="containsText" priority="7" operator="containsText" dxfId="1" text="△">
      <formula>NOT(ISERROR(SEARCH("△",Z1)))</formula>
    </cfRule>
    <cfRule type="containsText" priority="8" operator="containsText" dxfId="0" text="▽">
      <formula>NOT(ISERROR(SEARCH("▽",Z1)))</formula>
    </cfRule>
  </conditionalFormatting>
  <conditionalFormatting sqref="I2:I5 I7 I9:I13 I15:I16">
    <cfRule type="expression" priority="5" dxfId="7">
      <formula>$I2&gt;(TODAY()-7)</formula>
    </cfRule>
    <cfRule type="expression" priority="6" dxfId="6">
      <formula>$I2&gt;(TODAY()-30)</formula>
    </cfRule>
  </conditionalFormatting>
  <conditionalFormatting sqref="AA6">
    <cfRule type="containsText" priority="3" operator="containsText" dxfId="1" text="△">
      <formula>NOT(ISERROR(SEARCH("△",AA6)))</formula>
    </cfRule>
    <cfRule type="containsText" priority="4" operator="containsText" dxfId="0" text="▽">
      <formula>NOT(ISERROR(SEARCH("▽",AA6)))</formula>
    </cfRule>
  </conditionalFormatting>
  <conditionalFormatting sqref="I6">
    <cfRule type="expression" priority="1" dxfId="7">
      <formula>$I6&gt;(TODAY()-7)</formula>
    </cfRule>
    <cfRule type="expression" priority="2" dxfId="6">
      <formula>$I6&gt;(TODAY()-30)</formula>
    </cfRule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 codeName="工作表7">
    <outlinePr summaryBelow="0" summaryRight="0"/>
    <pageSetUpPr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baseColWidth="8" defaultColWidth="9" defaultRowHeight="16.5" outlineLevelRow="2"/>
  <cols>
    <col width="12.625" bestFit="1" customWidth="1" style="226" min="1" max="1"/>
    <col width="10.5" customWidth="1" style="226" min="2" max="2"/>
    <col width="20.125" bestFit="1" customWidth="1" style="226" min="3" max="3"/>
    <col width="9.5" bestFit="1" customWidth="1" style="226" min="4" max="4"/>
    <col width="10.5" bestFit="1" customWidth="1" style="245" min="5" max="5"/>
    <col width="9.5" bestFit="1" customWidth="1" style="226" min="6" max="6"/>
    <col width="8.125" bestFit="1" customWidth="1" style="226" min="7" max="7"/>
    <col width="11.875" bestFit="1" customWidth="1" style="226" min="8" max="8"/>
    <col width="10.875" bestFit="1" customWidth="1" style="226" min="9" max="9"/>
    <col collapsed="1" width="11.5" bestFit="1" customWidth="1" style="226" min="10" max="10"/>
    <col width="12.5" customWidth="1" style="226" min="11" max="11"/>
    <col width="15.375" bestFit="1" customWidth="1" style="226" min="12" max="12"/>
    <col outlineLevel="1" width="18.875" bestFit="1" customWidth="1" style="226" min="13" max="13"/>
    <col width="9.5" bestFit="1" customWidth="1" style="686" min="14" max="14"/>
    <col hidden="1" width="5.5" customWidth="1" style="226" min="15" max="15"/>
    <col width="13.875" bestFit="1" customWidth="1" style="686" min="16" max="16"/>
    <col width="33.5" customWidth="1" style="249" min="17" max="17"/>
    <col width="7.5" bestFit="1" customWidth="1" style="249" min="18" max="18"/>
    <col width="6" bestFit="1" customWidth="1" style="226" min="19" max="19"/>
    <col width="7.125" bestFit="1" customWidth="1" style="226" min="20" max="20"/>
    <col width="8.125" bestFit="1" customWidth="1" style="226" min="21" max="21"/>
    <col width="9.5" bestFit="1" customWidth="1" style="226" min="22" max="22"/>
    <col width="8.875" bestFit="1" customWidth="1" style="226" min="23" max="23"/>
    <col width="12.5" bestFit="1" customWidth="1" style="226" min="24" max="24"/>
    <col width="11.875" bestFit="1" customWidth="1" style="226" min="25" max="25"/>
    <col width="14.875" bestFit="1" customWidth="1" style="226" min="26" max="26"/>
    <col width="14.125" bestFit="1" customWidth="1" style="226" min="27" max="27"/>
    <col width="9" customWidth="1" style="226" min="28" max="16384"/>
  </cols>
  <sheetData>
    <row r="1" ht="17.25" customFormat="1" customHeight="1" s="227" thickBot="1">
      <c r="A1" s="127" t="inlineStr">
        <is>
          <t>成交日期</t>
        </is>
      </c>
      <c r="B1" s="128" t="inlineStr">
        <is>
          <t>商品代號</t>
        </is>
      </c>
      <c r="C1" s="246" t="inlineStr">
        <is>
          <t>商品名稱</t>
        </is>
      </c>
      <c r="D1" s="247" t="inlineStr">
        <is>
          <t>新／平</t>
        </is>
      </c>
      <c r="E1" s="128" t="inlineStr">
        <is>
          <t>買賣別</t>
        </is>
      </c>
      <c r="F1" s="128" t="inlineStr">
        <is>
          <t>當沖</t>
        </is>
      </c>
      <c r="G1" s="128" t="inlineStr">
        <is>
          <t>成交量</t>
        </is>
      </c>
      <c r="H1" s="128" t="inlineStr">
        <is>
          <t>成交價</t>
        </is>
      </c>
      <c r="I1" s="687" t="inlineStr">
        <is>
          <t>權利金</t>
        </is>
      </c>
      <c r="J1" s="130" t="inlineStr">
        <is>
          <t>手續費</t>
        </is>
      </c>
      <c r="K1" s="130" t="inlineStr">
        <is>
          <t>交易稅</t>
        </is>
      </c>
      <c r="L1" s="688" t="inlineStr">
        <is>
          <t>投資損益</t>
        </is>
      </c>
      <c r="M1" s="689" t="inlineStr">
        <is>
          <t xml:space="preserve"> </t>
        </is>
      </c>
      <c r="N1" s="690" t="inlineStr">
        <is>
          <t>損益點數</t>
        </is>
      </c>
      <c r="P1" s="738" t="n"/>
      <c r="Q1" s="249" t="n"/>
      <c r="R1" s="249" t="inlineStr">
        <is>
          <t>技法</t>
        </is>
      </c>
      <c r="S1" s="227" t="inlineStr">
        <is>
          <t>夜盤</t>
        </is>
      </c>
      <c r="T1" s="227" t="inlineStr">
        <is>
          <t>技法+</t>
        </is>
      </c>
      <c r="U1" s="227" t="inlineStr">
        <is>
          <t>技法-</t>
        </is>
      </c>
      <c r="V1" s="227" t="inlineStr">
        <is>
          <t>非技法+</t>
        </is>
      </c>
      <c r="W1" s="227" t="inlineStr">
        <is>
          <t>非技法-</t>
        </is>
      </c>
      <c r="X1" s="227" t="inlineStr">
        <is>
          <t>技法/夜盤+</t>
        </is>
      </c>
      <c r="Y1" s="227" t="inlineStr">
        <is>
          <t>技法/夜盤-</t>
        </is>
      </c>
      <c r="Z1" s="227" t="inlineStr">
        <is>
          <t>非技法/夜盤+</t>
        </is>
      </c>
      <c r="AA1" s="227" t="inlineStr">
        <is>
          <t>非技法/夜盤-</t>
        </is>
      </c>
    </row>
    <row r="2" ht="17.25" customHeight="1" thickBot="1">
      <c r="A2" s="718" t="n">
        <v>43473</v>
      </c>
      <c r="B2" s="292" t="n"/>
      <c r="C2" s="292" t="inlineStr">
        <is>
          <t>2019 飆股技巧籌碼心魔班</t>
        </is>
      </c>
      <c r="D2" s="292" t="n"/>
      <c r="E2" s="292" t="n"/>
      <c r="F2" s="292" t="n"/>
      <c r="G2" s="719" t="n"/>
      <c r="H2" s="719" t="n"/>
      <c r="I2" s="719" t="n"/>
      <c r="J2" s="720" t="n"/>
      <c r="K2" s="719" t="n"/>
      <c r="L2" s="720" t="n"/>
      <c r="M2" s="721">
        <f>-4457*0.965</f>
        <v/>
      </c>
      <c r="N2" s="666" t="n"/>
      <c r="P2" s="722" t="n"/>
      <c r="Q2" s="249" t="inlineStr">
        <is>
          <t>13000分6期, 首期2170, 6-1</t>
        </is>
      </c>
      <c r="R2" s="226" t="n"/>
    </row>
    <row r="3" ht="17.25" customHeight="1" thickBot="1">
      <c r="A3" s="718" t="n">
        <v>43479</v>
      </c>
      <c r="B3" s="292" t="n"/>
      <c r="C3" s="292" t="inlineStr">
        <is>
          <t>XQ 學院版</t>
        </is>
      </c>
      <c r="D3" s="292" t="n"/>
      <c r="E3" s="292" t="n"/>
      <c r="F3" s="292" t="n"/>
      <c r="G3" s="719" t="n"/>
      <c r="H3" s="719" t="n"/>
      <c r="I3" s="719" t="n"/>
      <c r="J3" s="720" t="n"/>
      <c r="K3" s="719" t="n"/>
      <c r="L3" s="720" t="n"/>
      <c r="M3" s="721">
        <f>-4457*0.965</f>
        <v/>
      </c>
      <c r="N3" s="666" t="n"/>
      <c r="P3" s="722" t="n"/>
      <c r="Q3" s="249" t="inlineStr">
        <is>
          <t>49888分12期, 每期4457</t>
        </is>
      </c>
      <c r="R3" s="226" t="n"/>
    </row>
    <row r="4" ht="17.25" customHeight="1" thickBot="1">
      <c r="A4" s="718" t="n">
        <v>43480</v>
      </c>
      <c r="B4" s="292" t="n"/>
      <c r="C4" s="292" t="inlineStr">
        <is>
          <t>台新個人信貸</t>
        </is>
      </c>
      <c r="D4" s="292" t="n"/>
      <c r="E4" s="292" t="n"/>
      <c r="F4" s="292" t="n"/>
      <c r="G4" s="719" t="n"/>
      <c r="H4" s="719" t="n"/>
      <c r="I4" s="719" t="n"/>
      <c r="J4" s="720" t="n"/>
      <c r="K4" s="719" t="n"/>
      <c r="L4" s="720" t="n"/>
      <c r="M4" s="721" t="n">
        <v>-3038</v>
      </c>
      <c r="N4" s="666" t="n"/>
      <c r="P4" s="722" t="n"/>
      <c r="Q4" s="249" t="inlineStr">
        <is>
          <t>利息</t>
        </is>
      </c>
      <c r="S4" s="739" t="n"/>
      <c r="T4" s="61">
        <f>IF(AND(R4="Yes",S4&lt;&gt;"Yes",L4&gt;0,B4&lt;&gt;"TXO"),L4,"")</f>
        <v/>
      </c>
      <c r="U4" s="61">
        <f>IF(AND(R4="Yes",S4&lt;&gt;"Yes",L4&lt;0,B4&lt;&gt;"TXO"),L4,"")</f>
        <v/>
      </c>
      <c r="V4" s="61">
        <f>IF(AND(R4="",S4&lt;&gt;"Yes",L4&gt;0,B4&lt;&gt;"TXO"),L4,"")</f>
        <v/>
      </c>
      <c r="W4" s="61">
        <f>IF(AND(R4="",S4&lt;&gt;"Yes",L4&lt;0,B4&lt;&gt;"TXO"),L4,"")</f>
        <v/>
      </c>
      <c r="X4" s="226">
        <f>IF(AND(R4="Yes",S4="Yes",L4&gt;0,B4&lt;&gt;"TXO"),L4,"")</f>
        <v/>
      </c>
      <c r="Y4" s="226">
        <f>IF(AND(R4="Yes",S4="Yes",L4&lt;0,B4&lt;&gt;"TXO"),L4,"")</f>
        <v/>
      </c>
      <c r="Z4" s="226">
        <f>IF(AND(R4="",S4="Yes",L4&gt;0,B4&lt;&gt;"TXO"),L4,"")</f>
        <v/>
      </c>
      <c r="AA4" s="226">
        <f>IF(AND(R4="",S4="Yes",L4&lt;0,B4&lt;&gt;"TXO"),L4,"")</f>
        <v/>
      </c>
    </row>
    <row r="5" ht="17.25" customHeight="1" thickBot="1">
      <c r="A5" s="718" t="n">
        <v>43493</v>
      </c>
      <c r="B5" s="292" t="n"/>
      <c r="C5" s="292" t="inlineStr">
        <is>
          <t>阿水財經四班</t>
        </is>
      </c>
      <c r="D5" s="292" t="n"/>
      <c r="E5" s="292" t="n"/>
      <c r="F5" s="292" t="n"/>
      <c r="G5" s="719" t="n"/>
      <c r="H5" s="719" t="n"/>
      <c r="I5" s="719" t="n"/>
      <c r="J5" s="720" t="n"/>
      <c r="K5" s="719" t="n"/>
      <c r="L5" s="720" t="n"/>
      <c r="M5" s="721">
        <f>-5000*0.965</f>
        <v/>
      </c>
      <c r="N5" s="666" t="n"/>
      <c r="P5" s="722" t="n"/>
      <c r="Q5" s="249" t="inlineStr">
        <is>
          <t>60000分12期, 每期5000</t>
        </is>
      </c>
      <c r="S5" s="739" t="n"/>
    </row>
    <row r="6" outlineLevel="1" ht="33" customHeight="1">
      <c r="A6" s="696" t="n">
        <v>43468</v>
      </c>
      <c r="B6" s="234" t="inlineStr">
        <is>
          <t>FIMTX</t>
        </is>
      </c>
      <c r="C6" s="229" t="inlineStr">
        <is>
          <t>小指01</t>
        </is>
      </c>
      <c r="D6" s="229" t="inlineStr">
        <is>
          <t>新倉</t>
        </is>
      </c>
      <c r="E6" s="257" t="inlineStr">
        <is>
          <t>賣</t>
        </is>
      </c>
      <c r="F6" s="229" t="inlineStr">
        <is>
          <t>-</t>
        </is>
      </c>
      <c r="G6" s="697" t="n">
        <v>2</v>
      </c>
      <c r="H6" s="697" t="n">
        <v>9446</v>
      </c>
      <c r="I6" s="697" t="n">
        <v>0</v>
      </c>
      <c r="J6" s="585" t="n">
        <v>46</v>
      </c>
      <c r="K6" s="585" t="n">
        <v>18</v>
      </c>
      <c r="L6" s="585">
        <f>IF(B6="TXO",I6-SUM(J6:K6),IF(B6="FITX",IF(D6="新倉",-SUM(J6:K6),IF(E6="賣",(H6-H5)*G6*200-SUM(J6:K6),(H5-H6)*G6*200-SUM(J6:K6))),IF(D6="新倉",-SUM(J6:K6),IF(E6="賣",(H6-H5)*G6*50-SUM(J6:K6),(H5-H6)*G6*50-SUM(J6:K6)))))</f>
        <v/>
      </c>
      <c r="M6" s="699">
        <f>L6</f>
        <v/>
      </c>
      <c r="N6" s="686">
        <f>IF(B6="TXO","",IF(D6="新倉","",IF(E6="賣",(H6-H5)*G6,(H5-H6)*G6)))</f>
        <v/>
      </c>
      <c r="O6" s="226" t="n">
        <v>0</v>
      </c>
      <c r="P6" s="667">
        <f>SUM(L6:L9)</f>
        <v/>
      </c>
      <c r="Q6" s="249" t="inlineStr">
        <is>
          <t>技法: 籌碼三弱，跌破開盤低點下空單</t>
        </is>
      </c>
      <c r="S6" s="249" t="n"/>
      <c r="T6" s="61">
        <f>IF(AND(R6="Yes",S6&lt;&gt;"Yes",L6&gt;0,B6&lt;&gt;"TXO"),L6,"")</f>
        <v/>
      </c>
      <c r="U6" s="61">
        <f>IF(AND(R6="Yes",S6&lt;&gt;"Yes",L6&lt;0,B6&lt;&gt;"TXO"),L6,"")</f>
        <v/>
      </c>
      <c r="V6" s="61">
        <f>IF(AND(R6="",S6&lt;&gt;"Yes",L6&gt;0,B6&lt;&gt;"TXO"),L6,"")</f>
        <v/>
      </c>
      <c r="W6" s="61">
        <f>IF(AND(R6="",S6&lt;&gt;"Yes",L6&lt;0,B6&lt;&gt;"TXO"),L6,"")</f>
        <v/>
      </c>
      <c r="X6" s="226">
        <f>IF(AND(R6="Yes",S6="Yes",L6&gt;0,B6&lt;&gt;"TXO"),L6,"")</f>
        <v/>
      </c>
      <c r="Y6" s="226">
        <f>IF(AND(R6="Yes",S6="Yes",L6&lt;0,B6&lt;&gt;"TXO"),L6,"")</f>
        <v/>
      </c>
      <c r="Z6" s="226">
        <f>IF(AND(R6="",S6="Yes",L6&gt;0,B6&lt;&gt;"TXO"),L6,"")</f>
        <v/>
      </c>
      <c r="AA6" s="226">
        <f>IF(AND(R6="",S6="Yes",L6&lt;0,B6&lt;&gt;"TXO"),L6,"")</f>
        <v/>
      </c>
    </row>
    <row r="7" outlineLevel="2" collapsed="1">
      <c r="A7" s="696" t="n">
        <v>43468</v>
      </c>
      <c r="B7" s="234" t="inlineStr">
        <is>
          <t>FIMTX</t>
        </is>
      </c>
      <c r="C7" s="229" t="inlineStr">
        <is>
          <t>小指01</t>
        </is>
      </c>
      <c r="D7" s="229" t="inlineStr">
        <is>
          <t>平倉</t>
        </is>
      </c>
      <c r="E7" s="257" t="inlineStr">
        <is>
          <t>買</t>
        </is>
      </c>
      <c r="F7" s="229" t="inlineStr">
        <is>
          <t>-</t>
        </is>
      </c>
      <c r="G7" s="697" t="n">
        <v>2</v>
      </c>
      <c r="H7" s="697" t="n">
        <v>9518</v>
      </c>
      <c r="I7" s="697" t="n">
        <v>0</v>
      </c>
      <c r="J7" s="585" t="n">
        <v>46</v>
      </c>
      <c r="K7" s="585" t="n">
        <v>20</v>
      </c>
      <c r="L7" s="585">
        <f>IF(B7="TXO",I7-SUM(J7:K7),IF(B7="FITX",IF(D7="新倉",-SUM(J7:K7),IF(E7="賣",(H7-H6)*G7*200-SUM(J7:K7),(H6-H7)*G7*200-SUM(J7:K7))),IF(D7="新倉",-SUM(J7:K7),IF(E7="賣",(H7-H6)*G7*50-SUM(J7:K7),(H6-H7)*G7*50-SUM(J7:K7)))))</f>
        <v/>
      </c>
      <c r="M7" s="699">
        <f>L7</f>
        <v/>
      </c>
      <c r="N7" s="686">
        <f>IF(B7="TXO","",IF(D7="新倉","",IF(E7="賣",(H7-H6)*G7,(H6-H7)*G7)))</f>
        <v/>
      </c>
      <c r="O7" s="226" t="n">
        <v>0</v>
      </c>
      <c r="P7" s="667" t="n"/>
      <c r="Q7" s="249" t="inlineStr">
        <is>
          <t>取消15點停損(被嘎翻天)</t>
        </is>
      </c>
      <c r="S7" s="249" t="n"/>
      <c r="T7" s="61">
        <f>IF(AND(R7="Yes",S7&lt;&gt;"Yes",L7&gt;0,B7&lt;&gt;"TXO"),L7,"")</f>
        <v/>
      </c>
      <c r="U7" s="61">
        <f>IF(AND(R7="Yes",S7&lt;&gt;"Yes",L7&lt;0,B7&lt;&gt;"TXO"),L7,"")</f>
        <v/>
      </c>
      <c r="V7" s="61">
        <f>IF(AND(R7="",S7&lt;&gt;"Yes",L7&gt;0,B7&lt;&gt;"TXO"),L7,"")</f>
        <v/>
      </c>
      <c r="W7" s="61">
        <f>IF(AND(R7="",S7&lt;&gt;"Yes",L7&lt;0,B7&lt;&gt;"TXO"),L7,"")</f>
        <v/>
      </c>
      <c r="X7" s="226">
        <f>IF(AND(R7="Yes",S7="Yes",L7&gt;0,B7&lt;&gt;"TXO"),L7,"")</f>
        <v/>
      </c>
      <c r="Y7" s="226">
        <f>IF(AND(R7="Yes",S7="Yes",L7&lt;0,B7&lt;&gt;"TXO"),L7,"")</f>
        <v/>
      </c>
      <c r="Z7" s="226">
        <f>IF(AND(R7="",S7="Yes",L7&gt;0,B7&lt;&gt;"TXO"),L7,"")</f>
        <v/>
      </c>
      <c r="AA7" s="226">
        <f>IF(AND(R7="",S7="Yes",L7&lt;0,B7&lt;&gt;"TXO"),L7,"")</f>
        <v/>
      </c>
    </row>
    <row r="8" outlineLevel="2" collapsed="1">
      <c r="A8" s="696" t="n">
        <v>43468</v>
      </c>
      <c r="B8" s="234" t="inlineStr">
        <is>
          <t>FIMTX</t>
        </is>
      </c>
      <c r="C8" s="229" t="inlineStr">
        <is>
          <t>小指01</t>
        </is>
      </c>
      <c r="D8" s="229" t="inlineStr">
        <is>
          <t>新倉</t>
        </is>
      </c>
      <c r="E8" s="257" t="inlineStr">
        <is>
          <t>賣</t>
        </is>
      </c>
      <c r="F8" s="229" t="inlineStr">
        <is>
          <t>-</t>
        </is>
      </c>
      <c r="G8" s="697" t="n">
        <v>1</v>
      </c>
      <c r="H8" s="697" t="n">
        <v>9447</v>
      </c>
      <c r="I8" s="697" t="n">
        <v>0</v>
      </c>
      <c r="J8" s="585" t="n">
        <v>23</v>
      </c>
      <c r="K8" s="585" t="n">
        <v>9</v>
      </c>
      <c r="L8" s="585">
        <f>IF(B8="TXO",I8-SUM(J8:K8),IF(B8="FITX",IF(D8="新倉",-SUM(J8:K8),IF(E8="賣",(H8-H7)*G8*200-SUM(J8:K8),(H7-H8)*G8*200-SUM(J8:K8))),IF(D8="新倉",-SUM(J8:K8),IF(E8="賣",(H8-H7)*G8*50-SUM(J8:K8),(H7-H8)*G8*50-SUM(J8:K8)))))</f>
        <v/>
      </c>
      <c r="M8" s="699">
        <f>L8</f>
        <v/>
      </c>
      <c r="N8" s="686">
        <f>IF(B8="TXO","",IF(D8="新倉","",IF(E8="賣",(H8-H7)*G8,(H7-H8)*G8)))</f>
        <v/>
      </c>
      <c r="O8" s="226" t="n">
        <v>0</v>
      </c>
      <c r="P8" s="667" t="n"/>
      <c r="Q8" s="297" t="n"/>
      <c r="S8" s="249" t="n"/>
      <c r="T8" s="61">
        <f>IF(AND(R8="Yes",S8&lt;&gt;"Yes",L8&gt;0,B8&lt;&gt;"TXO"),L8,"")</f>
        <v/>
      </c>
      <c r="U8" s="61">
        <f>IF(AND(R8="Yes",S8&lt;&gt;"Yes",L8&lt;0,B8&lt;&gt;"TXO"),L8,"")</f>
        <v/>
      </c>
      <c r="V8" s="61">
        <f>IF(AND(R8="",S8&lt;&gt;"Yes",L8&gt;0,B8&lt;&gt;"TXO"),L8,"")</f>
        <v/>
      </c>
      <c r="W8" s="61">
        <f>IF(AND(R8="",S8&lt;&gt;"Yes",L8&lt;0,B8&lt;&gt;"TXO"),L8,"")</f>
        <v/>
      </c>
      <c r="X8" s="226">
        <f>IF(AND(R8="Yes",S8="Yes",L8&gt;0,B8&lt;&gt;"TXO"),L8,"")</f>
        <v/>
      </c>
      <c r="Y8" s="226">
        <f>IF(AND(R8="Yes",S8="Yes",L8&lt;0,B8&lt;&gt;"TXO"),L8,"")</f>
        <v/>
      </c>
      <c r="Z8" s="226">
        <f>IF(AND(R8="",S8="Yes",L8&gt;0,B8&lt;&gt;"TXO"),L8,"")</f>
        <v/>
      </c>
      <c r="AA8" s="226">
        <f>IF(AND(R8="",S8="Yes",L8&lt;0,B8&lt;&gt;"TXO"),L8,"")</f>
        <v/>
      </c>
    </row>
    <row r="9" outlineLevel="2">
      <c r="A9" s="696" t="n">
        <v>43468</v>
      </c>
      <c r="B9" s="234" t="inlineStr">
        <is>
          <t>FIMTX</t>
        </is>
      </c>
      <c r="C9" s="229" t="inlineStr">
        <is>
          <t>小指01</t>
        </is>
      </c>
      <c r="D9" s="229" t="inlineStr">
        <is>
          <t>平倉</t>
        </is>
      </c>
      <c r="E9" s="257" t="inlineStr">
        <is>
          <t>買</t>
        </is>
      </c>
      <c r="F9" s="229" t="inlineStr">
        <is>
          <t>-</t>
        </is>
      </c>
      <c r="G9" s="697" t="n">
        <v>1</v>
      </c>
      <c r="H9" s="697" t="n">
        <v>9518</v>
      </c>
      <c r="I9" s="697" t="n">
        <v>0</v>
      </c>
      <c r="J9" s="585" t="n">
        <v>23</v>
      </c>
      <c r="K9" s="585" t="n">
        <v>10</v>
      </c>
      <c r="L9" s="585">
        <f>IF(B9="TXO",I9-SUM(J9:K9),IF(B9="FITX",IF(D9="新倉",-SUM(J9:K9),IF(E9="賣",(H9-H8)*G9*200-SUM(J9:K9),(H8-H9)*G9*200-SUM(J9:K9))),IF(D9="新倉",-SUM(J9:K9),IF(E9="賣",(H9-H8)*G9*50-SUM(J9:K9),(H8-H9)*G9*50-SUM(J9:K9)))))</f>
        <v/>
      </c>
      <c r="M9" s="699">
        <f>L9</f>
        <v/>
      </c>
      <c r="N9" s="686">
        <f>IF(B9="TXO","",IF(D9="新倉","",IF(E9="賣",(H9-H8)*G9,(H8-H9)*G9)))</f>
        <v/>
      </c>
      <c r="O9" s="226" t="n">
        <v>0</v>
      </c>
      <c r="P9" s="667" t="n"/>
      <c r="Q9" s="249" t="inlineStr">
        <is>
          <t>取消15點停損(被嘎翻天)</t>
        </is>
      </c>
      <c r="S9" s="249" t="n"/>
      <c r="T9" s="61">
        <f>IF(AND(R9="Yes",S9&lt;&gt;"Yes",L9&gt;0,B9&lt;&gt;"TXO"),L9,"")</f>
        <v/>
      </c>
      <c r="U9" s="61">
        <f>IF(AND(R9="Yes",S9&lt;&gt;"Yes",L9&lt;0,B9&lt;&gt;"TXO"),L9,"")</f>
        <v/>
      </c>
      <c r="V9" s="61">
        <f>IF(AND(R9="",S9&lt;&gt;"Yes",L9&gt;0,B9&lt;&gt;"TXO"),L9,"")</f>
        <v/>
      </c>
      <c r="W9" s="61">
        <f>IF(AND(R9="",S9&lt;&gt;"Yes",L9&lt;0,B9&lt;&gt;"TXO"),L9,"")</f>
        <v/>
      </c>
      <c r="X9" s="226">
        <f>IF(AND(R9="Yes",S9="Yes",L9&gt;0,B9&lt;&gt;"TXO"),L9,"")</f>
        <v/>
      </c>
      <c r="Y9" s="226">
        <f>IF(AND(R9="Yes",S9="Yes",L9&lt;0,B9&lt;&gt;"TXO"),L9,"")</f>
        <v/>
      </c>
      <c r="Z9" s="226">
        <f>IF(AND(R9="",S9="Yes",L9&gt;0,B9&lt;&gt;"TXO"),L9,"")</f>
        <v/>
      </c>
      <c r="AA9" s="226">
        <f>IF(AND(R9="",S9="Yes",L9&lt;0,B9&lt;&gt;"TXO"),L9,"")</f>
        <v/>
      </c>
    </row>
    <row r="10" outlineLevel="1" ht="33" customHeight="1">
      <c r="A10" s="740" t="n">
        <v>43469</v>
      </c>
      <c r="B10" s="299" t="inlineStr">
        <is>
          <t>FIMTX</t>
        </is>
      </c>
      <c r="C10" s="300" t="inlineStr">
        <is>
          <t>小指01</t>
        </is>
      </c>
      <c r="D10" s="300" t="inlineStr">
        <is>
          <t>新倉</t>
        </is>
      </c>
      <c r="E10" s="301" t="inlineStr">
        <is>
          <t>買</t>
        </is>
      </c>
      <c r="F10" s="300" t="inlineStr">
        <is>
          <t>-</t>
        </is>
      </c>
      <c r="G10" s="741" t="n">
        <v>2</v>
      </c>
      <c r="H10" s="741" t="n">
        <v>9399</v>
      </c>
      <c r="I10" s="741" t="n">
        <v>0</v>
      </c>
      <c r="J10" s="742" t="n">
        <v>46</v>
      </c>
      <c r="K10" s="742" t="n">
        <v>18</v>
      </c>
      <c r="L10" s="742">
        <f>IF(B10="TXO",I10-SUM(J10:K10),IF(B10="FITX",IF(D10="新倉",-SUM(J10:K10),IF(E10="賣",(H10-H9)*G10*200-SUM(J10:K10),(H9-H10)*G10*200-SUM(J10:K10))),IF(D10="新倉",-SUM(J10:K10),IF(E10="賣",(H10-H9)*G10*50-SUM(J10:K10),(H9-H10)*G10*50-SUM(J10:K10)))))</f>
        <v/>
      </c>
      <c r="M10" s="743">
        <f>L10</f>
        <v/>
      </c>
      <c r="N10" s="686">
        <f>IF(B10="TXO","",IF(D10="新倉","",IF(E10="賣",(H10-H9)*G10,(H9-H10)*G10)))</f>
        <v/>
      </c>
      <c r="O10" s="226" t="n">
        <v>0</v>
      </c>
      <c r="P10" s="667">
        <f>SUM(L10:L13)</f>
        <v/>
      </c>
      <c r="Q10" s="297" t="inlineStr">
        <is>
          <t>技法: 籌碼三弱，跌破開盤低點下空單</t>
        </is>
      </c>
      <c r="S10" s="249" t="n"/>
      <c r="T10" s="61">
        <f>IF(AND(R10="Yes",S10&lt;&gt;"Yes",L10&gt;0,B10&lt;&gt;"TXO"),L10,"")</f>
        <v/>
      </c>
      <c r="U10" s="61">
        <f>IF(AND(R10="Yes",S10&lt;&gt;"Yes",L10&lt;0,B10&lt;&gt;"TXO"),L10,"")</f>
        <v/>
      </c>
      <c r="V10" s="61">
        <f>IF(AND(R10="",S10&lt;&gt;"Yes",L10&gt;0,B10&lt;&gt;"TXO"),L10,"")</f>
        <v/>
      </c>
      <c r="W10" s="61">
        <f>IF(AND(R10="",S10&lt;&gt;"Yes",L10&lt;0,B10&lt;&gt;"TXO"),L10,"")</f>
        <v/>
      </c>
      <c r="X10" s="226">
        <f>IF(AND(R10="Yes",S10="Yes",L10&gt;0,B10&lt;&gt;"TXO"),L10,"")</f>
        <v/>
      </c>
      <c r="Y10" s="226">
        <f>IF(AND(R10="Yes",S10="Yes",L10&lt;0,B10&lt;&gt;"TXO"),L10,"")</f>
        <v/>
      </c>
      <c r="Z10" s="226">
        <f>IF(AND(R10="",S10="Yes",L10&gt;0,B10&lt;&gt;"TXO"),L10,"")</f>
        <v/>
      </c>
      <c r="AA10" s="226">
        <f>IF(AND(R10="",S10="Yes",L10&lt;0,B10&lt;&gt;"TXO"),L10,"")</f>
        <v/>
      </c>
    </row>
    <row r="11" outlineLevel="2" collapsed="1">
      <c r="A11" s="740" t="n">
        <v>43469</v>
      </c>
      <c r="B11" s="299" t="inlineStr">
        <is>
          <t>FIMTX</t>
        </is>
      </c>
      <c r="C11" s="300" t="inlineStr">
        <is>
          <t>小指01</t>
        </is>
      </c>
      <c r="D11" s="300" t="inlineStr">
        <is>
          <t>平倉</t>
        </is>
      </c>
      <c r="E11" s="301" t="inlineStr">
        <is>
          <t>賣</t>
        </is>
      </c>
      <c r="F11" s="300" t="inlineStr">
        <is>
          <t>-</t>
        </is>
      </c>
      <c r="G11" s="741" t="n">
        <v>2</v>
      </c>
      <c r="H11" s="741" t="n">
        <v>9389</v>
      </c>
      <c r="I11" s="741" t="n">
        <v>0</v>
      </c>
      <c r="J11" s="742" t="n">
        <v>46</v>
      </c>
      <c r="K11" s="742" t="n">
        <v>18</v>
      </c>
      <c r="L11" s="742">
        <f>IF(B11="TXO",I11-SUM(J11:K11),IF(B11="FITX",IF(D11="新倉",-SUM(J11:K11),IF(E11="賣",(H11-H10)*G11*200-SUM(J11:K11),(H10-H11)*G11*200-SUM(J11:K11))),IF(D11="新倉",-SUM(J11:K11),IF(E11="賣",(H11-H10)*G11*50-SUM(J11:K11),(H10-H11)*G11*50-SUM(J11:K11)))))</f>
        <v/>
      </c>
      <c r="M11" s="743">
        <f>L11</f>
        <v/>
      </c>
      <c r="N11" s="686">
        <f>IF(B11="TXO","",IF(D11="新倉","",IF(E11="賣",(H11-H10)*G11,(H10-H11)*G11)))</f>
        <v/>
      </c>
      <c r="O11" s="226" t="n">
        <v>0</v>
      </c>
      <c r="P11" s="667" t="n"/>
      <c r="Q11" s="297" t="inlineStr">
        <is>
          <t>取消15點停損(被嘎翻天)</t>
        </is>
      </c>
      <c r="S11" s="249" t="n"/>
      <c r="T11" s="61">
        <f>IF(AND(R11="Yes",S11&lt;&gt;"Yes",L11&gt;0,B11&lt;&gt;"TXO"),L11,"")</f>
        <v/>
      </c>
      <c r="U11" s="61">
        <f>IF(AND(R11="Yes",S11&lt;&gt;"Yes",L11&lt;0,B11&lt;&gt;"TXO"),L11,"")</f>
        <v/>
      </c>
      <c r="V11" s="61">
        <f>IF(AND(R11="",S11&lt;&gt;"Yes",L11&gt;0,B11&lt;&gt;"TXO"),L11,"")</f>
        <v/>
      </c>
      <c r="W11" s="61">
        <f>IF(AND(R11="",S11&lt;&gt;"Yes",L11&lt;0,B11&lt;&gt;"TXO"),L11,"")</f>
        <v/>
      </c>
      <c r="X11" s="226">
        <f>IF(AND(R11="Yes",S11="Yes",L11&gt;0,B11&lt;&gt;"TXO"),L11,"")</f>
        <v/>
      </c>
      <c r="Y11" s="226">
        <f>IF(AND(R11="Yes",S11="Yes",L11&lt;0,B11&lt;&gt;"TXO"),L11,"")</f>
        <v/>
      </c>
      <c r="Z11" s="226">
        <f>IF(AND(R11="",S11="Yes",L11&gt;0,B11&lt;&gt;"TXO"),L11,"")</f>
        <v/>
      </c>
      <c r="AA11" s="226">
        <f>IF(AND(R11="",S11="Yes",L11&lt;0,B11&lt;&gt;"TXO"),L11,"")</f>
        <v/>
      </c>
    </row>
    <row r="12" outlineLevel="2" collapsed="1">
      <c r="A12" s="740" t="n">
        <v>43469</v>
      </c>
      <c r="B12" s="299" t="inlineStr">
        <is>
          <t>FIMTX</t>
        </is>
      </c>
      <c r="C12" s="300" t="inlineStr">
        <is>
          <t>小指01</t>
        </is>
      </c>
      <c r="D12" s="300" t="inlineStr">
        <is>
          <t>新倉</t>
        </is>
      </c>
      <c r="E12" s="301" t="inlineStr">
        <is>
          <t>買</t>
        </is>
      </c>
      <c r="F12" s="300" t="inlineStr">
        <is>
          <t>-</t>
        </is>
      </c>
      <c r="G12" s="741" t="n">
        <v>1</v>
      </c>
      <c r="H12" s="741" t="n">
        <v>9400</v>
      </c>
      <c r="I12" s="741" t="n">
        <v>0</v>
      </c>
      <c r="J12" s="742" t="n">
        <v>23</v>
      </c>
      <c r="K12" s="742" t="n">
        <v>9</v>
      </c>
      <c r="L12" s="742">
        <f>IF(B12="TXO",I12-SUM(J12:K12),IF(B12="FITX",IF(D12="新倉",-SUM(J12:K12),IF(E12="賣",(H12-H11)*G12*200-SUM(J12:K12),(H11-H12)*G12*200-SUM(J12:K12))),IF(D12="新倉",-SUM(J12:K12),IF(E12="賣",(H12-H11)*G12*50-SUM(J12:K12),(H11-H12)*G12*50-SUM(J12:K12)))))</f>
        <v/>
      </c>
      <c r="M12" s="743">
        <f>L12</f>
        <v/>
      </c>
      <c r="N12" s="686">
        <f>IF(B12="TXO","",IF(D12="新倉","",IF(E12="賣",(H12-H11)*G12,(H11-H12)*G12)))</f>
        <v/>
      </c>
      <c r="O12" s="226" t="n">
        <v>0</v>
      </c>
      <c r="P12" s="667" t="n"/>
      <c r="Q12" s="297" t="n"/>
      <c r="S12" s="249" t="n"/>
      <c r="T12" s="61">
        <f>IF(AND(R12="Yes",S12&lt;&gt;"Yes",L12&gt;0,B12&lt;&gt;"TXO"),L12,"")</f>
        <v/>
      </c>
      <c r="U12" s="61">
        <f>IF(AND(R12="Yes",S12&lt;&gt;"Yes",L12&lt;0,B12&lt;&gt;"TXO"),L12,"")</f>
        <v/>
      </c>
      <c r="V12" s="61">
        <f>IF(AND(R12="",S12&lt;&gt;"Yes",L12&gt;0,B12&lt;&gt;"TXO"),L12,"")</f>
        <v/>
      </c>
      <c r="W12" s="61">
        <f>IF(AND(R12="",S12&lt;&gt;"Yes",L12&lt;0,B12&lt;&gt;"TXO"),L12,"")</f>
        <v/>
      </c>
      <c r="X12" s="226">
        <f>IF(AND(R12="Yes",S12="Yes",L12&gt;0,B12&lt;&gt;"TXO"),L12,"")</f>
        <v/>
      </c>
      <c r="Y12" s="226">
        <f>IF(AND(R12="Yes",S12="Yes",L12&lt;0,B12&lt;&gt;"TXO"),L12,"")</f>
        <v/>
      </c>
      <c r="Z12" s="226">
        <f>IF(AND(R12="",S12="Yes",L12&gt;0,B12&lt;&gt;"TXO"),L12,"")</f>
        <v/>
      </c>
      <c r="AA12" s="226">
        <f>IF(AND(R12="",S12="Yes",L12&lt;0,B12&lt;&gt;"TXO"),L12,"")</f>
        <v/>
      </c>
    </row>
    <row r="13" outlineLevel="2" collapsed="1">
      <c r="A13" s="740" t="n">
        <v>43469</v>
      </c>
      <c r="B13" s="299" t="inlineStr">
        <is>
          <t>FIMTX</t>
        </is>
      </c>
      <c r="C13" s="300" t="inlineStr">
        <is>
          <t>小指01</t>
        </is>
      </c>
      <c r="D13" s="300" t="inlineStr">
        <is>
          <t>平倉</t>
        </is>
      </c>
      <c r="E13" s="301" t="inlineStr">
        <is>
          <t>賣</t>
        </is>
      </c>
      <c r="F13" s="300" t="inlineStr">
        <is>
          <t>-</t>
        </is>
      </c>
      <c r="G13" s="741" t="n">
        <v>1</v>
      </c>
      <c r="H13" s="741" t="n">
        <v>9389</v>
      </c>
      <c r="I13" s="741" t="n">
        <v>0</v>
      </c>
      <c r="J13" s="742" t="n">
        <v>23</v>
      </c>
      <c r="K13" s="742" t="n">
        <v>9</v>
      </c>
      <c r="L13" s="742">
        <f>IF(B13="TXO",I13-SUM(J13:K13),IF(B13="FITX",IF(D13="新倉",-SUM(J13:K13),IF(E13="賣",(H13-H12)*G13*200-SUM(J13:K13),(H12-H13)*G13*200-SUM(J13:K13))),IF(D13="新倉",-SUM(J13:K13),IF(E13="賣",(H13-H12)*G13*50-SUM(J13:K13),(H12-H13)*G13*50-SUM(J13:K13)))))</f>
        <v/>
      </c>
      <c r="M13" s="743">
        <f>L13</f>
        <v/>
      </c>
      <c r="N13" s="686">
        <f>IF(B13="TXO","",IF(D13="新倉","",IF(E13="賣",(H13-H12)*G13,(H12-H13)*G13)))</f>
        <v/>
      </c>
      <c r="O13" s="226" t="n">
        <v>0</v>
      </c>
      <c r="P13" s="667" t="n"/>
      <c r="Q13" s="297" t="n"/>
      <c r="S13" s="249" t="n"/>
      <c r="T13" s="61">
        <f>IF(AND(R13="Yes",S13&lt;&gt;"Yes",L13&gt;0,B13&lt;&gt;"TXO"),L13,"")</f>
        <v/>
      </c>
      <c r="U13" s="61">
        <f>IF(AND(R13="Yes",S13&lt;&gt;"Yes",L13&lt;0,B13&lt;&gt;"TXO"),L13,"")</f>
        <v/>
      </c>
      <c r="V13" s="61">
        <f>IF(AND(R13="",S13&lt;&gt;"Yes",L13&gt;0,B13&lt;&gt;"TXO"),L13,"")</f>
        <v/>
      </c>
      <c r="W13" s="61">
        <f>IF(AND(R13="",S13&lt;&gt;"Yes",L13&lt;0,B13&lt;&gt;"TXO"),L13,"")</f>
        <v/>
      </c>
      <c r="X13" s="226">
        <f>IF(AND(R13="Yes",S13="Yes",L13&gt;0,B13&lt;&gt;"TXO"),L13,"")</f>
        <v/>
      </c>
      <c r="Y13" s="226">
        <f>IF(AND(R13="Yes",S13="Yes",L13&lt;0,B13&lt;&gt;"TXO"),L13,"")</f>
        <v/>
      </c>
      <c r="Z13" s="226">
        <f>IF(AND(R13="",S13="Yes",L13&gt;0,B13&lt;&gt;"TXO"),L13,"")</f>
        <v/>
      </c>
      <c r="AA13" s="226">
        <f>IF(AND(R13="",S13="Yes",L13&lt;0,B13&lt;&gt;"TXO"),L13,"")</f>
        <v/>
      </c>
    </row>
    <row r="14" outlineLevel="1">
      <c r="A14" s="696" t="n">
        <v>43473</v>
      </c>
      <c r="B14" s="234" t="inlineStr">
        <is>
          <t>FIMTX</t>
        </is>
      </c>
      <c r="C14" s="229" t="inlineStr">
        <is>
          <t>小指01</t>
        </is>
      </c>
      <c r="D14" s="229" t="inlineStr">
        <is>
          <t>新倉</t>
        </is>
      </c>
      <c r="E14" s="257" t="inlineStr">
        <is>
          <t>買</t>
        </is>
      </c>
      <c r="F14" s="229" t="inlineStr">
        <is>
          <t>-</t>
        </is>
      </c>
      <c r="G14" s="697" t="n">
        <v>1</v>
      </c>
      <c r="H14" s="697" t="n">
        <v>9604</v>
      </c>
      <c r="I14" s="697" t="n">
        <v>0</v>
      </c>
      <c r="J14" s="585" t="n">
        <v>23</v>
      </c>
      <c r="K14" s="585" t="n">
        <v>10</v>
      </c>
      <c r="L14" s="585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/>
      </c>
      <c r="M14" s="699">
        <f>L14</f>
        <v/>
      </c>
      <c r="N14" s="686">
        <f>IF(B14="TXO","",IF(D14="新倉","",IF(E14="賣",(H14-H13)*G14,(H13-H14)*G14)))</f>
        <v/>
      </c>
      <c r="O14" s="226" t="n">
        <v>0</v>
      </c>
      <c r="P14" s="667">
        <f>SUM(L14:L17)</f>
        <v/>
      </c>
      <c r="Q14" s="297" t="inlineStr">
        <is>
          <t>技法: 3/3 買進1口</t>
        </is>
      </c>
      <c r="R14" s="249" t="inlineStr">
        <is>
          <t>Yes</t>
        </is>
      </c>
      <c r="S14" s="249" t="inlineStr">
        <is>
          <t>Yes</t>
        </is>
      </c>
      <c r="T14" s="61">
        <f>IF(AND(R14="Yes",S14&lt;&gt;"Yes",L14&gt;0,B14&lt;&gt;"TXO"),L14,"")</f>
        <v/>
      </c>
      <c r="U14" s="61">
        <f>IF(AND(R14="Yes",S14&lt;&gt;"Yes",L14&lt;0,B14&lt;&gt;"TXO"),L14,"")</f>
        <v/>
      </c>
      <c r="V14" s="61">
        <f>IF(AND(R14="",S14&lt;&gt;"Yes",L14&gt;0,B14&lt;&gt;"TXO"),L14,"")</f>
        <v/>
      </c>
      <c r="W14" s="61">
        <f>IF(AND(R14="",S14&lt;&gt;"Yes",L14&lt;0,B14&lt;&gt;"TXO"),L14,"")</f>
        <v/>
      </c>
      <c r="X14" s="226">
        <f>IF(AND(R14="Yes",S14="Yes",L14&gt;0,B14&lt;&gt;"TXO"),L14,"")</f>
        <v/>
      </c>
      <c r="Y14" s="226">
        <f>IF(AND(R14="Yes",S14="Yes",L14&lt;0,B14&lt;&gt;"TXO"),L14,"")</f>
        <v/>
      </c>
      <c r="Z14" s="226">
        <f>IF(AND(R14="",S14="Yes",L14&gt;0,B14&lt;&gt;"TXO"),L14,"")</f>
        <v/>
      </c>
      <c r="AA14" s="226">
        <f>IF(AND(R14="",S14="Yes",L14&lt;0,B14&lt;&gt;"TXO"),L14,"")</f>
        <v/>
      </c>
    </row>
    <row r="15" outlineLevel="2" collapsed="1">
      <c r="A15" s="696" t="n">
        <v>43473</v>
      </c>
      <c r="B15" s="234" t="inlineStr">
        <is>
          <t>FIMTX</t>
        </is>
      </c>
      <c r="C15" s="229" t="inlineStr">
        <is>
          <t>小指01</t>
        </is>
      </c>
      <c r="D15" s="229" t="inlineStr">
        <is>
          <t>平倉</t>
        </is>
      </c>
      <c r="E15" s="257" t="inlineStr">
        <is>
          <t>賣</t>
        </is>
      </c>
      <c r="F15" s="229" t="inlineStr">
        <is>
          <t>-</t>
        </is>
      </c>
      <c r="G15" s="697" t="n">
        <v>1</v>
      </c>
      <c r="H15" s="697" t="n">
        <v>9609</v>
      </c>
      <c r="I15" s="697" t="n">
        <v>0</v>
      </c>
      <c r="J15" s="585" t="n">
        <v>23</v>
      </c>
      <c r="K15" s="585" t="n">
        <v>10</v>
      </c>
      <c r="L15" s="585">
        <f>IF(B15="TXO",I15-SUM(J15:K15),IF(B15="FITX",IF(D15="新倉",-SUM(J15:K15),IF(E15="賣",(H15-H14)*G15*200-SUM(J15:K15),(H14-H15)*G15*200-SUM(J15:K15))),IF(D15="新倉",-SUM(J15:K15),IF(E15="賣",(H15-H14)*G15*50-SUM(J15:K15),(H14-H15)*G15*50-SUM(J15:K15)))))</f>
        <v/>
      </c>
      <c r="M15" s="699">
        <f>L15</f>
        <v/>
      </c>
      <c r="N15" s="686">
        <f>IF(B15="TXO","",IF(D15="新倉","",IF(E15="賣",(H15-H14)*G15,(H14-H15)*G15)))</f>
        <v/>
      </c>
      <c r="O15" s="226" t="n">
        <v>0</v>
      </c>
      <c r="P15" s="667" t="n"/>
      <c r="Q15" s="249" t="inlineStr">
        <is>
          <t>技法: 刺補</t>
        </is>
      </c>
      <c r="R15" s="249" t="inlineStr">
        <is>
          <t>Yes</t>
        </is>
      </c>
      <c r="S15" s="249" t="inlineStr">
        <is>
          <t>Yes</t>
        </is>
      </c>
      <c r="T15" s="61">
        <f>IF(AND(R15="Yes",S15&lt;&gt;"Yes",L15&gt;0,B15&lt;&gt;"TXO"),L15,"")</f>
        <v/>
      </c>
      <c r="U15" s="61">
        <f>IF(AND(R15="Yes",S15&lt;&gt;"Yes",L15&lt;0,B15&lt;&gt;"TXO"),L15,"")</f>
        <v/>
      </c>
      <c r="V15" s="61">
        <f>IF(AND(R15="",S15&lt;&gt;"Yes",L15&gt;0,B15&lt;&gt;"TXO"),L15,"")</f>
        <v/>
      </c>
      <c r="W15" s="61">
        <f>IF(AND(R15="",S15&lt;&gt;"Yes",L15&lt;0,B15&lt;&gt;"TXO"),L15,"")</f>
        <v/>
      </c>
      <c r="X15" s="226">
        <f>IF(AND(R15="Yes",S15="Yes",L15&gt;0,B15&lt;&gt;"TXO"),L15,"")</f>
        <v/>
      </c>
      <c r="Y15" s="226">
        <f>IF(AND(R15="Yes",S15="Yes",L15&lt;0,B15&lt;&gt;"TXO"),L15,"")</f>
        <v/>
      </c>
      <c r="Z15" s="226">
        <f>IF(AND(R15="",S15="Yes",L15&gt;0,B15&lt;&gt;"TXO"),L15,"")</f>
        <v/>
      </c>
      <c r="AA15" s="226">
        <f>IF(AND(R15="",S15="Yes",L15&lt;0,B15&lt;&gt;"TXO"),L15,"")</f>
        <v/>
      </c>
    </row>
    <row r="16" outlineLevel="2" collapsed="1">
      <c r="A16" s="696" t="n">
        <v>43473</v>
      </c>
      <c r="B16" s="234" t="inlineStr">
        <is>
          <t>FIMTX</t>
        </is>
      </c>
      <c r="C16" s="229" t="inlineStr">
        <is>
          <t>小指01</t>
        </is>
      </c>
      <c r="D16" s="229" t="inlineStr">
        <is>
          <t>新倉</t>
        </is>
      </c>
      <c r="E16" s="257" t="inlineStr">
        <is>
          <t>賣</t>
        </is>
      </c>
      <c r="F16" s="229" t="inlineStr">
        <is>
          <t>-</t>
        </is>
      </c>
      <c r="G16" s="697" t="n">
        <v>1</v>
      </c>
      <c r="H16" s="697" t="n">
        <v>9599</v>
      </c>
      <c r="I16" s="697" t="n">
        <v>0</v>
      </c>
      <c r="J16" s="585" t="n">
        <v>23</v>
      </c>
      <c r="K16" s="585" t="n">
        <v>10</v>
      </c>
      <c r="L16" s="585">
        <f>IF(B16="TXO",I16-SUM(J16:K16),IF(B16="FITX",IF(D16="新倉",-SUM(J16:K16),IF(E16="賣",(H16-H15)*G16*200-SUM(J16:K16),(H15-H16)*G16*200-SUM(J16:K16))),IF(D16="新倉",-SUM(J16:K16),IF(E16="賣",(H16-H15)*G16*50-SUM(J16:K16),(H15-H16)*G16*50-SUM(J16:K16)))))</f>
        <v/>
      </c>
      <c r="M16" s="699">
        <f>L16</f>
        <v/>
      </c>
      <c r="N16" s="686">
        <f>IF(B16="TXO","",IF(D16="新倉","",IF(E16="賣",(H16-H15)*G16,(H15-H16)*G16)))</f>
        <v/>
      </c>
      <c r="O16" s="226" t="n">
        <v>0</v>
      </c>
      <c r="P16" s="667" t="n"/>
      <c r="Q16" s="297" t="inlineStr">
        <is>
          <t>技法: 3/3 買進1口</t>
        </is>
      </c>
      <c r="R16" s="249" t="inlineStr">
        <is>
          <t>Yes</t>
        </is>
      </c>
      <c r="S16" s="249" t="inlineStr">
        <is>
          <t>Yes</t>
        </is>
      </c>
      <c r="T16" s="61">
        <f>IF(AND(R16="Yes",S16&lt;&gt;"Yes",L16&gt;0,B16&lt;&gt;"TXO"),L16,"")</f>
        <v/>
      </c>
      <c r="U16" s="61">
        <f>IF(AND(R16="Yes",S16&lt;&gt;"Yes",L16&lt;0,B16&lt;&gt;"TXO"),L16,"")</f>
        <v/>
      </c>
      <c r="V16" s="61">
        <f>IF(AND(R16="",S16&lt;&gt;"Yes",L16&gt;0,B16&lt;&gt;"TXO"),L16,"")</f>
        <v/>
      </c>
      <c r="W16" s="61">
        <f>IF(AND(R16="",S16&lt;&gt;"Yes",L16&lt;0,B16&lt;&gt;"TXO"),L16,"")</f>
        <v/>
      </c>
      <c r="X16" s="226">
        <f>IF(AND(R16="Yes",S16="Yes",L16&gt;0,B16&lt;&gt;"TXO"),L16,"")</f>
        <v/>
      </c>
      <c r="Y16" s="226">
        <f>IF(AND(R16="Yes",S16="Yes",L16&lt;0,B16&lt;&gt;"TXO"),L16,"")</f>
        <v/>
      </c>
      <c r="Z16" s="226">
        <f>IF(AND(R16="",S16="Yes",L16&gt;0,B16&lt;&gt;"TXO"),L16,"")</f>
        <v/>
      </c>
      <c r="AA16" s="226">
        <f>IF(AND(R16="",S16="Yes",L16&lt;0,B16&lt;&gt;"TXO"),L16,"")</f>
        <v/>
      </c>
    </row>
    <row r="17" outlineLevel="2">
      <c r="A17" s="696" t="n">
        <v>43473</v>
      </c>
      <c r="B17" s="234" t="inlineStr">
        <is>
          <t>FIMTX</t>
        </is>
      </c>
      <c r="C17" s="229" t="inlineStr">
        <is>
          <t>小指01</t>
        </is>
      </c>
      <c r="D17" s="229" t="inlineStr">
        <is>
          <t>平倉</t>
        </is>
      </c>
      <c r="E17" s="257" t="inlineStr">
        <is>
          <t>買</t>
        </is>
      </c>
      <c r="F17" s="229" t="inlineStr">
        <is>
          <t>-</t>
        </is>
      </c>
      <c r="G17" s="697" t="n">
        <v>1</v>
      </c>
      <c r="H17" s="697" t="n">
        <v>9586</v>
      </c>
      <c r="I17" s="697" t="n">
        <v>0</v>
      </c>
      <c r="J17" s="585" t="n">
        <v>23</v>
      </c>
      <c r="K17" s="585" t="n">
        <v>10</v>
      </c>
      <c r="L17" s="585">
        <f>IF(B17="TXO",I17-SUM(J17:K17),IF(B17="FITX",IF(D17="新倉",-SUM(J17:K17),IF(E17="賣",(H17-H16)*G17*200-SUM(J17:K17),(H16-H17)*G17*200-SUM(J17:K17))),IF(D17="新倉",-SUM(J17:K17),IF(E17="賣",(H17-H16)*G17*50-SUM(J17:K17),(H16-H17)*G17*50-SUM(J17:K17)))))</f>
        <v/>
      </c>
      <c r="M17" s="699">
        <f>L17</f>
        <v/>
      </c>
      <c r="N17" s="686">
        <f>IF(B17="TXO","",IF(D17="新倉","",IF(E17="賣",(H17-H16)*G17,(H16-H17)*G17)))</f>
        <v/>
      </c>
      <c r="O17" s="226" t="n">
        <v>0</v>
      </c>
      <c r="P17" s="667" t="n"/>
      <c r="Q17" s="249" t="inlineStr">
        <is>
          <t>技法: 刺補</t>
        </is>
      </c>
      <c r="R17" s="249" t="inlineStr">
        <is>
          <t>Yes</t>
        </is>
      </c>
      <c r="S17" s="249" t="inlineStr">
        <is>
          <t>Yes</t>
        </is>
      </c>
      <c r="T17" s="61">
        <f>IF(AND(R17="Yes",S17&lt;&gt;"Yes",L17&gt;0,B17&lt;&gt;"TXO"),L17,"")</f>
        <v/>
      </c>
      <c r="U17" s="61">
        <f>IF(AND(R17="Yes",S17&lt;&gt;"Yes",L17&lt;0,B17&lt;&gt;"TXO"),L17,"")</f>
        <v/>
      </c>
      <c r="V17" s="61">
        <f>IF(AND(R17="",S17&lt;&gt;"Yes",L17&gt;0,B17&lt;&gt;"TXO"),L17,"")</f>
        <v/>
      </c>
      <c r="W17" s="61">
        <f>IF(AND(R17="",S17&lt;&gt;"Yes",L17&lt;0,B17&lt;&gt;"TXO"),L17,"")</f>
        <v/>
      </c>
      <c r="X17" s="226">
        <f>IF(AND(R17="Yes",S17="Yes",L17&gt;0,B17&lt;&gt;"TXO"),L17,"")</f>
        <v/>
      </c>
      <c r="Y17" s="226">
        <f>IF(AND(R17="Yes",S17="Yes",L17&lt;0,B17&lt;&gt;"TXO"),L17,"")</f>
        <v/>
      </c>
      <c r="Z17" s="226">
        <f>IF(AND(R17="",S17="Yes",L17&gt;0,B17&lt;&gt;"TXO"),L17,"")</f>
        <v/>
      </c>
      <c r="AA17" s="226">
        <f>IF(AND(R17="",S17="Yes",L17&lt;0,B17&lt;&gt;"TXO"),L17,"")</f>
        <v/>
      </c>
    </row>
    <row r="18" outlineLevel="1" collapsed="1">
      <c r="A18" s="740" t="n">
        <v>43475</v>
      </c>
      <c r="B18" s="299" t="inlineStr">
        <is>
          <t>FIMTX</t>
        </is>
      </c>
      <c r="C18" s="300" t="inlineStr">
        <is>
          <t>小指01</t>
        </is>
      </c>
      <c r="D18" s="300" t="inlineStr">
        <is>
          <t>新倉</t>
        </is>
      </c>
      <c r="E18" s="301" t="inlineStr">
        <is>
          <t>賣</t>
        </is>
      </c>
      <c r="F18" s="300" t="inlineStr">
        <is>
          <t>-</t>
        </is>
      </c>
      <c r="G18" s="741" t="n">
        <v>3</v>
      </c>
      <c r="H18" s="741" t="n">
        <v>9681</v>
      </c>
      <c r="I18" s="741" t="n">
        <v>0</v>
      </c>
      <c r="J18" s="742" t="n">
        <v>69</v>
      </c>
      <c r="K18" s="742" t="n">
        <v>30</v>
      </c>
      <c r="L18" s="742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/>
      </c>
      <c r="M18" s="743">
        <f>L18</f>
        <v/>
      </c>
      <c r="N18" s="686">
        <f>IF(B18="TXO","",IF(D18="新倉","",IF(E18="賣",(H18-H17)*G18,(H17-H18)*G18)))</f>
        <v/>
      </c>
      <c r="O18" s="226" t="n">
        <v>0</v>
      </c>
      <c r="P18" s="667">
        <f>SUM(L18:L19)</f>
        <v/>
      </c>
      <c r="Q18" s="297" t="inlineStr">
        <is>
          <t>技法: 3/3 買進3口</t>
        </is>
      </c>
      <c r="R18" s="249" t="inlineStr">
        <is>
          <t>Yes</t>
        </is>
      </c>
      <c r="S18" s="249" t="n"/>
      <c r="T18" s="61">
        <f>IF(AND(R18="Yes",S18&lt;&gt;"Yes",L18&gt;0,B18&lt;&gt;"TXO"),L18,"")</f>
        <v/>
      </c>
      <c r="U18" s="61">
        <f>IF(AND(R18="Yes",S18&lt;&gt;"Yes",L18&lt;0,B18&lt;&gt;"TXO"),L18,"")</f>
        <v/>
      </c>
      <c r="V18" s="61">
        <f>IF(AND(R18="",S18&lt;&gt;"Yes",L18&gt;0,B18&lt;&gt;"TXO"),L18,"")</f>
        <v/>
      </c>
      <c r="W18" s="61">
        <f>IF(AND(R18="",S18&lt;&gt;"Yes",L18&lt;0,B18&lt;&gt;"TXO"),L18,"")</f>
        <v/>
      </c>
      <c r="X18" s="226">
        <f>IF(AND(R18="Yes",S18="Yes",L18&gt;0,B18&lt;&gt;"TXO"),L18,"")</f>
        <v/>
      </c>
      <c r="Y18" s="226">
        <f>IF(AND(R18="Yes",S18="Yes",L18&lt;0,B18&lt;&gt;"TXO"),L18,"")</f>
        <v/>
      </c>
      <c r="Z18" s="226">
        <f>IF(AND(R18="",S18="Yes",L18&gt;0,B18&lt;&gt;"TXO"),L18,"")</f>
        <v/>
      </c>
      <c r="AA18" s="226">
        <f>IF(AND(R18="",S18="Yes",L18&lt;0,B18&lt;&gt;"TXO"),L18,"")</f>
        <v/>
      </c>
    </row>
    <row r="19" outlineLevel="1" collapsed="1">
      <c r="A19" s="740" t="n">
        <v>43475</v>
      </c>
      <c r="B19" s="299" t="inlineStr">
        <is>
          <t>FIMTX</t>
        </is>
      </c>
      <c r="C19" s="300" t="inlineStr">
        <is>
          <t>小指01</t>
        </is>
      </c>
      <c r="D19" s="300" t="inlineStr">
        <is>
          <t>平倉</t>
        </is>
      </c>
      <c r="E19" s="301" t="inlineStr">
        <is>
          <t>買</t>
        </is>
      </c>
      <c r="F19" s="300" t="inlineStr">
        <is>
          <t>-</t>
        </is>
      </c>
      <c r="G19" s="741" t="n">
        <v>3</v>
      </c>
      <c r="H19" s="741" t="n">
        <v>9691</v>
      </c>
      <c r="I19" s="741" t="n">
        <v>0</v>
      </c>
      <c r="J19" s="742" t="n">
        <v>69</v>
      </c>
      <c r="K19" s="742" t="n">
        <v>30</v>
      </c>
      <c r="L19" s="742">
        <f>IF(B19="TXO",I19-SUM(J19:K19),IF(B19="FITX",IF(D19="新倉",-SUM(J19:K19),IF(E19="賣",(H19-H18)*G19*200-SUM(J19:K19),(H18-H19)*G19*200-SUM(J19:K19))),IF(D19="新倉",-SUM(J19:K19),IF(E19="賣",(H19-H18)*G19*50-SUM(J19:K19),(H18-H19)*G19*50-SUM(J19:K19)))))</f>
        <v/>
      </c>
      <c r="M19" s="743">
        <f>L19</f>
        <v/>
      </c>
      <c r="N19" s="686">
        <f>IF(B19="TXO","",IF(D19="新倉","",IF(E19="賣",(H19-H18)*G19,(H18-H19)*G19)))</f>
        <v/>
      </c>
      <c r="O19" s="226" t="n">
        <v>0</v>
      </c>
      <c r="P19" s="667" t="n"/>
      <c r="Q19" s="249" t="inlineStr">
        <is>
          <t>技法: 碰10MA出場(停損)</t>
        </is>
      </c>
      <c r="R19" s="249" t="inlineStr">
        <is>
          <t>Yes</t>
        </is>
      </c>
      <c r="S19" s="249" t="n"/>
      <c r="T19" s="61">
        <f>IF(AND(R19="Yes",S19&lt;&gt;"Yes",L19&gt;0,B19&lt;&gt;"TXO"),L19,"")</f>
        <v/>
      </c>
      <c r="U19" s="61">
        <f>IF(AND(R19="Yes",S19&lt;&gt;"Yes",L19&lt;0,B19&lt;&gt;"TXO"),L19,"")</f>
        <v/>
      </c>
      <c r="V19" s="61">
        <f>IF(AND(R19="",S19&lt;&gt;"Yes",L19&gt;0,B19&lt;&gt;"TXO"),L19,"")</f>
        <v/>
      </c>
      <c r="W19" s="61">
        <f>IF(AND(R19="",S19&lt;&gt;"Yes",L19&lt;0,B19&lt;&gt;"TXO"),L19,"")</f>
        <v/>
      </c>
      <c r="X19" s="226">
        <f>IF(AND(R19="Yes",S19="Yes",L19&gt;0,B19&lt;&gt;"TXO"),L19,"")</f>
        <v/>
      </c>
      <c r="Y19" s="226">
        <f>IF(AND(R19="Yes",S19="Yes",L19&lt;0,B19&lt;&gt;"TXO"),L19,"")</f>
        <v/>
      </c>
      <c r="Z19" s="226">
        <f>IF(AND(R19="",S19="Yes",L19&gt;0,B19&lt;&gt;"TXO"),L19,"")</f>
        <v/>
      </c>
      <c r="AA19" s="226">
        <f>IF(AND(R19="",S19="Yes",L19&lt;0,B19&lt;&gt;"TXO"),L19,"")</f>
        <v/>
      </c>
    </row>
    <row r="20" outlineLevel="1">
      <c r="A20" s="696" t="n">
        <v>43476</v>
      </c>
      <c r="B20" s="234" t="inlineStr">
        <is>
          <t>TXO</t>
        </is>
      </c>
      <c r="C20" s="229" t="inlineStr">
        <is>
          <t>台指選 01 9850  C</t>
        </is>
      </c>
      <c r="D20" s="229" t="inlineStr">
        <is>
          <t>新倉</t>
        </is>
      </c>
      <c r="E20" s="257" t="inlineStr">
        <is>
          <t>買</t>
        </is>
      </c>
      <c r="F20" s="229" t="inlineStr">
        <is>
          <t>-</t>
        </is>
      </c>
      <c r="G20" s="697" t="n">
        <v>1</v>
      </c>
      <c r="H20" s="697" t="n">
        <v>20</v>
      </c>
      <c r="I20" s="697" t="n">
        <v>-1000</v>
      </c>
      <c r="J20" s="585" t="n">
        <v>18</v>
      </c>
      <c r="K20" s="585" t="n">
        <v>1</v>
      </c>
      <c r="L20" s="585">
        <f>IF(B20="TXO",I20-SUM(J20:K20),IF(B20="FITX",IF(D20="新倉",-SUM(J20:K20),IF(E20="賣",(H20-H19)*G20*200-SUM(J20:K20),(H19-H20)*G20*200-SUM(J20:K20))),IF(D20="新倉",-SUM(J20:K20),IF(E20="賣",(H20-H19)*G20*50-SUM(J20:K20),(H19-H20)*G20*50-SUM(J20:K20)))))</f>
        <v/>
      </c>
      <c r="M20" s="699">
        <f>L20</f>
        <v/>
      </c>
      <c r="N20" s="686">
        <f>IF(B20="TXO","",IF(D20="新倉","",IF(E20="賣",(H20-H19)*G20,(H19-H20)*G20)))</f>
        <v/>
      </c>
      <c r="O20" s="226" t="n">
        <v>1</v>
      </c>
      <c r="P20" s="667">
        <f>SUM(L20)</f>
        <v/>
      </c>
      <c r="Q20" s="249" t="inlineStr">
        <is>
          <t>跟單</t>
        </is>
      </c>
      <c r="S20" s="249" t="n"/>
      <c r="T20" s="61">
        <f>IF(AND(R20="Yes",S20&lt;&gt;"Yes",L20&gt;0,B20&lt;&gt;"TXO"),L20,"")</f>
        <v/>
      </c>
      <c r="U20" s="61">
        <f>IF(AND(R20="Yes",S20&lt;&gt;"Yes",L20&lt;0,B20&lt;&gt;"TXO"),L20,"")</f>
        <v/>
      </c>
      <c r="V20" s="61">
        <f>IF(AND(R20="",S20&lt;&gt;"Yes",L20&gt;0,B20&lt;&gt;"TXO"),L20,"")</f>
        <v/>
      </c>
      <c r="W20" s="61">
        <f>IF(AND(R20="",S20&lt;&gt;"Yes",L20&lt;0,B20&lt;&gt;"TXO"),L20,"")</f>
        <v/>
      </c>
      <c r="X20" s="226">
        <f>IF(AND(R20="Yes",S20="Yes",L20&gt;0,B20&lt;&gt;"TXO"),L20,"")</f>
        <v/>
      </c>
      <c r="Y20" s="226">
        <f>IF(AND(R20="Yes",S20="Yes",L20&lt;0,B20&lt;&gt;"TXO"),L20,"")</f>
        <v/>
      </c>
      <c r="Z20" s="226">
        <f>IF(AND(R20="",S20="Yes",L20&gt;0,B20&lt;&gt;"TXO"),L20,"")</f>
        <v/>
      </c>
      <c r="AA20" s="226">
        <f>IF(AND(R20="",S20="Yes",L20&lt;0,B20&lt;&gt;"TXO"),L20,"")</f>
        <v/>
      </c>
    </row>
    <row r="21" outlineLevel="1">
      <c r="A21" s="740" t="n">
        <v>43479</v>
      </c>
      <c r="B21" s="299" t="inlineStr">
        <is>
          <t>FIMTX</t>
        </is>
      </c>
      <c r="C21" s="300" t="inlineStr">
        <is>
          <t>小指01</t>
        </is>
      </c>
      <c r="D21" s="300" t="inlineStr">
        <is>
          <t>新倉</t>
        </is>
      </c>
      <c r="E21" s="301" t="inlineStr">
        <is>
          <t>賣</t>
        </is>
      </c>
      <c r="F21" s="300" t="inlineStr">
        <is>
          <t>-</t>
        </is>
      </c>
      <c r="G21" s="741" t="n">
        <v>1</v>
      </c>
      <c r="H21" s="741" t="n">
        <v>9724</v>
      </c>
      <c r="I21" s="741" t="n">
        <v>0</v>
      </c>
      <c r="J21" s="742" t="n">
        <v>23</v>
      </c>
      <c r="K21" s="742" t="n">
        <v>10</v>
      </c>
      <c r="L21" s="742">
        <f>IF(B21="TXO",I21-SUM(J21:K21),IF(B21="FITX",IF(D21="新倉",-SUM(J21:K21),IF(E21="賣",(H21-H20)*G21*200-SUM(J21:K21),(H20-H21)*G21*200-SUM(J21:K21))),IF(D21="新倉",-SUM(J21:K21),IF(E21="賣",(H21-H20)*G21*50-SUM(J21:K21),(H20-H21)*G21*50-SUM(J21:K21)))))</f>
        <v/>
      </c>
      <c r="M21" s="743">
        <f>L21</f>
        <v/>
      </c>
      <c r="N21" s="686">
        <f>IF(B21="TXO","",IF(D21="新倉","",IF(E21="賣",(H21-H20)*G21,(H20-H21)*G21)))</f>
        <v/>
      </c>
      <c r="O21" s="226" t="n">
        <v>1</v>
      </c>
      <c r="P21" s="667">
        <f>SUM(L21:L36)</f>
        <v/>
      </c>
      <c r="Q21" s="297" t="inlineStr">
        <is>
          <t>技法: 3/3 買進3口</t>
        </is>
      </c>
      <c r="R21" s="249" t="inlineStr">
        <is>
          <t>Yes</t>
        </is>
      </c>
      <c r="S21" s="249" t="n"/>
      <c r="T21" s="61">
        <f>IF(AND(R21="Yes",S21&lt;&gt;"Yes",L21&gt;0,B21&lt;&gt;"TXO"),L21,"")</f>
        <v/>
      </c>
      <c r="U21" s="61">
        <f>IF(AND(R21="Yes",S21&lt;&gt;"Yes",L21&lt;0,B21&lt;&gt;"TXO"),L21,"")</f>
        <v/>
      </c>
      <c r="V21" s="61">
        <f>IF(AND(R21="",S21&lt;&gt;"Yes",L21&gt;0,B21&lt;&gt;"TXO"),L21,"")</f>
        <v/>
      </c>
      <c r="W21" s="61">
        <f>IF(AND(R21="",S21&lt;&gt;"Yes",L21&lt;0,B21&lt;&gt;"TXO"),L21,"")</f>
        <v/>
      </c>
      <c r="X21" s="226">
        <f>IF(AND(R21="Yes",S21="Yes",L21&gt;0,B21&lt;&gt;"TXO"),L21,"")</f>
        <v/>
      </c>
      <c r="Y21" s="226">
        <f>IF(AND(R21="Yes",S21="Yes",L21&lt;0,B21&lt;&gt;"TXO"),L21,"")</f>
        <v/>
      </c>
      <c r="Z21" s="226">
        <f>IF(AND(R21="",S21="Yes",L21&gt;0,B21&lt;&gt;"TXO"),L21,"")</f>
        <v/>
      </c>
      <c r="AA21" s="226">
        <f>IF(AND(R21="",S21="Yes",L21&lt;0,B21&lt;&gt;"TXO"),L21,"")</f>
        <v/>
      </c>
    </row>
    <row r="22" outlineLevel="2" collapsed="1">
      <c r="A22" s="740" t="n">
        <v>43479</v>
      </c>
      <c r="B22" s="299" t="inlineStr">
        <is>
          <t>FIMTX</t>
        </is>
      </c>
      <c r="C22" s="300" t="inlineStr">
        <is>
          <t>小指01</t>
        </is>
      </c>
      <c r="D22" s="300" t="inlineStr">
        <is>
          <t>平倉</t>
        </is>
      </c>
      <c r="E22" s="301" t="inlineStr">
        <is>
          <t>買</t>
        </is>
      </c>
      <c r="F22" s="300" t="inlineStr">
        <is>
          <t>-</t>
        </is>
      </c>
      <c r="G22" s="741" t="n">
        <v>1</v>
      </c>
      <c r="H22" s="741" t="n">
        <v>9721</v>
      </c>
      <c r="I22" s="741" t="n">
        <v>0</v>
      </c>
      <c r="J22" s="742" t="n">
        <v>23</v>
      </c>
      <c r="K22" s="742" t="n">
        <v>10</v>
      </c>
      <c r="L22" s="742">
        <f>IF(B22="TXO",I22-SUM(J22:K22),IF(B22="FITX",IF(D22="新倉",-SUM(J22:K22),IF(E22="賣",(H22-H21)*G22*200-SUM(J22:K22),(H21-H22)*G22*200-SUM(J22:K22))),IF(D22="新倉",-SUM(J22:K22),IF(E22="賣",(H22-H21)*G22*50-SUM(J22:K22),(H21-H22)*G22*50-SUM(J22:K22)))))</f>
        <v/>
      </c>
      <c r="M22" s="743">
        <f>L22</f>
        <v/>
      </c>
      <c r="N22" s="686">
        <f>IF(B22="TXO","",IF(D22="新倉","",IF(E22="賣",(H22-H21)*G22,(H21-H22)*G22)))</f>
        <v/>
      </c>
      <c r="O22" s="226" t="n">
        <v>2</v>
      </c>
      <c r="P22" s="667" t="n"/>
      <c r="Q22" s="249" t="inlineStr">
        <is>
          <t>技法: 刺補</t>
        </is>
      </c>
      <c r="R22" s="249" t="inlineStr">
        <is>
          <t>Yes</t>
        </is>
      </c>
      <c r="S22" s="249" t="n"/>
      <c r="T22" s="61">
        <f>IF(AND(R22="Yes",S22&lt;&gt;"Yes",L22&gt;0,B22&lt;&gt;"TXO"),L22,"")</f>
        <v/>
      </c>
      <c r="U22" s="61">
        <f>IF(AND(R22="Yes",S22&lt;&gt;"Yes",L22&lt;0,B22&lt;&gt;"TXO"),L22,"")</f>
        <v/>
      </c>
      <c r="V22" s="61">
        <f>IF(AND(R22="",S22&lt;&gt;"Yes",L22&gt;0,B22&lt;&gt;"TXO"),L22,"")</f>
        <v/>
      </c>
      <c r="W22" s="61">
        <f>IF(AND(R22="",S22&lt;&gt;"Yes",L22&lt;0,B22&lt;&gt;"TXO"),L22,"")</f>
        <v/>
      </c>
      <c r="X22" s="226">
        <f>IF(AND(R22="Yes",S22="Yes",L22&gt;0,B22&lt;&gt;"TXO"),L22,"")</f>
        <v/>
      </c>
      <c r="Y22" s="226">
        <f>IF(AND(R22="Yes",S22="Yes",L22&lt;0,B22&lt;&gt;"TXO"),L22,"")</f>
        <v/>
      </c>
      <c r="Z22" s="226">
        <f>IF(AND(R22="",S22="Yes",L22&gt;0,B22&lt;&gt;"TXO"),L22,"")</f>
        <v/>
      </c>
      <c r="AA22" s="226">
        <f>IF(AND(R22="",S22="Yes",L22&lt;0,B22&lt;&gt;"TXO"),L22,"")</f>
        <v/>
      </c>
    </row>
    <row r="23" outlineLevel="2" collapsed="1">
      <c r="A23" s="740" t="n">
        <v>43479</v>
      </c>
      <c r="B23" s="299" t="inlineStr">
        <is>
          <t>FIMTX</t>
        </is>
      </c>
      <c r="C23" s="300" t="inlineStr">
        <is>
          <t>小指01</t>
        </is>
      </c>
      <c r="D23" s="300" t="inlineStr">
        <is>
          <t>新倉</t>
        </is>
      </c>
      <c r="E23" s="301" t="inlineStr">
        <is>
          <t>賣</t>
        </is>
      </c>
      <c r="F23" s="300" t="inlineStr">
        <is>
          <t>-</t>
        </is>
      </c>
      <c r="G23" s="741" t="n">
        <v>1</v>
      </c>
      <c r="H23" s="741" t="n">
        <v>9724</v>
      </c>
      <c r="I23" s="741" t="n">
        <v>0</v>
      </c>
      <c r="J23" s="742" t="n">
        <v>23</v>
      </c>
      <c r="K23" s="742" t="n">
        <v>10</v>
      </c>
      <c r="L23" s="742">
        <f>IF(B23="TXO",I23-SUM(J23:K23),IF(B23="FITX",IF(D23="新倉",-SUM(J23:K23),IF(E23="賣",(H23-H22)*G23*200-SUM(J23:K23),(H22-H23)*G23*200-SUM(J23:K23))),IF(D23="新倉",-SUM(J23:K23),IF(E23="賣",(H23-H22)*G23*50-SUM(J23:K23),(H22-H23)*G23*50-SUM(J23:K23)))))</f>
        <v/>
      </c>
      <c r="M23" s="743">
        <f>L23</f>
        <v/>
      </c>
      <c r="N23" s="686">
        <f>IF(B23="TXO","",IF(D23="新倉","",IF(E23="賣",(H23-H22)*G23,(H22-H23)*G23)))</f>
        <v/>
      </c>
      <c r="O23" s="226" t="n">
        <v>3</v>
      </c>
      <c r="P23" s="667" t="n"/>
      <c r="Q23" s="297" t="n"/>
      <c r="R23" s="249" t="inlineStr">
        <is>
          <t>Yes</t>
        </is>
      </c>
      <c r="S23" s="249" t="n"/>
      <c r="T23" s="61">
        <f>IF(AND(R23="Yes",S23&lt;&gt;"Yes",L23&gt;0,B23&lt;&gt;"TXO"),L23,"")</f>
        <v/>
      </c>
      <c r="U23" s="61">
        <f>IF(AND(R23="Yes",S23&lt;&gt;"Yes",L23&lt;0,B23&lt;&gt;"TXO"),L23,"")</f>
        <v/>
      </c>
      <c r="V23" s="61">
        <f>IF(AND(R23="",S23&lt;&gt;"Yes",L23&gt;0,B23&lt;&gt;"TXO"),L23,"")</f>
        <v/>
      </c>
      <c r="W23" s="61">
        <f>IF(AND(R23="",S23&lt;&gt;"Yes",L23&lt;0,B23&lt;&gt;"TXO"),L23,"")</f>
        <v/>
      </c>
      <c r="X23" s="226">
        <f>IF(AND(R23="Yes",S23="Yes",L23&gt;0,B23&lt;&gt;"TXO"),L23,"")</f>
        <v/>
      </c>
      <c r="Y23" s="226">
        <f>IF(AND(R23="Yes",S23="Yes",L23&lt;0,B23&lt;&gt;"TXO"),L23,"")</f>
        <v/>
      </c>
      <c r="Z23" s="226">
        <f>IF(AND(R23="",S23="Yes",L23&gt;0,B23&lt;&gt;"TXO"),L23,"")</f>
        <v/>
      </c>
      <c r="AA23" s="226">
        <f>IF(AND(R23="",S23="Yes",L23&lt;0,B23&lt;&gt;"TXO"),L23,"")</f>
        <v/>
      </c>
    </row>
    <row r="24" outlineLevel="2" collapsed="1">
      <c r="A24" s="740" t="n">
        <v>43479</v>
      </c>
      <c r="B24" s="299" t="inlineStr">
        <is>
          <t>FIMTX</t>
        </is>
      </c>
      <c r="C24" s="300" t="inlineStr">
        <is>
          <t>小指01</t>
        </is>
      </c>
      <c r="D24" s="300" t="inlineStr">
        <is>
          <t>平倉</t>
        </is>
      </c>
      <c r="E24" s="301" t="inlineStr">
        <is>
          <t>買</t>
        </is>
      </c>
      <c r="F24" s="300" t="inlineStr">
        <is>
          <t>-</t>
        </is>
      </c>
      <c r="G24" s="741" t="n">
        <v>1</v>
      </c>
      <c r="H24" s="741" t="n">
        <v>9720</v>
      </c>
      <c r="I24" s="741" t="n">
        <v>0</v>
      </c>
      <c r="J24" s="742" t="n">
        <v>23</v>
      </c>
      <c r="K24" s="742" t="n">
        <v>10</v>
      </c>
      <c r="L24" s="742">
        <f>IF(B24="TXO",I24-SUM(J24:K24),IF(B24="FITX",IF(D24="新倉",-SUM(J24:K24),IF(E24="賣",(H24-H23)*G24*200-SUM(J24:K24),(H23-H24)*G24*200-SUM(J24:K24))),IF(D24="新倉",-SUM(J24:K24),IF(E24="賣",(H24-H23)*G24*50-SUM(J24:K24),(H23-H24)*G24*50-SUM(J24:K24)))))</f>
        <v/>
      </c>
      <c r="M24" s="743">
        <f>L24</f>
        <v/>
      </c>
      <c r="N24" s="686">
        <f>IF(B24="TXO","",IF(D24="新倉","",IF(E24="賣",(H24-H23)*G24,(H23-H24)*G24)))</f>
        <v/>
      </c>
      <c r="O24" s="226" t="n">
        <v>4</v>
      </c>
      <c r="P24" s="667" t="n"/>
      <c r="Q24" s="249" t="inlineStr">
        <is>
          <t>技法: 刺補</t>
        </is>
      </c>
      <c r="R24" s="249" t="inlineStr">
        <is>
          <t>Yes</t>
        </is>
      </c>
      <c r="S24" s="249" t="n"/>
      <c r="T24" s="61">
        <f>IF(AND(R24="Yes",S24&lt;&gt;"Yes",L24&gt;0,B24&lt;&gt;"TXO"),L24,"")</f>
        <v/>
      </c>
      <c r="U24" s="61">
        <f>IF(AND(R24="Yes",S24&lt;&gt;"Yes",L24&lt;0,B24&lt;&gt;"TXO"),L24,"")</f>
        <v/>
      </c>
      <c r="V24" s="61">
        <f>IF(AND(R24="",S24&lt;&gt;"Yes",L24&gt;0,B24&lt;&gt;"TXO"),L24,"")</f>
        <v/>
      </c>
      <c r="W24" s="61">
        <f>IF(AND(R24="",S24&lt;&gt;"Yes",L24&lt;0,B24&lt;&gt;"TXO"),L24,"")</f>
        <v/>
      </c>
      <c r="X24" s="226">
        <f>IF(AND(R24="Yes",S24="Yes",L24&gt;0,B24&lt;&gt;"TXO"),L24,"")</f>
        <v/>
      </c>
      <c r="Y24" s="226">
        <f>IF(AND(R24="Yes",S24="Yes",L24&lt;0,B24&lt;&gt;"TXO"),L24,"")</f>
        <v/>
      </c>
      <c r="Z24" s="226">
        <f>IF(AND(R24="",S24="Yes",L24&gt;0,B24&lt;&gt;"TXO"),L24,"")</f>
        <v/>
      </c>
      <c r="AA24" s="226">
        <f>IF(AND(R24="",S24="Yes",L24&lt;0,B24&lt;&gt;"TXO"),L24,"")</f>
        <v/>
      </c>
    </row>
    <row r="25" outlineLevel="2" collapsed="1">
      <c r="A25" s="740" t="n">
        <v>43479</v>
      </c>
      <c r="B25" s="299" t="inlineStr">
        <is>
          <t>FIMTX</t>
        </is>
      </c>
      <c r="C25" s="300" t="inlineStr">
        <is>
          <t>小指01</t>
        </is>
      </c>
      <c r="D25" s="300" t="inlineStr">
        <is>
          <t>新倉</t>
        </is>
      </c>
      <c r="E25" s="301" t="inlineStr">
        <is>
          <t>賣</t>
        </is>
      </c>
      <c r="F25" s="300" t="inlineStr">
        <is>
          <t>-</t>
        </is>
      </c>
      <c r="G25" s="741" t="n">
        <v>1</v>
      </c>
      <c r="H25" s="741" t="n">
        <v>9724</v>
      </c>
      <c r="I25" s="741" t="n">
        <v>0</v>
      </c>
      <c r="J25" s="742" t="n">
        <v>23</v>
      </c>
      <c r="K25" s="742" t="n">
        <v>10</v>
      </c>
      <c r="L25" s="742">
        <f>IF(B25="TXO",I25-SUM(J25:K25),IF(B25="FITX",IF(D25="新倉",-SUM(J25:K25),IF(E25="賣",(H25-H24)*G25*200-SUM(J25:K25),(H24-H25)*G25*200-SUM(J25:K25))),IF(D25="新倉",-SUM(J25:K25),IF(E25="賣",(H25-H24)*G25*50-SUM(J25:K25),(H24-H25)*G25*50-SUM(J25:K25)))))</f>
        <v/>
      </c>
      <c r="M25" s="743">
        <f>L25</f>
        <v/>
      </c>
      <c r="N25" s="686">
        <f>IF(B25="TXO","",IF(D25="新倉","",IF(E25="賣",(H25-H24)*G25,(H24-H25)*G25)))</f>
        <v/>
      </c>
      <c r="O25" s="226" t="n">
        <v>5</v>
      </c>
      <c r="P25" s="667" t="n"/>
      <c r="Q25" s="297" t="n"/>
      <c r="R25" s="249" t="inlineStr">
        <is>
          <t>Yes</t>
        </is>
      </c>
      <c r="S25" s="249" t="n"/>
      <c r="T25" s="61">
        <f>IF(AND(R25="Yes",S25&lt;&gt;"Yes",L25&gt;0,B25&lt;&gt;"TXO"),L25,"")</f>
        <v/>
      </c>
      <c r="U25" s="61">
        <f>IF(AND(R25="Yes",S25&lt;&gt;"Yes",L25&lt;0,B25&lt;&gt;"TXO"),L25,"")</f>
        <v/>
      </c>
      <c r="V25" s="61">
        <f>IF(AND(R25="",S25&lt;&gt;"Yes",L25&gt;0,B25&lt;&gt;"TXO"),L25,"")</f>
        <v/>
      </c>
      <c r="W25" s="61">
        <f>IF(AND(R25="",S25&lt;&gt;"Yes",L25&lt;0,B25&lt;&gt;"TXO"),L25,"")</f>
        <v/>
      </c>
      <c r="X25" s="226">
        <f>IF(AND(R25="Yes",S25="Yes",L25&gt;0,B25&lt;&gt;"TXO"),L25,"")</f>
        <v/>
      </c>
      <c r="Y25" s="226">
        <f>IF(AND(R25="Yes",S25="Yes",L25&lt;0,B25&lt;&gt;"TXO"),L25,"")</f>
        <v/>
      </c>
      <c r="Z25" s="226">
        <f>IF(AND(R25="",S25="Yes",L25&gt;0,B25&lt;&gt;"TXO"),L25,"")</f>
        <v/>
      </c>
      <c r="AA25" s="226">
        <f>IF(AND(R25="",S25="Yes",L25&lt;0,B25&lt;&gt;"TXO"),L25,"")</f>
        <v/>
      </c>
    </row>
    <row r="26" outlineLevel="2" collapsed="1">
      <c r="A26" s="740" t="n">
        <v>43479</v>
      </c>
      <c r="B26" s="299" t="inlineStr">
        <is>
          <t>FIMTX</t>
        </is>
      </c>
      <c r="C26" s="300" t="inlineStr">
        <is>
          <t>小指01</t>
        </is>
      </c>
      <c r="D26" s="300" t="inlineStr">
        <is>
          <t>平倉</t>
        </is>
      </c>
      <c r="E26" s="301" t="inlineStr">
        <is>
          <t>買</t>
        </is>
      </c>
      <c r="F26" s="300" t="inlineStr">
        <is>
          <t>-</t>
        </is>
      </c>
      <c r="G26" s="741" t="n">
        <v>1</v>
      </c>
      <c r="H26" s="741" t="n">
        <v>9732</v>
      </c>
      <c r="I26" s="741" t="n">
        <v>0</v>
      </c>
      <c r="J26" s="742" t="n">
        <v>23</v>
      </c>
      <c r="K26" s="742" t="n">
        <v>10</v>
      </c>
      <c r="L26" s="742">
        <f>IF(B26="TXO",I26-SUM(J26:K26),IF(B26="FITX",IF(D26="新倉",-SUM(J26:K26),IF(E26="賣",(H26-H25)*G26*200-SUM(J26:K26),(H25-H26)*G26*200-SUM(J26:K26))),IF(D26="新倉",-SUM(J26:K26),IF(E26="賣",(H26-H25)*G26*50-SUM(J26:K26),(H25-H26)*G26*50-SUM(J26:K26)))))</f>
        <v/>
      </c>
      <c r="M26" s="743">
        <f>L26</f>
        <v/>
      </c>
      <c r="N26" s="686">
        <f>IF(B26="TXO","",IF(D26="新倉","",IF(E26="賣",(H26-H25)*G26,(H25-H26)*G26)))</f>
        <v/>
      </c>
      <c r="O26" s="226" t="n">
        <v>6</v>
      </c>
      <c r="P26" s="667" t="n"/>
      <c r="Q26" s="249" t="inlineStr">
        <is>
          <t>技法: 碰10MA出場</t>
        </is>
      </c>
      <c r="R26" s="249" t="inlineStr">
        <is>
          <t>Yes</t>
        </is>
      </c>
      <c r="S26" s="249" t="n"/>
      <c r="T26" s="61">
        <f>IF(AND(R26="Yes",S26&lt;&gt;"Yes",L26&gt;0,B26&lt;&gt;"TXO"),L26,"")</f>
        <v/>
      </c>
      <c r="U26" s="61">
        <f>IF(AND(R26="Yes",S26&lt;&gt;"Yes",L26&lt;0,B26&lt;&gt;"TXO"),L26,"")</f>
        <v/>
      </c>
      <c r="V26" s="61">
        <f>IF(AND(R26="",S26&lt;&gt;"Yes",L26&gt;0,B26&lt;&gt;"TXO"),L26,"")</f>
        <v/>
      </c>
      <c r="W26" s="61">
        <f>IF(AND(R26="",S26&lt;&gt;"Yes",L26&lt;0,B26&lt;&gt;"TXO"),L26,"")</f>
        <v/>
      </c>
      <c r="X26" s="226">
        <f>IF(AND(R26="Yes",S26="Yes",L26&gt;0,B26&lt;&gt;"TXO"),L26,"")</f>
        <v/>
      </c>
      <c r="Y26" s="226">
        <f>IF(AND(R26="Yes",S26="Yes",L26&lt;0,B26&lt;&gt;"TXO"),L26,"")</f>
        <v/>
      </c>
      <c r="Z26" s="226">
        <f>IF(AND(R26="",S26="Yes",L26&gt;0,B26&lt;&gt;"TXO"),L26,"")</f>
        <v/>
      </c>
      <c r="AA26" s="226">
        <f>IF(AND(R26="",S26="Yes",L26&lt;0,B26&lt;&gt;"TXO"),L26,"")</f>
        <v/>
      </c>
    </row>
    <row r="27" outlineLevel="2" collapsed="1">
      <c r="A27" s="740" t="n">
        <v>43479</v>
      </c>
      <c r="B27" s="299" t="inlineStr">
        <is>
          <t>FIMTX</t>
        </is>
      </c>
      <c r="C27" s="300" t="inlineStr">
        <is>
          <t>小指01</t>
        </is>
      </c>
      <c r="D27" s="300" t="inlineStr">
        <is>
          <t>新倉</t>
        </is>
      </c>
      <c r="E27" s="301" t="inlineStr">
        <is>
          <t>買</t>
        </is>
      </c>
      <c r="F27" s="300" t="inlineStr">
        <is>
          <t>-</t>
        </is>
      </c>
      <c r="G27" s="741" t="n">
        <v>1</v>
      </c>
      <c r="H27" s="741" t="n">
        <v>9693</v>
      </c>
      <c r="I27" s="741" t="n">
        <v>0</v>
      </c>
      <c r="J27" s="742" t="n">
        <v>23</v>
      </c>
      <c r="K27" s="742" t="n">
        <v>10</v>
      </c>
      <c r="L27" s="742">
        <f>IF(B27="TXO",I27-SUM(J27:K27),IF(B27="FITX",IF(D27="新倉",-SUM(J27:K27),IF(E27="賣",(H27-H26)*G27*200-SUM(J27:K27),(H26-H27)*G27*200-SUM(J27:K27))),IF(D27="新倉",-SUM(J27:K27),IF(E27="賣",(H27-H26)*G27*50-SUM(J27:K27),(H26-H27)*G27*50-SUM(J27:K27)))))</f>
        <v/>
      </c>
      <c r="M27" s="743">
        <f>L27</f>
        <v/>
      </c>
      <c r="N27" s="686">
        <f>IF(B27="TXO","",IF(D27="新倉","",IF(E27="賣",(H27-H26)*G27,(H26-H27)*G27)))</f>
        <v/>
      </c>
      <c r="O27" s="226" t="n">
        <v>1</v>
      </c>
      <c r="P27" s="667" t="n"/>
      <c r="Q27" s="297" t="inlineStr">
        <is>
          <t>技法: 3/3 買進3口</t>
        </is>
      </c>
      <c r="R27" s="249" t="inlineStr">
        <is>
          <t>Yes</t>
        </is>
      </c>
      <c r="S27" s="249" t="inlineStr">
        <is>
          <t>Yes</t>
        </is>
      </c>
      <c r="T27" s="61">
        <f>IF(AND(R27="Yes",S27&lt;&gt;"Yes",L27&gt;0,B27&lt;&gt;"TXO"),L27,"")</f>
        <v/>
      </c>
      <c r="U27" s="61">
        <f>IF(AND(R27="Yes",S27&lt;&gt;"Yes",L27&lt;0,B27&lt;&gt;"TXO"),L27,"")</f>
        <v/>
      </c>
      <c r="V27" s="61">
        <f>IF(AND(R27="",S27&lt;&gt;"Yes",L27&gt;0,B27&lt;&gt;"TXO"),L27,"")</f>
        <v/>
      </c>
      <c r="W27" s="61">
        <f>IF(AND(R27="",S27&lt;&gt;"Yes",L27&lt;0,B27&lt;&gt;"TXO"),L27,"")</f>
        <v/>
      </c>
      <c r="X27" s="226">
        <f>IF(AND(R27="Yes",S27="Yes",L27&gt;0,B27&lt;&gt;"TXO"),L27,"")</f>
        <v/>
      </c>
      <c r="Y27" s="226">
        <f>IF(AND(R27="Yes",S27="Yes",L27&lt;0,B27&lt;&gt;"TXO"),L27,"")</f>
        <v/>
      </c>
      <c r="Z27" s="226">
        <f>IF(AND(R27="",S27="Yes",L27&gt;0,B27&lt;&gt;"TXO"),L27,"")</f>
        <v/>
      </c>
      <c r="AA27" s="226">
        <f>IF(AND(R27="",S27="Yes",L27&lt;0,B27&lt;&gt;"TXO"),L27,"")</f>
        <v/>
      </c>
    </row>
    <row r="28" outlineLevel="2" collapsed="1">
      <c r="A28" s="740" t="n">
        <v>43479</v>
      </c>
      <c r="B28" s="299" t="inlineStr">
        <is>
          <t>FIMTX</t>
        </is>
      </c>
      <c r="C28" s="300" t="inlineStr">
        <is>
          <t>小指01</t>
        </is>
      </c>
      <c r="D28" s="300" t="inlineStr">
        <is>
          <t>平倉</t>
        </is>
      </c>
      <c r="E28" s="301" t="inlineStr">
        <is>
          <t>賣</t>
        </is>
      </c>
      <c r="F28" s="300" t="inlineStr">
        <is>
          <t>-</t>
        </is>
      </c>
      <c r="G28" s="741" t="n">
        <v>1</v>
      </c>
      <c r="H28" s="741" t="n">
        <v>9699</v>
      </c>
      <c r="I28" s="741" t="n">
        <v>0</v>
      </c>
      <c r="J28" s="742" t="n">
        <v>23</v>
      </c>
      <c r="K28" s="742" t="n">
        <v>10</v>
      </c>
      <c r="L28" s="742">
        <f>IF(B28="TXO",I28-SUM(J28:K28),IF(B28="FITX",IF(D28="新倉",-SUM(J28:K28),IF(E28="賣",(H28-H27)*G28*200-SUM(J28:K28),(H27-H28)*G28*200-SUM(J28:K28))),IF(D28="新倉",-SUM(J28:K28),IF(E28="賣",(H28-H27)*G28*50-SUM(J28:K28),(H27-H28)*G28*50-SUM(J28:K28)))))</f>
        <v/>
      </c>
      <c r="M28" s="743">
        <f>L28</f>
        <v/>
      </c>
      <c r="N28" s="686">
        <f>IF(B28="TXO","",IF(D28="新倉","",IF(E28="賣",(H28-H27)*G28,(H27-H28)*G28)))</f>
        <v/>
      </c>
      <c r="O28" s="226" t="n">
        <v>2</v>
      </c>
      <c r="P28" s="667" t="n"/>
      <c r="Q28" s="249" t="inlineStr">
        <is>
          <t>技法: 刺補</t>
        </is>
      </c>
      <c r="R28" s="249" t="inlineStr">
        <is>
          <t>Yes</t>
        </is>
      </c>
      <c r="S28" s="249" t="inlineStr">
        <is>
          <t>Yes</t>
        </is>
      </c>
      <c r="T28" s="61">
        <f>IF(AND(R28="Yes",S28&lt;&gt;"Yes",L28&gt;0,B28&lt;&gt;"TXO"),L28,"")</f>
        <v/>
      </c>
      <c r="U28" s="61">
        <f>IF(AND(R28="Yes",S28&lt;&gt;"Yes",L28&lt;0,B28&lt;&gt;"TXO"),L28,"")</f>
        <v/>
      </c>
      <c r="V28" s="61">
        <f>IF(AND(R28="",S28&lt;&gt;"Yes",L28&gt;0,B28&lt;&gt;"TXO"),L28,"")</f>
        <v/>
      </c>
      <c r="W28" s="61">
        <f>IF(AND(R28="",S28&lt;&gt;"Yes",L28&lt;0,B28&lt;&gt;"TXO"),L28,"")</f>
        <v/>
      </c>
      <c r="X28" s="226">
        <f>IF(AND(R28="Yes",S28="Yes",L28&gt;0,B28&lt;&gt;"TXO"),L28,"")</f>
        <v/>
      </c>
      <c r="Y28" s="226">
        <f>IF(AND(R28="Yes",S28="Yes",L28&lt;0,B28&lt;&gt;"TXO"),L28,"")</f>
        <v/>
      </c>
      <c r="Z28" s="226">
        <f>IF(AND(R28="",S28="Yes",L28&gt;0,B28&lt;&gt;"TXO"),L28,"")</f>
        <v/>
      </c>
      <c r="AA28" s="226">
        <f>IF(AND(R28="",S28="Yes",L28&lt;0,B28&lt;&gt;"TXO"),L28,"")</f>
        <v/>
      </c>
    </row>
    <row r="29" outlineLevel="2" collapsed="1">
      <c r="A29" s="740" t="n">
        <v>43479</v>
      </c>
      <c r="B29" s="299" t="inlineStr">
        <is>
          <t>FIMTX</t>
        </is>
      </c>
      <c r="C29" s="300" t="inlineStr">
        <is>
          <t>小指01</t>
        </is>
      </c>
      <c r="D29" s="300" t="inlineStr">
        <is>
          <t>新倉</t>
        </is>
      </c>
      <c r="E29" s="301" t="inlineStr">
        <is>
          <t>買</t>
        </is>
      </c>
      <c r="F29" s="300" t="inlineStr">
        <is>
          <t>-</t>
        </is>
      </c>
      <c r="G29" s="741" t="n">
        <v>1</v>
      </c>
      <c r="H29" s="741" t="n">
        <v>9692</v>
      </c>
      <c r="I29" s="741" t="n">
        <v>0</v>
      </c>
      <c r="J29" s="742" t="n">
        <v>23</v>
      </c>
      <c r="K29" s="742" t="n">
        <v>10</v>
      </c>
      <c r="L29" s="742">
        <f>IF(B29="TXO",I29-SUM(J29:K29),IF(B29="FITX",IF(D29="新倉",-SUM(J29:K29),IF(E29="賣",(H29-H28)*G29*200-SUM(J29:K29),(H28-H29)*G29*200-SUM(J29:K29))),IF(D29="新倉",-SUM(J29:K29),IF(E29="賣",(H29-H28)*G29*50-SUM(J29:K29),(H28-H29)*G29*50-SUM(J29:K29)))))</f>
        <v/>
      </c>
      <c r="M29" s="743">
        <f>L29</f>
        <v/>
      </c>
      <c r="N29" s="686">
        <f>IF(B29="TXO","",IF(D29="新倉","",IF(E29="賣",(H29-H28)*G29,(H28-H29)*G29)))</f>
        <v/>
      </c>
      <c r="O29" s="226" t="n">
        <v>3</v>
      </c>
      <c r="P29" s="667" t="n"/>
      <c r="Q29" s="297" t="n"/>
      <c r="R29" s="249" t="inlineStr">
        <is>
          <t>Yes</t>
        </is>
      </c>
      <c r="S29" s="249" t="inlineStr">
        <is>
          <t>Yes</t>
        </is>
      </c>
      <c r="T29" s="61">
        <f>IF(AND(R29="Yes",S29&lt;&gt;"Yes",L29&gt;0,B29&lt;&gt;"TXO"),L29,"")</f>
        <v/>
      </c>
      <c r="U29" s="61">
        <f>IF(AND(R29="Yes",S29&lt;&gt;"Yes",L29&lt;0,B29&lt;&gt;"TXO"),L29,"")</f>
        <v/>
      </c>
      <c r="V29" s="61">
        <f>IF(AND(R29="",S29&lt;&gt;"Yes",L29&gt;0,B29&lt;&gt;"TXO"),L29,"")</f>
        <v/>
      </c>
      <c r="W29" s="61">
        <f>IF(AND(R29="",S29&lt;&gt;"Yes",L29&lt;0,B29&lt;&gt;"TXO"),L29,"")</f>
        <v/>
      </c>
      <c r="X29" s="226">
        <f>IF(AND(R29="Yes",S29="Yes",L29&gt;0,B29&lt;&gt;"TXO"),L29,"")</f>
        <v/>
      </c>
      <c r="Y29" s="226">
        <f>IF(AND(R29="Yes",S29="Yes",L29&lt;0,B29&lt;&gt;"TXO"),L29,"")</f>
        <v/>
      </c>
      <c r="Z29" s="226">
        <f>IF(AND(R29="",S29="Yes",L29&gt;0,B29&lt;&gt;"TXO"),L29,"")</f>
        <v/>
      </c>
      <c r="AA29" s="226">
        <f>IF(AND(R29="",S29="Yes",L29&lt;0,B29&lt;&gt;"TXO"),L29,"")</f>
        <v/>
      </c>
    </row>
    <row r="30" outlineLevel="2" collapsed="1">
      <c r="A30" s="740" t="n">
        <v>43479</v>
      </c>
      <c r="B30" s="299" t="inlineStr">
        <is>
          <t>FIMTX</t>
        </is>
      </c>
      <c r="C30" s="300" t="inlineStr">
        <is>
          <t>小指01</t>
        </is>
      </c>
      <c r="D30" s="300" t="inlineStr">
        <is>
          <t>平倉</t>
        </is>
      </c>
      <c r="E30" s="301" t="inlineStr">
        <is>
          <t>賣</t>
        </is>
      </c>
      <c r="F30" s="300" t="inlineStr">
        <is>
          <t>-</t>
        </is>
      </c>
      <c r="G30" s="741" t="n">
        <v>1</v>
      </c>
      <c r="H30" s="741" t="n">
        <v>9696</v>
      </c>
      <c r="I30" s="741" t="n">
        <v>0</v>
      </c>
      <c r="J30" s="742" t="n">
        <v>23</v>
      </c>
      <c r="K30" s="742" t="n">
        <v>10</v>
      </c>
      <c r="L30" s="742">
        <f>IF(B30="TXO",I30-SUM(J30:K30),IF(B30="FITX",IF(D30="新倉",-SUM(J30:K30),IF(E30="賣",(H30-H29)*G30*200-SUM(J30:K30),(H29-H30)*G30*200-SUM(J30:K30))),IF(D30="新倉",-SUM(J30:K30),IF(E30="賣",(H30-H29)*G30*50-SUM(J30:K30),(H29-H30)*G30*50-SUM(J30:K30)))))</f>
        <v/>
      </c>
      <c r="M30" s="743">
        <f>L30</f>
        <v/>
      </c>
      <c r="N30" s="686">
        <f>IF(B30="TXO","",IF(D30="新倉","",IF(E30="賣",(H30-H29)*G30,(H29-H30)*G30)))</f>
        <v/>
      </c>
      <c r="O30" s="226" t="n">
        <v>4</v>
      </c>
      <c r="P30" s="667" t="n"/>
      <c r="Q30" s="249" t="inlineStr">
        <is>
          <t>技法: 碰10MA出場</t>
        </is>
      </c>
      <c r="R30" s="249" t="inlineStr">
        <is>
          <t>Yes</t>
        </is>
      </c>
      <c r="S30" s="249" t="inlineStr">
        <is>
          <t>Yes</t>
        </is>
      </c>
      <c r="T30" s="61">
        <f>IF(AND(R30="Yes",S30&lt;&gt;"Yes",L30&gt;0,B30&lt;&gt;"TXO"),L30,"")</f>
        <v/>
      </c>
      <c r="U30" s="61">
        <f>IF(AND(R30="Yes",S30&lt;&gt;"Yes",L30&lt;0,B30&lt;&gt;"TXO"),L30,"")</f>
        <v/>
      </c>
      <c r="V30" s="61">
        <f>IF(AND(R30="",S30&lt;&gt;"Yes",L30&gt;0,B30&lt;&gt;"TXO"),L30,"")</f>
        <v/>
      </c>
      <c r="W30" s="61">
        <f>IF(AND(R30="",S30&lt;&gt;"Yes",L30&lt;0,B30&lt;&gt;"TXO"),L30,"")</f>
        <v/>
      </c>
      <c r="X30" s="226">
        <f>IF(AND(R30="Yes",S30="Yes",L30&gt;0,B30&lt;&gt;"TXO"),L30,"")</f>
        <v/>
      </c>
      <c r="Y30" s="226">
        <f>IF(AND(R30="Yes",S30="Yes",L30&lt;0,B30&lt;&gt;"TXO"),L30,"")</f>
        <v/>
      </c>
      <c r="Z30" s="226">
        <f>IF(AND(R30="",S30="Yes",L30&gt;0,B30&lt;&gt;"TXO"),L30,"")</f>
        <v/>
      </c>
      <c r="AA30" s="226">
        <f>IF(AND(R30="",S30="Yes",L30&lt;0,B30&lt;&gt;"TXO"),L30,"")</f>
        <v/>
      </c>
    </row>
    <row r="31" outlineLevel="2" collapsed="1">
      <c r="A31" s="740" t="n">
        <v>43479</v>
      </c>
      <c r="B31" s="299" t="inlineStr">
        <is>
          <t>FIMTX</t>
        </is>
      </c>
      <c r="C31" s="300" t="inlineStr">
        <is>
          <t>小指01</t>
        </is>
      </c>
      <c r="D31" s="300" t="inlineStr">
        <is>
          <t>新倉</t>
        </is>
      </c>
      <c r="E31" s="301" t="inlineStr">
        <is>
          <t>買</t>
        </is>
      </c>
      <c r="F31" s="300" t="inlineStr">
        <is>
          <t>-</t>
        </is>
      </c>
      <c r="G31" s="741" t="n">
        <v>1</v>
      </c>
      <c r="H31" s="741" t="n">
        <v>9692</v>
      </c>
      <c r="I31" s="741" t="n">
        <v>0</v>
      </c>
      <c r="J31" s="742" t="n">
        <v>23</v>
      </c>
      <c r="K31" s="742" t="n">
        <v>10</v>
      </c>
      <c r="L31" s="742">
        <f>IF(B31="TXO",I31-SUM(J31:K31),IF(B31="FITX",IF(D31="新倉",-SUM(J31:K31),IF(E31="賣",(H31-H30)*G31*200-SUM(J31:K31),(H30-H31)*G31*200-SUM(J31:K31))),IF(D31="新倉",-SUM(J31:K31),IF(E31="賣",(H31-H30)*G31*50-SUM(J31:K31),(H30-H31)*G31*50-SUM(J31:K31)))))</f>
        <v/>
      </c>
      <c r="M31" s="743">
        <f>L31</f>
        <v/>
      </c>
      <c r="N31" s="686">
        <f>IF(B31="TXO","",IF(D31="新倉","",IF(E31="賣",(H31-H30)*G31,(H30-H31)*G31)))</f>
        <v/>
      </c>
      <c r="O31" s="226" t="n">
        <v>5</v>
      </c>
      <c r="P31" s="667" t="n"/>
      <c r="Q31" s="297" t="n"/>
      <c r="R31" s="249" t="inlineStr">
        <is>
          <t>Yes</t>
        </is>
      </c>
      <c r="S31" s="249" t="inlineStr">
        <is>
          <t>Yes</t>
        </is>
      </c>
      <c r="T31" s="61">
        <f>IF(AND(R31="Yes",S31&lt;&gt;"Yes",L31&gt;0,B31&lt;&gt;"TXO"),L31,"")</f>
        <v/>
      </c>
      <c r="U31" s="61">
        <f>IF(AND(R31="Yes",S31&lt;&gt;"Yes",L31&lt;0,B31&lt;&gt;"TXO"),L31,"")</f>
        <v/>
      </c>
      <c r="V31" s="61">
        <f>IF(AND(R31="",S31&lt;&gt;"Yes",L31&gt;0,B31&lt;&gt;"TXO"),L31,"")</f>
        <v/>
      </c>
      <c r="W31" s="61">
        <f>IF(AND(R31="",S31&lt;&gt;"Yes",L31&lt;0,B31&lt;&gt;"TXO"),L31,"")</f>
        <v/>
      </c>
      <c r="X31" s="226">
        <f>IF(AND(R31="Yes",S31="Yes",L31&gt;0,B31&lt;&gt;"TXO"),L31,"")</f>
        <v/>
      </c>
      <c r="Y31" s="226">
        <f>IF(AND(R31="Yes",S31="Yes",L31&lt;0,B31&lt;&gt;"TXO"),L31,"")</f>
        <v/>
      </c>
      <c r="Z31" s="226">
        <f>IF(AND(R31="",S31="Yes",L31&gt;0,B31&lt;&gt;"TXO"),L31,"")</f>
        <v/>
      </c>
      <c r="AA31" s="226">
        <f>IF(AND(R31="",S31="Yes",L31&lt;0,B31&lt;&gt;"TXO"),L31,"")</f>
        <v/>
      </c>
    </row>
    <row r="32" outlineLevel="2" collapsed="1">
      <c r="A32" s="740" t="n">
        <v>43479</v>
      </c>
      <c r="B32" s="299" t="inlineStr">
        <is>
          <t>FIMTX</t>
        </is>
      </c>
      <c r="C32" s="300" t="inlineStr">
        <is>
          <t>小指01</t>
        </is>
      </c>
      <c r="D32" s="300" t="inlineStr">
        <is>
          <t>平倉</t>
        </is>
      </c>
      <c r="E32" s="301" t="inlineStr">
        <is>
          <t>賣</t>
        </is>
      </c>
      <c r="F32" s="300" t="inlineStr">
        <is>
          <t>-</t>
        </is>
      </c>
      <c r="G32" s="741" t="n">
        <v>1</v>
      </c>
      <c r="H32" s="741" t="n">
        <v>9695</v>
      </c>
      <c r="I32" s="741" t="n">
        <v>0</v>
      </c>
      <c r="J32" s="742" t="n">
        <v>23</v>
      </c>
      <c r="K32" s="742" t="n">
        <v>10</v>
      </c>
      <c r="L32" s="742">
        <f>IF(B32="TXO",I32-SUM(J32:K32),IF(B32="FITX",IF(D32="新倉",-SUM(J32:K32),IF(E32="賣",(H32-H31)*G32*200-SUM(J32:K32),(H31-H32)*G32*200-SUM(J32:K32))),IF(D32="新倉",-SUM(J32:K32),IF(E32="賣",(H32-H31)*G32*50-SUM(J32:K32),(H31-H32)*G32*50-SUM(J32:K32)))))</f>
        <v/>
      </c>
      <c r="M32" s="743">
        <f>L32</f>
        <v/>
      </c>
      <c r="N32" s="686">
        <f>IF(B32="TXO","",IF(D32="新倉","",IF(E32="賣",(H32-H31)*G32,(H31-H32)*G32)))</f>
        <v/>
      </c>
      <c r="O32" s="226" t="n">
        <v>6</v>
      </c>
      <c r="P32" s="667" t="n"/>
      <c r="Q32" s="249" t="inlineStr">
        <is>
          <t>技法: 碰10MA出場</t>
        </is>
      </c>
      <c r="R32" s="249" t="inlineStr">
        <is>
          <t>Yes</t>
        </is>
      </c>
      <c r="S32" s="249" t="inlineStr">
        <is>
          <t>Yes</t>
        </is>
      </c>
      <c r="T32" s="61">
        <f>IF(AND(R32="Yes",S32&lt;&gt;"Yes",L32&gt;0,B32&lt;&gt;"TXO"),L32,"")</f>
        <v/>
      </c>
      <c r="U32" s="61">
        <f>IF(AND(R32="Yes",S32&lt;&gt;"Yes",L32&lt;0,B32&lt;&gt;"TXO"),L32,"")</f>
        <v/>
      </c>
      <c r="V32" s="61">
        <f>IF(AND(R32="",S32&lt;&gt;"Yes",L32&gt;0,B32&lt;&gt;"TXO"),L32,"")</f>
        <v/>
      </c>
      <c r="W32" s="61">
        <f>IF(AND(R32="",S32&lt;&gt;"Yes",L32&lt;0,B32&lt;&gt;"TXO"),L32,"")</f>
        <v/>
      </c>
      <c r="X32" s="226">
        <f>IF(AND(R32="Yes",S32="Yes",L32&gt;0,B32&lt;&gt;"TXO"),L32,"")</f>
        <v/>
      </c>
      <c r="Y32" s="226">
        <f>IF(AND(R32="Yes",S32="Yes",L32&lt;0,B32&lt;&gt;"TXO"),L32,"")</f>
        <v/>
      </c>
      <c r="Z32" s="226">
        <f>IF(AND(R32="",S32="Yes",L32&gt;0,B32&lt;&gt;"TXO"),L32,"")</f>
        <v/>
      </c>
      <c r="AA32" s="226">
        <f>IF(AND(R32="",S32="Yes",L32&lt;0,B32&lt;&gt;"TXO"),L32,"")</f>
        <v/>
      </c>
    </row>
    <row r="33" outlineLevel="2" collapsed="1">
      <c r="A33" s="740" t="n">
        <v>43479</v>
      </c>
      <c r="B33" s="299" t="inlineStr">
        <is>
          <t>FIMTX</t>
        </is>
      </c>
      <c r="C33" s="300" t="inlineStr">
        <is>
          <t>小指01</t>
        </is>
      </c>
      <c r="D33" s="300" t="inlineStr">
        <is>
          <t>新倉</t>
        </is>
      </c>
      <c r="E33" s="301" t="inlineStr">
        <is>
          <t>賣</t>
        </is>
      </c>
      <c r="F33" s="300" t="inlineStr">
        <is>
          <t>-</t>
        </is>
      </c>
      <c r="G33" s="741" t="n">
        <v>1</v>
      </c>
      <c r="H33" s="741" t="n">
        <v>9700</v>
      </c>
      <c r="I33" s="741" t="n">
        <v>0</v>
      </c>
      <c r="J33" s="742" t="n">
        <v>23</v>
      </c>
      <c r="K33" s="742" t="n">
        <v>10</v>
      </c>
      <c r="L33" s="742">
        <f>IF(B33="TXO",I33-SUM(J33:K33),IF(B33="FITX",IF(D33="新倉",-SUM(J33:K33),IF(E33="賣",(H33-H32)*G33*200-SUM(J33:K33),(H32-H33)*G33*200-SUM(J33:K33))),IF(D33="新倉",-SUM(J33:K33),IF(E33="賣",(H33-H32)*G33*50-SUM(J33:K33),(H32-H33)*G33*50-SUM(J33:K33)))))</f>
        <v/>
      </c>
      <c r="M33" s="743">
        <f>L33</f>
        <v/>
      </c>
      <c r="N33" s="686">
        <f>IF(B33="TXO","",IF(D33="新倉","",IF(E33="賣",(H33-H32)*G33,(H32-H33)*G33)))</f>
        <v/>
      </c>
      <c r="O33" s="226" t="n">
        <v>3</v>
      </c>
      <c r="P33" s="667" t="n"/>
      <c r="Q33" s="297" t="inlineStr">
        <is>
          <t>技法: 3/3 買進1口</t>
        </is>
      </c>
      <c r="R33" s="249" t="inlineStr">
        <is>
          <t>Yes</t>
        </is>
      </c>
      <c r="S33" s="249" t="inlineStr">
        <is>
          <t>Yes</t>
        </is>
      </c>
      <c r="T33" s="61">
        <f>IF(AND(R33="Yes",S33&lt;&gt;"Yes",L33&gt;0,B33&lt;&gt;"TXO"),L33,"")</f>
        <v/>
      </c>
      <c r="U33" s="61">
        <f>IF(AND(R33="Yes",S33&lt;&gt;"Yes",L33&lt;0,B33&lt;&gt;"TXO"),L33,"")</f>
        <v/>
      </c>
      <c r="V33" s="61">
        <f>IF(AND(R33="",S33&lt;&gt;"Yes",L33&gt;0,B33&lt;&gt;"TXO"),L33,"")</f>
        <v/>
      </c>
      <c r="W33" s="61">
        <f>IF(AND(R33="",S33&lt;&gt;"Yes",L33&lt;0,B33&lt;&gt;"TXO"),L33,"")</f>
        <v/>
      </c>
      <c r="X33" s="226">
        <f>IF(AND(R33="Yes",S33="Yes",L33&gt;0,B33&lt;&gt;"TXO"),L33,"")</f>
        <v/>
      </c>
      <c r="Y33" s="226">
        <f>IF(AND(R33="Yes",S33="Yes",L33&lt;0,B33&lt;&gt;"TXO"),L33,"")</f>
        <v/>
      </c>
      <c r="Z33" s="226">
        <f>IF(AND(R33="",S33="Yes",L33&gt;0,B33&lt;&gt;"TXO"),L33,"")</f>
        <v/>
      </c>
      <c r="AA33" s="226">
        <f>IF(AND(R33="",S33="Yes",L33&lt;0,B33&lt;&gt;"TXO"),L33,"")</f>
        <v/>
      </c>
    </row>
    <row r="34" outlineLevel="2" collapsed="1">
      <c r="A34" s="740" t="n">
        <v>43479</v>
      </c>
      <c r="B34" s="299" t="inlineStr">
        <is>
          <t>FIMTX</t>
        </is>
      </c>
      <c r="C34" s="300" t="inlineStr">
        <is>
          <t>小指01</t>
        </is>
      </c>
      <c r="D34" s="300" t="inlineStr">
        <is>
          <t>平倉</t>
        </is>
      </c>
      <c r="E34" s="301" t="inlineStr">
        <is>
          <t>買</t>
        </is>
      </c>
      <c r="F34" s="300" t="inlineStr">
        <is>
          <t>-</t>
        </is>
      </c>
      <c r="G34" s="741" t="n">
        <v>1</v>
      </c>
      <c r="H34" s="741" t="n">
        <v>9705</v>
      </c>
      <c r="I34" s="741" t="n">
        <v>0</v>
      </c>
      <c r="J34" s="742" t="n">
        <v>23</v>
      </c>
      <c r="K34" s="742" t="n">
        <v>10</v>
      </c>
      <c r="L34" s="742">
        <f>IF(B34="TXO",I34-SUM(J34:K34),IF(B34="FITX",IF(D34="新倉",-SUM(J34:K34),IF(E34="賣",(H34-H33)*G34*200-SUM(J34:K34),(H33-H34)*G34*200-SUM(J34:K34))),IF(D34="新倉",-SUM(J34:K34),IF(E34="賣",(H34-H33)*G34*50-SUM(J34:K34),(H33-H34)*G34*50-SUM(J34:K34)))))</f>
        <v/>
      </c>
      <c r="M34" s="743">
        <f>L34</f>
        <v/>
      </c>
      <c r="N34" s="686">
        <f>IF(B34="TXO","",IF(D34="新倉","",IF(E34="賣",(H34-H33)*G34,(H33-H34)*G34)))</f>
        <v/>
      </c>
      <c r="O34" s="226" t="n">
        <v>4</v>
      </c>
      <c r="P34" s="667" t="n"/>
      <c r="Q34" s="249" t="inlineStr">
        <is>
          <t>技法: 碰10MA出場</t>
        </is>
      </c>
      <c r="R34" s="249" t="inlineStr">
        <is>
          <t>Yes</t>
        </is>
      </c>
      <c r="S34" s="249" t="inlineStr">
        <is>
          <t>Yes</t>
        </is>
      </c>
      <c r="T34" s="61">
        <f>IF(AND(R34="Yes",S34&lt;&gt;"Yes",L34&gt;0,B34&lt;&gt;"TXO"),L34,"")</f>
        <v/>
      </c>
      <c r="U34" s="61">
        <f>IF(AND(R34="Yes",S34&lt;&gt;"Yes",L34&lt;0,B34&lt;&gt;"TXO"),L34,"")</f>
        <v/>
      </c>
      <c r="V34" s="61">
        <f>IF(AND(R34="",S34&lt;&gt;"Yes",L34&gt;0,B34&lt;&gt;"TXO"),L34,"")</f>
        <v/>
      </c>
      <c r="W34" s="61">
        <f>IF(AND(R34="",S34&lt;&gt;"Yes",L34&lt;0,B34&lt;&gt;"TXO"),L34,"")</f>
        <v/>
      </c>
      <c r="X34" s="226">
        <f>IF(AND(R34="Yes",S34="Yes",L34&gt;0,B34&lt;&gt;"TXO"),L34,"")</f>
        <v/>
      </c>
      <c r="Y34" s="226">
        <f>IF(AND(R34="Yes",S34="Yes",L34&lt;0,B34&lt;&gt;"TXO"),L34,"")</f>
        <v/>
      </c>
      <c r="Z34" s="226">
        <f>IF(AND(R34="",S34="Yes",L34&gt;0,B34&lt;&gt;"TXO"),L34,"")</f>
        <v/>
      </c>
      <c r="AA34" s="226">
        <f>IF(AND(R34="",S34="Yes",L34&lt;0,B34&lt;&gt;"TXO"),L34,"")</f>
        <v/>
      </c>
    </row>
    <row r="35" outlineLevel="2" collapsed="1">
      <c r="A35" s="740" t="n">
        <v>43479</v>
      </c>
      <c r="B35" s="299" t="inlineStr">
        <is>
          <t>FIMTX</t>
        </is>
      </c>
      <c r="C35" s="300" t="inlineStr">
        <is>
          <t>小指01</t>
        </is>
      </c>
      <c r="D35" s="300" t="inlineStr">
        <is>
          <t>新倉</t>
        </is>
      </c>
      <c r="E35" s="301" t="inlineStr">
        <is>
          <t>買</t>
        </is>
      </c>
      <c r="F35" s="300" t="inlineStr">
        <is>
          <t>-</t>
        </is>
      </c>
      <c r="G35" s="741" t="n">
        <v>1</v>
      </c>
      <c r="H35" s="741" t="n">
        <v>9705</v>
      </c>
      <c r="I35" s="741" t="n">
        <v>0</v>
      </c>
      <c r="J35" s="742" t="n">
        <v>23</v>
      </c>
      <c r="K35" s="742" t="n">
        <v>10</v>
      </c>
      <c r="L35" s="742">
        <f>IF(B35="TXO",I35-SUM(J35:K35),IF(B35="FITX",IF(D35="新倉",-SUM(J35:K35),IF(E35="賣",(H35-H34)*G35*200-SUM(J35:K35),(H34-H35)*G35*200-SUM(J35:K35))),IF(D35="新倉",-SUM(J35:K35),IF(E35="賣",(H35-H34)*G35*50-SUM(J35:K35),(H34-H35)*G35*50-SUM(J35:K35)))))</f>
        <v/>
      </c>
      <c r="M35" s="743">
        <f>L35</f>
        <v/>
      </c>
      <c r="N35" s="686">
        <f>IF(B35="TXO","",IF(D35="新倉","",IF(E35="賣",(H35-H34)*G35,(H34-H35)*G35)))</f>
        <v/>
      </c>
      <c r="O35" s="226" t="n">
        <v>5</v>
      </c>
      <c r="P35" s="667" t="n"/>
      <c r="Q35" s="297" t="inlineStr">
        <is>
          <t>技法: 3/3 買進1口</t>
        </is>
      </c>
      <c r="R35" s="249" t="inlineStr">
        <is>
          <t>Yes</t>
        </is>
      </c>
      <c r="S35" s="249" t="inlineStr">
        <is>
          <t>Yes</t>
        </is>
      </c>
      <c r="T35" s="61">
        <f>IF(AND(R35="Yes",S35&lt;&gt;"Yes",L35&gt;0,B35&lt;&gt;"TXO"),L35,"")</f>
        <v/>
      </c>
      <c r="U35" s="61">
        <f>IF(AND(R35="Yes",S35&lt;&gt;"Yes",L35&lt;0,B35&lt;&gt;"TXO"),L35,"")</f>
        <v/>
      </c>
      <c r="V35" s="61">
        <f>IF(AND(R35="",S35&lt;&gt;"Yes",L35&gt;0,B35&lt;&gt;"TXO"),L35,"")</f>
        <v/>
      </c>
      <c r="W35" s="61">
        <f>IF(AND(R35="",S35&lt;&gt;"Yes",L35&lt;0,B35&lt;&gt;"TXO"),L35,"")</f>
        <v/>
      </c>
      <c r="X35" s="226">
        <f>IF(AND(R35="Yes",S35="Yes",L35&gt;0,B35&lt;&gt;"TXO"),L35,"")</f>
        <v/>
      </c>
      <c r="Y35" s="226">
        <f>IF(AND(R35="Yes",S35="Yes",L35&lt;0,B35&lt;&gt;"TXO"),L35,"")</f>
        <v/>
      </c>
      <c r="Z35" s="226">
        <f>IF(AND(R35="",S35="Yes",L35&gt;0,B35&lt;&gt;"TXO"),L35,"")</f>
        <v/>
      </c>
      <c r="AA35" s="226">
        <f>IF(AND(R35="",S35="Yes",L35&lt;0,B35&lt;&gt;"TXO"),L35,"")</f>
        <v/>
      </c>
    </row>
    <row r="36" outlineLevel="2" collapsed="1">
      <c r="A36" s="740" t="n">
        <v>43479</v>
      </c>
      <c r="B36" s="299" t="inlineStr">
        <is>
          <t>FIMTX</t>
        </is>
      </c>
      <c r="C36" s="300" t="inlineStr">
        <is>
          <t>小指01</t>
        </is>
      </c>
      <c r="D36" s="300" t="inlineStr">
        <is>
          <t>平倉</t>
        </is>
      </c>
      <c r="E36" s="301" t="inlineStr">
        <is>
          <t>賣</t>
        </is>
      </c>
      <c r="F36" s="300" t="inlineStr">
        <is>
          <t>-</t>
        </is>
      </c>
      <c r="G36" s="741" t="n">
        <v>1</v>
      </c>
      <c r="H36" s="741" t="n">
        <v>9702</v>
      </c>
      <c r="I36" s="741" t="n">
        <v>0</v>
      </c>
      <c r="J36" s="742" t="n">
        <v>23</v>
      </c>
      <c r="K36" s="742" t="n">
        <v>10</v>
      </c>
      <c r="L36" s="742">
        <f>IF(B36="TXO",I36-SUM(J36:K36),IF(B36="FITX",IF(D36="新倉",-SUM(J36:K36),IF(E36="賣",(H36-H35)*G36*200-SUM(J36:K36),(H35-H36)*G36*200-SUM(J36:K36))),IF(D36="新倉",-SUM(J36:K36),IF(E36="賣",(H36-H35)*G36*50-SUM(J36:K36),(H35-H36)*G36*50-SUM(J36:K36)))))</f>
        <v/>
      </c>
      <c r="M36" s="743">
        <f>L36</f>
        <v/>
      </c>
      <c r="N36" s="686">
        <f>IF(B36="TXO","",IF(D36="新倉","",IF(E36="賣",(H36-H35)*G36,(H35-H36)*G36)))</f>
        <v/>
      </c>
      <c r="O36" s="226" t="n">
        <v>6</v>
      </c>
      <c r="P36" s="667" t="n"/>
      <c r="Q36" s="249" t="inlineStr">
        <is>
          <t>技法: 碰10MA出場</t>
        </is>
      </c>
      <c r="R36" s="249" t="inlineStr">
        <is>
          <t>Yes</t>
        </is>
      </c>
      <c r="S36" s="249" t="inlineStr">
        <is>
          <t>Yes</t>
        </is>
      </c>
      <c r="T36" s="61">
        <f>IF(AND(R36="Yes",S36&lt;&gt;"Yes",L36&gt;0,B36&lt;&gt;"TXO"),L36,"")</f>
        <v/>
      </c>
      <c r="U36" s="61">
        <f>IF(AND(R36="Yes",S36&lt;&gt;"Yes",L36&lt;0,B36&lt;&gt;"TXO"),L36,"")</f>
        <v/>
      </c>
      <c r="V36" s="61">
        <f>IF(AND(R36="",S36&lt;&gt;"Yes",L36&gt;0,B36&lt;&gt;"TXO"),L36,"")</f>
        <v/>
      </c>
      <c r="W36" s="61">
        <f>IF(AND(R36="",S36&lt;&gt;"Yes",L36&lt;0,B36&lt;&gt;"TXO"),L36,"")</f>
        <v/>
      </c>
      <c r="X36" s="226">
        <f>IF(AND(R36="Yes",S36="Yes",L36&gt;0,B36&lt;&gt;"TXO"),L36,"")</f>
        <v/>
      </c>
      <c r="Y36" s="226">
        <f>IF(AND(R36="Yes",S36="Yes",L36&lt;0,B36&lt;&gt;"TXO"),L36,"")</f>
        <v/>
      </c>
      <c r="Z36" s="226">
        <f>IF(AND(R36="",S36="Yes",L36&gt;0,B36&lt;&gt;"TXO"),L36,"")</f>
        <v/>
      </c>
      <c r="AA36" s="226">
        <f>IF(AND(R36="",S36="Yes",L36&lt;0,B36&lt;&gt;"TXO"),L36,"")</f>
        <v/>
      </c>
    </row>
    <row r="37" outlineLevel="1">
      <c r="A37" s="696" t="n">
        <v>43480</v>
      </c>
      <c r="B37" s="234" t="inlineStr">
        <is>
          <t>FIMTX</t>
        </is>
      </c>
      <c r="C37" s="229" t="inlineStr">
        <is>
          <t>小指01</t>
        </is>
      </c>
      <c r="D37" s="229" t="inlineStr">
        <is>
          <t>新倉</t>
        </is>
      </c>
      <c r="E37" s="257" t="inlineStr">
        <is>
          <t>買</t>
        </is>
      </c>
      <c r="F37" s="229" t="inlineStr">
        <is>
          <t>-</t>
        </is>
      </c>
      <c r="G37" s="697" t="n">
        <v>1</v>
      </c>
      <c r="H37" s="697" t="n">
        <v>9724</v>
      </c>
      <c r="I37" s="697" t="n">
        <v>0</v>
      </c>
      <c r="J37" s="585" t="n">
        <v>23</v>
      </c>
      <c r="K37" s="585" t="n">
        <v>10</v>
      </c>
      <c r="L37" s="585">
        <f>IF(B37="TXO",I37-SUM(J37:K37),IF(B37="FITX",IF(D37="新倉",-SUM(J37:K37),IF(E37="賣",(H37-H36)*G37*200-SUM(J37:K37),(H36-H37)*G37*200-SUM(J37:K37))),IF(D37="新倉",-SUM(J37:K37),IF(E37="賣",(H37-H36)*G37*50-SUM(J37:K37),(H36-H37)*G37*50-SUM(J37:K37)))))</f>
        <v/>
      </c>
      <c r="M37" s="699">
        <f>L37</f>
        <v/>
      </c>
      <c r="N37" s="686">
        <f>IF(B37="TXO","",IF(D37="新倉","",IF(E37="賣",(H37-H36)*G37,(H36-H37)*G37)))</f>
        <v/>
      </c>
      <c r="O37" s="226" t="n">
        <v>0</v>
      </c>
      <c r="P37" s="667">
        <f>SUM(L37:L42)</f>
        <v/>
      </c>
      <c r="Q37" s="249" t="inlineStr">
        <is>
          <t>技法: 3/3 買進3口</t>
        </is>
      </c>
      <c r="R37" s="249" t="inlineStr">
        <is>
          <t>Yes</t>
        </is>
      </c>
      <c r="S37" s="249" t="n"/>
      <c r="T37" s="61">
        <f>IF(AND(R37="Yes",S37&lt;&gt;"Yes",L37&gt;0,B37&lt;&gt;"TXO"),L37,"")</f>
        <v/>
      </c>
      <c r="U37" s="61">
        <f>IF(AND(R37="Yes",S37&lt;&gt;"Yes",L37&lt;0,B37&lt;&gt;"TXO"),L37,"")</f>
        <v/>
      </c>
      <c r="V37" s="61">
        <f>IF(AND(R37="",S37&lt;&gt;"Yes",L37&gt;0,B37&lt;&gt;"TXO"),L37,"")</f>
        <v/>
      </c>
      <c r="W37" s="61">
        <f>IF(AND(R37="",S37&lt;&gt;"Yes",L37&lt;0,B37&lt;&gt;"TXO"),L37,"")</f>
        <v/>
      </c>
      <c r="X37" s="226">
        <f>IF(AND(R37="Yes",S37="Yes",L37&gt;0,B37&lt;&gt;"TXO"),L37,"")</f>
        <v/>
      </c>
      <c r="Y37" s="226">
        <f>IF(AND(R37="Yes",S37="Yes",L37&lt;0,B37&lt;&gt;"TXO"),L37,"")</f>
        <v/>
      </c>
      <c r="Z37" s="226">
        <f>IF(AND(R37="",S37="Yes",L37&gt;0,B37&lt;&gt;"TXO"),L37,"")</f>
        <v/>
      </c>
      <c r="AA37" s="226">
        <f>IF(AND(R37="",S37="Yes",L37&lt;0,B37&lt;&gt;"TXO"),L37,"")</f>
        <v/>
      </c>
    </row>
    <row r="38" outlineLevel="2">
      <c r="A38" s="696" t="n">
        <v>43480</v>
      </c>
      <c r="B38" s="234" t="inlineStr">
        <is>
          <t>FIMTX</t>
        </is>
      </c>
      <c r="C38" s="229" t="inlineStr">
        <is>
          <t>小指01</t>
        </is>
      </c>
      <c r="D38" s="229" t="inlineStr">
        <is>
          <t>平倉</t>
        </is>
      </c>
      <c r="E38" s="257" t="inlineStr">
        <is>
          <t>賣</t>
        </is>
      </c>
      <c r="F38" s="229" t="inlineStr">
        <is>
          <t>-</t>
        </is>
      </c>
      <c r="G38" s="697" t="n">
        <v>1</v>
      </c>
      <c r="H38" s="697" t="n">
        <v>9728</v>
      </c>
      <c r="I38" s="697" t="n">
        <v>0</v>
      </c>
      <c r="J38" s="585" t="n">
        <v>23</v>
      </c>
      <c r="K38" s="585" t="n">
        <v>10</v>
      </c>
      <c r="L38" s="585">
        <f>IF(B38="TXO",I38-SUM(J38:K38),IF(B38="FITX",IF(D38="新倉",-SUM(J38:K38),IF(E38="賣",(H38-H37)*G38*200-SUM(J38:K38),(H37-H38)*G38*200-SUM(J38:K38))),IF(D38="新倉",-SUM(J38:K38),IF(E38="賣",(H38-H37)*G38*50-SUM(J38:K38),(H37-H38)*G38*50-SUM(J38:K38)))))</f>
        <v/>
      </c>
      <c r="M38" s="699">
        <f>L38</f>
        <v/>
      </c>
      <c r="N38" s="686">
        <f>IF(B38="TXO","",IF(D38="新倉","",IF(E38="賣",(H38-H37)*G38,(H37-H38)*G38)))</f>
        <v/>
      </c>
      <c r="O38" s="226" t="n">
        <v>0</v>
      </c>
      <c r="P38" s="667" t="n"/>
      <c r="R38" s="249" t="inlineStr">
        <is>
          <t>Yes</t>
        </is>
      </c>
      <c r="S38" s="249" t="n"/>
      <c r="T38" s="61">
        <f>IF(AND(R38="Yes",S38&lt;&gt;"Yes",L38&gt;0,B38&lt;&gt;"TXO"),L38,"")</f>
        <v/>
      </c>
      <c r="U38" s="61">
        <f>IF(AND(R38="Yes",S38&lt;&gt;"Yes",L38&lt;0,B38&lt;&gt;"TXO"),L38,"")</f>
        <v/>
      </c>
      <c r="V38" s="61">
        <f>IF(AND(R38="",S38&lt;&gt;"Yes",L38&gt;0,B38&lt;&gt;"TXO"),L38,"")</f>
        <v/>
      </c>
      <c r="W38" s="61">
        <f>IF(AND(R38="",S38&lt;&gt;"Yes",L38&lt;0,B38&lt;&gt;"TXO"),L38,"")</f>
        <v/>
      </c>
      <c r="X38" s="226">
        <f>IF(AND(R38="Yes",S38="Yes",L38&gt;0,B38&lt;&gt;"TXO"),L38,"")</f>
        <v/>
      </c>
      <c r="Y38" s="226">
        <f>IF(AND(R38="Yes",S38="Yes",L38&lt;0,B38&lt;&gt;"TXO"),L38,"")</f>
        <v/>
      </c>
      <c r="Z38" s="226">
        <f>IF(AND(R38="",S38="Yes",L38&gt;0,B38&lt;&gt;"TXO"),L38,"")</f>
        <v/>
      </c>
      <c r="AA38" s="226">
        <f>IF(AND(R38="",S38="Yes",L38&lt;0,B38&lt;&gt;"TXO"),L38,"")</f>
        <v/>
      </c>
    </row>
    <row r="39" outlineLevel="2">
      <c r="A39" s="696" t="n">
        <v>43480</v>
      </c>
      <c r="B39" s="234" t="inlineStr">
        <is>
          <t>FIMTX</t>
        </is>
      </c>
      <c r="C39" s="229" t="inlineStr">
        <is>
          <t>小指01</t>
        </is>
      </c>
      <c r="D39" s="229" t="inlineStr">
        <is>
          <t>新倉</t>
        </is>
      </c>
      <c r="E39" s="257" t="inlineStr">
        <is>
          <t>買</t>
        </is>
      </c>
      <c r="F39" s="229" t="inlineStr">
        <is>
          <t>-</t>
        </is>
      </c>
      <c r="G39" s="697" t="n">
        <v>1</v>
      </c>
      <c r="H39" s="697" t="n">
        <v>9724</v>
      </c>
      <c r="I39" s="697" t="n">
        <v>0</v>
      </c>
      <c r="J39" s="585" t="n">
        <v>23</v>
      </c>
      <c r="K39" s="585" t="n">
        <v>10</v>
      </c>
      <c r="L39" s="585">
        <f>IF(B39="TXO",I39-SUM(J39:K39),IF(B39="FITX",IF(D39="新倉",-SUM(J39:K39),IF(E39="賣",(H39-H38)*G39*200-SUM(J39:K39),(H38-H39)*G39*200-SUM(J39:K39))),IF(D39="新倉",-SUM(J39:K39),IF(E39="賣",(H39-H38)*G39*50-SUM(J39:K39),(H38-H39)*G39*50-SUM(J39:K39)))))</f>
        <v/>
      </c>
      <c r="M39" s="699">
        <f>L39</f>
        <v/>
      </c>
      <c r="N39" s="686">
        <f>IF(B39="TXO","",IF(D39="新倉","",IF(E39="賣",(H39-H38)*G39,(H38-H39)*G39)))</f>
        <v/>
      </c>
      <c r="O39" s="226" t="n">
        <v>0</v>
      </c>
      <c r="P39" s="667" t="n"/>
      <c r="R39" s="249" t="inlineStr">
        <is>
          <t>Yes</t>
        </is>
      </c>
      <c r="S39" s="249" t="n"/>
      <c r="T39" s="61">
        <f>IF(AND(R39="Yes",S39&lt;&gt;"Yes",L39&gt;0,B39&lt;&gt;"TXO"),L39,"")</f>
        <v/>
      </c>
      <c r="U39" s="61">
        <f>IF(AND(R39="Yes",S39&lt;&gt;"Yes",L39&lt;0,B39&lt;&gt;"TXO"),L39,"")</f>
        <v/>
      </c>
      <c r="V39" s="61">
        <f>IF(AND(R39="",S39&lt;&gt;"Yes",L39&gt;0,B39&lt;&gt;"TXO"),L39,"")</f>
        <v/>
      </c>
      <c r="W39" s="61">
        <f>IF(AND(R39="",S39&lt;&gt;"Yes",L39&lt;0,B39&lt;&gt;"TXO"),L39,"")</f>
        <v/>
      </c>
      <c r="X39" s="226">
        <f>IF(AND(R39="Yes",S39="Yes",L39&gt;0,B39&lt;&gt;"TXO"),L39,"")</f>
        <v/>
      </c>
      <c r="Y39" s="226">
        <f>IF(AND(R39="Yes",S39="Yes",L39&lt;0,B39&lt;&gt;"TXO"),L39,"")</f>
        <v/>
      </c>
      <c r="Z39" s="226">
        <f>IF(AND(R39="",S39="Yes",L39&gt;0,B39&lt;&gt;"TXO"),L39,"")</f>
        <v/>
      </c>
      <c r="AA39" s="226">
        <f>IF(AND(R39="",S39="Yes",L39&lt;0,B39&lt;&gt;"TXO"),L39,"")</f>
        <v/>
      </c>
    </row>
    <row r="40" outlineLevel="2">
      <c r="A40" s="696" t="n">
        <v>43480</v>
      </c>
      <c r="B40" s="234" t="inlineStr">
        <is>
          <t>FIMTX</t>
        </is>
      </c>
      <c r="C40" s="229" t="inlineStr">
        <is>
          <t>小指01</t>
        </is>
      </c>
      <c r="D40" s="229" t="inlineStr">
        <is>
          <t>平倉</t>
        </is>
      </c>
      <c r="E40" s="257" t="inlineStr">
        <is>
          <t>賣</t>
        </is>
      </c>
      <c r="F40" s="229" t="inlineStr">
        <is>
          <t>-</t>
        </is>
      </c>
      <c r="G40" s="697" t="n">
        <v>1</v>
      </c>
      <c r="H40" s="697" t="n">
        <v>9728</v>
      </c>
      <c r="I40" s="697" t="n">
        <v>0</v>
      </c>
      <c r="J40" s="585" t="n">
        <v>23</v>
      </c>
      <c r="K40" s="585" t="n">
        <v>10</v>
      </c>
      <c r="L40" s="585">
        <f>IF(B40="TXO",I40-SUM(J40:K40),IF(B40="FITX",IF(D40="新倉",-SUM(J40:K40),IF(E40="賣",(H40-H39)*G40*200-SUM(J40:K40),(H39-H40)*G40*200-SUM(J40:K40))),IF(D40="新倉",-SUM(J40:K40),IF(E40="賣",(H40-H39)*G40*50-SUM(J40:K40),(H39-H40)*G40*50-SUM(J40:K40)))))</f>
        <v/>
      </c>
      <c r="M40" s="699">
        <f>L40</f>
        <v/>
      </c>
      <c r="N40" s="686">
        <f>IF(B40="TXO","",IF(D40="新倉","",IF(E40="賣",(H40-H39)*G40,(H39-H40)*G40)))</f>
        <v/>
      </c>
      <c r="O40" s="226" t="n">
        <v>0</v>
      </c>
      <c r="P40" s="667" t="n"/>
      <c r="R40" s="249" t="inlineStr">
        <is>
          <t>Yes</t>
        </is>
      </c>
      <c r="S40" s="249" t="n"/>
      <c r="T40" s="61">
        <f>IF(AND(R40="Yes",S40&lt;&gt;"Yes",L40&gt;0,B40&lt;&gt;"TXO"),L40,"")</f>
        <v/>
      </c>
      <c r="U40" s="61">
        <f>IF(AND(R40="Yes",S40&lt;&gt;"Yes",L40&lt;0,B40&lt;&gt;"TXO"),L40,"")</f>
        <v/>
      </c>
      <c r="V40" s="61">
        <f>IF(AND(R40="",S40&lt;&gt;"Yes",L40&gt;0,B40&lt;&gt;"TXO"),L40,"")</f>
        <v/>
      </c>
      <c r="W40" s="61">
        <f>IF(AND(R40="",S40&lt;&gt;"Yes",L40&lt;0,B40&lt;&gt;"TXO"),L40,"")</f>
        <v/>
      </c>
      <c r="X40" s="226">
        <f>IF(AND(R40="Yes",S40="Yes",L40&gt;0,B40&lt;&gt;"TXO"),L40,"")</f>
        <v/>
      </c>
      <c r="Y40" s="226">
        <f>IF(AND(R40="Yes",S40="Yes",L40&lt;0,B40&lt;&gt;"TXO"),L40,"")</f>
        <v/>
      </c>
      <c r="Z40" s="226">
        <f>IF(AND(R40="",S40="Yes",L40&gt;0,B40&lt;&gt;"TXO"),L40,"")</f>
        <v/>
      </c>
      <c r="AA40" s="226">
        <f>IF(AND(R40="",S40="Yes",L40&lt;0,B40&lt;&gt;"TXO"),L40,"")</f>
        <v/>
      </c>
    </row>
    <row r="41" outlineLevel="2">
      <c r="A41" s="696" t="n">
        <v>43480</v>
      </c>
      <c r="B41" s="234" t="inlineStr">
        <is>
          <t>FIMTX</t>
        </is>
      </c>
      <c r="C41" s="229" t="inlineStr">
        <is>
          <t>小指01</t>
        </is>
      </c>
      <c r="D41" s="229" t="inlineStr">
        <is>
          <t>新倉</t>
        </is>
      </c>
      <c r="E41" s="257" t="inlineStr">
        <is>
          <t>買</t>
        </is>
      </c>
      <c r="F41" s="229" t="inlineStr">
        <is>
          <t>-</t>
        </is>
      </c>
      <c r="G41" s="697" t="n">
        <v>1</v>
      </c>
      <c r="H41" s="697" t="n">
        <v>9723</v>
      </c>
      <c r="I41" s="697" t="n">
        <v>0</v>
      </c>
      <c r="J41" s="585" t="n">
        <v>23</v>
      </c>
      <c r="K41" s="585" t="n">
        <v>10</v>
      </c>
      <c r="L41" s="585">
        <f>IF(B41="TXO",I41-SUM(J41:K41),IF(B41="FITX",IF(D41="新倉",-SUM(J41:K41),IF(E41="賣",(H41-H40)*G41*200-SUM(J41:K41),(H40-H41)*G41*200-SUM(J41:K41))),IF(D41="新倉",-SUM(J41:K41),IF(E41="賣",(H41-H40)*G41*50-SUM(J41:K41),(H40-H41)*G41*50-SUM(J41:K41)))))</f>
        <v/>
      </c>
      <c r="M41" s="699">
        <f>L41</f>
        <v/>
      </c>
      <c r="N41" s="686">
        <f>IF(B41="TXO","",IF(D41="新倉","",IF(E41="賣",(H41-H40)*G41,(H40-H41)*G41)))</f>
        <v/>
      </c>
      <c r="O41" s="226" t="n">
        <v>0</v>
      </c>
      <c r="P41" s="667" t="n"/>
      <c r="R41" s="249" t="inlineStr">
        <is>
          <t>Yes</t>
        </is>
      </c>
      <c r="S41" s="249" t="n"/>
      <c r="T41" s="61">
        <f>IF(AND(R41="Yes",S41&lt;&gt;"Yes",L41&gt;0,B41&lt;&gt;"TXO"),L41,"")</f>
        <v/>
      </c>
      <c r="U41" s="61">
        <f>IF(AND(R41="Yes",S41&lt;&gt;"Yes",L41&lt;0,B41&lt;&gt;"TXO"),L41,"")</f>
        <v/>
      </c>
      <c r="V41" s="61">
        <f>IF(AND(R41="",S41&lt;&gt;"Yes",L41&gt;0,B41&lt;&gt;"TXO"),L41,"")</f>
        <v/>
      </c>
      <c r="W41" s="61">
        <f>IF(AND(R41="",S41&lt;&gt;"Yes",L41&lt;0,B41&lt;&gt;"TXO"),L41,"")</f>
        <v/>
      </c>
      <c r="X41" s="226">
        <f>IF(AND(R41="Yes",S41="Yes",L41&gt;0,B41&lt;&gt;"TXO"),L41,"")</f>
        <v/>
      </c>
      <c r="Y41" s="226">
        <f>IF(AND(R41="Yes",S41="Yes",L41&lt;0,B41&lt;&gt;"TXO"),L41,"")</f>
        <v/>
      </c>
      <c r="Z41" s="226">
        <f>IF(AND(R41="",S41="Yes",L41&gt;0,B41&lt;&gt;"TXO"),L41,"")</f>
        <v/>
      </c>
      <c r="AA41" s="226">
        <f>IF(AND(R41="",S41="Yes",L41&lt;0,B41&lt;&gt;"TXO"),L41,"")</f>
        <v/>
      </c>
    </row>
    <row r="42" outlineLevel="2">
      <c r="A42" s="696" t="n">
        <v>43480</v>
      </c>
      <c r="B42" s="234" t="inlineStr">
        <is>
          <t>FIMTX</t>
        </is>
      </c>
      <c r="C42" s="229" t="inlineStr">
        <is>
          <t>小指01</t>
        </is>
      </c>
      <c r="D42" s="229" t="inlineStr">
        <is>
          <t>平倉</t>
        </is>
      </c>
      <c r="E42" s="257" t="inlineStr">
        <is>
          <t>賣</t>
        </is>
      </c>
      <c r="F42" s="229" t="inlineStr">
        <is>
          <t>-</t>
        </is>
      </c>
      <c r="G42" s="697" t="n">
        <v>1</v>
      </c>
      <c r="H42" s="697" t="n">
        <v>9733</v>
      </c>
      <c r="I42" s="697" t="n">
        <v>0</v>
      </c>
      <c r="J42" s="585" t="n">
        <v>23</v>
      </c>
      <c r="K42" s="585" t="n">
        <v>10</v>
      </c>
      <c r="L42" s="585">
        <f>IF(B42="TXO",I42-SUM(J42:K42),IF(B42="FITX",IF(D42="新倉",-SUM(J42:K42),IF(E42="賣",(H42-H41)*G42*200-SUM(J42:K42),(H41-H42)*G42*200-SUM(J42:K42))),IF(D42="新倉",-SUM(J42:K42),IF(E42="賣",(H42-H41)*G42*50-SUM(J42:K42),(H41-H42)*G42*50-SUM(J42:K42)))))</f>
        <v/>
      </c>
      <c r="M42" s="699">
        <f>L42</f>
        <v/>
      </c>
      <c r="N42" s="686">
        <f>IF(B42="TXO","",IF(D42="新倉","",IF(E42="賣",(H42-H41)*G42,(H41-H42)*G42)))</f>
        <v/>
      </c>
      <c r="O42" s="226" t="n">
        <v>0</v>
      </c>
      <c r="P42" s="667" t="n"/>
      <c r="Q42" s="249" t="inlineStr">
        <is>
          <t>元大移動式停利</t>
        </is>
      </c>
      <c r="R42" s="249" t="inlineStr">
        <is>
          <t>Yes</t>
        </is>
      </c>
      <c r="S42" s="249" t="n"/>
      <c r="T42" s="61">
        <f>IF(AND(R42="Yes",S42&lt;&gt;"Yes",L42&gt;0,B42&lt;&gt;"TXO"),L42,"")</f>
        <v/>
      </c>
      <c r="U42" s="61">
        <f>IF(AND(R42="Yes",S42&lt;&gt;"Yes",L42&lt;0,B42&lt;&gt;"TXO"),L42,"")</f>
        <v/>
      </c>
      <c r="V42" s="61">
        <f>IF(AND(R42="",S42&lt;&gt;"Yes",L42&gt;0,B42&lt;&gt;"TXO"),L42,"")</f>
        <v/>
      </c>
      <c r="W42" s="61">
        <f>IF(AND(R42="",S42&lt;&gt;"Yes",L42&lt;0,B42&lt;&gt;"TXO"),L42,"")</f>
        <v/>
      </c>
      <c r="X42" s="226">
        <f>IF(AND(R42="Yes",S42="Yes",L42&gt;0,B42&lt;&gt;"TXO"),L42,"")</f>
        <v/>
      </c>
      <c r="Y42" s="226">
        <f>IF(AND(R42="Yes",S42="Yes",L42&lt;0,B42&lt;&gt;"TXO"),L42,"")</f>
        <v/>
      </c>
      <c r="Z42" s="226">
        <f>IF(AND(R42="",S42="Yes",L42&gt;0,B42&lt;&gt;"TXO"),L42,"")</f>
        <v/>
      </c>
      <c r="AA42" s="226">
        <f>IF(AND(R42="",S42="Yes",L42&lt;0,B42&lt;&gt;"TXO"),L42,"")</f>
        <v/>
      </c>
    </row>
    <row r="43" outlineLevel="1">
      <c r="A43" s="740" t="n">
        <v>43481</v>
      </c>
      <c r="B43" s="299" t="inlineStr">
        <is>
          <t>FIMTX</t>
        </is>
      </c>
      <c r="C43" s="300" t="inlineStr">
        <is>
          <t>小指01</t>
        </is>
      </c>
      <c r="D43" s="300" t="inlineStr">
        <is>
          <t>新倉</t>
        </is>
      </c>
      <c r="E43" s="301" t="inlineStr">
        <is>
          <t>賣</t>
        </is>
      </c>
      <c r="F43" s="300" t="inlineStr">
        <is>
          <t>-</t>
        </is>
      </c>
      <c r="G43" s="741" t="n">
        <v>2</v>
      </c>
      <c r="H43" s="741" t="n">
        <v>9785</v>
      </c>
      <c r="I43" s="741" t="n">
        <v>0</v>
      </c>
      <c r="J43" s="742" t="n">
        <v>46</v>
      </c>
      <c r="K43" s="742" t="n">
        <v>20</v>
      </c>
      <c r="L43" s="742">
        <f>IF(B43="TXO",I43-SUM(J43:K43),IF(B43="FITX",IF(D43="新倉",-SUM(J43:K43),IF(E43="賣",(H43-H42)*G43*200-SUM(J43:K43),(H42-H43)*G43*200-SUM(J43:K43))),IF(D43="新倉",-SUM(J43:K43),IF(E43="賣",(H43-H42)*G43*50-SUM(J43:K43),(H42-H43)*G43*50-SUM(J43:K43)))))</f>
        <v/>
      </c>
      <c r="M43" s="743">
        <f>L43</f>
        <v/>
      </c>
      <c r="N43" s="686">
        <f>IF(B43="TXO","",IF(D43="新倉","",IF(E43="賣",(H43-H42)*G43,(H42-H43)*G43)))</f>
        <v/>
      </c>
      <c r="O43" s="226" t="n">
        <v>1</v>
      </c>
      <c r="P43" s="667">
        <f>SUM(L43:L46)</f>
        <v/>
      </c>
      <c r="Q43" s="297" t="inlineStr">
        <is>
          <t>3/3 買進3口 (太早下單，訊號消失)</t>
        </is>
      </c>
      <c r="S43" s="249" t="n"/>
      <c r="T43" s="61">
        <f>IF(AND(R43="Yes",S43&lt;&gt;"Yes",L43&gt;0,B43&lt;&gt;"TXO"),L43,"")</f>
        <v/>
      </c>
      <c r="U43" s="61">
        <f>IF(AND(R43="Yes",S43&lt;&gt;"Yes",L43&lt;0,B43&lt;&gt;"TXO"),L43,"")</f>
        <v/>
      </c>
      <c r="V43" s="61">
        <f>IF(AND(R43="",S43&lt;&gt;"Yes",L43&gt;0,B43&lt;&gt;"TXO"),L43,"")</f>
        <v/>
      </c>
      <c r="W43" s="61">
        <f>IF(AND(R43="",S43&lt;&gt;"Yes",L43&lt;0,B43&lt;&gt;"TXO"),L43,"")</f>
        <v/>
      </c>
      <c r="X43" s="226">
        <f>IF(AND(R43="Yes",S43="Yes",L43&gt;0,B43&lt;&gt;"TXO"),L43,"")</f>
        <v/>
      </c>
      <c r="Y43" s="226">
        <f>IF(AND(R43="Yes",S43="Yes",L43&lt;0,B43&lt;&gt;"TXO"),L43,"")</f>
        <v/>
      </c>
      <c r="Z43" s="226">
        <f>IF(AND(R43="",S43="Yes",L43&gt;0,B43&lt;&gt;"TXO"),L43,"")</f>
        <v/>
      </c>
      <c r="AA43" s="226">
        <f>IF(AND(R43="",S43="Yes",L43&lt;0,B43&lt;&gt;"TXO"),L43,"")</f>
        <v/>
      </c>
    </row>
    <row r="44" outlineLevel="2" collapsed="1">
      <c r="A44" s="740" t="n">
        <v>43481</v>
      </c>
      <c r="B44" s="299" t="inlineStr">
        <is>
          <t>FIMTX</t>
        </is>
      </c>
      <c r="C44" s="300" t="inlineStr">
        <is>
          <t>小指01</t>
        </is>
      </c>
      <c r="D44" s="300" t="inlineStr">
        <is>
          <t>平倉</t>
        </is>
      </c>
      <c r="E44" s="301" t="inlineStr">
        <is>
          <t>買</t>
        </is>
      </c>
      <c r="F44" s="300" t="inlineStr">
        <is>
          <t>-</t>
        </is>
      </c>
      <c r="G44" s="741" t="n">
        <v>2</v>
      </c>
      <c r="H44" s="741" t="n">
        <v>9782</v>
      </c>
      <c r="I44" s="741" t="n">
        <v>0</v>
      </c>
      <c r="J44" s="742" t="n">
        <v>46</v>
      </c>
      <c r="K44" s="742" t="n">
        <v>20</v>
      </c>
      <c r="L44" s="742">
        <f>IF(B44="TXO",I44-SUM(J44:K44),IF(B44="FITX",IF(D44="新倉",-SUM(J44:K44),IF(E44="賣",(H44-H43)*G44*200-SUM(J44:K44),(H43-H44)*G44*200-SUM(J44:K44))),IF(D44="新倉",-SUM(J44:K44),IF(E44="賣",(H44-H43)*G44*50-SUM(J44:K44),(H43-H44)*G44*50-SUM(J44:K44)))))</f>
        <v/>
      </c>
      <c r="M44" s="743">
        <f>L44</f>
        <v/>
      </c>
      <c r="N44" s="686">
        <f>IF(B44="TXO","",IF(D44="新倉","",IF(E44="賣",(H44-H43)*G44,(H43-H44)*G44)))</f>
        <v/>
      </c>
      <c r="O44" s="226" t="n">
        <v>2</v>
      </c>
      <c r="P44" s="667" t="n"/>
      <c r="Q44" s="297" t="inlineStr">
        <is>
          <t>3點停利</t>
        </is>
      </c>
      <c r="S44" s="249" t="n"/>
      <c r="T44" s="61">
        <f>IF(AND(R44="Yes",S44&lt;&gt;"Yes",L44&gt;0,B44&lt;&gt;"TXO"),L44,"")</f>
        <v/>
      </c>
      <c r="U44" s="61">
        <f>IF(AND(R44="Yes",S44&lt;&gt;"Yes",L44&lt;0,B44&lt;&gt;"TXO"),L44,"")</f>
        <v/>
      </c>
      <c r="V44" s="61">
        <f>IF(AND(R44="",S44&lt;&gt;"Yes",L44&gt;0,B44&lt;&gt;"TXO"),L44,"")</f>
        <v/>
      </c>
      <c r="W44" s="61">
        <f>IF(AND(R44="",S44&lt;&gt;"Yes",L44&lt;0,B44&lt;&gt;"TXO"),L44,"")</f>
        <v/>
      </c>
      <c r="X44" s="226">
        <f>IF(AND(R44="Yes",S44="Yes",L44&gt;0,B44&lt;&gt;"TXO"),L44,"")</f>
        <v/>
      </c>
      <c r="Y44" s="226">
        <f>IF(AND(R44="Yes",S44="Yes",L44&lt;0,B44&lt;&gt;"TXO"),L44,"")</f>
        <v/>
      </c>
      <c r="Z44" s="226">
        <f>IF(AND(R44="",S44="Yes",L44&gt;0,B44&lt;&gt;"TXO"),L44,"")</f>
        <v/>
      </c>
      <c r="AA44" s="226">
        <f>IF(AND(R44="",S44="Yes",L44&lt;0,B44&lt;&gt;"TXO"),L44,"")</f>
        <v/>
      </c>
    </row>
    <row r="45" outlineLevel="2" collapsed="1">
      <c r="A45" s="740" t="n">
        <v>43481</v>
      </c>
      <c r="B45" s="299" t="inlineStr">
        <is>
          <t>FIMTX</t>
        </is>
      </c>
      <c r="C45" s="300" t="inlineStr">
        <is>
          <t>小指01</t>
        </is>
      </c>
      <c r="D45" s="300" t="inlineStr">
        <is>
          <t>新倉</t>
        </is>
      </c>
      <c r="E45" s="301" t="inlineStr">
        <is>
          <t>賣</t>
        </is>
      </c>
      <c r="F45" s="300" t="inlineStr">
        <is>
          <t>-</t>
        </is>
      </c>
      <c r="G45" s="741" t="n">
        <v>1</v>
      </c>
      <c r="H45" s="741" t="n">
        <v>9785</v>
      </c>
      <c r="I45" s="741" t="n">
        <v>0</v>
      </c>
      <c r="J45" s="742" t="n">
        <v>23</v>
      </c>
      <c r="K45" s="742" t="n">
        <v>10</v>
      </c>
      <c r="L45" s="742">
        <f>IF(B45="TXO",I45-SUM(J45:K45),IF(B45="FITX",IF(D45="新倉",-SUM(J45:K45),IF(E45="賣",(H45-H44)*G45*200-SUM(J45:K45),(H44-H45)*G45*200-SUM(J45:K45))),IF(D45="新倉",-SUM(J45:K45),IF(E45="賣",(H45-H44)*G45*50-SUM(J45:K45),(H44-H45)*G45*50-SUM(J45:K45)))))</f>
        <v/>
      </c>
      <c r="M45" s="743">
        <f>L45</f>
        <v/>
      </c>
      <c r="N45" s="686">
        <f>IF(B45="TXO","",IF(D45="新倉","",IF(E45="賣",(H45-H44)*G45,(H44-H45)*G45)))</f>
        <v/>
      </c>
      <c r="O45" s="226" t="n">
        <v>3</v>
      </c>
      <c r="P45" s="667" t="n"/>
      <c r="Q45" s="297" t="n"/>
      <c r="S45" s="249" t="n"/>
      <c r="T45" s="61">
        <f>IF(AND(R45="Yes",S45&lt;&gt;"Yes",L45&gt;0,B45&lt;&gt;"TXO"),L45,"")</f>
        <v/>
      </c>
      <c r="U45" s="61">
        <f>IF(AND(R45="Yes",S45&lt;&gt;"Yes",L45&lt;0,B45&lt;&gt;"TXO"),L45,"")</f>
        <v/>
      </c>
      <c r="V45" s="61">
        <f>IF(AND(R45="",S45&lt;&gt;"Yes",L45&gt;0,B45&lt;&gt;"TXO"),L45,"")</f>
        <v/>
      </c>
      <c r="W45" s="61">
        <f>IF(AND(R45="",S45&lt;&gt;"Yes",L45&lt;0,B45&lt;&gt;"TXO"),L45,"")</f>
        <v/>
      </c>
      <c r="X45" s="226">
        <f>IF(AND(R45="Yes",S45="Yes",L45&gt;0,B45&lt;&gt;"TXO"),L45,"")</f>
        <v/>
      </c>
      <c r="Y45" s="226">
        <f>IF(AND(R45="Yes",S45="Yes",L45&lt;0,B45&lt;&gt;"TXO"),L45,"")</f>
        <v/>
      </c>
      <c r="Z45" s="226">
        <f>IF(AND(R45="",S45="Yes",L45&gt;0,B45&lt;&gt;"TXO"),L45,"")</f>
        <v/>
      </c>
      <c r="AA45" s="226">
        <f>IF(AND(R45="",S45="Yes",L45&lt;0,B45&lt;&gt;"TXO"),L45,"")</f>
        <v/>
      </c>
    </row>
    <row r="46" outlineLevel="2" collapsed="1">
      <c r="A46" s="740" t="n">
        <v>43481</v>
      </c>
      <c r="B46" s="299" t="inlineStr">
        <is>
          <t>FIMTX</t>
        </is>
      </c>
      <c r="C46" s="300" t="inlineStr">
        <is>
          <t>小指01</t>
        </is>
      </c>
      <c r="D46" s="300" t="inlineStr">
        <is>
          <t>平倉</t>
        </is>
      </c>
      <c r="E46" s="301" t="inlineStr">
        <is>
          <t>買</t>
        </is>
      </c>
      <c r="F46" s="300" t="inlineStr">
        <is>
          <t>-</t>
        </is>
      </c>
      <c r="G46" s="741" t="n">
        <v>1</v>
      </c>
      <c r="H46" s="741" t="n">
        <v>9770</v>
      </c>
      <c r="I46" s="741" t="n">
        <v>0</v>
      </c>
      <c r="J46" s="742" t="n">
        <v>23</v>
      </c>
      <c r="K46" s="742" t="n">
        <v>10</v>
      </c>
      <c r="L46" s="742">
        <f>IF(B46="TXO",I46-SUM(J46:K46),IF(B46="FITX",IF(D46="新倉",-SUM(J46:K46),IF(E46="賣",(H46-H45)*G46*200-SUM(J46:K46),(H45-H46)*G46*200-SUM(J46:K46))),IF(D46="新倉",-SUM(J46:K46),IF(E46="賣",(H46-H45)*G46*50-SUM(J46:K46),(H45-H46)*G46*50-SUM(J46:K46)))))</f>
        <v/>
      </c>
      <c r="M46" s="743">
        <f>L46</f>
        <v/>
      </c>
      <c r="N46" s="686">
        <f>IF(B46="TXO","",IF(D46="新倉","",IF(E46="賣",(H46-H45)*G46,(H45-H46)*G46)))</f>
        <v/>
      </c>
      <c r="O46" s="226" t="n">
        <v>4</v>
      </c>
      <c r="P46" s="667" t="n"/>
      <c r="Q46" s="297" t="inlineStr">
        <is>
          <t>技法: 刺補</t>
        </is>
      </c>
      <c r="S46" s="249" t="n"/>
      <c r="T46" s="61">
        <f>IF(AND(R46="Yes",S46&lt;&gt;"Yes",L46&gt;0,B46&lt;&gt;"TXO"),L46,"")</f>
        <v/>
      </c>
      <c r="U46" s="61">
        <f>IF(AND(R46="Yes",S46&lt;&gt;"Yes",L46&lt;0,B46&lt;&gt;"TXO"),L46,"")</f>
        <v/>
      </c>
      <c r="V46" s="61">
        <f>IF(AND(R46="",S46&lt;&gt;"Yes",L46&gt;0,B46&lt;&gt;"TXO"),L46,"")</f>
        <v/>
      </c>
      <c r="W46" s="61">
        <f>IF(AND(R46="",S46&lt;&gt;"Yes",L46&lt;0,B46&lt;&gt;"TXO"),L46,"")</f>
        <v/>
      </c>
      <c r="X46" s="226">
        <f>IF(AND(R46="Yes",S46="Yes",L46&gt;0,B46&lt;&gt;"TXO"),L46,"")</f>
        <v/>
      </c>
      <c r="Y46" s="226">
        <f>IF(AND(R46="Yes",S46="Yes",L46&lt;0,B46&lt;&gt;"TXO"),L46,"")</f>
        <v/>
      </c>
      <c r="Z46" s="226">
        <f>IF(AND(R46="",S46="Yes",L46&gt;0,B46&lt;&gt;"TXO"),L46,"")</f>
        <v/>
      </c>
      <c r="AA46" s="226">
        <f>IF(AND(R46="",S46="Yes",L46&lt;0,B46&lt;&gt;"TXO"),L46,"")</f>
        <v/>
      </c>
    </row>
    <row r="47" outlineLevel="1">
      <c r="A47" s="696" t="n">
        <v>43486</v>
      </c>
      <c r="B47" s="234" t="inlineStr">
        <is>
          <t>TXO</t>
        </is>
      </c>
      <c r="C47" s="229" t="inlineStr">
        <is>
          <t>台選W4 01 9950 C</t>
        </is>
      </c>
      <c r="D47" s="229" t="inlineStr">
        <is>
          <t>新倉</t>
        </is>
      </c>
      <c r="E47" s="257" t="inlineStr">
        <is>
          <t>買</t>
        </is>
      </c>
      <c r="F47" s="229" t="inlineStr">
        <is>
          <t>-</t>
        </is>
      </c>
      <c r="G47" s="697" t="n">
        <v>2</v>
      </c>
      <c r="H47" s="697" t="n">
        <v>18</v>
      </c>
      <c r="I47" s="697" t="n">
        <v>-1800</v>
      </c>
      <c r="J47" s="585" t="n">
        <v>36</v>
      </c>
      <c r="K47" s="585" t="n">
        <v>2</v>
      </c>
      <c r="L47" s="585">
        <f>IF(B47="TXO",I47-SUM(J47:K47),IF(B47="FITX",IF(D47="新倉",-SUM(J47:K47),IF(E47="賣",(H47-H46)*G47*200-SUM(J47:K47),(H46-H47)*G47*200-SUM(J47:K47))),IF(D47="新倉",-SUM(J47:K47),IF(E47="賣",(H47-H46)*G47*50-SUM(J47:K47),(H46-H47)*G47*50-SUM(J47:K47)))))</f>
        <v/>
      </c>
      <c r="M47" s="699">
        <f>L47</f>
        <v/>
      </c>
      <c r="N47" s="686">
        <f>IF(B47="TXO","",IF(D47="新倉","",IF(E47="賣",(H47-H46)*G47,(H46-H47)*G47)))</f>
        <v/>
      </c>
      <c r="O47" s="226" t="n">
        <v>0</v>
      </c>
      <c r="P47" s="667">
        <f>SUM(L47)</f>
        <v/>
      </c>
      <c r="Q47" s="297" t="inlineStr">
        <is>
          <t>技法: 破箱</t>
        </is>
      </c>
      <c r="R47" s="249" t="inlineStr">
        <is>
          <t>Yes</t>
        </is>
      </c>
      <c r="S47" s="249" t="n"/>
      <c r="T47" s="61">
        <f>IF(AND(R47="Yes",S47&lt;&gt;"Yes",L47&gt;0,B47&lt;&gt;"TXO"),L47,"")</f>
        <v/>
      </c>
      <c r="U47" s="61">
        <f>IF(AND(R47="Yes",S47&lt;&gt;"Yes",L47&lt;0,B47&lt;&gt;"TXO"),L47,"")</f>
        <v/>
      </c>
      <c r="V47" s="61">
        <f>IF(AND(R47="",S47&lt;&gt;"Yes",L47&gt;0,B47&lt;&gt;"TXO"),L47,"")</f>
        <v/>
      </c>
      <c r="W47" s="61">
        <f>IF(AND(R47="",S47&lt;&gt;"Yes",L47&lt;0,B47&lt;&gt;"TXO"),L47,"")</f>
        <v/>
      </c>
      <c r="X47" s="226">
        <f>IF(AND(R47="Yes",S47="Yes",L47&gt;0,B47&lt;&gt;"TXO"),L47,"")</f>
        <v/>
      </c>
      <c r="Y47" s="226">
        <f>IF(AND(R47="Yes",S47="Yes",L47&lt;0,B47&lt;&gt;"TXO"),L47,"")</f>
        <v/>
      </c>
      <c r="Z47" s="226">
        <f>IF(AND(R47="",S47="Yes",L47&gt;0,B47&lt;&gt;"TXO"),L47,"")</f>
        <v/>
      </c>
      <c r="AA47" s="226">
        <f>IF(AND(R47="",S47="Yes",L47&lt;0,B47&lt;&gt;"TXO"),L47,"")</f>
        <v/>
      </c>
    </row>
    <row r="48" outlineLevel="2">
      <c r="A48" s="696" t="n">
        <v>43486</v>
      </c>
      <c r="B48" s="234" t="inlineStr">
        <is>
          <t>FIMTX</t>
        </is>
      </c>
      <c r="C48" s="229" t="inlineStr">
        <is>
          <t>小指02</t>
        </is>
      </c>
      <c r="D48" s="229" t="inlineStr">
        <is>
          <t>新倉</t>
        </is>
      </c>
      <c r="E48" s="257" t="inlineStr">
        <is>
          <t>買</t>
        </is>
      </c>
      <c r="F48" s="229" t="inlineStr">
        <is>
          <t>-</t>
        </is>
      </c>
      <c r="G48" s="697" t="n">
        <v>3</v>
      </c>
      <c r="H48" s="697" t="n">
        <v>9905</v>
      </c>
      <c r="I48" s="697" t="n">
        <v>0</v>
      </c>
      <c r="J48" s="585" t="n">
        <v>69</v>
      </c>
      <c r="K48" s="585" t="n">
        <v>30</v>
      </c>
      <c r="L48" s="585">
        <f>IF(B48="TXO",I48-SUM(J48:K48),IF(B48="FITX",IF(D48="新倉",-SUM(J48:K48),IF(E48="賣",(H48-H47)*G48*200-SUM(J48:K48),(H47-H48)*G48*200-SUM(J48:K48))),IF(D48="新倉",-SUM(J48:K48),IF(E48="賣",(H48-H47)*G48*50-SUM(J48:K48),(H47-H48)*G48*50-SUM(J48:K48)))))</f>
        <v/>
      </c>
      <c r="M48" s="699">
        <f>L48</f>
        <v/>
      </c>
      <c r="N48" s="686">
        <f>IF(B48="TXO","",IF(D48="新倉","",IF(E48="賣",(H48-H47)*G48,(H47-H48)*G48)))</f>
        <v/>
      </c>
      <c r="O48" s="226" t="n">
        <v>0</v>
      </c>
      <c r="P48" s="667">
        <f>SUM(L48:L51)</f>
        <v/>
      </c>
      <c r="Q48" s="249" t="inlineStr">
        <is>
          <t>技法: 3/3 買進3口</t>
        </is>
      </c>
      <c r="R48" s="249" t="inlineStr">
        <is>
          <t>Yes</t>
        </is>
      </c>
      <c r="S48" s="249" t="n"/>
      <c r="T48" s="61">
        <f>IF(AND(R48="Yes",S48&lt;&gt;"Yes",L48&gt;0,B48&lt;&gt;"TXO"),L48,"")</f>
        <v/>
      </c>
      <c r="U48" s="61">
        <f>IF(AND(R48="Yes",S48&lt;&gt;"Yes",L48&lt;0,B48&lt;&gt;"TXO"),L48,"")</f>
        <v/>
      </c>
      <c r="V48" s="61">
        <f>IF(AND(R48="",S48&lt;&gt;"Yes",L48&gt;0,B48&lt;&gt;"TXO"),L48,"")</f>
        <v/>
      </c>
      <c r="W48" s="61">
        <f>IF(AND(R48="",S48&lt;&gt;"Yes",L48&lt;0,B48&lt;&gt;"TXO"),L48,"")</f>
        <v/>
      </c>
      <c r="X48" s="226">
        <f>IF(AND(R48="Yes",S48="Yes",L48&gt;0,B48&lt;&gt;"TXO"),L48,"")</f>
        <v/>
      </c>
      <c r="Y48" s="226">
        <f>IF(AND(R48="Yes",S48="Yes",L48&lt;0,B48&lt;&gt;"TXO"),L48,"")</f>
        <v/>
      </c>
      <c r="Z48" s="226">
        <f>IF(AND(R48="",S48="Yes",L48&gt;0,B48&lt;&gt;"TXO"),L48,"")</f>
        <v/>
      </c>
      <c r="AA48" s="226">
        <f>IF(AND(R48="",S48="Yes",L48&lt;0,B48&lt;&gt;"TXO"),L48,"")</f>
        <v/>
      </c>
    </row>
    <row r="49" outlineLevel="2">
      <c r="A49" s="696" t="n">
        <v>43486</v>
      </c>
      <c r="B49" s="234" t="inlineStr">
        <is>
          <t>FIMTX</t>
        </is>
      </c>
      <c r="C49" s="229" t="inlineStr">
        <is>
          <t>小指02</t>
        </is>
      </c>
      <c r="D49" s="229" t="inlineStr">
        <is>
          <t>平倉</t>
        </is>
      </c>
      <c r="E49" s="257" t="inlineStr">
        <is>
          <t>賣</t>
        </is>
      </c>
      <c r="F49" s="229" t="inlineStr">
        <is>
          <t>-</t>
        </is>
      </c>
      <c r="G49" s="697" t="n">
        <v>3</v>
      </c>
      <c r="H49" s="697" t="n">
        <v>9895</v>
      </c>
      <c r="I49" s="697" t="n">
        <v>0</v>
      </c>
      <c r="J49" s="585" t="n">
        <v>69</v>
      </c>
      <c r="K49" s="585" t="n">
        <v>30</v>
      </c>
      <c r="L49" s="585">
        <f>IF(B49="TXO",I49-SUM(J49:K49),IF(B49="FITX",IF(D49="新倉",-SUM(J49:K49),IF(E49="賣",(H49-H48)*G49*200-SUM(J49:K49),(H48-H49)*G49*200-SUM(J49:K49))),IF(D49="新倉",-SUM(J49:K49),IF(E49="賣",(H49-H48)*G49*50-SUM(J49:K49),(H48-H49)*G49*50-SUM(J49:K49)))))</f>
        <v/>
      </c>
      <c r="M49" s="699">
        <f>L49</f>
        <v/>
      </c>
      <c r="N49" s="686">
        <f>IF(B49="TXO","",IF(D49="新倉","",IF(E49="賣",(H49-H48)*G49,(H48-H49)*G49)))</f>
        <v/>
      </c>
      <c r="O49" s="226" t="n">
        <v>0</v>
      </c>
      <c r="P49" s="667" t="n"/>
      <c r="Q49" s="249" t="inlineStr">
        <is>
          <t>技法: 15點停損</t>
        </is>
      </c>
      <c r="R49" s="249" t="inlineStr">
        <is>
          <t>Yes</t>
        </is>
      </c>
      <c r="S49" s="249" t="n"/>
      <c r="T49" s="61">
        <f>IF(AND(R49="Yes",S49&lt;&gt;"Yes",L49&gt;0,B49&lt;&gt;"TXO"),L49,"")</f>
        <v/>
      </c>
      <c r="U49" s="61">
        <f>IF(AND(R49="Yes",S49&lt;&gt;"Yes",L49&lt;0,B49&lt;&gt;"TXO"),L49,"")</f>
        <v/>
      </c>
      <c r="V49" s="61">
        <f>IF(AND(R49="",S49&lt;&gt;"Yes",L49&gt;0,B49&lt;&gt;"TXO"),L49,"")</f>
        <v/>
      </c>
      <c r="W49" s="61">
        <f>IF(AND(R49="",S49&lt;&gt;"Yes",L49&lt;0,B49&lt;&gt;"TXO"),L49,"")</f>
        <v/>
      </c>
      <c r="X49" s="226">
        <f>IF(AND(R49="Yes",S49="Yes",L49&gt;0,B49&lt;&gt;"TXO"),L49,"")</f>
        <v/>
      </c>
      <c r="Y49" s="226">
        <f>IF(AND(R49="Yes",S49="Yes",L49&lt;0,B49&lt;&gt;"TXO"),L49,"")</f>
        <v/>
      </c>
      <c r="Z49" s="226">
        <f>IF(AND(R49="",S49="Yes",L49&gt;0,B49&lt;&gt;"TXO"),L49,"")</f>
        <v/>
      </c>
      <c r="AA49" s="226">
        <f>IF(AND(R49="",S49="Yes",L49&lt;0,B49&lt;&gt;"TXO"),L49,"")</f>
        <v/>
      </c>
    </row>
    <row r="50" outlineLevel="2">
      <c r="A50" s="696" t="n">
        <v>43486</v>
      </c>
      <c r="B50" s="234" t="inlineStr">
        <is>
          <t>FIMTX</t>
        </is>
      </c>
      <c r="C50" s="229" t="inlineStr">
        <is>
          <t>小指02</t>
        </is>
      </c>
      <c r="D50" s="229" t="inlineStr">
        <is>
          <t>新倉</t>
        </is>
      </c>
      <c r="E50" s="257" t="inlineStr">
        <is>
          <t>賣</t>
        </is>
      </c>
      <c r="F50" s="229" t="inlineStr">
        <is>
          <t>-</t>
        </is>
      </c>
      <c r="G50" s="697" t="n">
        <v>3</v>
      </c>
      <c r="H50" s="697" t="n">
        <v>9898</v>
      </c>
      <c r="I50" s="697" t="n">
        <v>0</v>
      </c>
      <c r="J50" s="585" t="n">
        <v>69</v>
      </c>
      <c r="K50" s="585" t="n">
        <v>30</v>
      </c>
      <c r="L50" s="585">
        <f>IF(B50="TXO",I50-SUM(J50:K50),IF(B50="FITX",IF(D50="新倉",-SUM(J50:K50),IF(E50="賣",(H50-H49)*G50*200-SUM(J50:K50),(H49-H50)*G50*200-SUM(J50:K50))),IF(D50="新倉",-SUM(J50:K50),IF(E50="賣",(H50-H49)*G50*50-SUM(J50:K50),(H49-H50)*G50*50-SUM(J50:K50)))))</f>
        <v/>
      </c>
      <c r="M50" s="699">
        <f>L50</f>
        <v/>
      </c>
      <c r="N50" s="686">
        <f>IF(B50="TXO","",IF(D50="新倉","",IF(E50="賣",(H50-H49)*G50,(H49-H50)*G50)))</f>
        <v/>
      </c>
      <c r="O50" s="226" t="n">
        <v>0</v>
      </c>
      <c r="P50" s="667" t="n"/>
      <c r="Q50" s="249" t="inlineStr">
        <is>
          <t>技法: 3/3 買進3口</t>
        </is>
      </c>
      <c r="R50" s="249" t="inlineStr">
        <is>
          <t>Yes</t>
        </is>
      </c>
      <c r="S50" s="249" t="n"/>
      <c r="T50" s="61">
        <f>IF(AND(R50="Yes",S50&lt;&gt;"Yes",L50&gt;0,B50&lt;&gt;"TXO"),L50,"")</f>
        <v/>
      </c>
      <c r="U50" s="61">
        <f>IF(AND(R50="Yes",S50&lt;&gt;"Yes",L50&lt;0,B50&lt;&gt;"TXO"),L50,"")</f>
        <v/>
      </c>
      <c r="V50" s="61">
        <f>IF(AND(R50="",S50&lt;&gt;"Yes",L50&gt;0,B50&lt;&gt;"TXO"),L50,"")</f>
        <v/>
      </c>
      <c r="W50" s="61">
        <f>IF(AND(R50="",S50&lt;&gt;"Yes",L50&lt;0,B50&lt;&gt;"TXO"),L50,"")</f>
        <v/>
      </c>
      <c r="X50" s="226">
        <f>IF(AND(R50="Yes",S50="Yes",L50&gt;0,B50&lt;&gt;"TXO"),L50,"")</f>
        <v/>
      </c>
      <c r="Y50" s="226">
        <f>IF(AND(R50="Yes",S50="Yes",L50&lt;0,B50&lt;&gt;"TXO"),L50,"")</f>
        <v/>
      </c>
      <c r="Z50" s="226">
        <f>IF(AND(R50="",S50="Yes",L50&gt;0,B50&lt;&gt;"TXO"),L50,"")</f>
        <v/>
      </c>
      <c r="AA50" s="226">
        <f>IF(AND(R50="",S50="Yes",L50&lt;0,B50&lt;&gt;"TXO"),L50,"")</f>
        <v/>
      </c>
    </row>
    <row r="51" outlineLevel="2">
      <c r="A51" s="696" t="n">
        <v>43486</v>
      </c>
      <c r="B51" s="234" t="inlineStr">
        <is>
          <t>FIMTX</t>
        </is>
      </c>
      <c r="C51" s="229" t="inlineStr">
        <is>
          <t>小指02</t>
        </is>
      </c>
      <c r="D51" s="229" t="inlineStr">
        <is>
          <t>平倉</t>
        </is>
      </c>
      <c r="E51" s="257" t="inlineStr">
        <is>
          <t>買</t>
        </is>
      </c>
      <c r="F51" s="229" t="inlineStr">
        <is>
          <t>-</t>
        </is>
      </c>
      <c r="G51" s="697" t="n">
        <v>3</v>
      </c>
      <c r="H51" s="697" t="n">
        <v>9904</v>
      </c>
      <c r="I51" s="697" t="n">
        <v>0</v>
      </c>
      <c r="J51" s="585" t="n">
        <v>69</v>
      </c>
      <c r="K51" s="585" t="n">
        <v>30</v>
      </c>
      <c r="L51" s="585">
        <f>IF(B51="TXO",I51-SUM(J51:K51),IF(B51="FITX",IF(D51="新倉",-SUM(J51:K51),IF(E51="賣",(H51-H50)*G51*200-SUM(J51:K51),(H50-H51)*G51*200-SUM(J51:K51))),IF(D51="新倉",-SUM(J51:K51),IF(E51="賣",(H51-H50)*G51*50-SUM(J51:K51),(H50-H51)*G51*50-SUM(J51:K51)))))</f>
        <v/>
      </c>
      <c r="M51" s="699">
        <f>L51</f>
        <v/>
      </c>
      <c r="N51" s="686">
        <f>IF(B51="TXO","",IF(D51="新倉","",IF(E51="賣",(H51-H50)*G51,(H50-H51)*G51)))</f>
        <v/>
      </c>
      <c r="O51" s="226" t="n">
        <v>0</v>
      </c>
      <c r="P51" s="667" t="n"/>
      <c r="Q51" s="249" t="inlineStr">
        <is>
          <t>技法: 碰10MA出場</t>
        </is>
      </c>
      <c r="R51" s="249" t="inlineStr">
        <is>
          <t>Yes</t>
        </is>
      </c>
      <c r="S51" s="249" t="n"/>
      <c r="T51" s="61">
        <f>IF(AND(R51="Yes",S51&lt;&gt;"Yes",L51&gt;0,B51&lt;&gt;"TXO"),L51,"")</f>
        <v/>
      </c>
      <c r="U51" s="61">
        <f>IF(AND(R51="Yes",S51&lt;&gt;"Yes",L51&lt;0,B51&lt;&gt;"TXO"),L51,"")</f>
        <v/>
      </c>
      <c r="V51" s="61">
        <f>IF(AND(R51="",S51&lt;&gt;"Yes",L51&gt;0,B51&lt;&gt;"TXO"),L51,"")</f>
        <v/>
      </c>
      <c r="W51" s="61">
        <f>IF(AND(R51="",S51&lt;&gt;"Yes",L51&lt;0,B51&lt;&gt;"TXO"),L51,"")</f>
        <v/>
      </c>
      <c r="X51" s="226">
        <f>IF(AND(R51="Yes",S51="Yes",L51&gt;0,B51&lt;&gt;"TXO"),L51,"")</f>
        <v/>
      </c>
      <c r="Y51" s="226">
        <f>IF(AND(R51="Yes",S51="Yes",L51&lt;0,B51&lt;&gt;"TXO"),L51,"")</f>
        <v/>
      </c>
      <c r="Z51" s="226">
        <f>IF(AND(R51="",S51="Yes",L51&gt;0,B51&lt;&gt;"TXO"),L51,"")</f>
        <v/>
      </c>
      <c r="AA51" s="226">
        <f>IF(AND(R51="",S51="Yes",L51&lt;0,B51&lt;&gt;"TXO"),L51,"")</f>
        <v/>
      </c>
    </row>
    <row r="52" outlineLevel="1">
      <c r="A52" s="740" t="n">
        <v>43488</v>
      </c>
      <c r="B52" s="299" t="inlineStr">
        <is>
          <t>FIMTX</t>
        </is>
      </c>
      <c r="C52" s="300" t="inlineStr">
        <is>
          <t>小指02</t>
        </is>
      </c>
      <c r="D52" s="300" t="inlineStr">
        <is>
          <t>新倉</t>
        </is>
      </c>
      <c r="E52" s="301" t="inlineStr">
        <is>
          <t>買</t>
        </is>
      </c>
      <c r="F52" s="300" t="inlineStr">
        <is>
          <t>-</t>
        </is>
      </c>
      <c r="G52" s="741" t="n">
        <v>1</v>
      </c>
      <c r="H52" s="741" t="n">
        <v>9855</v>
      </c>
      <c r="I52" s="741" t="n">
        <v>0</v>
      </c>
      <c r="J52" s="742" t="n">
        <v>23</v>
      </c>
      <c r="K52" s="742" t="n">
        <v>10</v>
      </c>
      <c r="L52" s="742">
        <f>IF(B52="TXO",I52-SUM(J52:K52),IF(B52="FITX",IF(D52="新倉",-SUM(J52:K52),IF(E52="賣",(H52-H51)*G52*200-SUM(J52:K52),(H51-H52)*G52*200-SUM(J52:K52))),IF(D52="新倉",-SUM(J52:K52),IF(E52="賣",(H52-H51)*G52*50-SUM(J52:K52),(H51-H52)*G52*50-SUM(J52:K52)))))</f>
        <v/>
      </c>
      <c r="M52" s="743">
        <f>L52</f>
        <v/>
      </c>
      <c r="N52" s="686">
        <f>IF(B52="TXO","",IF(D52="新倉","",IF(E52="賣",(H52-H51)*G52,(H51-H52)*G52)))</f>
        <v/>
      </c>
      <c r="O52" s="226" t="n">
        <v>1</v>
      </c>
      <c r="P52" s="667">
        <f>SUM(L52:L55)</f>
        <v/>
      </c>
      <c r="Q52" s="297" t="inlineStr">
        <is>
          <t>3/3 買進3口</t>
        </is>
      </c>
      <c r="R52" s="249" t="inlineStr">
        <is>
          <t>Yes</t>
        </is>
      </c>
      <c r="S52" s="249" t="inlineStr">
        <is>
          <t>Yes</t>
        </is>
      </c>
      <c r="T52" s="61">
        <f>IF(AND(R52="Yes",S52&lt;&gt;"Yes",L52&gt;0,B52&lt;&gt;"TXO"),L52,"")</f>
        <v/>
      </c>
      <c r="U52" s="61">
        <f>IF(AND(R52="Yes",S52&lt;&gt;"Yes",L52&lt;0,B52&lt;&gt;"TXO"),L52,"")</f>
        <v/>
      </c>
      <c r="V52" s="61">
        <f>IF(AND(R52="",S52&lt;&gt;"Yes",L52&gt;0,B52&lt;&gt;"TXO"),L52,"")</f>
        <v/>
      </c>
      <c r="W52" s="61">
        <f>IF(AND(R52="",S52&lt;&gt;"Yes",L52&lt;0,B52&lt;&gt;"TXO"),L52,"")</f>
        <v/>
      </c>
      <c r="X52" s="226">
        <f>IF(AND(R52="Yes",S52="Yes",L52&gt;0,B52&lt;&gt;"TXO"),L52,"")</f>
        <v/>
      </c>
      <c r="Y52" s="226">
        <f>IF(AND(R52="Yes",S52="Yes",L52&lt;0,B52&lt;&gt;"TXO"),L52,"")</f>
        <v/>
      </c>
      <c r="Z52" s="226">
        <f>IF(AND(R52="",S52="Yes",L52&gt;0,B52&lt;&gt;"TXO"),L52,"")</f>
        <v/>
      </c>
      <c r="AA52" s="226">
        <f>IF(AND(R52="",S52="Yes",L52&lt;0,B52&lt;&gt;"TXO"),L52,"")</f>
        <v/>
      </c>
    </row>
    <row r="53" outlineLevel="2" collapsed="1">
      <c r="A53" s="740" t="n">
        <v>43488</v>
      </c>
      <c r="B53" s="299" t="inlineStr">
        <is>
          <t>FIMTX</t>
        </is>
      </c>
      <c r="C53" s="300" t="inlineStr">
        <is>
          <t>小指02</t>
        </is>
      </c>
      <c r="D53" s="300" t="inlineStr">
        <is>
          <t>平倉</t>
        </is>
      </c>
      <c r="E53" s="301" t="inlineStr">
        <is>
          <t>賣</t>
        </is>
      </c>
      <c r="F53" s="300" t="inlineStr">
        <is>
          <t>-</t>
        </is>
      </c>
      <c r="G53" s="741" t="n">
        <v>1</v>
      </c>
      <c r="H53" s="741" t="n">
        <v>9846</v>
      </c>
      <c r="I53" s="741" t="n">
        <v>0</v>
      </c>
      <c r="J53" s="742" t="n">
        <v>23</v>
      </c>
      <c r="K53" s="742" t="n">
        <v>10</v>
      </c>
      <c r="L53" s="742">
        <f>IF(B53="TXO",I53-SUM(J53:K53),IF(B53="FITX",IF(D53="新倉",-SUM(J53:K53),IF(E53="賣",(H53-H52)*G53*200-SUM(J53:K53),(H52-H53)*G53*200-SUM(J53:K53))),IF(D53="新倉",-SUM(J53:K53),IF(E53="賣",(H53-H52)*G53*50-SUM(J53:K53),(H52-H53)*G53*50-SUM(J53:K53)))))</f>
        <v/>
      </c>
      <c r="M53" s="743">
        <f>L53</f>
        <v/>
      </c>
      <c r="N53" s="686">
        <f>IF(B53="TXO","",IF(D53="新倉","",IF(E53="賣",(H53-H52)*G53,(H52-H53)*G53)))</f>
        <v/>
      </c>
      <c r="O53" s="226" t="n">
        <v>2</v>
      </c>
      <c r="P53" s="667" t="n"/>
      <c r="Q53" s="249" t="inlineStr">
        <is>
          <t>技法: 碰10MA出場</t>
        </is>
      </c>
      <c r="R53" s="249" t="inlineStr">
        <is>
          <t>Yes</t>
        </is>
      </c>
      <c r="S53" s="249" t="inlineStr">
        <is>
          <t>Yes</t>
        </is>
      </c>
      <c r="T53" s="61">
        <f>IF(AND(R53="Yes",S53&lt;&gt;"Yes",L53&gt;0,B53&lt;&gt;"TXO"),L53,"")</f>
        <v/>
      </c>
      <c r="U53" s="61">
        <f>IF(AND(R53="Yes",S53&lt;&gt;"Yes",L53&lt;0,B53&lt;&gt;"TXO"),L53,"")</f>
        <v/>
      </c>
      <c r="V53" s="61">
        <f>IF(AND(R53="",S53&lt;&gt;"Yes",L53&gt;0,B53&lt;&gt;"TXO"),L53,"")</f>
        <v/>
      </c>
      <c r="W53" s="61">
        <f>IF(AND(R53="",S53&lt;&gt;"Yes",L53&lt;0,B53&lt;&gt;"TXO"),L53,"")</f>
        <v/>
      </c>
      <c r="X53" s="226">
        <f>IF(AND(R53="Yes",S53="Yes",L53&gt;0,B53&lt;&gt;"TXO"),L53,"")</f>
        <v/>
      </c>
      <c r="Y53" s="226">
        <f>IF(AND(R53="Yes",S53="Yes",L53&lt;0,B53&lt;&gt;"TXO"),L53,"")</f>
        <v/>
      </c>
      <c r="Z53" s="226">
        <f>IF(AND(R53="",S53="Yes",L53&gt;0,B53&lt;&gt;"TXO"),L53,"")</f>
        <v/>
      </c>
      <c r="AA53" s="226">
        <f>IF(AND(R53="",S53="Yes",L53&lt;0,B53&lt;&gt;"TXO"),L53,"")</f>
        <v/>
      </c>
    </row>
    <row r="54" outlineLevel="2" collapsed="1">
      <c r="A54" s="740" t="n">
        <v>43488</v>
      </c>
      <c r="B54" s="299" t="inlineStr">
        <is>
          <t>FIMTX</t>
        </is>
      </c>
      <c r="C54" s="300" t="inlineStr">
        <is>
          <t>小指02</t>
        </is>
      </c>
      <c r="D54" s="300" t="inlineStr">
        <is>
          <t>新倉</t>
        </is>
      </c>
      <c r="E54" s="301" t="inlineStr">
        <is>
          <t>買</t>
        </is>
      </c>
      <c r="F54" s="300" t="inlineStr">
        <is>
          <t>-</t>
        </is>
      </c>
      <c r="G54" s="741" t="n">
        <v>2</v>
      </c>
      <c r="H54" s="741" t="n">
        <v>9855</v>
      </c>
      <c r="I54" s="741" t="n">
        <v>0</v>
      </c>
      <c r="J54" s="742" t="n">
        <v>46</v>
      </c>
      <c r="K54" s="742" t="n">
        <v>20</v>
      </c>
      <c r="L54" s="742">
        <f>IF(B54="TXO",I54-SUM(J54:K54),IF(B54="FITX",IF(D54="新倉",-SUM(J54:K54),IF(E54="賣",(H54-H53)*G54*200-SUM(J54:K54),(H53-H54)*G54*200-SUM(J54:K54))),IF(D54="新倉",-SUM(J54:K54),IF(E54="賣",(H54-H53)*G54*50-SUM(J54:K54),(H53-H54)*G54*50-SUM(J54:K54)))))</f>
        <v/>
      </c>
      <c r="M54" s="743">
        <f>L54</f>
        <v/>
      </c>
      <c r="N54" s="686">
        <f>IF(B54="TXO","",IF(D54="新倉","",IF(E54="賣",(H54-H53)*G54,(H53-H54)*G54)))</f>
        <v/>
      </c>
      <c r="O54" s="226" t="n">
        <v>3</v>
      </c>
      <c r="P54" s="667" t="n"/>
      <c r="Q54" s="297" t="n"/>
      <c r="R54" s="249" t="inlineStr">
        <is>
          <t>Yes</t>
        </is>
      </c>
      <c r="S54" s="249" t="inlineStr">
        <is>
          <t>Yes</t>
        </is>
      </c>
      <c r="T54" s="61">
        <f>IF(AND(R54="Yes",S54&lt;&gt;"Yes",L54&gt;0,B54&lt;&gt;"TXO"),L54,"")</f>
        <v/>
      </c>
      <c r="U54" s="61">
        <f>IF(AND(R54="Yes",S54&lt;&gt;"Yes",L54&lt;0,B54&lt;&gt;"TXO"),L54,"")</f>
        <v/>
      </c>
      <c r="V54" s="61">
        <f>IF(AND(R54="",S54&lt;&gt;"Yes",L54&gt;0,B54&lt;&gt;"TXO"),L54,"")</f>
        <v/>
      </c>
      <c r="W54" s="61">
        <f>IF(AND(R54="",S54&lt;&gt;"Yes",L54&lt;0,B54&lt;&gt;"TXO"),L54,"")</f>
        <v/>
      </c>
      <c r="X54" s="226">
        <f>IF(AND(R54="Yes",S54="Yes",L54&gt;0,B54&lt;&gt;"TXO"),L54,"")</f>
        <v/>
      </c>
      <c r="Y54" s="226">
        <f>IF(AND(R54="Yes",S54="Yes",L54&lt;0,B54&lt;&gt;"TXO"),L54,"")</f>
        <v/>
      </c>
      <c r="Z54" s="226">
        <f>IF(AND(R54="",S54="Yes",L54&gt;0,B54&lt;&gt;"TXO"),L54,"")</f>
        <v/>
      </c>
      <c r="AA54" s="226">
        <f>IF(AND(R54="",S54="Yes",L54&lt;0,B54&lt;&gt;"TXO"),L54,"")</f>
        <v/>
      </c>
    </row>
    <row r="55" outlineLevel="2" collapsed="1">
      <c r="A55" s="740" t="n">
        <v>43488</v>
      </c>
      <c r="B55" s="299" t="inlineStr">
        <is>
          <t>FIMTX</t>
        </is>
      </c>
      <c r="C55" s="300" t="inlineStr">
        <is>
          <t>小指02</t>
        </is>
      </c>
      <c r="D55" s="300" t="inlineStr">
        <is>
          <t>平倉</t>
        </is>
      </c>
      <c r="E55" s="301" t="inlineStr">
        <is>
          <t>賣</t>
        </is>
      </c>
      <c r="F55" s="300" t="inlineStr">
        <is>
          <t>-</t>
        </is>
      </c>
      <c r="G55" s="741" t="n">
        <v>2</v>
      </c>
      <c r="H55" s="741" t="n">
        <v>9843</v>
      </c>
      <c r="I55" s="741" t="n">
        <v>0</v>
      </c>
      <c r="J55" s="742" t="n">
        <v>46</v>
      </c>
      <c r="K55" s="742" t="n">
        <v>20</v>
      </c>
      <c r="L55" s="742">
        <f>IF(B55="TXO",I55-SUM(J55:K55),IF(B55="FITX",IF(D55="新倉",-SUM(J55:K55),IF(E55="賣",(H55-H54)*G55*200-SUM(J55:K55),(H54-H55)*G55*200-SUM(J55:K55))),IF(D55="新倉",-SUM(J55:K55),IF(E55="賣",(H55-H54)*G55*50-SUM(J55:K55),(H54-H55)*G55*50-SUM(J55:K55)))))</f>
        <v/>
      </c>
      <c r="M55" s="743">
        <f>L55</f>
        <v/>
      </c>
      <c r="N55" s="686">
        <f>IF(B55="TXO","",IF(D55="新倉","",IF(E55="賣",(H55-H54)*G55,(H54-H55)*G55)))</f>
        <v/>
      </c>
      <c r="O55" s="226" t="n">
        <v>4</v>
      </c>
      <c r="P55" s="667" t="n"/>
      <c r="Q55" s="249" t="inlineStr">
        <is>
          <t>技法: 碰10MA出場</t>
        </is>
      </c>
      <c r="R55" s="249" t="inlineStr">
        <is>
          <t>Yes</t>
        </is>
      </c>
      <c r="S55" s="249" t="inlineStr">
        <is>
          <t>Yes</t>
        </is>
      </c>
      <c r="T55" s="61">
        <f>IF(AND(R55="Yes",S55&lt;&gt;"Yes",L55&gt;0,B55&lt;&gt;"TXO"),L55,"")</f>
        <v/>
      </c>
      <c r="U55" s="61">
        <f>IF(AND(R55="Yes",S55&lt;&gt;"Yes",L55&lt;0,B55&lt;&gt;"TXO"),L55,"")</f>
        <v/>
      </c>
      <c r="V55" s="61">
        <f>IF(AND(R55="",S55&lt;&gt;"Yes",L55&gt;0,B55&lt;&gt;"TXO"),L55,"")</f>
        <v/>
      </c>
      <c r="W55" s="61">
        <f>IF(AND(R55="",S55&lt;&gt;"Yes",L55&lt;0,B55&lt;&gt;"TXO"),L55,"")</f>
        <v/>
      </c>
      <c r="X55" s="226">
        <f>IF(AND(R55="Yes",S55="Yes",L55&gt;0,B55&lt;&gt;"TXO"),L55,"")</f>
        <v/>
      </c>
      <c r="Y55" s="226">
        <f>IF(AND(R55="Yes",S55="Yes",L55&lt;0,B55&lt;&gt;"TXO"),L55,"")</f>
        <v/>
      </c>
      <c r="Z55" s="226">
        <f>IF(AND(R55="",S55="Yes",L55&gt;0,B55&lt;&gt;"TXO"),L55,"")</f>
        <v/>
      </c>
      <c r="AA55" s="226">
        <f>IF(AND(R55="",S55="Yes",L55&lt;0,B55&lt;&gt;"TXO"),L55,"")</f>
        <v/>
      </c>
    </row>
    <row r="56" outlineLevel="1">
      <c r="A56" s="696" t="n">
        <v>43489</v>
      </c>
      <c r="B56" s="234" t="inlineStr">
        <is>
          <t>FIMTX</t>
        </is>
      </c>
      <c r="C56" s="229" t="inlineStr">
        <is>
          <t>小指02</t>
        </is>
      </c>
      <c r="D56" s="229" t="inlineStr">
        <is>
          <t>新倉</t>
        </is>
      </c>
      <c r="E56" s="257" t="inlineStr">
        <is>
          <t>賣</t>
        </is>
      </c>
      <c r="F56" s="229" t="inlineStr">
        <is>
          <t>-</t>
        </is>
      </c>
      <c r="G56" s="697" t="n">
        <v>3</v>
      </c>
      <c r="H56" s="697" t="n">
        <v>9832</v>
      </c>
      <c r="I56" s="697" t="n">
        <v>0</v>
      </c>
      <c r="J56" s="585" t="n">
        <v>69</v>
      </c>
      <c r="K56" s="585" t="n">
        <v>30</v>
      </c>
      <c r="L56" s="585">
        <f>IF(B56="TXO",I56-SUM(J56:K56),IF(B56="FITX",IF(D56="新倉",-SUM(J56:K56),IF(E56="賣",(H56-H55)*G56*200-SUM(J56:K56),(H55-H56)*G56*200-SUM(J56:K56))),IF(D56="新倉",-SUM(J56:K56),IF(E56="賣",(H56-H55)*G56*50-SUM(J56:K56),(H55-H56)*G56*50-SUM(J56:K56)))))</f>
        <v/>
      </c>
      <c r="M56" s="699">
        <f>L56</f>
        <v/>
      </c>
      <c r="N56" s="686">
        <f>IF(B56="TXO","",IF(D56="新倉","",IF(E56="賣",(H56-H55)*G56,(H55-H56)*G56)))</f>
        <v/>
      </c>
      <c r="O56" s="226" t="n">
        <v>0</v>
      </c>
      <c r="P56" s="667">
        <f>SUM(L56:L61)</f>
        <v/>
      </c>
      <c r="Q56" s="249" t="inlineStr">
        <is>
          <t>追跌</t>
        </is>
      </c>
      <c r="S56" s="249" t="n"/>
      <c r="T56" s="61">
        <f>IF(AND(R56="Yes",S56&lt;&gt;"Yes",L56&gt;0,B56&lt;&gt;"TXO"),L56,"")</f>
        <v/>
      </c>
      <c r="U56" s="61">
        <f>IF(AND(R56="Yes",S56&lt;&gt;"Yes",L56&lt;0,B56&lt;&gt;"TXO"),L56,"")</f>
        <v/>
      </c>
      <c r="V56" s="61">
        <f>IF(AND(R56="",S56&lt;&gt;"Yes",L56&gt;0,B56&lt;&gt;"TXO"),L56,"")</f>
        <v/>
      </c>
      <c r="W56" s="61">
        <f>IF(AND(R56="",S56&lt;&gt;"Yes",L56&lt;0,B56&lt;&gt;"TXO"),L56,"")</f>
        <v/>
      </c>
      <c r="X56" s="226">
        <f>IF(AND(R56="Yes",S56="Yes",L56&gt;0,B56&lt;&gt;"TXO"),L56,"")</f>
        <v/>
      </c>
      <c r="Y56" s="226">
        <f>IF(AND(R56="Yes",S56="Yes",L56&lt;0,B56&lt;&gt;"TXO"),L56,"")</f>
        <v/>
      </c>
      <c r="Z56" s="226">
        <f>IF(AND(R56="",S56="Yes",L56&gt;0,B56&lt;&gt;"TXO"),L56,"")</f>
        <v/>
      </c>
      <c r="AA56" s="226">
        <f>IF(AND(R56="",S56="Yes",L56&lt;0,B56&lt;&gt;"TXO"),L56,"")</f>
        <v/>
      </c>
    </row>
    <row r="57" outlineLevel="2">
      <c r="A57" s="696" t="n">
        <v>43489</v>
      </c>
      <c r="B57" s="234" t="inlineStr">
        <is>
          <t>FIMTX</t>
        </is>
      </c>
      <c r="C57" s="229" t="inlineStr">
        <is>
          <t>小指02</t>
        </is>
      </c>
      <c r="D57" s="229" t="inlineStr">
        <is>
          <t>平倉</t>
        </is>
      </c>
      <c r="E57" s="257" t="inlineStr">
        <is>
          <t>買</t>
        </is>
      </c>
      <c r="F57" s="229" t="inlineStr">
        <is>
          <t>-</t>
        </is>
      </c>
      <c r="G57" s="697" t="n">
        <v>3</v>
      </c>
      <c r="H57" s="697" t="n">
        <v>9847</v>
      </c>
      <c r="I57" s="697" t="n">
        <v>0</v>
      </c>
      <c r="J57" s="585" t="n">
        <v>69</v>
      </c>
      <c r="K57" s="585" t="n">
        <v>30</v>
      </c>
      <c r="L57" s="585">
        <f>IF(B57="TXO",I57-SUM(J57:K57),IF(B57="FITX",IF(D57="新倉",-SUM(J57:K57),IF(E57="賣",(H57-H56)*G57*200-SUM(J57:K57),(H56-H57)*G57*200-SUM(J57:K57))),IF(D57="新倉",-SUM(J57:K57),IF(E57="賣",(H57-H56)*G57*50-SUM(J57:K57),(H56-H57)*G57*50-SUM(J57:K57)))))</f>
        <v/>
      </c>
      <c r="M57" s="699">
        <f>L57</f>
        <v/>
      </c>
      <c r="N57" s="686">
        <f>IF(B57="TXO","",IF(D57="新倉","",IF(E57="賣",(H57-H56)*G57,(H56-H57)*G57)))</f>
        <v/>
      </c>
      <c r="O57" s="226" t="n">
        <v>0</v>
      </c>
      <c r="P57" s="667" t="n"/>
      <c r="Q57" s="249" t="inlineStr">
        <is>
          <t>15點停損</t>
        </is>
      </c>
      <c r="S57" s="249" t="n"/>
      <c r="T57" s="61">
        <f>IF(AND(R57="Yes",S57&lt;&gt;"Yes",L57&gt;0,B57&lt;&gt;"TXO"),L57,"")</f>
        <v/>
      </c>
      <c r="U57" s="61">
        <f>IF(AND(R57="Yes",S57&lt;&gt;"Yes",L57&lt;0,B57&lt;&gt;"TXO"),L57,"")</f>
        <v/>
      </c>
      <c r="V57" s="61">
        <f>IF(AND(R57="",S57&lt;&gt;"Yes",L57&gt;0,B57&lt;&gt;"TXO"),L57,"")</f>
        <v/>
      </c>
      <c r="W57" s="61">
        <f>IF(AND(R57="",S57&lt;&gt;"Yes",L57&lt;0,B57&lt;&gt;"TXO"),L57,"")</f>
        <v/>
      </c>
      <c r="X57" s="226">
        <f>IF(AND(R57="Yes",S57="Yes",L57&gt;0,B57&lt;&gt;"TXO"),L57,"")</f>
        <v/>
      </c>
      <c r="Y57" s="226">
        <f>IF(AND(R57="Yes",S57="Yes",L57&lt;0,B57&lt;&gt;"TXO"),L57,"")</f>
        <v/>
      </c>
      <c r="Z57" s="226">
        <f>IF(AND(R57="",S57="Yes",L57&gt;0,B57&lt;&gt;"TXO"),L57,"")</f>
        <v/>
      </c>
      <c r="AA57" s="226">
        <f>IF(AND(R57="",S57="Yes",L57&lt;0,B57&lt;&gt;"TXO"),L57,"")</f>
        <v/>
      </c>
    </row>
    <row r="58" outlineLevel="2">
      <c r="A58" s="696" t="n">
        <v>43489</v>
      </c>
      <c r="B58" s="234" t="inlineStr">
        <is>
          <t>FIMTX</t>
        </is>
      </c>
      <c r="C58" s="229" t="inlineStr">
        <is>
          <t>小指02</t>
        </is>
      </c>
      <c r="D58" s="229" t="inlineStr">
        <is>
          <t>新倉</t>
        </is>
      </c>
      <c r="E58" s="257" t="inlineStr">
        <is>
          <t>賣</t>
        </is>
      </c>
      <c r="F58" s="229" t="inlineStr">
        <is>
          <t>-</t>
        </is>
      </c>
      <c r="G58" s="697" t="n">
        <v>3</v>
      </c>
      <c r="H58" s="697" t="n">
        <v>9831</v>
      </c>
      <c r="I58" s="697" t="n">
        <v>0</v>
      </c>
      <c r="J58" s="585" t="n">
        <v>69</v>
      </c>
      <c r="K58" s="585" t="n">
        <v>30</v>
      </c>
      <c r="L58" s="585">
        <f>IF(B58="TXO",I58-SUM(J58:K58),IF(B58="FITX",IF(D58="新倉",-SUM(J58:K58),IF(E58="賣",(H58-H57)*G58*200-SUM(J58:K58),(H57-H58)*G58*200-SUM(J58:K58))),IF(D58="新倉",-SUM(J58:K58),IF(E58="賣",(H58-H57)*G58*50-SUM(J58:K58),(H57-H58)*G58*50-SUM(J58:K58)))))</f>
        <v/>
      </c>
      <c r="M58" s="699">
        <f>L58</f>
        <v/>
      </c>
      <c r="N58" s="686">
        <f>IF(B58="TXO","",IF(D58="新倉","",IF(E58="賣",(H58-H57)*G58,(H57-H58)*G58)))</f>
        <v/>
      </c>
      <c r="O58" s="226" t="n">
        <v>0</v>
      </c>
      <c r="P58" s="667" t="n"/>
      <c r="Q58" s="249" t="inlineStr">
        <is>
          <t>追跌</t>
        </is>
      </c>
      <c r="S58" s="249" t="n"/>
      <c r="T58" s="61">
        <f>IF(AND(R58="Yes",S58&lt;&gt;"Yes",L58&gt;0,B58&lt;&gt;"TXO"),L58,"")</f>
        <v/>
      </c>
      <c r="U58" s="61">
        <f>IF(AND(R58="Yes",S58&lt;&gt;"Yes",L58&lt;0,B58&lt;&gt;"TXO"),L58,"")</f>
        <v/>
      </c>
      <c r="V58" s="61">
        <f>IF(AND(R58="",S58&lt;&gt;"Yes",L58&gt;0,B58&lt;&gt;"TXO"),L58,"")</f>
        <v/>
      </c>
      <c r="W58" s="61">
        <f>IF(AND(R58="",S58&lt;&gt;"Yes",L58&lt;0,B58&lt;&gt;"TXO"),L58,"")</f>
        <v/>
      </c>
      <c r="X58" s="226">
        <f>IF(AND(R58="Yes",S58="Yes",L58&gt;0,B58&lt;&gt;"TXO"),L58,"")</f>
        <v/>
      </c>
      <c r="Y58" s="226">
        <f>IF(AND(R58="Yes",S58="Yes",L58&lt;0,B58&lt;&gt;"TXO"),L58,"")</f>
        <v/>
      </c>
      <c r="Z58" s="226">
        <f>IF(AND(R58="",S58="Yes",L58&gt;0,B58&lt;&gt;"TXO"),L58,"")</f>
        <v/>
      </c>
      <c r="AA58" s="226">
        <f>IF(AND(R58="",S58="Yes",L58&lt;0,B58&lt;&gt;"TXO"),L58,"")</f>
        <v/>
      </c>
    </row>
    <row r="59" outlineLevel="2">
      <c r="A59" s="696" t="n">
        <v>43489</v>
      </c>
      <c r="B59" s="234" t="inlineStr">
        <is>
          <t>FIMTX</t>
        </is>
      </c>
      <c r="C59" s="229" t="inlineStr">
        <is>
          <t>小指02</t>
        </is>
      </c>
      <c r="D59" s="229" t="inlineStr">
        <is>
          <t>平倉</t>
        </is>
      </c>
      <c r="E59" s="257" t="inlineStr">
        <is>
          <t>買</t>
        </is>
      </c>
      <c r="F59" s="229" t="inlineStr">
        <is>
          <t>-</t>
        </is>
      </c>
      <c r="G59" s="697" t="n">
        <v>3</v>
      </c>
      <c r="H59" s="697" t="n">
        <v>9826</v>
      </c>
      <c r="I59" s="697" t="n">
        <v>0</v>
      </c>
      <c r="J59" s="585" t="n">
        <v>69</v>
      </c>
      <c r="K59" s="585" t="n">
        <v>30</v>
      </c>
      <c r="L59" s="585">
        <f>IF(B59="TXO",I59-SUM(J59:K59),IF(B59="FITX",IF(D59="新倉",-SUM(J59:K59),IF(E59="賣",(H59-H58)*G59*200-SUM(J59:K59),(H58-H59)*G59*200-SUM(J59:K59))),IF(D59="新倉",-SUM(J59:K59),IF(E59="賣",(H59-H58)*G59*50-SUM(J59:K59),(H58-H59)*G59*50-SUM(J59:K59)))))</f>
        <v/>
      </c>
      <c r="M59" s="699">
        <f>L59</f>
        <v/>
      </c>
      <c r="N59" s="686">
        <f>IF(B59="TXO","",IF(D59="新倉","",IF(E59="賣",(H59-H58)*G59,(H58-H59)*G59)))</f>
        <v/>
      </c>
      <c r="O59" s="226" t="n">
        <v>0</v>
      </c>
      <c r="P59" s="667" t="n"/>
      <c r="Q59" s="249" t="inlineStr">
        <is>
          <t>元大移動式停利</t>
        </is>
      </c>
      <c r="S59" s="249" t="n"/>
      <c r="T59" s="61">
        <f>IF(AND(R59="Yes",S59&lt;&gt;"Yes",L59&gt;0,B59&lt;&gt;"TXO"),L59,"")</f>
        <v/>
      </c>
      <c r="U59" s="61">
        <f>IF(AND(R59="Yes",S59&lt;&gt;"Yes",L59&lt;0,B59&lt;&gt;"TXO"),L59,"")</f>
        <v/>
      </c>
      <c r="V59" s="61">
        <f>IF(AND(R59="",S59&lt;&gt;"Yes",L59&gt;0,B59&lt;&gt;"TXO"),L59,"")</f>
        <v/>
      </c>
      <c r="W59" s="61">
        <f>IF(AND(R59="",S59&lt;&gt;"Yes",L59&lt;0,B59&lt;&gt;"TXO"),L59,"")</f>
        <v/>
      </c>
      <c r="X59" s="226">
        <f>IF(AND(R59="Yes",S59="Yes",L59&gt;0,B59&lt;&gt;"TXO"),L59,"")</f>
        <v/>
      </c>
      <c r="Y59" s="226">
        <f>IF(AND(R59="Yes",S59="Yes",L59&lt;0,B59&lt;&gt;"TXO"),L59,"")</f>
        <v/>
      </c>
      <c r="Z59" s="226">
        <f>IF(AND(R59="",S59="Yes",L59&gt;0,B59&lt;&gt;"TXO"),L59,"")</f>
        <v/>
      </c>
      <c r="AA59" s="226">
        <f>IF(AND(R59="",S59="Yes",L59&lt;0,B59&lt;&gt;"TXO"),L59,"")</f>
        <v/>
      </c>
    </row>
    <row r="60" outlineLevel="2">
      <c r="A60" s="696" t="n">
        <v>43489</v>
      </c>
      <c r="B60" s="234" t="inlineStr">
        <is>
          <t>FIMTX</t>
        </is>
      </c>
      <c r="C60" s="229" t="inlineStr">
        <is>
          <t>小指02</t>
        </is>
      </c>
      <c r="D60" s="229" t="inlineStr">
        <is>
          <t>新倉</t>
        </is>
      </c>
      <c r="E60" s="257" t="inlineStr">
        <is>
          <t>賣</t>
        </is>
      </c>
      <c r="F60" s="229" t="inlineStr">
        <is>
          <t>-</t>
        </is>
      </c>
      <c r="G60" s="697" t="n">
        <v>3</v>
      </c>
      <c r="H60" s="697" t="n">
        <v>9830</v>
      </c>
      <c r="I60" s="697" t="n">
        <v>0</v>
      </c>
      <c r="J60" s="585" t="n">
        <v>69</v>
      </c>
      <c r="K60" s="585" t="n">
        <v>30</v>
      </c>
      <c r="L60" s="585">
        <f>IF(B60="TXO",I60-SUM(J60:K60),IF(B60="FITX",IF(D60="新倉",-SUM(J60:K60),IF(E60="賣",(H60-H59)*G60*200-SUM(J60:K60),(H59-H60)*G60*200-SUM(J60:K60))),IF(D60="新倉",-SUM(J60:K60),IF(E60="賣",(H60-H59)*G60*50-SUM(J60:K60),(H59-H60)*G60*50-SUM(J60:K60)))))</f>
        <v/>
      </c>
      <c r="M60" s="699">
        <f>L60</f>
        <v/>
      </c>
      <c r="N60" s="686">
        <f>IF(B60="TXO","",IF(D60="新倉","",IF(E60="賣",(H60-H59)*G60,(H59-H60)*G60)))</f>
        <v/>
      </c>
      <c r="O60" s="226" t="n">
        <v>0</v>
      </c>
      <c r="P60" s="667" t="n"/>
      <c r="Q60" s="297" t="inlineStr">
        <is>
          <t>3/3 買進3口</t>
        </is>
      </c>
      <c r="R60" s="249" t="inlineStr">
        <is>
          <t>Yes</t>
        </is>
      </c>
      <c r="S60" s="249" t="n"/>
      <c r="T60" s="61">
        <f>IF(AND(R60="Yes",S60&lt;&gt;"Yes",L60&gt;0,B60&lt;&gt;"TXO"),L60,"")</f>
        <v/>
      </c>
      <c r="U60" s="61">
        <f>IF(AND(R60="Yes",S60&lt;&gt;"Yes",L60&lt;0,B60&lt;&gt;"TXO"),L60,"")</f>
        <v/>
      </c>
      <c r="V60" s="61">
        <f>IF(AND(R60="",S60&lt;&gt;"Yes",L60&gt;0,B60&lt;&gt;"TXO"),L60,"")</f>
        <v/>
      </c>
      <c r="W60" s="61">
        <f>IF(AND(R60="",S60&lt;&gt;"Yes",L60&lt;0,B60&lt;&gt;"TXO"),L60,"")</f>
        <v/>
      </c>
      <c r="X60" s="226">
        <f>IF(AND(R60="Yes",S60="Yes",L60&gt;0,B60&lt;&gt;"TXO"),L60,"")</f>
        <v/>
      </c>
      <c r="Y60" s="226">
        <f>IF(AND(R60="Yes",S60="Yes",L60&lt;0,B60&lt;&gt;"TXO"),L60,"")</f>
        <v/>
      </c>
      <c r="Z60" s="226">
        <f>IF(AND(R60="",S60="Yes",L60&gt;0,B60&lt;&gt;"TXO"),L60,"")</f>
        <v/>
      </c>
      <c r="AA60" s="226">
        <f>IF(AND(R60="",S60="Yes",L60&lt;0,B60&lt;&gt;"TXO"),L60,"")</f>
        <v/>
      </c>
    </row>
    <row r="61" outlineLevel="2">
      <c r="A61" s="696" t="n">
        <v>43489</v>
      </c>
      <c r="B61" s="234" t="inlineStr">
        <is>
          <t>FIMTX</t>
        </is>
      </c>
      <c r="C61" s="229" t="inlineStr">
        <is>
          <t>小指02</t>
        </is>
      </c>
      <c r="D61" s="229" t="inlineStr">
        <is>
          <t>平倉</t>
        </is>
      </c>
      <c r="E61" s="257" t="inlineStr">
        <is>
          <t>買</t>
        </is>
      </c>
      <c r="F61" s="229" t="inlineStr">
        <is>
          <t>-</t>
        </is>
      </c>
      <c r="G61" s="697" t="n">
        <v>3</v>
      </c>
      <c r="H61" s="697" t="n">
        <v>9840</v>
      </c>
      <c r="I61" s="697" t="n">
        <v>0</v>
      </c>
      <c r="J61" s="585" t="n">
        <v>69</v>
      </c>
      <c r="K61" s="585" t="n">
        <v>30</v>
      </c>
      <c r="L61" s="585">
        <f>IF(B61="TXO",I61-SUM(J61:K61),IF(B61="FITX",IF(D61="新倉",-SUM(J61:K61),IF(E61="賣",(H61-H60)*G61*200-SUM(J61:K61),(H60-H61)*G61*200-SUM(J61:K61))),IF(D61="新倉",-SUM(J61:K61),IF(E61="賣",(H61-H60)*G61*50-SUM(J61:K61),(H60-H61)*G61*50-SUM(J61:K61)))))</f>
        <v/>
      </c>
      <c r="M61" s="699">
        <f>L61</f>
        <v/>
      </c>
      <c r="N61" s="686">
        <f>IF(B61="TXO","",IF(D61="新倉","",IF(E61="賣",(H61-H60)*G61,(H60-H61)*G61)))</f>
        <v/>
      </c>
      <c r="O61" s="226" t="n">
        <v>0</v>
      </c>
      <c r="P61" s="667" t="n"/>
      <c r="Q61" s="249" t="inlineStr">
        <is>
          <t>技法: 碰10MA出場</t>
        </is>
      </c>
      <c r="R61" s="249" t="inlineStr">
        <is>
          <t>Yes</t>
        </is>
      </c>
      <c r="S61" s="249" t="n"/>
      <c r="T61" s="61">
        <f>IF(AND(R61="Yes",S61&lt;&gt;"Yes",L61&gt;0,B61&lt;&gt;"TXO"),L61,"")</f>
        <v/>
      </c>
      <c r="U61" s="61">
        <f>IF(AND(R61="Yes",S61&lt;&gt;"Yes",L61&lt;0,B61&lt;&gt;"TXO"),L61,"")</f>
        <v/>
      </c>
      <c r="V61" s="61">
        <f>IF(AND(R61="",S61&lt;&gt;"Yes",L61&gt;0,B61&lt;&gt;"TXO"),L61,"")</f>
        <v/>
      </c>
      <c r="W61" s="61">
        <f>IF(AND(R61="",S61&lt;&gt;"Yes",L61&lt;0,B61&lt;&gt;"TXO"),L61,"")</f>
        <v/>
      </c>
      <c r="X61" s="226">
        <f>IF(AND(R61="Yes",S61="Yes",L61&gt;0,B61&lt;&gt;"TXO"),L61,"")</f>
        <v/>
      </c>
      <c r="Y61" s="226">
        <f>IF(AND(R61="Yes",S61="Yes",L61&lt;0,B61&lt;&gt;"TXO"),L61,"")</f>
        <v/>
      </c>
      <c r="Z61" s="226">
        <f>IF(AND(R61="",S61="Yes",L61&gt;0,B61&lt;&gt;"TXO"),L61,"")</f>
        <v/>
      </c>
      <c r="AA61" s="226">
        <f>IF(AND(R61="",S61="Yes",L61&lt;0,B61&lt;&gt;"TXO"),L61,"")</f>
        <v/>
      </c>
    </row>
    <row r="62" outlineLevel="1">
      <c r="A62" s="740" t="n">
        <v>43495</v>
      </c>
      <c r="B62" s="299" t="inlineStr">
        <is>
          <t>FIMTX</t>
        </is>
      </c>
      <c r="C62" s="300" t="inlineStr">
        <is>
          <t>小指02</t>
        </is>
      </c>
      <c r="D62" s="300" t="inlineStr">
        <is>
          <t>新倉</t>
        </is>
      </c>
      <c r="E62" s="301" t="inlineStr">
        <is>
          <t>賣</t>
        </is>
      </c>
      <c r="F62" s="300" t="inlineStr">
        <is>
          <t>-</t>
        </is>
      </c>
      <c r="G62" s="741" t="n">
        <v>2</v>
      </c>
      <c r="H62" s="741" t="n">
        <v>9912</v>
      </c>
      <c r="I62" s="741" t="n">
        <v>0</v>
      </c>
      <c r="J62" s="742" t="n">
        <v>46</v>
      </c>
      <c r="K62" s="742" t="n">
        <v>20</v>
      </c>
      <c r="L62" s="742">
        <f>IF(B62="TXO",I62-SUM(J62:K62),IF(B62="FITX",IF(D62="新倉",-SUM(J62:K62),IF(E62="賣",(H62-H61)*G62*200-SUM(J62:K62),(H61-H62)*G62*200-SUM(J62:K62))),IF(D62="新倉",-SUM(J62:K62),IF(E62="賣",(H62-H61)*G62*50-SUM(J62:K62),(H61-H62)*G62*50-SUM(J62:K62)))))</f>
        <v/>
      </c>
      <c r="M62" s="743">
        <f>L62</f>
        <v/>
      </c>
      <c r="N62" s="686">
        <f>IF(B62="TXO","",IF(D62="新倉","",IF(E62="賣",(H62-H61)*G62,(H61-H62)*G62)))</f>
        <v/>
      </c>
      <c r="O62" s="226" t="n">
        <v>1</v>
      </c>
      <c r="P62" s="667">
        <f>SUM(L62:L65)</f>
        <v/>
      </c>
      <c r="Q62" s="297" t="inlineStr">
        <is>
          <t>3/3 買進2口</t>
        </is>
      </c>
      <c r="R62" s="249" t="inlineStr">
        <is>
          <t>Yes</t>
        </is>
      </c>
      <c r="S62" s="249" t="n"/>
      <c r="T62" s="61">
        <f>IF(AND(R62="Yes",S62&lt;&gt;"Yes",L62&gt;0,B62&lt;&gt;"TXO"),L62,"")</f>
        <v/>
      </c>
      <c r="U62" s="61">
        <f>IF(AND(R62="Yes",S62&lt;&gt;"Yes",L62&lt;0,B62&lt;&gt;"TXO"),L62,"")</f>
        <v/>
      </c>
      <c r="V62" s="61">
        <f>IF(AND(R62="",S62&lt;&gt;"Yes",L62&gt;0,B62&lt;&gt;"TXO"),L62,"")</f>
        <v/>
      </c>
      <c r="W62" s="61">
        <f>IF(AND(R62="",S62&lt;&gt;"Yes",L62&lt;0,B62&lt;&gt;"TXO"),L62,"")</f>
        <v/>
      </c>
      <c r="X62" s="226">
        <f>IF(AND(R62="Yes",S62="Yes",L62&gt;0,B62&lt;&gt;"TXO"),L62,"")</f>
        <v/>
      </c>
      <c r="Y62" s="226">
        <f>IF(AND(R62="Yes",S62="Yes",L62&lt;0,B62&lt;&gt;"TXO"),L62,"")</f>
        <v/>
      </c>
      <c r="Z62" s="226">
        <f>IF(AND(R62="",S62="Yes",L62&gt;0,B62&lt;&gt;"TXO"),L62,"")</f>
        <v/>
      </c>
      <c r="AA62" s="226">
        <f>IF(AND(R62="",S62="Yes",L62&lt;0,B62&lt;&gt;"TXO"),L62,"")</f>
        <v/>
      </c>
    </row>
    <row r="63" outlineLevel="2" collapsed="1">
      <c r="A63" s="740" t="n">
        <v>43495</v>
      </c>
      <c r="B63" s="299" t="inlineStr">
        <is>
          <t>FIMTX</t>
        </is>
      </c>
      <c r="C63" s="300" t="inlineStr">
        <is>
          <t>小指02</t>
        </is>
      </c>
      <c r="D63" s="300" t="inlineStr">
        <is>
          <t>平倉</t>
        </is>
      </c>
      <c r="E63" s="301" t="inlineStr">
        <is>
          <t>買</t>
        </is>
      </c>
      <c r="F63" s="300" t="inlineStr">
        <is>
          <t>-</t>
        </is>
      </c>
      <c r="G63" s="741" t="n">
        <v>2</v>
      </c>
      <c r="H63" s="741" t="n">
        <v>9916</v>
      </c>
      <c r="I63" s="741" t="n">
        <v>0</v>
      </c>
      <c r="J63" s="742" t="n">
        <v>46</v>
      </c>
      <c r="K63" s="742" t="n">
        <v>20</v>
      </c>
      <c r="L63" s="742">
        <f>IF(B63="TXO",I63-SUM(J63:K63),IF(B63="FITX",IF(D63="新倉",-SUM(J63:K63),IF(E63="賣",(H63-H62)*G63*200-SUM(J63:K63),(H62-H63)*G63*200-SUM(J63:K63))),IF(D63="新倉",-SUM(J63:K63),IF(E63="賣",(H63-H62)*G63*50-SUM(J63:K63),(H62-H63)*G63*50-SUM(J63:K63)))))</f>
        <v/>
      </c>
      <c r="M63" s="743">
        <f>L63</f>
        <v/>
      </c>
      <c r="N63" s="686">
        <f>IF(B63="TXO","",IF(D63="新倉","",IF(E63="賣",(H63-H62)*G63,(H62-H63)*G63)))</f>
        <v/>
      </c>
      <c r="O63" s="226" t="n">
        <v>2</v>
      </c>
      <c r="P63" s="667" t="n"/>
      <c r="Q63" s="249" t="inlineStr">
        <is>
          <t>技法: 碰10MA出場</t>
        </is>
      </c>
      <c r="R63" s="249" t="inlineStr">
        <is>
          <t>Yes</t>
        </is>
      </c>
      <c r="S63" s="249" t="n"/>
      <c r="T63" s="61">
        <f>IF(AND(R63="Yes",S63&lt;&gt;"Yes",L63&gt;0,B63&lt;&gt;"TXO"),L63,"")</f>
        <v/>
      </c>
      <c r="U63" s="61">
        <f>IF(AND(R63="Yes",S63&lt;&gt;"Yes",L63&lt;0,B63&lt;&gt;"TXO"),L63,"")</f>
        <v/>
      </c>
      <c r="V63" s="61">
        <f>IF(AND(R63="",S63&lt;&gt;"Yes",L63&gt;0,B63&lt;&gt;"TXO"),L63,"")</f>
        <v/>
      </c>
      <c r="W63" s="61">
        <f>IF(AND(R63="",S63&lt;&gt;"Yes",L63&lt;0,B63&lt;&gt;"TXO"),L63,"")</f>
        <v/>
      </c>
      <c r="X63" s="226">
        <f>IF(AND(R63="Yes",S63="Yes",L63&gt;0,B63&lt;&gt;"TXO"),L63,"")</f>
        <v/>
      </c>
      <c r="Y63" s="226">
        <f>IF(AND(R63="Yes",S63="Yes",L63&lt;0,B63&lt;&gt;"TXO"),L63,"")</f>
        <v/>
      </c>
      <c r="Z63" s="226">
        <f>IF(AND(R63="",S63="Yes",L63&gt;0,B63&lt;&gt;"TXO"),L63,"")</f>
        <v/>
      </c>
      <c r="AA63" s="226">
        <f>IF(AND(R63="",S63="Yes",L63&lt;0,B63&lt;&gt;"TXO"),L63,"")</f>
        <v/>
      </c>
    </row>
    <row r="64" outlineLevel="2" collapsed="1">
      <c r="A64" s="740" t="n">
        <v>43495</v>
      </c>
      <c r="B64" s="299" t="inlineStr">
        <is>
          <t>FIMTX</t>
        </is>
      </c>
      <c r="C64" s="300" t="inlineStr">
        <is>
          <t>小指02</t>
        </is>
      </c>
      <c r="D64" s="300" t="inlineStr">
        <is>
          <t>新倉</t>
        </is>
      </c>
      <c r="E64" s="301" t="inlineStr">
        <is>
          <t>買</t>
        </is>
      </c>
      <c r="F64" s="300" t="inlineStr">
        <is>
          <t>-</t>
        </is>
      </c>
      <c r="G64" s="741" t="n">
        <v>2</v>
      </c>
      <c r="H64" s="741" t="n">
        <v>9932</v>
      </c>
      <c r="I64" s="741" t="n">
        <v>0</v>
      </c>
      <c r="J64" s="742" t="n">
        <v>46</v>
      </c>
      <c r="K64" s="742" t="n">
        <v>20</v>
      </c>
      <c r="L64" s="742">
        <f>IF(B64="TXO",I64-SUM(J64:K64),IF(B64="FITX",IF(D64="新倉",-SUM(J64:K64),IF(E64="賣",(H64-H63)*G64*200-SUM(J64:K64),(H63-H64)*G64*200-SUM(J64:K64))),IF(D64="新倉",-SUM(J64:K64),IF(E64="賣",(H64-H63)*G64*50-SUM(J64:K64),(H63-H64)*G64*50-SUM(J64:K64)))))</f>
        <v/>
      </c>
      <c r="M64" s="743">
        <f>L64</f>
        <v/>
      </c>
      <c r="N64" s="686">
        <f>IF(B64="TXO","",IF(D64="新倉","",IF(E64="賣",(H64-H63)*G64,(H63-H64)*G64)))</f>
        <v/>
      </c>
      <c r="O64" s="226" t="n">
        <v>3</v>
      </c>
      <c r="P64" s="667" t="n"/>
      <c r="Q64" s="297" t="inlineStr">
        <is>
          <t>3/3 買進2口</t>
        </is>
      </c>
      <c r="R64" s="249" t="inlineStr">
        <is>
          <t>Yes</t>
        </is>
      </c>
      <c r="S64" s="249" t="inlineStr">
        <is>
          <t>Yes</t>
        </is>
      </c>
      <c r="T64" s="61">
        <f>IF(AND(R64="Yes",S64&lt;&gt;"Yes",L64&gt;0,B64&lt;&gt;"TXO"),L64,"")</f>
        <v/>
      </c>
      <c r="U64" s="61">
        <f>IF(AND(R64="Yes",S64&lt;&gt;"Yes",L64&lt;0,B64&lt;&gt;"TXO"),L64,"")</f>
        <v/>
      </c>
      <c r="V64" s="61">
        <f>IF(AND(R64="",S64&lt;&gt;"Yes",L64&gt;0,B64&lt;&gt;"TXO"),L64,"")</f>
        <v/>
      </c>
      <c r="W64" s="61">
        <f>IF(AND(R64="",S64&lt;&gt;"Yes",L64&lt;0,B64&lt;&gt;"TXO"),L64,"")</f>
        <v/>
      </c>
      <c r="X64" s="226">
        <f>IF(AND(R64="Yes",S64="Yes",L64&gt;0,B64&lt;&gt;"TXO"),L64,"")</f>
        <v/>
      </c>
      <c r="Y64" s="226">
        <f>IF(AND(R64="Yes",S64="Yes",L64&lt;0,B64&lt;&gt;"TXO"),L64,"")</f>
        <v/>
      </c>
      <c r="Z64" s="226">
        <f>IF(AND(R64="",S64="Yes",L64&gt;0,B64&lt;&gt;"TXO"),L64,"")</f>
        <v/>
      </c>
      <c r="AA64" s="226">
        <f>IF(AND(R64="",S64="Yes",L64&lt;0,B64&lt;&gt;"TXO"),L64,"")</f>
        <v/>
      </c>
    </row>
    <row r="65" outlineLevel="2" collapsed="1" ht="17.25" customHeight="1" thickBot="1">
      <c r="A65" s="740" t="n">
        <v>43495</v>
      </c>
      <c r="B65" s="299" t="inlineStr">
        <is>
          <t>FIMTX</t>
        </is>
      </c>
      <c r="C65" s="300" t="inlineStr">
        <is>
          <t>小指02</t>
        </is>
      </c>
      <c r="D65" s="300" t="inlineStr">
        <is>
          <t>平倉</t>
        </is>
      </c>
      <c r="E65" s="301" t="inlineStr">
        <is>
          <t>賣</t>
        </is>
      </c>
      <c r="F65" s="300" t="inlineStr">
        <is>
          <t>-</t>
        </is>
      </c>
      <c r="G65" s="741" t="n">
        <v>2</v>
      </c>
      <c r="H65" s="741" t="n">
        <v>9928</v>
      </c>
      <c r="I65" s="741" t="n">
        <v>0</v>
      </c>
      <c r="J65" s="742" t="n">
        <v>46</v>
      </c>
      <c r="K65" s="742" t="n">
        <v>20</v>
      </c>
      <c r="L65" s="742">
        <f>IF(B65="TXO",I65-SUM(J65:K65),IF(B65="FITX",IF(D65="新倉",-SUM(J65:K65),IF(E65="賣",(H65-H64)*G65*200-SUM(J65:K65),(H64-H65)*G65*200-SUM(J65:K65))),IF(D65="新倉",-SUM(J65:K65),IF(E65="賣",(H65-H64)*G65*50-SUM(J65:K65),(H64-H65)*G65*50-SUM(J65:K65)))))</f>
        <v/>
      </c>
      <c r="M65" s="743">
        <f>L65</f>
        <v/>
      </c>
      <c r="N65" s="686">
        <f>IF(B65="TXO","",IF(D65="新倉","",IF(E65="賣",(H65-H64)*G65,(H64-H65)*G65)))</f>
        <v/>
      </c>
      <c r="O65" s="226" t="n">
        <v>4</v>
      </c>
      <c r="P65" s="667" t="n"/>
      <c r="Q65" s="249" t="inlineStr">
        <is>
          <t>技法: 碰10MA出場</t>
        </is>
      </c>
      <c r="R65" s="249" t="inlineStr">
        <is>
          <t>Yes</t>
        </is>
      </c>
      <c r="S65" s="249" t="inlineStr">
        <is>
          <t>Yes</t>
        </is>
      </c>
      <c r="T65" s="61">
        <f>IF(AND(R65="Yes",S65&lt;&gt;"Yes",L65&gt;0,B65&lt;&gt;"TXO"),L65,"")</f>
        <v/>
      </c>
      <c r="U65" s="61">
        <f>IF(AND(R65="Yes",S65&lt;&gt;"Yes",L65&lt;0,B65&lt;&gt;"TXO"),L65,"")</f>
        <v/>
      </c>
      <c r="V65" s="61">
        <f>IF(AND(R65="",S65&lt;&gt;"Yes",L65&gt;0,B65&lt;&gt;"TXO"),L65,"")</f>
        <v/>
      </c>
      <c r="W65" s="61">
        <f>IF(AND(R65="",S65&lt;&gt;"Yes",L65&lt;0,B65&lt;&gt;"TXO"),L65,"")</f>
        <v/>
      </c>
      <c r="X65" s="226">
        <f>IF(AND(R65="Yes",S65="Yes",L65&gt;0,B65&lt;&gt;"TXO"),L65,"")</f>
        <v/>
      </c>
      <c r="Y65" s="226">
        <f>IF(AND(R65="Yes",S65="Yes",L65&lt;0,B65&lt;&gt;"TXO"),L65,"")</f>
        <v/>
      </c>
      <c r="Z65" s="226">
        <f>IF(AND(R65="",S65="Yes",L65&gt;0,B65&lt;&gt;"TXO"),L65,"")</f>
        <v/>
      </c>
      <c r="AA65" s="226">
        <f>IF(AND(R65="",S65="Yes",L65&lt;0,B65&lt;&gt;"TXO"),L65,"")</f>
        <v/>
      </c>
    </row>
    <row r="66" collapsed="1" ht="17.25" customHeight="1" thickBot="1">
      <c r="A66" s="273" t="inlineStr">
        <is>
          <t>1月總計</t>
        </is>
      </c>
      <c r="B66" s="274" t="n"/>
      <c r="C66" s="274" t="n"/>
      <c r="D66" s="274" t="n"/>
      <c r="E66" s="274" t="n"/>
      <c r="F66" s="274" t="n"/>
      <c r="G66" s="715" t="n"/>
      <c r="H66" s="715" t="n"/>
      <c r="I66" s="715" t="n"/>
      <c r="J66" s="716" t="n"/>
      <c r="K66" s="715" t="n"/>
      <c r="L66" s="717">
        <f>SUM(L2:L65)</f>
        <v/>
      </c>
      <c r="M66" s="717">
        <f>SUM(M2:M65)</f>
        <v/>
      </c>
      <c r="N66" s="666" t="n"/>
      <c r="P66" s="744" t="n"/>
      <c r="R66" s="717">
        <f>SUMIF(R2:R65,"Yes",L2:L65)</f>
        <v/>
      </c>
      <c r="S66" s="739" t="n"/>
      <c r="T66" s="226">
        <f>SUM(T2:T65)</f>
        <v/>
      </c>
      <c r="U66" s="226">
        <f>SUM(U2:U65)</f>
        <v/>
      </c>
      <c r="V66" s="226">
        <f>SUM(V2:V65)</f>
        <v/>
      </c>
      <c r="W66" s="226">
        <f>SUM(W2:W65)</f>
        <v/>
      </c>
      <c r="X66" s="226">
        <f>SUM(X2:X65)</f>
        <v/>
      </c>
      <c r="Y66" s="226">
        <f>SUM(Y2:Y65)</f>
        <v/>
      </c>
      <c r="Z66" s="226">
        <f>SUM(Z2:Z65)</f>
        <v/>
      </c>
      <c r="AA66" s="226">
        <f>SUM(AA2:AA65)</f>
        <v/>
      </c>
    </row>
    <row r="67" ht="17.25" customHeight="1" thickBot="1">
      <c r="A67" s="718" t="n">
        <v>43504</v>
      </c>
      <c r="B67" s="292" t="n"/>
      <c r="C67" s="292" t="inlineStr">
        <is>
          <t>2019 飆股技巧籌碼心魔班</t>
        </is>
      </c>
      <c r="D67" s="292" t="n"/>
      <c r="E67" s="292" t="n"/>
      <c r="F67" s="292" t="n"/>
      <c r="G67" s="719" t="n"/>
      <c r="H67" s="719" t="n"/>
      <c r="I67" s="719" t="n"/>
      <c r="J67" s="720" t="n"/>
      <c r="K67" s="719" t="n"/>
      <c r="L67" s="720" t="n"/>
      <c r="M67" s="721">
        <f>-4457*0.965</f>
        <v/>
      </c>
      <c r="N67" s="666" t="n"/>
      <c r="P67" s="722" t="n"/>
      <c r="Q67" s="249" t="inlineStr">
        <is>
          <t>13000分6期, 每期2166, 6-2</t>
        </is>
      </c>
      <c r="R67" s="226" t="n"/>
    </row>
    <row r="68" outlineLevel="1">
      <c r="A68" s="696" t="n">
        <v>43508</v>
      </c>
      <c r="B68" s="234" t="inlineStr">
        <is>
          <t>FIMTX</t>
        </is>
      </c>
      <c r="C68" s="229" t="inlineStr">
        <is>
          <t>小指02</t>
        </is>
      </c>
      <c r="D68" s="229" t="inlineStr">
        <is>
          <t>新倉</t>
        </is>
      </c>
      <c r="E68" s="257" t="inlineStr">
        <is>
          <t>賣</t>
        </is>
      </c>
      <c r="F68" s="229" t="inlineStr">
        <is>
          <t>-</t>
        </is>
      </c>
      <c r="G68" s="697" t="n">
        <v>2</v>
      </c>
      <c r="H68" s="697" t="n">
        <v>10075</v>
      </c>
      <c r="I68" s="697" t="n">
        <v>0</v>
      </c>
      <c r="J68" s="585" t="n">
        <v>46</v>
      </c>
      <c r="K68" s="585" t="n">
        <v>20</v>
      </c>
      <c r="L68" s="585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/>
      </c>
      <c r="M68" s="699">
        <f>L68</f>
        <v/>
      </c>
      <c r="N68" s="686">
        <f>IF(B68="TXO","",IF(D68="新倉","",IF(E68="賣",(H68-H65)*G68,(H65-H68)*G68)))</f>
        <v/>
      </c>
      <c r="O68" s="226" t="n">
        <v>0</v>
      </c>
      <c r="P68" s="667">
        <f>SUM(L68:L75)</f>
        <v/>
      </c>
      <c r="Q68" s="249" t="inlineStr">
        <is>
          <t>3/3 買進2口(點錯方向)</t>
        </is>
      </c>
      <c r="S68" s="249" t="n"/>
      <c r="T68" s="61">
        <f>IF(AND(R68="Yes",S68&lt;&gt;"Yes",L68&gt;0,B68&lt;&gt;"TXO"),L68,"")</f>
        <v/>
      </c>
      <c r="U68" s="61">
        <f>IF(AND(R68="Yes",S68&lt;&gt;"Yes",L68&lt;0,B68&lt;&gt;"TXO"),L68,"")</f>
        <v/>
      </c>
      <c r="V68" s="61">
        <f>IF(AND(R68="",S68&lt;&gt;"Yes",L68&gt;0,B68&lt;&gt;"TXO"),L68,"")</f>
        <v/>
      </c>
      <c r="W68" s="61">
        <f>IF(AND(R68="",S68&lt;&gt;"Yes",L68&lt;0,B68&lt;&gt;"TXO"),L68,"")</f>
        <v/>
      </c>
      <c r="X68" s="226">
        <f>IF(AND(R68="Yes",S68="Yes",L68&gt;0,B68&lt;&gt;"TXO"),L68,"")</f>
        <v/>
      </c>
      <c r="Y68" s="226">
        <f>IF(AND(R68="Yes",S68="Yes",L68&lt;0,B68&lt;&gt;"TXO"),L68,"")</f>
        <v/>
      </c>
      <c r="Z68" s="226">
        <f>IF(AND(R68="",S68="Yes",L68&gt;0,B68&lt;&gt;"TXO"),L68,"")</f>
        <v/>
      </c>
      <c r="AA68" s="226">
        <f>IF(AND(R68="",S68="Yes",L68&lt;0,B68&lt;&gt;"TXO"),L68,"")</f>
        <v/>
      </c>
    </row>
    <row r="69" outlineLevel="2">
      <c r="A69" s="696" t="n">
        <v>43508</v>
      </c>
      <c r="B69" s="234" t="inlineStr">
        <is>
          <t>FIMTX</t>
        </is>
      </c>
      <c r="C69" s="229" t="inlineStr">
        <is>
          <t>小指02</t>
        </is>
      </c>
      <c r="D69" s="229" t="inlineStr">
        <is>
          <t>平倉</t>
        </is>
      </c>
      <c r="E69" s="257" t="inlineStr">
        <is>
          <t>買</t>
        </is>
      </c>
      <c r="F69" s="229" t="inlineStr">
        <is>
          <t>-</t>
        </is>
      </c>
      <c r="G69" s="697" t="n">
        <v>2</v>
      </c>
      <c r="H69" s="697" t="n">
        <v>10077</v>
      </c>
      <c r="I69" s="697" t="n">
        <v>0</v>
      </c>
      <c r="J69" s="585" t="n">
        <v>46</v>
      </c>
      <c r="K69" s="585" t="n">
        <v>20</v>
      </c>
      <c r="L69" s="585">
        <f>IF(B69="TXO",I69-SUM(J69:K69),IF(B69="FITX",IF(D69="新倉",-SUM(J69:K69),IF(E69="賣",(H69-H68)*G69*200-SUM(J69:K69),(H68-H69)*G69*200-SUM(J69:K69))),IF(D69="新倉",-SUM(J69:K69),IF(E69="賣",(H69-H68)*G69*50-SUM(J69:K69),(H68-H69)*G69*50-SUM(J69:K69)))))</f>
        <v/>
      </c>
      <c r="M69" s="699">
        <f>L69</f>
        <v/>
      </c>
      <c r="N69" s="686">
        <f>IF(B69="TXO","",IF(D69="新倉","",IF(E69="賣",(H69-H68)*G69,(H68-H69)*G69)))</f>
        <v/>
      </c>
      <c r="O69" s="226" t="n">
        <v>0</v>
      </c>
      <c r="P69" s="667" t="n"/>
      <c r="Q69" s="249" t="inlineStr">
        <is>
          <t>停損</t>
        </is>
      </c>
      <c r="S69" s="249" t="n"/>
      <c r="T69" s="61">
        <f>IF(AND(R69="Yes",S69&lt;&gt;"Yes",L69&gt;0,B69&lt;&gt;"TXO"),L69,"")</f>
        <v/>
      </c>
      <c r="U69" s="61">
        <f>IF(AND(R69="Yes",S69&lt;&gt;"Yes",L69&lt;0,B69&lt;&gt;"TXO"),L69,"")</f>
        <v/>
      </c>
      <c r="V69" s="61">
        <f>IF(AND(R69="",S69&lt;&gt;"Yes",L69&gt;0,B69&lt;&gt;"TXO"),L69,"")</f>
        <v/>
      </c>
      <c r="W69" s="61">
        <f>IF(AND(R69="",S69&lt;&gt;"Yes",L69&lt;0,B69&lt;&gt;"TXO"),L69,"")</f>
        <v/>
      </c>
      <c r="X69" s="226">
        <f>IF(AND(R69="Yes",S69="Yes",L69&gt;0,B69&lt;&gt;"TXO"),L69,"")</f>
        <v/>
      </c>
      <c r="Y69" s="226">
        <f>IF(AND(R69="Yes",S69="Yes",L69&lt;0,B69&lt;&gt;"TXO"),L69,"")</f>
        <v/>
      </c>
      <c r="Z69" s="226">
        <f>IF(AND(R69="",S69="Yes",L69&gt;0,B69&lt;&gt;"TXO"),L69,"")</f>
        <v/>
      </c>
      <c r="AA69" s="226">
        <f>IF(AND(R69="",S69="Yes",L69&lt;0,B69&lt;&gt;"TXO"),L69,"")</f>
        <v/>
      </c>
    </row>
    <row r="70" outlineLevel="2">
      <c r="A70" s="696" t="n">
        <v>43508</v>
      </c>
      <c r="B70" s="234" t="inlineStr">
        <is>
          <t>FIMTX</t>
        </is>
      </c>
      <c r="C70" s="229" t="inlineStr">
        <is>
          <t>小指02</t>
        </is>
      </c>
      <c r="D70" s="229" t="inlineStr">
        <is>
          <t>新倉</t>
        </is>
      </c>
      <c r="E70" s="257" t="inlineStr">
        <is>
          <t>買</t>
        </is>
      </c>
      <c r="F70" s="229" t="inlineStr">
        <is>
          <t>-</t>
        </is>
      </c>
      <c r="G70" s="697" t="n">
        <v>1</v>
      </c>
      <c r="H70" s="697" t="n">
        <v>10077</v>
      </c>
      <c r="I70" s="697" t="n">
        <v>0</v>
      </c>
      <c r="J70" s="585" t="n">
        <v>23</v>
      </c>
      <c r="K70" s="585" t="n">
        <v>10</v>
      </c>
      <c r="L70" s="585">
        <f>IF(B70="TXO",I70-SUM(J70:K70),IF(B70="FITX",IF(D70="新倉",-SUM(J70:K70),IF(E70="賣",(H70-H69)*G70*200-SUM(J70:K70),(H69-H70)*G70*200-SUM(J70:K70))),IF(D70="新倉",-SUM(J70:K70),IF(E70="賣",(H70-H69)*G70*50-SUM(J70:K70),(H69-H70)*G70*50-SUM(J70:K70)))))</f>
        <v/>
      </c>
      <c r="M70" s="699">
        <f>L70</f>
        <v/>
      </c>
      <c r="N70" s="686">
        <f>IF(B70="TXO","",IF(D70="新倉","",IF(E70="賣",(H70-H69)*G70,(H69-H70)*G70)))</f>
        <v/>
      </c>
      <c r="O70" s="226" t="n">
        <v>0</v>
      </c>
      <c r="P70" s="667" t="n"/>
      <c r="Q70" s="249" t="inlineStr">
        <is>
          <t>3/3 買進2口</t>
        </is>
      </c>
      <c r="R70" s="249" t="inlineStr">
        <is>
          <t>Yes</t>
        </is>
      </c>
      <c r="S70" s="249" t="n"/>
      <c r="T70" s="61">
        <f>IF(AND(R70="Yes",S70&lt;&gt;"Yes",L70&gt;0,B70&lt;&gt;"TXO"),L70,"")</f>
        <v/>
      </c>
      <c r="U70" s="61">
        <f>IF(AND(R70="Yes",S70&lt;&gt;"Yes",L70&lt;0,B70&lt;&gt;"TXO"),L70,"")</f>
        <v/>
      </c>
      <c r="V70" s="61">
        <f>IF(AND(R70="",S70&lt;&gt;"Yes",L70&gt;0,B70&lt;&gt;"TXO"),L70,"")</f>
        <v/>
      </c>
      <c r="W70" s="61">
        <f>IF(AND(R70="",S70&lt;&gt;"Yes",L70&lt;0,B70&lt;&gt;"TXO"),L70,"")</f>
        <v/>
      </c>
      <c r="X70" s="226">
        <f>IF(AND(R70="Yes",S70="Yes",L70&gt;0,B70&lt;&gt;"TXO"),L70,"")</f>
        <v/>
      </c>
      <c r="Y70" s="226">
        <f>IF(AND(R70="Yes",S70="Yes",L70&lt;0,B70&lt;&gt;"TXO"),L70,"")</f>
        <v/>
      </c>
      <c r="Z70" s="226">
        <f>IF(AND(R70="",S70="Yes",L70&gt;0,B70&lt;&gt;"TXO"),L70,"")</f>
        <v/>
      </c>
      <c r="AA70" s="226">
        <f>IF(AND(R70="",S70="Yes",L70&lt;0,B70&lt;&gt;"TXO"),L70,"")</f>
        <v/>
      </c>
    </row>
    <row r="71" outlineLevel="2">
      <c r="A71" s="696" t="n">
        <v>43508</v>
      </c>
      <c r="B71" s="234" t="inlineStr">
        <is>
          <t>FIMTX</t>
        </is>
      </c>
      <c r="C71" s="229" t="inlineStr">
        <is>
          <t>小指02</t>
        </is>
      </c>
      <c r="D71" s="229" t="inlineStr">
        <is>
          <t>平倉</t>
        </is>
      </c>
      <c r="E71" s="257" t="inlineStr">
        <is>
          <t>賣</t>
        </is>
      </c>
      <c r="F71" s="229" t="inlineStr">
        <is>
          <t>-</t>
        </is>
      </c>
      <c r="G71" s="697" t="n">
        <v>1</v>
      </c>
      <c r="H71" s="697" t="n">
        <v>10079</v>
      </c>
      <c r="I71" s="697" t="n">
        <v>0</v>
      </c>
      <c r="J71" s="585" t="n">
        <v>23</v>
      </c>
      <c r="K71" s="585" t="n">
        <v>10</v>
      </c>
      <c r="L71" s="585">
        <f>IF(B71="TXO",I71-SUM(J71:K71),IF(B71="FITX",IF(D71="新倉",-SUM(J71:K71),IF(E71="賣",(H71-H70)*G71*200-SUM(J71:K71),(H70-H71)*G71*200-SUM(J71:K71))),IF(D71="新倉",-SUM(J71:K71),IF(E71="賣",(H71-H70)*G71*50-SUM(J71:K71),(H70-H71)*G71*50-SUM(J71:K71)))))</f>
        <v/>
      </c>
      <c r="M71" s="699">
        <f>L71</f>
        <v/>
      </c>
      <c r="N71" s="686">
        <f>IF(B71="TXO","",IF(D71="新倉","",IF(E71="賣",(H71-H70)*G71,(H70-H71)*G71)))</f>
        <v/>
      </c>
      <c r="O71" s="226" t="n">
        <v>0</v>
      </c>
      <c r="P71" s="667" t="n"/>
      <c r="Q71" s="297" t="inlineStr">
        <is>
          <t>技法: 刺補</t>
        </is>
      </c>
      <c r="R71" s="249" t="inlineStr">
        <is>
          <t>Yes</t>
        </is>
      </c>
      <c r="S71" s="249" t="n"/>
      <c r="T71" s="61">
        <f>IF(AND(R71="Yes",S71&lt;&gt;"Yes",L71&gt;0,B71&lt;&gt;"TXO"),L71,"")</f>
        <v/>
      </c>
      <c r="U71" s="61">
        <f>IF(AND(R71="Yes",S71&lt;&gt;"Yes",L71&lt;0,B71&lt;&gt;"TXO"),L71,"")</f>
        <v/>
      </c>
      <c r="V71" s="61">
        <f>IF(AND(R71="",S71&lt;&gt;"Yes",L71&gt;0,B71&lt;&gt;"TXO"),L71,"")</f>
        <v/>
      </c>
      <c r="W71" s="61">
        <f>IF(AND(R71="",S71&lt;&gt;"Yes",L71&lt;0,B71&lt;&gt;"TXO"),L71,"")</f>
        <v/>
      </c>
      <c r="X71" s="226">
        <f>IF(AND(R71="Yes",S71="Yes",L71&gt;0,B71&lt;&gt;"TXO"),L71,"")</f>
        <v/>
      </c>
      <c r="Y71" s="226">
        <f>IF(AND(R71="Yes",S71="Yes",L71&lt;0,B71&lt;&gt;"TXO"),L71,"")</f>
        <v/>
      </c>
      <c r="Z71" s="226">
        <f>IF(AND(R71="",S71="Yes",L71&gt;0,B71&lt;&gt;"TXO"),L71,"")</f>
        <v/>
      </c>
      <c r="AA71" s="226">
        <f>IF(AND(R71="",S71="Yes",L71&lt;0,B71&lt;&gt;"TXO"),L71,"")</f>
        <v/>
      </c>
    </row>
    <row r="72" outlineLevel="2">
      <c r="A72" s="696" t="n">
        <v>43508</v>
      </c>
      <c r="B72" s="234" t="inlineStr">
        <is>
          <t>FIMTX</t>
        </is>
      </c>
      <c r="C72" s="229" t="inlineStr">
        <is>
          <t>小指02</t>
        </is>
      </c>
      <c r="D72" s="229" t="inlineStr">
        <is>
          <t>新倉</t>
        </is>
      </c>
      <c r="E72" s="257" t="inlineStr">
        <is>
          <t>買</t>
        </is>
      </c>
      <c r="F72" s="229" t="inlineStr">
        <is>
          <t>-</t>
        </is>
      </c>
      <c r="G72" s="697" t="n">
        <v>1</v>
      </c>
      <c r="H72" s="697" t="n">
        <v>10077</v>
      </c>
      <c r="I72" s="697" t="n">
        <v>0</v>
      </c>
      <c r="J72" s="585" t="n">
        <v>23</v>
      </c>
      <c r="K72" s="585" t="n">
        <v>10</v>
      </c>
      <c r="L72" s="585">
        <f>IF(B72="TXO",I72-SUM(J72:K72),IF(B72="FITX",IF(D72="新倉",-SUM(J72:K72),IF(E72="賣",(H72-H71)*G72*200-SUM(J72:K72),(H71-H72)*G72*200-SUM(J72:K72))),IF(D72="新倉",-SUM(J72:K72),IF(E72="賣",(H72-H71)*G72*50-SUM(J72:K72),(H71-H72)*G72*50-SUM(J72:K72)))))</f>
        <v/>
      </c>
      <c r="M72" s="699">
        <f>L72</f>
        <v/>
      </c>
      <c r="N72" s="686">
        <f>IF(B72="TXO","",IF(D72="新倉","",IF(E72="賣",(H72-H71)*G72,(H71-H72)*G72)))</f>
        <v/>
      </c>
      <c r="O72" s="226" t="n">
        <v>0</v>
      </c>
      <c r="P72" s="667" t="n"/>
      <c r="Q72" s="249" t="inlineStr">
        <is>
          <t>3/3 買進2口</t>
        </is>
      </c>
      <c r="R72" s="249" t="inlineStr">
        <is>
          <t>Yes</t>
        </is>
      </c>
      <c r="S72" s="249" t="n"/>
      <c r="T72" s="61">
        <f>IF(AND(R72="Yes",S72&lt;&gt;"Yes",L72&gt;0,B72&lt;&gt;"TXO"),L72,"")</f>
        <v/>
      </c>
      <c r="U72" s="61">
        <f>IF(AND(R72="Yes",S72&lt;&gt;"Yes",L72&lt;0,B72&lt;&gt;"TXO"),L72,"")</f>
        <v/>
      </c>
      <c r="V72" s="61">
        <f>IF(AND(R72="",S72&lt;&gt;"Yes",L72&gt;0,B72&lt;&gt;"TXO"),L72,"")</f>
        <v/>
      </c>
      <c r="W72" s="61">
        <f>IF(AND(R72="",S72&lt;&gt;"Yes",L72&lt;0,B72&lt;&gt;"TXO"),L72,"")</f>
        <v/>
      </c>
      <c r="X72" s="226">
        <f>IF(AND(R72="Yes",S72="Yes",L72&gt;0,B72&lt;&gt;"TXO"),L72,"")</f>
        <v/>
      </c>
      <c r="Y72" s="226">
        <f>IF(AND(R72="Yes",S72="Yes",L72&lt;0,B72&lt;&gt;"TXO"),L72,"")</f>
        <v/>
      </c>
      <c r="Z72" s="226">
        <f>IF(AND(R72="",S72="Yes",L72&gt;0,B72&lt;&gt;"TXO"),L72,"")</f>
        <v/>
      </c>
      <c r="AA72" s="226">
        <f>IF(AND(R72="",S72="Yes",L72&lt;0,B72&lt;&gt;"TXO"),L72,"")</f>
        <v/>
      </c>
    </row>
    <row r="73" outlineLevel="2">
      <c r="A73" s="696" t="n">
        <v>43508</v>
      </c>
      <c r="B73" s="234" t="inlineStr">
        <is>
          <t>FIMTX</t>
        </is>
      </c>
      <c r="C73" s="229" t="inlineStr">
        <is>
          <t>小指02</t>
        </is>
      </c>
      <c r="D73" s="229" t="inlineStr">
        <is>
          <t>平倉</t>
        </is>
      </c>
      <c r="E73" s="257" t="inlineStr">
        <is>
          <t>賣</t>
        </is>
      </c>
      <c r="F73" s="229" t="inlineStr">
        <is>
          <t>-</t>
        </is>
      </c>
      <c r="G73" s="697" t="n">
        <v>1</v>
      </c>
      <c r="H73" s="697" t="n">
        <v>10077</v>
      </c>
      <c r="I73" s="697" t="n">
        <v>0</v>
      </c>
      <c r="J73" s="585" t="n">
        <v>23</v>
      </c>
      <c r="K73" s="585" t="n">
        <v>10</v>
      </c>
      <c r="L73" s="585">
        <f>IF(B73="TXO",I73-SUM(J73:K73),IF(B73="FITX",IF(D73="新倉",-SUM(J73:K73),IF(E73="賣",(H73-H72)*G73*200-SUM(J73:K73),(H72-H73)*G73*200-SUM(J73:K73))),IF(D73="新倉",-SUM(J73:K73),IF(E73="賣",(H73-H72)*G73*50-SUM(J73:K73),(H72-H73)*G73*50-SUM(J73:K73)))))</f>
        <v/>
      </c>
      <c r="M73" s="699">
        <f>L73</f>
        <v/>
      </c>
      <c r="N73" s="686">
        <f>IF(B73="TXO","",IF(D73="新倉","",IF(E73="賣",(H73-H72)*G73,(H72-H73)*G73)))</f>
        <v/>
      </c>
      <c r="O73" s="226" t="n">
        <v>0</v>
      </c>
      <c r="P73" s="667" t="n"/>
      <c r="Q73" s="249" t="inlineStr">
        <is>
          <t>元大移動式停利</t>
        </is>
      </c>
      <c r="R73" s="249" t="inlineStr">
        <is>
          <t>Yes</t>
        </is>
      </c>
      <c r="S73" s="249" t="n"/>
      <c r="T73" s="61">
        <f>IF(AND(R73="Yes",S73&lt;&gt;"Yes",L73&gt;0,B73&lt;&gt;"TXO"),L73,"")</f>
        <v/>
      </c>
      <c r="U73" s="61">
        <f>IF(AND(R73="Yes",S73&lt;&gt;"Yes",L73&lt;0,B73&lt;&gt;"TXO"),L73,"")</f>
        <v/>
      </c>
      <c r="V73" s="61">
        <f>IF(AND(R73="",S73&lt;&gt;"Yes",L73&gt;0,B73&lt;&gt;"TXO"),L73,"")</f>
        <v/>
      </c>
      <c r="W73" s="61">
        <f>IF(AND(R73="",S73&lt;&gt;"Yes",L73&lt;0,B73&lt;&gt;"TXO"),L73,"")</f>
        <v/>
      </c>
      <c r="X73" s="226">
        <f>IF(AND(R73="Yes",S73="Yes",L73&gt;0,B73&lt;&gt;"TXO"),L73,"")</f>
        <v/>
      </c>
      <c r="Y73" s="226">
        <f>IF(AND(R73="Yes",S73="Yes",L73&lt;0,B73&lt;&gt;"TXO"),L73,"")</f>
        <v/>
      </c>
      <c r="Z73" s="226">
        <f>IF(AND(R73="",S73="Yes",L73&gt;0,B73&lt;&gt;"TXO"),L73,"")</f>
        <v/>
      </c>
      <c r="AA73" s="226">
        <f>IF(AND(R73="",S73="Yes",L73&lt;0,B73&lt;&gt;"TXO"),L73,"")</f>
        <v/>
      </c>
    </row>
    <row r="74" outlineLevel="2">
      <c r="A74" s="696" t="n">
        <v>43508</v>
      </c>
      <c r="B74" s="234" t="inlineStr">
        <is>
          <t>FIMTX</t>
        </is>
      </c>
      <c r="C74" s="229" t="inlineStr">
        <is>
          <t>小指02</t>
        </is>
      </c>
      <c r="D74" s="229" t="inlineStr">
        <is>
          <t>新倉</t>
        </is>
      </c>
      <c r="E74" s="257" t="inlineStr">
        <is>
          <t>賣</t>
        </is>
      </c>
      <c r="F74" s="229" t="inlineStr">
        <is>
          <t>-</t>
        </is>
      </c>
      <c r="G74" s="697" t="n">
        <v>1</v>
      </c>
      <c r="H74" s="697" t="n">
        <v>10089</v>
      </c>
      <c r="I74" s="697" t="n">
        <v>0</v>
      </c>
      <c r="J74" s="585" t="n">
        <v>23</v>
      </c>
      <c r="K74" s="585" t="n">
        <v>10</v>
      </c>
      <c r="L74" s="585">
        <f>IF(B74="TXO",I74-SUM(J74:K74),IF(B74="FITX",IF(D74="新倉",-SUM(J74:K74),IF(E74="賣",(H74-H73)*G74*200-SUM(J74:K74),(H73-H74)*G74*200-SUM(J74:K74))),IF(D74="新倉",-SUM(J74:K74),IF(E74="賣",(H74-H73)*G74*50-SUM(J74:K74),(H73-H74)*G74*50-SUM(J74:K74)))))</f>
        <v/>
      </c>
      <c r="M74" s="699">
        <f>L74</f>
        <v/>
      </c>
      <c r="N74" s="686">
        <f>IF(B74="TXO","",IF(D74="新倉","",IF(E74="賣",(H74-H73)*G74,(H73-H74)*G74)))</f>
        <v/>
      </c>
      <c r="O74" s="226" t="n">
        <v>0</v>
      </c>
      <c r="P74" s="667" t="n"/>
      <c r="Q74" s="249" t="inlineStr">
        <is>
          <t>觸價單未取消</t>
        </is>
      </c>
      <c r="S74" s="249" t="n"/>
      <c r="T74" s="61">
        <f>IF(AND(R74="Yes",S74&lt;&gt;"Yes",L74&gt;0,B74&lt;&gt;"TXO"),L74,"")</f>
        <v/>
      </c>
      <c r="U74" s="61">
        <f>IF(AND(R74="Yes",S74&lt;&gt;"Yes",L74&lt;0,B74&lt;&gt;"TXO"),L74,"")</f>
        <v/>
      </c>
      <c r="V74" s="61">
        <f>IF(AND(R74="",S74&lt;&gt;"Yes",L74&gt;0,B74&lt;&gt;"TXO"),L74,"")</f>
        <v/>
      </c>
      <c r="W74" s="61">
        <f>IF(AND(R74="",S74&lt;&gt;"Yes",L74&lt;0,B74&lt;&gt;"TXO"),L74,"")</f>
        <v/>
      </c>
      <c r="X74" s="226">
        <f>IF(AND(R74="Yes",S74="Yes",L74&gt;0,B74&lt;&gt;"TXO"),L74,"")</f>
        <v/>
      </c>
      <c r="Y74" s="226">
        <f>IF(AND(R74="Yes",S74="Yes",L74&lt;0,B74&lt;&gt;"TXO"),L74,"")</f>
        <v/>
      </c>
      <c r="Z74" s="226">
        <f>IF(AND(R74="",S74="Yes",L74&gt;0,B74&lt;&gt;"TXO"),L74,"")</f>
        <v/>
      </c>
      <c r="AA74" s="226">
        <f>IF(AND(R74="",S74="Yes",L74&lt;0,B74&lt;&gt;"TXO"),L74,"")</f>
        <v/>
      </c>
    </row>
    <row r="75" outlineLevel="2">
      <c r="A75" s="696" t="n">
        <v>43508</v>
      </c>
      <c r="B75" s="234" t="inlineStr">
        <is>
          <t>FIMTX</t>
        </is>
      </c>
      <c r="C75" s="229" t="inlineStr">
        <is>
          <t>小指02</t>
        </is>
      </c>
      <c r="D75" s="229" t="inlineStr">
        <is>
          <t>平倉</t>
        </is>
      </c>
      <c r="E75" s="257" t="inlineStr">
        <is>
          <t>買</t>
        </is>
      </c>
      <c r="F75" s="229" t="inlineStr">
        <is>
          <t>-</t>
        </is>
      </c>
      <c r="G75" s="697" t="n">
        <v>1</v>
      </c>
      <c r="H75" s="697" t="n">
        <v>10089</v>
      </c>
      <c r="I75" s="697" t="n">
        <v>0</v>
      </c>
      <c r="J75" s="585" t="n">
        <v>23</v>
      </c>
      <c r="K75" s="585" t="n">
        <v>10</v>
      </c>
      <c r="L75" s="585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/>
      </c>
      <c r="M75" s="699">
        <f>L75</f>
        <v/>
      </c>
      <c r="N75" s="686">
        <f>IF(B75="TXO","",IF(D75="新倉","",IF(E75="賣",(H75-H74)*G75,(H74-H75)*G75)))</f>
        <v/>
      </c>
      <c r="O75" s="226" t="n">
        <v>0</v>
      </c>
      <c r="P75" s="667" t="n"/>
      <c r="Q75" s="249" t="inlineStr">
        <is>
          <t>停損</t>
        </is>
      </c>
      <c r="S75" s="249" t="n"/>
      <c r="T75" s="61">
        <f>IF(AND(R75="Yes",S75&lt;&gt;"Yes",L75&gt;0,B75&lt;&gt;"TXO"),L75,"")</f>
        <v/>
      </c>
      <c r="U75" s="61">
        <f>IF(AND(R75="Yes",S75&lt;&gt;"Yes",L75&lt;0,B75&lt;&gt;"TXO"),L75,"")</f>
        <v/>
      </c>
      <c r="V75" s="61">
        <f>IF(AND(R75="",S75&lt;&gt;"Yes",L75&gt;0,B75&lt;&gt;"TXO"),L75,"")</f>
        <v/>
      </c>
      <c r="W75" s="61">
        <f>IF(AND(R75="",S75&lt;&gt;"Yes",L75&lt;0,B75&lt;&gt;"TXO"),L75,"")</f>
        <v/>
      </c>
      <c r="X75" s="226">
        <f>IF(AND(R75="Yes",S75="Yes",L75&gt;0,B75&lt;&gt;"TXO"),L75,"")</f>
        <v/>
      </c>
      <c r="Y75" s="226">
        <f>IF(AND(R75="Yes",S75="Yes",L75&lt;0,B75&lt;&gt;"TXO"),L75,"")</f>
        <v/>
      </c>
      <c r="Z75" s="226">
        <f>IF(AND(R75="",S75="Yes",L75&gt;0,B75&lt;&gt;"TXO"),L75,"")</f>
        <v/>
      </c>
      <c r="AA75" s="226">
        <f>IF(AND(R75="",S75="Yes",L75&lt;0,B75&lt;&gt;"TXO"),L75,"")</f>
        <v/>
      </c>
    </row>
    <row r="76" outlineLevel="1">
      <c r="A76" s="740" t="n">
        <v>43509</v>
      </c>
      <c r="B76" s="299" t="inlineStr">
        <is>
          <t>FIMTX</t>
        </is>
      </c>
      <c r="C76" s="300" t="inlineStr">
        <is>
          <t>小指02</t>
        </is>
      </c>
      <c r="D76" s="300" t="inlineStr">
        <is>
          <t>新倉</t>
        </is>
      </c>
      <c r="E76" s="301" t="inlineStr">
        <is>
          <t>買</t>
        </is>
      </c>
      <c r="F76" s="300" t="inlineStr">
        <is>
          <t>-</t>
        </is>
      </c>
      <c r="G76" s="741" t="n">
        <v>2</v>
      </c>
      <c r="H76" s="741" t="n">
        <v>10080</v>
      </c>
      <c r="I76" s="741" t="n">
        <v>0</v>
      </c>
      <c r="J76" s="742" t="n">
        <v>46</v>
      </c>
      <c r="K76" s="742" t="n">
        <v>20</v>
      </c>
      <c r="L76" s="742">
        <f>IF(B76="TXO",I76-SUM(J76:K76),IF(B76="FITX",IF(D76="新倉",-SUM(J76:K76),IF(E76="賣",(H76-H75)*G76*200-SUM(J76:K76),(H75-H76)*G76*200-SUM(J76:K76))),IF(D76="新倉",-SUM(J76:K76),IF(E76="賣",(H76-H75)*G76*50-SUM(J76:K76),(H75-H76)*G76*50-SUM(J76:K76)))))</f>
        <v/>
      </c>
      <c r="M76" s="743">
        <f>L76</f>
        <v/>
      </c>
      <c r="N76" s="686">
        <f>IF(B76="TXO","",IF(D76="新倉","",IF(E76="賣",(H76-H75)*G76,(H75-H76)*G76)))</f>
        <v/>
      </c>
      <c r="O76" s="226" t="n">
        <v>0</v>
      </c>
      <c r="P76" s="667">
        <f>SUM(L76:L81)</f>
        <v/>
      </c>
      <c r="Q76" s="297" t="inlineStr">
        <is>
          <t>3/3 買進2口</t>
        </is>
      </c>
      <c r="R76" s="249" t="inlineStr">
        <is>
          <t>Yes</t>
        </is>
      </c>
      <c r="S76" s="249" t="inlineStr">
        <is>
          <t>Yes</t>
        </is>
      </c>
      <c r="T76" s="61">
        <f>IF(AND(R76="Yes",S76&lt;&gt;"Yes",L76&gt;0,B76&lt;&gt;"TXO"),L76,"")</f>
        <v/>
      </c>
      <c r="U76" s="61">
        <f>IF(AND(R76="Yes",S76&lt;&gt;"Yes",L76&lt;0,B76&lt;&gt;"TXO"),L76,"")</f>
        <v/>
      </c>
      <c r="V76" s="61">
        <f>IF(AND(R76="",S76&lt;&gt;"Yes",L76&gt;0,B76&lt;&gt;"TXO"),L76,"")</f>
        <v/>
      </c>
      <c r="W76" s="61">
        <f>IF(AND(R76="",S76&lt;&gt;"Yes",L76&lt;0,B76&lt;&gt;"TXO"),L76,"")</f>
        <v/>
      </c>
      <c r="X76" s="226">
        <f>IF(AND(R76="Yes",S76="Yes",L76&gt;0,B76&lt;&gt;"TXO"),L76,"")</f>
        <v/>
      </c>
      <c r="Y76" s="226">
        <f>IF(AND(R76="Yes",S76="Yes",L76&lt;0,B76&lt;&gt;"TXO"),L76,"")</f>
        <v/>
      </c>
      <c r="Z76" s="226">
        <f>IF(AND(R76="",S76="Yes",L76&gt;0,B76&lt;&gt;"TXO"),L76,"")</f>
        <v/>
      </c>
      <c r="AA76" s="226">
        <f>IF(AND(R76="",S76="Yes",L76&lt;0,B76&lt;&gt;"TXO"),L76,"")</f>
        <v/>
      </c>
    </row>
    <row r="77" outlineLevel="2" collapsed="1">
      <c r="A77" s="740" t="n">
        <v>43509</v>
      </c>
      <c r="B77" s="299" t="inlineStr">
        <is>
          <t>FIMTX</t>
        </is>
      </c>
      <c r="C77" s="300" t="inlineStr">
        <is>
          <t>小指02</t>
        </is>
      </c>
      <c r="D77" s="300" t="inlineStr">
        <is>
          <t>平倉</t>
        </is>
      </c>
      <c r="E77" s="301" t="inlineStr">
        <is>
          <t>賣</t>
        </is>
      </c>
      <c r="F77" s="300" t="inlineStr">
        <is>
          <t>-</t>
        </is>
      </c>
      <c r="G77" s="741" t="n">
        <v>2</v>
      </c>
      <c r="H77" s="741" t="n">
        <v>10076</v>
      </c>
      <c r="I77" s="741" t="n">
        <v>0</v>
      </c>
      <c r="J77" s="742" t="n">
        <v>46</v>
      </c>
      <c r="K77" s="742" t="n">
        <v>20</v>
      </c>
      <c r="L77" s="742">
        <f>IF(B77="TXO",I77-SUM(J77:K77),IF(B77="FITX",IF(D77="新倉",-SUM(J77:K77),IF(E77="賣",(H77-H76)*G77*200-SUM(J77:K77),(H76-H77)*G77*200-SUM(J77:K77))),IF(D77="新倉",-SUM(J77:K77),IF(E77="賣",(H77-H76)*G77*50-SUM(J77:K77),(H76-H77)*G77*50-SUM(J77:K77)))))</f>
        <v/>
      </c>
      <c r="M77" s="743">
        <f>L77</f>
        <v/>
      </c>
      <c r="N77" s="686">
        <f>IF(B77="TXO","",IF(D77="新倉","",IF(E77="賣",(H77-H76)*G77,(H76-H77)*G77)))</f>
        <v/>
      </c>
      <c r="O77" s="226" t="n">
        <v>0</v>
      </c>
      <c r="P77" s="667" t="n"/>
      <c r="Q77" s="249" t="inlineStr">
        <is>
          <t>技法: 碰10MA出場(停損)</t>
        </is>
      </c>
      <c r="R77" s="249" t="inlineStr">
        <is>
          <t>Yes</t>
        </is>
      </c>
      <c r="S77" s="249" t="inlineStr">
        <is>
          <t>Yes</t>
        </is>
      </c>
      <c r="T77" s="61">
        <f>IF(AND(R77="Yes",S77&lt;&gt;"Yes",L77&gt;0,B77&lt;&gt;"TXO"),L77,"")</f>
        <v/>
      </c>
      <c r="U77" s="61">
        <f>IF(AND(R77="Yes",S77&lt;&gt;"Yes",L77&lt;0,B77&lt;&gt;"TXO"),L77,"")</f>
        <v/>
      </c>
      <c r="V77" s="61">
        <f>IF(AND(R77="",S77&lt;&gt;"Yes",L77&gt;0,B77&lt;&gt;"TXO"),L77,"")</f>
        <v/>
      </c>
      <c r="W77" s="61">
        <f>IF(AND(R77="",S77&lt;&gt;"Yes",L77&lt;0,B77&lt;&gt;"TXO"),L77,"")</f>
        <v/>
      </c>
      <c r="X77" s="226">
        <f>IF(AND(R77="Yes",S77="Yes",L77&gt;0,B77&lt;&gt;"TXO"),L77,"")</f>
        <v/>
      </c>
      <c r="Y77" s="226">
        <f>IF(AND(R77="Yes",S77="Yes",L77&lt;0,B77&lt;&gt;"TXO"),L77,"")</f>
        <v/>
      </c>
      <c r="Z77" s="226">
        <f>IF(AND(R77="",S77="Yes",L77&gt;0,B77&lt;&gt;"TXO"),L77,"")</f>
        <v/>
      </c>
      <c r="AA77" s="226">
        <f>IF(AND(R77="",S77="Yes",L77&lt;0,B77&lt;&gt;"TXO"),L77,"")</f>
        <v/>
      </c>
    </row>
    <row r="78" outlineLevel="2" collapsed="1">
      <c r="A78" s="740" t="n">
        <v>43509</v>
      </c>
      <c r="B78" s="299" t="inlineStr">
        <is>
          <t>FIMTX</t>
        </is>
      </c>
      <c r="C78" s="300" t="inlineStr">
        <is>
          <t>小指02</t>
        </is>
      </c>
      <c r="D78" s="300" t="inlineStr">
        <is>
          <t>新倉</t>
        </is>
      </c>
      <c r="E78" s="301" t="inlineStr">
        <is>
          <t>賣</t>
        </is>
      </c>
      <c r="F78" s="300" t="inlineStr">
        <is>
          <t>-</t>
        </is>
      </c>
      <c r="G78" s="741" t="n">
        <v>1</v>
      </c>
      <c r="H78" s="741" t="n">
        <v>10071</v>
      </c>
      <c r="I78" s="741" t="n">
        <v>0</v>
      </c>
      <c r="J78" s="742" t="n">
        <v>23</v>
      </c>
      <c r="K78" s="742" t="n">
        <v>10</v>
      </c>
      <c r="L78" s="742">
        <f>IF(B78="TXO",I78-SUM(J78:K78),IF(B78="FITX",IF(D78="新倉",-SUM(J78:K78),IF(E78="賣",(H78-H77)*G78*200-SUM(J78:K78),(H77-H78)*G78*200-SUM(J78:K78))),IF(D78="新倉",-SUM(J78:K78),IF(E78="賣",(H78-H77)*G78*50-SUM(J78:K78),(H77-H78)*G78*50-SUM(J78:K78)))))</f>
        <v/>
      </c>
      <c r="M78" s="743">
        <f>L78</f>
        <v/>
      </c>
      <c r="N78" s="686">
        <f>IF(B78="TXO","",IF(D78="新倉","",IF(E78="賣",(H78-H77)*G78,(H77-H78)*G78)))</f>
        <v/>
      </c>
      <c r="O78" s="226" t="n">
        <v>0</v>
      </c>
      <c r="P78" s="667" t="n"/>
      <c r="Q78" s="297" t="inlineStr">
        <is>
          <t>3/3 買進2口</t>
        </is>
      </c>
      <c r="R78" s="249" t="inlineStr">
        <is>
          <t>Yes</t>
        </is>
      </c>
      <c r="S78" s="249" t="inlineStr">
        <is>
          <t>Yes</t>
        </is>
      </c>
      <c r="T78" s="61">
        <f>IF(AND(R78="Yes",S78&lt;&gt;"Yes",L78&gt;0,B78&lt;&gt;"TXO"),L78,"")</f>
        <v/>
      </c>
      <c r="U78" s="61">
        <f>IF(AND(R78="Yes",S78&lt;&gt;"Yes",L78&lt;0,B78&lt;&gt;"TXO"),L78,"")</f>
        <v/>
      </c>
      <c r="V78" s="61">
        <f>IF(AND(R78="",S78&lt;&gt;"Yes",L78&gt;0,B78&lt;&gt;"TXO"),L78,"")</f>
        <v/>
      </c>
      <c r="W78" s="61">
        <f>IF(AND(R78="",S78&lt;&gt;"Yes",L78&lt;0,B78&lt;&gt;"TXO"),L78,"")</f>
        <v/>
      </c>
      <c r="X78" s="226">
        <f>IF(AND(R78="Yes",S78="Yes",L78&gt;0,B78&lt;&gt;"TXO"),L78,"")</f>
        <v/>
      </c>
      <c r="Y78" s="226">
        <f>IF(AND(R78="Yes",S78="Yes",L78&lt;0,B78&lt;&gt;"TXO"),L78,"")</f>
        <v/>
      </c>
      <c r="Z78" s="226">
        <f>IF(AND(R78="",S78="Yes",L78&gt;0,B78&lt;&gt;"TXO"),L78,"")</f>
        <v/>
      </c>
      <c r="AA78" s="226">
        <f>IF(AND(R78="",S78="Yes",L78&lt;0,B78&lt;&gt;"TXO"),L78,"")</f>
        <v/>
      </c>
    </row>
    <row r="79" outlineLevel="2" collapsed="1">
      <c r="A79" s="740" t="n">
        <v>43509</v>
      </c>
      <c r="B79" s="299" t="inlineStr">
        <is>
          <t>FIMTX</t>
        </is>
      </c>
      <c r="C79" s="300" t="inlineStr">
        <is>
          <t>小指02</t>
        </is>
      </c>
      <c r="D79" s="300" t="inlineStr">
        <is>
          <t>平倉</t>
        </is>
      </c>
      <c r="E79" s="301" t="inlineStr">
        <is>
          <t>買</t>
        </is>
      </c>
      <c r="F79" s="300" t="inlineStr">
        <is>
          <t>-</t>
        </is>
      </c>
      <c r="G79" s="741" t="n">
        <v>1</v>
      </c>
      <c r="H79" s="741" t="n">
        <v>10070</v>
      </c>
      <c r="I79" s="741" t="n">
        <v>0</v>
      </c>
      <c r="J79" s="742" t="n">
        <v>23</v>
      </c>
      <c r="K79" s="742" t="n">
        <v>10</v>
      </c>
      <c r="L79" s="742">
        <f>IF(B79="TXO",I79-SUM(J79:K79),IF(B79="FITX",IF(D79="新倉",-SUM(J79:K79),IF(E79="賣",(H79-H78)*G79*200-SUM(J79:K79),(H78-H79)*G79*200-SUM(J79:K79))),IF(D79="新倉",-SUM(J79:K79),IF(E79="賣",(H79-H78)*G79*50-SUM(J79:K79),(H78-H79)*G79*50-SUM(J79:K79)))))</f>
        <v/>
      </c>
      <c r="M79" s="743">
        <f>L79</f>
        <v/>
      </c>
      <c r="N79" s="686">
        <f>IF(B79="TXO","",IF(D79="新倉","",IF(E79="賣",(H79-H78)*G79,(H78-H79)*G79)))</f>
        <v/>
      </c>
      <c r="O79" s="226" t="n">
        <v>0</v>
      </c>
      <c r="P79" s="667" t="n"/>
      <c r="Q79" s="297" t="inlineStr">
        <is>
          <t>技法: 刺補</t>
        </is>
      </c>
      <c r="R79" s="249" t="inlineStr">
        <is>
          <t>Yes</t>
        </is>
      </c>
      <c r="S79" s="249" t="inlineStr">
        <is>
          <t>Yes</t>
        </is>
      </c>
      <c r="T79" s="61">
        <f>IF(AND(R79="Yes",S79&lt;&gt;"Yes",L79&gt;0,B79&lt;&gt;"TXO"),L79,"")</f>
        <v/>
      </c>
      <c r="U79" s="61">
        <f>IF(AND(R79="Yes",S79&lt;&gt;"Yes",L79&lt;0,B79&lt;&gt;"TXO"),L79,"")</f>
        <v/>
      </c>
      <c r="V79" s="61">
        <f>IF(AND(R79="",S79&lt;&gt;"Yes",L79&gt;0,B79&lt;&gt;"TXO"),L79,"")</f>
        <v/>
      </c>
      <c r="W79" s="61">
        <f>IF(AND(R79="",S79&lt;&gt;"Yes",L79&lt;0,B79&lt;&gt;"TXO"),L79,"")</f>
        <v/>
      </c>
      <c r="X79" s="226">
        <f>IF(AND(R79="Yes",S79="Yes",L79&gt;0,B79&lt;&gt;"TXO"),L79,"")</f>
        <v/>
      </c>
      <c r="Y79" s="226">
        <f>IF(AND(R79="Yes",S79="Yes",L79&lt;0,B79&lt;&gt;"TXO"),L79,"")</f>
        <v/>
      </c>
      <c r="Z79" s="226">
        <f>IF(AND(R79="",S79="Yes",L79&gt;0,B79&lt;&gt;"TXO"),L79,"")</f>
        <v/>
      </c>
      <c r="AA79" s="226">
        <f>IF(AND(R79="",S79="Yes",L79&lt;0,B79&lt;&gt;"TXO"),L79,"")</f>
        <v/>
      </c>
    </row>
    <row r="80" outlineLevel="2" collapsed="1">
      <c r="A80" s="740" t="n">
        <v>43509</v>
      </c>
      <c r="B80" s="299" t="inlineStr">
        <is>
          <t>FIMTX</t>
        </is>
      </c>
      <c r="C80" s="300" t="inlineStr">
        <is>
          <t>小指02</t>
        </is>
      </c>
      <c r="D80" s="300" t="inlineStr">
        <is>
          <t>新倉</t>
        </is>
      </c>
      <c r="E80" s="301" t="inlineStr">
        <is>
          <t>賣</t>
        </is>
      </c>
      <c r="F80" s="300" t="inlineStr">
        <is>
          <t>-</t>
        </is>
      </c>
      <c r="G80" s="741" t="n">
        <v>1</v>
      </c>
      <c r="H80" s="741" t="n">
        <v>10071</v>
      </c>
      <c r="I80" s="741" t="n">
        <v>0</v>
      </c>
      <c r="J80" s="742" t="n">
        <v>23</v>
      </c>
      <c r="K80" s="742" t="n">
        <v>10</v>
      </c>
      <c r="L80" s="742">
        <f>IF(B80="TXO",I80-SUM(J80:K80),IF(B80="FITX",IF(D80="新倉",-SUM(J80:K80),IF(E80="賣",(H80-H79)*G80*200-SUM(J80:K80),(H79-H80)*G80*200-SUM(J80:K80))),IF(D80="新倉",-SUM(J80:K80),IF(E80="賣",(H80-H79)*G80*50-SUM(J80:K80),(H79-H80)*G80*50-SUM(J80:K80)))))</f>
        <v/>
      </c>
      <c r="M80" s="743">
        <f>L80</f>
        <v/>
      </c>
      <c r="N80" s="686">
        <f>IF(B80="TXO","",IF(D80="新倉","",IF(E80="賣",(H80-H79)*G80,(H79-H80)*G80)))</f>
        <v/>
      </c>
      <c r="O80" s="226" t="n">
        <v>0</v>
      </c>
      <c r="P80" s="667" t="n"/>
      <c r="Q80" s="297" t="inlineStr">
        <is>
          <t>3/3 買進2口</t>
        </is>
      </c>
      <c r="R80" s="249" t="inlineStr">
        <is>
          <t>Yes</t>
        </is>
      </c>
      <c r="S80" s="249" t="inlineStr">
        <is>
          <t>Yes</t>
        </is>
      </c>
      <c r="T80" s="61">
        <f>IF(AND(R80="Yes",S80&lt;&gt;"Yes",L80&gt;0,B80&lt;&gt;"TXO"),L80,"")</f>
        <v/>
      </c>
      <c r="U80" s="61">
        <f>IF(AND(R80="Yes",S80&lt;&gt;"Yes",L80&lt;0,B80&lt;&gt;"TXO"),L80,"")</f>
        <v/>
      </c>
      <c r="V80" s="61">
        <f>IF(AND(R80="",S80&lt;&gt;"Yes",L80&gt;0,B80&lt;&gt;"TXO"),L80,"")</f>
        <v/>
      </c>
      <c r="W80" s="61">
        <f>IF(AND(R80="",S80&lt;&gt;"Yes",L80&lt;0,B80&lt;&gt;"TXO"),L80,"")</f>
        <v/>
      </c>
      <c r="X80" s="226">
        <f>IF(AND(R80="Yes",S80="Yes",L80&gt;0,B80&lt;&gt;"TXO"),L80,"")</f>
        <v/>
      </c>
      <c r="Y80" s="226">
        <f>IF(AND(R80="Yes",S80="Yes",L80&lt;0,B80&lt;&gt;"TXO"),L80,"")</f>
        <v/>
      </c>
      <c r="Z80" s="226">
        <f>IF(AND(R80="",S80="Yes",L80&gt;0,B80&lt;&gt;"TXO"),L80,"")</f>
        <v/>
      </c>
      <c r="AA80" s="226">
        <f>IF(AND(R80="",S80="Yes",L80&lt;0,B80&lt;&gt;"TXO"),L80,"")</f>
        <v/>
      </c>
    </row>
    <row r="81" outlineLevel="2" collapsed="1">
      <c r="A81" s="740" t="n">
        <v>43509</v>
      </c>
      <c r="B81" s="299" t="inlineStr">
        <is>
          <t>FIMTX</t>
        </is>
      </c>
      <c r="C81" s="300" t="inlineStr">
        <is>
          <t>小指02</t>
        </is>
      </c>
      <c r="D81" s="300" t="inlineStr">
        <is>
          <t>平倉</t>
        </is>
      </c>
      <c r="E81" s="301" t="inlineStr">
        <is>
          <t>買</t>
        </is>
      </c>
      <c r="F81" s="300" t="inlineStr">
        <is>
          <t>-</t>
        </is>
      </c>
      <c r="G81" s="741" t="n">
        <v>1</v>
      </c>
      <c r="H81" s="741" t="n">
        <v>10060</v>
      </c>
      <c r="I81" s="741" t="n">
        <v>0</v>
      </c>
      <c r="J81" s="742" t="n">
        <v>23</v>
      </c>
      <c r="K81" s="742" t="n">
        <v>10</v>
      </c>
      <c r="L81" s="742">
        <f>IF(B81="TXO",I81-SUM(J81:K81),IF(B81="FITX",IF(D81="新倉",-SUM(J81:K81),IF(E81="賣",(H81-H80)*G81*200-SUM(J81:K81),(H80-H81)*G81*200-SUM(J81:K81))),IF(D81="新倉",-SUM(J81:K81),IF(E81="賣",(H81-H80)*G81*50-SUM(J81:K81),(H80-H81)*G81*50-SUM(J81:K81)))))</f>
        <v/>
      </c>
      <c r="M81" s="743">
        <f>L81</f>
        <v/>
      </c>
      <c r="N81" s="686">
        <f>IF(B81="TXO","",IF(D81="新倉","",IF(E81="賣",(H81-H80)*G81,(H80-H81)*G81)))</f>
        <v/>
      </c>
      <c r="O81" s="226" t="n">
        <v>0</v>
      </c>
      <c r="P81" s="667" t="n"/>
      <c r="Q81" s="297" t="inlineStr">
        <is>
          <t>技法: 刺補</t>
        </is>
      </c>
      <c r="R81" s="249" t="inlineStr">
        <is>
          <t>Yes</t>
        </is>
      </c>
      <c r="S81" s="249" t="inlineStr">
        <is>
          <t>Yes</t>
        </is>
      </c>
      <c r="T81" s="61">
        <f>IF(AND(R81="Yes",S81&lt;&gt;"Yes",L81&gt;0,B81&lt;&gt;"TXO"),L81,"")</f>
        <v/>
      </c>
      <c r="U81" s="61">
        <f>IF(AND(R81="Yes",S81&lt;&gt;"Yes",L81&lt;0,B81&lt;&gt;"TXO"),L81,"")</f>
        <v/>
      </c>
      <c r="V81" s="61">
        <f>IF(AND(R81="",S81&lt;&gt;"Yes",L81&gt;0,B81&lt;&gt;"TXO"),L81,"")</f>
        <v/>
      </c>
      <c r="W81" s="61">
        <f>IF(AND(R81="",S81&lt;&gt;"Yes",L81&lt;0,B81&lt;&gt;"TXO"),L81,"")</f>
        <v/>
      </c>
      <c r="X81" s="226">
        <f>IF(AND(R81="Yes",S81="Yes",L81&gt;0,B81&lt;&gt;"TXO"),L81,"")</f>
        <v/>
      </c>
      <c r="Y81" s="226">
        <f>IF(AND(R81="Yes",S81="Yes",L81&lt;0,B81&lt;&gt;"TXO"),L81,"")</f>
        <v/>
      </c>
      <c r="Z81" s="226">
        <f>IF(AND(R81="",S81="Yes",L81&gt;0,B81&lt;&gt;"TXO"),L81,"")</f>
        <v/>
      </c>
      <c r="AA81" s="226">
        <f>IF(AND(R81="",S81="Yes",L81&lt;0,B81&lt;&gt;"TXO"),L81,"")</f>
        <v/>
      </c>
    </row>
    <row r="82" outlineLevel="1">
      <c r="A82" s="696" t="n">
        <v>43510</v>
      </c>
      <c r="B82" s="234" t="inlineStr">
        <is>
          <t>FIMTX</t>
        </is>
      </c>
      <c r="C82" s="229" t="inlineStr">
        <is>
          <t>小指02</t>
        </is>
      </c>
      <c r="D82" s="229" t="inlineStr">
        <is>
          <t>新倉</t>
        </is>
      </c>
      <c r="E82" s="257" t="inlineStr">
        <is>
          <t>賣</t>
        </is>
      </c>
      <c r="F82" s="229" t="inlineStr">
        <is>
          <t>-</t>
        </is>
      </c>
      <c r="G82" s="697" t="n">
        <v>2</v>
      </c>
      <c r="H82" s="697" t="n">
        <v>10081</v>
      </c>
      <c r="I82" s="697" t="n">
        <v>0</v>
      </c>
      <c r="J82" s="585" t="n">
        <v>46</v>
      </c>
      <c r="K82" s="585" t="n">
        <v>20</v>
      </c>
      <c r="L82" s="585">
        <f>IF(B82="TXO",I82-SUM(J82:K82),IF(B82="FITX",IF(D82="新倉",-SUM(J82:K82),IF(E82="賣",(H82-H81)*G82*200-SUM(J82:K82),(H81-H82)*G82*200-SUM(J82:K82))),IF(D82="新倉",-SUM(J82:K82),IF(E82="賣",(H82-H81)*G82*50-SUM(J82:K82),(H81-H82)*G82*50-SUM(J82:K82)))))</f>
        <v/>
      </c>
      <c r="M82" s="699">
        <f>L82</f>
        <v/>
      </c>
      <c r="N82" s="686">
        <f>IF(B82="TXO","",IF(D82="新倉","",IF(E82="賣",(H82-H81)*G82,(H81-H82)*G82)))</f>
        <v/>
      </c>
      <c r="O82" s="226" t="n">
        <v>0</v>
      </c>
      <c r="P82" s="667">
        <f>SUM(L82:L87)</f>
        <v/>
      </c>
      <c r="Q82" s="249" t="inlineStr">
        <is>
          <t>3/3 買進2口</t>
        </is>
      </c>
      <c r="S82" s="249" t="n"/>
      <c r="T82" s="61">
        <f>IF(AND(R82="Yes",S82&lt;&gt;"Yes",L82&gt;0,B82&lt;&gt;"TXO"),L82,"")</f>
        <v/>
      </c>
      <c r="U82" s="61">
        <f>IF(AND(R82="Yes",S82&lt;&gt;"Yes",L82&lt;0,B82&lt;&gt;"TXO"),L82,"")</f>
        <v/>
      </c>
      <c r="V82" s="61">
        <f>IF(AND(R82="",S82&lt;&gt;"Yes",L82&gt;0,B82&lt;&gt;"TXO"),L82,"")</f>
        <v/>
      </c>
      <c r="W82" s="61">
        <f>IF(AND(R82="",S82&lt;&gt;"Yes",L82&lt;0,B82&lt;&gt;"TXO"),L82,"")</f>
        <v/>
      </c>
      <c r="X82" s="226">
        <f>IF(AND(R82="Yes",S82="Yes",L82&gt;0,B82&lt;&gt;"TXO"),L82,"")</f>
        <v/>
      </c>
      <c r="Y82" s="226">
        <f>IF(AND(R82="Yes",S82="Yes",L82&lt;0,B82&lt;&gt;"TXO"),L82,"")</f>
        <v/>
      </c>
      <c r="Z82" s="226">
        <f>IF(AND(R82="",S82="Yes",L82&gt;0,B82&lt;&gt;"TXO"),L82,"")</f>
        <v/>
      </c>
      <c r="AA82" s="226">
        <f>IF(AND(R82="",S82="Yes",L82&lt;0,B82&lt;&gt;"TXO"),L82,"")</f>
        <v/>
      </c>
    </row>
    <row r="83" outlineLevel="2">
      <c r="A83" s="696" t="n">
        <v>43510</v>
      </c>
      <c r="B83" s="234" t="inlineStr">
        <is>
          <t>FIMTX</t>
        </is>
      </c>
      <c r="C83" s="229" t="inlineStr">
        <is>
          <t>小指02</t>
        </is>
      </c>
      <c r="D83" s="229" t="inlineStr">
        <is>
          <t>平倉</t>
        </is>
      </c>
      <c r="E83" s="257" t="inlineStr">
        <is>
          <t>買</t>
        </is>
      </c>
      <c r="F83" s="229" t="inlineStr">
        <is>
          <t>-</t>
        </is>
      </c>
      <c r="G83" s="697" t="n">
        <v>2</v>
      </c>
      <c r="H83" s="697" t="n">
        <v>10087</v>
      </c>
      <c r="I83" s="697" t="n">
        <v>0</v>
      </c>
      <c r="J83" s="585" t="n">
        <v>46</v>
      </c>
      <c r="K83" s="585" t="n">
        <v>20</v>
      </c>
      <c r="L83" s="585">
        <f>IF(B83="TXO",I83-SUM(J83:K83),IF(B83="FITX",IF(D83="新倉",-SUM(J83:K83),IF(E83="賣",(H83-H82)*G83*200-SUM(J83:K83),(H82-H83)*G83*200-SUM(J83:K83))),IF(D83="新倉",-SUM(J83:K83),IF(E83="賣",(H83-H82)*G83*50-SUM(J83:K83),(H82-H83)*G83*50-SUM(J83:K83)))))</f>
        <v/>
      </c>
      <c r="M83" s="699">
        <f>L83</f>
        <v/>
      </c>
      <c r="N83" s="686">
        <f>IF(B83="TXO","",IF(D83="新倉","",IF(E83="賣",(H83-H82)*G83,(H82-H83)*G83)))</f>
        <v/>
      </c>
      <c r="O83" s="226" t="n">
        <v>0</v>
      </c>
      <c r="P83" s="667" t="n"/>
      <c r="Q83" s="249" t="inlineStr">
        <is>
          <t>技法: 碰10MA出場(停損)</t>
        </is>
      </c>
      <c r="S83" s="249" t="n"/>
      <c r="T83" s="61">
        <f>IF(AND(R83="Yes",S83&lt;&gt;"Yes",L83&gt;0,B83&lt;&gt;"TXO"),L83,"")</f>
        <v/>
      </c>
      <c r="U83" s="61">
        <f>IF(AND(R83="Yes",S83&lt;&gt;"Yes",L83&lt;0,B83&lt;&gt;"TXO"),L83,"")</f>
        <v/>
      </c>
      <c r="V83" s="61">
        <f>IF(AND(R83="",S83&lt;&gt;"Yes",L83&gt;0,B83&lt;&gt;"TXO"),L83,"")</f>
        <v/>
      </c>
      <c r="W83" s="61">
        <f>IF(AND(R83="",S83&lt;&gt;"Yes",L83&lt;0,B83&lt;&gt;"TXO"),L83,"")</f>
        <v/>
      </c>
      <c r="X83" s="226">
        <f>IF(AND(R83="Yes",S83="Yes",L83&gt;0,B83&lt;&gt;"TXO"),L83,"")</f>
        <v/>
      </c>
      <c r="Y83" s="226">
        <f>IF(AND(R83="Yes",S83="Yes",L83&lt;0,B83&lt;&gt;"TXO"),L83,"")</f>
        <v/>
      </c>
      <c r="Z83" s="226">
        <f>IF(AND(R83="",S83="Yes",L83&gt;0,B83&lt;&gt;"TXO"),L83,"")</f>
        <v/>
      </c>
      <c r="AA83" s="226">
        <f>IF(AND(R83="",S83="Yes",L83&lt;0,B83&lt;&gt;"TXO"),L83,"")</f>
        <v/>
      </c>
    </row>
    <row r="84" outlineLevel="2">
      <c r="A84" s="696" t="n">
        <v>43510</v>
      </c>
      <c r="B84" s="234" t="inlineStr">
        <is>
          <t>FIMTX</t>
        </is>
      </c>
      <c r="C84" s="229" t="inlineStr">
        <is>
          <t>小指02</t>
        </is>
      </c>
      <c r="D84" s="229" t="inlineStr">
        <is>
          <t>新倉</t>
        </is>
      </c>
      <c r="E84" s="257" t="inlineStr">
        <is>
          <t>賣</t>
        </is>
      </c>
      <c r="F84" s="229" t="inlineStr">
        <is>
          <t>-</t>
        </is>
      </c>
      <c r="G84" s="697" t="n">
        <v>2</v>
      </c>
      <c r="H84" s="697" t="n">
        <v>10053</v>
      </c>
      <c r="I84" s="697" t="n">
        <v>0</v>
      </c>
      <c r="J84" s="585" t="n">
        <v>46</v>
      </c>
      <c r="K84" s="585" t="n">
        <v>20</v>
      </c>
      <c r="L84" s="585">
        <f>IF(B84="TXO",I84-SUM(J84:K84),IF(B84="FITX",IF(D84="新倉",-SUM(J84:K84),IF(E84="賣",(H84-H83)*G84*200-SUM(J84:K84),(H83-H84)*G84*200-SUM(J84:K84))),IF(D84="新倉",-SUM(J84:K84),IF(E84="賣",(H84-H83)*G84*50-SUM(J84:K84),(H83-H84)*G84*50-SUM(J84:K84)))))</f>
        <v/>
      </c>
      <c r="M84" s="699">
        <f>L84</f>
        <v/>
      </c>
      <c r="N84" s="686">
        <f>IF(B84="TXO","",IF(D84="新倉","",IF(E84="賣",(H84-H83)*G84,(H83-H84)*G84)))</f>
        <v/>
      </c>
      <c r="O84" s="226" t="n">
        <v>0</v>
      </c>
      <c r="P84" s="667" t="n"/>
      <c r="Q84" s="249" t="inlineStr">
        <is>
          <t>3/3 買進3口</t>
        </is>
      </c>
      <c r="S84" s="249" t="inlineStr">
        <is>
          <t>Yes</t>
        </is>
      </c>
      <c r="T84" s="61">
        <f>IF(AND(R84="Yes",S84&lt;&gt;"Yes",L84&gt;0,B84&lt;&gt;"TXO"),L84,"")</f>
        <v/>
      </c>
      <c r="U84" s="61">
        <f>IF(AND(R84="Yes",S84&lt;&gt;"Yes",L84&lt;0,B84&lt;&gt;"TXO"),L84,"")</f>
        <v/>
      </c>
      <c r="V84" s="61">
        <f>IF(AND(R84="",S84&lt;&gt;"Yes",L84&gt;0,B84&lt;&gt;"TXO"),L84,"")</f>
        <v/>
      </c>
      <c r="W84" s="61">
        <f>IF(AND(R84="",S84&lt;&gt;"Yes",L84&lt;0,B84&lt;&gt;"TXO"),L84,"")</f>
        <v/>
      </c>
      <c r="X84" s="226">
        <f>IF(AND(R84="Yes",S84="Yes",L84&gt;0,B84&lt;&gt;"TXO"),L84,"")</f>
        <v/>
      </c>
      <c r="Y84" s="226">
        <f>IF(AND(R84="Yes",S84="Yes",L84&lt;0,B84&lt;&gt;"TXO"),L84,"")</f>
        <v/>
      </c>
      <c r="Z84" s="226">
        <f>IF(AND(R84="",S84="Yes",L84&gt;0,B84&lt;&gt;"TXO"),L84,"")</f>
        <v/>
      </c>
      <c r="AA84" s="226">
        <f>IF(AND(R84="",S84="Yes",L84&lt;0,B84&lt;&gt;"TXO"),L84,"")</f>
        <v/>
      </c>
    </row>
    <row r="85" outlineLevel="2">
      <c r="A85" s="696" t="n">
        <v>43510</v>
      </c>
      <c r="B85" s="234" t="inlineStr">
        <is>
          <t>FIMTX</t>
        </is>
      </c>
      <c r="C85" s="229" t="inlineStr">
        <is>
          <t>小指02</t>
        </is>
      </c>
      <c r="D85" s="229" t="inlineStr">
        <is>
          <t>平倉</t>
        </is>
      </c>
      <c r="E85" s="257" t="inlineStr">
        <is>
          <t>買</t>
        </is>
      </c>
      <c r="F85" s="229" t="inlineStr">
        <is>
          <t>-</t>
        </is>
      </c>
      <c r="G85" s="697" t="n">
        <v>2</v>
      </c>
      <c r="H85" s="697" t="n">
        <v>10061</v>
      </c>
      <c r="I85" s="697" t="n">
        <v>0</v>
      </c>
      <c r="J85" s="585" t="n">
        <v>46</v>
      </c>
      <c r="K85" s="585" t="n">
        <v>20</v>
      </c>
      <c r="L85" s="585">
        <f>IF(B85="TXO",I85-SUM(J85:K85),IF(B85="FITX",IF(D85="新倉",-SUM(J85:K85),IF(E85="賣",(H85-H84)*G85*200-SUM(J85:K85),(H84-H85)*G85*200-SUM(J85:K85))),IF(D85="新倉",-SUM(J85:K85),IF(E85="賣",(H85-H84)*G85*50-SUM(J85:K85),(H84-H85)*G85*50-SUM(J85:K85)))))</f>
        <v/>
      </c>
      <c r="M85" s="699">
        <f>L85</f>
        <v/>
      </c>
      <c r="N85" s="686">
        <f>IF(B85="TXO","",IF(D85="新倉","",IF(E85="賣",(H85-H84)*G85,(H84-H85)*G85)))</f>
        <v/>
      </c>
      <c r="O85" s="226" t="n">
        <v>0</v>
      </c>
      <c r="P85" s="667" t="n"/>
      <c r="Q85" s="249" t="inlineStr">
        <is>
          <t>技法: 碰10MA出場(停損)</t>
        </is>
      </c>
      <c r="S85" s="249" t="inlineStr">
        <is>
          <t>Yes</t>
        </is>
      </c>
      <c r="T85" s="61">
        <f>IF(AND(R85="Yes",S85&lt;&gt;"Yes",L85&gt;0,B85&lt;&gt;"TXO"),L85,"")</f>
        <v/>
      </c>
      <c r="U85" s="61">
        <f>IF(AND(R85="Yes",S85&lt;&gt;"Yes",L85&lt;0,B85&lt;&gt;"TXO"),L85,"")</f>
        <v/>
      </c>
      <c r="V85" s="61">
        <f>IF(AND(R85="",S85&lt;&gt;"Yes",L85&gt;0,B85&lt;&gt;"TXO"),L85,"")</f>
        <v/>
      </c>
      <c r="W85" s="61">
        <f>IF(AND(R85="",S85&lt;&gt;"Yes",L85&lt;0,B85&lt;&gt;"TXO"),L85,"")</f>
        <v/>
      </c>
      <c r="X85" s="226">
        <f>IF(AND(R85="Yes",S85="Yes",L85&gt;0,B85&lt;&gt;"TXO"),L85,"")</f>
        <v/>
      </c>
      <c r="Y85" s="226">
        <f>IF(AND(R85="Yes",S85="Yes",L85&lt;0,B85&lt;&gt;"TXO"),L85,"")</f>
        <v/>
      </c>
      <c r="Z85" s="226">
        <f>IF(AND(R85="",S85="Yes",L85&gt;0,B85&lt;&gt;"TXO"),L85,"")</f>
        <v/>
      </c>
      <c r="AA85" s="226">
        <f>IF(AND(R85="",S85="Yes",L85&lt;0,B85&lt;&gt;"TXO"),L85,"")</f>
        <v/>
      </c>
    </row>
    <row r="86" outlineLevel="2">
      <c r="A86" s="696" t="n">
        <v>43510</v>
      </c>
      <c r="B86" s="234" t="inlineStr">
        <is>
          <t>FIMTX</t>
        </is>
      </c>
      <c r="C86" s="229" t="inlineStr">
        <is>
          <t>小指02</t>
        </is>
      </c>
      <c r="D86" s="229" t="inlineStr">
        <is>
          <t>新倉</t>
        </is>
      </c>
      <c r="E86" s="257" t="inlineStr">
        <is>
          <t>賣</t>
        </is>
      </c>
      <c r="F86" s="229" t="inlineStr">
        <is>
          <t>-</t>
        </is>
      </c>
      <c r="G86" s="697" t="n">
        <v>1</v>
      </c>
      <c r="H86" s="697" t="n">
        <v>10053</v>
      </c>
      <c r="I86" s="697" t="n">
        <v>0</v>
      </c>
      <c r="J86" s="585" t="n">
        <v>23</v>
      </c>
      <c r="K86" s="585" t="n">
        <v>10</v>
      </c>
      <c r="L86" s="585">
        <f>IF(B86="TXO",I86-SUM(J86:K86),IF(B86="FITX",IF(D86="新倉",-SUM(J86:K86),IF(E86="賣",(H86-H85)*G86*200-SUM(J86:K86),(H85-H86)*G86*200-SUM(J86:K86))),IF(D86="新倉",-SUM(J86:K86),IF(E86="賣",(H86-H85)*G86*50-SUM(J86:K86),(H85-H86)*G86*50-SUM(J86:K86)))))</f>
        <v/>
      </c>
      <c r="M86" s="699">
        <f>L86</f>
        <v/>
      </c>
      <c r="N86" s="686">
        <f>IF(B86="TXO","",IF(D86="新倉","",IF(E86="賣",(H86-H85)*G86,(H85-H86)*G86)))</f>
        <v/>
      </c>
      <c r="O86" s="226" t="n">
        <v>0</v>
      </c>
      <c r="P86" s="667" t="n"/>
      <c r="S86" s="249" t="inlineStr">
        <is>
          <t>Yes</t>
        </is>
      </c>
      <c r="T86" s="61">
        <f>IF(AND(R86="Yes",S86&lt;&gt;"Yes",L86&gt;0,B86&lt;&gt;"TXO"),L86,"")</f>
        <v/>
      </c>
      <c r="U86" s="61">
        <f>IF(AND(R86="Yes",S86&lt;&gt;"Yes",L86&lt;0,B86&lt;&gt;"TXO"),L86,"")</f>
        <v/>
      </c>
      <c r="V86" s="61">
        <f>IF(AND(R86="",S86&lt;&gt;"Yes",L86&gt;0,B86&lt;&gt;"TXO"),L86,"")</f>
        <v/>
      </c>
      <c r="W86" s="61">
        <f>IF(AND(R86="",S86&lt;&gt;"Yes",L86&lt;0,B86&lt;&gt;"TXO"),L86,"")</f>
        <v/>
      </c>
      <c r="X86" s="226">
        <f>IF(AND(R86="Yes",S86="Yes",L86&gt;0,B86&lt;&gt;"TXO"),L86,"")</f>
        <v/>
      </c>
      <c r="Y86" s="226">
        <f>IF(AND(R86="Yes",S86="Yes",L86&lt;0,B86&lt;&gt;"TXO"),L86,"")</f>
        <v/>
      </c>
      <c r="Z86" s="226">
        <f>IF(AND(R86="",S86="Yes",L86&gt;0,B86&lt;&gt;"TXO"),L86,"")</f>
        <v/>
      </c>
      <c r="AA86" s="226">
        <f>IF(AND(R86="",S86="Yes",L86&lt;0,B86&lt;&gt;"TXO"),L86,"")</f>
        <v/>
      </c>
    </row>
    <row r="87" outlineLevel="2">
      <c r="A87" s="696" t="n">
        <v>43510</v>
      </c>
      <c r="B87" s="234" t="inlineStr">
        <is>
          <t>FIMTX</t>
        </is>
      </c>
      <c r="C87" s="229" t="inlineStr">
        <is>
          <t>小指02</t>
        </is>
      </c>
      <c r="D87" s="229" t="inlineStr">
        <is>
          <t>平倉</t>
        </is>
      </c>
      <c r="E87" s="257" t="inlineStr">
        <is>
          <t>買</t>
        </is>
      </c>
      <c r="F87" s="229" t="inlineStr">
        <is>
          <t>-</t>
        </is>
      </c>
      <c r="G87" s="697" t="n">
        <v>1</v>
      </c>
      <c r="H87" s="697" t="n">
        <v>10060</v>
      </c>
      <c r="I87" s="697" t="n">
        <v>0</v>
      </c>
      <c r="J87" s="585" t="n">
        <v>23</v>
      </c>
      <c r="K87" s="585" t="n">
        <v>10</v>
      </c>
      <c r="L87" s="585">
        <f>IF(B87="TXO",I87-SUM(J87:K87),IF(B87="FITX",IF(D87="新倉",-SUM(J87:K87),IF(E87="賣",(H87-H86)*G87*200-SUM(J87:K87),(H86-H87)*G87*200-SUM(J87:K87))),IF(D87="新倉",-SUM(J87:K87),IF(E87="賣",(H87-H86)*G87*50-SUM(J87:K87),(H86-H87)*G87*50-SUM(J87:K87)))))</f>
        <v/>
      </c>
      <c r="M87" s="699">
        <f>L87</f>
        <v/>
      </c>
      <c r="N87" s="686">
        <f>IF(B87="TXO","",IF(D87="新倉","",IF(E87="賣",(H87-H86)*G87,(H86-H87)*G87)))</f>
        <v/>
      </c>
      <c r="O87" s="226" t="n">
        <v>0</v>
      </c>
      <c r="P87" s="667" t="n"/>
      <c r="Q87" s="249" t="inlineStr">
        <is>
          <t>技法: 碰10MA出場(停損)</t>
        </is>
      </c>
      <c r="S87" s="249" t="inlineStr">
        <is>
          <t>Yes</t>
        </is>
      </c>
      <c r="T87" s="61">
        <f>IF(AND(R87="Yes",S87&lt;&gt;"Yes",L87&gt;0,B87&lt;&gt;"TXO"),L87,"")</f>
        <v/>
      </c>
      <c r="U87" s="61">
        <f>IF(AND(R87="Yes",S87&lt;&gt;"Yes",L87&lt;0,B87&lt;&gt;"TXO"),L87,"")</f>
        <v/>
      </c>
      <c r="V87" s="61">
        <f>IF(AND(R87="",S87&lt;&gt;"Yes",L87&gt;0,B87&lt;&gt;"TXO"),L87,"")</f>
        <v/>
      </c>
      <c r="W87" s="61">
        <f>IF(AND(R87="",S87&lt;&gt;"Yes",L87&lt;0,B87&lt;&gt;"TXO"),L87,"")</f>
        <v/>
      </c>
      <c r="X87" s="226">
        <f>IF(AND(R87="Yes",S87="Yes",L87&gt;0,B87&lt;&gt;"TXO"),L87,"")</f>
        <v/>
      </c>
      <c r="Y87" s="226">
        <f>IF(AND(R87="Yes",S87="Yes",L87&lt;0,B87&lt;&gt;"TXO"),L87,"")</f>
        <v/>
      </c>
      <c r="Z87" s="226">
        <f>IF(AND(R87="",S87="Yes",L87&gt;0,B87&lt;&gt;"TXO"),L87,"")</f>
        <v/>
      </c>
      <c r="AA87" s="226">
        <f>IF(AND(R87="",S87="Yes",L87&lt;0,B87&lt;&gt;"TXO"),L87,"")</f>
        <v/>
      </c>
    </row>
    <row r="88" outlineLevel="1">
      <c r="A88" s="740" t="n">
        <v>43515</v>
      </c>
      <c r="B88" s="299" t="inlineStr">
        <is>
          <t>FIMTX</t>
        </is>
      </c>
      <c r="C88" s="300" t="inlineStr">
        <is>
          <t>小指02</t>
        </is>
      </c>
      <c r="D88" s="300" t="inlineStr">
        <is>
          <t>新倉</t>
        </is>
      </c>
      <c r="E88" s="301" t="inlineStr">
        <is>
          <t>買</t>
        </is>
      </c>
      <c r="F88" s="300" t="inlineStr">
        <is>
          <t>-</t>
        </is>
      </c>
      <c r="G88" s="741" t="n">
        <v>1</v>
      </c>
      <c r="H88" s="741" t="n">
        <v>10140</v>
      </c>
      <c r="I88" s="741" t="n">
        <v>0</v>
      </c>
      <c r="J88" s="742" t="n">
        <v>23</v>
      </c>
      <c r="K88" s="742" t="n">
        <v>10</v>
      </c>
      <c r="L88" s="742">
        <f>IF(B88="TXO",I88-SUM(J88:K88),IF(B88="FITX",IF(D88="新倉",-SUM(J88:K88),IF(E88="賣",(H88-H87)*G88*200-SUM(J88:K88),(H87-H88)*G88*200-SUM(J88:K88))),IF(D88="新倉",-SUM(J88:K88),IF(E88="賣",(H88-H87)*G88*50-SUM(J88:K88),(H87-H88)*G88*50-SUM(J88:K88)))))</f>
        <v/>
      </c>
      <c r="M88" s="743">
        <f>L88</f>
        <v/>
      </c>
      <c r="N88" s="686">
        <f>IF(B88="TXO","",IF(D88="新倉","",IF(E88="賣",(H88-H87)*G88,(H87-H88)*G88)))</f>
        <v/>
      </c>
      <c r="O88" s="226" t="n">
        <v>0</v>
      </c>
      <c r="P88" s="667">
        <f>SUM(L88:L93)</f>
        <v/>
      </c>
      <c r="Q88" s="249" t="inlineStr">
        <is>
          <t>3/3 買進2口</t>
        </is>
      </c>
      <c r="R88" s="249" t="inlineStr">
        <is>
          <t>Yes</t>
        </is>
      </c>
      <c r="S88" s="249" t="n"/>
      <c r="T88" s="61">
        <f>IF(AND(R88="Yes",S88&lt;&gt;"Yes",L88&gt;0,B88&lt;&gt;"TXO"),L88,"")</f>
        <v/>
      </c>
      <c r="U88" s="61">
        <f>IF(AND(R88="Yes",S88&lt;&gt;"Yes",L88&lt;0,B88&lt;&gt;"TXO"),L88,"")</f>
        <v/>
      </c>
      <c r="V88" s="61">
        <f>IF(AND(R88="",S88&lt;&gt;"Yes",L88&gt;0,B88&lt;&gt;"TXO"),L88,"")</f>
        <v/>
      </c>
      <c r="W88" s="61">
        <f>IF(AND(R88="",S88&lt;&gt;"Yes",L88&lt;0,B88&lt;&gt;"TXO"),L88,"")</f>
        <v/>
      </c>
      <c r="X88" s="226">
        <f>IF(AND(R88="Yes",S88="Yes",L88&gt;0,B88&lt;&gt;"TXO"),L88,"")</f>
        <v/>
      </c>
      <c r="Y88" s="226">
        <f>IF(AND(R88="Yes",S88="Yes",L88&lt;0,B88&lt;&gt;"TXO"),L88,"")</f>
        <v/>
      </c>
      <c r="Z88" s="226">
        <f>IF(AND(R88="",S88="Yes",L88&gt;0,B88&lt;&gt;"TXO"),L88,"")</f>
        <v/>
      </c>
      <c r="AA88" s="226">
        <f>IF(AND(R88="",S88="Yes",L88&lt;0,B88&lt;&gt;"TXO"),L88,"")</f>
        <v/>
      </c>
    </row>
    <row r="89" outlineLevel="2" collapsed="1">
      <c r="A89" s="740" t="n">
        <v>43515</v>
      </c>
      <c r="B89" s="299" t="inlineStr">
        <is>
          <t>FIMTX</t>
        </is>
      </c>
      <c r="C89" s="300" t="inlineStr">
        <is>
          <t>小指02</t>
        </is>
      </c>
      <c r="D89" s="300" t="inlineStr">
        <is>
          <t>平倉</t>
        </is>
      </c>
      <c r="E89" s="301" t="inlineStr">
        <is>
          <t>賣</t>
        </is>
      </c>
      <c r="F89" s="300" t="inlineStr">
        <is>
          <t>-</t>
        </is>
      </c>
      <c r="G89" s="741" t="n">
        <v>1</v>
      </c>
      <c r="H89" s="741" t="n">
        <v>10144</v>
      </c>
      <c r="I89" s="741" t="n">
        <v>0</v>
      </c>
      <c r="J89" s="742" t="n">
        <v>23</v>
      </c>
      <c r="K89" s="742" t="n">
        <v>10</v>
      </c>
      <c r="L89" s="742">
        <f>IF(B89="TXO",I89-SUM(J89:K89),IF(B89="FITX",IF(D89="新倉",-SUM(J89:K89),IF(E89="賣",(H89-H88)*G89*200-SUM(J89:K89),(H88-H89)*G89*200-SUM(J89:K89))),IF(D89="新倉",-SUM(J89:K89),IF(E89="賣",(H89-H88)*G89*50-SUM(J89:K89),(H88-H89)*G89*50-SUM(J89:K89)))))</f>
        <v/>
      </c>
      <c r="M89" s="743">
        <f>L89</f>
        <v/>
      </c>
      <c r="N89" s="686">
        <f>IF(B89="TXO","",IF(D89="新倉","",IF(E89="賣",(H89-H88)*G89,(H88-H89)*G89)))</f>
        <v/>
      </c>
      <c r="O89" s="226" t="n">
        <v>0</v>
      </c>
      <c r="P89" s="667" t="n"/>
      <c r="Q89" s="249" t="inlineStr">
        <is>
          <t>5點停利</t>
        </is>
      </c>
      <c r="R89" s="249" t="inlineStr">
        <is>
          <t>Yes</t>
        </is>
      </c>
      <c r="S89" s="249" t="n"/>
      <c r="T89" s="61">
        <f>IF(AND(R89="Yes",S89&lt;&gt;"Yes",L89&gt;0,B89&lt;&gt;"TXO"),L89,"")</f>
        <v/>
      </c>
      <c r="U89" s="61">
        <f>IF(AND(R89="Yes",S89&lt;&gt;"Yes",L89&lt;0,B89&lt;&gt;"TXO"),L89,"")</f>
        <v/>
      </c>
      <c r="V89" s="61">
        <f>IF(AND(R89="",S89&lt;&gt;"Yes",L89&gt;0,B89&lt;&gt;"TXO"),L89,"")</f>
        <v/>
      </c>
      <c r="W89" s="61">
        <f>IF(AND(R89="",S89&lt;&gt;"Yes",L89&lt;0,B89&lt;&gt;"TXO"),L89,"")</f>
        <v/>
      </c>
      <c r="X89" s="226">
        <f>IF(AND(R89="Yes",S89="Yes",L89&gt;0,B89&lt;&gt;"TXO"),L89,"")</f>
        <v/>
      </c>
      <c r="Y89" s="226">
        <f>IF(AND(R89="Yes",S89="Yes",L89&lt;0,B89&lt;&gt;"TXO"),L89,"")</f>
        <v/>
      </c>
      <c r="Z89" s="226">
        <f>IF(AND(R89="",S89="Yes",L89&gt;0,B89&lt;&gt;"TXO"),L89,"")</f>
        <v/>
      </c>
      <c r="AA89" s="226">
        <f>IF(AND(R89="",S89="Yes",L89&lt;0,B89&lt;&gt;"TXO"),L89,"")</f>
        <v/>
      </c>
    </row>
    <row r="90" outlineLevel="2" collapsed="1">
      <c r="A90" s="740" t="n">
        <v>43515</v>
      </c>
      <c r="B90" s="299" t="inlineStr">
        <is>
          <t>FIMTX</t>
        </is>
      </c>
      <c r="C90" s="300" t="inlineStr">
        <is>
          <t>小指02</t>
        </is>
      </c>
      <c r="D90" s="300" t="inlineStr">
        <is>
          <t>新倉</t>
        </is>
      </c>
      <c r="E90" s="301" t="inlineStr">
        <is>
          <t>買</t>
        </is>
      </c>
      <c r="F90" s="300" t="inlineStr">
        <is>
          <t>-</t>
        </is>
      </c>
      <c r="G90" s="741" t="n">
        <v>1</v>
      </c>
      <c r="H90" s="741" t="n">
        <v>10140</v>
      </c>
      <c r="I90" s="741" t="n">
        <v>0</v>
      </c>
      <c r="J90" s="742" t="n">
        <v>23</v>
      </c>
      <c r="K90" s="742" t="n">
        <v>10</v>
      </c>
      <c r="L90" s="742">
        <f>IF(B90="TXO",I90-SUM(J90:K90),IF(B90="FITX",IF(D90="新倉",-SUM(J90:K90),IF(E90="賣",(H90-H89)*G90*200-SUM(J90:K90),(H89-H90)*G90*200-SUM(J90:K90))),IF(D90="新倉",-SUM(J90:K90),IF(E90="賣",(H90-H89)*G90*50-SUM(J90:K90),(H89-H90)*G90*50-SUM(J90:K90)))))</f>
        <v/>
      </c>
      <c r="M90" s="743">
        <f>L90</f>
        <v/>
      </c>
      <c r="N90" s="686">
        <f>IF(B90="TXO","",IF(D90="新倉","",IF(E90="賣",(H90-H89)*G90,(H89-H90)*G90)))</f>
        <v/>
      </c>
      <c r="O90" s="226" t="n">
        <v>0</v>
      </c>
      <c r="P90" s="667" t="n"/>
      <c r="Q90" s="249" t="inlineStr">
        <is>
          <t>3/3 買進2口</t>
        </is>
      </c>
      <c r="R90" s="249" t="inlineStr">
        <is>
          <t>Yes</t>
        </is>
      </c>
      <c r="S90" s="249" t="n"/>
      <c r="T90" s="61">
        <f>IF(AND(R90="Yes",S90&lt;&gt;"Yes",L90&gt;0,B90&lt;&gt;"TXO"),L90,"")</f>
        <v/>
      </c>
      <c r="U90" s="61">
        <f>IF(AND(R90="Yes",S90&lt;&gt;"Yes",L90&lt;0,B90&lt;&gt;"TXO"),L90,"")</f>
        <v/>
      </c>
      <c r="V90" s="61">
        <f>IF(AND(R90="",S90&lt;&gt;"Yes",L90&gt;0,B90&lt;&gt;"TXO"),L90,"")</f>
        <v/>
      </c>
      <c r="W90" s="61">
        <f>IF(AND(R90="",S90&lt;&gt;"Yes",L90&lt;0,B90&lt;&gt;"TXO"),L90,"")</f>
        <v/>
      </c>
      <c r="X90" s="226">
        <f>IF(AND(R90="Yes",S90="Yes",L90&gt;0,B90&lt;&gt;"TXO"),L90,"")</f>
        <v/>
      </c>
      <c r="Y90" s="226">
        <f>IF(AND(R90="Yes",S90="Yes",L90&lt;0,B90&lt;&gt;"TXO"),L90,"")</f>
        <v/>
      </c>
      <c r="Z90" s="226">
        <f>IF(AND(R90="",S90="Yes",L90&gt;0,B90&lt;&gt;"TXO"),L90,"")</f>
        <v/>
      </c>
      <c r="AA90" s="226">
        <f>IF(AND(R90="",S90="Yes",L90&lt;0,B90&lt;&gt;"TXO"),L90,"")</f>
        <v/>
      </c>
    </row>
    <row r="91" outlineLevel="2" collapsed="1">
      <c r="A91" s="740" t="n">
        <v>43515</v>
      </c>
      <c r="B91" s="299" t="inlineStr">
        <is>
          <t>FIMTX</t>
        </is>
      </c>
      <c r="C91" s="300" t="inlineStr">
        <is>
          <t>小指02</t>
        </is>
      </c>
      <c r="D91" s="300" t="inlineStr">
        <is>
          <t>平倉</t>
        </is>
      </c>
      <c r="E91" s="301" t="inlineStr">
        <is>
          <t>賣</t>
        </is>
      </c>
      <c r="F91" s="300" t="inlineStr">
        <is>
          <t>-</t>
        </is>
      </c>
      <c r="G91" s="741" t="n">
        <v>1</v>
      </c>
      <c r="H91" s="741" t="n">
        <v>10152</v>
      </c>
      <c r="I91" s="741" t="n">
        <v>0</v>
      </c>
      <c r="J91" s="742" t="n">
        <v>23</v>
      </c>
      <c r="K91" s="742" t="n">
        <v>10</v>
      </c>
      <c r="L91" s="742">
        <f>IF(B91="TXO",I91-SUM(J91:K91),IF(B91="FITX",IF(D91="新倉",-SUM(J91:K91),IF(E91="賣",(H91-H90)*G91*200-SUM(J91:K91),(H90-H91)*G91*200-SUM(J91:K91))),IF(D91="新倉",-SUM(J91:K91),IF(E91="賣",(H91-H90)*G91*50-SUM(J91:K91),(H90-H91)*G91*50-SUM(J91:K91)))))</f>
        <v/>
      </c>
      <c r="M91" s="743">
        <f>L91</f>
        <v/>
      </c>
      <c r="N91" s="686">
        <f>IF(B91="TXO","",IF(D91="新倉","",IF(E91="賣",(H91-H90)*G91,(H90-H91)*G91)))</f>
        <v/>
      </c>
      <c r="O91" s="226" t="n">
        <v>0</v>
      </c>
      <c r="P91" s="667" t="n"/>
      <c r="Q91" s="249" t="inlineStr">
        <is>
          <t>技法: 刺補</t>
        </is>
      </c>
      <c r="R91" s="249" t="inlineStr">
        <is>
          <t>Yes</t>
        </is>
      </c>
      <c r="S91" s="249" t="n"/>
      <c r="T91" s="61">
        <f>IF(AND(R91="Yes",S91&lt;&gt;"Yes",L91&gt;0,B91&lt;&gt;"TXO"),L91,"")</f>
        <v/>
      </c>
      <c r="U91" s="61">
        <f>IF(AND(R91="Yes",S91&lt;&gt;"Yes",L91&lt;0,B91&lt;&gt;"TXO"),L91,"")</f>
        <v/>
      </c>
      <c r="V91" s="61">
        <f>IF(AND(R91="",S91&lt;&gt;"Yes",L91&gt;0,B91&lt;&gt;"TXO"),L91,"")</f>
        <v/>
      </c>
      <c r="W91" s="61">
        <f>IF(AND(R91="",S91&lt;&gt;"Yes",L91&lt;0,B91&lt;&gt;"TXO"),L91,"")</f>
        <v/>
      </c>
      <c r="X91" s="226">
        <f>IF(AND(R91="Yes",S91="Yes",L91&gt;0,B91&lt;&gt;"TXO"),L91,"")</f>
        <v/>
      </c>
      <c r="Y91" s="226">
        <f>IF(AND(R91="Yes",S91="Yes",L91&lt;0,B91&lt;&gt;"TXO"),L91,"")</f>
        <v/>
      </c>
      <c r="Z91" s="226">
        <f>IF(AND(R91="",S91="Yes",L91&gt;0,B91&lt;&gt;"TXO"),L91,"")</f>
        <v/>
      </c>
      <c r="AA91" s="226">
        <f>IF(AND(R91="",S91="Yes",L91&lt;0,B91&lt;&gt;"TXO"),L91,"")</f>
        <v/>
      </c>
    </row>
    <row r="92" outlineLevel="2" collapsed="1">
      <c r="A92" s="740" t="n">
        <v>43515</v>
      </c>
      <c r="B92" s="299" t="inlineStr">
        <is>
          <t>FIMTX</t>
        </is>
      </c>
      <c r="C92" s="300" t="inlineStr">
        <is>
          <t>小指02</t>
        </is>
      </c>
      <c r="D92" s="300" t="inlineStr">
        <is>
          <t>新倉</t>
        </is>
      </c>
      <c r="E92" s="301" t="inlineStr">
        <is>
          <t>買</t>
        </is>
      </c>
      <c r="F92" s="300" t="inlineStr">
        <is>
          <t>-</t>
        </is>
      </c>
      <c r="G92" s="741" t="n">
        <v>1</v>
      </c>
      <c r="H92" s="741" t="n">
        <v>10140</v>
      </c>
      <c r="I92" s="741" t="n">
        <v>0</v>
      </c>
      <c r="J92" s="742" t="n">
        <v>23</v>
      </c>
      <c r="K92" s="742" t="n">
        <v>10</v>
      </c>
      <c r="L92" s="742">
        <f>IF(B92="TXO",I92-SUM(J92:K92),IF(B92="FITX",IF(D92="新倉",-SUM(J92:K92),IF(E92="賣",(H92-H91)*G92*200-SUM(J92:K92),(H91-H92)*G92*200-SUM(J92:K92))),IF(D92="新倉",-SUM(J92:K92),IF(E92="賣",(H92-H91)*G92*50-SUM(J92:K92),(H91-H92)*G92*50-SUM(J92:K92)))))</f>
        <v/>
      </c>
      <c r="M92" s="743">
        <f>L92</f>
        <v/>
      </c>
      <c r="N92" s="686">
        <f>IF(B92="TXO","",IF(D92="新倉","",IF(E92="賣",(H92-H91)*G92,(H91-H92)*G92)))</f>
        <v/>
      </c>
      <c r="O92" s="226" t="n">
        <v>0</v>
      </c>
      <c r="P92" s="667" t="n"/>
      <c r="Q92" s="249" t="inlineStr">
        <is>
          <t>3/3 買進2口</t>
        </is>
      </c>
      <c r="R92" s="249" t="inlineStr">
        <is>
          <t>Yes</t>
        </is>
      </c>
      <c r="S92" s="249" t="n"/>
      <c r="T92" s="61">
        <f>IF(AND(R92="Yes",S92&lt;&gt;"Yes",L92&gt;0,B92&lt;&gt;"TXO"),L92,"")</f>
        <v/>
      </c>
      <c r="U92" s="61">
        <f>IF(AND(R92="Yes",S92&lt;&gt;"Yes",L92&lt;0,B92&lt;&gt;"TXO"),L92,"")</f>
        <v/>
      </c>
      <c r="V92" s="61">
        <f>IF(AND(R92="",S92&lt;&gt;"Yes",L92&gt;0,B92&lt;&gt;"TXO"),L92,"")</f>
        <v/>
      </c>
      <c r="W92" s="61">
        <f>IF(AND(R92="",S92&lt;&gt;"Yes",L92&lt;0,B92&lt;&gt;"TXO"),L92,"")</f>
        <v/>
      </c>
      <c r="X92" s="226">
        <f>IF(AND(R92="Yes",S92="Yes",L92&gt;0,B92&lt;&gt;"TXO"),L92,"")</f>
        <v/>
      </c>
      <c r="Y92" s="226">
        <f>IF(AND(R92="Yes",S92="Yes",L92&lt;0,B92&lt;&gt;"TXO"),L92,"")</f>
        <v/>
      </c>
      <c r="Z92" s="226">
        <f>IF(AND(R92="",S92="Yes",L92&gt;0,B92&lt;&gt;"TXO"),L92,"")</f>
        <v/>
      </c>
      <c r="AA92" s="226">
        <f>IF(AND(R92="",S92="Yes",L92&lt;0,B92&lt;&gt;"TXO"),L92,"")</f>
        <v/>
      </c>
    </row>
    <row r="93" outlineLevel="2" collapsed="1">
      <c r="A93" s="740" t="n">
        <v>43515</v>
      </c>
      <c r="B93" s="299" t="inlineStr">
        <is>
          <t>FIMTX</t>
        </is>
      </c>
      <c r="C93" s="300" t="inlineStr">
        <is>
          <t>小指02</t>
        </is>
      </c>
      <c r="D93" s="300" t="inlineStr">
        <is>
          <t>平倉</t>
        </is>
      </c>
      <c r="E93" s="301" t="inlineStr">
        <is>
          <t>賣</t>
        </is>
      </c>
      <c r="F93" s="300" t="inlineStr">
        <is>
          <t>-</t>
        </is>
      </c>
      <c r="G93" s="741" t="n">
        <v>1</v>
      </c>
      <c r="H93" s="741" t="n">
        <v>10148</v>
      </c>
      <c r="I93" s="741" t="n">
        <v>0</v>
      </c>
      <c r="J93" s="742" t="n">
        <v>23</v>
      </c>
      <c r="K93" s="742" t="n">
        <v>10</v>
      </c>
      <c r="L93" s="742">
        <f>IF(B93="TXO",I93-SUM(J93:K93),IF(B93="FITX",IF(D93="新倉",-SUM(J93:K93),IF(E93="賣",(H93-H92)*G93*200-SUM(J93:K93),(H92-H93)*G93*200-SUM(J93:K93))),IF(D93="新倉",-SUM(J93:K93),IF(E93="賣",(H93-H92)*G93*50-SUM(J93:K93),(H92-H93)*G93*50-SUM(J93:K93)))))</f>
        <v/>
      </c>
      <c r="M93" s="743">
        <f>L93</f>
        <v/>
      </c>
      <c r="N93" s="686">
        <f>IF(B93="TXO","",IF(D93="新倉","",IF(E93="賣",(H93-H92)*G93,(H92-H93)*G93)))</f>
        <v/>
      </c>
      <c r="O93" s="226" t="n">
        <v>0</v>
      </c>
      <c r="P93" s="667" t="n"/>
      <c r="Q93" s="249" t="inlineStr">
        <is>
          <t>元大移動式停利</t>
        </is>
      </c>
      <c r="R93" s="249" t="inlineStr">
        <is>
          <t>Yes</t>
        </is>
      </c>
      <c r="S93" s="249" t="n"/>
      <c r="T93" s="61">
        <f>IF(AND(R93="Yes",S93&lt;&gt;"Yes",L93&gt;0,B93&lt;&gt;"TXO"),L93,"")</f>
        <v/>
      </c>
      <c r="U93" s="61">
        <f>IF(AND(R93="Yes",S93&lt;&gt;"Yes",L93&lt;0,B93&lt;&gt;"TXO"),L93,"")</f>
        <v/>
      </c>
      <c r="V93" s="61">
        <f>IF(AND(R93="",S93&lt;&gt;"Yes",L93&gt;0,B93&lt;&gt;"TXO"),L93,"")</f>
        <v/>
      </c>
      <c r="W93" s="61">
        <f>IF(AND(R93="",S93&lt;&gt;"Yes",L93&lt;0,B93&lt;&gt;"TXO"),L93,"")</f>
        <v/>
      </c>
      <c r="X93" s="226">
        <f>IF(AND(R93="Yes",S93="Yes",L93&gt;0,B93&lt;&gt;"TXO"),L93,"")</f>
        <v/>
      </c>
      <c r="Y93" s="226">
        <f>IF(AND(R93="Yes",S93="Yes",L93&lt;0,B93&lt;&gt;"TXO"),L93,"")</f>
        <v/>
      </c>
      <c r="Z93" s="226">
        <f>IF(AND(R93="",S93="Yes",L93&gt;0,B93&lt;&gt;"TXO"),L93,"")</f>
        <v/>
      </c>
      <c r="AA93" s="226">
        <f>IF(AND(R93="",S93="Yes",L93&lt;0,B93&lt;&gt;"TXO"),L93,"")</f>
        <v/>
      </c>
    </row>
    <row r="94" outlineLevel="1">
      <c r="A94" s="696" t="n">
        <v>43517</v>
      </c>
      <c r="B94" s="234" t="inlineStr">
        <is>
          <t>FIMTX</t>
        </is>
      </c>
      <c r="C94" s="229" t="inlineStr">
        <is>
          <t>小指03</t>
        </is>
      </c>
      <c r="D94" s="229" t="inlineStr">
        <is>
          <t>新倉</t>
        </is>
      </c>
      <c r="E94" s="257" t="inlineStr">
        <is>
          <t>買</t>
        </is>
      </c>
      <c r="F94" s="229" t="inlineStr">
        <is>
          <t>-</t>
        </is>
      </c>
      <c r="G94" s="697" t="n">
        <v>3</v>
      </c>
      <c r="H94" s="697" t="n">
        <v>10264</v>
      </c>
      <c r="I94" s="697" t="n">
        <v>0</v>
      </c>
      <c r="J94" s="585" t="n">
        <v>69</v>
      </c>
      <c r="K94" s="585" t="n">
        <v>30</v>
      </c>
      <c r="L94" s="585">
        <f>IF(B94="TXO",I94-SUM(J94:K94),IF(B94="FITX",IF(D94="新倉",-SUM(J94:K94),IF(E94="賣",(H94-H93)*G94*200-SUM(J94:K94),(H93-H94)*G94*200-SUM(J94:K94))),IF(D94="新倉",-SUM(J94:K94),IF(E94="賣",(H94-H93)*G94*50-SUM(J94:K94),(H93-H94)*G94*50-SUM(J94:K94)))))</f>
        <v/>
      </c>
      <c r="M94" s="699">
        <f>L94</f>
        <v/>
      </c>
      <c r="N94" s="686">
        <f>IF(B94="TXO","",IF(D94="新倉","",IF(E94="賣",(H94-H93)*G94,(H93-H94)*G94)))</f>
        <v/>
      </c>
      <c r="O94" s="226" t="n">
        <v>0</v>
      </c>
      <c r="P94" s="667">
        <f>SUM(L94:L101)</f>
        <v/>
      </c>
      <c r="Q94" s="249" t="inlineStr">
        <is>
          <t>3/3 買進3口(太早買進，訊號消失)</t>
        </is>
      </c>
      <c r="S94" s="249" t="n"/>
      <c r="T94" s="61">
        <f>IF(AND(R94="Yes",S94&lt;&gt;"Yes",L94&gt;0,B94&lt;&gt;"TXO"),L94,"")</f>
        <v/>
      </c>
      <c r="U94" s="61">
        <f>IF(AND(R94="Yes",S94&lt;&gt;"Yes",L94&lt;0,B94&lt;&gt;"TXO"),L94,"")</f>
        <v/>
      </c>
      <c r="V94" s="61">
        <f>IF(AND(R94="",S94&lt;&gt;"Yes",L94&gt;0,B94&lt;&gt;"TXO"),L94,"")</f>
        <v/>
      </c>
      <c r="W94" s="61">
        <f>IF(AND(R94="",S94&lt;&gt;"Yes",L94&lt;0,B94&lt;&gt;"TXO"),L94,"")</f>
        <v/>
      </c>
      <c r="X94" s="226">
        <f>IF(AND(R94="Yes",S94="Yes",L94&gt;0,B94&lt;&gt;"TXO"),L94,"")</f>
        <v/>
      </c>
      <c r="Y94" s="226">
        <f>IF(AND(R94="Yes",S94="Yes",L94&lt;0,B94&lt;&gt;"TXO"),L94,"")</f>
        <v/>
      </c>
      <c r="Z94" s="226">
        <f>IF(AND(R94="",S94="Yes",L94&gt;0,B94&lt;&gt;"TXO"),L94,"")</f>
        <v/>
      </c>
      <c r="AA94" s="226">
        <f>IF(AND(R94="",S94="Yes",L94&lt;0,B94&lt;&gt;"TXO"),L94,"")</f>
        <v/>
      </c>
    </row>
    <row r="95" outlineLevel="2">
      <c r="A95" s="696" t="n">
        <v>43517</v>
      </c>
      <c r="B95" s="234" t="inlineStr">
        <is>
          <t>FIMTX</t>
        </is>
      </c>
      <c r="C95" s="229" t="inlineStr">
        <is>
          <t>小指03</t>
        </is>
      </c>
      <c r="D95" s="229" t="inlineStr">
        <is>
          <t>平倉</t>
        </is>
      </c>
      <c r="E95" s="257" t="inlineStr">
        <is>
          <t>賣</t>
        </is>
      </c>
      <c r="F95" s="229" t="inlineStr">
        <is>
          <t>-</t>
        </is>
      </c>
      <c r="G95" s="697" t="n">
        <v>3</v>
      </c>
      <c r="H95" s="697" t="n">
        <v>10249</v>
      </c>
      <c r="I95" s="697" t="n">
        <v>0</v>
      </c>
      <c r="J95" s="585" t="n">
        <v>69</v>
      </c>
      <c r="K95" s="585" t="n">
        <v>30</v>
      </c>
      <c r="L95" s="585">
        <f>IF(B95="TXO",I95-SUM(J95:K95),IF(B95="FITX",IF(D95="新倉",-SUM(J95:K95),IF(E95="賣",(H95-H94)*G95*200-SUM(J95:K95),(H94-H95)*G95*200-SUM(J95:K95))),IF(D95="新倉",-SUM(J95:K95),IF(E95="賣",(H95-H94)*G95*50-SUM(J95:K95),(H94-H95)*G95*50-SUM(J95:K95)))))</f>
        <v/>
      </c>
      <c r="M95" s="699">
        <f>L95</f>
        <v/>
      </c>
      <c r="N95" s="686">
        <f>IF(B95="TXO","",IF(D95="新倉","",IF(E95="賣",(H95-H94)*G95,(H94-H95)*G95)))</f>
        <v/>
      </c>
      <c r="O95" s="226" t="n">
        <v>0</v>
      </c>
      <c r="P95" s="667" t="n"/>
      <c r="Q95" s="249" t="inlineStr">
        <is>
          <t>技法: 15點停損</t>
        </is>
      </c>
      <c r="S95" s="249" t="n"/>
      <c r="T95" s="61">
        <f>IF(AND(R95="Yes",S95&lt;&gt;"Yes",L95&gt;0,B95&lt;&gt;"TXO"),L95,"")</f>
        <v/>
      </c>
      <c r="U95" s="61">
        <f>IF(AND(R95="Yes",S95&lt;&gt;"Yes",L95&lt;0,B95&lt;&gt;"TXO"),L95,"")</f>
        <v/>
      </c>
      <c r="V95" s="61">
        <f>IF(AND(R95="",S95&lt;&gt;"Yes",L95&gt;0,B95&lt;&gt;"TXO"),L95,"")</f>
        <v/>
      </c>
      <c r="W95" s="61">
        <f>IF(AND(R95="",S95&lt;&gt;"Yes",L95&lt;0,B95&lt;&gt;"TXO"),L95,"")</f>
        <v/>
      </c>
      <c r="X95" s="226">
        <f>IF(AND(R95="Yes",S95="Yes",L95&gt;0,B95&lt;&gt;"TXO"),L95,"")</f>
        <v/>
      </c>
      <c r="Y95" s="226">
        <f>IF(AND(R95="Yes",S95="Yes",L95&lt;0,B95&lt;&gt;"TXO"),L95,"")</f>
        <v/>
      </c>
      <c r="Z95" s="226">
        <f>IF(AND(R95="",S95="Yes",L95&gt;0,B95&lt;&gt;"TXO"),L95,"")</f>
        <v/>
      </c>
      <c r="AA95" s="226">
        <f>IF(AND(R95="",S95="Yes",L95&lt;0,B95&lt;&gt;"TXO"),L95,"")</f>
        <v/>
      </c>
    </row>
    <row r="96" outlineLevel="2">
      <c r="A96" s="696" t="n">
        <v>43517</v>
      </c>
      <c r="B96" s="234" t="inlineStr">
        <is>
          <t>FIMTX</t>
        </is>
      </c>
      <c r="C96" s="229" t="inlineStr">
        <is>
          <t>小指03</t>
        </is>
      </c>
      <c r="D96" s="229" t="inlineStr">
        <is>
          <t>新倉</t>
        </is>
      </c>
      <c r="E96" s="257" t="inlineStr">
        <is>
          <t>賣</t>
        </is>
      </c>
      <c r="F96" s="229" t="inlineStr">
        <is>
          <t>-</t>
        </is>
      </c>
      <c r="G96" s="697" t="n">
        <v>1</v>
      </c>
      <c r="H96" s="697" t="n">
        <v>10308</v>
      </c>
      <c r="I96" s="697" t="n">
        <v>0</v>
      </c>
      <c r="J96" s="585" t="n">
        <v>23</v>
      </c>
      <c r="K96" s="585" t="n">
        <v>10</v>
      </c>
      <c r="L96" s="585">
        <f>IF(B96="TXO",I96-SUM(J96:K96),IF(B96="FITX",IF(D96="新倉",-SUM(J96:K96),IF(E96="賣",(H96-H95)*G96*200-SUM(J96:K96),(H95-H96)*G96*200-SUM(J96:K96))),IF(D96="新倉",-SUM(J96:K96),IF(E96="賣",(H96-H95)*G96*50-SUM(J96:K96),(H95-H96)*G96*50-SUM(J96:K96)))))</f>
        <v/>
      </c>
      <c r="M96" s="699">
        <f>L96</f>
        <v/>
      </c>
      <c r="N96" s="686">
        <f>IF(B96="TXO","",IF(D96="新倉","",IF(E96="賣",(H96-H95)*G96,(H95-H96)*G96)))</f>
        <v/>
      </c>
      <c r="O96" s="226" t="n">
        <v>0</v>
      </c>
      <c r="P96" s="667" t="n"/>
      <c r="Q96" s="249" t="inlineStr">
        <is>
          <t>3/3 買進3口</t>
        </is>
      </c>
      <c r="R96" s="249" t="inlineStr">
        <is>
          <t>Yes</t>
        </is>
      </c>
      <c r="S96" s="249" t="inlineStr">
        <is>
          <t>Yes</t>
        </is>
      </c>
      <c r="T96" s="61">
        <f>IF(AND(R96="Yes",S96&lt;&gt;"Yes",L96&gt;0,B96&lt;&gt;"TXO"),L96,"")</f>
        <v/>
      </c>
      <c r="U96" s="61">
        <f>IF(AND(R96="Yes",S96&lt;&gt;"Yes",L96&lt;0,B96&lt;&gt;"TXO"),L96,"")</f>
        <v/>
      </c>
      <c r="V96" s="61">
        <f>IF(AND(R96="",S96&lt;&gt;"Yes",L96&gt;0,B96&lt;&gt;"TXO"),L96,"")</f>
        <v/>
      </c>
      <c r="W96" s="61">
        <f>IF(AND(R96="",S96&lt;&gt;"Yes",L96&lt;0,B96&lt;&gt;"TXO"),L96,"")</f>
        <v/>
      </c>
      <c r="X96" s="226">
        <f>IF(AND(R96="Yes",S96="Yes",L96&gt;0,B96&lt;&gt;"TXO"),L96,"")</f>
        <v/>
      </c>
      <c r="Y96" s="226">
        <f>IF(AND(R96="Yes",S96="Yes",L96&lt;0,B96&lt;&gt;"TXO"),L96,"")</f>
        <v/>
      </c>
      <c r="Z96" s="226">
        <f>IF(AND(R96="",S96="Yes",L96&gt;0,B96&lt;&gt;"TXO"),L96,"")</f>
        <v/>
      </c>
      <c r="AA96" s="226">
        <f>IF(AND(R96="",S96="Yes",L96&lt;0,B96&lt;&gt;"TXO"),L96,"")</f>
        <v/>
      </c>
    </row>
    <row r="97" outlineLevel="2">
      <c r="A97" s="696" t="n">
        <v>43517</v>
      </c>
      <c r="B97" s="234" t="inlineStr">
        <is>
          <t>FIMTX</t>
        </is>
      </c>
      <c r="C97" s="229" t="inlineStr">
        <is>
          <t>小指03</t>
        </is>
      </c>
      <c r="D97" s="229" t="inlineStr">
        <is>
          <t>平倉</t>
        </is>
      </c>
      <c r="E97" s="257" t="inlineStr">
        <is>
          <t>買</t>
        </is>
      </c>
      <c r="F97" s="229" t="inlineStr">
        <is>
          <t>-</t>
        </is>
      </c>
      <c r="G97" s="697" t="n">
        <v>1</v>
      </c>
      <c r="H97" s="697" t="n">
        <v>10305</v>
      </c>
      <c r="I97" s="697" t="n">
        <v>0</v>
      </c>
      <c r="J97" s="585" t="n">
        <v>23</v>
      </c>
      <c r="K97" s="585" t="n">
        <v>10</v>
      </c>
      <c r="L97" s="585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/>
      </c>
      <c r="M97" s="699">
        <f>L97</f>
        <v/>
      </c>
      <c r="N97" s="686">
        <f>IF(B97="TXO","",IF(D97="新倉","",IF(E97="賣",(H97-H96)*G97,(H96-H97)*G97)))</f>
        <v/>
      </c>
      <c r="O97" s="226" t="n">
        <v>0</v>
      </c>
      <c r="P97" s="667" t="n"/>
      <c r="Q97" s="249" t="inlineStr">
        <is>
          <t>技法: 刺補</t>
        </is>
      </c>
      <c r="R97" s="249" t="inlineStr">
        <is>
          <t>Yes</t>
        </is>
      </c>
      <c r="S97" s="249" t="inlineStr">
        <is>
          <t>Yes</t>
        </is>
      </c>
      <c r="T97" s="61">
        <f>IF(AND(R97="Yes",S97&lt;&gt;"Yes",L97&gt;0,B97&lt;&gt;"TXO"),L97,"")</f>
        <v/>
      </c>
      <c r="U97" s="61">
        <f>IF(AND(R97="Yes",S97&lt;&gt;"Yes",L97&lt;0,B97&lt;&gt;"TXO"),L97,"")</f>
        <v/>
      </c>
      <c r="V97" s="61">
        <f>IF(AND(R97="",S97&lt;&gt;"Yes",L97&gt;0,B97&lt;&gt;"TXO"),L97,"")</f>
        <v/>
      </c>
      <c r="W97" s="61">
        <f>IF(AND(R97="",S97&lt;&gt;"Yes",L97&lt;0,B97&lt;&gt;"TXO"),L97,"")</f>
        <v/>
      </c>
      <c r="X97" s="226">
        <f>IF(AND(R97="Yes",S97="Yes",L97&gt;0,B97&lt;&gt;"TXO"),L97,"")</f>
        <v/>
      </c>
      <c r="Y97" s="226">
        <f>IF(AND(R97="Yes",S97="Yes",L97&lt;0,B97&lt;&gt;"TXO"),L97,"")</f>
        <v/>
      </c>
      <c r="Z97" s="226">
        <f>IF(AND(R97="",S97="Yes",L97&gt;0,B97&lt;&gt;"TXO"),L97,"")</f>
        <v/>
      </c>
      <c r="AA97" s="226">
        <f>IF(AND(R97="",S97="Yes",L97&lt;0,B97&lt;&gt;"TXO"),L97,"")</f>
        <v/>
      </c>
    </row>
    <row r="98" outlineLevel="2">
      <c r="A98" s="696" t="n">
        <v>43517</v>
      </c>
      <c r="B98" s="234" t="inlineStr">
        <is>
          <t>FIMTX</t>
        </is>
      </c>
      <c r="C98" s="229" t="inlineStr">
        <is>
          <t>小指03</t>
        </is>
      </c>
      <c r="D98" s="229" t="inlineStr">
        <is>
          <t>新倉</t>
        </is>
      </c>
      <c r="E98" s="257" t="inlineStr">
        <is>
          <t>賣</t>
        </is>
      </c>
      <c r="F98" s="229" t="inlineStr">
        <is>
          <t>-</t>
        </is>
      </c>
      <c r="G98" s="697" t="n">
        <v>1</v>
      </c>
      <c r="H98" s="697" t="n">
        <v>10308</v>
      </c>
      <c r="I98" s="697" t="n">
        <v>0</v>
      </c>
      <c r="J98" s="585" t="n">
        <v>23</v>
      </c>
      <c r="K98" s="585" t="n">
        <v>10</v>
      </c>
      <c r="L98" s="585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/>
      </c>
      <c r="M98" s="699">
        <f>L98</f>
        <v/>
      </c>
      <c r="N98" s="686">
        <f>IF(B98="TXO","",IF(D98="新倉","",IF(E98="賣",(H98-H97)*G98,(H97-H98)*G98)))</f>
        <v/>
      </c>
      <c r="O98" s="226" t="n">
        <v>0</v>
      </c>
      <c r="P98" s="667" t="n"/>
      <c r="Q98" s="249" t="inlineStr">
        <is>
          <t>3/3 買進3口</t>
        </is>
      </c>
      <c r="R98" s="249" t="inlineStr">
        <is>
          <t>Yes</t>
        </is>
      </c>
      <c r="S98" s="249" t="inlineStr">
        <is>
          <t>Yes</t>
        </is>
      </c>
      <c r="T98" s="61">
        <f>IF(AND(R98="Yes",S98&lt;&gt;"Yes",L98&gt;0,B98&lt;&gt;"TXO"),L98,"")</f>
        <v/>
      </c>
      <c r="U98" s="61">
        <f>IF(AND(R98="Yes",S98&lt;&gt;"Yes",L98&lt;0,B98&lt;&gt;"TXO"),L98,"")</f>
        <v/>
      </c>
      <c r="V98" s="61">
        <f>IF(AND(R98="",S98&lt;&gt;"Yes",L98&gt;0,B98&lt;&gt;"TXO"),L98,"")</f>
        <v/>
      </c>
      <c r="W98" s="61">
        <f>IF(AND(R98="",S98&lt;&gt;"Yes",L98&lt;0,B98&lt;&gt;"TXO"),L98,"")</f>
        <v/>
      </c>
      <c r="X98" s="226">
        <f>IF(AND(R98="Yes",S98="Yes",L98&gt;0,B98&lt;&gt;"TXO"),L98,"")</f>
        <v/>
      </c>
      <c r="Y98" s="226">
        <f>IF(AND(R98="Yes",S98="Yes",L98&lt;0,B98&lt;&gt;"TXO"),L98,"")</f>
        <v/>
      </c>
      <c r="Z98" s="226">
        <f>IF(AND(R98="",S98="Yes",L98&gt;0,B98&lt;&gt;"TXO"),L98,"")</f>
        <v/>
      </c>
      <c r="AA98" s="226">
        <f>IF(AND(R98="",S98="Yes",L98&lt;0,B98&lt;&gt;"TXO"),L98,"")</f>
        <v/>
      </c>
    </row>
    <row r="99" outlineLevel="2">
      <c r="A99" s="696" t="n">
        <v>43517</v>
      </c>
      <c r="B99" s="234" t="inlineStr">
        <is>
          <t>FIMTX</t>
        </is>
      </c>
      <c r="C99" s="229" t="inlineStr">
        <is>
          <t>小指03</t>
        </is>
      </c>
      <c r="D99" s="229" t="inlineStr">
        <is>
          <t>平倉</t>
        </is>
      </c>
      <c r="E99" s="257" t="inlineStr">
        <is>
          <t>買</t>
        </is>
      </c>
      <c r="F99" s="229" t="inlineStr">
        <is>
          <t>-</t>
        </is>
      </c>
      <c r="G99" s="697" t="n">
        <v>1</v>
      </c>
      <c r="H99" s="697" t="n">
        <v>10305</v>
      </c>
      <c r="I99" s="697" t="n">
        <v>0</v>
      </c>
      <c r="J99" s="585" t="n">
        <v>23</v>
      </c>
      <c r="K99" s="585" t="n">
        <v>10</v>
      </c>
      <c r="L99" s="585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/>
      </c>
      <c r="M99" s="699">
        <f>L99</f>
        <v/>
      </c>
      <c r="N99" s="686">
        <f>IF(B99="TXO","",IF(D99="新倉","",IF(E99="賣",(H99-H98)*G99,(H98-H99)*G99)))</f>
        <v/>
      </c>
      <c r="O99" s="226" t="n">
        <v>0</v>
      </c>
      <c r="P99" s="667" t="n"/>
      <c r="Q99" s="249" t="inlineStr">
        <is>
          <t>技法: 刺補</t>
        </is>
      </c>
      <c r="R99" s="249" t="inlineStr">
        <is>
          <t>Yes</t>
        </is>
      </c>
      <c r="S99" s="249" t="inlineStr">
        <is>
          <t>Yes</t>
        </is>
      </c>
      <c r="T99" s="61">
        <f>IF(AND(R99="Yes",S99&lt;&gt;"Yes",L99&gt;0,B99&lt;&gt;"TXO"),L99,"")</f>
        <v/>
      </c>
      <c r="U99" s="61">
        <f>IF(AND(R99="Yes",S99&lt;&gt;"Yes",L99&lt;0,B99&lt;&gt;"TXO"),L99,"")</f>
        <v/>
      </c>
      <c r="V99" s="61">
        <f>IF(AND(R99="",S99&lt;&gt;"Yes",L99&gt;0,B99&lt;&gt;"TXO"),L99,"")</f>
        <v/>
      </c>
      <c r="W99" s="61">
        <f>IF(AND(R99="",S99&lt;&gt;"Yes",L99&lt;0,B99&lt;&gt;"TXO"),L99,"")</f>
        <v/>
      </c>
      <c r="X99" s="226">
        <f>IF(AND(R99="Yes",S99="Yes",L99&gt;0,B99&lt;&gt;"TXO"),L99,"")</f>
        <v/>
      </c>
      <c r="Y99" s="226">
        <f>IF(AND(R99="Yes",S99="Yes",L99&lt;0,B99&lt;&gt;"TXO"),L99,"")</f>
        <v/>
      </c>
      <c r="Z99" s="226">
        <f>IF(AND(R99="",S99="Yes",L99&gt;0,B99&lt;&gt;"TXO"),L99,"")</f>
        <v/>
      </c>
      <c r="AA99" s="226">
        <f>IF(AND(R99="",S99="Yes",L99&lt;0,B99&lt;&gt;"TXO"),L99,"")</f>
        <v/>
      </c>
    </row>
    <row r="100" outlineLevel="2">
      <c r="A100" s="696" t="n">
        <v>43517</v>
      </c>
      <c r="B100" s="234" t="inlineStr">
        <is>
          <t>FIMTX</t>
        </is>
      </c>
      <c r="C100" s="229" t="inlineStr">
        <is>
          <t>小指03</t>
        </is>
      </c>
      <c r="D100" s="229" t="inlineStr">
        <is>
          <t>新倉</t>
        </is>
      </c>
      <c r="E100" s="257" t="inlineStr">
        <is>
          <t>賣</t>
        </is>
      </c>
      <c r="F100" s="229" t="inlineStr">
        <is>
          <t>-</t>
        </is>
      </c>
      <c r="G100" s="697" t="n">
        <v>1</v>
      </c>
      <c r="H100" s="697" t="n">
        <v>10306</v>
      </c>
      <c r="I100" s="697" t="n">
        <v>0</v>
      </c>
      <c r="J100" s="585" t="n">
        <v>23</v>
      </c>
      <c r="K100" s="585" t="n">
        <v>10</v>
      </c>
      <c r="L100" s="585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/>
      </c>
      <c r="M100" s="699">
        <f>L100</f>
        <v/>
      </c>
      <c r="N100" s="686">
        <f>IF(B100="TXO","",IF(D100="新倉","",IF(E100="賣",(H100-H99)*G100,(H99-H100)*G100)))</f>
        <v/>
      </c>
      <c r="O100" s="226" t="n">
        <v>0</v>
      </c>
      <c r="P100" s="667" t="n"/>
      <c r="Q100" s="249" t="inlineStr">
        <is>
          <t>3/3 買進3口</t>
        </is>
      </c>
      <c r="R100" s="249" t="inlineStr">
        <is>
          <t>Yes</t>
        </is>
      </c>
      <c r="S100" s="249" t="inlineStr">
        <is>
          <t>Yes</t>
        </is>
      </c>
      <c r="T100" s="61">
        <f>IF(AND(R100="Yes",S100&lt;&gt;"Yes",L100&gt;0,B100&lt;&gt;"TXO"),L100,"")</f>
        <v/>
      </c>
      <c r="U100" s="61">
        <f>IF(AND(R100="Yes",S100&lt;&gt;"Yes",L100&lt;0,B100&lt;&gt;"TXO"),L100,"")</f>
        <v/>
      </c>
      <c r="V100" s="61">
        <f>IF(AND(R100="",S100&lt;&gt;"Yes",L100&gt;0,B100&lt;&gt;"TXO"),L100,"")</f>
        <v/>
      </c>
      <c r="W100" s="61">
        <f>IF(AND(R100="",S100&lt;&gt;"Yes",L100&lt;0,B100&lt;&gt;"TXO"),L100,"")</f>
        <v/>
      </c>
      <c r="X100" s="226">
        <f>IF(AND(R100="Yes",S100="Yes",L100&gt;0,B100&lt;&gt;"TXO"),L100,"")</f>
        <v/>
      </c>
      <c r="Y100" s="226">
        <f>IF(AND(R100="Yes",S100="Yes",L100&lt;0,B100&lt;&gt;"TXO"),L100,"")</f>
        <v/>
      </c>
      <c r="Z100" s="226">
        <f>IF(AND(R100="",S100="Yes",L100&gt;0,B100&lt;&gt;"TXO"),L100,"")</f>
        <v/>
      </c>
      <c r="AA100" s="226">
        <f>IF(AND(R100="",S100="Yes",L100&lt;0,B100&lt;&gt;"TXO"),L100,"")</f>
        <v/>
      </c>
    </row>
    <row r="101" outlineLevel="2">
      <c r="A101" s="696" t="n">
        <v>43517</v>
      </c>
      <c r="B101" s="234" t="inlineStr">
        <is>
          <t>FIMTX</t>
        </is>
      </c>
      <c r="C101" s="229" t="inlineStr">
        <is>
          <t>小指03</t>
        </is>
      </c>
      <c r="D101" s="229" t="inlineStr">
        <is>
          <t>平倉</t>
        </is>
      </c>
      <c r="E101" s="257" t="inlineStr">
        <is>
          <t>買</t>
        </is>
      </c>
      <c r="F101" s="229" t="inlineStr">
        <is>
          <t>-</t>
        </is>
      </c>
      <c r="G101" s="697" t="n">
        <v>1</v>
      </c>
      <c r="H101" s="697" t="n">
        <v>10302</v>
      </c>
      <c r="I101" s="697" t="n">
        <v>0</v>
      </c>
      <c r="J101" s="585" t="n">
        <v>23</v>
      </c>
      <c r="K101" s="585" t="n">
        <v>10</v>
      </c>
      <c r="L101" s="585">
        <f>IF(B101="TXO",I101-SUM(J101:K101),IF(B101="FITX",IF(D101="新倉",-SUM(J101:K101),IF(E101="賣",(H101-H100)*G101*200-SUM(J101:K101),(H100-H101)*G101*200-SUM(J101:K101))),IF(D101="新倉",-SUM(J101:K101),IF(E101="賣",(H101-H100)*G101*50-SUM(J101:K101),(H100-H101)*G101*50-SUM(J101:K101)))))</f>
        <v/>
      </c>
      <c r="M101" s="699">
        <f>L101</f>
        <v/>
      </c>
      <c r="N101" s="686">
        <f>IF(B101="TXO","",IF(D101="新倉","",IF(E101="賣",(H101-H100)*G101,(H100-H101)*G101)))</f>
        <v/>
      </c>
      <c r="O101" s="226" t="n">
        <v>0</v>
      </c>
      <c r="P101" s="667" t="n"/>
      <c r="Q101" s="249" t="inlineStr">
        <is>
          <t>元大移動式停利</t>
        </is>
      </c>
      <c r="R101" s="249" t="inlineStr">
        <is>
          <t>Yes</t>
        </is>
      </c>
      <c r="S101" s="249" t="inlineStr">
        <is>
          <t>Yes</t>
        </is>
      </c>
      <c r="T101" s="61">
        <f>IF(AND(R101="Yes",S101&lt;&gt;"Yes",L101&gt;0,B101&lt;&gt;"TXO"),L101,"")</f>
        <v/>
      </c>
      <c r="U101" s="61">
        <f>IF(AND(R101="Yes",S101&lt;&gt;"Yes",L101&lt;0,B101&lt;&gt;"TXO"),L101,"")</f>
        <v/>
      </c>
      <c r="V101" s="61">
        <f>IF(AND(R101="",S101&lt;&gt;"Yes",L101&gt;0,B101&lt;&gt;"TXO"),L101,"")</f>
        <v/>
      </c>
      <c r="W101" s="61">
        <f>IF(AND(R101="",S101&lt;&gt;"Yes",L101&lt;0,B101&lt;&gt;"TXO"),L101,"")</f>
        <v/>
      </c>
      <c r="X101" s="226">
        <f>IF(AND(R101="Yes",S101="Yes",L101&gt;0,B101&lt;&gt;"TXO"),L101,"")</f>
        <v/>
      </c>
      <c r="Y101" s="226">
        <f>IF(AND(R101="Yes",S101="Yes",L101&lt;0,B101&lt;&gt;"TXO"),L101,"")</f>
        <v/>
      </c>
      <c r="Z101" s="226">
        <f>IF(AND(R101="",S101="Yes",L101&gt;0,B101&lt;&gt;"TXO"),L101,"")</f>
        <v/>
      </c>
      <c r="AA101" s="226">
        <f>IF(AND(R101="",S101="Yes",L101&lt;0,B101&lt;&gt;"TXO"),L101,"")</f>
        <v/>
      </c>
    </row>
    <row r="102" outlineLevel="1">
      <c r="A102" s="740" t="n">
        <v>43518</v>
      </c>
      <c r="B102" s="299" t="inlineStr">
        <is>
          <t>FIMTX</t>
        </is>
      </c>
      <c r="C102" s="300" t="inlineStr">
        <is>
          <t>小指03</t>
        </is>
      </c>
      <c r="D102" s="300" t="inlineStr">
        <is>
          <t>新倉</t>
        </is>
      </c>
      <c r="E102" s="301" t="inlineStr">
        <is>
          <t>賣</t>
        </is>
      </c>
      <c r="F102" s="300" t="inlineStr">
        <is>
          <t>-</t>
        </is>
      </c>
      <c r="G102" s="741" t="n">
        <v>3</v>
      </c>
      <c r="H102" s="741" t="n">
        <v>10254</v>
      </c>
      <c r="I102" s="741" t="n">
        <v>0</v>
      </c>
      <c r="J102" s="742" t="n">
        <v>69</v>
      </c>
      <c r="K102" s="742" t="n">
        <v>30</v>
      </c>
      <c r="L102" s="742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/>
      </c>
      <c r="M102" s="743">
        <f>L102</f>
        <v/>
      </c>
      <c r="N102" s="686">
        <f>IF(B102="TXO","",IF(D102="新倉","",IF(E102="賣",(H102-H101)*G102,(H101-H102)*G102)))</f>
        <v/>
      </c>
      <c r="O102" s="226" t="n">
        <v>0</v>
      </c>
      <c r="P102" s="667">
        <f>SUM(L102:L103)</f>
        <v/>
      </c>
      <c r="Q102" s="249" t="inlineStr">
        <is>
          <t>3/3 買進3口</t>
        </is>
      </c>
      <c r="R102" s="249" t="inlineStr">
        <is>
          <t>Yes</t>
        </is>
      </c>
      <c r="S102" s="249" t="n"/>
      <c r="T102" s="61">
        <f>IF(AND(R102="Yes",S102&lt;&gt;"Yes",L102&gt;0,B102&lt;&gt;"TXO"),L102,"")</f>
        <v/>
      </c>
      <c r="U102" s="61">
        <f>IF(AND(R102="Yes",S102&lt;&gt;"Yes",L102&lt;0,B102&lt;&gt;"TXO"),L102,"")</f>
        <v/>
      </c>
      <c r="V102" s="61">
        <f>IF(AND(R102="",S102&lt;&gt;"Yes",L102&gt;0,B102&lt;&gt;"TXO"),L102,"")</f>
        <v/>
      </c>
      <c r="W102" s="61">
        <f>IF(AND(R102="",S102&lt;&gt;"Yes",L102&lt;0,B102&lt;&gt;"TXO"),L102,"")</f>
        <v/>
      </c>
      <c r="X102" s="226">
        <f>IF(AND(R102="Yes",S102="Yes",L102&gt;0,B102&lt;&gt;"TXO"),L102,"")</f>
        <v/>
      </c>
      <c r="Y102" s="226">
        <f>IF(AND(R102="Yes",S102="Yes",L102&lt;0,B102&lt;&gt;"TXO"),L102,"")</f>
        <v/>
      </c>
      <c r="Z102" s="226">
        <f>IF(AND(R102="",S102="Yes",L102&gt;0,B102&lt;&gt;"TXO"),L102,"")</f>
        <v/>
      </c>
      <c r="AA102" s="226">
        <f>IF(AND(R102="",S102="Yes",L102&lt;0,B102&lt;&gt;"TXO"),L102,"")</f>
        <v/>
      </c>
    </row>
    <row r="103" outlineLevel="2" collapsed="1">
      <c r="A103" s="740" t="n">
        <v>43518</v>
      </c>
      <c r="B103" s="299" t="inlineStr">
        <is>
          <t>FIMTX</t>
        </is>
      </c>
      <c r="C103" s="300" t="inlineStr">
        <is>
          <t>小指03</t>
        </is>
      </c>
      <c r="D103" s="300" t="inlineStr">
        <is>
          <t>平倉</t>
        </is>
      </c>
      <c r="E103" s="301" t="inlineStr">
        <is>
          <t>買</t>
        </is>
      </c>
      <c r="F103" s="300" t="inlineStr">
        <is>
          <t>-</t>
        </is>
      </c>
      <c r="G103" s="741" t="n">
        <v>3</v>
      </c>
      <c r="H103" s="741" t="n">
        <v>10263</v>
      </c>
      <c r="I103" s="741" t="n">
        <v>0</v>
      </c>
      <c r="J103" s="742" t="n">
        <v>69</v>
      </c>
      <c r="K103" s="742" t="n">
        <v>30</v>
      </c>
      <c r="L103" s="742">
        <f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/>
      </c>
      <c r="M103" s="743">
        <f>L103</f>
        <v/>
      </c>
      <c r="N103" s="686">
        <f>IF(B103="TXO","",IF(D103="新倉","",IF(E103="賣",(H103-H102)*G103,(H102-H103)*G103)))</f>
        <v/>
      </c>
      <c r="O103" s="226" t="n">
        <v>0</v>
      </c>
      <c r="P103" s="667" t="n"/>
      <c r="Q103" s="249" t="inlineStr">
        <is>
          <t>技法: 碰10MA出場(停損)</t>
        </is>
      </c>
      <c r="R103" s="249" t="inlineStr">
        <is>
          <t>Yes</t>
        </is>
      </c>
      <c r="S103" s="249" t="n"/>
      <c r="T103" s="61">
        <f>IF(AND(R103="Yes",S103&lt;&gt;"Yes",L103&gt;0,B103&lt;&gt;"TXO"),L103,"")</f>
        <v/>
      </c>
      <c r="U103" s="61">
        <f>IF(AND(R103="Yes",S103&lt;&gt;"Yes",L103&lt;0,B103&lt;&gt;"TXO"),L103,"")</f>
        <v/>
      </c>
      <c r="V103" s="61">
        <f>IF(AND(R103="",S103&lt;&gt;"Yes",L103&gt;0,B103&lt;&gt;"TXO"),L103,"")</f>
        <v/>
      </c>
      <c r="W103" s="61">
        <f>IF(AND(R103="",S103&lt;&gt;"Yes",L103&lt;0,B103&lt;&gt;"TXO"),L103,"")</f>
        <v/>
      </c>
      <c r="X103" s="226">
        <f>IF(AND(R103="Yes",S103="Yes",L103&gt;0,B103&lt;&gt;"TXO"),L103,"")</f>
        <v/>
      </c>
      <c r="Y103" s="226">
        <f>IF(AND(R103="Yes",S103="Yes",L103&lt;0,B103&lt;&gt;"TXO"),L103,"")</f>
        <v/>
      </c>
      <c r="Z103" s="226">
        <f>IF(AND(R103="",S103="Yes",L103&gt;0,B103&lt;&gt;"TXO"),L103,"")</f>
        <v/>
      </c>
      <c r="AA103" s="226">
        <f>IF(AND(R103="",S103="Yes",L103&lt;0,B103&lt;&gt;"TXO"),L103,"")</f>
        <v/>
      </c>
    </row>
    <row r="104" outlineLevel="1">
      <c r="A104" s="696" t="n">
        <v>43522</v>
      </c>
      <c r="B104" s="234" t="inlineStr">
        <is>
          <t>FIMTX</t>
        </is>
      </c>
      <c r="C104" s="229" t="inlineStr">
        <is>
          <t>小指03</t>
        </is>
      </c>
      <c r="D104" s="229" t="inlineStr">
        <is>
          <t>新倉</t>
        </is>
      </c>
      <c r="E104" s="257" t="inlineStr">
        <is>
          <t>買</t>
        </is>
      </c>
      <c r="F104" s="229" t="inlineStr">
        <is>
          <t>-</t>
        </is>
      </c>
      <c r="G104" s="697" t="n">
        <v>1</v>
      </c>
      <c r="H104" s="697" t="n">
        <v>10380</v>
      </c>
      <c r="I104" s="697" t="n">
        <v>0</v>
      </c>
      <c r="J104" s="585" t="n">
        <v>23</v>
      </c>
      <c r="K104" s="585" t="n">
        <v>10</v>
      </c>
      <c r="L104" s="585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/>
      </c>
      <c r="M104" s="699">
        <f>L104</f>
        <v/>
      </c>
      <c r="N104" s="686">
        <f>IF(B104="TXO","",IF(D104="新倉","",IF(E104="賣",(H104-H103)*G104,(H103-H104)*G104)))</f>
        <v/>
      </c>
      <c r="O104" s="226" t="n">
        <v>0</v>
      </c>
      <c r="P104" s="667">
        <f>SUM(L104:L109)</f>
        <v/>
      </c>
      <c r="Q104" s="249" t="inlineStr">
        <is>
          <t>3/3 買進3口</t>
        </is>
      </c>
      <c r="R104" s="249" t="inlineStr">
        <is>
          <t>Yes</t>
        </is>
      </c>
      <c r="S104" s="249" t="n"/>
      <c r="T104" s="61">
        <f>IF(AND(R104="Yes",S104&lt;&gt;"Yes",L104&gt;0,B104&lt;&gt;"TXO"),L104,"")</f>
        <v/>
      </c>
      <c r="U104" s="61">
        <f>IF(AND(R104="Yes",S104&lt;&gt;"Yes",L104&lt;0,B104&lt;&gt;"TXO"),L104,"")</f>
        <v/>
      </c>
      <c r="V104" s="61">
        <f>IF(AND(R104="",S104&lt;&gt;"Yes",L104&gt;0,B104&lt;&gt;"TXO"),L104,"")</f>
        <v/>
      </c>
      <c r="W104" s="61">
        <f>IF(AND(R104="",S104&lt;&gt;"Yes",L104&lt;0,B104&lt;&gt;"TXO"),L104,"")</f>
        <v/>
      </c>
      <c r="X104" s="226">
        <f>IF(AND(R104="Yes",S104="Yes",L104&gt;0,B104&lt;&gt;"TXO"),L104,"")</f>
        <v/>
      </c>
      <c r="Y104" s="226">
        <f>IF(AND(R104="Yes",S104="Yes",L104&lt;0,B104&lt;&gt;"TXO"),L104,"")</f>
        <v/>
      </c>
      <c r="Z104" s="226">
        <f>IF(AND(R104="",S104="Yes",L104&gt;0,B104&lt;&gt;"TXO"),L104,"")</f>
        <v/>
      </c>
      <c r="AA104" s="226">
        <f>IF(AND(R104="",S104="Yes",L104&lt;0,B104&lt;&gt;"TXO"),L104,"")</f>
        <v/>
      </c>
    </row>
    <row r="105" outlineLevel="2">
      <c r="A105" s="696" t="n">
        <v>43522</v>
      </c>
      <c r="B105" s="234" t="inlineStr">
        <is>
          <t>FIMTX</t>
        </is>
      </c>
      <c r="C105" s="229" t="inlineStr">
        <is>
          <t>小指03</t>
        </is>
      </c>
      <c r="D105" s="229" t="inlineStr">
        <is>
          <t>平倉</t>
        </is>
      </c>
      <c r="E105" s="257" t="inlineStr">
        <is>
          <t>賣</t>
        </is>
      </c>
      <c r="F105" s="229" t="inlineStr">
        <is>
          <t>-</t>
        </is>
      </c>
      <c r="G105" s="697" t="n">
        <v>1</v>
      </c>
      <c r="H105" s="697" t="n">
        <v>10384</v>
      </c>
      <c r="I105" s="697" t="n">
        <v>0</v>
      </c>
      <c r="J105" s="585" t="n">
        <v>23</v>
      </c>
      <c r="K105" s="585" t="n">
        <v>10</v>
      </c>
      <c r="L105" s="585">
        <f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/>
      </c>
      <c r="M105" s="699">
        <f>L105</f>
        <v/>
      </c>
      <c r="N105" s="686">
        <f>IF(B105="TXO","",IF(D105="新倉","",IF(E105="賣",(H105-H104)*G105,(H104-H105)*G105)))</f>
        <v/>
      </c>
      <c r="O105" s="226" t="n">
        <v>0</v>
      </c>
      <c r="P105" s="667" t="n"/>
      <c r="Q105" s="249" t="inlineStr">
        <is>
          <t>技法: 刺補</t>
        </is>
      </c>
      <c r="R105" s="249" t="inlineStr">
        <is>
          <t>Yes</t>
        </is>
      </c>
      <c r="S105" s="249" t="n"/>
      <c r="T105" s="61">
        <f>IF(AND(R105="Yes",S105&lt;&gt;"Yes",L105&gt;0,B105&lt;&gt;"TXO"),L105,"")</f>
        <v/>
      </c>
      <c r="U105" s="61">
        <f>IF(AND(R105="Yes",S105&lt;&gt;"Yes",L105&lt;0,B105&lt;&gt;"TXO"),L105,"")</f>
        <v/>
      </c>
      <c r="V105" s="61">
        <f>IF(AND(R105="",S105&lt;&gt;"Yes",L105&gt;0,B105&lt;&gt;"TXO"),L105,"")</f>
        <v/>
      </c>
      <c r="W105" s="61">
        <f>IF(AND(R105="",S105&lt;&gt;"Yes",L105&lt;0,B105&lt;&gt;"TXO"),L105,"")</f>
        <v/>
      </c>
      <c r="X105" s="226">
        <f>IF(AND(R105="Yes",S105="Yes",L105&gt;0,B105&lt;&gt;"TXO"),L105,"")</f>
        <v/>
      </c>
      <c r="Y105" s="226">
        <f>IF(AND(R105="Yes",S105="Yes",L105&lt;0,B105&lt;&gt;"TXO"),L105,"")</f>
        <v/>
      </c>
      <c r="Z105" s="226">
        <f>IF(AND(R105="",S105="Yes",L105&gt;0,B105&lt;&gt;"TXO"),L105,"")</f>
        <v/>
      </c>
      <c r="AA105" s="226">
        <f>IF(AND(R105="",S105="Yes",L105&lt;0,B105&lt;&gt;"TXO"),L105,"")</f>
        <v/>
      </c>
    </row>
    <row r="106" outlineLevel="2">
      <c r="A106" s="696" t="n">
        <v>43522</v>
      </c>
      <c r="B106" s="234" t="inlineStr">
        <is>
          <t>FIMTX</t>
        </is>
      </c>
      <c r="C106" s="229" t="inlineStr">
        <is>
          <t>小指03</t>
        </is>
      </c>
      <c r="D106" s="229" t="inlineStr">
        <is>
          <t>新倉</t>
        </is>
      </c>
      <c r="E106" s="257" t="inlineStr">
        <is>
          <t>買</t>
        </is>
      </c>
      <c r="F106" s="229" t="inlineStr">
        <is>
          <t>-</t>
        </is>
      </c>
      <c r="G106" s="697" t="n">
        <v>1</v>
      </c>
      <c r="H106" s="697" t="n">
        <v>10380</v>
      </c>
      <c r="I106" s="697" t="n">
        <v>0</v>
      </c>
      <c r="J106" s="585" t="n">
        <v>23</v>
      </c>
      <c r="K106" s="585" t="n">
        <v>10</v>
      </c>
      <c r="L106" s="585">
        <f>IF(B106="TXO",I106-SUM(J106:K106),IF(B106="FITX",IF(D106="新倉",-SUM(J106:K106),IF(E106="賣",(H106-H105)*G106*200-SUM(J106:K106),(H105-H106)*G106*200-SUM(J106:K106))),IF(D106="新倉",-SUM(J106:K106),IF(E106="賣",(H106-H105)*G106*50-SUM(J106:K106),(H105-H106)*G106*50-SUM(J106:K106)))))</f>
        <v/>
      </c>
      <c r="M106" s="699">
        <f>L106</f>
        <v/>
      </c>
      <c r="N106" s="686">
        <f>IF(B106="TXO","",IF(D106="新倉","",IF(E106="賣",(H106-H105)*G106,(H105-H106)*G106)))</f>
        <v/>
      </c>
      <c r="O106" s="226" t="n">
        <v>0</v>
      </c>
      <c r="P106" s="667" t="n"/>
      <c r="Q106" s="249" t="inlineStr">
        <is>
          <t>3/3 買進3口</t>
        </is>
      </c>
      <c r="R106" s="249" t="inlineStr">
        <is>
          <t>Yes</t>
        </is>
      </c>
      <c r="S106" s="249" t="n"/>
      <c r="T106" s="61">
        <f>IF(AND(R106="Yes",S106&lt;&gt;"Yes",L106&gt;0,B106&lt;&gt;"TXO"),L106,"")</f>
        <v/>
      </c>
      <c r="U106" s="61">
        <f>IF(AND(R106="Yes",S106&lt;&gt;"Yes",L106&lt;0,B106&lt;&gt;"TXO"),L106,"")</f>
        <v/>
      </c>
      <c r="V106" s="61">
        <f>IF(AND(R106="",S106&lt;&gt;"Yes",L106&gt;0,B106&lt;&gt;"TXO"),L106,"")</f>
        <v/>
      </c>
      <c r="W106" s="61">
        <f>IF(AND(R106="",S106&lt;&gt;"Yes",L106&lt;0,B106&lt;&gt;"TXO"),L106,"")</f>
        <v/>
      </c>
      <c r="X106" s="226">
        <f>IF(AND(R106="Yes",S106="Yes",L106&gt;0,B106&lt;&gt;"TXO"),L106,"")</f>
        <v/>
      </c>
      <c r="Y106" s="226">
        <f>IF(AND(R106="Yes",S106="Yes",L106&lt;0,B106&lt;&gt;"TXO"),L106,"")</f>
        <v/>
      </c>
      <c r="Z106" s="226">
        <f>IF(AND(R106="",S106="Yes",L106&gt;0,B106&lt;&gt;"TXO"),L106,"")</f>
        <v/>
      </c>
      <c r="AA106" s="226">
        <f>IF(AND(R106="",S106="Yes",L106&lt;0,B106&lt;&gt;"TXO"),L106,"")</f>
        <v/>
      </c>
    </row>
    <row r="107" outlineLevel="2">
      <c r="A107" s="696" t="n">
        <v>43522</v>
      </c>
      <c r="B107" s="234" t="inlineStr">
        <is>
          <t>FIMTX</t>
        </is>
      </c>
      <c r="C107" s="229" t="inlineStr">
        <is>
          <t>小指03</t>
        </is>
      </c>
      <c r="D107" s="229" t="inlineStr">
        <is>
          <t>平倉</t>
        </is>
      </c>
      <c r="E107" s="257" t="inlineStr">
        <is>
          <t>賣</t>
        </is>
      </c>
      <c r="F107" s="229" t="inlineStr">
        <is>
          <t>-</t>
        </is>
      </c>
      <c r="G107" s="697" t="n">
        <v>1</v>
      </c>
      <c r="H107" s="697" t="n">
        <v>10391</v>
      </c>
      <c r="I107" s="697" t="n">
        <v>0</v>
      </c>
      <c r="J107" s="585" t="n">
        <v>23</v>
      </c>
      <c r="K107" s="585" t="n">
        <v>10</v>
      </c>
      <c r="L107" s="585">
        <f>IF(B107="TXO",I107-SUM(J107:K107),IF(B107="FITX",IF(D107="新倉",-SUM(J107:K107),IF(E107="賣",(H107-H106)*G107*200-SUM(J107:K107),(H106-H107)*G107*200-SUM(J107:K107))),IF(D107="新倉",-SUM(J107:K107),IF(E107="賣",(H107-H106)*G107*50-SUM(J107:K107),(H106-H107)*G107*50-SUM(J107:K107)))))</f>
        <v/>
      </c>
      <c r="M107" s="699">
        <f>L107</f>
        <v/>
      </c>
      <c r="N107" s="686">
        <f>IF(B107="TXO","",IF(D107="新倉","",IF(E107="賣",(H107-H106)*G107,(H106-H107)*G107)))</f>
        <v/>
      </c>
      <c r="O107" s="226" t="n">
        <v>0</v>
      </c>
      <c r="P107" s="667" t="n"/>
      <c r="Q107" s="249" t="inlineStr">
        <is>
          <t>技法: 刺補</t>
        </is>
      </c>
      <c r="R107" s="249" t="inlineStr">
        <is>
          <t>Yes</t>
        </is>
      </c>
      <c r="S107" s="249" t="n"/>
      <c r="T107" s="61">
        <f>IF(AND(R107="Yes",S107&lt;&gt;"Yes",L107&gt;0,B107&lt;&gt;"TXO"),L107,"")</f>
        <v/>
      </c>
      <c r="U107" s="61">
        <f>IF(AND(R107="Yes",S107&lt;&gt;"Yes",L107&lt;0,B107&lt;&gt;"TXO"),L107,"")</f>
        <v/>
      </c>
      <c r="V107" s="61">
        <f>IF(AND(R107="",S107&lt;&gt;"Yes",L107&gt;0,B107&lt;&gt;"TXO"),L107,"")</f>
        <v/>
      </c>
      <c r="W107" s="61">
        <f>IF(AND(R107="",S107&lt;&gt;"Yes",L107&lt;0,B107&lt;&gt;"TXO"),L107,"")</f>
        <v/>
      </c>
      <c r="X107" s="226">
        <f>IF(AND(R107="Yes",S107="Yes",L107&gt;0,B107&lt;&gt;"TXO"),L107,"")</f>
        <v/>
      </c>
      <c r="Y107" s="226">
        <f>IF(AND(R107="Yes",S107="Yes",L107&lt;0,B107&lt;&gt;"TXO"),L107,"")</f>
        <v/>
      </c>
      <c r="Z107" s="226">
        <f>IF(AND(R107="",S107="Yes",L107&gt;0,B107&lt;&gt;"TXO"),L107,"")</f>
        <v/>
      </c>
      <c r="AA107" s="226">
        <f>IF(AND(R107="",S107="Yes",L107&lt;0,B107&lt;&gt;"TXO"),L107,"")</f>
        <v/>
      </c>
    </row>
    <row r="108" outlineLevel="2">
      <c r="A108" s="696" t="n">
        <v>43522</v>
      </c>
      <c r="B108" s="234" t="inlineStr">
        <is>
          <t>FIMTX</t>
        </is>
      </c>
      <c r="C108" s="229" t="inlineStr">
        <is>
          <t>小指03</t>
        </is>
      </c>
      <c r="D108" s="229" t="inlineStr">
        <is>
          <t>新倉</t>
        </is>
      </c>
      <c r="E108" s="257" t="inlineStr">
        <is>
          <t>買</t>
        </is>
      </c>
      <c r="F108" s="229" t="inlineStr">
        <is>
          <t>-</t>
        </is>
      </c>
      <c r="G108" s="697" t="n">
        <v>1</v>
      </c>
      <c r="H108" s="697" t="n">
        <v>10380</v>
      </c>
      <c r="I108" s="697" t="n">
        <v>0</v>
      </c>
      <c r="J108" s="585" t="n">
        <v>23</v>
      </c>
      <c r="K108" s="585" t="n">
        <v>10</v>
      </c>
      <c r="L108" s="585">
        <f>IF(B108="TXO",I108-SUM(J108:K108),IF(B108="FITX",IF(D108="新倉",-SUM(J108:K108),IF(E108="賣",(H108-H107)*G108*200-SUM(J108:K108),(H107-H108)*G108*200-SUM(J108:K108))),IF(D108="新倉",-SUM(J108:K108),IF(E108="賣",(H108-H107)*G108*50-SUM(J108:K108),(H107-H108)*G108*50-SUM(J108:K108)))))</f>
        <v/>
      </c>
      <c r="M108" s="699">
        <f>L108</f>
        <v/>
      </c>
      <c r="N108" s="686">
        <f>IF(B108="TXO","",IF(D108="新倉","",IF(E108="賣",(H108-H107)*G108,(H107-H108)*G108)))</f>
        <v/>
      </c>
      <c r="O108" s="226" t="n">
        <v>0</v>
      </c>
      <c r="P108" s="667" t="n"/>
      <c r="Q108" s="249" t="inlineStr">
        <is>
          <t>3/3 買進3口</t>
        </is>
      </c>
      <c r="R108" s="249" t="inlineStr">
        <is>
          <t>Yes</t>
        </is>
      </c>
      <c r="S108" s="249" t="n"/>
      <c r="T108" s="61">
        <f>IF(AND(R108="Yes",S108&lt;&gt;"Yes",L108&gt;0,B108&lt;&gt;"TXO"),L108,"")</f>
        <v/>
      </c>
      <c r="U108" s="61">
        <f>IF(AND(R108="Yes",S108&lt;&gt;"Yes",L108&lt;0,B108&lt;&gt;"TXO"),L108,"")</f>
        <v/>
      </c>
      <c r="V108" s="61">
        <f>IF(AND(R108="",S108&lt;&gt;"Yes",L108&gt;0,B108&lt;&gt;"TXO"),L108,"")</f>
        <v/>
      </c>
      <c r="W108" s="61">
        <f>IF(AND(R108="",S108&lt;&gt;"Yes",L108&lt;0,B108&lt;&gt;"TXO"),L108,"")</f>
        <v/>
      </c>
      <c r="X108" s="226">
        <f>IF(AND(R108="Yes",S108="Yes",L108&gt;0,B108&lt;&gt;"TXO"),L108,"")</f>
        <v/>
      </c>
      <c r="Y108" s="226">
        <f>IF(AND(R108="Yes",S108="Yes",L108&lt;0,B108&lt;&gt;"TXO"),L108,"")</f>
        <v/>
      </c>
      <c r="Z108" s="226">
        <f>IF(AND(R108="",S108="Yes",L108&gt;0,B108&lt;&gt;"TXO"),L108,"")</f>
        <v/>
      </c>
      <c r="AA108" s="226">
        <f>IF(AND(R108="",S108="Yes",L108&lt;0,B108&lt;&gt;"TXO"),L108,"")</f>
        <v/>
      </c>
    </row>
    <row r="109" outlineLevel="2" ht="17.25" customHeight="1" thickBot="1">
      <c r="A109" s="696" t="n">
        <v>43522</v>
      </c>
      <c r="B109" s="234" t="inlineStr">
        <is>
          <t>FIMTX</t>
        </is>
      </c>
      <c r="C109" s="229" t="inlineStr">
        <is>
          <t>小指03</t>
        </is>
      </c>
      <c r="D109" s="229" t="inlineStr">
        <is>
          <t>平倉</t>
        </is>
      </c>
      <c r="E109" s="257" t="inlineStr">
        <is>
          <t>賣</t>
        </is>
      </c>
      <c r="F109" s="229" t="inlineStr">
        <is>
          <t>-</t>
        </is>
      </c>
      <c r="G109" s="697" t="n">
        <v>1</v>
      </c>
      <c r="H109" s="697" t="n">
        <v>10375</v>
      </c>
      <c r="I109" s="697" t="n">
        <v>0</v>
      </c>
      <c r="J109" s="585" t="n">
        <v>23</v>
      </c>
      <c r="K109" s="585" t="n">
        <v>10</v>
      </c>
      <c r="L109" s="585">
        <f>IF(B109="TXO",I109-SUM(J109:K109),IF(B109="FITX",IF(D109="新倉",-SUM(J109:K109),IF(E109="賣",(H109-H108)*G109*200-SUM(J109:K109),(H108-H109)*G109*200-SUM(J109:K109))),IF(D109="新倉",-SUM(J109:K109),IF(E109="賣",(H109-H108)*G109*50-SUM(J109:K109),(H108-H109)*G109*50-SUM(J109:K109)))))</f>
        <v/>
      </c>
      <c r="M109" s="699">
        <f>L109</f>
        <v/>
      </c>
      <c r="N109" s="686">
        <f>IF(B109="TXO","",IF(D109="新倉","",IF(E109="賣",(H109-H108)*G109,(H108-H109)*G109)))</f>
        <v/>
      </c>
      <c r="O109" s="226" t="n">
        <v>0</v>
      </c>
      <c r="P109" s="667" t="n"/>
      <c r="Q109" s="249" t="inlineStr">
        <is>
          <t>技法: 碰10MA出場(停損)</t>
        </is>
      </c>
      <c r="R109" s="249" t="inlineStr">
        <is>
          <t>Yes</t>
        </is>
      </c>
      <c r="S109" s="249" t="n"/>
      <c r="T109" s="61">
        <f>IF(AND(R109="Yes",S109&lt;&gt;"Yes",L109&gt;0,B109&lt;&gt;"TXO"),L109,"")</f>
        <v/>
      </c>
      <c r="U109" s="61">
        <f>IF(AND(R109="Yes",S109&lt;&gt;"Yes",L109&lt;0,B109&lt;&gt;"TXO"),L109,"")</f>
        <v/>
      </c>
      <c r="V109" s="61">
        <f>IF(AND(R109="",S109&lt;&gt;"Yes",L109&gt;0,B109&lt;&gt;"TXO"),L109,"")</f>
        <v/>
      </c>
      <c r="W109" s="61">
        <f>IF(AND(R109="",S109&lt;&gt;"Yes",L109&lt;0,B109&lt;&gt;"TXO"),L109,"")</f>
        <v/>
      </c>
      <c r="X109" s="226">
        <f>IF(AND(R109="Yes",S109="Yes",L109&gt;0,B109&lt;&gt;"TXO"),L109,"")</f>
        <v/>
      </c>
      <c r="Y109" s="226">
        <f>IF(AND(R109="Yes",S109="Yes",L109&lt;0,B109&lt;&gt;"TXO"),L109,"")</f>
        <v/>
      </c>
      <c r="Z109" s="226">
        <f>IF(AND(R109="",S109="Yes",L109&gt;0,B109&lt;&gt;"TXO"),L109,"")</f>
        <v/>
      </c>
      <c r="AA109" s="226">
        <f>IF(AND(R109="",S109="Yes",L109&lt;0,B109&lt;&gt;"TXO"),L109,"")</f>
        <v/>
      </c>
    </row>
    <row r="110" collapsed="1" ht="17.25" customHeight="1" thickBot="1">
      <c r="A110" s="273" t="inlineStr">
        <is>
          <t>2月總計</t>
        </is>
      </c>
      <c r="B110" s="274" t="n"/>
      <c r="C110" s="274" t="n"/>
      <c r="D110" s="274" t="n"/>
      <c r="E110" s="274" t="n"/>
      <c r="F110" s="274" t="n"/>
      <c r="G110" s="715" t="n"/>
      <c r="H110" s="715" t="n"/>
      <c r="I110" s="715" t="n"/>
      <c r="J110" s="716" t="n"/>
      <c r="K110" s="715" t="n"/>
      <c r="L110" s="717">
        <f>SUM(L67:L109)</f>
        <v/>
      </c>
      <c r="M110" s="717">
        <f>SUM(M67:M109)</f>
        <v/>
      </c>
      <c r="N110" s="666" t="n"/>
      <c r="P110" s="744" t="n"/>
      <c r="R110" s="717">
        <f>SUMIF(R68:R109,"Yes",L68:L109)</f>
        <v/>
      </c>
      <c r="S110" s="739" t="n"/>
      <c r="T110" s="226">
        <f>SUM(T68:T109)</f>
        <v/>
      </c>
      <c r="U110" s="226">
        <f>SUM(U68:U109)</f>
        <v/>
      </c>
      <c r="V110" s="226">
        <f>SUM(V68:V109)</f>
        <v/>
      </c>
      <c r="W110" s="226">
        <f>SUM(W68:W109)</f>
        <v/>
      </c>
      <c r="X110" s="226">
        <f>SUM(X68:X109)</f>
        <v/>
      </c>
      <c r="Y110" s="226">
        <f>SUM(Y68:Y109)</f>
        <v/>
      </c>
      <c r="Z110" s="226">
        <f>SUM(Z68:Z109)</f>
        <v/>
      </c>
      <c r="AA110" s="226">
        <f>SUM(AA68:AA109)</f>
        <v/>
      </c>
    </row>
    <row r="111" ht="17.25" customHeight="1" thickBot="1">
      <c r="A111" s="718" t="n">
        <v>43532</v>
      </c>
      <c r="B111" s="292" t="n"/>
      <c r="C111" s="292" t="inlineStr">
        <is>
          <t>2019 飆股技巧籌碼心魔班</t>
        </is>
      </c>
      <c r="D111" s="292" t="n"/>
      <c r="E111" s="292" t="n"/>
      <c r="F111" s="292" t="n"/>
      <c r="G111" s="719" t="n"/>
      <c r="H111" s="719" t="n"/>
      <c r="I111" s="719" t="n"/>
      <c r="J111" s="720" t="n"/>
      <c r="K111" s="719" t="n"/>
      <c r="L111" s="720" t="n"/>
      <c r="M111" s="721">
        <f>-4457*0.965</f>
        <v/>
      </c>
      <c r="N111" s="666" t="n"/>
      <c r="P111" s="722" t="n"/>
      <c r="Q111" s="249" t="inlineStr">
        <is>
          <t>13000分6期, 每期2166, 6-3</t>
        </is>
      </c>
      <c r="R111" s="226" t="n"/>
    </row>
    <row r="112" outlineLevel="1">
      <c r="A112" s="696" t="n">
        <v>43528</v>
      </c>
      <c r="B112" s="234" t="inlineStr">
        <is>
          <t>FIMTX</t>
        </is>
      </c>
      <c r="C112" s="229" t="inlineStr">
        <is>
          <t>小指03</t>
        </is>
      </c>
      <c r="D112" s="229" t="inlineStr">
        <is>
          <t>新倉</t>
        </is>
      </c>
      <c r="E112" s="257" t="inlineStr">
        <is>
          <t>賣</t>
        </is>
      </c>
      <c r="F112" s="229" t="inlineStr">
        <is>
          <t>-</t>
        </is>
      </c>
      <c r="G112" s="697" t="n">
        <v>1</v>
      </c>
      <c r="H112" s="697" t="n">
        <v>10318</v>
      </c>
      <c r="I112" s="697" t="n">
        <v>0</v>
      </c>
      <c r="J112" s="585" t="n">
        <v>23</v>
      </c>
      <c r="K112" s="585" t="n">
        <v>10</v>
      </c>
      <c r="L112" s="585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/>
      </c>
      <c r="M112" s="699">
        <f>L112</f>
        <v/>
      </c>
      <c r="N112" s="686">
        <f>IF(B112="TXO","",IF(D112="新倉","",IF(E112="賣",(H112-H111)*G112,(H111-H112)*G112)))</f>
        <v/>
      </c>
      <c r="O112" s="226" t="n">
        <v>0</v>
      </c>
      <c r="P112" s="667">
        <f>SUM(L112:L115)</f>
        <v/>
      </c>
      <c r="Q112" s="249" t="inlineStr">
        <is>
          <t>3/3 買進1口</t>
        </is>
      </c>
      <c r="R112" s="249" t="inlineStr">
        <is>
          <t>Yes</t>
        </is>
      </c>
      <c r="S112" s="249" t="n"/>
      <c r="T112" s="61">
        <f>IF(AND(R112="Yes",S112&lt;&gt;"Yes",L112&gt;0,B112&lt;&gt;"TXO"),L112,"")</f>
        <v/>
      </c>
      <c r="U112" s="61">
        <f>IF(AND(R112="Yes",S112&lt;&gt;"Yes",L112&lt;0,B112&lt;&gt;"TXO"),L112,"")</f>
        <v/>
      </c>
      <c r="V112" s="61">
        <f>IF(AND(R112="",S112&lt;&gt;"Yes",L112&gt;0,B112&lt;&gt;"TXO"),L112,"")</f>
        <v/>
      </c>
      <c r="W112" s="61">
        <f>IF(AND(R112="",S112&lt;&gt;"Yes",L112&lt;0,B112&lt;&gt;"TXO"),L112,"")</f>
        <v/>
      </c>
      <c r="X112" s="226">
        <f>IF(AND(R112="Yes",S112="Yes",L112&gt;0,B112&lt;&gt;"TXO"),L112,"")</f>
        <v/>
      </c>
      <c r="Y112" s="226">
        <f>IF(AND(R112="Yes",S112="Yes",L112&lt;0,B112&lt;&gt;"TXO"),L112,"")</f>
        <v/>
      </c>
      <c r="Z112" s="226">
        <f>IF(AND(R112="",S112="Yes",L112&gt;0,B112&lt;&gt;"TXO"),L112,"")</f>
        <v/>
      </c>
      <c r="AA112" s="226">
        <f>IF(AND(R112="",S112="Yes",L112&lt;0,B112&lt;&gt;"TXO"),L112,"")</f>
        <v/>
      </c>
    </row>
    <row r="113" outlineLevel="2">
      <c r="A113" s="696" t="n">
        <v>43528</v>
      </c>
      <c r="B113" s="234" t="inlineStr">
        <is>
          <t>FIMTX</t>
        </is>
      </c>
      <c r="C113" s="229" t="inlineStr">
        <is>
          <t>小指03</t>
        </is>
      </c>
      <c r="D113" s="229" t="inlineStr">
        <is>
          <t>平倉</t>
        </is>
      </c>
      <c r="E113" s="257" t="inlineStr">
        <is>
          <t>買</t>
        </is>
      </c>
      <c r="F113" s="229" t="inlineStr">
        <is>
          <t>-</t>
        </is>
      </c>
      <c r="G113" s="697" t="n">
        <v>1</v>
      </c>
      <c r="H113" s="697" t="n">
        <v>10322</v>
      </c>
      <c r="I113" s="697" t="n">
        <v>0</v>
      </c>
      <c r="J113" s="585" t="n">
        <v>23</v>
      </c>
      <c r="K113" s="585" t="n">
        <v>10</v>
      </c>
      <c r="L113" s="585">
        <f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/>
      </c>
      <c r="M113" s="699">
        <f>L113</f>
        <v/>
      </c>
      <c r="N113" s="686">
        <f>IF(B113="TXO","",IF(D113="新倉","",IF(E113="賣",(H113-H112)*G113,(H112-H113)*G113)))</f>
        <v/>
      </c>
      <c r="O113" s="226" t="n">
        <v>0</v>
      </c>
      <c r="P113" s="667" t="n"/>
      <c r="Q113" s="249" t="inlineStr">
        <is>
          <t>技法: 刺補</t>
        </is>
      </c>
      <c r="R113" s="249" t="inlineStr">
        <is>
          <t>Yes</t>
        </is>
      </c>
      <c r="S113" s="249" t="n"/>
      <c r="T113" s="61">
        <f>IF(AND(R113="Yes",S113&lt;&gt;"Yes",L113&gt;0,B113&lt;&gt;"TXO"),L113,"")</f>
        <v/>
      </c>
      <c r="U113" s="61">
        <f>IF(AND(R113="Yes",S113&lt;&gt;"Yes",L113&lt;0,B113&lt;&gt;"TXO"),L113,"")</f>
        <v/>
      </c>
      <c r="V113" s="61">
        <f>IF(AND(R113="",S113&lt;&gt;"Yes",L113&gt;0,B113&lt;&gt;"TXO"),L113,"")</f>
        <v/>
      </c>
      <c r="W113" s="61">
        <f>IF(AND(R113="",S113&lt;&gt;"Yes",L113&lt;0,B113&lt;&gt;"TXO"),L113,"")</f>
        <v/>
      </c>
      <c r="X113" s="226">
        <f>IF(AND(R113="Yes",S113="Yes",L113&gt;0,B113&lt;&gt;"TXO"),L113,"")</f>
        <v/>
      </c>
      <c r="Y113" s="226">
        <f>IF(AND(R113="Yes",S113="Yes",L113&lt;0,B113&lt;&gt;"TXO"),L113,"")</f>
        <v/>
      </c>
      <c r="Z113" s="226">
        <f>IF(AND(R113="",S113="Yes",L113&gt;0,B113&lt;&gt;"TXO"),L113,"")</f>
        <v/>
      </c>
      <c r="AA113" s="226">
        <f>IF(AND(R113="",S113="Yes",L113&lt;0,B113&lt;&gt;"TXO"),L113,"")</f>
        <v/>
      </c>
    </row>
    <row r="114" outlineLevel="2">
      <c r="A114" s="696" t="n">
        <v>43528</v>
      </c>
      <c r="B114" s="234" t="inlineStr">
        <is>
          <t>FIMTX</t>
        </is>
      </c>
      <c r="C114" s="229" t="inlineStr">
        <is>
          <t>小指03</t>
        </is>
      </c>
      <c r="D114" s="229" t="inlineStr">
        <is>
          <t>新倉</t>
        </is>
      </c>
      <c r="E114" s="257" t="inlineStr">
        <is>
          <t>賣</t>
        </is>
      </c>
      <c r="F114" s="229" t="inlineStr">
        <is>
          <t>-</t>
        </is>
      </c>
      <c r="G114" s="697" t="n">
        <v>1</v>
      </c>
      <c r="H114" s="697" t="n">
        <v>10292</v>
      </c>
      <c r="I114" s="697" t="n">
        <v>0</v>
      </c>
      <c r="J114" s="585" t="n">
        <v>23</v>
      </c>
      <c r="K114" s="585" t="n">
        <v>10</v>
      </c>
      <c r="L114" s="585">
        <f>IF(B114="TXO",I114-SUM(J114:K114),IF(B114="FITX",IF(D114="新倉",-SUM(J114:K114),IF(E114="賣",(H114-H113)*G114*200-SUM(J114:K114),(H113-H114)*G114*200-SUM(J114:K114))),IF(D114="新倉",-SUM(J114:K114),IF(E114="賣",(H114-H113)*G114*50-SUM(J114:K114),(H113-H114)*G114*50-SUM(J114:K114)))))</f>
        <v/>
      </c>
      <c r="M114" s="699">
        <f>L114</f>
        <v/>
      </c>
      <c r="N114" s="686">
        <f>IF(B114="TXO","",IF(D114="新倉","",IF(E114="賣",(H114-H113)*G114,(H113-H114)*G114)))</f>
        <v/>
      </c>
      <c r="O114" s="226" t="n">
        <v>0</v>
      </c>
      <c r="P114" s="667" t="n"/>
      <c r="Q114" s="249" t="inlineStr">
        <is>
          <t>3/3 買進1口</t>
        </is>
      </c>
      <c r="R114" s="249" t="inlineStr">
        <is>
          <t>Yes</t>
        </is>
      </c>
      <c r="S114" s="249" t="n"/>
      <c r="T114" s="61">
        <f>IF(AND(R114="Yes",S114&lt;&gt;"Yes",L114&gt;0,B114&lt;&gt;"TXO"),L114,"")</f>
        <v/>
      </c>
      <c r="U114" s="61">
        <f>IF(AND(R114="Yes",S114&lt;&gt;"Yes",L114&lt;0,B114&lt;&gt;"TXO"),L114,"")</f>
        <v/>
      </c>
      <c r="V114" s="61">
        <f>IF(AND(R114="",S114&lt;&gt;"Yes",L114&gt;0,B114&lt;&gt;"TXO"),L114,"")</f>
        <v/>
      </c>
      <c r="W114" s="61">
        <f>IF(AND(R114="",S114&lt;&gt;"Yes",L114&lt;0,B114&lt;&gt;"TXO"),L114,"")</f>
        <v/>
      </c>
      <c r="X114" s="226">
        <f>IF(AND(R114="Yes",S114="Yes",L114&gt;0,B114&lt;&gt;"TXO"),L114,"")</f>
        <v/>
      </c>
      <c r="Y114" s="226">
        <f>IF(AND(R114="Yes",S114="Yes",L114&lt;0,B114&lt;&gt;"TXO"),L114,"")</f>
        <v/>
      </c>
      <c r="Z114" s="226">
        <f>IF(AND(R114="",S114="Yes",L114&gt;0,B114&lt;&gt;"TXO"),L114,"")</f>
        <v/>
      </c>
      <c r="AA114" s="226">
        <f>IF(AND(R114="",S114="Yes",L114&lt;0,B114&lt;&gt;"TXO"),L114,"")</f>
        <v/>
      </c>
    </row>
    <row r="115" outlineLevel="2">
      <c r="A115" s="696" t="n">
        <v>43528</v>
      </c>
      <c r="B115" s="234" t="inlineStr">
        <is>
          <t>FIMTX</t>
        </is>
      </c>
      <c r="C115" s="229" t="inlineStr">
        <is>
          <t>小指03</t>
        </is>
      </c>
      <c r="D115" s="229" t="inlineStr">
        <is>
          <t>平倉</t>
        </is>
      </c>
      <c r="E115" s="257" t="inlineStr">
        <is>
          <t>買</t>
        </is>
      </c>
      <c r="F115" s="229" t="inlineStr">
        <is>
          <t>-</t>
        </is>
      </c>
      <c r="G115" s="697" t="n">
        <v>1</v>
      </c>
      <c r="H115" s="697" t="n">
        <v>10285</v>
      </c>
      <c r="I115" s="697" t="n">
        <v>0</v>
      </c>
      <c r="J115" s="585" t="n">
        <v>23</v>
      </c>
      <c r="K115" s="585" t="n">
        <v>10</v>
      </c>
      <c r="L115" s="585">
        <f>IF(B115="TXO",I115-SUM(J115:K115),IF(B115="FITX",IF(D115="新倉",-SUM(J115:K115),IF(E115="賣",(H115-H114)*G115*200-SUM(J115:K115),(H114-H115)*G115*200-SUM(J115:K115))),IF(D115="新倉",-SUM(J115:K115),IF(E115="賣",(H115-H114)*G115*50-SUM(J115:K115),(H114-H115)*G115*50-SUM(J115:K115)))))</f>
        <v/>
      </c>
      <c r="M115" s="699">
        <f>L115</f>
        <v/>
      </c>
      <c r="N115" s="686">
        <f>IF(B115="TXO","",IF(D115="新倉","",IF(E115="賣",(H115-H114)*G115,(H114-H115)*G115)))</f>
        <v/>
      </c>
      <c r="O115" s="226" t="n">
        <v>0</v>
      </c>
      <c r="P115" s="667" t="n"/>
      <c r="Q115" s="249" t="inlineStr">
        <is>
          <t>技法: 刺補</t>
        </is>
      </c>
      <c r="R115" s="249" t="inlineStr">
        <is>
          <t>Yes</t>
        </is>
      </c>
      <c r="S115" s="249" t="n"/>
      <c r="T115" s="61">
        <f>IF(AND(R115="Yes",S115&lt;&gt;"Yes",L115&gt;0,B115&lt;&gt;"TXO"),L115,"")</f>
        <v/>
      </c>
      <c r="U115" s="61">
        <f>IF(AND(R115="Yes",S115&lt;&gt;"Yes",L115&lt;0,B115&lt;&gt;"TXO"),L115,"")</f>
        <v/>
      </c>
      <c r="V115" s="61">
        <f>IF(AND(R115="",S115&lt;&gt;"Yes",L115&gt;0,B115&lt;&gt;"TXO"),L115,"")</f>
        <v/>
      </c>
      <c r="W115" s="61">
        <f>IF(AND(R115="",S115&lt;&gt;"Yes",L115&lt;0,B115&lt;&gt;"TXO"),L115,"")</f>
        <v/>
      </c>
      <c r="X115" s="226">
        <f>IF(AND(R115="Yes",S115="Yes",L115&gt;0,B115&lt;&gt;"TXO"),L115,"")</f>
        <v/>
      </c>
      <c r="Y115" s="226">
        <f>IF(AND(R115="Yes",S115="Yes",L115&lt;0,B115&lt;&gt;"TXO"),L115,"")</f>
        <v/>
      </c>
      <c r="Z115" s="226">
        <f>IF(AND(R115="",S115="Yes",L115&gt;0,B115&lt;&gt;"TXO"),L115,"")</f>
        <v/>
      </c>
      <c r="AA115" s="226">
        <f>IF(AND(R115="",S115="Yes",L115&lt;0,B115&lt;&gt;"TXO"),L115,"")</f>
        <v/>
      </c>
    </row>
    <row r="116" outlineLevel="1">
      <c r="A116" s="740" t="n">
        <v>43529</v>
      </c>
      <c r="B116" s="299" t="inlineStr">
        <is>
          <t>FIMTX</t>
        </is>
      </c>
      <c r="C116" s="300" t="inlineStr">
        <is>
          <t>小指03</t>
        </is>
      </c>
      <c r="D116" s="300" t="inlineStr">
        <is>
          <t>新倉</t>
        </is>
      </c>
      <c r="E116" s="301" t="inlineStr">
        <is>
          <t>賣</t>
        </is>
      </c>
      <c r="F116" s="300" t="inlineStr">
        <is>
          <t>-</t>
        </is>
      </c>
      <c r="G116" s="741" t="n">
        <v>1</v>
      </c>
      <c r="H116" s="741" t="n">
        <v>10285</v>
      </c>
      <c r="I116" s="741" t="n">
        <v>0</v>
      </c>
      <c r="J116" s="742" t="n">
        <v>23</v>
      </c>
      <c r="K116" s="742" t="n">
        <v>10</v>
      </c>
      <c r="L116" s="742">
        <f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/>
      </c>
      <c r="M116" s="743">
        <f>L116</f>
        <v/>
      </c>
      <c r="N116" s="686">
        <f>IF(B116="TXO","",IF(D116="新倉","",IF(E116="賣",(H116-H115)*G116,(H115-H116)*G116)))</f>
        <v/>
      </c>
      <c r="O116" s="226" t="n">
        <v>0</v>
      </c>
      <c r="P116" s="667">
        <f>SUM(L116:L125)</f>
        <v/>
      </c>
      <c r="Q116" s="249" t="inlineStr">
        <is>
          <t>3/3 買進2口</t>
        </is>
      </c>
      <c r="R116" s="249" t="inlineStr">
        <is>
          <t>Yes</t>
        </is>
      </c>
      <c r="S116" s="249" t="n"/>
      <c r="T116" s="61">
        <f>IF(AND(R116="Yes",S116&lt;&gt;"Yes",L116&gt;0,B116&lt;&gt;"TXO"),L116,"")</f>
        <v/>
      </c>
      <c r="U116" s="61">
        <f>IF(AND(R116="Yes",S116&lt;&gt;"Yes",L116&lt;0,B116&lt;&gt;"TXO"),L116,"")</f>
        <v/>
      </c>
      <c r="V116" s="61">
        <f>IF(AND(R116="",S116&lt;&gt;"Yes",L116&gt;0,B116&lt;&gt;"TXO"),L116,"")</f>
        <v/>
      </c>
      <c r="W116" s="61">
        <f>IF(AND(R116="",S116&lt;&gt;"Yes",L116&lt;0,B116&lt;&gt;"TXO"),L116,"")</f>
        <v/>
      </c>
      <c r="X116" s="226">
        <f>IF(AND(R116="Yes",S116="Yes",L116&gt;0,B116&lt;&gt;"TXO"),L116,"")</f>
        <v/>
      </c>
      <c r="Y116" s="226">
        <f>IF(AND(R116="Yes",S116="Yes",L116&lt;0,B116&lt;&gt;"TXO"),L116,"")</f>
        <v/>
      </c>
      <c r="Z116" s="226">
        <f>IF(AND(R116="",S116="Yes",L116&gt;0,B116&lt;&gt;"TXO"),L116,"")</f>
        <v/>
      </c>
      <c r="AA116" s="226">
        <f>IF(AND(R116="",S116="Yes",L116&lt;0,B116&lt;&gt;"TXO"),L116,"")</f>
        <v/>
      </c>
    </row>
    <row r="117" outlineLevel="2" collapsed="1">
      <c r="A117" s="740" t="n">
        <v>43529</v>
      </c>
      <c r="B117" s="299" t="inlineStr">
        <is>
          <t>FIMTX</t>
        </is>
      </c>
      <c r="C117" s="300" t="inlineStr">
        <is>
          <t>小指03</t>
        </is>
      </c>
      <c r="D117" s="300" t="inlineStr">
        <is>
          <t>平倉</t>
        </is>
      </c>
      <c r="E117" s="301" t="inlineStr">
        <is>
          <t>買</t>
        </is>
      </c>
      <c r="F117" s="300" t="inlineStr">
        <is>
          <t>-</t>
        </is>
      </c>
      <c r="G117" s="741" t="n">
        <v>1</v>
      </c>
      <c r="H117" s="741" t="n">
        <v>10288</v>
      </c>
      <c r="I117" s="741" t="n">
        <v>0</v>
      </c>
      <c r="J117" s="742" t="n">
        <v>23</v>
      </c>
      <c r="K117" s="742" t="n">
        <v>10</v>
      </c>
      <c r="L117" s="742">
        <f>IF(B117="TXO",I117-SUM(J117:K117),IF(B117="FITX",IF(D117="新倉",-SUM(J117:K117),IF(E117="賣",(H117-H116)*G117*200-SUM(J117:K117),(H116-H117)*G117*200-SUM(J117:K117))),IF(D117="新倉",-SUM(J117:K117),IF(E117="賣",(H117-H116)*G117*50-SUM(J117:K117),(H116-H117)*G117*50-SUM(J117:K117)))))</f>
        <v/>
      </c>
      <c r="M117" s="743">
        <f>L117</f>
        <v/>
      </c>
      <c r="N117" s="686">
        <f>IF(B117="TXO","",IF(D117="新倉","",IF(E117="賣",(H117-H116)*G117,(H116-H117)*G117)))</f>
        <v/>
      </c>
      <c r="O117" s="226" t="n">
        <v>0</v>
      </c>
      <c r="P117" s="667" t="n"/>
      <c r="Q117" s="249" t="inlineStr">
        <is>
          <t>技法: 碰10MA出場(停損)</t>
        </is>
      </c>
      <c r="R117" s="249" t="inlineStr">
        <is>
          <t>Yes</t>
        </is>
      </c>
      <c r="S117" s="249" t="n"/>
      <c r="T117" s="61">
        <f>IF(AND(R117="Yes",S117&lt;&gt;"Yes",L117&gt;0,B117&lt;&gt;"TXO"),L117,"")</f>
        <v/>
      </c>
      <c r="U117" s="61">
        <f>IF(AND(R117="Yes",S117&lt;&gt;"Yes",L117&lt;0,B117&lt;&gt;"TXO"),L117,"")</f>
        <v/>
      </c>
      <c r="V117" s="61">
        <f>IF(AND(R117="",S117&lt;&gt;"Yes",L117&gt;0,B117&lt;&gt;"TXO"),L117,"")</f>
        <v/>
      </c>
      <c r="W117" s="61">
        <f>IF(AND(R117="",S117&lt;&gt;"Yes",L117&lt;0,B117&lt;&gt;"TXO"),L117,"")</f>
        <v/>
      </c>
      <c r="X117" s="226">
        <f>IF(AND(R117="Yes",S117="Yes",L117&gt;0,B117&lt;&gt;"TXO"),L117,"")</f>
        <v/>
      </c>
      <c r="Y117" s="226">
        <f>IF(AND(R117="Yes",S117="Yes",L117&lt;0,B117&lt;&gt;"TXO"),L117,"")</f>
        <v/>
      </c>
      <c r="Z117" s="226">
        <f>IF(AND(R117="",S117="Yes",L117&gt;0,B117&lt;&gt;"TXO"),L117,"")</f>
        <v/>
      </c>
      <c r="AA117" s="226">
        <f>IF(AND(R117="",S117="Yes",L117&lt;0,B117&lt;&gt;"TXO"),L117,"")</f>
        <v/>
      </c>
    </row>
    <row r="118" outlineLevel="2" collapsed="1">
      <c r="A118" s="740" t="n">
        <v>43529</v>
      </c>
      <c r="B118" s="299" t="inlineStr">
        <is>
          <t>FIMTX</t>
        </is>
      </c>
      <c r="C118" s="300" t="inlineStr">
        <is>
          <t>小指03</t>
        </is>
      </c>
      <c r="D118" s="300" t="inlineStr">
        <is>
          <t>新倉</t>
        </is>
      </c>
      <c r="E118" s="301" t="inlineStr">
        <is>
          <t>賣</t>
        </is>
      </c>
      <c r="F118" s="300" t="inlineStr">
        <is>
          <t>-</t>
        </is>
      </c>
      <c r="G118" s="741" t="n">
        <v>1</v>
      </c>
      <c r="H118" s="741" t="n">
        <v>10286</v>
      </c>
      <c r="I118" s="741" t="n">
        <v>0</v>
      </c>
      <c r="J118" s="742" t="n">
        <v>23</v>
      </c>
      <c r="K118" s="742" t="n">
        <v>10</v>
      </c>
      <c r="L118" s="742">
        <f>IF(B118="TXO",I118-SUM(J118:K118),IF(B118="FITX",IF(D118="新倉",-SUM(J118:K118),IF(E118="賣",(H118-H117)*G118*200-SUM(J118:K118),(H117-H118)*G118*200-SUM(J118:K118))),IF(D118="新倉",-SUM(J118:K118),IF(E118="賣",(H118-H117)*G118*50-SUM(J118:K118),(H117-H118)*G118*50-SUM(J118:K118)))))</f>
        <v/>
      </c>
      <c r="M118" s="743">
        <f>L118</f>
        <v/>
      </c>
      <c r="N118" s="686">
        <f>IF(B118="TXO","",IF(D118="新倉","",IF(E118="賣",(H118-H117)*G118,(H117-H118)*G118)))</f>
        <v/>
      </c>
      <c r="O118" s="226" t="n">
        <v>0</v>
      </c>
      <c r="P118" s="667" t="n"/>
      <c r="Q118" s="249" t="inlineStr">
        <is>
          <t>3/3 買進2口</t>
        </is>
      </c>
      <c r="R118" s="249" t="inlineStr">
        <is>
          <t>Yes</t>
        </is>
      </c>
      <c r="S118" s="249" t="n"/>
      <c r="T118" s="61">
        <f>IF(AND(R118="Yes",S118&lt;&gt;"Yes",L118&gt;0,B118&lt;&gt;"TXO"),L118,"")</f>
        <v/>
      </c>
      <c r="U118" s="61">
        <f>IF(AND(R118="Yes",S118&lt;&gt;"Yes",L118&lt;0,B118&lt;&gt;"TXO"),L118,"")</f>
        <v/>
      </c>
      <c r="V118" s="61">
        <f>IF(AND(R118="",S118&lt;&gt;"Yes",L118&gt;0,B118&lt;&gt;"TXO"),L118,"")</f>
        <v/>
      </c>
      <c r="W118" s="61">
        <f>IF(AND(R118="",S118&lt;&gt;"Yes",L118&lt;0,B118&lt;&gt;"TXO"),L118,"")</f>
        <v/>
      </c>
      <c r="X118" s="226">
        <f>IF(AND(R118="Yes",S118="Yes",L118&gt;0,B118&lt;&gt;"TXO"),L118,"")</f>
        <v/>
      </c>
      <c r="Y118" s="226">
        <f>IF(AND(R118="Yes",S118="Yes",L118&lt;0,B118&lt;&gt;"TXO"),L118,"")</f>
        <v/>
      </c>
      <c r="Z118" s="226">
        <f>IF(AND(R118="",S118="Yes",L118&gt;0,B118&lt;&gt;"TXO"),L118,"")</f>
        <v/>
      </c>
      <c r="AA118" s="226">
        <f>IF(AND(R118="",S118="Yes",L118&lt;0,B118&lt;&gt;"TXO"),L118,"")</f>
        <v/>
      </c>
    </row>
    <row r="119" outlineLevel="2" collapsed="1">
      <c r="A119" s="740" t="n">
        <v>43529</v>
      </c>
      <c r="B119" s="299" t="inlineStr">
        <is>
          <t>FIMTX</t>
        </is>
      </c>
      <c r="C119" s="300" t="inlineStr">
        <is>
          <t>小指03</t>
        </is>
      </c>
      <c r="D119" s="300" t="inlineStr">
        <is>
          <t>平倉</t>
        </is>
      </c>
      <c r="E119" s="301" t="inlineStr">
        <is>
          <t>買</t>
        </is>
      </c>
      <c r="F119" s="300" t="inlineStr">
        <is>
          <t>-</t>
        </is>
      </c>
      <c r="G119" s="741" t="n">
        <v>1</v>
      </c>
      <c r="H119" s="741" t="n">
        <v>10288</v>
      </c>
      <c r="I119" s="741" t="n">
        <v>0</v>
      </c>
      <c r="J119" s="742" t="n">
        <v>23</v>
      </c>
      <c r="K119" s="742" t="n">
        <v>10</v>
      </c>
      <c r="L119" s="742">
        <f>IF(B119="TXO",I119-SUM(J119:K119),IF(B119="FITX",IF(D119="新倉",-SUM(J119:K119),IF(E119="賣",(H119-H118)*G119*200-SUM(J119:K119),(H118-H119)*G119*200-SUM(J119:K119))),IF(D119="新倉",-SUM(J119:K119),IF(E119="賣",(H119-H118)*G119*50-SUM(J119:K119),(H118-H119)*G119*50-SUM(J119:K119)))))</f>
        <v/>
      </c>
      <c r="M119" s="743">
        <f>L119</f>
        <v/>
      </c>
      <c r="N119" s="686">
        <f>IF(B119="TXO","",IF(D119="新倉","",IF(E119="賣",(H119-H118)*G119,(H118-H119)*G119)))</f>
        <v/>
      </c>
      <c r="O119" s="226" t="n">
        <v>0</v>
      </c>
      <c r="P119" s="667" t="n"/>
      <c r="Q119" s="249" t="inlineStr">
        <is>
          <t>技法: 碰10MA出場(停損)</t>
        </is>
      </c>
      <c r="R119" s="249" t="inlineStr">
        <is>
          <t>Yes</t>
        </is>
      </c>
      <c r="S119" s="249" t="n"/>
      <c r="T119" s="61">
        <f>IF(AND(R119="Yes",S119&lt;&gt;"Yes",L119&gt;0,B119&lt;&gt;"TXO"),L119,"")</f>
        <v/>
      </c>
      <c r="U119" s="61">
        <f>IF(AND(R119="Yes",S119&lt;&gt;"Yes",L119&lt;0,B119&lt;&gt;"TXO"),L119,"")</f>
        <v/>
      </c>
      <c r="V119" s="61">
        <f>IF(AND(R119="",S119&lt;&gt;"Yes",L119&gt;0,B119&lt;&gt;"TXO"),L119,"")</f>
        <v/>
      </c>
      <c r="W119" s="61">
        <f>IF(AND(R119="",S119&lt;&gt;"Yes",L119&lt;0,B119&lt;&gt;"TXO"),L119,"")</f>
        <v/>
      </c>
      <c r="X119" s="226">
        <f>IF(AND(R119="Yes",S119="Yes",L119&gt;0,B119&lt;&gt;"TXO"),L119,"")</f>
        <v/>
      </c>
      <c r="Y119" s="226">
        <f>IF(AND(R119="Yes",S119="Yes",L119&lt;0,B119&lt;&gt;"TXO"),L119,"")</f>
        <v/>
      </c>
      <c r="Z119" s="226">
        <f>IF(AND(R119="",S119="Yes",L119&gt;0,B119&lt;&gt;"TXO"),L119,"")</f>
        <v/>
      </c>
      <c r="AA119" s="226">
        <f>IF(AND(R119="",S119="Yes",L119&lt;0,B119&lt;&gt;"TXO"),L119,"")</f>
        <v/>
      </c>
    </row>
    <row r="120" outlineLevel="2" collapsed="1">
      <c r="A120" s="740" t="n">
        <v>43529</v>
      </c>
      <c r="B120" s="299" t="inlineStr">
        <is>
          <t>FIMTX</t>
        </is>
      </c>
      <c r="C120" s="300" t="inlineStr">
        <is>
          <t>小指03</t>
        </is>
      </c>
      <c r="D120" s="300" t="inlineStr">
        <is>
          <t>新倉</t>
        </is>
      </c>
      <c r="E120" s="301" t="inlineStr">
        <is>
          <t>買</t>
        </is>
      </c>
      <c r="F120" s="300" t="inlineStr">
        <is>
          <t>-</t>
        </is>
      </c>
      <c r="G120" s="741" t="n">
        <v>1</v>
      </c>
      <c r="H120" s="741" t="n">
        <v>10275</v>
      </c>
      <c r="I120" s="741" t="n">
        <v>0</v>
      </c>
      <c r="J120" s="742" t="n">
        <v>23</v>
      </c>
      <c r="K120" s="742" t="n">
        <v>10</v>
      </c>
      <c r="L120" s="742">
        <f>IF(B120="TXO",I120-SUM(J120:K120),IF(B120="FITX",IF(D120="新倉",-SUM(J120:K120),IF(E120="賣",(H120-H119)*G120*200-SUM(J120:K120),(H119-H120)*G120*200-SUM(J120:K120))),IF(D120="新倉",-SUM(J120:K120),IF(E120="賣",(H120-H119)*G120*50-SUM(J120:K120),(H119-H120)*G120*50-SUM(J120:K120)))))</f>
        <v/>
      </c>
      <c r="M120" s="743">
        <f>L120</f>
        <v/>
      </c>
      <c r="N120" s="686">
        <f>IF(B120="TXO","",IF(D120="新倉","",IF(E120="賣",(H120-H119)*G120,(H119-H120)*G120)))</f>
        <v/>
      </c>
      <c r="O120" s="226" t="n">
        <v>0</v>
      </c>
      <c r="P120" s="667" t="n"/>
      <c r="Q120" s="249" t="inlineStr">
        <is>
          <t>3/3 買進2口</t>
        </is>
      </c>
      <c r="R120" s="249" t="inlineStr">
        <is>
          <t>Yes</t>
        </is>
      </c>
      <c r="S120" s="249" t="n"/>
      <c r="T120" s="61">
        <f>IF(AND(R120="Yes",S120&lt;&gt;"Yes",L120&gt;0,B120&lt;&gt;"TXO"),L120,"")</f>
        <v/>
      </c>
      <c r="U120" s="61">
        <f>IF(AND(R120="Yes",S120&lt;&gt;"Yes",L120&lt;0,B120&lt;&gt;"TXO"),L120,"")</f>
        <v/>
      </c>
      <c r="V120" s="61">
        <f>IF(AND(R120="",S120&lt;&gt;"Yes",L120&gt;0,B120&lt;&gt;"TXO"),L120,"")</f>
        <v/>
      </c>
      <c r="W120" s="61">
        <f>IF(AND(R120="",S120&lt;&gt;"Yes",L120&lt;0,B120&lt;&gt;"TXO"),L120,"")</f>
        <v/>
      </c>
      <c r="X120" s="226">
        <f>IF(AND(R120="Yes",S120="Yes",L120&gt;0,B120&lt;&gt;"TXO"),L120,"")</f>
        <v/>
      </c>
      <c r="Y120" s="226">
        <f>IF(AND(R120="Yes",S120="Yes",L120&lt;0,B120&lt;&gt;"TXO"),L120,"")</f>
        <v/>
      </c>
      <c r="Z120" s="226">
        <f>IF(AND(R120="",S120="Yes",L120&gt;0,B120&lt;&gt;"TXO"),L120,"")</f>
        <v/>
      </c>
      <c r="AA120" s="226">
        <f>IF(AND(R120="",S120="Yes",L120&lt;0,B120&lt;&gt;"TXO"),L120,"")</f>
        <v/>
      </c>
    </row>
    <row r="121" outlineLevel="2" collapsed="1">
      <c r="A121" s="740" t="n">
        <v>43529</v>
      </c>
      <c r="B121" s="299" t="inlineStr">
        <is>
          <t>FIMTX</t>
        </is>
      </c>
      <c r="C121" s="300" t="inlineStr">
        <is>
          <t>小指03</t>
        </is>
      </c>
      <c r="D121" s="300" t="inlineStr">
        <is>
          <t>平倉</t>
        </is>
      </c>
      <c r="E121" s="301" t="inlineStr">
        <is>
          <t>賣</t>
        </is>
      </c>
      <c r="F121" s="300" t="inlineStr">
        <is>
          <t>-</t>
        </is>
      </c>
      <c r="G121" s="741" t="n">
        <v>1</v>
      </c>
      <c r="H121" s="741" t="n">
        <v>10266</v>
      </c>
      <c r="I121" s="741" t="n">
        <v>0</v>
      </c>
      <c r="J121" s="742" t="n">
        <v>23</v>
      </c>
      <c r="K121" s="742" t="n">
        <v>10</v>
      </c>
      <c r="L121" s="742">
        <f>IF(B121="TXO",I121-SUM(J121:K121),IF(B121="FITX",IF(D121="新倉",-SUM(J121:K121),IF(E121="賣",(H121-H120)*G121*200-SUM(J121:K121),(H120-H121)*G121*200-SUM(J121:K121))),IF(D121="新倉",-SUM(J121:K121),IF(E121="賣",(H121-H120)*G121*50-SUM(J121:K121),(H120-H121)*G121*50-SUM(J121:K121)))))</f>
        <v/>
      </c>
      <c r="M121" s="743">
        <f>L121</f>
        <v/>
      </c>
      <c r="N121" s="686">
        <f>IF(B121="TXO","",IF(D121="新倉","",IF(E121="賣",(H121-H120)*G121,(H120-H121)*G121)))</f>
        <v/>
      </c>
      <c r="O121" s="226" t="n">
        <v>0</v>
      </c>
      <c r="P121" s="667" t="n"/>
      <c r="Q121" s="249" t="inlineStr">
        <is>
          <t>技法: 碰10MA出場(停損)</t>
        </is>
      </c>
      <c r="R121" s="249" t="inlineStr">
        <is>
          <t>Yes</t>
        </is>
      </c>
      <c r="S121" s="249" t="n"/>
      <c r="T121" s="61">
        <f>IF(AND(R121="Yes",S121&lt;&gt;"Yes",L121&gt;0,B121&lt;&gt;"TXO"),L121,"")</f>
        <v/>
      </c>
      <c r="U121" s="61">
        <f>IF(AND(R121="Yes",S121&lt;&gt;"Yes",L121&lt;0,B121&lt;&gt;"TXO"),L121,"")</f>
        <v/>
      </c>
      <c r="V121" s="61">
        <f>IF(AND(R121="",S121&lt;&gt;"Yes",L121&gt;0,B121&lt;&gt;"TXO"),L121,"")</f>
        <v/>
      </c>
      <c r="W121" s="61">
        <f>IF(AND(R121="",S121&lt;&gt;"Yes",L121&lt;0,B121&lt;&gt;"TXO"),L121,"")</f>
        <v/>
      </c>
      <c r="X121" s="226">
        <f>IF(AND(R121="Yes",S121="Yes",L121&gt;0,B121&lt;&gt;"TXO"),L121,"")</f>
        <v/>
      </c>
      <c r="Y121" s="226">
        <f>IF(AND(R121="Yes",S121="Yes",L121&lt;0,B121&lt;&gt;"TXO"),L121,"")</f>
        <v/>
      </c>
      <c r="Z121" s="226">
        <f>IF(AND(R121="",S121="Yes",L121&gt;0,B121&lt;&gt;"TXO"),L121,"")</f>
        <v/>
      </c>
      <c r="AA121" s="226">
        <f>IF(AND(R121="",S121="Yes",L121&lt;0,B121&lt;&gt;"TXO"),L121,"")</f>
        <v/>
      </c>
    </row>
    <row r="122" outlineLevel="1">
      <c r="A122" s="740" t="n">
        <v>43529</v>
      </c>
      <c r="B122" s="299" t="inlineStr">
        <is>
          <t>FIMTX</t>
        </is>
      </c>
      <c r="C122" s="300" t="inlineStr">
        <is>
          <t>小指03</t>
        </is>
      </c>
      <c r="D122" s="300" t="inlineStr">
        <is>
          <t>新倉</t>
        </is>
      </c>
      <c r="E122" s="301" t="inlineStr">
        <is>
          <t>買</t>
        </is>
      </c>
      <c r="F122" s="300" t="inlineStr">
        <is>
          <t>-</t>
        </is>
      </c>
      <c r="G122" s="741" t="n">
        <v>1</v>
      </c>
      <c r="H122" s="741" t="n">
        <v>10276</v>
      </c>
      <c r="I122" s="741" t="n">
        <v>0</v>
      </c>
      <c r="J122" s="742" t="n">
        <v>23</v>
      </c>
      <c r="K122" s="742" t="n">
        <v>10</v>
      </c>
      <c r="L122" s="742">
        <f>IF(B122="TXO",I122-SUM(J122:K122),IF(B122="FITX",IF(D122="新倉",-SUM(J122:K122),IF(E122="賣",(H122-H121)*G122*200-SUM(J122:K122),(H121-H122)*G122*200-SUM(J122:K122))),IF(D122="新倉",-SUM(J122:K122),IF(E122="賣",(H122-H121)*G122*50-SUM(J122:K122),(H121-H122)*G122*50-SUM(J122:K122)))))</f>
        <v/>
      </c>
      <c r="M122" s="743">
        <f>L122</f>
        <v/>
      </c>
      <c r="N122" s="686">
        <f>IF(B122="TXO","",IF(D122="新倉","",IF(E122="賣",(H122-H121)*G122,(H121-H122)*G122)))</f>
        <v/>
      </c>
      <c r="O122" s="226" t="n">
        <v>0</v>
      </c>
      <c r="P122" s="667" t="n"/>
      <c r="Q122" s="249" t="inlineStr">
        <is>
          <t>3/3 買進2口</t>
        </is>
      </c>
      <c r="R122" s="249" t="inlineStr">
        <is>
          <t>Yes</t>
        </is>
      </c>
      <c r="S122" s="249" t="n"/>
      <c r="T122" s="61">
        <f>IF(AND(R122="Yes",S122&lt;&gt;"Yes",L122&gt;0,B122&lt;&gt;"TXO"),L122,"")</f>
        <v/>
      </c>
      <c r="U122" s="61">
        <f>IF(AND(R122="Yes",S122&lt;&gt;"Yes",L122&lt;0,B122&lt;&gt;"TXO"),L122,"")</f>
        <v/>
      </c>
      <c r="V122" s="61">
        <f>IF(AND(R122="",S122&lt;&gt;"Yes",L122&gt;0,B122&lt;&gt;"TXO"),L122,"")</f>
        <v/>
      </c>
      <c r="W122" s="61">
        <f>IF(AND(R122="",S122&lt;&gt;"Yes",L122&lt;0,B122&lt;&gt;"TXO"),L122,"")</f>
        <v/>
      </c>
      <c r="X122" s="226">
        <f>IF(AND(R122="Yes",S122="Yes",L122&gt;0,B122&lt;&gt;"TXO"),L122,"")</f>
        <v/>
      </c>
      <c r="Y122" s="226">
        <f>IF(AND(R122="Yes",S122="Yes",L122&lt;0,B122&lt;&gt;"TXO"),L122,"")</f>
        <v/>
      </c>
      <c r="Z122" s="226">
        <f>IF(AND(R122="",S122="Yes",L122&gt;0,B122&lt;&gt;"TXO"),L122,"")</f>
        <v/>
      </c>
      <c r="AA122" s="226">
        <f>IF(AND(R122="",S122="Yes",L122&lt;0,B122&lt;&gt;"TXO"),L122,"")</f>
        <v/>
      </c>
    </row>
    <row r="123" outlineLevel="2" collapsed="1">
      <c r="A123" s="740" t="n">
        <v>43529</v>
      </c>
      <c r="B123" s="299" t="inlineStr">
        <is>
          <t>FIMTX</t>
        </is>
      </c>
      <c r="C123" s="300" t="inlineStr">
        <is>
          <t>小指03</t>
        </is>
      </c>
      <c r="D123" s="300" t="inlineStr">
        <is>
          <t>平倉</t>
        </is>
      </c>
      <c r="E123" s="301" t="inlineStr">
        <is>
          <t>賣</t>
        </is>
      </c>
      <c r="F123" s="300" t="inlineStr">
        <is>
          <t>-</t>
        </is>
      </c>
      <c r="G123" s="741" t="n">
        <v>1</v>
      </c>
      <c r="H123" s="741" t="n">
        <v>10266</v>
      </c>
      <c r="I123" s="741" t="n">
        <v>0</v>
      </c>
      <c r="J123" s="742" t="n">
        <v>23</v>
      </c>
      <c r="K123" s="742" t="n">
        <v>10</v>
      </c>
      <c r="L123" s="742">
        <f>IF(B123="TXO",I123-SUM(J123:K123),IF(B123="FITX",IF(D123="新倉",-SUM(J123:K123),IF(E123="賣",(H123-H122)*G123*200-SUM(J123:K123),(H122-H123)*G123*200-SUM(J123:K123))),IF(D123="新倉",-SUM(J123:K123),IF(E123="賣",(H123-H122)*G123*50-SUM(J123:K123),(H122-H123)*G123*50-SUM(J123:K123)))))</f>
        <v/>
      </c>
      <c r="M123" s="743">
        <f>L123</f>
        <v/>
      </c>
      <c r="N123" s="686">
        <f>IF(B123="TXO","",IF(D123="新倉","",IF(E123="賣",(H123-H122)*G123,(H122-H123)*G123)))</f>
        <v/>
      </c>
      <c r="O123" s="226" t="n">
        <v>0</v>
      </c>
      <c r="P123" s="667" t="n"/>
      <c r="Q123" s="249" t="inlineStr">
        <is>
          <t>技法: 碰10MA出場(停損)</t>
        </is>
      </c>
      <c r="R123" s="249" t="inlineStr">
        <is>
          <t>Yes</t>
        </is>
      </c>
      <c r="S123" s="249" t="n"/>
      <c r="T123" s="61">
        <f>IF(AND(R123="Yes",S123&lt;&gt;"Yes",L123&gt;0,B123&lt;&gt;"TXO"),L123,"")</f>
        <v/>
      </c>
      <c r="U123" s="61">
        <f>IF(AND(R123="Yes",S123&lt;&gt;"Yes",L123&lt;0,B123&lt;&gt;"TXO"),L123,"")</f>
        <v/>
      </c>
      <c r="V123" s="61">
        <f>IF(AND(R123="",S123&lt;&gt;"Yes",L123&gt;0,B123&lt;&gt;"TXO"),L123,"")</f>
        <v/>
      </c>
      <c r="W123" s="61">
        <f>IF(AND(R123="",S123&lt;&gt;"Yes",L123&lt;0,B123&lt;&gt;"TXO"),L123,"")</f>
        <v/>
      </c>
      <c r="X123" s="226">
        <f>IF(AND(R123="Yes",S123="Yes",L123&gt;0,B123&lt;&gt;"TXO"),L123,"")</f>
        <v/>
      </c>
      <c r="Y123" s="226">
        <f>IF(AND(R123="Yes",S123="Yes",L123&lt;0,B123&lt;&gt;"TXO"),L123,"")</f>
        <v/>
      </c>
      <c r="Z123" s="226">
        <f>IF(AND(R123="",S123="Yes",L123&gt;0,B123&lt;&gt;"TXO"),L123,"")</f>
        <v/>
      </c>
      <c r="AA123" s="226">
        <f>IF(AND(R123="",S123="Yes",L123&lt;0,B123&lt;&gt;"TXO"),L123,"")</f>
        <v/>
      </c>
    </row>
    <row r="124" outlineLevel="2" collapsed="1">
      <c r="A124" s="740" t="n">
        <v>43529</v>
      </c>
      <c r="B124" s="299" t="inlineStr">
        <is>
          <t>FIMTX</t>
        </is>
      </c>
      <c r="C124" s="300" t="inlineStr">
        <is>
          <t>小指03</t>
        </is>
      </c>
      <c r="D124" s="300" t="inlineStr">
        <is>
          <t>新倉</t>
        </is>
      </c>
      <c r="E124" s="301" t="inlineStr">
        <is>
          <t>賣</t>
        </is>
      </c>
      <c r="F124" s="300" t="inlineStr">
        <is>
          <t>-</t>
        </is>
      </c>
      <c r="G124" s="741" t="n">
        <v>2</v>
      </c>
      <c r="H124" s="741" t="n">
        <v>10268</v>
      </c>
      <c r="I124" s="741" t="n">
        <v>0</v>
      </c>
      <c r="J124" s="742" t="n">
        <v>46</v>
      </c>
      <c r="K124" s="742" t="n">
        <v>20</v>
      </c>
      <c r="L124" s="742">
        <f>IF(B124="TXO",I124-SUM(J124:K124),IF(B124="FITX",IF(D124="新倉",-SUM(J124:K124),IF(E124="賣",(H124-H123)*G124*200-SUM(J124:K124),(H123-H124)*G124*200-SUM(J124:K124))),IF(D124="新倉",-SUM(J124:K124),IF(E124="賣",(H124-H123)*G124*50-SUM(J124:K124),(H123-H124)*G124*50-SUM(J124:K124)))))</f>
        <v/>
      </c>
      <c r="M124" s="743">
        <f>L124</f>
        <v/>
      </c>
      <c r="N124" s="686">
        <f>IF(B124="TXO","",IF(D124="新倉","",IF(E124="賣",(H124-H123)*G124,(H123-H124)*G124)))</f>
        <v/>
      </c>
      <c r="O124" s="226" t="n">
        <v>0</v>
      </c>
      <c r="P124" s="667" t="n"/>
      <c r="Q124" s="249" t="inlineStr">
        <is>
          <t>3/3 買進2口</t>
        </is>
      </c>
      <c r="R124" s="249" t="inlineStr">
        <is>
          <t>Yes</t>
        </is>
      </c>
      <c r="S124" s="249" t="n"/>
      <c r="T124" s="61">
        <f>IF(AND(R124="Yes",S124&lt;&gt;"Yes",L124&gt;0,B124&lt;&gt;"TXO"),L124,"")</f>
        <v/>
      </c>
      <c r="U124" s="61">
        <f>IF(AND(R124="Yes",S124&lt;&gt;"Yes",L124&lt;0,B124&lt;&gt;"TXO"),L124,"")</f>
        <v/>
      </c>
      <c r="V124" s="61">
        <f>IF(AND(R124="",S124&lt;&gt;"Yes",L124&gt;0,B124&lt;&gt;"TXO"),L124,"")</f>
        <v/>
      </c>
      <c r="W124" s="61">
        <f>IF(AND(R124="",S124&lt;&gt;"Yes",L124&lt;0,B124&lt;&gt;"TXO"),L124,"")</f>
        <v/>
      </c>
      <c r="X124" s="226">
        <f>IF(AND(R124="Yes",S124="Yes",L124&gt;0,B124&lt;&gt;"TXO"),L124,"")</f>
        <v/>
      </c>
      <c r="Y124" s="226">
        <f>IF(AND(R124="Yes",S124="Yes",L124&lt;0,B124&lt;&gt;"TXO"),L124,"")</f>
        <v/>
      </c>
      <c r="Z124" s="226">
        <f>IF(AND(R124="",S124="Yes",L124&gt;0,B124&lt;&gt;"TXO"),L124,"")</f>
        <v/>
      </c>
      <c r="AA124" s="226">
        <f>IF(AND(R124="",S124="Yes",L124&lt;0,B124&lt;&gt;"TXO"),L124,"")</f>
        <v/>
      </c>
    </row>
    <row r="125" outlineLevel="2" collapsed="1">
      <c r="A125" s="740" t="n">
        <v>43529</v>
      </c>
      <c r="B125" s="299" t="inlineStr">
        <is>
          <t>FIMTX</t>
        </is>
      </c>
      <c r="C125" s="300" t="inlineStr">
        <is>
          <t>小指03</t>
        </is>
      </c>
      <c r="D125" s="300" t="inlineStr">
        <is>
          <t>平倉</t>
        </is>
      </c>
      <c r="E125" s="301" t="inlineStr">
        <is>
          <t>買</t>
        </is>
      </c>
      <c r="F125" s="300" t="inlineStr">
        <is>
          <t>-</t>
        </is>
      </c>
      <c r="G125" s="741" t="n">
        <v>2</v>
      </c>
      <c r="H125" s="741" t="n">
        <v>10280</v>
      </c>
      <c r="I125" s="741" t="n">
        <v>0</v>
      </c>
      <c r="J125" s="742" t="n">
        <v>46</v>
      </c>
      <c r="K125" s="742" t="n">
        <v>20</v>
      </c>
      <c r="L125" s="742">
        <f>IF(B125="TXO",I125-SUM(J125:K125),IF(B125="FITX",IF(D125="新倉",-SUM(J125:K125),IF(E125="賣",(H125-H124)*G125*200-SUM(J125:K125),(H124-H125)*G125*200-SUM(J125:K125))),IF(D125="新倉",-SUM(J125:K125),IF(E125="賣",(H125-H124)*G125*50-SUM(J125:K125),(H124-H125)*G125*50-SUM(J125:K125)))))</f>
        <v/>
      </c>
      <c r="M125" s="743">
        <f>L125</f>
        <v/>
      </c>
      <c r="N125" s="686">
        <f>IF(B125="TXO","",IF(D125="新倉","",IF(E125="賣",(H125-H124)*G125,(H124-H125)*G125)))</f>
        <v/>
      </c>
      <c r="O125" s="226" t="n">
        <v>0</v>
      </c>
      <c r="P125" s="667" t="n"/>
      <c r="Q125" s="249" t="inlineStr">
        <is>
          <t>技法: 碰10MA出場(停損)</t>
        </is>
      </c>
      <c r="R125" s="249" t="inlineStr">
        <is>
          <t>Yes</t>
        </is>
      </c>
      <c r="S125" s="249" t="n"/>
      <c r="T125" s="61">
        <f>IF(AND(R125="Yes",S125&lt;&gt;"Yes",L125&gt;0,B125&lt;&gt;"TXO"),L125,"")</f>
        <v/>
      </c>
      <c r="U125" s="61">
        <f>IF(AND(R125="Yes",S125&lt;&gt;"Yes",L125&lt;0,B125&lt;&gt;"TXO"),L125,"")</f>
        <v/>
      </c>
      <c r="V125" s="61">
        <f>IF(AND(R125="",S125&lt;&gt;"Yes",L125&gt;0,B125&lt;&gt;"TXO"),L125,"")</f>
        <v/>
      </c>
      <c r="W125" s="61">
        <f>IF(AND(R125="",S125&lt;&gt;"Yes",L125&lt;0,B125&lt;&gt;"TXO"),L125,"")</f>
        <v/>
      </c>
      <c r="X125" s="226">
        <f>IF(AND(R125="Yes",S125="Yes",L125&gt;0,B125&lt;&gt;"TXO"),L125,"")</f>
        <v/>
      </c>
      <c r="Y125" s="226">
        <f>IF(AND(R125="Yes",S125="Yes",L125&lt;0,B125&lt;&gt;"TXO"),L125,"")</f>
        <v/>
      </c>
      <c r="Z125" s="226">
        <f>IF(AND(R125="",S125="Yes",L125&gt;0,B125&lt;&gt;"TXO"),L125,"")</f>
        <v/>
      </c>
      <c r="AA125" s="226">
        <f>IF(AND(R125="",S125="Yes",L125&lt;0,B125&lt;&gt;"TXO"),L125,"")</f>
        <v/>
      </c>
    </row>
    <row r="126" outlineLevel="1">
      <c r="A126" s="696" t="n">
        <v>43530</v>
      </c>
      <c r="B126" s="234" t="inlineStr">
        <is>
          <t>FIMTX</t>
        </is>
      </c>
      <c r="C126" s="229" t="inlineStr">
        <is>
          <t>小指03</t>
        </is>
      </c>
      <c r="D126" s="229" t="inlineStr">
        <is>
          <t>新倉</t>
        </is>
      </c>
      <c r="E126" s="257" t="inlineStr">
        <is>
          <t>賣</t>
        </is>
      </c>
      <c r="F126" s="229" t="inlineStr">
        <is>
          <t>-</t>
        </is>
      </c>
      <c r="G126" s="697" t="n">
        <v>2</v>
      </c>
      <c r="H126" s="697" t="n">
        <v>10318</v>
      </c>
      <c r="I126" s="697" t="n">
        <v>0</v>
      </c>
      <c r="J126" s="585" t="n">
        <v>46</v>
      </c>
      <c r="K126" s="585" t="n">
        <v>20</v>
      </c>
      <c r="L126" s="585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/>
      </c>
      <c r="M126" s="699">
        <f>L126</f>
        <v/>
      </c>
      <c r="N126" s="686">
        <f>IF(B126="TXO","",IF(D126="新倉","",IF(E126="賣",(H126-H125)*G126,(H125-H126)*G126)))</f>
        <v/>
      </c>
      <c r="O126" s="226" t="n">
        <v>0</v>
      </c>
      <c r="P126" s="667">
        <f>SUM(L126:L127)</f>
        <v/>
      </c>
      <c r="Q126" s="249" t="inlineStr">
        <is>
          <t>3/3 買進2口</t>
        </is>
      </c>
      <c r="R126" s="249" t="inlineStr">
        <is>
          <t>Yes</t>
        </is>
      </c>
      <c r="S126" s="249" t="n"/>
      <c r="T126" s="61">
        <f>IF(AND(R126="Yes",S126&lt;&gt;"Yes",L126&gt;0,B126&lt;&gt;"TXO"),L126,"")</f>
        <v/>
      </c>
      <c r="U126" s="61">
        <f>IF(AND(R126="Yes",S126&lt;&gt;"Yes",L126&lt;0,B126&lt;&gt;"TXO"),L126,"")</f>
        <v/>
      </c>
      <c r="V126" s="61">
        <f>IF(AND(R126="",S126&lt;&gt;"Yes",L126&gt;0,B126&lt;&gt;"TXO"),L126,"")</f>
        <v/>
      </c>
      <c r="W126" s="61">
        <f>IF(AND(R126="",S126&lt;&gt;"Yes",L126&lt;0,B126&lt;&gt;"TXO"),L126,"")</f>
        <v/>
      </c>
      <c r="X126" s="226">
        <f>IF(AND(R126="Yes",S126="Yes",L126&gt;0,B126&lt;&gt;"TXO"),L126,"")</f>
        <v/>
      </c>
      <c r="Y126" s="226">
        <f>IF(AND(R126="Yes",S126="Yes",L126&lt;0,B126&lt;&gt;"TXO"),L126,"")</f>
        <v/>
      </c>
      <c r="Z126" s="226">
        <f>IF(AND(R126="",S126="Yes",L126&gt;0,B126&lt;&gt;"TXO"),L126,"")</f>
        <v/>
      </c>
      <c r="AA126" s="226">
        <f>IF(AND(R126="",S126="Yes",L126&lt;0,B126&lt;&gt;"TXO"),L126,"")</f>
        <v/>
      </c>
    </row>
    <row r="127" outlineLevel="1">
      <c r="A127" s="696" t="n">
        <v>43530</v>
      </c>
      <c r="B127" s="234" t="inlineStr">
        <is>
          <t>FIMTX</t>
        </is>
      </c>
      <c r="C127" s="229" t="inlineStr">
        <is>
          <t>小指03</t>
        </is>
      </c>
      <c r="D127" s="229" t="inlineStr">
        <is>
          <t>平倉</t>
        </is>
      </c>
      <c r="E127" s="257" t="inlineStr">
        <is>
          <t>買</t>
        </is>
      </c>
      <c r="F127" s="229" t="inlineStr">
        <is>
          <t>-</t>
        </is>
      </c>
      <c r="G127" s="697" t="n">
        <v>2</v>
      </c>
      <c r="H127" s="697" t="n">
        <v>10325</v>
      </c>
      <c r="I127" s="697" t="n">
        <v>0</v>
      </c>
      <c r="J127" s="585" t="n">
        <v>46</v>
      </c>
      <c r="K127" s="585" t="n">
        <v>20</v>
      </c>
      <c r="L127" s="585">
        <f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/>
      </c>
      <c r="M127" s="699">
        <f>L127</f>
        <v/>
      </c>
      <c r="N127" s="686">
        <f>IF(B127="TXO","",IF(D127="新倉","",IF(E127="賣",(H127-H126)*G127,(H126-H127)*G127)))</f>
        <v/>
      </c>
      <c r="O127" s="226" t="n">
        <v>0</v>
      </c>
      <c r="P127" s="667" t="n"/>
      <c r="Q127" s="249" t="inlineStr">
        <is>
          <t>技法: 碰10MA出場(停損)</t>
        </is>
      </c>
      <c r="R127" s="249" t="inlineStr">
        <is>
          <t>Yes</t>
        </is>
      </c>
      <c r="S127" s="249" t="n"/>
      <c r="T127" s="61">
        <f>IF(AND(R127="Yes",S127&lt;&gt;"Yes",L127&gt;0,B127&lt;&gt;"TXO"),L127,"")</f>
        <v/>
      </c>
      <c r="U127" s="61">
        <f>IF(AND(R127="Yes",S127&lt;&gt;"Yes",L127&lt;0,B127&lt;&gt;"TXO"),L127,"")</f>
        <v/>
      </c>
      <c r="V127" s="61">
        <f>IF(AND(R127="",S127&lt;&gt;"Yes",L127&gt;0,B127&lt;&gt;"TXO"),L127,"")</f>
        <v/>
      </c>
      <c r="W127" s="61">
        <f>IF(AND(R127="",S127&lt;&gt;"Yes",L127&lt;0,B127&lt;&gt;"TXO"),L127,"")</f>
        <v/>
      </c>
      <c r="X127" s="226">
        <f>IF(AND(R127="Yes",S127="Yes",L127&gt;0,B127&lt;&gt;"TXO"),L127,"")</f>
        <v/>
      </c>
      <c r="Y127" s="226">
        <f>IF(AND(R127="Yes",S127="Yes",L127&lt;0,B127&lt;&gt;"TXO"),L127,"")</f>
        <v/>
      </c>
      <c r="Z127" s="226">
        <f>IF(AND(R127="",S127="Yes",L127&gt;0,B127&lt;&gt;"TXO"),L127,"")</f>
        <v/>
      </c>
      <c r="AA127" s="226">
        <f>IF(AND(R127="",S127="Yes",L127&lt;0,B127&lt;&gt;"TXO"),L127,"")</f>
        <v/>
      </c>
    </row>
    <row r="128" outlineLevel="1" collapsed="1">
      <c r="A128" s="740" t="n">
        <v>43531</v>
      </c>
      <c r="B128" s="299" t="inlineStr">
        <is>
          <t>FIMTX</t>
        </is>
      </c>
      <c r="C128" s="300" t="inlineStr">
        <is>
          <t>小指03</t>
        </is>
      </c>
      <c r="D128" s="300" t="inlineStr">
        <is>
          <t>新倉</t>
        </is>
      </c>
      <c r="E128" s="301" t="inlineStr">
        <is>
          <t>賣</t>
        </is>
      </c>
      <c r="F128" s="300" t="inlineStr">
        <is>
          <t>-</t>
        </is>
      </c>
      <c r="G128" s="741" t="n">
        <v>1</v>
      </c>
      <c r="H128" s="741" t="n">
        <v>10230</v>
      </c>
      <c r="I128" s="741" t="n">
        <v>0</v>
      </c>
      <c r="J128" s="742" t="n">
        <v>23</v>
      </c>
      <c r="K128" s="742" t="n">
        <v>10</v>
      </c>
      <c r="L128" s="742">
        <f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/>
      </c>
      <c r="M128" s="743">
        <f>L128</f>
        <v/>
      </c>
      <c r="N128" s="686">
        <f>IF(B128="TXO","",IF(D128="新倉","",IF(E128="賣",(H128-H127)*G128,(H127-H128)*G128)))</f>
        <v/>
      </c>
      <c r="O128" s="226" t="n">
        <v>0</v>
      </c>
      <c r="P128" s="667">
        <f>SUM(L128:L129)</f>
        <v/>
      </c>
      <c r="S128" s="249" t="n"/>
      <c r="T128" s="61">
        <f>IF(AND(R128="Yes",S128&lt;&gt;"Yes",L128&gt;0,B128&lt;&gt;"TXO"),L128,"")</f>
        <v/>
      </c>
      <c r="U128" s="61">
        <f>IF(AND(R128="Yes",S128&lt;&gt;"Yes",L128&lt;0,B128&lt;&gt;"TXO"),L128,"")</f>
        <v/>
      </c>
      <c r="V128" s="61">
        <f>IF(AND(R128="",S128&lt;&gt;"Yes",L128&gt;0,B128&lt;&gt;"TXO"),L128,"")</f>
        <v/>
      </c>
      <c r="W128" s="61">
        <f>IF(AND(R128="",S128&lt;&gt;"Yes",L128&lt;0,B128&lt;&gt;"TXO"),L128,"")</f>
        <v/>
      </c>
      <c r="X128" s="226">
        <f>IF(AND(R128="Yes",S128="Yes",L128&gt;0,B128&lt;&gt;"TXO"),L128,"")</f>
        <v/>
      </c>
      <c r="Y128" s="226">
        <f>IF(AND(R128="Yes",S128="Yes",L128&lt;0,B128&lt;&gt;"TXO"),L128,"")</f>
        <v/>
      </c>
      <c r="Z128" s="226">
        <f>IF(AND(R128="",S128="Yes",L128&gt;0,B128&lt;&gt;"TXO"),L128,"")</f>
        <v/>
      </c>
      <c r="AA128" s="226">
        <f>IF(AND(R128="",S128="Yes",L128&lt;0,B128&lt;&gt;"TXO"),L128,"")</f>
        <v/>
      </c>
    </row>
    <row r="129" outlineLevel="1" collapsed="1">
      <c r="A129" s="740" t="n">
        <v>43531</v>
      </c>
      <c r="B129" s="299" t="inlineStr">
        <is>
          <t>FIMTX</t>
        </is>
      </c>
      <c r="C129" s="300" t="inlineStr">
        <is>
          <t>小指03</t>
        </is>
      </c>
      <c r="D129" s="300" t="inlineStr">
        <is>
          <t>平倉</t>
        </is>
      </c>
      <c r="E129" s="301" t="inlineStr">
        <is>
          <t>買</t>
        </is>
      </c>
      <c r="F129" s="300" t="inlineStr">
        <is>
          <t>-</t>
        </is>
      </c>
      <c r="G129" s="741" t="n">
        <v>1</v>
      </c>
      <c r="H129" s="741" t="n">
        <v>10237</v>
      </c>
      <c r="I129" s="741" t="n">
        <v>0</v>
      </c>
      <c r="J129" s="742" t="n">
        <v>23</v>
      </c>
      <c r="K129" s="742" t="n">
        <v>10</v>
      </c>
      <c r="L129" s="742">
        <f>IF(B129="TXO",I129-SUM(J129:K129),IF(B129="FITX",IF(D129="新倉",-SUM(J129:K129),IF(E129="賣",(H129-H128)*G129*200-SUM(J129:K129),(H128-H129)*G129*200-SUM(J129:K129))),IF(D129="新倉",-SUM(J129:K129),IF(E129="賣",(H129-H128)*G129*50-SUM(J129:K129),(H128-H129)*G129*50-SUM(J129:K129)))))</f>
        <v/>
      </c>
      <c r="M129" s="743">
        <f>L129</f>
        <v/>
      </c>
      <c r="N129" s="686">
        <f>IF(B129="TXO","",IF(D129="新倉","",IF(E129="賣",(H129-H128)*G129,(H128-H129)*G129)))</f>
        <v/>
      </c>
      <c r="O129" s="226" t="n">
        <v>0</v>
      </c>
      <c r="P129" s="667" t="n"/>
      <c r="S129" s="249" t="n"/>
      <c r="T129" s="61">
        <f>IF(AND(R129="Yes",S129&lt;&gt;"Yes",L129&gt;0,B129&lt;&gt;"TXO"),L129,"")</f>
        <v/>
      </c>
      <c r="U129" s="61">
        <f>IF(AND(R129="Yes",S129&lt;&gt;"Yes",L129&lt;0,B129&lt;&gt;"TXO"),L129,"")</f>
        <v/>
      </c>
      <c r="V129" s="61">
        <f>IF(AND(R129="",S129&lt;&gt;"Yes",L129&gt;0,B129&lt;&gt;"TXO"),L129,"")</f>
        <v/>
      </c>
      <c r="W129" s="61">
        <f>IF(AND(R129="",S129&lt;&gt;"Yes",L129&lt;0,B129&lt;&gt;"TXO"),L129,"")</f>
        <v/>
      </c>
      <c r="X129" s="226">
        <f>IF(AND(R129="Yes",S129="Yes",L129&gt;0,B129&lt;&gt;"TXO"),L129,"")</f>
        <v/>
      </c>
      <c r="Y129" s="226">
        <f>IF(AND(R129="Yes",S129="Yes",L129&lt;0,B129&lt;&gt;"TXO"),L129,"")</f>
        <v/>
      </c>
      <c r="Z129" s="226">
        <f>IF(AND(R129="",S129="Yes",L129&gt;0,B129&lt;&gt;"TXO"),L129,"")</f>
        <v/>
      </c>
      <c r="AA129" s="226">
        <f>IF(AND(R129="",S129="Yes",L129&lt;0,B129&lt;&gt;"TXO"),L129,"")</f>
        <v/>
      </c>
    </row>
    <row r="130" outlineLevel="1">
      <c r="A130" s="696" t="n">
        <v>43532</v>
      </c>
      <c r="B130" s="234" t="inlineStr">
        <is>
          <t>FIMTX</t>
        </is>
      </c>
      <c r="C130" s="229" t="inlineStr">
        <is>
          <t>小指03</t>
        </is>
      </c>
      <c r="D130" s="229" t="inlineStr">
        <is>
          <t>新倉</t>
        </is>
      </c>
      <c r="E130" s="257" t="inlineStr">
        <is>
          <t>賣</t>
        </is>
      </c>
      <c r="F130" s="229" t="inlineStr">
        <is>
          <t>-</t>
        </is>
      </c>
      <c r="G130" s="697" t="n">
        <v>1</v>
      </c>
      <c r="H130" s="697" t="n">
        <v>10189</v>
      </c>
      <c r="I130" s="697" t="n">
        <v>0</v>
      </c>
      <c r="J130" s="585" t="n">
        <v>23</v>
      </c>
      <c r="K130" s="585" t="n">
        <v>10</v>
      </c>
      <c r="L130" s="585">
        <f>IF(B130="TXO",I130-SUM(J130:K130),IF(B130="FITX",IF(D130="新倉",-SUM(J130:K130),IF(E130="賣",(H130-H129)*G130*200-SUM(J130:K130),(H129-H130)*G130*200-SUM(J130:K130))),IF(D130="新倉",-SUM(J130:K130),IF(E130="賣",(H130-H129)*G130*50-SUM(J130:K130),(H129-H130)*G130*50-SUM(J130:K130)))))</f>
        <v/>
      </c>
      <c r="M130" s="699">
        <f>L130</f>
        <v/>
      </c>
      <c r="N130" s="686">
        <f>IF(B130="TXO","",IF(D130="新倉","",IF(E130="賣",(H130-H129)*G130,(H129-H130)*G130)))</f>
        <v/>
      </c>
      <c r="O130" s="226" t="n">
        <v>0</v>
      </c>
      <c r="P130" s="667">
        <f>SUM(L130:L131)</f>
        <v/>
      </c>
      <c r="S130" s="249" t="n"/>
      <c r="T130" s="61">
        <f>IF(AND(R130="Yes",S130&lt;&gt;"Yes",L130&gt;0,B130&lt;&gt;"TXO"),L130,"")</f>
        <v/>
      </c>
      <c r="U130" s="61">
        <f>IF(AND(R130="Yes",S130&lt;&gt;"Yes",L130&lt;0,B130&lt;&gt;"TXO"),L130,"")</f>
        <v/>
      </c>
      <c r="V130" s="61">
        <f>IF(AND(R130="",S130&lt;&gt;"Yes",L130&gt;0,B130&lt;&gt;"TXO"),L130,"")</f>
        <v/>
      </c>
      <c r="W130" s="61">
        <f>IF(AND(R130="",S130&lt;&gt;"Yes",L130&lt;0,B130&lt;&gt;"TXO"),L130,"")</f>
        <v/>
      </c>
      <c r="X130" s="226">
        <f>IF(AND(R130="Yes",S130="Yes",L130&gt;0,B130&lt;&gt;"TXO"),L130,"")</f>
        <v/>
      </c>
      <c r="Y130" s="226">
        <f>IF(AND(R130="Yes",S130="Yes",L130&lt;0,B130&lt;&gt;"TXO"),L130,"")</f>
        <v/>
      </c>
      <c r="Z130" s="226">
        <f>IF(AND(R130="",S130="Yes",L130&gt;0,B130&lt;&gt;"TXO"),L130,"")</f>
        <v/>
      </c>
      <c r="AA130" s="226">
        <f>IF(AND(R130="",S130="Yes",L130&lt;0,B130&lt;&gt;"TXO"),L130,"")</f>
        <v/>
      </c>
    </row>
    <row r="131" outlineLevel="1">
      <c r="A131" s="696" t="n">
        <v>43532</v>
      </c>
      <c r="B131" s="234" t="inlineStr">
        <is>
          <t>FIMTX</t>
        </is>
      </c>
      <c r="C131" s="229" t="inlineStr">
        <is>
          <t>小指03</t>
        </is>
      </c>
      <c r="D131" s="229" t="inlineStr">
        <is>
          <t>平倉</t>
        </is>
      </c>
      <c r="E131" s="257" t="inlineStr">
        <is>
          <t>買</t>
        </is>
      </c>
      <c r="F131" s="229" t="inlineStr">
        <is>
          <t>-</t>
        </is>
      </c>
      <c r="G131" s="697" t="n">
        <v>1</v>
      </c>
      <c r="H131" s="697" t="n">
        <v>10204</v>
      </c>
      <c r="I131" s="697" t="n">
        <v>0</v>
      </c>
      <c r="J131" s="585" t="n">
        <v>23</v>
      </c>
      <c r="K131" s="585" t="n">
        <v>10</v>
      </c>
      <c r="L131" s="585">
        <f>IF(B131="TXO",I131-SUM(J131:K131),IF(B131="FITX",IF(D131="新倉",-SUM(J131:K131),IF(E131="賣",(H131-H130)*G131*200-SUM(J131:K131),(H130-H131)*G131*200-SUM(J131:K131))),IF(D131="新倉",-SUM(J131:K131),IF(E131="賣",(H131-H130)*G131*50-SUM(J131:K131),(H130-H131)*G131*50-SUM(J131:K131)))))</f>
        <v/>
      </c>
      <c r="M131" s="699">
        <f>L131</f>
        <v/>
      </c>
      <c r="N131" s="686">
        <f>IF(B131="TXO","",IF(D131="新倉","",IF(E131="賣",(H131-H130)*G131,(H130-H131)*G131)))</f>
        <v/>
      </c>
      <c r="O131" s="226" t="n">
        <v>0</v>
      </c>
      <c r="P131" s="667" t="n"/>
      <c r="S131" s="249" t="n"/>
      <c r="T131" s="61">
        <f>IF(AND(R131="Yes",S131&lt;&gt;"Yes",L131&gt;0,B131&lt;&gt;"TXO"),L131,"")</f>
        <v/>
      </c>
      <c r="U131" s="61">
        <f>IF(AND(R131="Yes",S131&lt;&gt;"Yes",L131&lt;0,B131&lt;&gt;"TXO"),L131,"")</f>
        <v/>
      </c>
      <c r="V131" s="61">
        <f>IF(AND(R131="",S131&lt;&gt;"Yes",L131&gt;0,B131&lt;&gt;"TXO"),L131,"")</f>
        <v/>
      </c>
      <c r="W131" s="61">
        <f>IF(AND(R131="",S131&lt;&gt;"Yes",L131&lt;0,B131&lt;&gt;"TXO"),L131,"")</f>
        <v/>
      </c>
      <c r="X131" s="226">
        <f>IF(AND(R131="Yes",S131="Yes",L131&gt;0,B131&lt;&gt;"TXO"),L131,"")</f>
        <v/>
      </c>
      <c r="Y131" s="226">
        <f>IF(AND(R131="Yes",S131="Yes",L131&lt;0,B131&lt;&gt;"TXO"),L131,"")</f>
        <v/>
      </c>
      <c r="Z131" s="226">
        <f>IF(AND(R131="",S131="Yes",L131&gt;0,B131&lt;&gt;"TXO"),L131,"")</f>
        <v/>
      </c>
      <c r="AA131" s="226">
        <f>IF(AND(R131="",S131="Yes",L131&lt;0,B131&lt;&gt;"TXO"),L131,"")</f>
        <v/>
      </c>
    </row>
    <row r="132" outlineLevel="1" collapsed="1">
      <c r="A132" s="740" t="n">
        <v>43537</v>
      </c>
      <c r="B132" s="299" t="inlineStr">
        <is>
          <t>FIMTX</t>
        </is>
      </c>
      <c r="C132" s="300" t="inlineStr">
        <is>
          <t>小指03</t>
        </is>
      </c>
      <c r="D132" s="300" t="inlineStr">
        <is>
          <t>新倉</t>
        </is>
      </c>
      <c r="E132" s="301" t="inlineStr">
        <is>
          <t>賣</t>
        </is>
      </c>
      <c r="F132" s="300" t="inlineStr">
        <is>
          <t>-</t>
        </is>
      </c>
      <c r="G132" s="741" t="n">
        <v>1</v>
      </c>
      <c r="H132" s="741" t="n">
        <v>10385</v>
      </c>
      <c r="I132" s="741" t="n">
        <v>0</v>
      </c>
      <c r="J132" s="742" t="n">
        <v>23</v>
      </c>
      <c r="K132" s="742" t="n">
        <v>10</v>
      </c>
      <c r="L132" s="742">
        <f>IF(B132="TXO",I132-SUM(J132:K132),IF(B132="FITX",IF(D132="新倉",-SUM(J132:K132),IF(E132="賣",(H132-H131)*G132*200-SUM(J132:K132),(H131-H132)*G132*200-SUM(J132:K132))),IF(D132="新倉",-SUM(J132:K132),IF(E132="賣",(H132-H131)*G132*50-SUM(J132:K132),(H131-H132)*G132*50-SUM(J132:K132)))))</f>
        <v/>
      </c>
      <c r="M132" s="743">
        <f>L132</f>
        <v/>
      </c>
      <c r="N132" s="686">
        <f>IF(B132="TXO","",IF(D132="新倉","",IF(E132="賣",(H132-H131)*G132,(H131-H132)*G132)))</f>
        <v/>
      </c>
      <c r="O132" s="226" t="n">
        <v>0</v>
      </c>
      <c r="P132" s="667">
        <f>SUM(L132:L133)</f>
        <v/>
      </c>
      <c r="Q132" s="249" t="inlineStr">
        <is>
          <t>3/3 買進1口</t>
        </is>
      </c>
      <c r="R132" s="249" t="inlineStr">
        <is>
          <t>Yes</t>
        </is>
      </c>
      <c r="S132" s="249" t="inlineStr">
        <is>
          <t>Yes</t>
        </is>
      </c>
      <c r="T132" s="61">
        <f>IF(AND(R132="Yes",S132&lt;&gt;"Yes",L132&gt;0,B132&lt;&gt;"TXO"),L132,"")</f>
        <v/>
      </c>
      <c r="U132" s="61">
        <f>IF(AND(R132="Yes",S132&lt;&gt;"Yes",L132&lt;0,B132&lt;&gt;"TXO"),L132,"")</f>
        <v/>
      </c>
      <c r="V132" s="61">
        <f>IF(AND(R132="",S132&lt;&gt;"Yes",L132&gt;0,B132&lt;&gt;"TXO"),L132,"")</f>
        <v/>
      </c>
      <c r="W132" s="61">
        <f>IF(AND(R132="",S132&lt;&gt;"Yes",L132&lt;0,B132&lt;&gt;"TXO"),L132,"")</f>
        <v/>
      </c>
      <c r="X132" s="226">
        <f>IF(AND(R132="Yes",S132="Yes",L132&gt;0,B132&lt;&gt;"TXO"),L132,"")</f>
        <v/>
      </c>
      <c r="Y132" s="226">
        <f>IF(AND(R132="Yes",S132="Yes",L132&lt;0,B132&lt;&gt;"TXO"),L132,"")</f>
        <v/>
      </c>
      <c r="Z132" s="226">
        <f>IF(AND(R132="",S132="Yes",L132&gt;0,B132&lt;&gt;"TXO"),L132,"")</f>
        <v/>
      </c>
      <c r="AA132" s="226">
        <f>IF(AND(R132="",S132="Yes",L132&lt;0,B132&lt;&gt;"TXO"),L132,"")</f>
        <v/>
      </c>
    </row>
    <row r="133" outlineLevel="1" collapsed="1">
      <c r="A133" s="740" t="n">
        <v>43537</v>
      </c>
      <c r="B133" s="299" t="inlineStr">
        <is>
          <t>FIMTX</t>
        </is>
      </c>
      <c r="C133" s="300" t="inlineStr">
        <is>
          <t>小指03</t>
        </is>
      </c>
      <c r="D133" s="300" t="inlineStr">
        <is>
          <t>平倉</t>
        </is>
      </c>
      <c r="E133" s="301" t="inlineStr">
        <is>
          <t>買</t>
        </is>
      </c>
      <c r="F133" s="300" t="inlineStr">
        <is>
          <t>-</t>
        </is>
      </c>
      <c r="G133" s="741" t="n">
        <v>1</v>
      </c>
      <c r="H133" s="741" t="n">
        <v>10385</v>
      </c>
      <c r="I133" s="741" t="n">
        <v>0</v>
      </c>
      <c r="J133" s="742" t="n">
        <v>23</v>
      </c>
      <c r="K133" s="742" t="n">
        <v>10</v>
      </c>
      <c r="L133" s="742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/>
      </c>
      <c r="M133" s="743">
        <f>L133</f>
        <v/>
      </c>
      <c r="N133" s="686">
        <f>IF(B133="TXO","",IF(D133="新倉","",IF(E133="賣",(H133-H132)*G133,(H132-H133)*G133)))</f>
        <v/>
      </c>
      <c r="O133" s="226" t="n">
        <v>0</v>
      </c>
      <c r="P133" s="667" t="n"/>
      <c r="Q133" s="249" t="inlineStr">
        <is>
          <t>技法: 碰10MA出場(停損)</t>
        </is>
      </c>
      <c r="R133" s="249" t="inlineStr">
        <is>
          <t>Yes</t>
        </is>
      </c>
      <c r="S133" s="249" t="inlineStr">
        <is>
          <t>Yes</t>
        </is>
      </c>
      <c r="T133" s="61">
        <f>IF(AND(R133="Yes",S133&lt;&gt;"Yes",L133&gt;0,B133&lt;&gt;"TXO"),L133,"")</f>
        <v/>
      </c>
      <c r="U133" s="61">
        <f>IF(AND(R133="Yes",S133&lt;&gt;"Yes",L133&lt;0,B133&lt;&gt;"TXO"),L133,"")</f>
        <v/>
      </c>
      <c r="V133" s="61">
        <f>IF(AND(R133="",S133&lt;&gt;"Yes",L133&gt;0,B133&lt;&gt;"TXO"),L133,"")</f>
        <v/>
      </c>
      <c r="W133" s="61">
        <f>IF(AND(R133="",S133&lt;&gt;"Yes",L133&lt;0,B133&lt;&gt;"TXO"),L133,"")</f>
        <v/>
      </c>
      <c r="X133" s="226">
        <f>IF(AND(R133="Yes",S133="Yes",L133&gt;0,B133&lt;&gt;"TXO"),L133,"")</f>
        <v/>
      </c>
      <c r="Y133" s="226">
        <f>IF(AND(R133="Yes",S133="Yes",L133&lt;0,B133&lt;&gt;"TXO"),L133,"")</f>
        <v/>
      </c>
      <c r="Z133" s="226">
        <f>IF(AND(R133="",S133="Yes",L133&gt;0,B133&lt;&gt;"TXO"),L133,"")</f>
        <v/>
      </c>
      <c r="AA133" s="226">
        <f>IF(AND(R133="",S133="Yes",L133&lt;0,B133&lt;&gt;"TXO"),L133,"")</f>
        <v/>
      </c>
    </row>
    <row r="134" outlineLevel="1">
      <c r="A134" s="696" t="n">
        <v>43538</v>
      </c>
      <c r="B134" s="234" t="inlineStr">
        <is>
          <t>FIMTX</t>
        </is>
      </c>
      <c r="C134" s="229" t="inlineStr">
        <is>
          <t>小指03</t>
        </is>
      </c>
      <c r="D134" s="229" t="inlineStr">
        <is>
          <t>新倉</t>
        </is>
      </c>
      <c r="E134" s="257" t="inlineStr">
        <is>
          <t>賣</t>
        </is>
      </c>
      <c r="F134" s="229" t="inlineStr">
        <is>
          <t>-</t>
        </is>
      </c>
      <c r="G134" s="697" t="n">
        <v>1</v>
      </c>
      <c r="H134" s="697" t="n">
        <v>10335</v>
      </c>
      <c r="I134" s="697" t="n">
        <v>0</v>
      </c>
      <c r="J134" s="585" t="n">
        <v>23</v>
      </c>
      <c r="K134" s="585" t="n">
        <v>10</v>
      </c>
      <c r="L134" s="585">
        <f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/>
      </c>
      <c r="M134" s="699">
        <f>L134</f>
        <v/>
      </c>
      <c r="N134" s="686">
        <f>IF(B134="TXO","",IF(D134="新倉","",IF(E134="賣",(H134-H133)*G134,(H133-H134)*G134)))</f>
        <v/>
      </c>
      <c r="O134" s="226" t="n">
        <v>0</v>
      </c>
      <c r="P134" s="667">
        <f>SUM(L134:L137)</f>
        <v/>
      </c>
      <c r="Q134" s="249" t="inlineStr">
        <is>
          <t>3/3 買進1口(點錯方向)</t>
        </is>
      </c>
      <c r="S134" s="249" t="n"/>
      <c r="T134" s="61">
        <f>IF(AND(R134="Yes",S134&lt;&gt;"Yes",L134&gt;0,B134&lt;&gt;"TXO"),L134,"")</f>
        <v/>
      </c>
      <c r="U134" s="61">
        <f>IF(AND(R134="Yes",S134&lt;&gt;"Yes",L134&lt;0,B134&lt;&gt;"TXO"),L134,"")</f>
        <v/>
      </c>
      <c r="V134" s="61">
        <f>IF(AND(R134="",S134&lt;&gt;"Yes",L134&gt;0,B134&lt;&gt;"TXO"),L134,"")</f>
        <v/>
      </c>
      <c r="W134" s="61">
        <f>IF(AND(R134="",S134&lt;&gt;"Yes",L134&lt;0,B134&lt;&gt;"TXO"),L134,"")</f>
        <v/>
      </c>
      <c r="X134" s="226">
        <f>IF(AND(R134="Yes",S134="Yes",L134&gt;0,B134&lt;&gt;"TXO"),L134,"")</f>
        <v/>
      </c>
      <c r="Y134" s="226">
        <f>IF(AND(R134="Yes",S134="Yes",L134&lt;0,B134&lt;&gt;"TXO"),L134,"")</f>
        <v/>
      </c>
      <c r="Z134" s="226">
        <f>IF(AND(R134="",S134="Yes",L134&gt;0,B134&lt;&gt;"TXO"),L134,"")</f>
        <v/>
      </c>
      <c r="AA134" s="226">
        <f>IF(AND(R134="",S134="Yes",L134&lt;0,B134&lt;&gt;"TXO"),L134,"")</f>
        <v/>
      </c>
    </row>
    <row r="135" outlineLevel="2">
      <c r="A135" s="696" t="n">
        <v>43538</v>
      </c>
      <c r="B135" s="234" t="inlineStr">
        <is>
          <t>FIMTX</t>
        </is>
      </c>
      <c r="C135" s="229" t="inlineStr">
        <is>
          <t>小指03</t>
        </is>
      </c>
      <c r="D135" s="229" t="inlineStr">
        <is>
          <t>平倉</t>
        </is>
      </c>
      <c r="E135" s="257" t="inlineStr">
        <is>
          <t>買</t>
        </is>
      </c>
      <c r="F135" s="229" t="inlineStr">
        <is>
          <t>-</t>
        </is>
      </c>
      <c r="G135" s="697" t="n">
        <v>1</v>
      </c>
      <c r="H135" s="697" t="n">
        <v>10336</v>
      </c>
      <c r="I135" s="697" t="n">
        <v>0</v>
      </c>
      <c r="J135" s="585" t="n">
        <v>23</v>
      </c>
      <c r="K135" s="585" t="n">
        <v>10</v>
      </c>
      <c r="L135" s="585">
        <f>IF(B135="TXO",I135-SUM(J135:K135),IF(B135="FITX",IF(D135="新倉",-SUM(J135:K135),IF(E135="賣",(H135-H134)*G135*200-SUM(J135:K135),(H134-H135)*G135*200-SUM(J135:K135))),IF(D135="新倉",-SUM(J135:K135),IF(E135="賣",(H135-H134)*G135*50-SUM(J135:K135),(H134-H135)*G135*50-SUM(J135:K135)))))</f>
        <v/>
      </c>
      <c r="M135" s="699">
        <f>L135</f>
        <v/>
      </c>
      <c r="N135" s="686">
        <f>IF(B135="TXO","",IF(D135="新倉","",IF(E135="賣",(H135-H134)*G135,(H134-H135)*G135)))</f>
        <v/>
      </c>
      <c r="O135" s="226" t="n">
        <v>0</v>
      </c>
      <c r="P135" s="667" t="n"/>
      <c r="S135" s="249" t="n"/>
      <c r="T135" s="61">
        <f>IF(AND(R135="Yes",S135&lt;&gt;"Yes",L135&gt;0,B135&lt;&gt;"TXO"),L135,"")</f>
        <v/>
      </c>
      <c r="U135" s="61">
        <f>IF(AND(R135="Yes",S135&lt;&gt;"Yes",L135&lt;0,B135&lt;&gt;"TXO"),L135,"")</f>
        <v/>
      </c>
      <c r="V135" s="61">
        <f>IF(AND(R135="",S135&lt;&gt;"Yes",L135&gt;0,B135&lt;&gt;"TXO"),L135,"")</f>
        <v/>
      </c>
      <c r="W135" s="61">
        <f>IF(AND(R135="",S135&lt;&gt;"Yes",L135&lt;0,B135&lt;&gt;"TXO"),L135,"")</f>
        <v/>
      </c>
      <c r="X135" s="226">
        <f>IF(AND(R135="Yes",S135="Yes",L135&gt;0,B135&lt;&gt;"TXO"),L135,"")</f>
        <v/>
      </c>
      <c r="Y135" s="226">
        <f>IF(AND(R135="Yes",S135="Yes",L135&lt;0,B135&lt;&gt;"TXO"),L135,"")</f>
        <v/>
      </c>
      <c r="Z135" s="226">
        <f>IF(AND(R135="",S135="Yes",L135&gt;0,B135&lt;&gt;"TXO"),L135,"")</f>
        <v/>
      </c>
      <c r="AA135" s="226">
        <f>IF(AND(R135="",S135="Yes",L135&lt;0,B135&lt;&gt;"TXO"),L135,"")</f>
        <v/>
      </c>
    </row>
    <row r="136" outlineLevel="2">
      <c r="A136" s="696" t="n">
        <v>43538</v>
      </c>
      <c r="B136" s="234" t="inlineStr">
        <is>
          <t>FIMTX</t>
        </is>
      </c>
      <c r="C136" s="229" t="inlineStr">
        <is>
          <t>小指03</t>
        </is>
      </c>
      <c r="D136" s="229" t="inlineStr">
        <is>
          <t>新倉</t>
        </is>
      </c>
      <c r="E136" s="257" t="inlineStr">
        <is>
          <t>買</t>
        </is>
      </c>
      <c r="F136" s="229" t="inlineStr">
        <is>
          <t>-</t>
        </is>
      </c>
      <c r="G136" s="697" t="n">
        <v>1</v>
      </c>
      <c r="H136" s="697" t="n">
        <v>10338</v>
      </c>
      <c r="I136" s="697" t="n">
        <v>0</v>
      </c>
      <c r="J136" s="585" t="n">
        <v>23</v>
      </c>
      <c r="K136" s="585" t="n">
        <v>10</v>
      </c>
      <c r="L136" s="585">
        <f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/>
      </c>
      <c r="M136" s="699">
        <f>L136</f>
        <v/>
      </c>
      <c r="N136" s="686">
        <f>IF(B136="TXO","",IF(D136="新倉","",IF(E136="賣",(H136-H135)*G136,(H135-H136)*G136)))</f>
        <v/>
      </c>
      <c r="O136" s="226" t="n">
        <v>0</v>
      </c>
      <c r="P136" s="667" t="n"/>
      <c r="Q136" s="249" t="inlineStr">
        <is>
          <t>3/3 買進1口</t>
        </is>
      </c>
      <c r="R136" s="249" t="inlineStr">
        <is>
          <t>Yes</t>
        </is>
      </c>
      <c r="S136" s="249" t="inlineStr">
        <is>
          <t>Yes</t>
        </is>
      </c>
      <c r="T136" s="61">
        <f>IF(AND(R136="Yes",S136&lt;&gt;"Yes",L136&gt;0,B136&lt;&gt;"TXO"),L136,"")</f>
        <v/>
      </c>
      <c r="U136" s="61">
        <f>IF(AND(R136="Yes",S136&lt;&gt;"Yes",L136&lt;0,B136&lt;&gt;"TXO"),L136,"")</f>
        <v/>
      </c>
      <c r="V136" s="61">
        <f>IF(AND(R136="",S136&lt;&gt;"Yes",L136&gt;0,B136&lt;&gt;"TXO"),L136,"")</f>
        <v/>
      </c>
      <c r="W136" s="61">
        <f>IF(AND(R136="",S136&lt;&gt;"Yes",L136&lt;0,B136&lt;&gt;"TXO"),L136,"")</f>
        <v/>
      </c>
      <c r="X136" s="226">
        <f>IF(AND(R136="Yes",S136="Yes",L136&gt;0,B136&lt;&gt;"TXO"),L136,"")</f>
        <v/>
      </c>
      <c r="Y136" s="226">
        <f>IF(AND(R136="Yes",S136="Yes",L136&lt;0,B136&lt;&gt;"TXO"),L136,"")</f>
        <v/>
      </c>
      <c r="Z136" s="226">
        <f>IF(AND(R136="",S136="Yes",L136&gt;0,B136&lt;&gt;"TXO"),L136,"")</f>
        <v/>
      </c>
      <c r="AA136" s="226">
        <f>IF(AND(R136="",S136="Yes",L136&lt;0,B136&lt;&gt;"TXO"),L136,"")</f>
        <v/>
      </c>
    </row>
    <row r="137" outlineLevel="2">
      <c r="A137" s="696" t="n">
        <v>43538</v>
      </c>
      <c r="B137" s="234" t="inlineStr">
        <is>
          <t>FIMTX</t>
        </is>
      </c>
      <c r="C137" s="229" t="inlineStr">
        <is>
          <t>小指03</t>
        </is>
      </c>
      <c r="D137" s="229" t="inlineStr">
        <is>
          <t>平倉</t>
        </is>
      </c>
      <c r="E137" s="257" t="inlineStr">
        <is>
          <t>賣</t>
        </is>
      </c>
      <c r="F137" s="229" t="inlineStr">
        <is>
          <t>-</t>
        </is>
      </c>
      <c r="G137" s="697" t="n">
        <v>1</v>
      </c>
      <c r="H137" s="697" t="n">
        <v>10333</v>
      </c>
      <c r="I137" s="697" t="n">
        <v>0</v>
      </c>
      <c r="J137" s="585" t="n">
        <v>23</v>
      </c>
      <c r="K137" s="585" t="n">
        <v>10</v>
      </c>
      <c r="L137" s="585">
        <f>IF(B137="TXO",I137-SUM(J137:K137),IF(B137="FITX",IF(D137="新倉",-SUM(J137:K137),IF(E137="賣",(H137-H136)*G137*200-SUM(J137:K137),(H136-H137)*G137*200-SUM(J137:K137))),IF(D137="新倉",-SUM(J137:K137),IF(E137="賣",(H137-H136)*G137*50-SUM(J137:K137),(H136-H137)*G137*50-SUM(J137:K137)))))</f>
        <v/>
      </c>
      <c r="M137" s="699">
        <f>L137</f>
        <v/>
      </c>
      <c r="N137" s="686">
        <f>IF(B137="TXO","",IF(D137="新倉","",IF(E137="賣",(H137-H136)*G137,(H136-H137)*G137)))</f>
        <v/>
      </c>
      <c r="O137" s="226" t="n">
        <v>0</v>
      </c>
      <c r="P137" s="667" t="n"/>
      <c r="Q137" s="249" t="inlineStr">
        <is>
          <t>技法: 碰10MA出場(停損)</t>
        </is>
      </c>
      <c r="R137" s="249" t="inlineStr">
        <is>
          <t>Yes</t>
        </is>
      </c>
      <c r="S137" s="249" t="inlineStr">
        <is>
          <t>Yes</t>
        </is>
      </c>
      <c r="T137" s="61">
        <f>IF(AND(R137="Yes",S137&lt;&gt;"Yes",L137&gt;0,B137&lt;&gt;"TXO"),L137,"")</f>
        <v/>
      </c>
      <c r="U137" s="61">
        <f>IF(AND(R137="Yes",S137&lt;&gt;"Yes",L137&lt;0,B137&lt;&gt;"TXO"),L137,"")</f>
        <v/>
      </c>
      <c r="V137" s="61">
        <f>IF(AND(R137="",S137&lt;&gt;"Yes",L137&gt;0,B137&lt;&gt;"TXO"),L137,"")</f>
        <v/>
      </c>
      <c r="W137" s="61">
        <f>IF(AND(R137="",S137&lt;&gt;"Yes",L137&lt;0,B137&lt;&gt;"TXO"),L137,"")</f>
        <v/>
      </c>
      <c r="X137" s="226">
        <f>IF(AND(R137="Yes",S137="Yes",L137&gt;0,B137&lt;&gt;"TXO"),L137,"")</f>
        <v/>
      </c>
      <c r="Y137" s="226">
        <f>IF(AND(R137="Yes",S137="Yes",L137&lt;0,B137&lt;&gt;"TXO"),L137,"")</f>
        <v/>
      </c>
      <c r="Z137" s="226">
        <f>IF(AND(R137="",S137="Yes",L137&gt;0,B137&lt;&gt;"TXO"),L137,"")</f>
        <v/>
      </c>
      <c r="AA137" s="226">
        <f>IF(AND(R137="",S137="Yes",L137&lt;0,B137&lt;&gt;"TXO"),L137,"")</f>
        <v/>
      </c>
    </row>
    <row r="138" outlineLevel="1">
      <c r="A138" s="740" t="n">
        <v>43539</v>
      </c>
      <c r="B138" s="299" t="inlineStr">
        <is>
          <t>TXO</t>
        </is>
      </c>
      <c r="C138" s="300" t="inlineStr">
        <is>
          <t>台指選 03 10550 C</t>
        </is>
      </c>
      <c r="D138" s="300" t="inlineStr">
        <is>
          <t>新倉</t>
        </is>
      </c>
      <c r="E138" s="301" t="inlineStr">
        <is>
          <t>買</t>
        </is>
      </c>
      <c r="F138" s="300" t="inlineStr">
        <is>
          <t>-</t>
        </is>
      </c>
      <c r="G138" s="741" t="n">
        <v>1</v>
      </c>
      <c r="H138" s="741" t="n">
        <v>8.5</v>
      </c>
      <c r="I138" s="741" t="n">
        <v>-425</v>
      </c>
      <c r="J138" s="742" t="n">
        <v>18</v>
      </c>
      <c r="K138" s="742" t="n">
        <v>0</v>
      </c>
      <c r="L138" s="742">
        <f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/>
      </c>
      <c r="M138" s="743">
        <f>L138</f>
        <v/>
      </c>
      <c r="N138" s="686">
        <f>IF(B138="TXO","",IF(D138="新倉","",IF(E138="賣",(H138-H137)*G138,(H137-H138)*G138)))</f>
        <v/>
      </c>
      <c r="O138" s="226" t="n">
        <v>0</v>
      </c>
      <c r="P138" s="667">
        <f>SUM(L138:L141)</f>
        <v/>
      </c>
      <c r="Q138" s="249" t="inlineStr">
        <is>
          <t>破箱，籌碼沒跟上</t>
        </is>
      </c>
      <c r="R138" s="249" t="inlineStr">
        <is>
          <t>Yes</t>
        </is>
      </c>
      <c r="S138" s="249" t="n"/>
      <c r="T138" s="61">
        <f>IF(AND(R138="Yes",S138&lt;&gt;"Yes",L138&gt;0,B138&lt;&gt;"TXO"),L138,"")</f>
        <v/>
      </c>
      <c r="U138" s="61">
        <f>IF(AND(R138="Yes",S138&lt;&gt;"Yes",L138&lt;0,B138&lt;&gt;"TXO"),L138,"")</f>
        <v/>
      </c>
      <c r="V138" s="61">
        <f>IF(AND(R138="",S138&lt;&gt;"Yes",L138&gt;0,B138&lt;&gt;"TXO"),L138,"")</f>
        <v/>
      </c>
      <c r="W138" s="61">
        <f>IF(AND(R138="",S138&lt;&gt;"Yes",L138&lt;0,B138&lt;&gt;"TXO"),L138,"")</f>
        <v/>
      </c>
      <c r="X138" s="226">
        <f>IF(AND(R138="Yes",S138="Yes",L138&gt;0,B138&lt;&gt;"TXO"),L138,"")</f>
        <v/>
      </c>
      <c r="Y138" s="226">
        <f>IF(AND(R138="Yes",S138="Yes",L138&lt;0,B138&lt;&gt;"TXO"),L138,"")</f>
        <v/>
      </c>
      <c r="Z138" s="226">
        <f>IF(AND(R138="",S138="Yes",L138&gt;0,B138&lt;&gt;"TXO"),L138,"")</f>
        <v/>
      </c>
      <c r="AA138" s="226">
        <f>IF(AND(R138="",S138="Yes",L138&lt;0,B138&lt;&gt;"TXO"),L138,"")</f>
        <v/>
      </c>
    </row>
    <row r="139" outlineLevel="2" collapsed="1">
      <c r="A139" s="740" t="n">
        <v>43544</v>
      </c>
      <c r="B139" s="299" t="inlineStr">
        <is>
          <t>TXO</t>
        </is>
      </c>
      <c r="C139" s="300" t="inlineStr">
        <is>
          <t>台指選 03 10550 C</t>
        </is>
      </c>
      <c r="D139" s="300" t="inlineStr">
        <is>
          <t>平倉</t>
        </is>
      </c>
      <c r="E139" s="301" t="inlineStr">
        <is>
          <t>賣</t>
        </is>
      </c>
      <c r="F139" s="300" t="inlineStr">
        <is>
          <t>-</t>
        </is>
      </c>
      <c r="G139" s="741" t="n">
        <v>1</v>
      </c>
      <c r="H139" s="741" t="n">
        <v>1.4</v>
      </c>
      <c r="I139" s="741" t="n">
        <v>70</v>
      </c>
      <c r="J139" s="742" t="n">
        <v>18</v>
      </c>
      <c r="K139" s="742" t="n">
        <v>0</v>
      </c>
      <c r="L139" s="742">
        <f>IF(B139="TXO",I139-SUM(J139:K139),IF(B139="FITX",IF(D139="新倉",-SUM(J139:K139),IF(E139="賣",(H139-H138)*G139*200-SUM(J139:K139),(H138-H139)*G139*200-SUM(J139:K139))),IF(D139="新倉",-SUM(J139:K139),IF(E139="賣",(H139-H138)*G139*50-SUM(J139:K139),(H138-H139)*G139*50-SUM(J139:K139)))))</f>
        <v/>
      </c>
      <c r="M139" s="743">
        <f>L139</f>
        <v/>
      </c>
      <c r="N139" s="686">
        <f>IF(B139="TXO","",IF(D139="新倉","",IF(E139="賣",(H139-H138)*G139,(H138-H139)*G139)))</f>
        <v/>
      </c>
      <c r="O139" s="226" t="n">
        <v>0</v>
      </c>
      <c r="P139" s="667" t="n"/>
      <c r="R139" s="249" t="inlineStr">
        <is>
          <t>Yes</t>
        </is>
      </c>
      <c r="S139" s="249" t="n"/>
      <c r="T139" s="61">
        <f>IF(AND(R139="Yes",S139&lt;&gt;"Yes",L139&gt;0,B139&lt;&gt;"TXO"),L139,"")</f>
        <v/>
      </c>
      <c r="U139" s="61">
        <f>IF(AND(R139="Yes",S139&lt;&gt;"Yes",L139&lt;0,B139&lt;&gt;"TXO"),L139,"")</f>
        <v/>
      </c>
      <c r="V139" s="61">
        <f>IF(AND(R139="",S139&lt;&gt;"Yes",L139&gt;0,B139&lt;&gt;"TXO"),L139,"")</f>
        <v/>
      </c>
      <c r="W139" s="61">
        <f>IF(AND(R139="",S139&lt;&gt;"Yes",L139&lt;0,B139&lt;&gt;"TXO"),L139,"")</f>
        <v/>
      </c>
      <c r="X139" s="226">
        <f>IF(AND(R139="Yes",S139="Yes",L139&gt;0,B139&lt;&gt;"TXO"),L139,"")</f>
        <v/>
      </c>
      <c r="Y139" s="226">
        <f>IF(AND(R139="Yes",S139="Yes",L139&lt;0,B139&lt;&gt;"TXO"),L139,"")</f>
        <v/>
      </c>
      <c r="Z139" s="226">
        <f>IF(AND(R139="",S139="Yes",L139&gt;0,B139&lt;&gt;"TXO"),L139,"")</f>
        <v/>
      </c>
      <c r="AA139" s="226">
        <f>IF(AND(R139="",S139="Yes",L139&lt;0,B139&lt;&gt;"TXO"),L139,"")</f>
        <v/>
      </c>
    </row>
    <row r="140" outlineLevel="2" collapsed="1">
      <c r="A140" s="740" t="n">
        <v>43539</v>
      </c>
      <c r="B140" s="299" t="inlineStr">
        <is>
          <t>TXO</t>
        </is>
      </c>
      <c r="C140" s="300" t="inlineStr">
        <is>
          <t>台指選 03 10600 C</t>
        </is>
      </c>
      <c r="D140" s="300" t="inlineStr">
        <is>
          <t>新倉</t>
        </is>
      </c>
      <c r="E140" s="301" t="inlineStr">
        <is>
          <t>買</t>
        </is>
      </c>
      <c r="F140" s="300" t="inlineStr">
        <is>
          <t>-</t>
        </is>
      </c>
      <c r="G140" s="741" t="n">
        <v>1</v>
      </c>
      <c r="H140" s="741" t="n">
        <v>4</v>
      </c>
      <c r="I140" s="741" t="n">
        <v>-200</v>
      </c>
      <c r="J140" s="742" t="n">
        <v>18</v>
      </c>
      <c r="K140" s="742" t="n">
        <v>0</v>
      </c>
      <c r="L140" s="742">
        <f>IF(B140="TXO",I140-SUM(J140:K140),IF(B140="FITX",IF(D140="新倉",-SUM(J140:K140),IF(E140="賣",(H140-H139)*G140*200-SUM(J140:K140),(H139-H140)*G140*200-SUM(J140:K140))),IF(D140="新倉",-SUM(J140:K140),IF(E140="賣",(H140-H139)*G140*50-SUM(J140:K140),(H139-H140)*G140*50-SUM(J140:K140)))))</f>
        <v/>
      </c>
      <c r="M140" s="743">
        <f>L140</f>
        <v/>
      </c>
      <c r="N140" s="686">
        <f>IF(B140="TXO","",IF(D140="新倉","",IF(E140="賣",(H140-H139)*G140,(H139-H140)*G140)))</f>
        <v/>
      </c>
      <c r="O140" s="226" t="n">
        <v>0</v>
      </c>
      <c r="P140" s="667" t="n"/>
      <c r="Q140" s="249" t="inlineStr">
        <is>
          <t>破箱，籌碼沒跟上</t>
        </is>
      </c>
      <c r="R140" s="249" t="inlineStr">
        <is>
          <t>Yes</t>
        </is>
      </c>
      <c r="S140" s="249" t="n"/>
      <c r="T140" s="61">
        <f>IF(AND(R140="Yes",S140&lt;&gt;"Yes",L140&gt;0,B140&lt;&gt;"TXO"),L140,"")</f>
        <v/>
      </c>
      <c r="U140" s="61">
        <f>IF(AND(R140="Yes",S140&lt;&gt;"Yes",L140&lt;0,B140&lt;&gt;"TXO"),L140,"")</f>
        <v/>
      </c>
      <c r="V140" s="61">
        <f>IF(AND(R140="",S140&lt;&gt;"Yes",L140&gt;0,B140&lt;&gt;"TXO"),L140,"")</f>
        <v/>
      </c>
      <c r="W140" s="61">
        <f>IF(AND(R140="",S140&lt;&gt;"Yes",L140&lt;0,B140&lt;&gt;"TXO"),L140,"")</f>
        <v/>
      </c>
      <c r="X140" s="226">
        <f>IF(AND(R140="Yes",S140="Yes",L140&gt;0,B140&lt;&gt;"TXO"),L140,"")</f>
        <v/>
      </c>
      <c r="Y140" s="226">
        <f>IF(AND(R140="Yes",S140="Yes",L140&lt;0,B140&lt;&gt;"TXO"),L140,"")</f>
        <v/>
      </c>
      <c r="Z140" s="226">
        <f>IF(AND(R140="",S140="Yes",L140&gt;0,B140&lt;&gt;"TXO"),L140,"")</f>
        <v/>
      </c>
      <c r="AA140" s="226">
        <f>IF(AND(R140="",S140="Yes",L140&lt;0,B140&lt;&gt;"TXO"),L140,"")</f>
        <v/>
      </c>
    </row>
    <row r="141" outlineLevel="2" collapsed="1">
      <c r="A141" s="740" t="n">
        <v>43544</v>
      </c>
      <c r="B141" s="299" t="inlineStr">
        <is>
          <t>TXO</t>
        </is>
      </c>
      <c r="C141" s="300" t="inlineStr">
        <is>
          <t>台指選 03 10600 C</t>
        </is>
      </c>
      <c r="D141" s="300" t="inlineStr">
        <is>
          <t>平倉</t>
        </is>
      </c>
      <c r="E141" s="301" t="inlineStr">
        <is>
          <t>賣</t>
        </is>
      </c>
      <c r="F141" s="300" t="inlineStr">
        <is>
          <t>-</t>
        </is>
      </c>
      <c r="G141" s="741" t="n">
        <v>1</v>
      </c>
      <c r="H141" s="741" t="n">
        <v>0.3</v>
      </c>
      <c r="I141" s="741" t="n">
        <v>15</v>
      </c>
      <c r="J141" s="742" t="n">
        <v>18</v>
      </c>
      <c r="K141" s="742" t="n">
        <v>0</v>
      </c>
      <c r="L141" s="742">
        <f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/>
      </c>
      <c r="M141" s="743">
        <f>L141</f>
        <v/>
      </c>
      <c r="N141" s="686">
        <f>IF(B141="TXO","",IF(D141="新倉","",IF(E141="賣",(H141-H140)*G141,(H140-H141)*G141)))</f>
        <v/>
      </c>
      <c r="O141" s="226" t="n">
        <v>0</v>
      </c>
      <c r="P141" s="667" t="n"/>
      <c r="R141" s="249" t="inlineStr">
        <is>
          <t>Yes</t>
        </is>
      </c>
      <c r="S141" s="249" t="n"/>
      <c r="T141" s="61">
        <f>IF(AND(R141="Yes",S141&lt;&gt;"Yes",L141&gt;0,B141&lt;&gt;"TXO"),L141,"")</f>
        <v/>
      </c>
      <c r="U141" s="61">
        <f>IF(AND(R141="Yes",S141&lt;&gt;"Yes",L141&lt;0,B141&lt;&gt;"TXO"),L141,"")</f>
        <v/>
      </c>
      <c r="V141" s="61">
        <f>IF(AND(R141="",S141&lt;&gt;"Yes",L141&gt;0,B141&lt;&gt;"TXO"),L141,"")</f>
        <v/>
      </c>
      <c r="W141" s="61">
        <f>IF(AND(R141="",S141&lt;&gt;"Yes",L141&lt;0,B141&lt;&gt;"TXO"),L141,"")</f>
        <v/>
      </c>
      <c r="X141" s="226">
        <f>IF(AND(R141="Yes",S141="Yes",L141&gt;0,B141&lt;&gt;"TXO"),L141,"")</f>
        <v/>
      </c>
      <c r="Y141" s="226">
        <f>IF(AND(R141="Yes",S141="Yes",L141&lt;0,B141&lt;&gt;"TXO"),L141,"")</f>
        <v/>
      </c>
      <c r="Z141" s="226">
        <f>IF(AND(R141="",S141="Yes",L141&gt;0,B141&lt;&gt;"TXO"),L141,"")</f>
        <v/>
      </c>
      <c r="AA141" s="226">
        <f>IF(AND(R141="",S141="Yes",L141&lt;0,B141&lt;&gt;"TXO"),L141,"")</f>
        <v/>
      </c>
    </row>
    <row r="142" outlineLevel="1">
      <c r="A142" s="696" t="n">
        <v>43542</v>
      </c>
      <c r="B142" s="234" t="inlineStr">
        <is>
          <t>FIMTX</t>
        </is>
      </c>
      <c r="C142" s="229" t="inlineStr">
        <is>
          <t>小指03</t>
        </is>
      </c>
      <c r="D142" s="229" t="inlineStr">
        <is>
          <t>新倉</t>
        </is>
      </c>
      <c r="E142" s="257" t="inlineStr">
        <is>
          <t>買</t>
        </is>
      </c>
      <c r="F142" s="229" t="inlineStr">
        <is>
          <t>-</t>
        </is>
      </c>
      <c r="G142" s="697" t="n">
        <v>1</v>
      </c>
      <c r="H142" s="697" t="n">
        <v>10471</v>
      </c>
      <c r="I142" s="697" t="n">
        <v>0</v>
      </c>
      <c r="J142" s="585" t="n">
        <v>23</v>
      </c>
      <c r="K142" s="585" t="n">
        <v>10</v>
      </c>
      <c r="L142" s="585">
        <f>IF(B142="TXO",I142-SUM(J142:K142),IF(B142="FITX",IF(D142="新倉",-SUM(J142:K142),IF(E142="賣",(H142-H141)*G142*200-SUM(J142:K142),(H141-H142)*G142*200-SUM(J142:K142))),IF(D142="新倉",-SUM(J142:K142),IF(E142="賣",(H142-H141)*G142*50-SUM(J142:K142),(H141-H142)*G142*50-SUM(J142:K142)))))</f>
        <v/>
      </c>
      <c r="M142" s="699">
        <f>L142</f>
        <v/>
      </c>
      <c r="N142" s="686">
        <f>IF(B142="TXO","",IF(D142="新倉","",IF(E142="賣",(H142-H141)*G142,(H141-H142)*G142)))</f>
        <v/>
      </c>
      <c r="O142" s="226" t="n">
        <v>0</v>
      </c>
      <c r="P142" s="667">
        <f>SUM(L142:L149)</f>
        <v/>
      </c>
      <c r="S142" s="249" t="n"/>
      <c r="T142" s="61">
        <f>IF(AND(R142="Yes",S142&lt;&gt;"Yes",L142&gt;0,B142&lt;&gt;"TXO"),L142,"")</f>
        <v/>
      </c>
      <c r="U142" s="61">
        <f>IF(AND(R142="Yes",S142&lt;&gt;"Yes",L142&lt;0,B142&lt;&gt;"TXO"),L142,"")</f>
        <v/>
      </c>
      <c r="V142" s="61">
        <f>IF(AND(R142="",S142&lt;&gt;"Yes",L142&gt;0,B142&lt;&gt;"TXO"),L142,"")</f>
        <v/>
      </c>
      <c r="W142" s="61">
        <f>IF(AND(R142="",S142&lt;&gt;"Yes",L142&lt;0,B142&lt;&gt;"TXO"),L142,"")</f>
        <v/>
      </c>
      <c r="X142" s="226">
        <f>IF(AND(R142="Yes",S142="Yes",L142&gt;0,B142&lt;&gt;"TXO"),L142,"")</f>
        <v/>
      </c>
      <c r="Y142" s="226">
        <f>IF(AND(R142="Yes",S142="Yes",L142&lt;0,B142&lt;&gt;"TXO"),L142,"")</f>
        <v/>
      </c>
      <c r="Z142" s="226">
        <f>IF(AND(R142="",S142="Yes",L142&gt;0,B142&lt;&gt;"TXO"),L142,"")</f>
        <v/>
      </c>
      <c r="AA142" s="226">
        <f>IF(AND(R142="",S142="Yes",L142&lt;0,B142&lt;&gt;"TXO"),L142,"")</f>
        <v/>
      </c>
    </row>
    <row r="143" outlineLevel="2">
      <c r="A143" s="696" t="n">
        <v>43542</v>
      </c>
      <c r="B143" s="234" t="inlineStr">
        <is>
          <t>FIMTX</t>
        </is>
      </c>
      <c r="C143" s="229" t="inlineStr">
        <is>
          <t>小指03</t>
        </is>
      </c>
      <c r="D143" s="229" t="inlineStr">
        <is>
          <t>平倉</t>
        </is>
      </c>
      <c r="E143" s="257" t="inlineStr">
        <is>
          <t>賣</t>
        </is>
      </c>
      <c r="F143" s="229" t="inlineStr">
        <is>
          <t>-</t>
        </is>
      </c>
      <c r="G143" s="697" t="n">
        <v>1</v>
      </c>
      <c r="H143" s="697" t="n">
        <v>10473</v>
      </c>
      <c r="I143" s="697" t="n">
        <v>0</v>
      </c>
      <c r="J143" s="585" t="n">
        <v>23</v>
      </c>
      <c r="K143" s="585" t="n">
        <v>10</v>
      </c>
      <c r="L143" s="585">
        <f>IF(B143="TXO",I143-SUM(J143:K143),IF(B143="FITX",IF(D143="新倉",-SUM(J143:K143),IF(E143="賣",(H143-H142)*G143*200-SUM(J143:K143),(H142-H143)*G143*200-SUM(J143:K143))),IF(D143="新倉",-SUM(J143:K143),IF(E143="賣",(H143-H142)*G143*50-SUM(J143:K143),(H142-H143)*G143*50-SUM(J143:K143)))))</f>
        <v/>
      </c>
      <c r="M143" s="699">
        <f>L143</f>
        <v/>
      </c>
      <c r="N143" s="686">
        <f>IF(B143="TXO","",IF(D143="新倉","",IF(E143="賣",(H143-H142)*G143,(H142-H143)*G143)))</f>
        <v/>
      </c>
      <c r="O143" s="226" t="n">
        <v>0</v>
      </c>
      <c r="P143" s="667" t="n"/>
      <c r="S143" s="249" t="n"/>
      <c r="T143" s="61">
        <f>IF(AND(R143="Yes",S143&lt;&gt;"Yes",L143&gt;0,B143&lt;&gt;"TXO"),L143,"")</f>
        <v/>
      </c>
      <c r="U143" s="61">
        <f>IF(AND(R143="Yes",S143&lt;&gt;"Yes",L143&lt;0,B143&lt;&gt;"TXO"),L143,"")</f>
        <v/>
      </c>
      <c r="V143" s="61">
        <f>IF(AND(R143="",S143&lt;&gt;"Yes",L143&gt;0,B143&lt;&gt;"TXO"),L143,"")</f>
        <v/>
      </c>
      <c r="W143" s="61">
        <f>IF(AND(R143="",S143&lt;&gt;"Yes",L143&lt;0,B143&lt;&gt;"TXO"),L143,"")</f>
        <v/>
      </c>
      <c r="X143" s="226">
        <f>IF(AND(R143="Yes",S143="Yes",L143&gt;0,B143&lt;&gt;"TXO"),L143,"")</f>
        <v/>
      </c>
      <c r="Y143" s="226">
        <f>IF(AND(R143="Yes",S143="Yes",L143&lt;0,B143&lt;&gt;"TXO"),L143,"")</f>
        <v/>
      </c>
      <c r="Z143" s="226">
        <f>IF(AND(R143="",S143="Yes",L143&gt;0,B143&lt;&gt;"TXO"),L143,"")</f>
        <v/>
      </c>
      <c r="AA143" s="226">
        <f>IF(AND(R143="",S143="Yes",L143&lt;0,B143&lt;&gt;"TXO"),L143,"")</f>
        <v/>
      </c>
    </row>
    <row r="144" outlineLevel="2">
      <c r="A144" s="696" t="n">
        <v>43542</v>
      </c>
      <c r="B144" s="234" t="inlineStr">
        <is>
          <t>FIMTX</t>
        </is>
      </c>
      <c r="C144" s="229" t="inlineStr">
        <is>
          <t>小指03</t>
        </is>
      </c>
      <c r="D144" s="229" t="inlineStr">
        <is>
          <t>新倉</t>
        </is>
      </c>
      <c r="E144" s="257" t="inlineStr">
        <is>
          <t>賣</t>
        </is>
      </c>
      <c r="F144" s="229" t="inlineStr">
        <is>
          <t>-</t>
        </is>
      </c>
      <c r="G144" s="697" t="n">
        <v>1</v>
      </c>
      <c r="H144" s="697" t="n">
        <v>10487</v>
      </c>
      <c r="I144" s="697" t="n">
        <v>0</v>
      </c>
      <c r="J144" s="585" t="n">
        <v>23</v>
      </c>
      <c r="K144" s="585" t="n">
        <v>10</v>
      </c>
      <c r="L144" s="585">
        <f>IF(B144="TXO",I144-SUM(J144:K144),IF(B144="FITX",IF(D144="新倉",-SUM(J144:K144),IF(E144="賣",(H144-H143)*G144*200-SUM(J144:K144),(H143-H144)*G144*200-SUM(J144:K144))),IF(D144="新倉",-SUM(J144:K144),IF(E144="賣",(H144-H143)*G144*50-SUM(J144:K144),(H143-H144)*G144*50-SUM(J144:K144)))))</f>
        <v/>
      </c>
      <c r="M144" s="699">
        <f>L144</f>
        <v/>
      </c>
      <c r="N144" s="686">
        <f>IF(B144="TXO","",IF(D144="新倉","",IF(E144="賣",(H144-H143)*G144,(H143-H144)*G144)))</f>
        <v/>
      </c>
      <c r="O144" s="226" t="n">
        <v>0</v>
      </c>
      <c r="P144" s="667" t="n"/>
      <c r="S144" s="249" t="n"/>
      <c r="T144" s="61">
        <f>IF(AND(R144="Yes",S144&lt;&gt;"Yes",L144&gt;0,B144&lt;&gt;"TXO"),L144,"")</f>
        <v/>
      </c>
      <c r="U144" s="61">
        <f>IF(AND(R144="Yes",S144&lt;&gt;"Yes",L144&lt;0,B144&lt;&gt;"TXO"),L144,"")</f>
        <v/>
      </c>
      <c r="V144" s="61">
        <f>IF(AND(R144="",S144&lt;&gt;"Yes",L144&gt;0,B144&lt;&gt;"TXO"),L144,"")</f>
        <v/>
      </c>
      <c r="W144" s="61">
        <f>IF(AND(R144="",S144&lt;&gt;"Yes",L144&lt;0,B144&lt;&gt;"TXO"),L144,"")</f>
        <v/>
      </c>
      <c r="X144" s="226">
        <f>IF(AND(R144="Yes",S144="Yes",L144&gt;0,B144&lt;&gt;"TXO"),L144,"")</f>
        <v/>
      </c>
      <c r="Y144" s="226">
        <f>IF(AND(R144="Yes",S144="Yes",L144&lt;0,B144&lt;&gt;"TXO"),L144,"")</f>
        <v/>
      </c>
      <c r="Z144" s="226">
        <f>IF(AND(R144="",S144="Yes",L144&gt;0,B144&lt;&gt;"TXO"),L144,"")</f>
        <v/>
      </c>
      <c r="AA144" s="226">
        <f>IF(AND(R144="",S144="Yes",L144&lt;0,B144&lt;&gt;"TXO"),L144,"")</f>
        <v/>
      </c>
    </row>
    <row r="145" outlineLevel="2">
      <c r="A145" s="696" t="n">
        <v>43542</v>
      </c>
      <c r="B145" s="234" t="inlineStr">
        <is>
          <t>FIMTX</t>
        </is>
      </c>
      <c r="C145" s="229" t="inlineStr">
        <is>
          <t>小指03</t>
        </is>
      </c>
      <c r="D145" s="229" t="inlineStr">
        <is>
          <t>平倉</t>
        </is>
      </c>
      <c r="E145" s="257" t="inlineStr">
        <is>
          <t>買</t>
        </is>
      </c>
      <c r="F145" s="229" t="inlineStr">
        <is>
          <t>-</t>
        </is>
      </c>
      <c r="G145" s="697" t="n">
        <v>1</v>
      </c>
      <c r="H145" s="697" t="n">
        <v>10496</v>
      </c>
      <c r="I145" s="697" t="n">
        <v>0</v>
      </c>
      <c r="J145" s="585" t="n">
        <v>23</v>
      </c>
      <c r="K145" s="585" t="n">
        <v>10</v>
      </c>
      <c r="L145" s="585">
        <f>IF(B145="TXO",I145-SUM(J145:K145),IF(B145="FITX",IF(D145="新倉",-SUM(J145:K145),IF(E145="賣",(H145-H144)*G145*200-SUM(J145:K145),(H144-H145)*G145*200-SUM(J145:K145))),IF(D145="新倉",-SUM(J145:K145),IF(E145="賣",(H145-H144)*G145*50-SUM(J145:K145),(H144-H145)*G145*50-SUM(J145:K145)))))</f>
        <v/>
      </c>
      <c r="M145" s="699">
        <f>L145</f>
        <v/>
      </c>
      <c r="N145" s="686">
        <f>IF(B145="TXO","",IF(D145="新倉","",IF(E145="賣",(H145-H144)*G145,(H144-H145)*G145)))</f>
        <v/>
      </c>
      <c r="O145" s="226" t="n">
        <v>0</v>
      </c>
      <c r="P145" s="667" t="n"/>
      <c r="S145" s="249" t="n"/>
      <c r="T145" s="61">
        <f>IF(AND(R145="Yes",S145&lt;&gt;"Yes",L145&gt;0,B145&lt;&gt;"TXO"),L145,"")</f>
        <v/>
      </c>
      <c r="U145" s="61">
        <f>IF(AND(R145="Yes",S145&lt;&gt;"Yes",L145&lt;0,B145&lt;&gt;"TXO"),L145,"")</f>
        <v/>
      </c>
      <c r="V145" s="61">
        <f>IF(AND(R145="",S145&lt;&gt;"Yes",L145&gt;0,B145&lt;&gt;"TXO"),L145,"")</f>
        <v/>
      </c>
      <c r="W145" s="61">
        <f>IF(AND(R145="",S145&lt;&gt;"Yes",L145&lt;0,B145&lt;&gt;"TXO"),L145,"")</f>
        <v/>
      </c>
      <c r="X145" s="226">
        <f>IF(AND(R145="Yes",S145="Yes",L145&gt;0,B145&lt;&gt;"TXO"),L145,"")</f>
        <v/>
      </c>
      <c r="Y145" s="226">
        <f>IF(AND(R145="Yes",S145="Yes",L145&lt;0,B145&lt;&gt;"TXO"),L145,"")</f>
        <v/>
      </c>
      <c r="Z145" s="226">
        <f>IF(AND(R145="",S145="Yes",L145&gt;0,B145&lt;&gt;"TXO"),L145,"")</f>
        <v/>
      </c>
      <c r="AA145" s="226">
        <f>IF(AND(R145="",S145="Yes",L145&lt;0,B145&lt;&gt;"TXO"),L145,"")</f>
        <v/>
      </c>
    </row>
    <row r="146" outlineLevel="2">
      <c r="A146" s="696" t="n">
        <v>43542</v>
      </c>
      <c r="B146" s="234" t="inlineStr">
        <is>
          <t>FIMTX</t>
        </is>
      </c>
      <c r="C146" s="229" t="inlineStr">
        <is>
          <t>小指03</t>
        </is>
      </c>
      <c r="D146" s="229" t="inlineStr">
        <is>
          <t>新倉</t>
        </is>
      </c>
      <c r="E146" s="257" t="inlineStr">
        <is>
          <t>賣</t>
        </is>
      </c>
      <c r="F146" s="229" t="inlineStr">
        <is>
          <t>-</t>
        </is>
      </c>
      <c r="G146" s="697" t="n">
        <v>1</v>
      </c>
      <c r="H146" s="697" t="n">
        <v>10493</v>
      </c>
      <c r="I146" s="697" t="n">
        <v>0</v>
      </c>
      <c r="J146" s="585" t="n">
        <v>23</v>
      </c>
      <c r="K146" s="585" t="n">
        <v>10</v>
      </c>
      <c r="L146" s="585">
        <f>IF(B146="TXO",I146-SUM(J146:K146),IF(B146="FITX",IF(D146="新倉",-SUM(J146:K146),IF(E146="賣",(H146-H145)*G146*200-SUM(J146:K146),(H145-H146)*G146*200-SUM(J146:K146))),IF(D146="新倉",-SUM(J146:K146),IF(E146="賣",(H146-H145)*G146*50-SUM(J146:K146),(H145-H146)*G146*50-SUM(J146:K146)))))</f>
        <v/>
      </c>
      <c r="M146" s="699">
        <f>L146</f>
        <v/>
      </c>
      <c r="N146" s="686">
        <f>IF(B146="TXO","",IF(D146="新倉","",IF(E146="賣",(H146-H145)*G146,(H145-H146)*G146)))</f>
        <v/>
      </c>
      <c r="O146" s="226" t="n">
        <v>0</v>
      </c>
      <c r="P146" s="667" t="n"/>
      <c r="S146" s="249" t="n"/>
      <c r="T146" s="61">
        <f>IF(AND(R146="Yes",S146&lt;&gt;"Yes",L146&gt;0,B146&lt;&gt;"TXO"),L146,"")</f>
        <v/>
      </c>
      <c r="U146" s="61">
        <f>IF(AND(R146="Yes",S146&lt;&gt;"Yes",L146&lt;0,B146&lt;&gt;"TXO"),L146,"")</f>
        <v/>
      </c>
      <c r="V146" s="61">
        <f>IF(AND(R146="",S146&lt;&gt;"Yes",L146&gt;0,B146&lt;&gt;"TXO"),L146,"")</f>
        <v/>
      </c>
      <c r="W146" s="61">
        <f>IF(AND(R146="",S146&lt;&gt;"Yes",L146&lt;0,B146&lt;&gt;"TXO"),L146,"")</f>
        <v/>
      </c>
      <c r="X146" s="226">
        <f>IF(AND(R146="Yes",S146="Yes",L146&gt;0,B146&lt;&gt;"TXO"),L146,"")</f>
        <v/>
      </c>
      <c r="Y146" s="226">
        <f>IF(AND(R146="Yes",S146="Yes",L146&lt;0,B146&lt;&gt;"TXO"),L146,"")</f>
        <v/>
      </c>
      <c r="Z146" s="226">
        <f>IF(AND(R146="",S146="Yes",L146&gt;0,B146&lt;&gt;"TXO"),L146,"")</f>
        <v/>
      </c>
      <c r="AA146" s="226">
        <f>IF(AND(R146="",S146="Yes",L146&lt;0,B146&lt;&gt;"TXO"),L146,"")</f>
        <v/>
      </c>
    </row>
    <row r="147" outlineLevel="2">
      <c r="A147" s="696" t="n">
        <v>43542</v>
      </c>
      <c r="B147" s="234" t="inlineStr">
        <is>
          <t>FIMTX</t>
        </is>
      </c>
      <c r="C147" s="229" t="inlineStr">
        <is>
          <t>小指03</t>
        </is>
      </c>
      <c r="D147" s="229" t="inlineStr">
        <is>
          <t>平倉</t>
        </is>
      </c>
      <c r="E147" s="257" t="inlineStr">
        <is>
          <t>買</t>
        </is>
      </c>
      <c r="F147" s="229" t="inlineStr">
        <is>
          <t>-</t>
        </is>
      </c>
      <c r="G147" s="697" t="n">
        <v>1</v>
      </c>
      <c r="H147" s="697" t="n">
        <v>10496</v>
      </c>
      <c r="I147" s="697" t="n">
        <v>0</v>
      </c>
      <c r="J147" s="585" t="n">
        <v>23</v>
      </c>
      <c r="K147" s="585" t="n">
        <v>10</v>
      </c>
      <c r="L147" s="585">
        <f>IF(B147="TXO",I147-SUM(J147:K147),IF(B147="FITX",IF(D147="新倉",-SUM(J147:K147),IF(E147="賣",(H147-H146)*G147*200-SUM(J147:K147),(H146-H147)*G147*200-SUM(J147:K147))),IF(D147="新倉",-SUM(J147:K147),IF(E147="賣",(H147-H146)*G147*50-SUM(J147:K147),(H146-H147)*G147*50-SUM(J147:K147)))))</f>
        <v/>
      </c>
      <c r="M147" s="699">
        <f>L147</f>
        <v/>
      </c>
      <c r="N147" s="686">
        <f>IF(B147="TXO","",IF(D147="新倉","",IF(E147="賣",(H147-H146)*G147,(H146-H147)*G147)))</f>
        <v/>
      </c>
      <c r="O147" s="226" t="n">
        <v>0</v>
      </c>
      <c r="P147" s="667" t="n"/>
      <c r="S147" s="249" t="n"/>
      <c r="T147" s="61">
        <f>IF(AND(R147="Yes",S147&lt;&gt;"Yes",L147&gt;0,B147&lt;&gt;"TXO"),L147,"")</f>
        <v/>
      </c>
      <c r="U147" s="61">
        <f>IF(AND(R147="Yes",S147&lt;&gt;"Yes",L147&lt;0,B147&lt;&gt;"TXO"),L147,"")</f>
        <v/>
      </c>
      <c r="V147" s="61">
        <f>IF(AND(R147="",S147&lt;&gt;"Yes",L147&gt;0,B147&lt;&gt;"TXO"),L147,"")</f>
        <v/>
      </c>
      <c r="W147" s="61">
        <f>IF(AND(R147="",S147&lt;&gt;"Yes",L147&lt;0,B147&lt;&gt;"TXO"),L147,"")</f>
        <v/>
      </c>
      <c r="X147" s="226">
        <f>IF(AND(R147="Yes",S147="Yes",L147&gt;0,B147&lt;&gt;"TXO"),L147,"")</f>
        <v/>
      </c>
      <c r="Y147" s="226">
        <f>IF(AND(R147="Yes",S147="Yes",L147&lt;0,B147&lt;&gt;"TXO"),L147,"")</f>
        <v/>
      </c>
      <c r="Z147" s="226">
        <f>IF(AND(R147="",S147="Yes",L147&gt;0,B147&lt;&gt;"TXO"),L147,"")</f>
        <v/>
      </c>
      <c r="AA147" s="226">
        <f>IF(AND(R147="",S147="Yes",L147&lt;0,B147&lt;&gt;"TXO"),L147,"")</f>
        <v/>
      </c>
    </row>
    <row r="148" outlineLevel="2">
      <c r="A148" s="696" t="n">
        <v>43542</v>
      </c>
      <c r="B148" s="234" t="inlineStr">
        <is>
          <t>FIMTX</t>
        </is>
      </c>
      <c r="C148" s="229" t="inlineStr">
        <is>
          <t>小指03</t>
        </is>
      </c>
      <c r="D148" s="229" t="inlineStr">
        <is>
          <t>新倉</t>
        </is>
      </c>
      <c r="E148" s="257" t="inlineStr">
        <is>
          <t>買</t>
        </is>
      </c>
      <c r="F148" s="229" t="inlineStr">
        <is>
          <t>-</t>
        </is>
      </c>
      <c r="G148" s="697" t="n">
        <v>1</v>
      </c>
      <c r="H148" s="697" t="n">
        <v>10495</v>
      </c>
      <c r="I148" s="697" t="n">
        <v>0</v>
      </c>
      <c r="J148" s="585" t="n">
        <v>23</v>
      </c>
      <c r="K148" s="585" t="n">
        <v>10</v>
      </c>
      <c r="L148" s="585">
        <f>IF(B148="TXO",I148-SUM(J148:K148),IF(B148="FITX",IF(D148="新倉",-SUM(J148:K148),IF(E148="賣",(H148-H147)*G148*200-SUM(J148:K148),(H147-H148)*G148*200-SUM(J148:K148))),IF(D148="新倉",-SUM(J148:K148),IF(E148="賣",(H148-H147)*G148*50-SUM(J148:K148),(H147-H148)*G148*50-SUM(J148:K148)))))</f>
        <v/>
      </c>
      <c r="M148" s="699">
        <f>L148</f>
        <v/>
      </c>
      <c r="N148" s="686">
        <f>IF(B148="TXO","",IF(D148="新倉","",IF(E148="賣",(H148-H147)*G148,(H147-H148)*G148)))</f>
        <v/>
      </c>
      <c r="O148" s="226" t="n">
        <v>0</v>
      </c>
      <c r="P148" s="667" t="n"/>
      <c r="S148" s="249" t="n"/>
      <c r="T148" s="61">
        <f>IF(AND(R148="Yes",S148&lt;&gt;"Yes",L148&gt;0,B148&lt;&gt;"TXO"),L148,"")</f>
        <v/>
      </c>
      <c r="U148" s="61">
        <f>IF(AND(R148="Yes",S148&lt;&gt;"Yes",L148&lt;0,B148&lt;&gt;"TXO"),L148,"")</f>
        <v/>
      </c>
      <c r="V148" s="61">
        <f>IF(AND(R148="",S148&lt;&gt;"Yes",L148&gt;0,B148&lt;&gt;"TXO"),L148,"")</f>
        <v/>
      </c>
      <c r="W148" s="61">
        <f>IF(AND(R148="",S148&lt;&gt;"Yes",L148&lt;0,B148&lt;&gt;"TXO"),L148,"")</f>
        <v/>
      </c>
      <c r="X148" s="226">
        <f>IF(AND(R148="Yes",S148="Yes",L148&gt;0,B148&lt;&gt;"TXO"),L148,"")</f>
        <v/>
      </c>
      <c r="Y148" s="226">
        <f>IF(AND(R148="Yes",S148="Yes",L148&lt;0,B148&lt;&gt;"TXO"),L148,"")</f>
        <v/>
      </c>
      <c r="Z148" s="226">
        <f>IF(AND(R148="",S148="Yes",L148&gt;0,B148&lt;&gt;"TXO"),L148,"")</f>
        <v/>
      </c>
      <c r="AA148" s="226">
        <f>IF(AND(R148="",S148="Yes",L148&lt;0,B148&lt;&gt;"TXO"),L148,"")</f>
        <v/>
      </c>
    </row>
    <row r="149" outlineLevel="2">
      <c r="A149" s="696" t="n">
        <v>43542</v>
      </c>
      <c r="B149" s="234" t="inlineStr">
        <is>
          <t>FIMTX</t>
        </is>
      </c>
      <c r="C149" s="229" t="inlineStr">
        <is>
          <t>小指03</t>
        </is>
      </c>
      <c r="D149" s="229" t="inlineStr">
        <is>
          <t>平倉</t>
        </is>
      </c>
      <c r="E149" s="257" t="inlineStr">
        <is>
          <t>賣</t>
        </is>
      </c>
      <c r="F149" s="229" t="inlineStr">
        <is>
          <t>-</t>
        </is>
      </c>
      <c r="G149" s="697" t="n">
        <v>1</v>
      </c>
      <c r="H149" s="697" t="n">
        <v>10491</v>
      </c>
      <c r="I149" s="697" t="n">
        <v>0</v>
      </c>
      <c r="J149" s="585" t="n">
        <v>23</v>
      </c>
      <c r="K149" s="585" t="n">
        <v>10</v>
      </c>
      <c r="L149" s="585">
        <f>IF(B149="TXO",I149-SUM(J149:K149),IF(B149="FITX",IF(D149="新倉",-SUM(J149:K149),IF(E149="賣",(H149-H148)*G149*200-SUM(J149:K149),(H148-H149)*G149*200-SUM(J149:K149))),IF(D149="新倉",-SUM(J149:K149),IF(E149="賣",(H149-H148)*G149*50-SUM(J149:K149),(H148-H149)*G149*50-SUM(J149:K149)))))</f>
        <v/>
      </c>
      <c r="M149" s="699">
        <f>L149</f>
        <v/>
      </c>
      <c r="N149" s="686">
        <f>IF(B149="TXO","",IF(D149="新倉","",IF(E149="賣",(H149-H148)*G149,(H148-H149)*G149)))</f>
        <v/>
      </c>
      <c r="O149" s="226" t="n">
        <v>0</v>
      </c>
      <c r="P149" s="667" t="n"/>
      <c r="S149" s="249" t="n"/>
      <c r="T149" s="61">
        <f>IF(AND(R149="Yes",S149&lt;&gt;"Yes",L149&gt;0,B149&lt;&gt;"TXO"),L149,"")</f>
        <v/>
      </c>
      <c r="U149" s="61">
        <f>IF(AND(R149="Yes",S149&lt;&gt;"Yes",L149&lt;0,B149&lt;&gt;"TXO"),L149,"")</f>
        <v/>
      </c>
      <c r="V149" s="61">
        <f>IF(AND(R149="",S149&lt;&gt;"Yes",L149&gt;0,B149&lt;&gt;"TXO"),L149,"")</f>
        <v/>
      </c>
      <c r="W149" s="61">
        <f>IF(AND(R149="",S149&lt;&gt;"Yes",L149&lt;0,B149&lt;&gt;"TXO"),L149,"")</f>
        <v/>
      </c>
      <c r="X149" s="226">
        <f>IF(AND(R149="Yes",S149="Yes",L149&gt;0,B149&lt;&gt;"TXO"),L149,"")</f>
        <v/>
      </c>
      <c r="Y149" s="226">
        <f>IF(AND(R149="Yes",S149="Yes",L149&lt;0,B149&lt;&gt;"TXO"),L149,"")</f>
        <v/>
      </c>
      <c r="Z149" s="226">
        <f>IF(AND(R149="",S149="Yes",L149&gt;0,B149&lt;&gt;"TXO"),L149,"")</f>
        <v/>
      </c>
      <c r="AA149" s="226">
        <f>IF(AND(R149="",S149="Yes",L149&lt;0,B149&lt;&gt;"TXO"),L149,"")</f>
        <v/>
      </c>
    </row>
    <row r="150" outlineLevel="1">
      <c r="A150" s="740" t="n">
        <v>43543</v>
      </c>
      <c r="B150" s="299" t="inlineStr">
        <is>
          <t>FIMTX</t>
        </is>
      </c>
      <c r="C150" s="300" t="inlineStr">
        <is>
          <t>小指03</t>
        </is>
      </c>
      <c r="D150" s="300" t="inlineStr">
        <is>
          <t>新倉</t>
        </is>
      </c>
      <c r="E150" s="301" t="inlineStr">
        <is>
          <t>買</t>
        </is>
      </c>
      <c r="F150" s="300" t="inlineStr">
        <is>
          <t>-</t>
        </is>
      </c>
      <c r="G150" s="741" t="n">
        <v>1</v>
      </c>
      <c r="H150" s="741" t="n">
        <v>10487</v>
      </c>
      <c r="I150" s="741" t="n">
        <v>0</v>
      </c>
      <c r="J150" s="742" t="n">
        <v>23</v>
      </c>
      <c r="K150" s="742" t="n">
        <v>10</v>
      </c>
      <c r="L150" s="742">
        <f>IF(B150="TXO",I150-SUM(J150:K150),IF(B150="FITX",IF(D150="新倉",-SUM(J150:K150),IF(E150="賣",(H150-H149)*G150*200-SUM(J150:K150),(H149-H150)*G150*200-SUM(J150:K150))),IF(D150="新倉",-SUM(J150:K150),IF(E150="賣",(H150-H149)*G150*50-SUM(J150:K150),(H149-H150)*G150*50-SUM(J150:K150)))))</f>
        <v/>
      </c>
      <c r="M150" s="743">
        <f>L150</f>
        <v/>
      </c>
      <c r="N150" s="686">
        <f>IF(B150="TXO","",IF(D150="新倉","",IF(E150="賣",(H150-H149)*G150,(H149-H150)*G150)))</f>
        <v/>
      </c>
      <c r="O150" s="226" t="n">
        <v>0</v>
      </c>
      <c r="P150" s="667">
        <f>SUM(L150:L165)</f>
        <v/>
      </c>
      <c r="Q150" s="249" t="inlineStr">
        <is>
          <t>3/3 買進2口</t>
        </is>
      </c>
      <c r="R150" s="249" t="inlineStr">
        <is>
          <t>Yes</t>
        </is>
      </c>
      <c r="S150" s="249" t="n"/>
      <c r="T150" s="61">
        <f>IF(AND(R150="Yes",S150&lt;&gt;"Yes",L150&gt;0,B150&lt;&gt;"TXO"),L150,"")</f>
        <v/>
      </c>
      <c r="U150" s="61">
        <f>IF(AND(R150="Yes",S150&lt;&gt;"Yes",L150&lt;0,B150&lt;&gt;"TXO"),L150,"")</f>
        <v/>
      </c>
      <c r="V150" s="61">
        <f>IF(AND(R150="",S150&lt;&gt;"Yes",L150&gt;0,B150&lt;&gt;"TXO"),L150,"")</f>
        <v/>
      </c>
      <c r="W150" s="61">
        <f>IF(AND(R150="",S150&lt;&gt;"Yes",L150&lt;0,B150&lt;&gt;"TXO"),L150,"")</f>
        <v/>
      </c>
      <c r="X150" s="226">
        <f>IF(AND(R150="Yes",S150="Yes",L150&gt;0,B150&lt;&gt;"TXO"),L150,"")</f>
        <v/>
      </c>
      <c r="Y150" s="226">
        <f>IF(AND(R150="Yes",S150="Yes",L150&lt;0,B150&lt;&gt;"TXO"),L150,"")</f>
        <v/>
      </c>
      <c r="Z150" s="226">
        <f>IF(AND(R150="",S150="Yes",L150&gt;0,B150&lt;&gt;"TXO"),L150,"")</f>
        <v/>
      </c>
      <c r="AA150" s="226">
        <f>IF(AND(R150="",S150="Yes",L150&lt;0,B150&lt;&gt;"TXO"),L150,"")</f>
        <v/>
      </c>
    </row>
    <row r="151" outlineLevel="2" collapsed="1">
      <c r="A151" s="740" t="n">
        <v>43543</v>
      </c>
      <c r="B151" s="299" t="inlineStr">
        <is>
          <t>FIMTX</t>
        </is>
      </c>
      <c r="C151" s="300" t="inlineStr">
        <is>
          <t>小指03</t>
        </is>
      </c>
      <c r="D151" s="300" t="inlineStr">
        <is>
          <t>平倉</t>
        </is>
      </c>
      <c r="E151" s="301" t="inlineStr">
        <is>
          <t>賣</t>
        </is>
      </c>
      <c r="F151" s="300" t="inlineStr">
        <is>
          <t>-</t>
        </is>
      </c>
      <c r="G151" s="741" t="n">
        <v>1</v>
      </c>
      <c r="H151" s="741" t="n">
        <v>10492</v>
      </c>
      <c r="I151" s="741" t="n">
        <v>0</v>
      </c>
      <c r="J151" s="742" t="n">
        <v>23</v>
      </c>
      <c r="K151" s="742" t="n">
        <v>10</v>
      </c>
      <c r="L151" s="742">
        <f>IF(B151="TXO",I151-SUM(J151:K151),IF(B151="FITX",IF(D151="新倉",-SUM(J151:K151),IF(E151="賣",(H151-H150)*G151*200-SUM(J151:K151),(H150-H151)*G151*200-SUM(J151:K151))),IF(D151="新倉",-SUM(J151:K151),IF(E151="賣",(H151-H150)*G151*50-SUM(J151:K151),(H150-H151)*G151*50-SUM(J151:K151)))))</f>
        <v/>
      </c>
      <c r="M151" s="743">
        <f>L151</f>
        <v/>
      </c>
      <c r="N151" s="686">
        <f>IF(B151="TXO","",IF(D151="新倉","",IF(E151="賣",(H151-H150)*G151,(H150-H151)*G151)))</f>
        <v/>
      </c>
      <c r="O151" s="226" t="n">
        <v>0</v>
      </c>
      <c r="P151" s="667" t="n"/>
      <c r="Q151" s="249" t="inlineStr">
        <is>
          <t>技法: 刺補</t>
        </is>
      </c>
      <c r="R151" s="249" t="inlineStr">
        <is>
          <t>Yes</t>
        </is>
      </c>
      <c r="S151" s="249" t="n"/>
      <c r="T151" s="61">
        <f>IF(AND(R151="Yes",S151&lt;&gt;"Yes",L151&gt;0,B151&lt;&gt;"TXO"),L151,"")</f>
        <v/>
      </c>
      <c r="U151" s="61">
        <f>IF(AND(R151="Yes",S151&lt;&gt;"Yes",L151&lt;0,B151&lt;&gt;"TXO"),L151,"")</f>
        <v/>
      </c>
      <c r="V151" s="61">
        <f>IF(AND(R151="",S151&lt;&gt;"Yes",L151&gt;0,B151&lt;&gt;"TXO"),L151,"")</f>
        <v/>
      </c>
      <c r="W151" s="61">
        <f>IF(AND(R151="",S151&lt;&gt;"Yes",L151&lt;0,B151&lt;&gt;"TXO"),L151,"")</f>
        <v/>
      </c>
      <c r="X151" s="226">
        <f>IF(AND(R151="Yes",S151="Yes",L151&gt;0,B151&lt;&gt;"TXO"),L151,"")</f>
        <v/>
      </c>
      <c r="Y151" s="226">
        <f>IF(AND(R151="Yes",S151="Yes",L151&lt;0,B151&lt;&gt;"TXO"),L151,"")</f>
        <v/>
      </c>
      <c r="Z151" s="226">
        <f>IF(AND(R151="",S151="Yes",L151&gt;0,B151&lt;&gt;"TXO"),L151,"")</f>
        <v/>
      </c>
      <c r="AA151" s="226">
        <f>IF(AND(R151="",S151="Yes",L151&lt;0,B151&lt;&gt;"TXO"),L151,"")</f>
        <v/>
      </c>
    </row>
    <row r="152" outlineLevel="2" collapsed="1">
      <c r="A152" s="740" t="n">
        <v>43543</v>
      </c>
      <c r="B152" s="299" t="inlineStr">
        <is>
          <t>FIMTX</t>
        </is>
      </c>
      <c r="C152" s="300" t="inlineStr">
        <is>
          <t>小指03</t>
        </is>
      </c>
      <c r="D152" s="300" t="inlineStr">
        <is>
          <t>新倉</t>
        </is>
      </c>
      <c r="E152" s="301" t="inlineStr">
        <is>
          <t>買</t>
        </is>
      </c>
      <c r="F152" s="300" t="inlineStr">
        <is>
          <t>-</t>
        </is>
      </c>
      <c r="G152" s="741" t="n">
        <v>1</v>
      </c>
      <c r="H152" s="741" t="n">
        <v>10486</v>
      </c>
      <c r="I152" s="741" t="n">
        <v>0</v>
      </c>
      <c r="J152" s="742" t="n">
        <v>23</v>
      </c>
      <c r="K152" s="742" t="n">
        <v>10</v>
      </c>
      <c r="L152" s="742">
        <f>IF(B152="TXO",I152-SUM(J152:K152),IF(B152="FITX",IF(D152="新倉",-SUM(J152:K152),IF(E152="賣",(H152-H151)*G152*200-SUM(J152:K152),(H151-H152)*G152*200-SUM(J152:K152))),IF(D152="新倉",-SUM(J152:K152),IF(E152="賣",(H152-H151)*G152*50-SUM(J152:K152),(H151-H152)*G152*50-SUM(J152:K152)))))</f>
        <v/>
      </c>
      <c r="M152" s="743">
        <f>L152</f>
        <v/>
      </c>
      <c r="N152" s="686">
        <f>IF(B152="TXO","",IF(D152="新倉","",IF(E152="賣",(H152-H151)*G152,(H151-H152)*G152)))</f>
        <v/>
      </c>
      <c r="O152" s="226" t="n">
        <v>0</v>
      </c>
      <c r="P152" s="667" t="n"/>
      <c r="Q152" s="249" t="inlineStr">
        <is>
          <t>3/3 買進2口</t>
        </is>
      </c>
      <c r="R152" s="249" t="inlineStr">
        <is>
          <t>Yes</t>
        </is>
      </c>
      <c r="S152" s="249" t="n"/>
      <c r="T152" s="61">
        <f>IF(AND(R152="Yes",S152&lt;&gt;"Yes",L152&gt;0,B152&lt;&gt;"TXO"),L152,"")</f>
        <v/>
      </c>
      <c r="U152" s="61">
        <f>IF(AND(R152="Yes",S152&lt;&gt;"Yes",L152&lt;0,B152&lt;&gt;"TXO"),L152,"")</f>
        <v/>
      </c>
      <c r="V152" s="61">
        <f>IF(AND(R152="",S152&lt;&gt;"Yes",L152&gt;0,B152&lt;&gt;"TXO"),L152,"")</f>
        <v/>
      </c>
      <c r="W152" s="61">
        <f>IF(AND(R152="",S152&lt;&gt;"Yes",L152&lt;0,B152&lt;&gt;"TXO"),L152,"")</f>
        <v/>
      </c>
      <c r="X152" s="226">
        <f>IF(AND(R152="Yes",S152="Yes",L152&gt;0,B152&lt;&gt;"TXO"),L152,"")</f>
        <v/>
      </c>
      <c r="Y152" s="226">
        <f>IF(AND(R152="Yes",S152="Yes",L152&lt;0,B152&lt;&gt;"TXO"),L152,"")</f>
        <v/>
      </c>
      <c r="Z152" s="226">
        <f>IF(AND(R152="",S152="Yes",L152&gt;0,B152&lt;&gt;"TXO"),L152,"")</f>
        <v/>
      </c>
      <c r="AA152" s="226">
        <f>IF(AND(R152="",S152="Yes",L152&lt;0,B152&lt;&gt;"TXO"),L152,"")</f>
        <v/>
      </c>
    </row>
    <row r="153" outlineLevel="2" collapsed="1">
      <c r="A153" s="740" t="n">
        <v>43543</v>
      </c>
      <c r="B153" s="299" t="inlineStr">
        <is>
          <t>FIMTX</t>
        </is>
      </c>
      <c r="C153" s="300" t="inlineStr">
        <is>
          <t>小指03</t>
        </is>
      </c>
      <c r="D153" s="300" t="inlineStr">
        <is>
          <t>平倉</t>
        </is>
      </c>
      <c r="E153" s="301" t="inlineStr">
        <is>
          <t>賣</t>
        </is>
      </c>
      <c r="F153" s="300" t="inlineStr">
        <is>
          <t>-</t>
        </is>
      </c>
      <c r="G153" s="741" t="n">
        <v>1</v>
      </c>
      <c r="H153" s="741" t="n">
        <v>10471</v>
      </c>
      <c r="I153" s="741" t="n">
        <v>0</v>
      </c>
      <c r="J153" s="742" t="n">
        <v>23</v>
      </c>
      <c r="K153" s="742" t="n">
        <v>10</v>
      </c>
      <c r="L153" s="742">
        <f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/>
      </c>
      <c r="M153" s="743">
        <f>L153</f>
        <v/>
      </c>
      <c r="N153" s="686">
        <f>IF(B153="TXO","",IF(D153="新倉","",IF(E153="賣",(H153-H152)*G153,(H152-H153)*G153)))</f>
        <v/>
      </c>
      <c r="O153" s="226" t="n">
        <v>0</v>
      </c>
      <c r="P153" s="667" t="n"/>
      <c r="R153" s="249" t="inlineStr">
        <is>
          <t>Yes</t>
        </is>
      </c>
      <c r="S153" s="249" t="n"/>
      <c r="T153" s="61">
        <f>IF(AND(R153="Yes",S153&lt;&gt;"Yes",L153&gt;0,B153&lt;&gt;"TXO"),L153,"")</f>
        <v/>
      </c>
      <c r="U153" s="61">
        <f>IF(AND(R153="Yes",S153&lt;&gt;"Yes",L153&lt;0,B153&lt;&gt;"TXO"),L153,"")</f>
        <v/>
      </c>
      <c r="V153" s="61">
        <f>IF(AND(R153="",S153&lt;&gt;"Yes",L153&gt;0,B153&lt;&gt;"TXO"),L153,"")</f>
        <v/>
      </c>
      <c r="W153" s="61">
        <f>IF(AND(R153="",S153&lt;&gt;"Yes",L153&lt;0,B153&lt;&gt;"TXO"),L153,"")</f>
        <v/>
      </c>
      <c r="X153" s="226">
        <f>IF(AND(R153="Yes",S153="Yes",L153&gt;0,B153&lt;&gt;"TXO"),L153,"")</f>
        <v/>
      </c>
      <c r="Y153" s="226">
        <f>IF(AND(R153="Yes",S153="Yes",L153&lt;0,B153&lt;&gt;"TXO"),L153,"")</f>
        <v/>
      </c>
      <c r="Z153" s="226">
        <f>IF(AND(R153="",S153="Yes",L153&gt;0,B153&lt;&gt;"TXO"),L153,"")</f>
        <v/>
      </c>
      <c r="AA153" s="226">
        <f>IF(AND(R153="",S153="Yes",L153&lt;0,B153&lt;&gt;"TXO"),L153,"")</f>
        <v/>
      </c>
    </row>
    <row r="154" outlineLevel="2" collapsed="1">
      <c r="A154" s="740" t="n">
        <v>43543</v>
      </c>
      <c r="B154" s="299" t="inlineStr">
        <is>
          <t>FIMTX</t>
        </is>
      </c>
      <c r="C154" s="300" t="inlineStr">
        <is>
          <t>小指03</t>
        </is>
      </c>
      <c r="D154" s="300" t="inlineStr">
        <is>
          <t>新倉</t>
        </is>
      </c>
      <c r="E154" s="301" t="inlineStr">
        <is>
          <t>賣</t>
        </is>
      </c>
      <c r="F154" s="300" t="inlineStr">
        <is>
          <t>-</t>
        </is>
      </c>
      <c r="G154" s="741" t="n">
        <v>2</v>
      </c>
      <c r="H154" s="741" t="n">
        <v>10473</v>
      </c>
      <c r="I154" s="741" t="n">
        <v>0</v>
      </c>
      <c r="J154" s="742" t="n">
        <v>46</v>
      </c>
      <c r="K154" s="742" t="n">
        <v>20</v>
      </c>
      <c r="L154" s="742">
        <f>IF(B154="TXO",I154-SUM(J154:K154),IF(B154="FITX",IF(D154="新倉",-SUM(J154:K154),IF(E154="賣",(H154-H153)*G154*200-SUM(J154:K154),(H153-H154)*G154*200-SUM(J154:K154))),IF(D154="新倉",-SUM(J154:K154),IF(E154="賣",(H154-H153)*G154*50-SUM(J154:K154),(H153-H154)*G154*50-SUM(J154:K154)))))</f>
        <v/>
      </c>
      <c r="M154" s="743">
        <f>L154</f>
        <v/>
      </c>
      <c r="N154" s="686">
        <f>IF(B154="TXO","",IF(D154="新倉","",IF(E154="賣",(H154-H153)*G154,(H153-H154)*G154)))</f>
        <v/>
      </c>
      <c r="O154" s="226" t="n">
        <v>0</v>
      </c>
      <c r="P154" s="667" t="n"/>
      <c r="Q154" s="249" t="inlineStr">
        <is>
          <t>3/3 買進2口</t>
        </is>
      </c>
      <c r="R154" s="249" t="inlineStr">
        <is>
          <t>Yes</t>
        </is>
      </c>
      <c r="S154" s="249" t="n"/>
      <c r="T154" s="61">
        <f>IF(AND(R154="Yes",S154&lt;&gt;"Yes",L154&gt;0,B154&lt;&gt;"TXO"),L154,"")</f>
        <v/>
      </c>
      <c r="U154" s="61">
        <f>IF(AND(R154="Yes",S154&lt;&gt;"Yes",L154&lt;0,B154&lt;&gt;"TXO"),L154,"")</f>
        <v/>
      </c>
      <c r="V154" s="61">
        <f>IF(AND(R154="",S154&lt;&gt;"Yes",L154&gt;0,B154&lt;&gt;"TXO"),L154,"")</f>
        <v/>
      </c>
      <c r="W154" s="61">
        <f>IF(AND(R154="",S154&lt;&gt;"Yes",L154&lt;0,B154&lt;&gt;"TXO"),L154,"")</f>
        <v/>
      </c>
      <c r="X154" s="226">
        <f>IF(AND(R154="Yes",S154="Yes",L154&gt;0,B154&lt;&gt;"TXO"),L154,"")</f>
        <v/>
      </c>
      <c r="Y154" s="226">
        <f>IF(AND(R154="Yes",S154="Yes",L154&lt;0,B154&lt;&gt;"TXO"),L154,"")</f>
        <v/>
      </c>
      <c r="Z154" s="226">
        <f>IF(AND(R154="",S154="Yes",L154&gt;0,B154&lt;&gt;"TXO"),L154,"")</f>
        <v/>
      </c>
      <c r="AA154" s="226">
        <f>IF(AND(R154="",S154="Yes",L154&lt;0,B154&lt;&gt;"TXO"),L154,"")</f>
        <v/>
      </c>
    </row>
    <row r="155" outlineLevel="2" collapsed="1">
      <c r="A155" s="740" t="n">
        <v>43543</v>
      </c>
      <c r="B155" s="299" t="inlineStr">
        <is>
          <t>FIMTX</t>
        </is>
      </c>
      <c r="C155" s="300" t="inlineStr">
        <is>
          <t>小指03</t>
        </is>
      </c>
      <c r="D155" s="300" t="inlineStr">
        <is>
          <t>平倉</t>
        </is>
      </c>
      <c r="E155" s="301" t="inlineStr">
        <is>
          <t>買</t>
        </is>
      </c>
      <c r="F155" s="300" t="inlineStr">
        <is>
          <t>-</t>
        </is>
      </c>
      <c r="G155" s="741" t="n">
        <v>2</v>
      </c>
      <c r="H155" s="741" t="n">
        <v>10481</v>
      </c>
      <c r="I155" s="741" t="n">
        <v>0</v>
      </c>
      <c r="J155" s="742" t="n">
        <v>46</v>
      </c>
      <c r="K155" s="742" t="n">
        <v>20</v>
      </c>
      <c r="L155" s="742">
        <f>IF(B155="TXO",I155-SUM(J155:K155),IF(B155="FITX",IF(D155="新倉",-SUM(J155:K155),IF(E155="賣",(H155-H154)*G155*200-SUM(J155:K155),(H154-H155)*G155*200-SUM(J155:K155))),IF(D155="新倉",-SUM(J155:K155),IF(E155="賣",(H155-H154)*G155*50-SUM(J155:K155),(H154-H155)*G155*50-SUM(J155:K155)))))</f>
        <v/>
      </c>
      <c r="M155" s="743">
        <f>L155</f>
        <v/>
      </c>
      <c r="N155" s="686">
        <f>IF(B155="TXO","",IF(D155="新倉","",IF(E155="賣",(H155-H154)*G155,(H154-H155)*G155)))</f>
        <v/>
      </c>
      <c r="O155" s="226" t="n">
        <v>0</v>
      </c>
      <c r="P155" s="667" t="n"/>
      <c r="Q155" s="249" t="inlineStr">
        <is>
          <t>技法: 碰10MA出場(停損)</t>
        </is>
      </c>
      <c r="R155" s="249" t="inlineStr">
        <is>
          <t>Yes</t>
        </is>
      </c>
      <c r="S155" s="249" t="n"/>
      <c r="T155" s="61">
        <f>IF(AND(R155="Yes",S155&lt;&gt;"Yes",L155&gt;0,B155&lt;&gt;"TXO"),L155,"")</f>
        <v/>
      </c>
      <c r="U155" s="61">
        <f>IF(AND(R155="Yes",S155&lt;&gt;"Yes",L155&lt;0,B155&lt;&gt;"TXO"),L155,"")</f>
        <v/>
      </c>
      <c r="V155" s="61">
        <f>IF(AND(R155="",S155&lt;&gt;"Yes",L155&gt;0,B155&lt;&gt;"TXO"),L155,"")</f>
        <v/>
      </c>
      <c r="W155" s="61">
        <f>IF(AND(R155="",S155&lt;&gt;"Yes",L155&lt;0,B155&lt;&gt;"TXO"),L155,"")</f>
        <v/>
      </c>
      <c r="X155" s="226">
        <f>IF(AND(R155="Yes",S155="Yes",L155&gt;0,B155&lt;&gt;"TXO"),L155,"")</f>
        <v/>
      </c>
      <c r="Y155" s="226">
        <f>IF(AND(R155="Yes",S155="Yes",L155&lt;0,B155&lt;&gt;"TXO"),L155,"")</f>
        <v/>
      </c>
      <c r="Z155" s="226">
        <f>IF(AND(R155="",S155="Yes",L155&gt;0,B155&lt;&gt;"TXO"),L155,"")</f>
        <v/>
      </c>
      <c r="AA155" s="226">
        <f>IF(AND(R155="",S155="Yes",L155&lt;0,B155&lt;&gt;"TXO"),L155,"")</f>
        <v/>
      </c>
    </row>
    <row r="156" outlineLevel="2" collapsed="1">
      <c r="A156" s="740" t="n">
        <v>43543</v>
      </c>
      <c r="B156" s="299" t="inlineStr">
        <is>
          <t>FIMTX</t>
        </is>
      </c>
      <c r="C156" s="300" t="inlineStr">
        <is>
          <t>小指03</t>
        </is>
      </c>
      <c r="D156" s="300" t="inlineStr">
        <is>
          <t>新倉</t>
        </is>
      </c>
      <c r="E156" s="301" t="inlineStr">
        <is>
          <t>買</t>
        </is>
      </c>
      <c r="F156" s="300" t="inlineStr">
        <is>
          <t>-</t>
        </is>
      </c>
      <c r="G156" s="741" t="n">
        <v>1</v>
      </c>
      <c r="H156" s="741" t="n">
        <v>10498</v>
      </c>
      <c r="I156" s="741" t="n">
        <v>0</v>
      </c>
      <c r="J156" s="742" t="n">
        <v>23</v>
      </c>
      <c r="K156" s="742" t="n">
        <v>10</v>
      </c>
      <c r="L156" s="742">
        <f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/>
      </c>
      <c r="M156" s="743">
        <f>L156</f>
        <v/>
      </c>
      <c r="N156" s="686">
        <f>IF(B156="TXO","",IF(D156="新倉","",IF(E156="賣",(H156-H155)*G156,(H155-H156)*G156)))</f>
        <v/>
      </c>
      <c r="O156" s="226" t="n">
        <v>0</v>
      </c>
      <c r="P156" s="667" t="n"/>
      <c r="Q156" s="249" t="inlineStr">
        <is>
          <t>3/3 買進1口</t>
        </is>
      </c>
      <c r="R156" s="249" t="inlineStr">
        <is>
          <t>Yes</t>
        </is>
      </c>
      <c r="S156" s="249" t="n"/>
      <c r="T156" s="61">
        <f>IF(AND(R156="Yes",S156&lt;&gt;"Yes",L156&gt;0,B156&lt;&gt;"TXO"),L156,"")</f>
        <v/>
      </c>
      <c r="U156" s="61">
        <f>IF(AND(R156="Yes",S156&lt;&gt;"Yes",L156&lt;0,B156&lt;&gt;"TXO"),L156,"")</f>
        <v/>
      </c>
      <c r="V156" s="61">
        <f>IF(AND(R156="",S156&lt;&gt;"Yes",L156&gt;0,B156&lt;&gt;"TXO"),L156,"")</f>
        <v/>
      </c>
      <c r="W156" s="61">
        <f>IF(AND(R156="",S156&lt;&gt;"Yes",L156&lt;0,B156&lt;&gt;"TXO"),L156,"")</f>
        <v/>
      </c>
      <c r="X156" s="226">
        <f>IF(AND(R156="Yes",S156="Yes",L156&gt;0,B156&lt;&gt;"TXO"),L156,"")</f>
        <v/>
      </c>
      <c r="Y156" s="226">
        <f>IF(AND(R156="Yes",S156="Yes",L156&lt;0,B156&lt;&gt;"TXO"),L156,"")</f>
        <v/>
      </c>
      <c r="Z156" s="226">
        <f>IF(AND(R156="",S156="Yes",L156&gt;0,B156&lt;&gt;"TXO"),L156,"")</f>
        <v/>
      </c>
      <c r="AA156" s="226">
        <f>IF(AND(R156="",S156="Yes",L156&lt;0,B156&lt;&gt;"TXO"),L156,"")</f>
        <v/>
      </c>
    </row>
    <row r="157" outlineLevel="2" collapsed="1">
      <c r="A157" s="740" t="n">
        <v>43543</v>
      </c>
      <c r="B157" s="299" t="inlineStr">
        <is>
          <t>FIMTX</t>
        </is>
      </c>
      <c r="C157" s="300" t="inlineStr">
        <is>
          <t>小指03</t>
        </is>
      </c>
      <c r="D157" s="300" t="inlineStr">
        <is>
          <t>平倉</t>
        </is>
      </c>
      <c r="E157" s="301" t="inlineStr">
        <is>
          <t>賣</t>
        </is>
      </c>
      <c r="F157" s="300" t="inlineStr">
        <is>
          <t>-</t>
        </is>
      </c>
      <c r="G157" s="741" t="n">
        <v>1</v>
      </c>
      <c r="H157" s="741" t="n">
        <v>10496</v>
      </c>
      <c r="I157" s="741" t="n">
        <v>0</v>
      </c>
      <c r="J157" s="742" t="n">
        <v>23</v>
      </c>
      <c r="K157" s="742" t="n">
        <v>10</v>
      </c>
      <c r="L157" s="742">
        <f>IF(B157="TXO",I157-SUM(J157:K157),IF(B157="FITX",IF(D157="新倉",-SUM(J157:K157),IF(E157="賣",(H157-H156)*G157*200-SUM(J157:K157),(H156-H157)*G157*200-SUM(J157:K157))),IF(D157="新倉",-SUM(J157:K157),IF(E157="賣",(H157-H156)*G157*50-SUM(J157:K157),(H156-H157)*G157*50-SUM(J157:K157)))))</f>
        <v/>
      </c>
      <c r="M157" s="743">
        <f>L157</f>
        <v/>
      </c>
      <c r="N157" s="686">
        <f>IF(B157="TXO","",IF(D157="新倉","",IF(E157="賣",(H157-H156)*G157,(H156-H157)*G157)))</f>
        <v/>
      </c>
      <c r="O157" s="226" t="n">
        <v>0</v>
      </c>
      <c r="P157" s="667" t="n"/>
      <c r="Q157" s="249" t="inlineStr">
        <is>
          <t>技法: 碰10MA出場(停損)</t>
        </is>
      </c>
      <c r="R157" s="249" t="inlineStr">
        <is>
          <t>Yes</t>
        </is>
      </c>
      <c r="S157" s="249" t="n"/>
      <c r="T157" s="61">
        <f>IF(AND(R157="Yes",S157&lt;&gt;"Yes",L157&gt;0,B157&lt;&gt;"TXO"),L157,"")</f>
        <v/>
      </c>
      <c r="U157" s="61">
        <f>IF(AND(R157="Yes",S157&lt;&gt;"Yes",L157&lt;0,B157&lt;&gt;"TXO"),L157,"")</f>
        <v/>
      </c>
      <c r="V157" s="61">
        <f>IF(AND(R157="",S157&lt;&gt;"Yes",L157&gt;0,B157&lt;&gt;"TXO"),L157,"")</f>
        <v/>
      </c>
      <c r="W157" s="61">
        <f>IF(AND(R157="",S157&lt;&gt;"Yes",L157&lt;0,B157&lt;&gt;"TXO"),L157,"")</f>
        <v/>
      </c>
      <c r="X157" s="226">
        <f>IF(AND(R157="Yes",S157="Yes",L157&gt;0,B157&lt;&gt;"TXO"),L157,"")</f>
        <v/>
      </c>
      <c r="Y157" s="226">
        <f>IF(AND(R157="Yes",S157="Yes",L157&lt;0,B157&lt;&gt;"TXO"),L157,"")</f>
        <v/>
      </c>
      <c r="Z157" s="226">
        <f>IF(AND(R157="",S157="Yes",L157&gt;0,B157&lt;&gt;"TXO"),L157,"")</f>
        <v/>
      </c>
      <c r="AA157" s="226">
        <f>IF(AND(R157="",S157="Yes",L157&lt;0,B157&lt;&gt;"TXO"),L157,"")</f>
        <v/>
      </c>
    </row>
    <row r="158" outlineLevel="2" collapsed="1">
      <c r="A158" s="740" t="n">
        <v>43543</v>
      </c>
      <c r="B158" s="299" t="inlineStr">
        <is>
          <t>FIMTX</t>
        </is>
      </c>
      <c r="C158" s="300" t="inlineStr">
        <is>
          <t>小指03</t>
        </is>
      </c>
      <c r="D158" s="300" t="inlineStr">
        <is>
          <t>新倉</t>
        </is>
      </c>
      <c r="E158" s="301" t="inlineStr">
        <is>
          <t>賣</t>
        </is>
      </c>
      <c r="F158" s="300" t="inlineStr">
        <is>
          <t>-</t>
        </is>
      </c>
      <c r="G158" s="741" t="n">
        <v>1</v>
      </c>
      <c r="H158" s="741" t="n">
        <v>10505</v>
      </c>
      <c r="I158" s="741" t="n">
        <v>0</v>
      </c>
      <c r="J158" s="742" t="n">
        <v>23</v>
      </c>
      <c r="K158" s="742" t="n">
        <v>11</v>
      </c>
      <c r="L158" s="742">
        <f>IF(B158="TXO",I158-SUM(J158:K158),IF(B158="FITX",IF(D158="新倉",-SUM(J158:K158),IF(E158="賣",(H158-H157)*G158*200-SUM(J158:K158),(H157-H158)*G158*200-SUM(J158:K158))),IF(D158="新倉",-SUM(J158:K158),IF(E158="賣",(H158-H157)*G158*50-SUM(J158:K158),(H157-H158)*G158*50-SUM(J158:K158)))))</f>
        <v/>
      </c>
      <c r="M158" s="743">
        <f>L158</f>
        <v/>
      </c>
      <c r="N158" s="686">
        <f>IF(B158="TXO","",IF(D158="新倉","",IF(E158="賣",(H158-H157)*G158,(H157-H158)*G158)))</f>
        <v/>
      </c>
      <c r="O158" s="226" t="n">
        <v>0</v>
      </c>
      <c r="P158" s="667" t="n"/>
      <c r="Q158" s="249" t="inlineStr">
        <is>
          <t>觸價單忘記取消</t>
        </is>
      </c>
      <c r="S158" s="249" t="n"/>
      <c r="T158" s="61">
        <f>IF(AND(R158="Yes",S158&lt;&gt;"Yes",L158&gt;0,B158&lt;&gt;"TXO"),L158,"")</f>
        <v/>
      </c>
      <c r="U158" s="61">
        <f>IF(AND(R158="Yes",S158&lt;&gt;"Yes",L158&lt;0,B158&lt;&gt;"TXO"),L158,"")</f>
        <v/>
      </c>
      <c r="V158" s="61">
        <f>IF(AND(R158="",S158&lt;&gt;"Yes",L158&gt;0,B158&lt;&gt;"TXO"),L158,"")</f>
        <v/>
      </c>
      <c r="W158" s="61">
        <f>IF(AND(R158="",S158&lt;&gt;"Yes",L158&lt;0,B158&lt;&gt;"TXO"),L158,"")</f>
        <v/>
      </c>
      <c r="X158" s="226">
        <f>IF(AND(R158="Yes",S158="Yes",L158&gt;0,B158&lt;&gt;"TXO"),L158,"")</f>
        <v/>
      </c>
      <c r="Y158" s="226">
        <f>IF(AND(R158="Yes",S158="Yes",L158&lt;0,B158&lt;&gt;"TXO"),L158,"")</f>
        <v/>
      </c>
      <c r="Z158" s="226">
        <f>IF(AND(R158="",S158="Yes",L158&gt;0,B158&lt;&gt;"TXO"),L158,"")</f>
        <v/>
      </c>
      <c r="AA158" s="226">
        <f>IF(AND(R158="",S158="Yes",L158&lt;0,B158&lt;&gt;"TXO"),L158,"")</f>
        <v/>
      </c>
    </row>
    <row r="159" outlineLevel="2" collapsed="1">
      <c r="A159" s="740" t="n">
        <v>43543</v>
      </c>
      <c r="B159" s="299" t="inlineStr">
        <is>
          <t>FIMTX</t>
        </is>
      </c>
      <c r="C159" s="300" t="inlineStr">
        <is>
          <t>小指03</t>
        </is>
      </c>
      <c r="D159" s="300" t="inlineStr">
        <is>
          <t>平倉</t>
        </is>
      </c>
      <c r="E159" s="301" t="inlineStr">
        <is>
          <t>買</t>
        </is>
      </c>
      <c r="F159" s="300" t="inlineStr">
        <is>
          <t>-</t>
        </is>
      </c>
      <c r="G159" s="741" t="n">
        <v>1</v>
      </c>
      <c r="H159" s="741" t="n">
        <v>10504</v>
      </c>
      <c r="I159" s="741" t="n">
        <v>0</v>
      </c>
      <c r="J159" s="742" t="n">
        <v>23</v>
      </c>
      <c r="K159" s="742" t="n">
        <v>11</v>
      </c>
      <c r="L159" s="742">
        <f>IF(B159="TXO",I159-SUM(J159:K159),IF(B159="FITX",IF(D159="新倉",-SUM(J159:K159),IF(E159="賣",(H159-H158)*G159*200-SUM(J159:K159),(H158-H159)*G159*200-SUM(J159:K159))),IF(D159="新倉",-SUM(J159:K159),IF(E159="賣",(H159-H158)*G159*50-SUM(J159:K159),(H158-H159)*G159*50-SUM(J159:K159)))))</f>
        <v/>
      </c>
      <c r="M159" s="743">
        <f>L159</f>
        <v/>
      </c>
      <c r="N159" s="686">
        <f>IF(B159="TXO","",IF(D159="新倉","",IF(E159="賣",(H159-H158)*G159,(H158-H159)*G159)))</f>
        <v/>
      </c>
      <c r="O159" s="226" t="n">
        <v>0</v>
      </c>
      <c r="P159" s="667" t="n"/>
      <c r="S159" s="249" t="n"/>
      <c r="T159" s="61">
        <f>IF(AND(R159="Yes",S159&lt;&gt;"Yes",L159&gt;0,B159&lt;&gt;"TXO"),L159,"")</f>
        <v/>
      </c>
      <c r="U159" s="61">
        <f>IF(AND(R159="Yes",S159&lt;&gt;"Yes",L159&lt;0,B159&lt;&gt;"TXO"),L159,"")</f>
        <v/>
      </c>
      <c r="V159" s="61">
        <f>IF(AND(R159="",S159&lt;&gt;"Yes",L159&gt;0,B159&lt;&gt;"TXO"),L159,"")</f>
        <v/>
      </c>
      <c r="W159" s="61">
        <f>IF(AND(R159="",S159&lt;&gt;"Yes",L159&lt;0,B159&lt;&gt;"TXO"),L159,"")</f>
        <v/>
      </c>
      <c r="X159" s="226">
        <f>IF(AND(R159="Yes",S159="Yes",L159&gt;0,B159&lt;&gt;"TXO"),L159,"")</f>
        <v/>
      </c>
      <c r="Y159" s="226">
        <f>IF(AND(R159="Yes",S159="Yes",L159&lt;0,B159&lt;&gt;"TXO"),L159,"")</f>
        <v/>
      </c>
      <c r="Z159" s="226">
        <f>IF(AND(R159="",S159="Yes",L159&gt;0,B159&lt;&gt;"TXO"),L159,"")</f>
        <v/>
      </c>
      <c r="AA159" s="226">
        <f>IF(AND(R159="",S159="Yes",L159&lt;0,B159&lt;&gt;"TXO"),L159,"")</f>
        <v/>
      </c>
    </row>
    <row r="160" outlineLevel="2" collapsed="1">
      <c r="A160" s="740" t="n">
        <v>43543</v>
      </c>
      <c r="B160" s="299" t="inlineStr">
        <is>
          <t>FIMTX</t>
        </is>
      </c>
      <c r="C160" s="300" t="inlineStr">
        <is>
          <t>小指03</t>
        </is>
      </c>
      <c r="D160" s="300" t="inlineStr">
        <is>
          <t>新倉</t>
        </is>
      </c>
      <c r="E160" s="301" t="inlineStr">
        <is>
          <t>買</t>
        </is>
      </c>
      <c r="F160" s="300" t="inlineStr">
        <is>
          <t>-</t>
        </is>
      </c>
      <c r="G160" s="741" t="n">
        <v>1</v>
      </c>
      <c r="H160" s="741" t="n">
        <v>10533</v>
      </c>
      <c r="I160" s="741" t="n">
        <v>0</v>
      </c>
      <c r="J160" s="742" t="n">
        <v>23</v>
      </c>
      <c r="K160" s="742" t="n">
        <v>11</v>
      </c>
      <c r="L160" s="742">
        <f>IF(B160="TXO",I160-SUM(J160:K160),IF(B160="FITX",IF(D160="新倉",-SUM(J160:K160),IF(E160="賣",(H160-H159)*G160*200-SUM(J160:K160),(H159-H160)*G160*200-SUM(J160:K160))),IF(D160="新倉",-SUM(J160:K160),IF(E160="賣",(H160-H159)*G160*50-SUM(J160:K160),(H159-H160)*G160*50-SUM(J160:K160)))))</f>
        <v/>
      </c>
      <c r="M160" s="743">
        <f>L160</f>
        <v/>
      </c>
      <c r="N160" s="686">
        <f>IF(B160="TXO","",IF(D160="新倉","",IF(E160="賣",(H160-H159)*G160,(H159-H160)*G160)))</f>
        <v/>
      </c>
      <c r="O160" s="226" t="n">
        <v>0</v>
      </c>
      <c r="P160" s="667" t="n"/>
      <c r="Q160" s="249" t="inlineStr">
        <is>
          <t>3/3 買進1口</t>
        </is>
      </c>
      <c r="R160" s="249" t="inlineStr">
        <is>
          <t>Yes</t>
        </is>
      </c>
      <c r="S160" s="249" t="inlineStr">
        <is>
          <t>Yes</t>
        </is>
      </c>
      <c r="T160" s="61">
        <f>IF(AND(R160="Yes",S160&lt;&gt;"Yes",L160&gt;0,B160&lt;&gt;"TXO"),L160,"")</f>
        <v/>
      </c>
      <c r="U160" s="61">
        <f>IF(AND(R160="Yes",S160&lt;&gt;"Yes",L160&lt;0,B160&lt;&gt;"TXO"),L160,"")</f>
        <v/>
      </c>
      <c r="V160" s="61">
        <f>IF(AND(R160="",S160&lt;&gt;"Yes",L160&gt;0,B160&lt;&gt;"TXO"),L160,"")</f>
        <v/>
      </c>
      <c r="W160" s="61">
        <f>IF(AND(R160="",S160&lt;&gt;"Yes",L160&lt;0,B160&lt;&gt;"TXO"),L160,"")</f>
        <v/>
      </c>
      <c r="X160" s="226">
        <f>IF(AND(R160="Yes",S160="Yes",L160&gt;0,B160&lt;&gt;"TXO"),L160,"")</f>
        <v/>
      </c>
      <c r="Y160" s="226">
        <f>IF(AND(R160="Yes",S160="Yes",L160&lt;0,B160&lt;&gt;"TXO"),L160,"")</f>
        <v/>
      </c>
      <c r="Z160" s="226">
        <f>IF(AND(R160="",S160="Yes",L160&gt;0,B160&lt;&gt;"TXO"),L160,"")</f>
        <v/>
      </c>
      <c r="AA160" s="226">
        <f>IF(AND(R160="",S160="Yes",L160&lt;0,B160&lt;&gt;"TXO"),L160,"")</f>
        <v/>
      </c>
    </row>
    <row r="161" outlineLevel="2" collapsed="1">
      <c r="A161" s="740" t="n">
        <v>43543</v>
      </c>
      <c r="B161" s="299" t="inlineStr">
        <is>
          <t>FIMTX</t>
        </is>
      </c>
      <c r="C161" s="300" t="inlineStr">
        <is>
          <t>小指03</t>
        </is>
      </c>
      <c r="D161" s="300" t="inlineStr">
        <is>
          <t>平倉</t>
        </is>
      </c>
      <c r="E161" s="301" t="inlineStr">
        <is>
          <t>賣</t>
        </is>
      </c>
      <c r="F161" s="300" t="inlineStr">
        <is>
          <t>-</t>
        </is>
      </c>
      <c r="G161" s="741" t="n">
        <v>1</v>
      </c>
      <c r="H161" s="741" t="n">
        <v>10529</v>
      </c>
      <c r="I161" s="741" t="n">
        <v>0</v>
      </c>
      <c r="J161" s="742" t="n">
        <v>23</v>
      </c>
      <c r="K161" s="742" t="n">
        <v>11</v>
      </c>
      <c r="L161" s="742">
        <f>IF(B161="TXO",I161-SUM(J161:K161),IF(B161="FITX",IF(D161="新倉",-SUM(J161:K161),IF(E161="賣",(H161-H160)*G161*200-SUM(J161:K161),(H160-H161)*G161*200-SUM(J161:K161))),IF(D161="新倉",-SUM(J161:K161),IF(E161="賣",(H161-H160)*G161*50-SUM(J161:K161),(H160-H161)*G161*50-SUM(J161:K161)))))</f>
        <v/>
      </c>
      <c r="M161" s="743">
        <f>L161</f>
        <v/>
      </c>
      <c r="N161" s="686">
        <f>IF(B161="TXO","",IF(D161="新倉","",IF(E161="賣",(H161-H160)*G161,(H160-H161)*G161)))</f>
        <v/>
      </c>
      <c r="O161" s="226" t="n">
        <v>0</v>
      </c>
      <c r="P161" s="667" t="n"/>
      <c r="Q161" s="249" t="inlineStr">
        <is>
          <t>技法: 碰10MA出場(停損)</t>
        </is>
      </c>
      <c r="R161" s="249" t="inlineStr">
        <is>
          <t>Yes</t>
        </is>
      </c>
      <c r="S161" s="249" t="inlineStr">
        <is>
          <t>Yes</t>
        </is>
      </c>
      <c r="T161" s="61">
        <f>IF(AND(R161="Yes",S161&lt;&gt;"Yes",L161&gt;0,B161&lt;&gt;"TXO"),L161,"")</f>
        <v/>
      </c>
      <c r="U161" s="61">
        <f>IF(AND(R161="Yes",S161&lt;&gt;"Yes",L161&lt;0,B161&lt;&gt;"TXO"),L161,"")</f>
        <v/>
      </c>
      <c r="V161" s="61">
        <f>IF(AND(R161="",S161&lt;&gt;"Yes",L161&gt;0,B161&lt;&gt;"TXO"),L161,"")</f>
        <v/>
      </c>
      <c r="W161" s="61">
        <f>IF(AND(R161="",S161&lt;&gt;"Yes",L161&lt;0,B161&lt;&gt;"TXO"),L161,"")</f>
        <v/>
      </c>
      <c r="X161" s="226">
        <f>IF(AND(R161="Yes",S161="Yes",L161&gt;0,B161&lt;&gt;"TXO"),L161,"")</f>
        <v/>
      </c>
      <c r="Y161" s="226">
        <f>IF(AND(R161="Yes",S161="Yes",L161&lt;0,B161&lt;&gt;"TXO"),L161,"")</f>
        <v/>
      </c>
      <c r="Z161" s="226">
        <f>IF(AND(R161="",S161="Yes",L161&gt;0,B161&lt;&gt;"TXO"),L161,"")</f>
        <v/>
      </c>
      <c r="AA161" s="226">
        <f>IF(AND(R161="",S161="Yes",L161&lt;0,B161&lt;&gt;"TXO"),L161,"")</f>
        <v/>
      </c>
    </row>
    <row r="162" outlineLevel="2" collapsed="1">
      <c r="A162" s="740" t="n">
        <v>43543</v>
      </c>
      <c r="B162" s="299" t="inlineStr">
        <is>
          <t>FIMTX</t>
        </is>
      </c>
      <c r="C162" s="300" t="inlineStr">
        <is>
          <t>小指03</t>
        </is>
      </c>
      <c r="D162" s="300" t="inlineStr">
        <is>
          <t>新倉</t>
        </is>
      </c>
      <c r="E162" s="301" t="inlineStr">
        <is>
          <t>買</t>
        </is>
      </c>
      <c r="F162" s="300" t="inlineStr">
        <is>
          <t>-</t>
        </is>
      </c>
      <c r="G162" s="741" t="n">
        <v>1</v>
      </c>
      <c r="H162" s="741" t="n">
        <v>10528</v>
      </c>
      <c r="I162" s="741" t="n">
        <v>0</v>
      </c>
      <c r="J162" s="742" t="n">
        <v>23</v>
      </c>
      <c r="K162" s="742" t="n">
        <v>11</v>
      </c>
      <c r="L162" s="742">
        <f>IF(B162="TXO",I162-SUM(J162:K162),IF(B162="FITX",IF(D162="新倉",-SUM(J162:K162),IF(E162="賣",(H162-H161)*G162*200-SUM(J162:K162),(H161-H162)*G162*200-SUM(J162:K162))),IF(D162="新倉",-SUM(J162:K162),IF(E162="賣",(H162-H161)*G162*50-SUM(J162:K162),(H161-H162)*G162*50-SUM(J162:K162)))))</f>
        <v/>
      </c>
      <c r="M162" s="743">
        <f>L162</f>
        <v/>
      </c>
      <c r="N162" s="686">
        <f>IF(B162="TXO","",IF(D162="新倉","",IF(E162="賣",(H162-H161)*G162,(H161-H162)*G162)))</f>
        <v/>
      </c>
      <c r="O162" s="226" t="n">
        <v>0</v>
      </c>
      <c r="P162" s="667" t="n"/>
      <c r="Q162" s="249" t="inlineStr">
        <is>
          <t>3/3 買進1口</t>
        </is>
      </c>
      <c r="R162" s="249" t="inlineStr">
        <is>
          <t>Yes</t>
        </is>
      </c>
      <c r="S162" s="249" t="inlineStr">
        <is>
          <t>Yes</t>
        </is>
      </c>
      <c r="T162" s="61">
        <f>IF(AND(R162="Yes",S162&lt;&gt;"Yes",L162&gt;0,B162&lt;&gt;"TXO"),L162,"")</f>
        <v/>
      </c>
      <c r="U162" s="61">
        <f>IF(AND(R162="Yes",S162&lt;&gt;"Yes",L162&lt;0,B162&lt;&gt;"TXO"),L162,"")</f>
        <v/>
      </c>
      <c r="V162" s="61">
        <f>IF(AND(R162="",S162&lt;&gt;"Yes",L162&gt;0,B162&lt;&gt;"TXO"),L162,"")</f>
        <v/>
      </c>
      <c r="W162" s="61">
        <f>IF(AND(R162="",S162&lt;&gt;"Yes",L162&lt;0,B162&lt;&gt;"TXO"),L162,"")</f>
        <v/>
      </c>
      <c r="X162" s="226">
        <f>IF(AND(R162="Yes",S162="Yes",L162&gt;0,B162&lt;&gt;"TXO"),L162,"")</f>
        <v/>
      </c>
      <c r="Y162" s="226">
        <f>IF(AND(R162="Yes",S162="Yes",L162&lt;0,B162&lt;&gt;"TXO"),L162,"")</f>
        <v/>
      </c>
      <c r="Z162" s="226">
        <f>IF(AND(R162="",S162="Yes",L162&gt;0,B162&lt;&gt;"TXO"),L162,"")</f>
        <v/>
      </c>
      <c r="AA162" s="226">
        <f>IF(AND(R162="",S162="Yes",L162&lt;0,B162&lt;&gt;"TXO"),L162,"")</f>
        <v/>
      </c>
    </row>
    <row r="163" outlineLevel="2" collapsed="1">
      <c r="A163" s="740" t="n">
        <v>43543</v>
      </c>
      <c r="B163" s="299" t="inlineStr">
        <is>
          <t>FIMTX</t>
        </is>
      </c>
      <c r="C163" s="300" t="inlineStr">
        <is>
          <t>小指03</t>
        </is>
      </c>
      <c r="D163" s="300" t="inlineStr">
        <is>
          <t>平倉</t>
        </is>
      </c>
      <c r="E163" s="301" t="inlineStr">
        <is>
          <t>賣</t>
        </is>
      </c>
      <c r="F163" s="300" t="inlineStr">
        <is>
          <t>-</t>
        </is>
      </c>
      <c r="G163" s="741" t="n">
        <v>1</v>
      </c>
      <c r="H163" s="741" t="n">
        <v>10520</v>
      </c>
      <c r="I163" s="741" t="n">
        <v>0</v>
      </c>
      <c r="J163" s="742" t="n">
        <v>23</v>
      </c>
      <c r="K163" s="742" t="n">
        <v>11</v>
      </c>
      <c r="L163" s="742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/>
      </c>
      <c r="M163" s="743">
        <f>L163</f>
        <v/>
      </c>
      <c r="N163" s="686">
        <f>IF(B163="TXO","",IF(D163="新倉","",IF(E163="賣",(H163-H162)*G163,(H162-H163)*G163)))</f>
        <v/>
      </c>
      <c r="O163" s="226" t="n">
        <v>0</v>
      </c>
      <c r="P163" s="667" t="n"/>
      <c r="Q163" s="249" t="inlineStr">
        <is>
          <t>技法: 碰10MA出場(停損)</t>
        </is>
      </c>
      <c r="R163" s="249" t="inlineStr">
        <is>
          <t>Yes</t>
        </is>
      </c>
      <c r="S163" s="249" t="inlineStr">
        <is>
          <t>Yes</t>
        </is>
      </c>
      <c r="T163" s="61">
        <f>IF(AND(R163="Yes",S163&lt;&gt;"Yes",L163&gt;0,B163&lt;&gt;"TXO"),L163,"")</f>
        <v/>
      </c>
      <c r="U163" s="61">
        <f>IF(AND(R163="Yes",S163&lt;&gt;"Yes",L163&lt;0,B163&lt;&gt;"TXO"),L163,"")</f>
        <v/>
      </c>
      <c r="V163" s="61">
        <f>IF(AND(R163="",S163&lt;&gt;"Yes",L163&gt;0,B163&lt;&gt;"TXO"),L163,"")</f>
        <v/>
      </c>
      <c r="W163" s="61">
        <f>IF(AND(R163="",S163&lt;&gt;"Yes",L163&lt;0,B163&lt;&gt;"TXO"),L163,"")</f>
        <v/>
      </c>
      <c r="X163" s="226">
        <f>IF(AND(R163="Yes",S163="Yes",L163&gt;0,B163&lt;&gt;"TXO"),L163,"")</f>
        <v/>
      </c>
      <c r="Y163" s="226">
        <f>IF(AND(R163="Yes",S163="Yes",L163&lt;0,B163&lt;&gt;"TXO"),L163,"")</f>
        <v/>
      </c>
      <c r="Z163" s="226">
        <f>IF(AND(R163="",S163="Yes",L163&gt;0,B163&lt;&gt;"TXO"),L163,"")</f>
        <v/>
      </c>
      <c r="AA163" s="226">
        <f>IF(AND(R163="",S163="Yes",L163&lt;0,B163&lt;&gt;"TXO"),L163,"")</f>
        <v/>
      </c>
    </row>
    <row r="164" outlineLevel="2" collapsed="1">
      <c r="A164" s="740" t="n">
        <v>43543</v>
      </c>
      <c r="B164" s="299" t="inlineStr">
        <is>
          <t>FIMTX</t>
        </is>
      </c>
      <c r="C164" s="300" t="inlineStr">
        <is>
          <t>小指03</t>
        </is>
      </c>
      <c r="D164" s="300" t="inlineStr">
        <is>
          <t>新倉</t>
        </is>
      </c>
      <c r="E164" s="301" t="inlineStr">
        <is>
          <t>賣</t>
        </is>
      </c>
      <c r="F164" s="300" t="inlineStr">
        <is>
          <t>-</t>
        </is>
      </c>
      <c r="G164" s="741" t="n">
        <v>1</v>
      </c>
      <c r="H164" s="741" t="n">
        <v>10529</v>
      </c>
      <c r="I164" s="741" t="n">
        <v>0</v>
      </c>
      <c r="J164" s="742" t="n">
        <v>23</v>
      </c>
      <c r="K164" s="742" t="n">
        <v>11</v>
      </c>
      <c r="L164" s="742">
        <f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/>
      </c>
      <c r="M164" s="743">
        <f>L164</f>
        <v/>
      </c>
      <c r="N164" s="686">
        <f>IF(B164="TXO","",IF(D164="新倉","",IF(E164="賣",(H164-H163)*G164,(H163-H164)*G164)))</f>
        <v/>
      </c>
      <c r="O164" s="226" t="n">
        <v>0</v>
      </c>
      <c r="P164" s="667" t="n"/>
      <c r="Q164" s="249" t="inlineStr">
        <is>
          <t>觸價單忘記取消</t>
        </is>
      </c>
      <c r="S164" s="249" t="n"/>
      <c r="T164" s="61">
        <f>IF(AND(R164="Yes",S164&lt;&gt;"Yes",L164&gt;0,B164&lt;&gt;"TXO"),L164,"")</f>
        <v/>
      </c>
      <c r="U164" s="61">
        <f>IF(AND(R164="Yes",S164&lt;&gt;"Yes",L164&lt;0,B164&lt;&gt;"TXO"),L164,"")</f>
        <v/>
      </c>
      <c r="V164" s="61">
        <f>IF(AND(R164="",S164&lt;&gt;"Yes",L164&gt;0,B164&lt;&gt;"TXO"),L164,"")</f>
        <v/>
      </c>
      <c r="W164" s="61">
        <f>IF(AND(R164="",S164&lt;&gt;"Yes",L164&lt;0,B164&lt;&gt;"TXO"),L164,"")</f>
        <v/>
      </c>
      <c r="X164" s="226">
        <f>IF(AND(R164="Yes",S164="Yes",L164&gt;0,B164&lt;&gt;"TXO"),L164,"")</f>
        <v/>
      </c>
      <c r="Y164" s="226">
        <f>IF(AND(R164="Yes",S164="Yes",L164&lt;0,B164&lt;&gt;"TXO"),L164,"")</f>
        <v/>
      </c>
      <c r="Z164" s="226">
        <f>IF(AND(R164="",S164="Yes",L164&gt;0,B164&lt;&gt;"TXO"),L164,"")</f>
        <v/>
      </c>
      <c r="AA164" s="226">
        <f>IF(AND(R164="",S164="Yes",L164&lt;0,B164&lt;&gt;"TXO"),L164,"")</f>
        <v/>
      </c>
    </row>
    <row r="165" outlineLevel="2" collapsed="1">
      <c r="A165" s="740" t="n">
        <v>43543</v>
      </c>
      <c r="B165" s="299" t="inlineStr">
        <is>
          <t>FIMTX</t>
        </is>
      </c>
      <c r="C165" s="300" t="inlineStr">
        <is>
          <t>小指03</t>
        </is>
      </c>
      <c r="D165" s="300" t="inlineStr">
        <is>
          <t>平倉</t>
        </is>
      </c>
      <c r="E165" s="301" t="inlineStr">
        <is>
          <t>買</t>
        </is>
      </c>
      <c r="F165" s="300" t="inlineStr">
        <is>
          <t>-</t>
        </is>
      </c>
      <c r="G165" s="741" t="n">
        <v>1</v>
      </c>
      <c r="H165" s="741" t="n">
        <v>10531</v>
      </c>
      <c r="I165" s="741" t="n">
        <v>0</v>
      </c>
      <c r="J165" s="742" t="n">
        <v>23</v>
      </c>
      <c r="K165" s="742" t="n">
        <v>11</v>
      </c>
      <c r="L165" s="742">
        <f>IF(B165="TXO",I165-SUM(J165:K165),IF(B165="FITX",IF(D165="新倉",-SUM(J165:K165),IF(E165="賣",(H165-H164)*G165*200-SUM(J165:K165),(H164-H165)*G165*200-SUM(J165:K165))),IF(D165="新倉",-SUM(J165:K165),IF(E165="賣",(H165-H164)*G165*50-SUM(J165:K165),(H164-H165)*G165*50-SUM(J165:K165)))))</f>
        <v/>
      </c>
      <c r="M165" s="743">
        <f>L165</f>
        <v/>
      </c>
      <c r="N165" s="686">
        <f>IF(B165="TXO","",IF(D165="新倉","",IF(E165="賣",(H165-H164)*G165,(H164-H165)*G165)))</f>
        <v/>
      </c>
      <c r="O165" s="226" t="n">
        <v>0</v>
      </c>
      <c r="P165" s="667" t="n"/>
      <c r="S165" s="249" t="n"/>
      <c r="T165" s="61">
        <f>IF(AND(R165="Yes",S165&lt;&gt;"Yes",L165&gt;0,B165&lt;&gt;"TXO"),L165,"")</f>
        <v/>
      </c>
      <c r="U165" s="61">
        <f>IF(AND(R165="Yes",S165&lt;&gt;"Yes",L165&lt;0,B165&lt;&gt;"TXO"),L165,"")</f>
        <v/>
      </c>
      <c r="V165" s="61">
        <f>IF(AND(R165="",S165&lt;&gt;"Yes",L165&gt;0,B165&lt;&gt;"TXO"),L165,"")</f>
        <v/>
      </c>
      <c r="W165" s="61">
        <f>IF(AND(R165="",S165&lt;&gt;"Yes",L165&lt;0,B165&lt;&gt;"TXO"),L165,"")</f>
        <v/>
      </c>
      <c r="X165" s="226">
        <f>IF(AND(R165="Yes",S165="Yes",L165&gt;0,B165&lt;&gt;"TXO"),L165,"")</f>
        <v/>
      </c>
      <c r="Y165" s="226">
        <f>IF(AND(R165="Yes",S165="Yes",L165&lt;0,B165&lt;&gt;"TXO"),L165,"")</f>
        <v/>
      </c>
      <c r="Z165" s="226">
        <f>IF(AND(R165="",S165="Yes",L165&gt;0,B165&lt;&gt;"TXO"),L165,"")</f>
        <v/>
      </c>
      <c r="AA165" s="226">
        <f>IF(AND(R165="",S165="Yes",L165&lt;0,B165&lt;&gt;"TXO"),L165,"")</f>
        <v/>
      </c>
    </row>
    <row r="166" outlineLevel="1">
      <c r="A166" s="696" t="n">
        <v>43545</v>
      </c>
      <c r="B166" s="234" t="inlineStr">
        <is>
          <t>FIMTX</t>
        </is>
      </c>
      <c r="C166" s="229" t="inlineStr">
        <is>
          <t>小指04</t>
        </is>
      </c>
      <c r="D166" s="229" t="inlineStr">
        <is>
          <t>新倉</t>
        </is>
      </c>
      <c r="E166" s="257" t="inlineStr">
        <is>
          <t>賣</t>
        </is>
      </c>
      <c r="F166" s="229" t="inlineStr">
        <is>
          <t>-</t>
        </is>
      </c>
      <c r="G166" s="697" t="n">
        <v>2</v>
      </c>
      <c r="H166" s="697" t="n">
        <v>10546</v>
      </c>
      <c r="I166" s="697" t="n">
        <v>0</v>
      </c>
      <c r="J166" s="585" t="n">
        <v>46</v>
      </c>
      <c r="K166" s="585" t="n">
        <v>22</v>
      </c>
      <c r="L166" s="585">
        <f>IF(B166="TXO",I166-SUM(J166:K166),IF(B166="FITX",IF(D166="新倉",-SUM(J166:K166),IF(E166="賣",(H166-H165)*G166*200-SUM(J166:K166),(H165-H166)*G166*200-SUM(J166:K166))),IF(D166="新倉",-SUM(J166:K166),IF(E166="賣",(H166-H165)*G166*50-SUM(J166:K166),(H165-H166)*G166*50-SUM(J166:K166)))))</f>
        <v/>
      </c>
      <c r="M166" s="699">
        <f>L166</f>
        <v/>
      </c>
      <c r="N166" s="686">
        <f>IF(B166="TXO","",IF(D166="新倉","",IF(E166="賣",(H166-H165)*G166,(H165-H166)*G166)))</f>
        <v/>
      </c>
      <c r="O166" s="226" t="n">
        <v>0</v>
      </c>
      <c r="P166" s="667">
        <f>SUM(L166:L175)</f>
        <v/>
      </c>
      <c r="Q166" s="249" t="inlineStr">
        <is>
          <t>3/3 買進2口</t>
        </is>
      </c>
      <c r="R166" s="249" t="inlineStr">
        <is>
          <t>Yes</t>
        </is>
      </c>
      <c r="S166" s="249" t="n"/>
      <c r="T166" s="61">
        <f>IF(AND(R166="Yes",S166&lt;&gt;"Yes",L166&gt;0,B166&lt;&gt;"TXO"),L166,"")</f>
        <v/>
      </c>
      <c r="U166" s="61">
        <f>IF(AND(R166="Yes",S166&lt;&gt;"Yes",L166&lt;0,B166&lt;&gt;"TXO"),L166,"")</f>
        <v/>
      </c>
      <c r="V166" s="61">
        <f>IF(AND(R166="",S166&lt;&gt;"Yes",L166&gt;0,B166&lt;&gt;"TXO"),L166,"")</f>
        <v/>
      </c>
      <c r="W166" s="61">
        <f>IF(AND(R166="",S166&lt;&gt;"Yes",L166&lt;0,B166&lt;&gt;"TXO"),L166,"")</f>
        <v/>
      </c>
      <c r="X166" s="226">
        <f>IF(AND(R166="Yes",S166="Yes",L166&gt;0,B166&lt;&gt;"TXO"),L166,"")</f>
        <v/>
      </c>
      <c r="Y166" s="226">
        <f>IF(AND(R166="Yes",S166="Yes",L166&lt;0,B166&lt;&gt;"TXO"),L166,"")</f>
        <v/>
      </c>
      <c r="Z166" s="226">
        <f>IF(AND(R166="",S166="Yes",L166&gt;0,B166&lt;&gt;"TXO"),L166,"")</f>
        <v/>
      </c>
      <c r="AA166" s="226">
        <f>IF(AND(R166="",S166="Yes",L166&lt;0,B166&lt;&gt;"TXO"),L166,"")</f>
        <v/>
      </c>
    </row>
    <row r="167" outlineLevel="2">
      <c r="A167" s="696" t="n">
        <v>43545</v>
      </c>
      <c r="B167" s="234" t="inlineStr">
        <is>
          <t>FIMTX</t>
        </is>
      </c>
      <c r="C167" s="229" t="inlineStr">
        <is>
          <t>小指04</t>
        </is>
      </c>
      <c r="D167" s="229" t="inlineStr">
        <is>
          <t>平倉</t>
        </is>
      </c>
      <c r="E167" s="257" t="inlineStr">
        <is>
          <t>買</t>
        </is>
      </c>
      <c r="F167" s="229" t="inlineStr">
        <is>
          <t>-</t>
        </is>
      </c>
      <c r="G167" s="697" t="n">
        <v>2</v>
      </c>
      <c r="H167" s="697" t="n">
        <v>10562</v>
      </c>
      <c r="I167" s="697" t="n">
        <v>0</v>
      </c>
      <c r="J167" s="585" t="n">
        <v>46</v>
      </c>
      <c r="K167" s="585" t="n">
        <v>22</v>
      </c>
      <c r="L167" s="585">
        <f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/>
      </c>
      <c r="M167" s="699">
        <f>L167</f>
        <v/>
      </c>
      <c r="N167" s="686">
        <f>IF(B167="TXO","",IF(D167="新倉","",IF(E167="賣",(H167-H166)*G167,(H166-H167)*G167)))</f>
        <v/>
      </c>
      <c r="O167" s="226" t="n">
        <v>0</v>
      </c>
      <c r="P167" s="667" t="n"/>
      <c r="Q167" s="249" t="inlineStr">
        <is>
          <t>技法: 碰10MA出場(停損)</t>
        </is>
      </c>
      <c r="R167" s="249" t="inlineStr">
        <is>
          <t>Yes</t>
        </is>
      </c>
      <c r="S167" s="249" t="n"/>
      <c r="T167" s="61">
        <f>IF(AND(R167="Yes",S167&lt;&gt;"Yes",L167&gt;0,B167&lt;&gt;"TXO"),L167,"")</f>
        <v/>
      </c>
      <c r="U167" s="61">
        <f>IF(AND(R167="Yes",S167&lt;&gt;"Yes",L167&lt;0,B167&lt;&gt;"TXO"),L167,"")</f>
        <v/>
      </c>
      <c r="V167" s="61">
        <f>IF(AND(R167="",S167&lt;&gt;"Yes",L167&gt;0,B167&lt;&gt;"TXO"),L167,"")</f>
        <v/>
      </c>
      <c r="W167" s="61">
        <f>IF(AND(R167="",S167&lt;&gt;"Yes",L167&lt;0,B167&lt;&gt;"TXO"),L167,"")</f>
        <v/>
      </c>
      <c r="X167" s="226">
        <f>IF(AND(R167="Yes",S167="Yes",L167&gt;0,B167&lt;&gt;"TXO"),L167,"")</f>
        <v/>
      </c>
      <c r="Y167" s="226">
        <f>IF(AND(R167="Yes",S167="Yes",L167&lt;0,B167&lt;&gt;"TXO"),L167,"")</f>
        <v/>
      </c>
      <c r="Z167" s="226">
        <f>IF(AND(R167="",S167="Yes",L167&gt;0,B167&lt;&gt;"TXO"),L167,"")</f>
        <v/>
      </c>
      <c r="AA167" s="226">
        <f>IF(AND(R167="",S167="Yes",L167&lt;0,B167&lt;&gt;"TXO"),L167,"")</f>
        <v/>
      </c>
    </row>
    <row r="168" outlineLevel="2">
      <c r="A168" s="696" t="n">
        <v>43545</v>
      </c>
      <c r="B168" s="234" t="inlineStr">
        <is>
          <t>FIMTX</t>
        </is>
      </c>
      <c r="C168" s="229" t="inlineStr">
        <is>
          <t>小指04</t>
        </is>
      </c>
      <c r="D168" s="229" t="inlineStr">
        <is>
          <t>新倉</t>
        </is>
      </c>
      <c r="E168" s="257" t="inlineStr">
        <is>
          <t>賣</t>
        </is>
      </c>
      <c r="F168" s="229" t="inlineStr">
        <is>
          <t>-</t>
        </is>
      </c>
      <c r="G168" s="697" t="n">
        <v>1</v>
      </c>
      <c r="H168" s="697" t="n">
        <v>10558</v>
      </c>
      <c r="I168" s="697" t="n">
        <v>0</v>
      </c>
      <c r="J168" s="585" t="n">
        <v>23</v>
      </c>
      <c r="K168" s="585" t="n">
        <v>11</v>
      </c>
      <c r="L168" s="585">
        <f>IF(B168="TXO",I168-SUM(J168:K168),IF(B168="FITX",IF(D168="新倉",-SUM(J168:K168),IF(E168="賣",(H168-H167)*G168*200-SUM(J168:K168),(H167-H168)*G168*200-SUM(J168:K168))),IF(D168="新倉",-SUM(J168:K168),IF(E168="賣",(H168-H167)*G168*50-SUM(J168:K168),(H167-H168)*G168*50-SUM(J168:K168)))))</f>
        <v/>
      </c>
      <c r="M168" s="699">
        <f>L168</f>
        <v/>
      </c>
      <c r="N168" s="686">
        <f>IF(B168="TXO","",IF(D168="新倉","",IF(E168="賣",(H168-H167)*G168,(H167-H168)*G168)))</f>
        <v/>
      </c>
      <c r="O168" s="226" t="n">
        <v>0</v>
      </c>
      <c r="P168" s="667" t="n"/>
      <c r="S168" s="249" t="n"/>
      <c r="T168" s="61">
        <f>IF(AND(R168="Yes",S168&lt;&gt;"Yes",L168&gt;0,B168&lt;&gt;"TXO"),L168,"")</f>
        <v/>
      </c>
      <c r="U168" s="61">
        <f>IF(AND(R168="Yes",S168&lt;&gt;"Yes",L168&lt;0,B168&lt;&gt;"TXO"),L168,"")</f>
        <v/>
      </c>
      <c r="V168" s="61">
        <f>IF(AND(R168="",S168&lt;&gt;"Yes",L168&gt;0,B168&lt;&gt;"TXO"),L168,"")</f>
        <v/>
      </c>
      <c r="W168" s="61">
        <f>IF(AND(R168="",S168&lt;&gt;"Yes",L168&lt;0,B168&lt;&gt;"TXO"),L168,"")</f>
        <v/>
      </c>
      <c r="X168" s="226">
        <f>IF(AND(R168="Yes",S168="Yes",L168&gt;0,B168&lt;&gt;"TXO"),L168,"")</f>
        <v/>
      </c>
      <c r="Y168" s="226">
        <f>IF(AND(R168="Yes",S168="Yes",L168&lt;0,B168&lt;&gt;"TXO"),L168,"")</f>
        <v/>
      </c>
      <c r="Z168" s="226">
        <f>IF(AND(R168="",S168="Yes",L168&gt;0,B168&lt;&gt;"TXO"),L168,"")</f>
        <v/>
      </c>
      <c r="AA168" s="226">
        <f>IF(AND(R168="",S168="Yes",L168&lt;0,B168&lt;&gt;"TXO"),L168,"")</f>
        <v/>
      </c>
    </row>
    <row r="169" outlineLevel="2">
      <c r="A169" s="696" t="n">
        <v>43545</v>
      </c>
      <c r="B169" s="234" t="inlineStr">
        <is>
          <t>FIMTX</t>
        </is>
      </c>
      <c r="C169" s="229" t="inlineStr">
        <is>
          <t>小指04</t>
        </is>
      </c>
      <c r="D169" s="229" t="inlineStr">
        <is>
          <t>平倉</t>
        </is>
      </c>
      <c r="E169" s="257" t="inlineStr">
        <is>
          <t>買</t>
        </is>
      </c>
      <c r="F169" s="229" t="inlineStr">
        <is>
          <t>-</t>
        </is>
      </c>
      <c r="G169" s="697" t="n">
        <v>1</v>
      </c>
      <c r="H169" s="697" t="n">
        <v>10559</v>
      </c>
      <c r="I169" s="697" t="n">
        <v>0</v>
      </c>
      <c r="J169" s="585" t="n">
        <v>23</v>
      </c>
      <c r="K169" s="585" t="n">
        <v>11</v>
      </c>
      <c r="L169" s="585">
        <f>IF(B169="TXO",I169-SUM(J169:K169),IF(B169="FITX",IF(D169="新倉",-SUM(J169:K169),IF(E169="賣",(H169-H168)*G169*200-SUM(J169:K169),(H168-H169)*G169*200-SUM(J169:K169))),IF(D169="新倉",-SUM(J169:K169),IF(E169="賣",(H169-H168)*G169*50-SUM(J169:K169),(H168-H169)*G169*50-SUM(J169:K169)))))</f>
        <v/>
      </c>
      <c r="M169" s="699">
        <f>L169</f>
        <v/>
      </c>
      <c r="N169" s="686">
        <f>IF(B169="TXO","",IF(D169="新倉","",IF(E169="賣",(H169-H168)*G169,(H168-H169)*G169)))</f>
        <v/>
      </c>
      <c r="O169" s="226" t="n">
        <v>0</v>
      </c>
      <c r="P169" s="667" t="n"/>
      <c r="Q169" s="249" t="inlineStr">
        <is>
          <t>3/3 買進2口(點錯方向)</t>
        </is>
      </c>
      <c r="S169" s="249" t="n"/>
      <c r="T169" s="61">
        <f>IF(AND(R169="Yes",S169&lt;&gt;"Yes",L169&gt;0,B169&lt;&gt;"TXO"),L169,"")</f>
        <v/>
      </c>
      <c r="U169" s="61">
        <f>IF(AND(R169="Yes",S169&lt;&gt;"Yes",L169&lt;0,B169&lt;&gt;"TXO"),L169,"")</f>
        <v/>
      </c>
      <c r="V169" s="61">
        <f>IF(AND(R169="",S169&lt;&gt;"Yes",L169&gt;0,B169&lt;&gt;"TXO"),L169,"")</f>
        <v/>
      </c>
      <c r="W169" s="61">
        <f>IF(AND(R169="",S169&lt;&gt;"Yes",L169&lt;0,B169&lt;&gt;"TXO"),L169,"")</f>
        <v/>
      </c>
      <c r="X169" s="226">
        <f>IF(AND(R169="Yes",S169="Yes",L169&gt;0,B169&lt;&gt;"TXO"),L169,"")</f>
        <v/>
      </c>
      <c r="Y169" s="226">
        <f>IF(AND(R169="Yes",S169="Yes",L169&lt;0,B169&lt;&gt;"TXO"),L169,"")</f>
        <v/>
      </c>
      <c r="Z169" s="226">
        <f>IF(AND(R169="",S169="Yes",L169&gt;0,B169&lt;&gt;"TXO"),L169,"")</f>
        <v/>
      </c>
      <c r="AA169" s="226">
        <f>IF(AND(R169="",S169="Yes",L169&lt;0,B169&lt;&gt;"TXO"),L169,"")</f>
        <v/>
      </c>
    </row>
    <row r="170" outlineLevel="2">
      <c r="A170" s="696" t="n">
        <v>43545</v>
      </c>
      <c r="B170" s="234" t="inlineStr">
        <is>
          <t>FIMTX</t>
        </is>
      </c>
      <c r="C170" s="229" t="inlineStr">
        <is>
          <t>小指04</t>
        </is>
      </c>
      <c r="D170" s="229" t="inlineStr">
        <is>
          <t>新倉</t>
        </is>
      </c>
      <c r="E170" s="257" t="inlineStr">
        <is>
          <t>賣</t>
        </is>
      </c>
      <c r="F170" s="229" t="inlineStr">
        <is>
          <t>-</t>
        </is>
      </c>
      <c r="G170" s="697" t="n">
        <v>1</v>
      </c>
      <c r="H170" s="697" t="n">
        <v>10558</v>
      </c>
      <c r="I170" s="697" t="n">
        <v>0</v>
      </c>
      <c r="J170" s="585" t="n">
        <v>23</v>
      </c>
      <c r="K170" s="585" t="n">
        <v>11</v>
      </c>
      <c r="L170" s="585">
        <f>IF(B170="TXO",I170-SUM(J170:K170),IF(B170="FITX",IF(D170="新倉",-SUM(J170:K170),IF(E170="賣",(H170-H169)*G170*200-SUM(J170:K170),(H169-H170)*G170*200-SUM(J170:K170))),IF(D170="新倉",-SUM(J170:K170),IF(E170="賣",(H170-H169)*G170*50-SUM(J170:K170),(H169-H170)*G170*50-SUM(J170:K170)))))</f>
        <v/>
      </c>
      <c r="M170" s="699">
        <f>L170</f>
        <v/>
      </c>
      <c r="N170" s="686">
        <f>IF(B170="TXO","",IF(D170="新倉","",IF(E170="賣",(H170-H169)*G170,(H169-H170)*G170)))</f>
        <v/>
      </c>
      <c r="O170" s="226" t="n">
        <v>0</v>
      </c>
      <c r="P170" s="667" t="n"/>
      <c r="S170" s="249" t="n"/>
      <c r="T170" s="61">
        <f>IF(AND(R170="Yes",S170&lt;&gt;"Yes",L170&gt;0,B170&lt;&gt;"TXO"),L170,"")</f>
        <v/>
      </c>
      <c r="U170" s="61">
        <f>IF(AND(R170="Yes",S170&lt;&gt;"Yes",L170&lt;0,B170&lt;&gt;"TXO"),L170,"")</f>
        <v/>
      </c>
      <c r="V170" s="61">
        <f>IF(AND(R170="",S170&lt;&gt;"Yes",L170&gt;0,B170&lt;&gt;"TXO"),L170,"")</f>
        <v/>
      </c>
      <c r="W170" s="61">
        <f>IF(AND(R170="",S170&lt;&gt;"Yes",L170&lt;0,B170&lt;&gt;"TXO"),L170,"")</f>
        <v/>
      </c>
      <c r="X170" s="226">
        <f>IF(AND(R170="Yes",S170="Yes",L170&gt;0,B170&lt;&gt;"TXO"),L170,"")</f>
        <v/>
      </c>
      <c r="Y170" s="226">
        <f>IF(AND(R170="Yes",S170="Yes",L170&lt;0,B170&lt;&gt;"TXO"),L170,"")</f>
        <v/>
      </c>
      <c r="Z170" s="226">
        <f>IF(AND(R170="",S170="Yes",L170&gt;0,B170&lt;&gt;"TXO"),L170,"")</f>
        <v/>
      </c>
      <c r="AA170" s="226">
        <f>IF(AND(R170="",S170="Yes",L170&lt;0,B170&lt;&gt;"TXO"),L170,"")</f>
        <v/>
      </c>
    </row>
    <row r="171" outlineLevel="2">
      <c r="A171" s="696" t="n">
        <v>43545</v>
      </c>
      <c r="B171" s="234" t="inlineStr">
        <is>
          <t>FIMTX</t>
        </is>
      </c>
      <c r="C171" s="229" t="inlineStr">
        <is>
          <t>小指04</t>
        </is>
      </c>
      <c r="D171" s="229" t="inlineStr">
        <is>
          <t>平倉</t>
        </is>
      </c>
      <c r="E171" s="257" t="inlineStr">
        <is>
          <t>買</t>
        </is>
      </c>
      <c r="F171" s="229" t="inlineStr">
        <is>
          <t>-</t>
        </is>
      </c>
      <c r="G171" s="697" t="n">
        <v>1</v>
      </c>
      <c r="H171" s="697" t="n">
        <v>10558</v>
      </c>
      <c r="I171" s="697" t="n">
        <v>0</v>
      </c>
      <c r="J171" s="585" t="n">
        <v>23</v>
      </c>
      <c r="K171" s="585" t="n">
        <v>11</v>
      </c>
      <c r="L171" s="585">
        <f>IF(B171="TXO",I171-SUM(J171:K171),IF(B171="FITX",IF(D171="新倉",-SUM(J171:K171),IF(E171="賣",(H171-H170)*G171*200-SUM(J171:K171),(H170-H171)*G171*200-SUM(J171:K171))),IF(D171="新倉",-SUM(J171:K171),IF(E171="賣",(H171-H170)*G171*50-SUM(J171:K171),(H170-H171)*G171*50-SUM(J171:K171)))))</f>
        <v/>
      </c>
      <c r="M171" s="699">
        <f>L171</f>
        <v/>
      </c>
      <c r="N171" s="686">
        <f>IF(B171="TXO","",IF(D171="新倉","",IF(E171="賣",(H171-H170)*G171,(H170-H171)*G171)))</f>
        <v/>
      </c>
      <c r="O171" s="226" t="n">
        <v>0</v>
      </c>
      <c r="P171" s="667" t="n"/>
      <c r="Q171" s="249" t="inlineStr">
        <is>
          <t>3/3 買進2口(點錯方向)</t>
        </is>
      </c>
      <c r="S171" s="249" t="n"/>
      <c r="T171" s="61">
        <f>IF(AND(R171="Yes",S171&lt;&gt;"Yes",L171&gt;0,B171&lt;&gt;"TXO"),L171,"")</f>
        <v/>
      </c>
      <c r="U171" s="61">
        <f>IF(AND(R171="Yes",S171&lt;&gt;"Yes",L171&lt;0,B171&lt;&gt;"TXO"),L171,"")</f>
        <v/>
      </c>
      <c r="V171" s="61">
        <f>IF(AND(R171="",S171&lt;&gt;"Yes",L171&gt;0,B171&lt;&gt;"TXO"),L171,"")</f>
        <v/>
      </c>
      <c r="W171" s="61">
        <f>IF(AND(R171="",S171&lt;&gt;"Yes",L171&lt;0,B171&lt;&gt;"TXO"),L171,"")</f>
        <v/>
      </c>
      <c r="X171" s="226">
        <f>IF(AND(R171="Yes",S171="Yes",L171&gt;0,B171&lt;&gt;"TXO"),L171,"")</f>
        <v/>
      </c>
      <c r="Y171" s="226">
        <f>IF(AND(R171="Yes",S171="Yes",L171&lt;0,B171&lt;&gt;"TXO"),L171,"")</f>
        <v/>
      </c>
      <c r="Z171" s="226">
        <f>IF(AND(R171="",S171="Yes",L171&gt;0,B171&lt;&gt;"TXO"),L171,"")</f>
        <v/>
      </c>
      <c r="AA171" s="226">
        <f>IF(AND(R171="",S171="Yes",L171&lt;0,B171&lt;&gt;"TXO"),L171,"")</f>
        <v/>
      </c>
    </row>
    <row r="172" outlineLevel="2">
      <c r="A172" s="696" t="n">
        <v>43545</v>
      </c>
      <c r="B172" s="234" t="inlineStr">
        <is>
          <t>FIMTX</t>
        </is>
      </c>
      <c r="C172" s="229" t="inlineStr">
        <is>
          <t>小指04</t>
        </is>
      </c>
      <c r="D172" s="229" t="inlineStr">
        <is>
          <t>新倉</t>
        </is>
      </c>
      <c r="E172" s="257" t="inlineStr">
        <is>
          <t>買</t>
        </is>
      </c>
      <c r="F172" s="229" t="inlineStr">
        <is>
          <t>-</t>
        </is>
      </c>
      <c r="G172" s="697" t="n">
        <v>1</v>
      </c>
      <c r="H172" s="697" t="n">
        <v>10558</v>
      </c>
      <c r="I172" s="697" t="n">
        <v>0</v>
      </c>
      <c r="J172" s="585" t="n">
        <v>23</v>
      </c>
      <c r="K172" s="585" t="n">
        <v>11</v>
      </c>
      <c r="L172" s="585">
        <f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/>
      </c>
      <c r="M172" s="699">
        <f>L172</f>
        <v/>
      </c>
      <c r="N172" s="686">
        <f>IF(B172="TXO","",IF(D172="新倉","",IF(E172="賣",(H172-H171)*G172,(H171-H172)*G172)))</f>
        <v/>
      </c>
      <c r="O172" s="226" t="n">
        <v>0</v>
      </c>
      <c r="P172" s="667" t="n"/>
      <c r="Q172" s="249" t="inlineStr">
        <is>
          <t>3/3 買進1口</t>
        </is>
      </c>
      <c r="R172" s="249" t="inlineStr">
        <is>
          <t>Yes</t>
        </is>
      </c>
      <c r="S172" s="249" t="n"/>
      <c r="T172" s="61">
        <f>IF(AND(R172="Yes",S172&lt;&gt;"Yes",L172&gt;0,B172&lt;&gt;"TXO"),L172,"")</f>
        <v/>
      </c>
      <c r="U172" s="61">
        <f>IF(AND(R172="Yes",S172&lt;&gt;"Yes",L172&lt;0,B172&lt;&gt;"TXO"),L172,"")</f>
        <v/>
      </c>
      <c r="V172" s="61">
        <f>IF(AND(R172="",S172&lt;&gt;"Yes",L172&gt;0,B172&lt;&gt;"TXO"),L172,"")</f>
        <v/>
      </c>
      <c r="W172" s="61">
        <f>IF(AND(R172="",S172&lt;&gt;"Yes",L172&lt;0,B172&lt;&gt;"TXO"),L172,"")</f>
        <v/>
      </c>
      <c r="X172" s="226">
        <f>IF(AND(R172="Yes",S172="Yes",L172&gt;0,B172&lt;&gt;"TXO"),L172,"")</f>
        <v/>
      </c>
      <c r="Y172" s="226">
        <f>IF(AND(R172="Yes",S172="Yes",L172&lt;0,B172&lt;&gt;"TXO"),L172,"")</f>
        <v/>
      </c>
      <c r="Z172" s="226">
        <f>IF(AND(R172="",S172="Yes",L172&gt;0,B172&lt;&gt;"TXO"),L172,"")</f>
        <v/>
      </c>
      <c r="AA172" s="226">
        <f>IF(AND(R172="",S172="Yes",L172&lt;0,B172&lt;&gt;"TXO"),L172,"")</f>
        <v/>
      </c>
    </row>
    <row r="173" outlineLevel="2">
      <c r="A173" s="696" t="n">
        <v>43545</v>
      </c>
      <c r="B173" s="234" t="inlineStr">
        <is>
          <t>FIMTX</t>
        </is>
      </c>
      <c r="C173" s="229" t="inlineStr">
        <is>
          <t>小指04</t>
        </is>
      </c>
      <c r="D173" s="229" t="inlineStr">
        <is>
          <t>平倉</t>
        </is>
      </c>
      <c r="E173" s="257" t="inlineStr">
        <is>
          <t>賣</t>
        </is>
      </c>
      <c r="F173" s="229" t="inlineStr">
        <is>
          <t>-</t>
        </is>
      </c>
      <c r="G173" s="697" t="n">
        <v>1</v>
      </c>
      <c r="H173" s="697" t="n">
        <v>10566</v>
      </c>
      <c r="I173" s="697" t="n">
        <v>0</v>
      </c>
      <c r="J173" s="585" t="n">
        <v>23</v>
      </c>
      <c r="K173" s="585" t="n">
        <v>11</v>
      </c>
      <c r="L173" s="585">
        <f>IF(B173="TXO",I173-SUM(J173:K173),IF(B173="FITX",IF(D173="新倉",-SUM(J173:K173),IF(E173="賣",(H173-H172)*G173*200-SUM(J173:K173),(H172-H173)*G173*200-SUM(J173:K173))),IF(D173="新倉",-SUM(J173:K173),IF(E173="賣",(H173-H172)*G173*50-SUM(J173:K173),(H172-H173)*G173*50-SUM(J173:K173)))))</f>
        <v/>
      </c>
      <c r="M173" s="699">
        <f>L173</f>
        <v/>
      </c>
      <c r="N173" s="686">
        <f>IF(B173="TXO","",IF(D173="新倉","",IF(E173="賣",(H173-H172)*G173,(H172-H173)*G173)))</f>
        <v/>
      </c>
      <c r="O173" s="226" t="n">
        <v>0</v>
      </c>
      <c r="P173" s="667" t="n"/>
      <c r="Q173" s="249" t="inlineStr">
        <is>
          <t>技法: 刺補</t>
        </is>
      </c>
      <c r="R173" s="249" t="inlineStr">
        <is>
          <t>Yes</t>
        </is>
      </c>
      <c r="S173" s="249" t="n"/>
      <c r="T173" s="61">
        <f>IF(AND(R173="Yes",S173&lt;&gt;"Yes",L173&gt;0,B173&lt;&gt;"TXO"),L173,"")</f>
        <v/>
      </c>
      <c r="U173" s="61">
        <f>IF(AND(R173="Yes",S173&lt;&gt;"Yes",L173&lt;0,B173&lt;&gt;"TXO"),L173,"")</f>
        <v/>
      </c>
      <c r="V173" s="61">
        <f>IF(AND(R173="",S173&lt;&gt;"Yes",L173&gt;0,B173&lt;&gt;"TXO"),L173,"")</f>
        <v/>
      </c>
      <c r="W173" s="61">
        <f>IF(AND(R173="",S173&lt;&gt;"Yes",L173&lt;0,B173&lt;&gt;"TXO"),L173,"")</f>
        <v/>
      </c>
      <c r="X173" s="226">
        <f>IF(AND(R173="Yes",S173="Yes",L173&gt;0,B173&lt;&gt;"TXO"),L173,"")</f>
        <v/>
      </c>
      <c r="Y173" s="226">
        <f>IF(AND(R173="Yes",S173="Yes",L173&lt;0,B173&lt;&gt;"TXO"),L173,"")</f>
        <v/>
      </c>
      <c r="Z173" s="226">
        <f>IF(AND(R173="",S173="Yes",L173&gt;0,B173&lt;&gt;"TXO"),L173,"")</f>
        <v/>
      </c>
      <c r="AA173" s="226">
        <f>IF(AND(R173="",S173="Yes",L173&lt;0,B173&lt;&gt;"TXO"),L173,"")</f>
        <v/>
      </c>
    </row>
    <row r="174" outlineLevel="2">
      <c r="A174" s="696" t="n">
        <v>43545</v>
      </c>
      <c r="B174" s="234" t="inlineStr">
        <is>
          <t>FIMTX</t>
        </is>
      </c>
      <c r="C174" s="229" t="inlineStr">
        <is>
          <t>小指04</t>
        </is>
      </c>
      <c r="D174" s="229" t="inlineStr">
        <is>
          <t>新倉</t>
        </is>
      </c>
      <c r="E174" s="257" t="inlineStr">
        <is>
          <t>買</t>
        </is>
      </c>
      <c r="F174" s="229" t="inlineStr">
        <is>
          <t>-</t>
        </is>
      </c>
      <c r="G174" s="697" t="n">
        <v>1</v>
      </c>
      <c r="H174" s="697" t="n">
        <v>10609</v>
      </c>
      <c r="I174" s="697" t="n">
        <v>0</v>
      </c>
      <c r="J174" s="585" t="n">
        <v>23</v>
      </c>
      <c r="K174" s="585" t="n">
        <v>11</v>
      </c>
      <c r="L174" s="585">
        <f>IF(B174="TXO",I174-SUM(J174:K174),IF(B174="FITX",IF(D174="新倉",-SUM(J174:K174),IF(E174="賣",(H174-H173)*G174*200-SUM(J174:K174),(H173-H174)*G174*200-SUM(J174:K174))),IF(D174="新倉",-SUM(J174:K174),IF(E174="賣",(H174-H173)*G174*50-SUM(J174:K174),(H173-H174)*G174*50-SUM(J174:K174)))))</f>
        <v/>
      </c>
      <c r="M174" s="699">
        <f>L174</f>
        <v/>
      </c>
      <c r="N174" s="686">
        <f>IF(B174="TXO","",IF(D174="新倉","",IF(E174="賣",(H174-H173)*G174,(H173-H174)*G174)))</f>
        <v/>
      </c>
      <c r="O174" s="226" t="n">
        <v>0</v>
      </c>
      <c r="P174" s="667" t="n"/>
      <c r="Q174" s="249" t="inlineStr">
        <is>
          <t>3/3 買進1口</t>
        </is>
      </c>
      <c r="R174" s="249" t="inlineStr">
        <is>
          <t>Yes</t>
        </is>
      </c>
      <c r="S174" s="249" t="n"/>
      <c r="T174" s="61">
        <f>IF(AND(R174="Yes",S174&lt;&gt;"Yes",L174&gt;0,B174&lt;&gt;"TXO"),L174,"")</f>
        <v/>
      </c>
      <c r="U174" s="61">
        <f>IF(AND(R174="Yes",S174&lt;&gt;"Yes",L174&lt;0,B174&lt;&gt;"TXO"),L174,"")</f>
        <v/>
      </c>
      <c r="V174" s="61">
        <f>IF(AND(R174="",S174&lt;&gt;"Yes",L174&gt;0,B174&lt;&gt;"TXO"),L174,"")</f>
        <v/>
      </c>
      <c r="W174" s="61">
        <f>IF(AND(R174="",S174&lt;&gt;"Yes",L174&lt;0,B174&lt;&gt;"TXO"),L174,"")</f>
        <v/>
      </c>
      <c r="X174" s="226">
        <f>IF(AND(R174="Yes",S174="Yes",L174&gt;0,B174&lt;&gt;"TXO"),L174,"")</f>
        <v/>
      </c>
      <c r="Y174" s="226">
        <f>IF(AND(R174="Yes",S174="Yes",L174&lt;0,B174&lt;&gt;"TXO"),L174,"")</f>
        <v/>
      </c>
      <c r="Z174" s="226">
        <f>IF(AND(R174="",S174="Yes",L174&gt;0,B174&lt;&gt;"TXO"),L174,"")</f>
        <v/>
      </c>
      <c r="AA174" s="226">
        <f>IF(AND(R174="",S174="Yes",L174&lt;0,B174&lt;&gt;"TXO"),L174,"")</f>
        <v/>
      </c>
    </row>
    <row r="175" outlineLevel="2">
      <c r="A175" s="696" t="n">
        <v>43545</v>
      </c>
      <c r="B175" s="234" t="inlineStr">
        <is>
          <t>FIMTX</t>
        </is>
      </c>
      <c r="C175" s="229" t="inlineStr">
        <is>
          <t>小指04</t>
        </is>
      </c>
      <c r="D175" s="229" t="inlineStr">
        <is>
          <t>平倉</t>
        </is>
      </c>
      <c r="E175" s="257" t="inlineStr">
        <is>
          <t>賣</t>
        </is>
      </c>
      <c r="F175" s="229" t="inlineStr">
        <is>
          <t>-</t>
        </is>
      </c>
      <c r="G175" s="697" t="n">
        <v>1</v>
      </c>
      <c r="H175" s="697" t="n">
        <v>10622</v>
      </c>
      <c r="I175" s="697" t="n">
        <v>0</v>
      </c>
      <c r="J175" s="585" t="n">
        <v>23</v>
      </c>
      <c r="K175" s="585" t="n">
        <v>11</v>
      </c>
      <c r="L175" s="585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/>
      </c>
      <c r="M175" s="699">
        <f>L175</f>
        <v/>
      </c>
      <c r="N175" s="686">
        <f>IF(B175="TXO","",IF(D175="新倉","",IF(E175="賣",(H175-H174)*G175,(H174-H175)*G175)))</f>
        <v/>
      </c>
      <c r="O175" s="226" t="n">
        <v>0</v>
      </c>
      <c r="P175" s="667" t="n"/>
      <c r="Q175" s="249" t="inlineStr">
        <is>
          <t>技法: 刺補</t>
        </is>
      </c>
      <c r="R175" s="249" t="inlineStr">
        <is>
          <t>Yes</t>
        </is>
      </c>
      <c r="S175" s="249" t="n"/>
      <c r="T175" s="61">
        <f>IF(AND(R175="Yes",S175&lt;&gt;"Yes",L175&gt;0,B175&lt;&gt;"TXO"),L175,"")</f>
        <v/>
      </c>
      <c r="U175" s="61">
        <f>IF(AND(R175="Yes",S175&lt;&gt;"Yes",L175&lt;0,B175&lt;&gt;"TXO"),L175,"")</f>
        <v/>
      </c>
      <c r="V175" s="61">
        <f>IF(AND(R175="",S175&lt;&gt;"Yes",L175&gt;0,B175&lt;&gt;"TXO"),L175,"")</f>
        <v/>
      </c>
      <c r="W175" s="61">
        <f>IF(AND(R175="",S175&lt;&gt;"Yes",L175&lt;0,B175&lt;&gt;"TXO"),L175,"")</f>
        <v/>
      </c>
      <c r="X175" s="226">
        <f>IF(AND(R175="Yes",S175="Yes",L175&gt;0,B175&lt;&gt;"TXO"),L175,"")</f>
        <v/>
      </c>
      <c r="Y175" s="226">
        <f>IF(AND(R175="Yes",S175="Yes",L175&lt;0,B175&lt;&gt;"TXO"),L175,"")</f>
        <v/>
      </c>
      <c r="Z175" s="226">
        <f>IF(AND(R175="",S175="Yes",L175&gt;0,B175&lt;&gt;"TXO"),L175,"")</f>
        <v/>
      </c>
      <c r="AA175" s="226">
        <f>IF(AND(R175="",S175="Yes",L175&lt;0,B175&lt;&gt;"TXO"),L175,"")</f>
        <v/>
      </c>
    </row>
    <row r="176" outlineLevel="1">
      <c r="A176" s="740" t="n">
        <v>43546</v>
      </c>
      <c r="B176" s="299" t="inlineStr">
        <is>
          <t>FIMTX</t>
        </is>
      </c>
      <c r="C176" s="300" t="inlineStr">
        <is>
          <t>小指04</t>
        </is>
      </c>
      <c r="D176" s="300" t="inlineStr">
        <is>
          <t>新倉</t>
        </is>
      </c>
      <c r="E176" s="301" t="inlineStr">
        <is>
          <t>買</t>
        </is>
      </c>
      <c r="F176" s="300" t="inlineStr">
        <is>
          <t>-</t>
        </is>
      </c>
      <c r="G176" s="741" t="n">
        <v>1</v>
      </c>
      <c r="H176" s="741" t="n">
        <v>10652</v>
      </c>
      <c r="I176" s="741" t="n">
        <v>0</v>
      </c>
      <c r="J176" s="742" t="n">
        <v>23</v>
      </c>
      <c r="K176" s="742" t="n">
        <v>11</v>
      </c>
      <c r="L176" s="742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/>
      </c>
      <c r="M176" s="743">
        <f>L176</f>
        <v/>
      </c>
      <c r="N176" s="686">
        <f>IF(B176="TXO","",IF(D176="新倉","",IF(E176="賣",(H176-H175)*G176,(H175-H176)*G176)))</f>
        <v/>
      </c>
      <c r="O176" s="226" t="n">
        <v>0</v>
      </c>
      <c r="P176" s="667">
        <f>SUM(L176:L177)</f>
        <v/>
      </c>
      <c r="Q176" s="249" t="inlineStr">
        <is>
          <t>3/3 買進1口</t>
        </is>
      </c>
      <c r="R176" s="249" t="inlineStr">
        <is>
          <t>Yes</t>
        </is>
      </c>
      <c r="S176" s="249" t="n"/>
      <c r="T176" s="61">
        <f>IF(AND(R176="Yes",S176&lt;&gt;"Yes",L176&gt;0,B176&lt;&gt;"TXO"),L176,"")</f>
        <v/>
      </c>
      <c r="U176" s="61">
        <f>IF(AND(R176="Yes",S176&lt;&gt;"Yes",L176&lt;0,B176&lt;&gt;"TXO"),L176,"")</f>
        <v/>
      </c>
      <c r="V176" s="61">
        <f>IF(AND(R176="",S176&lt;&gt;"Yes",L176&gt;0,B176&lt;&gt;"TXO"),L176,"")</f>
        <v/>
      </c>
      <c r="W176" s="61">
        <f>IF(AND(R176="",S176&lt;&gt;"Yes",L176&lt;0,B176&lt;&gt;"TXO"),L176,"")</f>
        <v/>
      </c>
      <c r="X176" s="226">
        <f>IF(AND(R176="Yes",S176="Yes",L176&gt;0,B176&lt;&gt;"TXO"),L176,"")</f>
        <v/>
      </c>
      <c r="Y176" s="226">
        <f>IF(AND(R176="Yes",S176="Yes",L176&lt;0,B176&lt;&gt;"TXO"),L176,"")</f>
        <v/>
      </c>
      <c r="Z176" s="226">
        <f>IF(AND(R176="",S176="Yes",L176&gt;0,B176&lt;&gt;"TXO"),L176,"")</f>
        <v/>
      </c>
      <c r="AA176" s="226">
        <f>IF(AND(R176="",S176="Yes",L176&lt;0,B176&lt;&gt;"TXO"),L176,"")</f>
        <v/>
      </c>
    </row>
    <row r="177" outlineLevel="2" collapsed="1">
      <c r="A177" s="740" t="n">
        <v>43546</v>
      </c>
      <c r="B177" s="299" t="inlineStr">
        <is>
          <t>FIMTX</t>
        </is>
      </c>
      <c r="C177" s="300" t="inlineStr">
        <is>
          <t>小指04</t>
        </is>
      </c>
      <c r="D177" s="300" t="inlineStr">
        <is>
          <t>平倉</t>
        </is>
      </c>
      <c r="E177" s="301" t="inlineStr">
        <is>
          <t>賣</t>
        </is>
      </c>
      <c r="F177" s="300" t="inlineStr">
        <is>
          <t>-</t>
        </is>
      </c>
      <c r="G177" s="741" t="n">
        <v>1</v>
      </c>
      <c r="H177" s="741" t="n">
        <v>10649</v>
      </c>
      <c r="I177" s="741" t="n">
        <v>0</v>
      </c>
      <c r="J177" s="742" t="n">
        <v>23</v>
      </c>
      <c r="K177" s="742" t="n">
        <v>11</v>
      </c>
      <c r="L177" s="742">
        <f>IF(B177="TXO",I177-SUM(J177:K177),IF(B177="FITX",IF(D177="新倉",-SUM(J177:K177),IF(E177="賣",(H177-H176)*G177*200-SUM(J177:K177),(H176-H177)*G177*200-SUM(J177:K177))),IF(D177="新倉",-SUM(J177:K177),IF(E177="賣",(H177-H176)*G177*50-SUM(J177:K177),(H176-H177)*G177*50-SUM(J177:K177)))))</f>
        <v/>
      </c>
      <c r="M177" s="743">
        <f>L177</f>
        <v/>
      </c>
      <c r="N177" s="686">
        <f>IF(B177="TXO","",IF(D177="新倉","",IF(E177="賣",(H177-H176)*G177,(H176-H177)*G177)))</f>
        <v/>
      </c>
      <c r="O177" s="226" t="n">
        <v>0</v>
      </c>
      <c r="P177" s="667" t="n"/>
      <c r="Q177" s="249" t="inlineStr">
        <is>
          <t>技法: 碰10MA出場(停損)</t>
        </is>
      </c>
      <c r="R177" s="249" t="inlineStr">
        <is>
          <t>Yes</t>
        </is>
      </c>
      <c r="S177" s="249" t="n"/>
      <c r="T177" s="61">
        <f>IF(AND(R177="Yes",S177&lt;&gt;"Yes",L177&gt;0,B177&lt;&gt;"TXO"),L177,"")</f>
        <v/>
      </c>
      <c r="U177" s="61">
        <f>IF(AND(R177="Yes",S177&lt;&gt;"Yes",L177&lt;0,B177&lt;&gt;"TXO"),L177,"")</f>
        <v/>
      </c>
      <c r="V177" s="61">
        <f>IF(AND(R177="",S177&lt;&gt;"Yes",L177&gt;0,B177&lt;&gt;"TXO"),L177,"")</f>
        <v/>
      </c>
      <c r="W177" s="61">
        <f>IF(AND(R177="",S177&lt;&gt;"Yes",L177&lt;0,B177&lt;&gt;"TXO"),L177,"")</f>
        <v/>
      </c>
      <c r="X177" s="226">
        <f>IF(AND(R177="Yes",S177="Yes",L177&gt;0,B177&lt;&gt;"TXO"),L177,"")</f>
        <v/>
      </c>
      <c r="Y177" s="226">
        <f>IF(AND(R177="Yes",S177="Yes",L177&lt;0,B177&lt;&gt;"TXO"),L177,"")</f>
        <v/>
      </c>
      <c r="Z177" s="226">
        <f>IF(AND(R177="",S177="Yes",L177&gt;0,B177&lt;&gt;"TXO"),L177,"")</f>
        <v/>
      </c>
      <c r="AA177" s="226">
        <f>IF(AND(R177="",S177="Yes",L177&lt;0,B177&lt;&gt;"TXO"),L177,"")</f>
        <v/>
      </c>
    </row>
    <row r="178" outlineLevel="1">
      <c r="A178" s="696" t="n">
        <v>43551</v>
      </c>
      <c r="B178" s="234" t="inlineStr">
        <is>
          <t>FIMTX</t>
        </is>
      </c>
      <c r="C178" s="229" t="inlineStr">
        <is>
          <t>小指04</t>
        </is>
      </c>
      <c r="D178" s="229" t="inlineStr">
        <is>
          <t>新倉</t>
        </is>
      </c>
      <c r="E178" s="257" t="inlineStr">
        <is>
          <t>買</t>
        </is>
      </c>
      <c r="F178" s="229" t="inlineStr">
        <is>
          <t>-</t>
        </is>
      </c>
      <c r="G178" s="697" t="n">
        <v>1</v>
      </c>
      <c r="H178" s="697" t="n">
        <v>10503</v>
      </c>
      <c r="I178" s="697" t="n">
        <v>0</v>
      </c>
      <c r="J178" s="585" t="n">
        <v>23</v>
      </c>
      <c r="K178" s="585" t="n">
        <v>11</v>
      </c>
      <c r="L178" s="585">
        <f>IF(B178="TXO",I178-SUM(J178:K178),IF(B178="FITX",IF(D178="新倉",-SUM(J178:K178),IF(E178="賣",(H178-H177)*G178*200-SUM(J178:K178),(H177-H178)*G178*200-SUM(J178:K178))),IF(D178="新倉",-SUM(J178:K178),IF(E178="賣",(H178-H177)*G178*50-SUM(J178:K178),(H177-H178)*G178*50-SUM(J178:K178)))))</f>
        <v/>
      </c>
      <c r="M178" s="699">
        <f>L178</f>
        <v/>
      </c>
      <c r="N178" s="686">
        <f>IF(B178="TXO","",IF(D178="新倉","",IF(E178="賣",(H178-H177)*G178,(H177-H178)*G178)))</f>
        <v/>
      </c>
      <c r="O178" s="226" t="n">
        <v>0</v>
      </c>
      <c r="P178" s="667">
        <f>SUM(L178:L179)</f>
        <v/>
      </c>
      <c r="Q178" s="249" t="inlineStr">
        <is>
          <t>3/3 買進1口</t>
        </is>
      </c>
      <c r="R178" s="249" t="inlineStr">
        <is>
          <t>Yes</t>
        </is>
      </c>
      <c r="S178" s="249" t="n"/>
      <c r="T178" s="61">
        <f>IF(AND(R178="Yes",S178&lt;&gt;"Yes",L178&gt;0,B178&lt;&gt;"TXO"),L178,"")</f>
        <v/>
      </c>
      <c r="U178" s="61">
        <f>IF(AND(R178="Yes",S178&lt;&gt;"Yes",L178&lt;0,B178&lt;&gt;"TXO"),L178,"")</f>
        <v/>
      </c>
      <c r="V178" s="61">
        <f>IF(AND(R178="",S178&lt;&gt;"Yes",L178&gt;0,B178&lt;&gt;"TXO"),L178,"")</f>
        <v/>
      </c>
      <c r="W178" s="61">
        <f>IF(AND(R178="",S178&lt;&gt;"Yes",L178&lt;0,B178&lt;&gt;"TXO"),L178,"")</f>
        <v/>
      </c>
      <c r="X178" s="226">
        <f>IF(AND(R178="Yes",S178="Yes",L178&gt;0,B178&lt;&gt;"TXO"),L178,"")</f>
        <v/>
      </c>
      <c r="Y178" s="226">
        <f>IF(AND(R178="Yes",S178="Yes",L178&lt;0,B178&lt;&gt;"TXO"),L178,"")</f>
        <v/>
      </c>
      <c r="Z178" s="226">
        <f>IF(AND(R178="",S178="Yes",L178&gt;0,B178&lt;&gt;"TXO"),L178,"")</f>
        <v/>
      </c>
      <c r="AA178" s="226">
        <f>IF(AND(R178="",S178="Yes",L178&lt;0,B178&lt;&gt;"TXO"),L178,"")</f>
        <v/>
      </c>
    </row>
    <row r="179" outlineLevel="2">
      <c r="A179" s="696" t="n">
        <v>43551</v>
      </c>
      <c r="B179" s="234" t="inlineStr">
        <is>
          <t>FIMTX</t>
        </is>
      </c>
      <c r="C179" s="229" t="inlineStr">
        <is>
          <t>小指04</t>
        </is>
      </c>
      <c r="D179" s="229" t="inlineStr">
        <is>
          <t>平倉</t>
        </is>
      </c>
      <c r="E179" s="257" t="inlineStr">
        <is>
          <t>賣</t>
        </is>
      </c>
      <c r="F179" s="229" t="inlineStr">
        <is>
          <t>-</t>
        </is>
      </c>
      <c r="G179" s="697" t="n">
        <v>1</v>
      </c>
      <c r="H179" s="697" t="n">
        <v>10509</v>
      </c>
      <c r="I179" s="697" t="n">
        <v>0</v>
      </c>
      <c r="J179" s="585" t="n">
        <v>23</v>
      </c>
      <c r="K179" s="585" t="n">
        <v>11</v>
      </c>
      <c r="L179" s="585">
        <f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/>
      </c>
      <c r="M179" s="699">
        <f>L179</f>
        <v/>
      </c>
      <c r="N179" s="686">
        <f>IF(B179="TXO","",IF(D179="新倉","",IF(E179="賣",(H179-H178)*G179,(H178-H179)*G179)))</f>
        <v/>
      </c>
      <c r="O179" s="226" t="n">
        <v>0</v>
      </c>
      <c r="P179" s="667" t="n"/>
      <c r="Q179" s="249" t="inlineStr">
        <is>
          <t>元大移動式停利</t>
        </is>
      </c>
      <c r="R179" s="249" t="inlineStr">
        <is>
          <t>Yes</t>
        </is>
      </c>
      <c r="S179" s="249" t="n"/>
      <c r="T179" s="61">
        <f>IF(AND(R179="Yes",S179&lt;&gt;"Yes",L179&gt;0,B179&lt;&gt;"TXO"),L179,"")</f>
        <v/>
      </c>
      <c r="U179" s="61">
        <f>IF(AND(R179="Yes",S179&lt;&gt;"Yes",L179&lt;0,B179&lt;&gt;"TXO"),L179,"")</f>
        <v/>
      </c>
      <c r="V179" s="61">
        <f>IF(AND(R179="",S179&lt;&gt;"Yes",L179&gt;0,B179&lt;&gt;"TXO"),L179,"")</f>
        <v/>
      </c>
      <c r="W179" s="61">
        <f>IF(AND(R179="",S179&lt;&gt;"Yes",L179&lt;0,B179&lt;&gt;"TXO"),L179,"")</f>
        <v/>
      </c>
      <c r="X179" s="226">
        <f>IF(AND(R179="Yes",S179="Yes",L179&gt;0,B179&lt;&gt;"TXO"),L179,"")</f>
        <v/>
      </c>
      <c r="Y179" s="226">
        <f>IF(AND(R179="Yes",S179="Yes",L179&lt;0,B179&lt;&gt;"TXO"),L179,"")</f>
        <v/>
      </c>
      <c r="Z179" s="226">
        <f>IF(AND(R179="",S179="Yes",L179&gt;0,B179&lt;&gt;"TXO"),L179,"")</f>
        <v/>
      </c>
      <c r="AA179" s="226">
        <f>IF(AND(R179="",S179="Yes",L179&lt;0,B179&lt;&gt;"TXO"),L179,"")</f>
        <v/>
      </c>
    </row>
    <row r="180" outlineLevel="1">
      <c r="A180" s="740" t="n">
        <v>43552</v>
      </c>
      <c r="B180" s="299" t="inlineStr">
        <is>
          <t>FIMTX</t>
        </is>
      </c>
      <c r="C180" s="300" t="inlineStr">
        <is>
          <t>小指04</t>
        </is>
      </c>
      <c r="D180" s="300" t="inlineStr">
        <is>
          <t>新倉</t>
        </is>
      </c>
      <c r="E180" s="301" t="inlineStr">
        <is>
          <t>賣</t>
        </is>
      </c>
      <c r="F180" s="300" t="inlineStr">
        <is>
          <t>-</t>
        </is>
      </c>
      <c r="G180" s="741" t="n">
        <v>2</v>
      </c>
      <c r="H180" s="741" t="n">
        <v>10485</v>
      </c>
      <c r="I180" s="741" t="n">
        <v>0</v>
      </c>
      <c r="J180" s="742" t="n">
        <v>46</v>
      </c>
      <c r="K180" s="742" t="n">
        <v>20</v>
      </c>
      <c r="L180" s="742">
        <f>IF(B180="TXO",I180-SUM(J180:K180),IF(B180="FITX",IF(D180="新倉",-SUM(J180:K180),IF(E180="賣",(H180-H179)*G180*200-SUM(J180:K180),(H179-H180)*G180*200-SUM(J180:K180))),IF(D180="新倉",-SUM(J180:K180),IF(E180="賣",(H180-H179)*G180*50-SUM(J180:K180),(H179-H180)*G180*50-SUM(J180:K180)))))</f>
        <v/>
      </c>
      <c r="M180" s="743">
        <f>L180</f>
        <v/>
      </c>
      <c r="N180" s="686">
        <f>IF(B180="TXO","",IF(D180="新倉","",IF(E180="賣",(H180-H179)*G180,(H179-H180)*G180)))</f>
        <v/>
      </c>
      <c r="O180" s="226" t="n">
        <v>0</v>
      </c>
      <c r="P180" s="667">
        <f>SUM(L180:L183)</f>
        <v/>
      </c>
      <c r="Q180" s="249" t="inlineStr">
        <is>
          <t>3/3 買進2口</t>
        </is>
      </c>
      <c r="R180" s="249" t="inlineStr">
        <is>
          <t>Yes</t>
        </is>
      </c>
      <c r="S180" s="249" t="n"/>
      <c r="T180" s="61">
        <f>IF(AND(R180="Yes",S180&lt;&gt;"Yes",L180&gt;0,B180&lt;&gt;"TXO"),L180,"")</f>
        <v/>
      </c>
      <c r="U180" s="61">
        <f>IF(AND(R180="Yes",S180&lt;&gt;"Yes",L180&lt;0,B180&lt;&gt;"TXO"),L180,"")</f>
        <v/>
      </c>
      <c r="V180" s="61">
        <f>IF(AND(R180="",S180&lt;&gt;"Yes",L180&gt;0,B180&lt;&gt;"TXO"),L180,"")</f>
        <v/>
      </c>
      <c r="W180" s="61">
        <f>IF(AND(R180="",S180&lt;&gt;"Yes",L180&lt;0,B180&lt;&gt;"TXO"),L180,"")</f>
        <v/>
      </c>
      <c r="X180" s="226">
        <f>IF(AND(R180="Yes",S180="Yes",L180&gt;0,B180&lt;&gt;"TXO"),L180,"")</f>
        <v/>
      </c>
      <c r="Y180" s="226">
        <f>IF(AND(R180="Yes",S180="Yes",L180&lt;0,B180&lt;&gt;"TXO"),L180,"")</f>
        <v/>
      </c>
      <c r="Z180" s="226">
        <f>IF(AND(R180="",S180="Yes",L180&gt;0,B180&lt;&gt;"TXO"),L180,"")</f>
        <v/>
      </c>
      <c r="AA180" s="226">
        <f>IF(AND(R180="",S180="Yes",L180&lt;0,B180&lt;&gt;"TXO"),L180,"")</f>
        <v/>
      </c>
    </row>
    <row r="181" outlineLevel="2" collapsed="1">
      <c r="A181" s="740" t="n">
        <v>43552</v>
      </c>
      <c r="B181" s="299" t="inlineStr">
        <is>
          <t>FIMTX</t>
        </is>
      </c>
      <c r="C181" s="300" t="inlineStr">
        <is>
          <t>小指04</t>
        </is>
      </c>
      <c r="D181" s="300" t="inlineStr">
        <is>
          <t>平倉</t>
        </is>
      </c>
      <c r="E181" s="301" t="inlineStr">
        <is>
          <t>買</t>
        </is>
      </c>
      <c r="F181" s="300" t="inlineStr">
        <is>
          <t>-</t>
        </is>
      </c>
      <c r="G181" s="741" t="n">
        <v>2</v>
      </c>
      <c r="H181" s="741" t="n">
        <v>10478</v>
      </c>
      <c r="I181" s="741" t="n">
        <v>0</v>
      </c>
      <c r="J181" s="742" t="n">
        <v>46</v>
      </c>
      <c r="K181" s="742" t="n">
        <v>20</v>
      </c>
      <c r="L181" s="742">
        <f>IF(B181="TXO",I181-SUM(J181:K181),IF(B181="FITX",IF(D181="新倉",-SUM(J181:K181),IF(E181="賣",(H181-H180)*G181*200-SUM(J181:K181),(H180-H181)*G181*200-SUM(J181:K181))),IF(D181="新倉",-SUM(J181:K181),IF(E181="賣",(H181-H180)*G181*50-SUM(J181:K181),(H180-H181)*G181*50-SUM(J181:K181)))))</f>
        <v/>
      </c>
      <c r="M181" s="743">
        <f>L181</f>
        <v/>
      </c>
      <c r="N181" s="686">
        <f>IF(B181="TXO","",IF(D181="新倉","",IF(E181="賣",(H181-H180)*G181,(H180-H181)*G181)))</f>
        <v/>
      </c>
      <c r="O181" s="226" t="n">
        <v>0</v>
      </c>
      <c r="P181" s="667" t="n"/>
      <c r="Q181" s="249" t="inlineStr">
        <is>
          <t>技法: 移動式停利</t>
        </is>
      </c>
      <c r="R181" s="249" t="inlineStr">
        <is>
          <t>Yes</t>
        </is>
      </c>
      <c r="S181" s="249" t="n"/>
      <c r="T181" s="61">
        <f>IF(AND(R181="Yes",S181&lt;&gt;"Yes",L181&gt;0,B181&lt;&gt;"TXO"),L181,"")</f>
        <v/>
      </c>
      <c r="U181" s="61">
        <f>IF(AND(R181="Yes",S181&lt;&gt;"Yes",L181&lt;0,B181&lt;&gt;"TXO"),L181,"")</f>
        <v/>
      </c>
      <c r="V181" s="61">
        <f>IF(AND(R181="",S181&lt;&gt;"Yes",L181&gt;0,B181&lt;&gt;"TXO"),L181,"")</f>
        <v/>
      </c>
      <c r="W181" s="61">
        <f>IF(AND(R181="",S181&lt;&gt;"Yes",L181&lt;0,B181&lt;&gt;"TXO"),L181,"")</f>
        <v/>
      </c>
      <c r="X181" s="226">
        <f>IF(AND(R181="Yes",S181="Yes",L181&gt;0,B181&lt;&gt;"TXO"),L181,"")</f>
        <v/>
      </c>
      <c r="Y181" s="226">
        <f>IF(AND(R181="Yes",S181="Yes",L181&lt;0,B181&lt;&gt;"TXO"),L181,"")</f>
        <v/>
      </c>
      <c r="Z181" s="226">
        <f>IF(AND(R181="",S181="Yes",L181&gt;0,B181&lt;&gt;"TXO"),L181,"")</f>
        <v/>
      </c>
      <c r="AA181" s="226">
        <f>IF(AND(R181="",S181="Yes",L181&lt;0,B181&lt;&gt;"TXO"),L181,"")</f>
        <v/>
      </c>
    </row>
    <row r="182" outlineLevel="2" collapsed="1">
      <c r="A182" s="740" t="n">
        <v>43552</v>
      </c>
      <c r="B182" s="299" t="inlineStr">
        <is>
          <t>FIMTX</t>
        </is>
      </c>
      <c r="C182" s="300" t="inlineStr">
        <is>
          <t>小指04</t>
        </is>
      </c>
      <c r="D182" s="300" t="inlineStr">
        <is>
          <t>新倉</t>
        </is>
      </c>
      <c r="E182" s="301" t="inlineStr">
        <is>
          <t>買</t>
        </is>
      </c>
      <c r="F182" s="300" t="inlineStr">
        <is>
          <t>-</t>
        </is>
      </c>
      <c r="G182" s="741" t="n">
        <v>1</v>
      </c>
      <c r="H182" s="741" t="n">
        <v>10534</v>
      </c>
      <c r="I182" s="741" t="n">
        <v>0</v>
      </c>
      <c r="J182" s="742" t="n">
        <v>23</v>
      </c>
      <c r="K182" s="742" t="n">
        <v>11</v>
      </c>
      <c r="L182" s="742">
        <f>IF(B182="TXO",I182-SUM(J182:K182),IF(B182="FITX",IF(D182="新倉",-SUM(J182:K182),IF(E182="賣",(H182-H181)*G182*200-SUM(J182:K182),(H181-H182)*G182*200-SUM(J182:K182))),IF(D182="新倉",-SUM(J182:K182),IF(E182="賣",(H182-H181)*G182*50-SUM(J182:K182),(H181-H182)*G182*50-SUM(J182:K182)))))</f>
        <v/>
      </c>
      <c r="M182" s="743">
        <f>L182</f>
        <v/>
      </c>
      <c r="N182" s="686">
        <f>IF(B182="TXO","",IF(D182="新倉","",IF(E182="賣",(H182-H181)*G182,(H181-H182)*G182)))</f>
        <v/>
      </c>
      <c r="O182" s="226" t="n">
        <v>0</v>
      </c>
      <c r="P182" s="667" t="n"/>
      <c r="Q182" s="249" t="inlineStr">
        <is>
          <t>3/3 買進1口(點錯方向)</t>
        </is>
      </c>
      <c r="S182" s="249" t="n"/>
      <c r="T182" s="61">
        <f>IF(AND(R182="Yes",S182&lt;&gt;"Yes",L182&gt;0,B182&lt;&gt;"TXO"),L182,"")</f>
        <v/>
      </c>
      <c r="U182" s="61">
        <f>IF(AND(R182="Yes",S182&lt;&gt;"Yes",L182&lt;0,B182&lt;&gt;"TXO"),L182,"")</f>
        <v/>
      </c>
      <c r="V182" s="61">
        <f>IF(AND(R182="",S182&lt;&gt;"Yes",L182&gt;0,B182&lt;&gt;"TXO"),L182,"")</f>
        <v/>
      </c>
      <c r="W182" s="61">
        <f>IF(AND(R182="",S182&lt;&gt;"Yes",L182&lt;0,B182&lt;&gt;"TXO"),L182,"")</f>
        <v/>
      </c>
      <c r="X182" s="226">
        <f>IF(AND(R182="Yes",S182="Yes",L182&gt;0,B182&lt;&gt;"TXO"),L182,"")</f>
        <v/>
      </c>
      <c r="Y182" s="226">
        <f>IF(AND(R182="Yes",S182="Yes",L182&lt;0,B182&lt;&gt;"TXO"),L182,"")</f>
        <v/>
      </c>
      <c r="Z182" s="226">
        <f>IF(AND(R182="",S182="Yes",L182&gt;0,B182&lt;&gt;"TXO"),L182,"")</f>
        <v/>
      </c>
      <c r="AA182" s="226">
        <f>IF(AND(R182="",S182="Yes",L182&lt;0,B182&lt;&gt;"TXO"),L182,"")</f>
        <v/>
      </c>
    </row>
    <row r="183" outlineLevel="2" collapsed="1">
      <c r="A183" s="740" t="n">
        <v>43552</v>
      </c>
      <c r="B183" s="299" t="inlineStr">
        <is>
          <t>FIMTX</t>
        </is>
      </c>
      <c r="C183" s="300" t="inlineStr">
        <is>
          <t>小指04</t>
        </is>
      </c>
      <c r="D183" s="300" t="inlineStr">
        <is>
          <t>平倉</t>
        </is>
      </c>
      <c r="E183" s="301" t="inlineStr">
        <is>
          <t>賣</t>
        </is>
      </c>
      <c r="F183" s="300" t="inlineStr">
        <is>
          <t>-</t>
        </is>
      </c>
      <c r="G183" s="741" t="n">
        <v>1</v>
      </c>
      <c r="H183" s="741" t="n">
        <v>10538</v>
      </c>
      <c r="I183" s="741" t="n">
        <v>0</v>
      </c>
      <c r="J183" s="742" t="n">
        <v>23</v>
      </c>
      <c r="K183" s="742" t="n">
        <v>11</v>
      </c>
      <c r="L183" s="742">
        <f>IF(B183="TXO",I183-SUM(J183:K183),IF(B183="FITX",IF(D183="新倉",-SUM(J183:K183),IF(E183="賣",(H183-H182)*G183*200-SUM(J183:K183),(H182-H183)*G183*200-SUM(J183:K183))),IF(D183="新倉",-SUM(J183:K183),IF(E183="賣",(H183-H182)*G183*50-SUM(J183:K183),(H182-H183)*G183*50-SUM(J183:K183)))))</f>
        <v/>
      </c>
      <c r="M183" s="743">
        <f>L183</f>
        <v/>
      </c>
      <c r="N183" s="686">
        <f>IF(B183="TXO","",IF(D183="新倉","",IF(E183="賣",(H183-H182)*G183,(H182-H183)*G183)))</f>
        <v/>
      </c>
      <c r="O183" s="226" t="n">
        <v>0</v>
      </c>
      <c r="P183" s="667" t="n"/>
      <c r="S183" s="249" t="n"/>
      <c r="T183" s="61">
        <f>IF(AND(R183="Yes",S183&lt;&gt;"Yes",L183&gt;0,B183&lt;&gt;"TXO"),L183,"")</f>
        <v/>
      </c>
      <c r="U183" s="61">
        <f>IF(AND(R183="Yes",S183&lt;&gt;"Yes",L183&lt;0,B183&lt;&gt;"TXO"),L183,"")</f>
        <v/>
      </c>
      <c r="V183" s="61">
        <f>IF(AND(R183="",S183&lt;&gt;"Yes",L183&gt;0,B183&lt;&gt;"TXO"),L183,"")</f>
        <v/>
      </c>
      <c r="W183" s="61">
        <f>IF(AND(R183="",S183&lt;&gt;"Yes",L183&lt;0,B183&lt;&gt;"TXO"),L183,"")</f>
        <v/>
      </c>
      <c r="X183" s="226">
        <f>IF(AND(R183="Yes",S183="Yes",L183&gt;0,B183&lt;&gt;"TXO"),L183,"")</f>
        <v/>
      </c>
      <c r="Y183" s="226">
        <f>IF(AND(R183="Yes",S183="Yes",L183&lt;0,B183&lt;&gt;"TXO"),L183,"")</f>
        <v/>
      </c>
      <c r="Z183" s="226">
        <f>IF(AND(R183="",S183="Yes",L183&gt;0,B183&lt;&gt;"TXO"),L183,"")</f>
        <v/>
      </c>
      <c r="AA183" s="226">
        <f>IF(AND(R183="",S183="Yes",L183&lt;0,B183&lt;&gt;"TXO"),L183,"")</f>
        <v/>
      </c>
    </row>
    <row r="184" outlineLevel="1">
      <c r="A184" s="696" t="n">
        <v>43553</v>
      </c>
      <c r="B184" s="234" t="inlineStr">
        <is>
          <t>FIMTX</t>
        </is>
      </c>
      <c r="C184" s="229" t="inlineStr">
        <is>
          <t>小指04</t>
        </is>
      </c>
      <c r="D184" s="229" t="inlineStr">
        <is>
          <t>新倉</t>
        </is>
      </c>
      <c r="E184" s="257" t="inlineStr">
        <is>
          <t>賣</t>
        </is>
      </c>
      <c r="F184" s="229" t="inlineStr">
        <is>
          <t>-</t>
        </is>
      </c>
      <c r="G184" s="697" t="n">
        <v>1</v>
      </c>
      <c r="H184" s="697" t="n">
        <v>10600</v>
      </c>
      <c r="I184" s="697" t="n">
        <v>0</v>
      </c>
      <c r="J184" s="585" t="n">
        <v>23</v>
      </c>
      <c r="K184" s="585" t="n">
        <v>11</v>
      </c>
      <c r="L184" s="585">
        <f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/>
      </c>
      <c r="M184" s="699">
        <f>L184</f>
        <v/>
      </c>
      <c r="N184" s="686">
        <f>IF(B184="TXO","",IF(D184="新倉","",IF(E184="賣",(H184-H183)*G184,(H183-H184)*G184)))</f>
        <v/>
      </c>
      <c r="O184" s="226" t="n">
        <v>0</v>
      </c>
      <c r="P184" s="667">
        <f>SUM(L184:L185)</f>
        <v/>
      </c>
      <c r="Q184" s="249" t="inlineStr">
        <is>
          <t>3/3 買進1口</t>
        </is>
      </c>
      <c r="R184" s="249" t="inlineStr">
        <is>
          <t>Yes</t>
        </is>
      </c>
      <c r="S184" s="249" t="n"/>
      <c r="T184" s="61">
        <f>IF(AND(R184="Yes",S184&lt;&gt;"Yes",L184&gt;0,B184&lt;&gt;"TXO"),L184,"")</f>
        <v/>
      </c>
      <c r="U184" s="61">
        <f>IF(AND(R184="Yes",S184&lt;&gt;"Yes",L184&lt;0,B184&lt;&gt;"TXO"),L184,"")</f>
        <v/>
      </c>
      <c r="V184" s="61">
        <f>IF(AND(R184="",S184&lt;&gt;"Yes",L184&gt;0,B184&lt;&gt;"TXO"),L184,"")</f>
        <v/>
      </c>
      <c r="W184" s="61">
        <f>IF(AND(R184="",S184&lt;&gt;"Yes",L184&lt;0,B184&lt;&gt;"TXO"),L184,"")</f>
        <v/>
      </c>
      <c r="X184" s="226">
        <f>IF(AND(R184="Yes",S184="Yes",L184&gt;0,B184&lt;&gt;"TXO"),L184,"")</f>
        <v/>
      </c>
      <c r="Y184" s="226">
        <f>IF(AND(R184="Yes",S184="Yes",L184&lt;0,B184&lt;&gt;"TXO"),L184,"")</f>
        <v/>
      </c>
      <c r="Z184" s="226">
        <f>IF(AND(R184="",S184="Yes",L184&gt;0,B184&lt;&gt;"TXO"),L184,"")</f>
        <v/>
      </c>
      <c r="AA184" s="226">
        <f>IF(AND(R184="",S184="Yes",L184&lt;0,B184&lt;&gt;"TXO"),L184,"")</f>
        <v/>
      </c>
    </row>
    <row r="185" outlineLevel="2">
      <c r="A185" s="696" t="n">
        <v>43553</v>
      </c>
      <c r="B185" s="234" t="inlineStr">
        <is>
          <t>FIMTX</t>
        </is>
      </c>
      <c r="C185" s="229" t="inlineStr">
        <is>
          <t>小指04</t>
        </is>
      </c>
      <c r="D185" s="229" t="inlineStr">
        <is>
          <t>平倉</t>
        </is>
      </c>
      <c r="E185" s="257" t="inlineStr">
        <is>
          <t>買</t>
        </is>
      </c>
      <c r="F185" s="229" t="inlineStr">
        <is>
          <t>-</t>
        </is>
      </c>
      <c r="G185" s="697" t="n">
        <v>1</v>
      </c>
      <c r="H185" s="697" t="n">
        <v>10608</v>
      </c>
      <c r="I185" s="697" t="n">
        <v>0</v>
      </c>
      <c r="J185" s="585" t="n">
        <v>23</v>
      </c>
      <c r="K185" s="585" t="n">
        <v>11</v>
      </c>
      <c r="L185" s="585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/>
      </c>
      <c r="M185" s="699">
        <f>L185</f>
        <v/>
      </c>
      <c r="N185" s="686">
        <f>IF(B185="TXO","",IF(D185="新倉","",IF(E185="賣",(H185-H184)*G185,(H184-H185)*G185)))</f>
        <v/>
      </c>
      <c r="O185" s="226" t="n">
        <v>0</v>
      </c>
      <c r="P185" s="667" t="n"/>
      <c r="Q185" s="249" t="inlineStr">
        <is>
          <t>技法: 碰10MA出場(停損)</t>
        </is>
      </c>
      <c r="R185" s="249" t="inlineStr">
        <is>
          <t>Yes</t>
        </is>
      </c>
      <c r="S185" s="249" t="n"/>
      <c r="T185" s="61">
        <f>IF(AND(R185="Yes",S185&lt;&gt;"Yes",L185&gt;0,B185&lt;&gt;"TXO"),L185,"")</f>
        <v/>
      </c>
      <c r="U185" s="61">
        <f>IF(AND(R185="Yes",S185&lt;&gt;"Yes",L185&lt;0,B185&lt;&gt;"TXO"),L185,"")</f>
        <v/>
      </c>
      <c r="V185" s="61">
        <f>IF(AND(R185="",S185&lt;&gt;"Yes",L185&gt;0,B185&lt;&gt;"TXO"),L185,"")</f>
        <v/>
      </c>
      <c r="W185" s="61">
        <f>IF(AND(R185="",S185&lt;&gt;"Yes",L185&lt;0,B185&lt;&gt;"TXO"),L185,"")</f>
        <v/>
      </c>
      <c r="X185" s="226">
        <f>IF(AND(R185="Yes",S185="Yes",L185&gt;0,B185&lt;&gt;"TXO"),L185,"")</f>
        <v/>
      </c>
      <c r="Y185" s="226">
        <f>IF(AND(R185="Yes",S185="Yes",L185&lt;0,B185&lt;&gt;"TXO"),L185,"")</f>
        <v/>
      </c>
      <c r="Z185" s="226">
        <f>IF(AND(R185="",S185="Yes",L185&gt;0,B185&lt;&gt;"TXO"),L185,"")</f>
        <v/>
      </c>
      <c r="AA185" s="226">
        <f>IF(AND(R185="",S185="Yes",L185&lt;0,B185&lt;&gt;"TXO"),L185,"")</f>
        <v/>
      </c>
    </row>
    <row r="186" outlineLevel="1">
      <c r="A186" s="740" t="n">
        <v>43556</v>
      </c>
      <c r="B186" s="299" t="inlineStr">
        <is>
          <t>FIMTX</t>
        </is>
      </c>
      <c r="C186" s="300" t="inlineStr">
        <is>
          <t>小指04</t>
        </is>
      </c>
      <c r="D186" s="300" t="inlineStr">
        <is>
          <t>新倉</t>
        </is>
      </c>
      <c r="E186" s="301" t="inlineStr">
        <is>
          <t>買</t>
        </is>
      </c>
      <c r="F186" s="300" t="inlineStr">
        <is>
          <t>-</t>
        </is>
      </c>
      <c r="G186" s="741" t="n">
        <v>1</v>
      </c>
      <c r="H186" s="741" t="n">
        <v>10666</v>
      </c>
      <c r="I186" s="741" t="n">
        <v>0</v>
      </c>
      <c r="J186" s="742" t="n">
        <v>23</v>
      </c>
      <c r="K186" s="742" t="n">
        <v>11</v>
      </c>
      <c r="L186" s="742">
        <f>IF(B186="TXO",I186-SUM(J186:K186),IF(B186="FITX",IF(D186="新倉",-SUM(J186:K186),IF(E186="賣",(H186-H185)*G186*200-SUM(J186:K186),(H185-H186)*G186*200-SUM(J186:K186))),IF(D186="新倉",-SUM(J186:K186),IF(E186="賣",(H186-H185)*G186*50-SUM(J186:K186),(H185-H186)*G186*50-SUM(J186:K186)))))</f>
        <v/>
      </c>
      <c r="M186" s="743">
        <f>L186</f>
        <v/>
      </c>
      <c r="N186" s="686">
        <f>IF(B186="TXO","",IF(D186="新倉","",IF(E186="賣",(H186-H185)*G186,(H185-H186)*G186)))</f>
        <v/>
      </c>
      <c r="O186" s="226" t="n">
        <v>0</v>
      </c>
      <c r="P186" s="667">
        <f>SUM(L186:L191)</f>
        <v/>
      </c>
      <c r="Q186" s="249" t="inlineStr">
        <is>
          <t>3/3 買進1口</t>
        </is>
      </c>
      <c r="R186" s="249" t="inlineStr">
        <is>
          <t>Yes</t>
        </is>
      </c>
      <c r="S186" s="249" t="inlineStr">
        <is>
          <t>Yes</t>
        </is>
      </c>
      <c r="T186" s="61">
        <f>IF(AND(R186="Yes",S186&lt;&gt;"Yes",L186&gt;0,B186&lt;&gt;"TXO"),L186,"")</f>
        <v/>
      </c>
      <c r="U186" s="61">
        <f>IF(AND(R186="Yes",S186&lt;&gt;"Yes",L186&lt;0,B186&lt;&gt;"TXO"),L186,"")</f>
        <v/>
      </c>
      <c r="V186" s="61">
        <f>IF(AND(R186="",S186&lt;&gt;"Yes",L186&gt;0,B186&lt;&gt;"TXO"),L186,"")</f>
        <v/>
      </c>
      <c r="W186" s="61">
        <f>IF(AND(R186="",S186&lt;&gt;"Yes",L186&lt;0,B186&lt;&gt;"TXO"),L186,"")</f>
        <v/>
      </c>
      <c r="X186" s="226">
        <f>IF(AND(R186="Yes",S186="Yes",L186&gt;0,B186&lt;&gt;"TXO"),L186,"")</f>
        <v/>
      </c>
      <c r="Y186" s="226">
        <f>IF(AND(R186="Yes",S186="Yes",L186&lt;0,B186&lt;&gt;"TXO"),L186,"")</f>
        <v/>
      </c>
      <c r="Z186" s="226">
        <f>IF(AND(R186="",S186="Yes",L186&gt;0,B186&lt;&gt;"TXO"),L186,"")</f>
        <v/>
      </c>
      <c r="AA186" s="226">
        <f>IF(AND(R186="",S186="Yes",L186&lt;0,B186&lt;&gt;"TXO"),L186,"")</f>
        <v/>
      </c>
    </row>
    <row r="187" outlineLevel="2" collapsed="1">
      <c r="A187" s="740" t="n">
        <v>43556</v>
      </c>
      <c r="B187" s="299" t="inlineStr">
        <is>
          <t>FIMTX</t>
        </is>
      </c>
      <c r="C187" s="300" t="inlineStr">
        <is>
          <t>小指04</t>
        </is>
      </c>
      <c r="D187" s="300" t="inlineStr">
        <is>
          <t>平倉</t>
        </is>
      </c>
      <c r="E187" s="301" t="inlineStr">
        <is>
          <t>賣</t>
        </is>
      </c>
      <c r="F187" s="300" t="inlineStr">
        <is>
          <t>-</t>
        </is>
      </c>
      <c r="G187" s="741" t="n">
        <v>1</v>
      </c>
      <c r="H187" s="741" t="n">
        <v>10663</v>
      </c>
      <c r="I187" s="741" t="n">
        <v>0</v>
      </c>
      <c r="J187" s="742" t="n">
        <v>23</v>
      </c>
      <c r="K187" s="742" t="n">
        <v>11</v>
      </c>
      <c r="L187" s="742">
        <f>IF(B187="TXO",I187-SUM(J187:K187),IF(B187="FITX",IF(D187="新倉",-SUM(J187:K187),IF(E187="賣",(H187-H186)*G187*200-SUM(J187:K187),(H186-H187)*G187*200-SUM(J187:K187))),IF(D187="新倉",-SUM(J187:K187),IF(E187="賣",(H187-H186)*G187*50-SUM(J187:K187),(H186-H187)*G187*50-SUM(J187:K187)))))</f>
        <v/>
      </c>
      <c r="M187" s="743">
        <f>L187</f>
        <v/>
      </c>
      <c r="N187" s="686">
        <f>IF(B187="TXO","",IF(D187="新倉","",IF(E187="賣",(H187-H186)*G187,(H186-H187)*G187)))</f>
        <v/>
      </c>
      <c r="O187" s="226" t="n">
        <v>0</v>
      </c>
      <c r="P187" s="667" t="n"/>
      <c r="Q187" s="249" t="inlineStr">
        <is>
          <t>技法: 碰10MA出場(停損)</t>
        </is>
      </c>
      <c r="R187" s="249" t="inlineStr">
        <is>
          <t>Yes</t>
        </is>
      </c>
      <c r="S187" s="249" t="inlineStr">
        <is>
          <t>Yes</t>
        </is>
      </c>
      <c r="T187" s="61">
        <f>IF(AND(R187="Yes",S187&lt;&gt;"Yes",L187&gt;0,B187&lt;&gt;"TXO"),L187,"")</f>
        <v/>
      </c>
      <c r="U187" s="61">
        <f>IF(AND(R187="Yes",S187&lt;&gt;"Yes",L187&lt;0,B187&lt;&gt;"TXO"),L187,"")</f>
        <v/>
      </c>
      <c r="V187" s="61">
        <f>IF(AND(R187="",S187&lt;&gt;"Yes",L187&gt;0,B187&lt;&gt;"TXO"),L187,"")</f>
        <v/>
      </c>
      <c r="W187" s="61">
        <f>IF(AND(R187="",S187&lt;&gt;"Yes",L187&lt;0,B187&lt;&gt;"TXO"),L187,"")</f>
        <v/>
      </c>
      <c r="X187" s="226">
        <f>IF(AND(R187="Yes",S187="Yes",L187&gt;0,B187&lt;&gt;"TXO"),L187,"")</f>
        <v/>
      </c>
      <c r="Y187" s="226">
        <f>IF(AND(R187="Yes",S187="Yes",L187&lt;0,B187&lt;&gt;"TXO"),L187,"")</f>
        <v/>
      </c>
      <c r="Z187" s="226">
        <f>IF(AND(R187="",S187="Yes",L187&gt;0,B187&lt;&gt;"TXO"),L187,"")</f>
        <v/>
      </c>
      <c r="AA187" s="226">
        <f>IF(AND(R187="",S187="Yes",L187&lt;0,B187&lt;&gt;"TXO"),L187,"")</f>
        <v/>
      </c>
    </row>
    <row r="188" outlineLevel="2" collapsed="1">
      <c r="A188" s="740" t="n">
        <v>43556</v>
      </c>
      <c r="B188" s="299" t="inlineStr">
        <is>
          <t>FIMTX</t>
        </is>
      </c>
      <c r="C188" s="300" t="inlineStr">
        <is>
          <t>小指04</t>
        </is>
      </c>
      <c r="D188" s="300" t="inlineStr">
        <is>
          <t>新倉</t>
        </is>
      </c>
      <c r="E188" s="301" t="inlineStr">
        <is>
          <t>買</t>
        </is>
      </c>
      <c r="F188" s="300" t="inlineStr">
        <is>
          <t>-</t>
        </is>
      </c>
      <c r="G188" s="741" t="n">
        <v>1</v>
      </c>
      <c r="H188" s="741" t="n">
        <v>10663</v>
      </c>
      <c r="I188" s="741" t="n">
        <v>0</v>
      </c>
      <c r="J188" s="742" t="n">
        <v>23</v>
      </c>
      <c r="K188" s="742" t="n">
        <v>11</v>
      </c>
      <c r="L188" s="742">
        <f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/>
      </c>
      <c r="M188" s="743">
        <f>L188</f>
        <v/>
      </c>
      <c r="N188" s="686">
        <f>IF(B188="TXO","",IF(D188="新倉","",IF(E188="賣",(H188-H187)*G188,(H187-H188)*G188)))</f>
        <v/>
      </c>
      <c r="O188" s="226" t="n">
        <v>0</v>
      </c>
      <c r="P188" s="667" t="n"/>
      <c r="Q188" s="249" t="inlineStr">
        <is>
          <t>3/3 買進1口</t>
        </is>
      </c>
      <c r="R188" s="249" t="inlineStr">
        <is>
          <t>Yes</t>
        </is>
      </c>
      <c r="S188" s="249" t="inlineStr">
        <is>
          <t>Yes</t>
        </is>
      </c>
      <c r="T188" s="61">
        <f>IF(AND(R188="Yes",S188&lt;&gt;"Yes",L188&gt;0,B188&lt;&gt;"TXO"),L188,"")</f>
        <v/>
      </c>
      <c r="U188" s="61">
        <f>IF(AND(R188="Yes",S188&lt;&gt;"Yes",L188&lt;0,B188&lt;&gt;"TXO"),L188,"")</f>
        <v/>
      </c>
      <c r="V188" s="61">
        <f>IF(AND(R188="",S188&lt;&gt;"Yes",L188&gt;0,B188&lt;&gt;"TXO"),L188,"")</f>
        <v/>
      </c>
      <c r="W188" s="61">
        <f>IF(AND(R188="",S188&lt;&gt;"Yes",L188&lt;0,B188&lt;&gt;"TXO"),L188,"")</f>
        <v/>
      </c>
      <c r="X188" s="226">
        <f>IF(AND(R188="Yes",S188="Yes",L188&gt;0,B188&lt;&gt;"TXO"),L188,"")</f>
        <v/>
      </c>
      <c r="Y188" s="226">
        <f>IF(AND(R188="Yes",S188="Yes",L188&lt;0,B188&lt;&gt;"TXO"),L188,"")</f>
        <v/>
      </c>
      <c r="Z188" s="226">
        <f>IF(AND(R188="",S188="Yes",L188&gt;0,B188&lt;&gt;"TXO"),L188,"")</f>
        <v/>
      </c>
      <c r="AA188" s="226">
        <f>IF(AND(R188="",S188="Yes",L188&lt;0,B188&lt;&gt;"TXO"),L188,"")</f>
        <v/>
      </c>
    </row>
    <row r="189" outlineLevel="2" collapsed="1">
      <c r="A189" s="740" t="n">
        <v>43556</v>
      </c>
      <c r="B189" s="299" t="inlineStr">
        <is>
          <t>FIMTX</t>
        </is>
      </c>
      <c r="C189" s="300" t="inlineStr">
        <is>
          <t>小指04</t>
        </is>
      </c>
      <c r="D189" s="300" t="inlineStr">
        <is>
          <t>平倉</t>
        </is>
      </c>
      <c r="E189" s="301" t="inlineStr">
        <is>
          <t>賣</t>
        </is>
      </c>
      <c r="F189" s="300" t="inlineStr">
        <is>
          <t>-</t>
        </is>
      </c>
      <c r="G189" s="741" t="n">
        <v>1</v>
      </c>
      <c r="H189" s="741" t="n">
        <v>10664</v>
      </c>
      <c r="I189" s="741" t="n">
        <v>0</v>
      </c>
      <c r="J189" s="742" t="n">
        <v>23</v>
      </c>
      <c r="K189" s="742" t="n">
        <v>11</v>
      </c>
      <c r="L189" s="742">
        <f>IF(B189="TXO",I189-SUM(J189:K189),IF(B189="FITX",IF(D189="新倉",-SUM(J189:K189),IF(E189="賣",(H189-H188)*G189*200-SUM(J189:K189),(H188-H189)*G189*200-SUM(J189:K189))),IF(D189="新倉",-SUM(J189:K189),IF(E189="賣",(H189-H188)*G189*50-SUM(J189:K189),(H188-H189)*G189*50-SUM(J189:K189)))))</f>
        <v/>
      </c>
      <c r="M189" s="743">
        <f>L189</f>
        <v/>
      </c>
      <c r="N189" s="686">
        <f>IF(B189="TXO","",IF(D189="新倉","",IF(E189="賣",(H189-H188)*G189,(H188-H189)*G189)))</f>
        <v/>
      </c>
      <c r="O189" s="226" t="n">
        <v>0</v>
      </c>
      <c r="P189" s="667" t="n"/>
      <c r="Q189" s="249" t="inlineStr">
        <is>
          <t>技法: 碰10MA出場</t>
        </is>
      </c>
      <c r="R189" s="249" t="inlineStr">
        <is>
          <t>Yes</t>
        </is>
      </c>
      <c r="S189" s="249" t="inlineStr">
        <is>
          <t>Yes</t>
        </is>
      </c>
      <c r="T189" s="61">
        <f>IF(AND(R189="Yes",S189&lt;&gt;"Yes",L189&gt;0,B189&lt;&gt;"TXO"),L189,"")</f>
        <v/>
      </c>
      <c r="U189" s="61">
        <f>IF(AND(R189="Yes",S189&lt;&gt;"Yes",L189&lt;0,B189&lt;&gt;"TXO"),L189,"")</f>
        <v/>
      </c>
      <c r="V189" s="61">
        <f>IF(AND(R189="",S189&lt;&gt;"Yes",L189&gt;0,B189&lt;&gt;"TXO"),L189,"")</f>
        <v/>
      </c>
      <c r="W189" s="61">
        <f>IF(AND(R189="",S189&lt;&gt;"Yes",L189&lt;0,B189&lt;&gt;"TXO"),L189,"")</f>
        <v/>
      </c>
      <c r="X189" s="226">
        <f>IF(AND(R189="Yes",S189="Yes",L189&gt;0,B189&lt;&gt;"TXO"),L189,"")</f>
        <v/>
      </c>
      <c r="Y189" s="226">
        <f>IF(AND(R189="Yes",S189="Yes",L189&lt;0,B189&lt;&gt;"TXO"),L189,"")</f>
        <v/>
      </c>
      <c r="Z189" s="226">
        <f>IF(AND(R189="",S189="Yes",L189&gt;0,B189&lt;&gt;"TXO"),L189,"")</f>
        <v/>
      </c>
      <c r="AA189" s="226">
        <f>IF(AND(R189="",S189="Yes",L189&lt;0,B189&lt;&gt;"TXO"),L189,"")</f>
        <v/>
      </c>
    </row>
    <row r="190" outlineLevel="2" collapsed="1">
      <c r="A190" s="740" t="n">
        <v>43556</v>
      </c>
      <c r="B190" s="299" t="inlineStr">
        <is>
          <t>FIMTX</t>
        </is>
      </c>
      <c r="C190" s="300" t="inlineStr">
        <is>
          <t>小指04</t>
        </is>
      </c>
      <c r="D190" s="300" t="inlineStr">
        <is>
          <t>新倉</t>
        </is>
      </c>
      <c r="E190" s="301" t="inlineStr">
        <is>
          <t>賣</t>
        </is>
      </c>
      <c r="F190" s="300" t="inlineStr">
        <is>
          <t>-</t>
        </is>
      </c>
      <c r="G190" s="741" t="n">
        <v>1</v>
      </c>
      <c r="H190" s="741" t="n">
        <v>10668</v>
      </c>
      <c r="I190" s="741" t="n">
        <v>0</v>
      </c>
      <c r="J190" s="742" t="n">
        <v>23</v>
      </c>
      <c r="K190" s="742" t="n">
        <v>11</v>
      </c>
      <c r="L190" s="742">
        <f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/>
      </c>
      <c r="M190" s="743">
        <f>L190</f>
        <v/>
      </c>
      <c r="N190" s="686">
        <f>IF(B190="TXO","",IF(D190="新倉","",IF(E190="賣",(H190-H189)*G190,(H189-H190)*G190)))</f>
        <v/>
      </c>
      <c r="O190" s="226" t="n">
        <v>0</v>
      </c>
      <c r="P190" s="667" t="n"/>
      <c r="R190" s="249" t="inlineStr">
        <is>
          <t>Yes</t>
        </is>
      </c>
      <c r="S190" s="249" t="inlineStr">
        <is>
          <t>Yes</t>
        </is>
      </c>
      <c r="T190" s="61">
        <f>IF(AND(R190="Yes",S190&lt;&gt;"Yes",L190&gt;0,B190&lt;&gt;"TXO"),L190,"")</f>
        <v/>
      </c>
      <c r="U190" s="61">
        <f>IF(AND(R190="Yes",S190&lt;&gt;"Yes",L190&lt;0,B190&lt;&gt;"TXO"),L190,"")</f>
        <v/>
      </c>
      <c r="V190" s="61">
        <f>IF(AND(R190="",S190&lt;&gt;"Yes",L190&gt;0,B190&lt;&gt;"TXO"),L190,"")</f>
        <v/>
      </c>
      <c r="W190" s="61">
        <f>IF(AND(R190="",S190&lt;&gt;"Yes",L190&lt;0,B190&lt;&gt;"TXO"),L190,"")</f>
        <v/>
      </c>
      <c r="X190" s="226">
        <f>IF(AND(R190="Yes",S190="Yes",L190&gt;0,B190&lt;&gt;"TXO"),L190,"")</f>
        <v/>
      </c>
      <c r="Y190" s="226">
        <f>IF(AND(R190="Yes",S190="Yes",L190&lt;0,B190&lt;&gt;"TXO"),L190,"")</f>
        <v/>
      </c>
      <c r="Z190" s="226">
        <f>IF(AND(R190="",S190="Yes",L190&gt;0,B190&lt;&gt;"TXO"),L190,"")</f>
        <v/>
      </c>
      <c r="AA190" s="226">
        <f>IF(AND(R190="",S190="Yes",L190&lt;0,B190&lt;&gt;"TXO"),L190,"")</f>
        <v/>
      </c>
    </row>
    <row r="191" outlineLevel="2" collapsed="1" ht="17.25" customHeight="1" thickBot="1">
      <c r="A191" s="740" t="n">
        <v>43556</v>
      </c>
      <c r="B191" s="299" t="inlineStr">
        <is>
          <t>FIMTX</t>
        </is>
      </c>
      <c r="C191" s="300" t="inlineStr">
        <is>
          <t>小指04</t>
        </is>
      </c>
      <c r="D191" s="300" t="inlineStr">
        <is>
          <t>平倉</t>
        </is>
      </c>
      <c r="E191" s="301" t="inlineStr">
        <is>
          <t>買</t>
        </is>
      </c>
      <c r="F191" s="300" t="inlineStr">
        <is>
          <t>-</t>
        </is>
      </c>
      <c r="G191" s="741" t="n">
        <v>1</v>
      </c>
      <c r="H191" s="741" t="n">
        <v>10669</v>
      </c>
      <c r="I191" s="741" t="n">
        <v>0</v>
      </c>
      <c r="J191" s="742" t="n">
        <v>23</v>
      </c>
      <c r="K191" s="742" t="n">
        <v>11</v>
      </c>
      <c r="L191" s="742">
        <f>IF(B191="TXO",I191-SUM(J191:K191),IF(B191="FITX",IF(D191="新倉",-SUM(J191:K191),IF(E191="賣",(H191-H190)*G191*200-SUM(J191:K191),(H190-H191)*G191*200-SUM(J191:K191))),IF(D191="新倉",-SUM(J191:K191),IF(E191="賣",(H191-H190)*G191*50-SUM(J191:K191),(H190-H191)*G191*50-SUM(J191:K191)))))</f>
        <v/>
      </c>
      <c r="M191" s="743">
        <f>L191</f>
        <v/>
      </c>
      <c r="N191" s="686">
        <f>IF(B191="TXO","",IF(D191="新倉","",IF(E191="賣",(H191-H190)*G191,(H190-H191)*G191)))</f>
        <v/>
      </c>
      <c r="O191" s="226" t="n">
        <v>0</v>
      </c>
      <c r="P191" s="667" t="n"/>
      <c r="R191" s="249" t="inlineStr">
        <is>
          <t>Yes</t>
        </is>
      </c>
      <c r="S191" s="249" t="inlineStr">
        <is>
          <t>Yes</t>
        </is>
      </c>
      <c r="T191" s="61">
        <f>IF(AND(R191="Yes",S191&lt;&gt;"Yes",L191&gt;0,B191&lt;&gt;"TXO"),L191,"")</f>
        <v/>
      </c>
      <c r="U191" s="61">
        <f>IF(AND(R191="Yes",S191&lt;&gt;"Yes",L191&lt;0,B191&lt;&gt;"TXO"),L191,"")</f>
        <v/>
      </c>
      <c r="V191" s="61">
        <f>IF(AND(R191="",S191&lt;&gt;"Yes",L191&gt;0,B191&lt;&gt;"TXO"),L191,"")</f>
        <v/>
      </c>
      <c r="W191" s="61">
        <f>IF(AND(R191="",S191&lt;&gt;"Yes",L191&lt;0,B191&lt;&gt;"TXO"),L191,"")</f>
        <v/>
      </c>
      <c r="X191" s="226">
        <f>IF(AND(R191="Yes",S191="Yes",L191&gt;0,B191&lt;&gt;"TXO"),L191,"")</f>
        <v/>
      </c>
      <c r="Y191" s="226">
        <f>IF(AND(R191="Yes",S191="Yes",L191&lt;0,B191&lt;&gt;"TXO"),L191,"")</f>
        <v/>
      </c>
      <c r="Z191" s="226">
        <f>IF(AND(R191="",S191="Yes",L191&gt;0,B191&lt;&gt;"TXO"),L191,"")</f>
        <v/>
      </c>
      <c r="AA191" s="226">
        <f>IF(AND(R191="",S191="Yes",L191&lt;0,B191&lt;&gt;"TXO"),L191,"")</f>
        <v/>
      </c>
    </row>
    <row r="192" collapsed="1" ht="17.25" customHeight="1" thickBot="1">
      <c r="A192" s="273" t="inlineStr">
        <is>
          <t>3月總計</t>
        </is>
      </c>
      <c r="B192" s="274" t="n"/>
      <c r="C192" s="274" t="n"/>
      <c r="D192" s="274" t="n"/>
      <c r="E192" s="274" t="n"/>
      <c r="F192" s="274" t="n"/>
      <c r="G192" s="715" t="n"/>
      <c r="H192" s="715" t="n"/>
      <c r="I192" s="715" t="n"/>
      <c r="J192" s="716" t="n"/>
      <c r="K192" s="715" t="n"/>
      <c r="L192" s="717">
        <f>SUM(L111:L191)</f>
        <v/>
      </c>
      <c r="M192" s="717">
        <f>SUM(M111:M191)</f>
        <v/>
      </c>
      <c r="N192" s="666" t="n"/>
      <c r="P192" s="744" t="n"/>
      <c r="R192" s="717">
        <f>SUMIF(R112:R191,"Yes",L112:L191)</f>
        <v/>
      </c>
      <c r="S192" s="739" t="n"/>
      <c r="T192" s="226">
        <f>SUM(T112:T191)</f>
        <v/>
      </c>
      <c r="U192" s="226">
        <f>SUM(U112:U191)</f>
        <v/>
      </c>
      <c r="V192" s="226">
        <f>SUM(V112:V191)</f>
        <v/>
      </c>
      <c r="W192" s="226">
        <f>SUM(W112:W191)</f>
        <v/>
      </c>
      <c r="X192" s="226">
        <f>SUM(X112:X191)</f>
        <v/>
      </c>
      <c r="Y192" s="226">
        <f>SUM(Y112:Y191)</f>
        <v/>
      </c>
      <c r="Z192" s="226">
        <f>SUM(Z112:Z191)</f>
        <v/>
      </c>
      <c r="AA192" s="226">
        <f>SUM(AA112:AA191)</f>
        <v/>
      </c>
    </row>
    <row r="193" ht="17.25" customHeight="1" thickBot="1">
      <c r="A193" s="718" t="n">
        <v>43563</v>
      </c>
      <c r="B193" s="292" t="n"/>
      <c r="C193" s="292" t="inlineStr">
        <is>
          <t>2019 飆股技巧籌碼心魔班</t>
        </is>
      </c>
      <c r="D193" s="292" t="n"/>
      <c r="E193" s="292" t="n"/>
      <c r="F193" s="292" t="n"/>
      <c r="G193" s="719" t="n"/>
      <c r="H193" s="719" t="n"/>
      <c r="I193" s="719" t="n"/>
      <c r="J193" s="720" t="n"/>
      <c r="K193" s="719" t="n"/>
      <c r="L193" s="720" t="n"/>
      <c r="M193" s="721">
        <f>-4457*0.965</f>
        <v/>
      </c>
      <c r="N193" s="666" t="n"/>
      <c r="P193" s="722" t="n"/>
      <c r="Q193" s="249" t="inlineStr">
        <is>
          <t>13000分6期, 每期2166, 6-4</t>
        </is>
      </c>
      <c r="R193" s="226" t="n"/>
    </row>
    <row r="194" outlineLevel="1">
      <c r="A194" s="696" t="n">
        <v>43557</v>
      </c>
      <c r="B194" s="234" t="inlineStr">
        <is>
          <t>FIMTX</t>
        </is>
      </c>
      <c r="C194" s="229" t="inlineStr">
        <is>
          <t>小指04</t>
        </is>
      </c>
      <c r="D194" s="229" t="inlineStr">
        <is>
          <t>新倉</t>
        </is>
      </c>
      <c r="E194" s="257" t="inlineStr">
        <is>
          <t>賣</t>
        </is>
      </c>
      <c r="F194" s="229" t="inlineStr">
        <is>
          <t>-</t>
        </is>
      </c>
      <c r="G194" s="697" t="n">
        <v>1</v>
      </c>
      <c r="H194" s="697" t="n">
        <v>10677</v>
      </c>
      <c r="I194" s="697" t="n">
        <v>0</v>
      </c>
      <c r="J194" s="585" t="n">
        <v>23</v>
      </c>
      <c r="K194" s="585" t="n">
        <v>11</v>
      </c>
      <c r="L194" s="585">
        <f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/>
      </c>
      <c r="M194" s="699">
        <f>L194</f>
        <v/>
      </c>
      <c r="N194" s="686">
        <f>IF(B194="TXO","",IF(D194="新倉","",IF(E194="賣",(H194-H193)*G194,(H193-H194)*G194)))</f>
        <v/>
      </c>
      <c r="O194" s="226" t="n">
        <v>0</v>
      </c>
      <c r="P194" s="667">
        <f>SUM(L194:L197)</f>
        <v/>
      </c>
      <c r="Q194" s="249" t="inlineStr">
        <is>
          <t>3/3 買進1口</t>
        </is>
      </c>
      <c r="R194" s="249" t="inlineStr">
        <is>
          <t>Yes</t>
        </is>
      </c>
      <c r="S194" s="249" t="n"/>
      <c r="T194" s="61">
        <f>IF(AND(R194="Yes",S194&lt;&gt;"Yes",L194&gt;0,B194&lt;&gt;"TXO"),L194,"")</f>
        <v/>
      </c>
      <c r="U194" s="61">
        <f>IF(AND(R194="Yes",S194&lt;&gt;"Yes",L194&lt;0,B194&lt;&gt;"TXO"),L194,"")</f>
        <v/>
      </c>
      <c r="V194" s="61">
        <f>IF(AND(R194="",S194&lt;&gt;"Yes",L194&gt;0,B194&lt;&gt;"TXO"),L194,"")</f>
        <v/>
      </c>
      <c r="W194" s="61">
        <f>IF(AND(R194="",S194&lt;&gt;"Yes",L194&lt;0,B194&lt;&gt;"TXO"),L194,"")</f>
        <v/>
      </c>
      <c r="X194" s="226">
        <f>IF(AND(R194="Yes",S194="Yes",L194&gt;0,B194&lt;&gt;"TXO"),L194,"")</f>
        <v/>
      </c>
      <c r="Y194" s="226">
        <f>IF(AND(R194="Yes",S194="Yes",L194&lt;0,B194&lt;&gt;"TXO"),L194,"")</f>
        <v/>
      </c>
      <c r="Z194" s="226">
        <f>IF(AND(R194="",S194="Yes",L194&gt;0,B194&lt;&gt;"TXO"),L194,"")</f>
        <v/>
      </c>
      <c r="AA194" s="226">
        <f>IF(AND(R194="",S194="Yes",L194&lt;0,B194&lt;&gt;"TXO"),L194,"")</f>
        <v/>
      </c>
    </row>
    <row r="195" outlineLevel="2">
      <c r="A195" s="696" t="n">
        <v>43557</v>
      </c>
      <c r="B195" s="234" t="inlineStr">
        <is>
          <t>FIMTX</t>
        </is>
      </c>
      <c r="C195" s="229" t="inlineStr">
        <is>
          <t>小指04</t>
        </is>
      </c>
      <c r="D195" s="229" t="inlineStr">
        <is>
          <t>平倉</t>
        </is>
      </c>
      <c r="E195" s="257" t="inlineStr">
        <is>
          <t>買</t>
        </is>
      </c>
      <c r="F195" s="229" t="inlineStr">
        <is>
          <t>-</t>
        </is>
      </c>
      <c r="G195" s="697" t="n">
        <v>1</v>
      </c>
      <c r="H195" s="697" t="n">
        <v>10692</v>
      </c>
      <c r="I195" s="697" t="n">
        <v>0</v>
      </c>
      <c r="J195" s="585" t="n">
        <v>23</v>
      </c>
      <c r="K195" s="585" t="n">
        <v>11</v>
      </c>
      <c r="L195" s="585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/>
      </c>
      <c r="M195" s="699">
        <f>L195</f>
        <v/>
      </c>
      <c r="N195" s="686">
        <f>IF(B195="TXO","",IF(D195="新倉","",IF(E195="賣",(H195-H194)*G195,(H194-H195)*G195)))</f>
        <v/>
      </c>
      <c r="O195" s="226" t="n">
        <v>0</v>
      </c>
      <c r="P195" s="667" t="n"/>
      <c r="Q195" s="249" t="inlineStr">
        <is>
          <t>技法: 碰10MA出場(停損)</t>
        </is>
      </c>
      <c r="R195" s="249" t="inlineStr">
        <is>
          <t>Yes</t>
        </is>
      </c>
      <c r="S195" s="249" t="n"/>
      <c r="T195" s="61">
        <f>IF(AND(R195="Yes",S195&lt;&gt;"Yes",L195&gt;0,B195&lt;&gt;"TXO"),L195,"")</f>
        <v/>
      </c>
      <c r="U195" s="61">
        <f>IF(AND(R195="Yes",S195&lt;&gt;"Yes",L195&lt;0,B195&lt;&gt;"TXO"),L195,"")</f>
        <v/>
      </c>
      <c r="V195" s="61">
        <f>IF(AND(R195="",S195&lt;&gt;"Yes",L195&gt;0,B195&lt;&gt;"TXO"),L195,"")</f>
        <v/>
      </c>
      <c r="W195" s="61">
        <f>IF(AND(R195="",S195&lt;&gt;"Yes",L195&lt;0,B195&lt;&gt;"TXO"),L195,"")</f>
        <v/>
      </c>
      <c r="X195" s="226">
        <f>IF(AND(R195="Yes",S195="Yes",L195&gt;0,B195&lt;&gt;"TXO"),L195,"")</f>
        <v/>
      </c>
      <c r="Y195" s="226">
        <f>IF(AND(R195="Yes",S195="Yes",L195&lt;0,B195&lt;&gt;"TXO"),L195,"")</f>
        <v/>
      </c>
      <c r="Z195" s="226">
        <f>IF(AND(R195="",S195="Yes",L195&gt;0,B195&lt;&gt;"TXO"),L195,"")</f>
        <v/>
      </c>
      <c r="AA195" s="226">
        <f>IF(AND(R195="",S195="Yes",L195&lt;0,B195&lt;&gt;"TXO"),L195,"")</f>
        <v/>
      </c>
    </row>
    <row r="196" outlineLevel="2">
      <c r="A196" s="696" t="n">
        <v>43557</v>
      </c>
      <c r="B196" s="234" t="inlineStr">
        <is>
          <t>FIMTX</t>
        </is>
      </c>
      <c r="C196" s="229" t="inlineStr">
        <is>
          <t>小指04</t>
        </is>
      </c>
      <c r="D196" s="229" t="inlineStr">
        <is>
          <t>新倉</t>
        </is>
      </c>
      <c r="E196" s="257" t="inlineStr">
        <is>
          <t>賣</t>
        </is>
      </c>
      <c r="F196" s="229" t="inlineStr">
        <is>
          <t>-</t>
        </is>
      </c>
      <c r="G196" s="697" t="n">
        <v>1</v>
      </c>
      <c r="H196" s="697" t="n">
        <v>10684</v>
      </c>
      <c r="I196" s="697" t="n">
        <v>0</v>
      </c>
      <c r="J196" s="585" t="n">
        <v>23</v>
      </c>
      <c r="K196" s="585" t="n">
        <v>11</v>
      </c>
      <c r="L196" s="585">
        <f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/>
      </c>
      <c r="M196" s="699">
        <f>L196</f>
        <v/>
      </c>
      <c r="N196" s="686">
        <f>IF(B196="TXO","",IF(D196="新倉","",IF(E196="賣",(H196-H195)*G196,(H195-H196)*G196)))</f>
        <v/>
      </c>
      <c r="O196" s="226" t="n">
        <v>0</v>
      </c>
      <c r="P196" s="667" t="n"/>
      <c r="Q196" s="249" t="inlineStr">
        <is>
          <t>3/3 買進1口</t>
        </is>
      </c>
      <c r="R196" s="249" t="inlineStr">
        <is>
          <t>Yes</t>
        </is>
      </c>
      <c r="S196" s="249" t="n"/>
      <c r="T196" s="61">
        <f>IF(AND(R196="Yes",S196&lt;&gt;"Yes",L196&gt;0,B196&lt;&gt;"TXO"),L196,"")</f>
        <v/>
      </c>
      <c r="U196" s="61">
        <f>IF(AND(R196="Yes",S196&lt;&gt;"Yes",L196&lt;0,B196&lt;&gt;"TXO"),L196,"")</f>
        <v/>
      </c>
      <c r="V196" s="61">
        <f>IF(AND(R196="",S196&lt;&gt;"Yes",L196&gt;0,B196&lt;&gt;"TXO"),L196,"")</f>
        <v/>
      </c>
      <c r="W196" s="61">
        <f>IF(AND(R196="",S196&lt;&gt;"Yes",L196&lt;0,B196&lt;&gt;"TXO"),L196,"")</f>
        <v/>
      </c>
      <c r="X196" s="226">
        <f>IF(AND(R196="Yes",S196="Yes",L196&gt;0,B196&lt;&gt;"TXO"),L196,"")</f>
        <v/>
      </c>
      <c r="Y196" s="226">
        <f>IF(AND(R196="Yes",S196="Yes",L196&lt;0,B196&lt;&gt;"TXO"),L196,"")</f>
        <v/>
      </c>
      <c r="Z196" s="226">
        <f>IF(AND(R196="",S196="Yes",L196&gt;0,B196&lt;&gt;"TXO"),L196,"")</f>
        <v/>
      </c>
      <c r="AA196" s="226">
        <f>IF(AND(R196="",S196="Yes",L196&lt;0,B196&lt;&gt;"TXO"),L196,"")</f>
        <v/>
      </c>
    </row>
    <row r="197" outlineLevel="2">
      <c r="A197" s="696" t="n">
        <v>43557</v>
      </c>
      <c r="B197" s="234" t="inlineStr">
        <is>
          <t>FIMTX</t>
        </is>
      </c>
      <c r="C197" s="229" t="inlineStr">
        <is>
          <t>小指04</t>
        </is>
      </c>
      <c r="D197" s="229" t="inlineStr">
        <is>
          <t>平倉</t>
        </is>
      </c>
      <c r="E197" s="257" t="inlineStr">
        <is>
          <t>買</t>
        </is>
      </c>
      <c r="F197" s="229" t="inlineStr">
        <is>
          <t>-</t>
        </is>
      </c>
      <c r="G197" s="697" t="n">
        <v>1</v>
      </c>
      <c r="H197" s="697" t="n">
        <v>10678</v>
      </c>
      <c r="I197" s="697" t="n">
        <v>0</v>
      </c>
      <c r="J197" s="585" t="n">
        <v>23</v>
      </c>
      <c r="K197" s="585" t="n">
        <v>11</v>
      </c>
      <c r="L197" s="585">
        <f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/>
      </c>
      <c r="M197" s="699">
        <f>L197</f>
        <v/>
      </c>
      <c r="N197" s="686">
        <f>IF(B197="TXO","",IF(D197="新倉","",IF(E197="賣",(H197-H196)*G197,(H196-H197)*G197)))</f>
        <v/>
      </c>
      <c r="O197" s="226" t="n">
        <v>0</v>
      </c>
      <c r="P197" s="667" t="n"/>
      <c r="Q197" s="249" t="inlineStr">
        <is>
          <t>元大移動式停利</t>
        </is>
      </c>
      <c r="R197" s="249" t="inlineStr">
        <is>
          <t>Yes</t>
        </is>
      </c>
      <c r="S197" s="249" t="n"/>
      <c r="T197" s="61">
        <f>IF(AND(R197="Yes",S197&lt;&gt;"Yes",L197&gt;0,B197&lt;&gt;"TXO"),L197,"")</f>
        <v/>
      </c>
      <c r="U197" s="61">
        <f>IF(AND(R197="Yes",S197&lt;&gt;"Yes",L197&lt;0,B197&lt;&gt;"TXO"),L197,"")</f>
        <v/>
      </c>
      <c r="V197" s="61">
        <f>IF(AND(R197="",S197&lt;&gt;"Yes",L197&gt;0,B197&lt;&gt;"TXO"),L197,"")</f>
        <v/>
      </c>
      <c r="W197" s="61">
        <f>IF(AND(R197="",S197&lt;&gt;"Yes",L197&lt;0,B197&lt;&gt;"TXO"),L197,"")</f>
        <v/>
      </c>
      <c r="X197" s="226">
        <f>IF(AND(R197="Yes",S197="Yes",L197&gt;0,B197&lt;&gt;"TXO"),L197,"")</f>
        <v/>
      </c>
      <c r="Y197" s="226">
        <f>IF(AND(R197="Yes",S197="Yes",L197&lt;0,B197&lt;&gt;"TXO"),L197,"")</f>
        <v/>
      </c>
      <c r="Z197" s="226">
        <f>IF(AND(R197="",S197="Yes",L197&gt;0,B197&lt;&gt;"TXO"),L197,"")</f>
        <v/>
      </c>
      <c r="AA197" s="226">
        <f>IF(AND(R197="",S197="Yes",L197&lt;0,B197&lt;&gt;"TXO"),L197,"")</f>
        <v/>
      </c>
    </row>
    <row r="198" outlineLevel="1">
      <c r="A198" s="740" t="n">
        <v>43563</v>
      </c>
      <c r="B198" s="299" t="inlineStr">
        <is>
          <t>FIMTX</t>
        </is>
      </c>
      <c r="C198" s="300" t="inlineStr">
        <is>
          <t>小指04</t>
        </is>
      </c>
      <c r="D198" s="300" t="inlineStr">
        <is>
          <t>新倉</t>
        </is>
      </c>
      <c r="E198" s="301" t="inlineStr">
        <is>
          <t>買</t>
        </is>
      </c>
      <c r="F198" s="300" t="inlineStr">
        <is>
          <t>-</t>
        </is>
      </c>
      <c r="G198" s="741" t="n">
        <v>1</v>
      </c>
      <c r="H198" s="741" t="n">
        <v>10788</v>
      </c>
      <c r="I198" s="741" t="n">
        <v>0</v>
      </c>
      <c r="J198" s="742" t="n">
        <v>23</v>
      </c>
      <c r="K198" s="742" t="n">
        <v>11</v>
      </c>
      <c r="L198" s="742">
        <f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/>
      </c>
      <c r="M198" s="743">
        <f>L198</f>
        <v/>
      </c>
      <c r="N198" s="686">
        <f>IF(B198="TXO","",IF(D198="新倉","",IF(E198="賣",(H198-H197)*G198,(H197-H198)*G198)))</f>
        <v/>
      </c>
      <c r="O198" s="226" t="n">
        <v>0</v>
      </c>
      <c r="P198" s="667">
        <f>SUM(L198:L199)</f>
        <v/>
      </c>
      <c r="Q198" s="249" t="inlineStr">
        <is>
          <t>3/3 買進1口</t>
        </is>
      </c>
      <c r="R198" s="249" t="inlineStr">
        <is>
          <t>Yes</t>
        </is>
      </c>
      <c r="S198" s="249" t="inlineStr">
        <is>
          <t>Yes</t>
        </is>
      </c>
      <c r="T198" s="61">
        <f>IF(AND(R198="Yes",S198&lt;&gt;"Yes",L198&gt;0,B198&lt;&gt;"TXO"),L198,"")</f>
        <v/>
      </c>
      <c r="U198" s="61">
        <f>IF(AND(R198="Yes",S198&lt;&gt;"Yes",L198&lt;0,B198&lt;&gt;"TXO"),L198,"")</f>
        <v/>
      </c>
      <c r="V198" s="61">
        <f>IF(AND(R198="",S198&lt;&gt;"Yes",L198&gt;0,B198&lt;&gt;"TXO"),L198,"")</f>
        <v/>
      </c>
      <c r="W198" s="61">
        <f>IF(AND(R198="",S198&lt;&gt;"Yes",L198&lt;0,B198&lt;&gt;"TXO"),L198,"")</f>
        <v/>
      </c>
      <c r="X198" s="226">
        <f>IF(AND(R198="Yes",S198="Yes",L198&gt;0,B198&lt;&gt;"TXO"),L198,"")</f>
        <v/>
      </c>
      <c r="Y198" s="226">
        <f>IF(AND(R198="Yes",S198="Yes",L198&lt;0,B198&lt;&gt;"TXO"),L198,"")</f>
        <v/>
      </c>
      <c r="Z198" s="226">
        <f>IF(AND(R198="",S198="Yes",L198&gt;0,B198&lt;&gt;"TXO"),L198,"")</f>
        <v/>
      </c>
      <c r="AA198" s="226">
        <f>IF(AND(R198="",S198="Yes",L198&lt;0,B198&lt;&gt;"TXO"),L198,"")</f>
        <v/>
      </c>
    </row>
    <row r="199" outlineLevel="1" collapsed="1">
      <c r="A199" s="740" t="n">
        <v>43563</v>
      </c>
      <c r="B199" s="299" t="inlineStr">
        <is>
          <t>FIMTX</t>
        </is>
      </c>
      <c r="C199" s="300" t="inlineStr">
        <is>
          <t>小指04</t>
        </is>
      </c>
      <c r="D199" s="300" t="inlineStr">
        <is>
          <t>平倉</t>
        </is>
      </c>
      <c r="E199" s="301" t="inlineStr">
        <is>
          <t>賣</t>
        </is>
      </c>
      <c r="F199" s="300" t="inlineStr">
        <is>
          <t>-</t>
        </is>
      </c>
      <c r="G199" s="741" t="n">
        <v>1</v>
      </c>
      <c r="H199" s="741" t="n">
        <v>10784</v>
      </c>
      <c r="I199" s="741" t="n">
        <v>0</v>
      </c>
      <c r="J199" s="742" t="n">
        <v>23</v>
      </c>
      <c r="K199" s="742" t="n">
        <v>11</v>
      </c>
      <c r="L199" s="742">
        <f>IF(B199="TXO",I199-SUM(J199:K199),IF(B199="FITX",IF(D199="新倉",-SUM(J199:K199),IF(E199="賣",(H199-H198)*G199*200-SUM(J199:K199),(H198-H199)*G199*200-SUM(J199:K199))),IF(D199="新倉",-SUM(J199:K199),IF(E199="賣",(H199-H198)*G199*50-SUM(J199:K199),(H198-H199)*G199*50-SUM(J199:K199)))))</f>
        <v/>
      </c>
      <c r="M199" s="743">
        <f>L199</f>
        <v/>
      </c>
      <c r="N199" s="686">
        <f>IF(B199="TXO","",IF(D199="新倉","",IF(E199="賣",(H199-H198)*G199,(H198-H199)*G199)))</f>
        <v/>
      </c>
      <c r="O199" s="226" t="n">
        <v>0</v>
      </c>
      <c r="P199" s="667" t="n"/>
      <c r="Q199" s="249" t="inlineStr">
        <is>
          <t>技法: 碰10MA出場(停損)</t>
        </is>
      </c>
      <c r="R199" s="249" t="inlineStr">
        <is>
          <t>Yes</t>
        </is>
      </c>
      <c r="S199" s="249" t="inlineStr">
        <is>
          <t>Yes</t>
        </is>
      </c>
      <c r="T199" s="61">
        <f>IF(AND(R199="Yes",S199&lt;&gt;"Yes",L199&gt;0,B199&lt;&gt;"TXO"),L199,"")</f>
        <v/>
      </c>
      <c r="U199" s="61">
        <f>IF(AND(R199="Yes",S199&lt;&gt;"Yes",L199&lt;0,B199&lt;&gt;"TXO"),L199,"")</f>
        <v/>
      </c>
      <c r="V199" s="61">
        <f>IF(AND(R199="",S199&lt;&gt;"Yes",L199&gt;0,B199&lt;&gt;"TXO"),L199,"")</f>
        <v/>
      </c>
      <c r="W199" s="61">
        <f>IF(AND(R199="",S199&lt;&gt;"Yes",L199&lt;0,B199&lt;&gt;"TXO"),L199,"")</f>
        <v/>
      </c>
      <c r="X199" s="226">
        <f>IF(AND(R199="Yes",S199="Yes",L199&gt;0,B199&lt;&gt;"TXO"),L199,"")</f>
        <v/>
      </c>
      <c r="Y199" s="226">
        <f>IF(AND(R199="Yes",S199="Yes",L199&lt;0,B199&lt;&gt;"TXO"),L199,"")</f>
        <v/>
      </c>
      <c r="Z199" s="226">
        <f>IF(AND(R199="",S199="Yes",L199&gt;0,B199&lt;&gt;"TXO"),L199,"")</f>
        <v/>
      </c>
      <c r="AA199" s="226">
        <f>IF(AND(R199="",S199="Yes",L199&lt;0,B199&lt;&gt;"TXO"),L199,"")</f>
        <v/>
      </c>
    </row>
    <row r="200" outlineLevel="1">
      <c r="A200" s="696" t="n">
        <v>43564</v>
      </c>
      <c r="B200" s="234" t="inlineStr">
        <is>
          <t>FIMTX</t>
        </is>
      </c>
      <c r="C200" s="229" t="inlineStr">
        <is>
          <t>小指04</t>
        </is>
      </c>
      <c r="D200" s="229" t="inlineStr">
        <is>
          <t>新倉</t>
        </is>
      </c>
      <c r="E200" s="257" t="inlineStr">
        <is>
          <t>買</t>
        </is>
      </c>
      <c r="F200" s="229" t="inlineStr">
        <is>
          <t>-</t>
        </is>
      </c>
      <c r="G200" s="697" t="n">
        <v>1</v>
      </c>
      <c r="H200" s="697" t="n">
        <v>10796</v>
      </c>
      <c r="I200" s="697" t="n">
        <v>0</v>
      </c>
      <c r="J200" s="585" t="n">
        <v>23</v>
      </c>
      <c r="K200" s="585" t="n">
        <v>11</v>
      </c>
      <c r="L200" s="585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/>
      </c>
      <c r="M200" s="699">
        <f>L200</f>
        <v/>
      </c>
      <c r="N200" s="686">
        <f>IF(B200="TXO","",IF(D200="新倉","",IF(E200="賣",(H200-H199)*G200,(H199-H200)*G200)))</f>
        <v/>
      </c>
      <c r="O200" s="226" t="n">
        <v>0</v>
      </c>
      <c r="P200" s="667">
        <f>SUM(L200:L201)</f>
        <v/>
      </c>
      <c r="Q200" s="249" t="inlineStr">
        <is>
          <t>3/3 買進1口</t>
        </is>
      </c>
      <c r="R200" s="249" t="inlineStr">
        <is>
          <t>Yes</t>
        </is>
      </c>
      <c r="S200" s="249" t="n"/>
      <c r="T200" s="61">
        <f>IF(AND(R200="Yes",S200&lt;&gt;"Yes",L200&gt;0,B200&lt;&gt;"TXO"),L200,"")</f>
        <v/>
      </c>
      <c r="U200" s="61">
        <f>IF(AND(R200="Yes",S200&lt;&gt;"Yes",L200&lt;0,B200&lt;&gt;"TXO"),L200,"")</f>
        <v/>
      </c>
      <c r="V200" s="61">
        <f>IF(AND(R200="",S200&lt;&gt;"Yes",L200&gt;0,B200&lt;&gt;"TXO"),L200,"")</f>
        <v/>
      </c>
      <c r="W200" s="61">
        <f>IF(AND(R200="",S200&lt;&gt;"Yes",L200&lt;0,B200&lt;&gt;"TXO"),L200,"")</f>
        <v/>
      </c>
      <c r="X200" s="226">
        <f>IF(AND(R200="Yes",S200="Yes",L200&gt;0,B200&lt;&gt;"TXO"),L200,"")</f>
        <v/>
      </c>
      <c r="Y200" s="226">
        <f>IF(AND(R200="Yes",S200="Yes",L200&lt;0,B200&lt;&gt;"TXO"),L200,"")</f>
        <v/>
      </c>
      <c r="Z200" s="226">
        <f>IF(AND(R200="",S200="Yes",L200&gt;0,B200&lt;&gt;"TXO"),L200,"")</f>
        <v/>
      </c>
      <c r="AA200" s="226">
        <f>IF(AND(R200="",S200="Yes",L200&lt;0,B200&lt;&gt;"TXO"),L200,"")</f>
        <v/>
      </c>
    </row>
    <row r="201" outlineLevel="1">
      <c r="A201" s="696" t="n">
        <v>43564</v>
      </c>
      <c r="B201" s="234" t="inlineStr">
        <is>
          <t>FIMTX</t>
        </is>
      </c>
      <c r="C201" s="229" t="inlineStr">
        <is>
          <t>小指04</t>
        </is>
      </c>
      <c r="D201" s="229" t="inlineStr">
        <is>
          <t>平倉</t>
        </is>
      </c>
      <c r="E201" s="257" t="inlineStr">
        <is>
          <t>賣</t>
        </is>
      </c>
      <c r="F201" s="229" t="inlineStr">
        <is>
          <t>-</t>
        </is>
      </c>
      <c r="G201" s="697" t="n">
        <v>1</v>
      </c>
      <c r="H201" s="697" t="n">
        <v>10801</v>
      </c>
      <c r="I201" s="697" t="n">
        <v>0</v>
      </c>
      <c r="J201" s="585" t="n">
        <v>23</v>
      </c>
      <c r="K201" s="585" t="n">
        <v>11</v>
      </c>
      <c r="L201" s="585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/>
      </c>
      <c r="M201" s="699">
        <f>L201</f>
        <v/>
      </c>
      <c r="N201" s="686">
        <f>IF(B201="TXO","",IF(D201="新倉","",IF(E201="賣",(H201-H200)*G201,(H200-H201)*G201)))</f>
        <v/>
      </c>
      <c r="O201" s="226" t="n">
        <v>0</v>
      </c>
      <c r="P201" s="667" t="n"/>
      <c r="Q201" s="249" t="inlineStr">
        <is>
          <t>技法: 碰10MA出場</t>
        </is>
      </c>
      <c r="R201" s="249" t="inlineStr">
        <is>
          <t>Yes</t>
        </is>
      </c>
      <c r="S201" s="249" t="n"/>
      <c r="T201" s="61">
        <f>IF(AND(R201="Yes",S201&lt;&gt;"Yes",L201&gt;0,B201&lt;&gt;"TXO"),L201,"")</f>
        <v/>
      </c>
      <c r="U201" s="61">
        <f>IF(AND(R201="Yes",S201&lt;&gt;"Yes",L201&lt;0,B201&lt;&gt;"TXO"),L201,"")</f>
        <v/>
      </c>
      <c r="V201" s="61">
        <f>IF(AND(R201="",S201&lt;&gt;"Yes",L201&gt;0,B201&lt;&gt;"TXO"),L201,"")</f>
        <v/>
      </c>
      <c r="W201" s="61">
        <f>IF(AND(R201="",S201&lt;&gt;"Yes",L201&lt;0,B201&lt;&gt;"TXO"),L201,"")</f>
        <v/>
      </c>
      <c r="X201" s="226">
        <f>IF(AND(R201="Yes",S201="Yes",L201&gt;0,B201&lt;&gt;"TXO"),L201,"")</f>
        <v/>
      </c>
      <c r="Y201" s="226">
        <f>IF(AND(R201="Yes",S201="Yes",L201&lt;0,B201&lt;&gt;"TXO"),L201,"")</f>
        <v/>
      </c>
      <c r="Z201" s="226">
        <f>IF(AND(R201="",S201="Yes",L201&gt;0,B201&lt;&gt;"TXO"),L201,"")</f>
        <v/>
      </c>
      <c r="AA201" s="226">
        <f>IF(AND(R201="",S201="Yes",L201&lt;0,B201&lt;&gt;"TXO"),L201,"")</f>
        <v/>
      </c>
    </row>
    <row r="202" outlineLevel="1">
      <c r="A202" s="740" t="n">
        <v>43566</v>
      </c>
      <c r="B202" s="299" t="inlineStr">
        <is>
          <t>FIMTX</t>
        </is>
      </c>
      <c r="C202" s="300" t="inlineStr">
        <is>
          <t>小指04</t>
        </is>
      </c>
      <c r="D202" s="300" t="inlineStr">
        <is>
          <t>新倉</t>
        </is>
      </c>
      <c r="E202" s="301" t="inlineStr">
        <is>
          <t>賣</t>
        </is>
      </c>
      <c r="F202" s="300" t="inlineStr">
        <is>
          <t>-</t>
        </is>
      </c>
      <c r="G202" s="741" t="n">
        <v>1</v>
      </c>
      <c r="H202" s="741" t="n">
        <v>10802</v>
      </c>
      <c r="I202" s="741" t="n">
        <v>0</v>
      </c>
      <c r="J202" s="742" t="n">
        <v>23</v>
      </c>
      <c r="K202" s="742" t="n">
        <v>11</v>
      </c>
      <c r="L202" s="742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/>
      </c>
      <c r="M202" s="743">
        <f>L202</f>
        <v/>
      </c>
      <c r="N202" s="686">
        <f>IF(B202="TXO","",IF(D202="新倉","",IF(E202="賣",(H202-H201)*G202,(H201-H202)*G202)))</f>
        <v/>
      </c>
      <c r="O202" s="226" t="n">
        <v>0</v>
      </c>
      <c r="P202" s="667">
        <f>SUM(L202:L203)</f>
        <v/>
      </c>
      <c r="Q202" s="249" t="inlineStr">
        <is>
          <t>3/3 買進1口</t>
        </is>
      </c>
      <c r="R202" s="249" t="inlineStr">
        <is>
          <t>Yes</t>
        </is>
      </c>
      <c r="S202" s="249" t="n"/>
      <c r="T202" s="61">
        <f>IF(AND(R202="Yes",S202&lt;&gt;"Yes",L202&gt;0,B202&lt;&gt;"TXO"),L202,"")</f>
        <v/>
      </c>
      <c r="U202" s="61">
        <f>IF(AND(R202="Yes",S202&lt;&gt;"Yes",L202&lt;0,B202&lt;&gt;"TXO"),L202,"")</f>
        <v/>
      </c>
      <c r="V202" s="61">
        <f>IF(AND(R202="",S202&lt;&gt;"Yes",L202&gt;0,B202&lt;&gt;"TXO"),L202,"")</f>
        <v/>
      </c>
      <c r="W202" s="61">
        <f>IF(AND(R202="",S202&lt;&gt;"Yes",L202&lt;0,B202&lt;&gt;"TXO"),L202,"")</f>
        <v/>
      </c>
      <c r="X202" s="226">
        <f>IF(AND(R202="Yes",S202="Yes",L202&gt;0,B202&lt;&gt;"TXO"),L202,"")</f>
        <v/>
      </c>
      <c r="Y202" s="226">
        <f>IF(AND(R202="Yes",S202="Yes",L202&lt;0,B202&lt;&gt;"TXO"),L202,"")</f>
        <v/>
      </c>
      <c r="Z202" s="226">
        <f>IF(AND(R202="",S202="Yes",L202&gt;0,B202&lt;&gt;"TXO"),L202,"")</f>
        <v/>
      </c>
      <c r="AA202" s="226">
        <f>IF(AND(R202="",S202="Yes",L202&lt;0,B202&lt;&gt;"TXO"),L202,"")</f>
        <v/>
      </c>
    </row>
    <row r="203" outlineLevel="1" collapsed="1">
      <c r="A203" s="740" t="n">
        <v>43566</v>
      </c>
      <c r="B203" s="299" t="inlineStr">
        <is>
          <t>FIMTX</t>
        </is>
      </c>
      <c r="C203" s="300" t="inlineStr">
        <is>
          <t>小指04</t>
        </is>
      </c>
      <c r="D203" s="300" t="inlineStr">
        <is>
          <t>平倉</t>
        </is>
      </c>
      <c r="E203" s="301" t="inlineStr">
        <is>
          <t>買</t>
        </is>
      </c>
      <c r="F203" s="300" t="inlineStr">
        <is>
          <t>-</t>
        </is>
      </c>
      <c r="G203" s="741" t="n">
        <v>1</v>
      </c>
      <c r="H203" s="741" t="n">
        <v>10809</v>
      </c>
      <c r="I203" s="741" t="n">
        <v>0</v>
      </c>
      <c r="J203" s="742" t="n">
        <v>23</v>
      </c>
      <c r="K203" s="742" t="n">
        <v>11</v>
      </c>
      <c r="L203" s="742">
        <f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/>
      </c>
      <c r="M203" s="743">
        <f>L203</f>
        <v/>
      </c>
      <c r="N203" s="686">
        <f>IF(B203="TXO","",IF(D203="新倉","",IF(E203="賣",(H203-H202)*G203,(H202-H203)*G203)))</f>
        <v/>
      </c>
      <c r="O203" s="226" t="n">
        <v>0</v>
      </c>
      <c r="P203" s="667" t="n"/>
      <c r="Q203" s="249" t="inlineStr">
        <is>
          <t>技法: 碰10MA出場(停損)</t>
        </is>
      </c>
      <c r="R203" s="249" t="inlineStr">
        <is>
          <t>Yes</t>
        </is>
      </c>
      <c r="S203" s="249" t="n"/>
      <c r="T203" s="61">
        <f>IF(AND(R203="Yes",S203&lt;&gt;"Yes",L203&gt;0,B203&lt;&gt;"TXO"),L203,"")</f>
        <v/>
      </c>
      <c r="U203" s="61">
        <f>IF(AND(R203="Yes",S203&lt;&gt;"Yes",L203&lt;0,B203&lt;&gt;"TXO"),L203,"")</f>
        <v/>
      </c>
      <c r="V203" s="61">
        <f>IF(AND(R203="",S203&lt;&gt;"Yes",L203&gt;0,B203&lt;&gt;"TXO"),L203,"")</f>
        <v/>
      </c>
      <c r="W203" s="61">
        <f>IF(AND(R203="",S203&lt;&gt;"Yes",L203&lt;0,B203&lt;&gt;"TXO"),L203,"")</f>
        <v/>
      </c>
      <c r="X203" s="226">
        <f>IF(AND(R203="Yes",S203="Yes",L203&gt;0,B203&lt;&gt;"TXO"),L203,"")</f>
        <v/>
      </c>
      <c r="Y203" s="226">
        <f>IF(AND(R203="Yes",S203="Yes",L203&lt;0,B203&lt;&gt;"TXO"),L203,"")</f>
        <v/>
      </c>
      <c r="Z203" s="226">
        <f>IF(AND(R203="",S203="Yes",L203&gt;0,B203&lt;&gt;"TXO"),L203,"")</f>
        <v/>
      </c>
      <c r="AA203" s="226">
        <f>IF(AND(R203="",S203="Yes",L203&lt;0,B203&lt;&gt;"TXO"),L203,"")</f>
        <v/>
      </c>
    </row>
    <row r="204" outlineLevel="1">
      <c r="A204" s="696" t="n">
        <v>43567</v>
      </c>
      <c r="B204" s="234" t="inlineStr">
        <is>
          <t>FIMTX</t>
        </is>
      </c>
      <c r="C204" s="229" t="inlineStr">
        <is>
          <t>小指04</t>
        </is>
      </c>
      <c r="D204" s="229" t="inlineStr">
        <is>
          <t>新倉</t>
        </is>
      </c>
      <c r="E204" s="257" t="inlineStr">
        <is>
          <t>買</t>
        </is>
      </c>
      <c r="F204" s="229" t="inlineStr">
        <is>
          <t>-</t>
        </is>
      </c>
      <c r="G204" s="697" t="n">
        <v>1</v>
      </c>
      <c r="H204" s="697" t="n">
        <v>10850</v>
      </c>
      <c r="I204" s="697" t="n">
        <v>0</v>
      </c>
      <c r="J204" s="585" t="n">
        <v>23</v>
      </c>
      <c r="K204" s="585" t="n">
        <v>11</v>
      </c>
      <c r="L204" s="585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/>
      </c>
      <c r="M204" s="699">
        <f>L204</f>
        <v/>
      </c>
      <c r="N204" s="686">
        <f>IF(B204="TXO","",IF(D204="新倉","",IF(E204="賣",(H204-H203)*G204,(H203-H204)*G204)))</f>
        <v/>
      </c>
      <c r="O204" s="226" t="n">
        <v>0</v>
      </c>
      <c r="P204" s="667">
        <f>SUM(L204:L207)</f>
        <v/>
      </c>
      <c r="Q204" s="249" t="inlineStr">
        <is>
          <t>3/3 買進1口</t>
        </is>
      </c>
      <c r="R204" s="249" t="inlineStr">
        <is>
          <t>Yes</t>
        </is>
      </c>
      <c r="S204" s="249" t="n"/>
      <c r="T204" s="61">
        <f>IF(AND(R204="Yes",S204&lt;&gt;"Yes",L204&gt;0,B204&lt;&gt;"TXO"),L204,"")</f>
        <v/>
      </c>
      <c r="U204" s="61">
        <f>IF(AND(R204="Yes",S204&lt;&gt;"Yes",L204&lt;0,B204&lt;&gt;"TXO"),L204,"")</f>
        <v/>
      </c>
      <c r="V204" s="61">
        <f>IF(AND(R204="",S204&lt;&gt;"Yes",L204&gt;0,B204&lt;&gt;"TXO"),L204,"")</f>
        <v/>
      </c>
      <c r="W204" s="61">
        <f>IF(AND(R204="",S204&lt;&gt;"Yes",L204&lt;0,B204&lt;&gt;"TXO"),L204,"")</f>
        <v/>
      </c>
      <c r="X204" s="226">
        <f>IF(AND(R204="Yes",S204="Yes",L204&gt;0,B204&lt;&gt;"TXO"),L204,"")</f>
        <v/>
      </c>
      <c r="Y204" s="226">
        <f>IF(AND(R204="Yes",S204="Yes",L204&lt;0,B204&lt;&gt;"TXO"),L204,"")</f>
        <v/>
      </c>
      <c r="Z204" s="226">
        <f>IF(AND(R204="",S204="Yes",L204&gt;0,B204&lt;&gt;"TXO"),L204,"")</f>
        <v/>
      </c>
      <c r="AA204" s="226">
        <f>IF(AND(R204="",S204="Yes",L204&lt;0,B204&lt;&gt;"TXO"),L204,"")</f>
        <v/>
      </c>
    </row>
    <row r="205" outlineLevel="2">
      <c r="A205" s="696" t="n">
        <v>43567</v>
      </c>
      <c r="B205" s="234" t="inlineStr">
        <is>
          <t>FIMTX</t>
        </is>
      </c>
      <c r="C205" s="229" t="inlineStr">
        <is>
          <t>小指04</t>
        </is>
      </c>
      <c r="D205" s="229" t="inlineStr">
        <is>
          <t>平倉</t>
        </is>
      </c>
      <c r="E205" s="257" t="inlineStr">
        <is>
          <t>賣</t>
        </is>
      </c>
      <c r="F205" s="229" t="inlineStr">
        <is>
          <t>-</t>
        </is>
      </c>
      <c r="G205" s="697" t="n">
        <v>1</v>
      </c>
      <c r="H205" s="697" t="n">
        <v>10847</v>
      </c>
      <c r="I205" s="697" t="n">
        <v>0</v>
      </c>
      <c r="J205" s="585" t="n">
        <v>23</v>
      </c>
      <c r="K205" s="585" t="n">
        <v>11</v>
      </c>
      <c r="L205" s="585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/>
      </c>
      <c r="M205" s="699">
        <f>L205</f>
        <v/>
      </c>
      <c r="N205" s="686">
        <f>IF(B205="TXO","",IF(D205="新倉","",IF(E205="賣",(H205-H204)*G205,(H204-H205)*G205)))</f>
        <v/>
      </c>
      <c r="O205" s="226" t="n">
        <v>0</v>
      </c>
      <c r="P205" s="667" t="n"/>
      <c r="Q205" s="249" t="inlineStr">
        <is>
          <t>技法: 碰10MA出場(停損)</t>
        </is>
      </c>
      <c r="R205" s="249" t="inlineStr">
        <is>
          <t>Yes</t>
        </is>
      </c>
      <c r="S205" s="249" t="n"/>
      <c r="T205" s="61">
        <f>IF(AND(R205="Yes",S205&lt;&gt;"Yes",L205&gt;0,B205&lt;&gt;"TXO"),L205,"")</f>
        <v/>
      </c>
      <c r="U205" s="61">
        <f>IF(AND(R205="Yes",S205&lt;&gt;"Yes",L205&lt;0,B205&lt;&gt;"TXO"),L205,"")</f>
        <v/>
      </c>
      <c r="V205" s="61">
        <f>IF(AND(R205="",S205&lt;&gt;"Yes",L205&gt;0,B205&lt;&gt;"TXO"),L205,"")</f>
        <v/>
      </c>
      <c r="W205" s="61">
        <f>IF(AND(R205="",S205&lt;&gt;"Yes",L205&lt;0,B205&lt;&gt;"TXO"),L205,"")</f>
        <v/>
      </c>
      <c r="X205" s="226">
        <f>IF(AND(R205="Yes",S205="Yes",L205&gt;0,B205&lt;&gt;"TXO"),L205,"")</f>
        <v/>
      </c>
      <c r="Y205" s="226">
        <f>IF(AND(R205="Yes",S205="Yes",L205&lt;0,B205&lt;&gt;"TXO"),L205,"")</f>
        <v/>
      </c>
      <c r="Z205" s="226">
        <f>IF(AND(R205="",S205="Yes",L205&gt;0,B205&lt;&gt;"TXO"),L205,"")</f>
        <v/>
      </c>
      <c r="AA205" s="226">
        <f>IF(AND(R205="",S205="Yes",L205&lt;0,B205&lt;&gt;"TXO"),L205,"")</f>
        <v/>
      </c>
    </row>
    <row r="206" outlineLevel="2">
      <c r="A206" s="696" t="n">
        <v>43567</v>
      </c>
      <c r="B206" s="234" t="inlineStr">
        <is>
          <t>FIMTX</t>
        </is>
      </c>
      <c r="C206" s="229" t="inlineStr">
        <is>
          <t>小指04</t>
        </is>
      </c>
      <c r="D206" s="229" t="inlineStr">
        <is>
          <t>新倉</t>
        </is>
      </c>
      <c r="E206" s="257" t="inlineStr">
        <is>
          <t>賣</t>
        </is>
      </c>
      <c r="F206" s="229" t="inlineStr">
        <is>
          <t>-</t>
        </is>
      </c>
      <c r="G206" s="697" t="n">
        <v>1</v>
      </c>
      <c r="H206" s="697" t="n">
        <v>10843</v>
      </c>
      <c r="I206" s="697" t="n">
        <v>0</v>
      </c>
      <c r="J206" s="585" t="n">
        <v>23</v>
      </c>
      <c r="K206" s="585" t="n">
        <v>11</v>
      </c>
      <c r="L206" s="585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/>
      </c>
      <c r="M206" s="699">
        <f>L206</f>
        <v/>
      </c>
      <c r="N206" s="686">
        <f>IF(B206="TXO","",IF(D206="新倉","",IF(E206="賣",(H206-H205)*G206,(H205-H206)*G206)))</f>
        <v/>
      </c>
      <c r="O206" s="226" t="n">
        <v>0</v>
      </c>
      <c r="P206" s="667" t="n"/>
      <c r="Q206" s="249" t="inlineStr">
        <is>
          <t>3/3 買進1口</t>
        </is>
      </c>
      <c r="R206" s="249" t="inlineStr">
        <is>
          <t>Yes</t>
        </is>
      </c>
      <c r="S206" s="249" t="n"/>
      <c r="T206" s="61">
        <f>IF(AND(R206="Yes",S206&lt;&gt;"Yes",L206&gt;0,B206&lt;&gt;"TXO"),L206,"")</f>
        <v/>
      </c>
      <c r="U206" s="61">
        <f>IF(AND(R206="Yes",S206&lt;&gt;"Yes",L206&lt;0,B206&lt;&gt;"TXO"),L206,"")</f>
        <v/>
      </c>
      <c r="V206" s="61">
        <f>IF(AND(R206="",S206&lt;&gt;"Yes",L206&gt;0,B206&lt;&gt;"TXO"),L206,"")</f>
        <v/>
      </c>
      <c r="W206" s="61">
        <f>IF(AND(R206="",S206&lt;&gt;"Yes",L206&lt;0,B206&lt;&gt;"TXO"),L206,"")</f>
        <v/>
      </c>
      <c r="X206" s="226">
        <f>IF(AND(R206="Yes",S206="Yes",L206&gt;0,B206&lt;&gt;"TXO"),L206,"")</f>
        <v/>
      </c>
      <c r="Y206" s="226">
        <f>IF(AND(R206="Yes",S206="Yes",L206&lt;0,B206&lt;&gt;"TXO"),L206,"")</f>
        <v/>
      </c>
      <c r="Z206" s="226">
        <f>IF(AND(R206="",S206="Yes",L206&gt;0,B206&lt;&gt;"TXO"),L206,"")</f>
        <v/>
      </c>
      <c r="AA206" s="226">
        <f>IF(AND(R206="",S206="Yes",L206&lt;0,B206&lt;&gt;"TXO"),L206,"")</f>
        <v/>
      </c>
    </row>
    <row r="207" outlineLevel="2">
      <c r="A207" s="696" t="n">
        <v>43567</v>
      </c>
      <c r="B207" s="234" t="inlineStr">
        <is>
          <t>FIMTX</t>
        </is>
      </c>
      <c r="C207" s="229" t="inlineStr">
        <is>
          <t>小指04</t>
        </is>
      </c>
      <c r="D207" s="229" t="inlineStr">
        <is>
          <t>平倉</t>
        </is>
      </c>
      <c r="E207" s="257" t="inlineStr">
        <is>
          <t>買</t>
        </is>
      </c>
      <c r="F207" s="229" t="inlineStr">
        <is>
          <t>-</t>
        </is>
      </c>
      <c r="G207" s="697" t="n">
        <v>1</v>
      </c>
      <c r="H207" s="697" t="n">
        <v>10839</v>
      </c>
      <c r="I207" s="697" t="n">
        <v>0</v>
      </c>
      <c r="J207" s="585" t="n">
        <v>23</v>
      </c>
      <c r="K207" s="585" t="n">
        <v>11</v>
      </c>
      <c r="L207" s="585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/>
      </c>
      <c r="M207" s="699">
        <f>L207</f>
        <v/>
      </c>
      <c r="N207" s="686">
        <f>IF(B207="TXO","",IF(D207="新倉","",IF(E207="賣",(H207-H206)*G207,(H206-H207)*G207)))</f>
        <v/>
      </c>
      <c r="O207" s="226" t="n">
        <v>0</v>
      </c>
      <c r="P207" s="667" t="n"/>
      <c r="Q207" s="249" t="inlineStr">
        <is>
          <t>技法: 碰10MA出場</t>
        </is>
      </c>
      <c r="R207" s="249" t="inlineStr">
        <is>
          <t>Yes</t>
        </is>
      </c>
      <c r="S207" s="249" t="n"/>
      <c r="T207" s="61">
        <f>IF(AND(R207="Yes",S207&lt;&gt;"Yes",L207&gt;0,B207&lt;&gt;"TXO"),L207,"")</f>
        <v/>
      </c>
      <c r="U207" s="61">
        <f>IF(AND(R207="Yes",S207&lt;&gt;"Yes",L207&lt;0,B207&lt;&gt;"TXO"),L207,"")</f>
        <v/>
      </c>
      <c r="V207" s="61">
        <f>IF(AND(R207="",S207&lt;&gt;"Yes",L207&gt;0,B207&lt;&gt;"TXO"),L207,"")</f>
        <v/>
      </c>
      <c r="W207" s="61">
        <f>IF(AND(R207="",S207&lt;&gt;"Yes",L207&lt;0,B207&lt;&gt;"TXO"),L207,"")</f>
        <v/>
      </c>
      <c r="X207" s="226">
        <f>IF(AND(R207="Yes",S207="Yes",L207&gt;0,B207&lt;&gt;"TXO"),L207,"")</f>
        <v/>
      </c>
      <c r="Y207" s="226">
        <f>IF(AND(R207="Yes",S207="Yes",L207&lt;0,B207&lt;&gt;"TXO"),L207,"")</f>
        <v/>
      </c>
      <c r="Z207" s="226">
        <f>IF(AND(R207="",S207="Yes",L207&gt;0,B207&lt;&gt;"TXO"),L207,"")</f>
        <v/>
      </c>
      <c r="AA207" s="226">
        <f>IF(AND(R207="",S207="Yes",L207&lt;0,B207&lt;&gt;"TXO"),L207,"")</f>
        <v/>
      </c>
    </row>
    <row r="208" outlineLevel="1">
      <c r="A208" s="740" t="n">
        <v>43572</v>
      </c>
      <c r="B208" s="299" t="inlineStr">
        <is>
          <t>FIMTX</t>
        </is>
      </c>
      <c r="C208" s="300" t="inlineStr">
        <is>
          <t>小指05</t>
        </is>
      </c>
      <c r="D208" s="300" t="inlineStr">
        <is>
          <t>新倉</t>
        </is>
      </c>
      <c r="E208" s="301" t="inlineStr">
        <is>
          <t>買</t>
        </is>
      </c>
      <c r="F208" s="300" t="inlineStr">
        <is>
          <t>-</t>
        </is>
      </c>
      <c r="G208" s="741" t="n">
        <v>1</v>
      </c>
      <c r="H208" s="741" t="n">
        <v>11018</v>
      </c>
      <c r="I208" s="741" t="n">
        <v>0</v>
      </c>
      <c r="J208" s="742" t="n">
        <v>23</v>
      </c>
      <c r="K208" s="742" t="n">
        <v>11</v>
      </c>
      <c r="L208" s="742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/>
      </c>
      <c r="M208" s="743">
        <f>L208</f>
        <v/>
      </c>
      <c r="N208" s="686">
        <f>IF(B208="TXO","",IF(D208="新倉","",IF(E208="賣",(H208-H207)*G208,(H207-H208)*G208)))</f>
        <v/>
      </c>
      <c r="O208" s="226" t="n">
        <v>0</v>
      </c>
      <c r="P208" s="667">
        <f>SUM(L208:L211)</f>
        <v/>
      </c>
      <c r="Q208" s="249" t="inlineStr">
        <is>
          <t>3/3 買進1口</t>
        </is>
      </c>
      <c r="R208" s="249" t="inlineStr">
        <is>
          <t>Yes</t>
        </is>
      </c>
      <c r="S208" s="249" t="inlineStr">
        <is>
          <t>Yes</t>
        </is>
      </c>
      <c r="T208" s="61">
        <f>IF(AND(R208="Yes",S208&lt;&gt;"Yes",L208&gt;0,B208&lt;&gt;"TXO"),L208,"")</f>
        <v/>
      </c>
      <c r="U208" s="61">
        <f>IF(AND(R208="Yes",S208&lt;&gt;"Yes",L208&lt;0,B208&lt;&gt;"TXO"),L208,"")</f>
        <v/>
      </c>
      <c r="V208" s="61">
        <f>IF(AND(R208="",S208&lt;&gt;"Yes",L208&gt;0,B208&lt;&gt;"TXO"),L208,"")</f>
        <v/>
      </c>
      <c r="W208" s="61">
        <f>IF(AND(R208="",S208&lt;&gt;"Yes",L208&lt;0,B208&lt;&gt;"TXO"),L208,"")</f>
        <v/>
      </c>
      <c r="X208" s="226">
        <f>IF(AND(R208="Yes",S208="Yes",L208&gt;0,B208&lt;&gt;"TXO"),L208,"")</f>
        <v/>
      </c>
      <c r="Y208" s="226">
        <f>IF(AND(R208="Yes",S208="Yes",L208&lt;0,B208&lt;&gt;"TXO"),L208,"")</f>
        <v/>
      </c>
      <c r="Z208" s="226">
        <f>IF(AND(R208="",S208="Yes",L208&gt;0,B208&lt;&gt;"TXO"),L208,"")</f>
        <v/>
      </c>
      <c r="AA208" s="226">
        <f>IF(AND(R208="",S208="Yes",L208&lt;0,B208&lt;&gt;"TXO"),L208,"")</f>
        <v/>
      </c>
    </row>
    <row r="209" outlineLevel="2" collapsed="1">
      <c r="A209" s="740" t="n">
        <v>43572</v>
      </c>
      <c r="B209" s="299" t="inlineStr">
        <is>
          <t>FIMTX</t>
        </is>
      </c>
      <c r="C209" s="300" t="inlineStr">
        <is>
          <t>小指05</t>
        </is>
      </c>
      <c r="D209" s="300" t="inlineStr">
        <is>
          <t>平倉</t>
        </is>
      </c>
      <c r="E209" s="301" t="inlineStr">
        <is>
          <t>賣</t>
        </is>
      </c>
      <c r="F209" s="300" t="inlineStr">
        <is>
          <t>-</t>
        </is>
      </c>
      <c r="G209" s="741" t="n">
        <v>1</v>
      </c>
      <c r="H209" s="741" t="n">
        <v>11016</v>
      </c>
      <c r="I209" s="741" t="n">
        <v>0</v>
      </c>
      <c r="J209" s="742" t="n">
        <v>23</v>
      </c>
      <c r="K209" s="742" t="n">
        <v>11</v>
      </c>
      <c r="L209" s="742">
        <f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/>
      </c>
      <c r="M209" s="743">
        <f>L209</f>
        <v/>
      </c>
      <c r="N209" s="686">
        <f>IF(B209="TXO","",IF(D209="新倉","",IF(E209="賣",(H209-H208)*G209,(H208-H209)*G209)))</f>
        <v/>
      </c>
      <c r="O209" s="226" t="n">
        <v>0</v>
      </c>
      <c r="P209" s="667" t="n"/>
      <c r="Q209" s="249" t="inlineStr">
        <is>
          <t>技法: 碰10MA出場(停損)</t>
        </is>
      </c>
      <c r="R209" s="249" t="inlineStr">
        <is>
          <t>Yes</t>
        </is>
      </c>
      <c r="S209" s="249" t="inlineStr">
        <is>
          <t>Yes</t>
        </is>
      </c>
      <c r="T209" s="61">
        <f>IF(AND(R209="Yes",S209&lt;&gt;"Yes",L209&gt;0,B209&lt;&gt;"TXO"),L209,"")</f>
        <v/>
      </c>
      <c r="U209" s="61">
        <f>IF(AND(R209="Yes",S209&lt;&gt;"Yes",L209&lt;0,B209&lt;&gt;"TXO"),L209,"")</f>
        <v/>
      </c>
      <c r="V209" s="61">
        <f>IF(AND(R209="",S209&lt;&gt;"Yes",L209&gt;0,B209&lt;&gt;"TXO"),L209,"")</f>
        <v/>
      </c>
      <c r="W209" s="61">
        <f>IF(AND(R209="",S209&lt;&gt;"Yes",L209&lt;0,B209&lt;&gt;"TXO"),L209,"")</f>
        <v/>
      </c>
      <c r="X209" s="226">
        <f>IF(AND(R209="Yes",S209="Yes",L209&gt;0,B209&lt;&gt;"TXO"),L209,"")</f>
        <v/>
      </c>
      <c r="Y209" s="226">
        <f>IF(AND(R209="Yes",S209="Yes",L209&lt;0,B209&lt;&gt;"TXO"),L209,"")</f>
        <v/>
      </c>
      <c r="Z209" s="226">
        <f>IF(AND(R209="",S209="Yes",L209&gt;0,B209&lt;&gt;"TXO"),L209,"")</f>
        <v/>
      </c>
      <c r="AA209" s="226">
        <f>IF(AND(R209="",S209="Yes",L209&lt;0,B209&lt;&gt;"TXO"),L209,"")</f>
        <v/>
      </c>
    </row>
    <row r="210" outlineLevel="2">
      <c r="A210" s="740" t="n">
        <v>43572</v>
      </c>
      <c r="B210" s="299" t="inlineStr">
        <is>
          <t>FIMTX</t>
        </is>
      </c>
      <c r="C210" s="300" t="inlineStr">
        <is>
          <t>小指05</t>
        </is>
      </c>
      <c r="D210" s="300" t="inlineStr">
        <is>
          <t>新倉</t>
        </is>
      </c>
      <c r="E210" s="301" t="inlineStr">
        <is>
          <t>賣</t>
        </is>
      </c>
      <c r="F210" s="300" t="inlineStr">
        <is>
          <t>-</t>
        </is>
      </c>
      <c r="G210" s="741" t="n">
        <v>1</v>
      </c>
      <c r="H210" s="741" t="n">
        <v>11017</v>
      </c>
      <c r="I210" s="741" t="n">
        <v>0</v>
      </c>
      <c r="J210" s="742" t="n">
        <v>23</v>
      </c>
      <c r="K210" s="742" t="n">
        <v>11</v>
      </c>
      <c r="L210" s="742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/>
      </c>
      <c r="M210" s="743">
        <f>L210</f>
        <v/>
      </c>
      <c r="N210" s="686">
        <f>IF(B210="TXO","",IF(D210="新倉","",IF(E210="賣",(H210-H209)*G210,(H209-H210)*G210)))</f>
        <v/>
      </c>
      <c r="O210" s="226" t="n">
        <v>0</v>
      </c>
      <c r="P210" s="667" t="n"/>
      <c r="Q210" s="249" t="inlineStr">
        <is>
          <t>3/3 買進1口</t>
        </is>
      </c>
      <c r="R210" s="249" t="inlineStr">
        <is>
          <t>Yes</t>
        </is>
      </c>
      <c r="S210" s="249" t="inlineStr">
        <is>
          <t>Yes</t>
        </is>
      </c>
      <c r="T210" s="61">
        <f>IF(AND(R210="Yes",S210&lt;&gt;"Yes",L210&gt;0,B210&lt;&gt;"TXO"),L210,"")</f>
        <v/>
      </c>
      <c r="U210" s="61">
        <f>IF(AND(R210="Yes",S210&lt;&gt;"Yes",L210&lt;0,B210&lt;&gt;"TXO"),L210,"")</f>
        <v/>
      </c>
      <c r="V210" s="61">
        <f>IF(AND(R210="",S210&lt;&gt;"Yes",L210&gt;0,B210&lt;&gt;"TXO"),L210,"")</f>
        <v/>
      </c>
      <c r="W210" s="61">
        <f>IF(AND(R210="",S210&lt;&gt;"Yes",L210&lt;0,B210&lt;&gt;"TXO"),L210,"")</f>
        <v/>
      </c>
      <c r="X210" s="226">
        <f>IF(AND(R210="Yes",S210="Yes",L210&gt;0,B210&lt;&gt;"TXO"),L210,"")</f>
        <v/>
      </c>
      <c r="Y210" s="226">
        <f>IF(AND(R210="Yes",S210="Yes",L210&lt;0,B210&lt;&gt;"TXO"),L210,"")</f>
        <v/>
      </c>
      <c r="Z210" s="226">
        <f>IF(AND(R210="",S210="Yes",L210&gt;0,B210&lt;&gt;"TXO"),L210,"")</f>
        <v/>
      </c>
      <c r="AA210" s="226">
        <f>IF(AND(R210="",S210="Yes",L210&lt;0,B210&lt;&gt;"TXO"),L210,"")</f>
        <v/>
      </c>
    </row>
    <row r="211" outlineLevel="2" collapsed="1">
      <c r="A211" s="740" t="n">
        <v>43572</v>
      </c>
      <c r="B211" s="299" t="inlineStr">
        <is>
          <t>FIMTX</t>
        </is>
      </c>
      <c r="C211" s="300" t="inlineStr">
        <is>
          <t>小指05</t>
        </is>
      </c>
      <c r="D211" s="300" t="inlineStr">
        <is>
          <t>平倉</t>
        </is>
      </c>
      <c r="E211" s="301" t="inlineStr">
        <is>
          <t>買</t>
        </is>
      </c>
      <c r="F211" s="300" t="inlineStr">
        <is>
          <t>-</t>
        </is>
      </c>
      <c r="G211" s="741" t="n">
        <v>1</v>
      </c>
      <c r="H211" s="741" t="n">
        <v>11014</v>
      </c>
      <c r="I211" s="741" t="n">
        <v>0</v>
      </c>
      <c r="J211" s="742" t="n">
        <v>23</v>
      </c>
      <c r="K211" s="742" t="n">
        <v>11</v>
      </c>
      <c r="L211" s="742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/>
      </c>
      <c r="M211" s="743">
        <f>L211</f>
        <v/>
      </c>
      <c r="N211" s="686">
        <f>IF(B211="TXO","",IF(D211="新倉","",IF(E211="賣",(H211-H210)*G211,(H210-H211)*G211)))</f>
        <v/>
      </c>
      <c r="O211" s="226" t="n">
        <v>0</v>
      </c>
      <c r="P211" s="667" t="n"/>
      <c r="Q211" s="249" t="inlineStr">
        <is>
          <t>技法: 碰10MA出場(停損)</t>
        </is>
      </c>
      <c r="R211" s="249" t="inlineStr">
        <is>
          <t>Yes</t>
        </is>
      </c>
      <c r="S211" s="249" t="inlineStr">
        <is>
          <t>Yes</t>
        </is>
      </c>
      <c r="T211" s="61">
        <f>IF(AND(R211="Yes",S211&lt;&gt;"Yes",L211&gt;0,B211&lt;&gt;"TXO"),L211,"")</f>
        <v/>
      </c>
      <c r="U211" s="61">
        <f>IF(AND(R211="Yes",S211&lt;&gt;"Yes",L211&lt;0,B211&lt;&gt;"TXO"),L211,"")</f>
        <v/>
      </c>
      <c r="V211" s="61">
        <f>IF(AND(R211="",S211&lt;&gt;"Yes",L211&gt;0,B211&lt;&gt;"TXO"),L211,"")</f>
        <v/>
      </c>
      <c r="W211" s="61">
        <f>IF(AND(R211="",S211&lt;&gt;"Yes",L211&lt;0,B211&lt;&gt;"TXO"),L211,"")</f>
        <v/>
      </c>
      <c r="X211" s="226">
        <f>IF(AND(R211="Yes",S211="Yes",L211&gt;0,B211&lt;&gt;"TXO"),L211,"")</f>
        <v/>
      </c>
      <c r="Y211" s="226">
        <f>IF(AND(R211="Yes",S211="Yes",L211&lt;0,B211&lt;&gt;"TXO"),L211,"")</f>
        <v/>
      </c>
      <c r="Z211" s="226">
        <f>IF(AND(R211="",S211="Yes",L211&gt;0,B211&lt;&gt;"TXO"),L211,"")</f>
        <v/>
      </c>
      <c r="AA211" s="226">
        <f>IF(AND(R211="",S211="Yes",L211&lt;0,B211&lt;&gt;"TXO"),L211,"")</f>
        <v/>
      </c>
    </row>
    <row r="212" outlineLevel="1">
      <c r="A212" s="696" t="n">
        <v>43573</v>
      </c>
      <c r="B212" s="234" t="inlineStr">
        <is>
          <t>FIMTX</t>
        </is>
      </c>
      <c r="C212" s="229" t="inlineStr">
        <is>
          <t>小指05</t>
        </is>
      </c>
      <c r="D212" s="229" t="inlineStr">
        <is>
          <t>新倉</t>
        </is>
      </c>
      <c r="E212" s="257" t="inlineStr">
        <is>
          <t>買</t>
        </is>
      </c>
      <c r="F212" s="229" t="inlineStr">
        <is>
          <t>-</t>
        </is>
      </c>
      <c r="G212" s="697" t="n">
        <v>1</v>
      </c>
      <c r="H212" s="697" t="n">
        <v>11024</v>
      </c>
      <c r="I212" s="697" t="n">
        <v>0</v>
      </c>
      <c r="J212" s="585" t="n">
        <v>23</v>
      </c>
      <c r="K212" s="585" t="n">
        <v>11</v>
      </c>
      <c r="L212" s="585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/>
      </c>
      <c r="M212" s="699">
        <f>L212</f>
        <v/>
      </c>
      <c r="N212" s="686">
        <f>IF(B212="TXO","",IF(D212="新倉","",IF(E212="賣",(H212-H211)*G212,(H211-H212)*G212)))</f>
        <v/>
      </c>
      <c r="O212" s="226" t="n">
        <v>0</v>
      </c>
      <c r="P212" s="667">
        <f>SUM(L212:L213)</f>
        <v/>
      </c>
      <c r="Q212" s="249" t="inlineStr">
        <is>
          <t>3/3 買進1口</t>
        </is>
      </c>
      <c r="R212" s="249" t="inlineStr">
        <is>
          <t>Yes</t>
        </is>
      </c>
      <c r="S212" s="249" t="n"/>
      <c r="T212" s="61">
        <f>IF(AND(R212="Yes",S212&lt;&gt;"Yes",L212&gt;0,B212&lt;&gt;"TXO"),L212,"")</f>
        <v/>
      </c>
      <c r="U212" s="61">
        <f>IF(AND(R212="Yes",S212&lt;&gt;"Yes",L212&lt;0,B212&lt;&gt;"TXO"),L212,"")</f>
        <v/>
      </c>
      <c r="V212" s="61">
        <f>IF(AND(R212="",S212&lt;&gt;"Yes",L212&gt;0,B212&lt;&gt;"TXO"),L212,"")</f>
        <v/>
      </c>
      <c r="W212" s="61">
        <f>IF(AND(R212="",S212&lt;&gt;"Yes",L212&lt;0,B212&lt;&gt;"TXO"),L212,"")</f>
        <v/>
      </c>
      <c r="X212" s="226">
        <f>IF(AND(R212="Yes",S212="Yes",L212&gt;0,B212&lt;&gt;"TXO"),L212,"")</f>
        <v/>
      </c>
      <c r="Y212" s="226">
        <f>IF(AND(R212="Yes",S212="Yes",L212&lt;0,B212&lt;&gt;"TXO"),L212,"")</f>
        <v/>
      </c>
      <c r="Z212" s="226">
        <f>IF(AND(R212="",S212="Yes",L212&gt;0,B212&lt;&gt;"TXO"),L212,"")</f>
        <v/>
      </c>
      <c r="AA212" s="226">
        <f>IF(AND(R212="",S212="Yes",L212&lt;0,B212&lt;&gt;"TXO"),L212,"")</f>
        <v/>
      </c>
    </row>
    <row r="213" outlineLevel="1">
      <c r="A213" s="696" t="n">
        <v>43573</v>
      </c>
      <c r="B213" s="234" t="inlineStr">
        <is>
          <t>FIMTX</t>
        </is>
      </c>
      <c r="C213" s="229" t="inlineStr">
        <is>
          <t>小指05</t>
        </is>
      </c>
      <c r="D213" s="229" t="inlineStr">
        <is>
          <t>平倉</t>
        </is>
      </c>
      <c r="E213" s="257" t="inlineStr">
        <is>
          <t>賣</t>
        </is>
      </c>
      <c r="F213" s="229" t="inlineStr">
        <is>
          <t>-</t>
        </is>
      </c>
      <c r="G213" s="697" t="n">
        <v>1</v>
      </c>
      <c r="H213" s="697" t="n">
        <v>11011</v>
      </c>
      <c r="I213" s="697" t="n">
        <v>0</v>
      </c>
      <c r="J213" s="585" t="n">
        <v>23</v>
      </c>
      <c r="K213" s="585" t="n">
        <v>11</v>
      </c>
      <c r="L213" s="585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/>
      </c>
      <c r="M213" s="699">
        <f>L213</f>
        <v/>
      </c>
      <c r="N213" s="686">
        <f>IF(B213="TXO","",IF(D213="新倉","",IF(E213="賣",(H213-H212)*G213,(H212-H213)*G213)))</f>
        <v/>
      </c>
      <c r="O213" s="226" t="n">
        <v>0</v>
      </c>
      <c r="P213" s="667" t="n"/>
      <c r="Q213" s="249" t="inlineStr">
        <is>
          <t>技法: 碰10MA出場(停損)</t>
        </is>
      </c>
      <c r="R213" s="249" t="inlineStr">
        <is>
          <t>Yes</t>
        </is>
      </c>
      <c r="S213" s="249" t="n"/>
      <c r="T213" s="61">
        <f>IF(AND(R213="Yes",S213&lt;&gt;"Yes",L213&gt;0,B213&lt;&gt;"TXO"),L213,"")</f>
        <v/>
      </c>
      <c r="U213" s="61">
        <f>IF(AND(R213="Yes",S213&lt;&gt;"Yes",L213&lt;0,B213&lt;&gt;"TXO"),L213,"")</f>
        <v/>
      </c>
      <c r="V213" s="61">
        <f>IF(AND(R213="",S213&lt;&gt;"Yes",L213&gt;0,B213&lt;&gt;"TXO"),L213,"")</f>
        <v/>
      </c>
      <c r="W213" s="61">
        <f>IF(AND(R213="",S213&lt;&gt;"Yes",L213&lt;0,B213&lt;&gt;"TXO"),L213,"")</f>
        <v/>
      </c>
      <c r="X213" s="226">
        <f>IF(AND(R213="Yes",S213="Yes",L213&gt;0,B213&lt;&gt;"TXO"),L213,"")</f>
        <v/>
      </c>
      <c r="Y213" s="226">
        <f>IF(AND(R213="Yes",S213="Yes",L213&lt;0,B213&lt;&gt;"TXO"),L213,"")</f>
        <v/>
      </c>
      <c r="Z213" s="226">
        <f>IF(AND(R213="",S213="Yes",L213&gt;0,B213&lt;&gt;"TXO"),L213,"")</f>
        <v/>
      </c>
      <c r="AA213" s="226">
        <f>IF(AND(R213="",S213="Yes",L213&lt;0,B213&lt;&gt;"TXO"),L213,"")</f>
        <v/>
      </c>
    </row>
    <row r="214" outlineLevel="1">
      <c r="A214" s="740" t="n">
        <v>43578</v>
      </c>
      <c r="B214" s="299" t="inlineStr">
        <is>
          <t>FIMTX</t>
        </is>
      </c>
      <c r="C214" s="300" t="inlineStr">
        <is>
          <t>小指05</t>
        </is>
      </c>
      <c r="D214" s="300" t="inlineStr">
        <is>
          <t>新倉</t>
        </is>
      </c>
      <c r="E214" s="301" t="inlineStr">
        <is>
          <t>買</t>
        </is>
      </c>
      <c r="F214" s="300" t="inlineStr">
        <is>
          <t>-</t>
        </is>
      </c>
      <c r="G214" s="741" t="n">
        <v>1</v>
      </c>
      <c r="H214" s="741" t="n">
        <v>10980</v>
      </c>
      <c r="I214" s="741" t="n">
        <v>0</v>
      </c>
      <c r="J214" s="742" t="n">
        <v>23</v>
      </c>
      <c r="K214" s="742" t="n">
        <v>11</v>
      </c>
      <c r="L214" s="742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/>
      </c>
      <c r="M214" s="743">
        <f>L214</f>
        <v/>
      </c>
      <c r="N214" s="686">
        <f>IF(B214="TXO","",IF(D214="新倉","",IF(E214="賣",(H214-H213)*G214,(H213-H214)*G214)))</f>
        <v/>
      </c>
      <c r="O214" s="226" t="n">
        <v>0</v>
      </c>
      <c r="P214" s="667">
        <f>SUM(L214:L215)</f>
        <v/>
      </c>
      <c r="Q214" s="249" t="inlineStr">
        <is>
          <t>3/3 買進1口</t>
        </is>
      </c>
      <c r="R214" s="249" t="inlineStr">
        <is>
          <t>Yes</t>
        </is>
      </c>
      <c r="S214" s="249" t="n"/>
      <c r="T214" s="61">
        <f>IF(AND(R214="Yes",S214&lt;&gt;"Yes",L214&gt;0,B214&lt;&gt;"TXO"),L214,"")</f>
        <v/>
      </c>
      <c r="U214" s="61">
        <f>IF(AND(R214="Yes",S214&lt;&gt;"Yes",L214&lt;0,B214&lt;&gt;"TXO"),L214,"")</f>
        <v/>
      </c>
      <c r="V214" s="61">
        <f>IF(AND(R214="",S214&lt;&gt;"Yes",L214&gt;0,B214&lt;&gt;"TXO"),L214,"")</f>
        <v/>
      </c>
      <c r="W214" s="61">
        <f>IF(AND(R214="",S214&lt;&gt;"Yes",L214&lt;0,B214&lt;&gt;"TXO"),L214,"")</f>
        <v/>
      </c>
      <c r="X214" s="226">
        <f>IF(AND(R214="Yes",S214="Yes",L214&gt;0,B214&lt;&gt;"TXO"),L214,"")</f>
        <v/>
      </c>
      <c r="Y214" s="226">
        <f>IF(AND(R214="Yes",S214="Yes",L214&lt;0,B214&lt;&gt;"TXO"),L214,"")</f>
        <v/>
      </c>
      <c r="Z214" s="226">
        <f>IF(AND(R214="",S214="Yes",L214&gt;0,B214&lt;&gt;"TXO"),L214,"")</f>
        <v/>
      </c>
      <c r="AA214" s="226">
        <f>IF(AND(R214="",S214="Yes",L214&lt;0,B214&lt;&gt;"TXO"),L214,"")</f>
        <v/>
      </c>
    </row>
    <row r="215" outlineLevel="1" collapsed="1">
      <c r="A215" s="740" t="n">
        <v>43578</v>
      </c>
      <c r="B215" s="299" t="inlineStr">
        <is>
          <t>FIMTX</t>
        </is>
      </c>
      <c r="C215" s="300" t="inlineStr">
        <is>
          <t>小指05</t>
        </is>
      </c>
      <c r="D215" s="300" t="inlineStr">
        <is>
          <t>平倉</t>
        </is>
      </c>
      <c r="E215" s="301" t="inlineStr">
        <is>
          <t>賣</t>
        </is>
      </c>
      <c r="F215" s="300" t="inlineStr">
        <is>
          <t>-</t>
        </is>
      </c>
      <c r="G215" s="741" t="n">
        <v>1</v>
      </c>
      <c r="H215" s="741" t="n">
        <v>10973</v>
      </c>
      <c r="I215" s="741" t="n">
        <v>0</v>
      </c>
      <c r="J215" s="742" t="n">
        <v>23</v>
      </c>
      <c r="K215" s="742" t="n">
        <v>11</v>
      </c>
      <c r="L215" s="742">
        <f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/>
      </c>
      <c r="M215" s="743">
        <f>L215</f>
        <v/>
      </c>
      <c r="N215" s="686">
        <f>IF(B215="TXO","",IF(D215="新倉","",IF(E215="賣",(H215-H214)*G215,(H214-H215)*G215)))</f>
        <v/>
      </c>
      <c r="O215" s="226" t="n">
        <v>0</v>
      </c>
      <c r="P215" s="667" t="n"/>
      <c r="Q215" s="249" t="inlineStr">
        <is>
          <t>技法: 碰10MA出場(停損)</t>
        </is>
      </c>
      <c r="R215" s="249" t="inlineStr">
        <is>
          <t>Yes</t>
        </is>
      </c>
      <c r="S215" s="249" t="n"/>
      <c r="T215" s="61">
        <f>IF(AND(R215="Yes",S215&lt;&gt;"Yes",L215&gt;0,B215&lt;&gt;"TXO"),L215,"")</f>
        <v/>
      </c>
      <c r="U215" s="61">
        <f>IF(AND(R215="Yes",S215&lt;&gt;"Yes",L215&lt;0,B215&lt;&gt;"TXO"),L215,"")</f>
        <v/>
      </c>
      <c r="V215" s="61">
        <f>IF(AND(R215="",S215&lt;&gt;"Yes",L215&gt;0,B215&lt;&gt;"TXO"),L215,"")</f>
        <v/>
      </c>
      <c r="W215" s="61">
        <f>IF(AND(R215="",S215&lt;&gt;"Yes",L215&lt;0,B215&lt;&gt;"TXO"),L215,"")</f>
        <v/>
      </c>
      <c r="X215" s="226">
        <f>IF(AND(R215="Yes",S215="Yes",L215&gt;0,B215&lt;&gt;"TXO"),L215,"")</f>
        <v/>
      </c>
      <c r="Y215" s="226">
        <f>IF(AND(R215="Yes",S215="Yes",L215&lt;0,B215&lt;&gt;"TXO"),L215,"")</f>
        <v/>
      </c>
      <c r="Z215" s="226">
        <f>IF(AND(R215="",S215="Yes",L215&gt;0,B215&lt;&gt;"TXO"),L215,"")</f>
        <v/>
      </c>
      <c r="AA215" s="226">
        <f>IF(AND(R215="",S215="Yes",L215&lt;0,B215&lt;&gt;"TXO"),L215,"")</f>
        <v/>
      </c>
    </row>
    <row r="216" outlineLevel="1">
      <c r="A216" s="696" t="n">
        <v>43579</v>
      </c>
      <c r="B216" s="234" t="inlineStr">
        <is>
          <t>FIMTX</t>
        </is>
      </c>
      <c r="C216" s="229" t="inlineStr">
        <is>
          <t>小指05</t>
        </is>
      </c>
      <c r="D216" s="229" t="inlineStr">
        <is>
          <t>新倉</t>
        </is>
      </c>
      <c r="E216" s="257" t="inlineStr">
        <is>
          <t>賣</t>
        </is>
      </c>
      <c r="F216" s="229" t="inlineStr">
        <is>
          <t>-</t>
        </is>
      </c>
      <c r="G216" s="697" t="n">
        <v>1</v>
      </c>
      <c r="H216" s="697" t="n">
        <v>11009</v>
      </c>
      <c r="I216" s="697" t="n">
        <v>0</v>
      </c>
      <c r="J216" s="585" t="n">
        <v>23</v>
      </c>
      <c r="K216" s="585" t="n">
        <v>11</v>
      </c>
      <c r="L216" s="585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/>
      </c>
      <c r="M216" s="699">
        <f>L216</f>
        <v/>
      </c>
      <c r="N216" s="686">
        <f>IF(B216="TXO","",IF(D216="新倉","",IF(E216="賣",(H216-H215)*G216,(H215-H216)*G216)))</f>
        <v/>
      </c>
      <c r="O216" s="226" t="n">
        <v>0</v>
      </c>
      <c r="P216" s="667">
        <f>SUM(L216:L217)</f>
        <v/>
      </c>
      <c r="Q216" s="249" t="inlineStr">
        <is>
          <t>3/3 買進1口</t>
        </is>
      </c>
      <c r="R216" s="249" t="inlineStr">
        <is>
          <t>Yes</t>
        </is>
      </c>
      <c r="S216" s="249" t="n"/>
      <c r="T216" s="61">
        <f>IF(AND(R216="Yes",S216&lt;&gt;"Yes",L216&gt;0,B216&lt;&gt;"TXO"),L216,"")</f>
        <v/>
      </c>
      <c r="U216" s="61">
        <f>IF(AND(R216="Yes",S216&lt;&gt;"Yes",L216&lt;0,B216&lt;&gt;"TXO"),L216,"")</f>
        <v/>
      </c>
      <c r="V216" s="61">
        <f>IF(AND(R216="",S216&lt;&gt;"Yes",L216&gt;0,B216&lt;&gt;"TXO"),L216,"")</f>
        <v/>
      </c>
      <c r="W216" s="61">
        <f>IF(AND(R216="",S216&lt;&gt;"Yes",L216&lt;0,B216&lt;&gt;"TXO"),L216,"")</f>
        <v/>
      </c>
      <c r="X216" s="226">
        <f>IF(AND(R216="Yes",S216="Yes",L216&gt;0,B216&lt;&gt;"TXO"),L216,"")</f>
        <v/>
      </c>
      <c r="Y216" s="226">
        <f>IF(AND(R216="Yes",S216="Yes",L216&lt;0,B216&lt;&gt;"TXO"),L216,"")</f>
        <v/>
      </c>
      <c r="Z216" s="226">
        <f>IF(AND(R216="",S216="Yes",L216&gt;0,B216&lt;&gt;"TXO"),L216,"")</f>
        <v/>
      </c>
      <c r="AA216" s="226">
        <f>IF(AND(R216="",S216="Yes",L216&lt;0,B216&lt;&gt;"TXO"),L216,"")</f>
        <v/>
      </c>
    </row>
    <row r="217" outlineLevel="1">
      <c r="A217" s="696" t="n">
        <v>43579</v>
      </c>
      <c r="B217" s="234" t="inlineStr">
        <is>
          <t>FIMTX</t>
        </is>
      </c>
      <c r="C217" s="229" t="inlineStr">
        <is>
          <t>小指05</t>
        </is>
      </c>
      <c r="D217" s="229" t="inlineStr">
        <is>
          <t>平倉</t>
        </is>
      </c>
      <c r="E217" s="257" t="inlineStr">
        <is>
          <t>買</t>
        </is>
      </c>
      <c r="F217" s="229" t="inlineStr">
        <is>
          <t>-</t>
        </is>
      </c>
      <c r="G217" s="697" t="n">
        <v>1</v>
      </c>
      <c r="H217" s="697" t="n">
        <v>11019</v>
      </c>
      <c r="I217" s="697" t="n">
        <v>0</v>
      </c>
      <c r="J217" s="585" t="n">
        <v>23</v>
      </c>
      <c r="K217" s="585" t="n">
        <v>11</v>
      </c>
      <c r="L217" s="585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/>
      </c>
      <c r="M217" s="699">
        <f>L217</f>
        <v/>
      </c>
      <c r="N217" s="686">
        <f>IF(B217="TXO","",IF(D217="新倉","",IF(E217="賣",(H217-H216)*G217,(H216-H217)*G217)))</f>
        <v/>
      </c>
      <c r="O217" s="226" t="n">
        <v>0</v>
      </c>
      <c r="P217" s="667" t="n"/>
      <c r="Q217" s="249" t="inlineStr">
        <is>
          <t>技法: 碰10MA出場(停損)</t>
        </is>
      </c>
      <c r="R217" s="249" t="inlineStr">
        <is>
          <t>Yes</t>
        </is>
      </c>
      <c r="S217" s="249" t="n"/>
      <c r="T217" s="61">
        <f>IF(AND(R217="Yes",S217&lt;&gt;"Yes",L217&gt;0,B217&lt;&gt;"TXO"),L217,"")</f>
        <v/>
      </c>
      <c r="U217" s="61">
        <f>IF(AND(R217="Yes",S217&lt;&gt;"Yes",L217&lt;0,B217&lt;&gt;"TXO"),L217,"")</f>
        <v/>
      </c>
      <c r="V217" s="61">
        <f>IF(AND(R217="",S217&lt;&gt;"Yes",L217&gt;0,B217&lt;&gt;"TXO"),L217,"")</f>
        <v/>
      </c>
      <c r="W217" s="61">
        <f>IF(AND(R217="",S217&lt;&gt;"Yes",L217&lt;0,B217&lt;&gt;"TXO"),L217,"")</f>
        <v/>
      </c>
      <c r="X217" s="226">
        <f>IF(AND(R217="Yes",S217="Yes",L217&gt;0,B217&lt;&gt;"TXO"),L217,"")</f>
        <v/>
      </c>
      <c r="Y217" s="226">
        <f>IF(AND(R217="Yes",S217="Yes",L217&lt;0,B217&lt;&gt;"TXO"),L217,"")</f>
        <v/>
      </c>
      <c r="Z217" s="226">
        <f>IF(AND(R217="",S217="Yes",L217&gt;0,B217&lt;&gt;"TXO"),L217,"")</f>
        <v/>
      </c>
      <c r="AA217" s="226">
        <f>IF(AND(R217="",S217="Yes",L217&lt;0,B217&lt;&gt;"TXO"),L217,"")</f>
        <v/>
      </c>
    </row>
    <row r="218" outlineLevel="1">
      <c r="A218" s="740" t="n">
        <v>43580</v>
      </c>
      <c r="B218" s="299" t="inlineStr">
        <is>
          <t>FIMTX</t>
        </is>
      </c>
      <c r="C218" s="300" t="inlineStr">
        <is>
          <t>小指05</t>
        </is>
      </c>
      <c r="D218" s="300" t="inlineStr">
        <is>
          <t>新倉</t>
        </is>
      </c>
      <c r="E218" s="301" t="inlineStr">
        <is>
          <t>賣</t>
        </is>
      </c>
      <c r="F218" s="300" t="inlineStr">
        <is>
          <t>-</t>
        </is>
      </c>
      <c r="G218" s="741" t="n">
        <v>1</v>
      </c>
      <c r="H218" s="741" t="n">
        <v>10991</v>
      </c>
      <c r="I218" s="741" t="n">
        <v>0</v>
      </c>
      <c r="J218" s="742" t="n">
        <v>23</v>
      </c>
      <c r="K218" s="742" t="n">
        <v>11</v>
      </c>
      <c r="L218" s="742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/>
      </c>
      <c r="M218" s="743">
        <f>L218</f>
        <v/>
      </c>
      <c r="N218" s="686">
        <f>IF(B218="TXO","",IF(D218="新倉","",IF(E218="賣",(H218-H217)*G218,(H217-H218)*G218)))</f>
        <v/>
      </c>
      <c r="O218" s="226" t="n">
        <v>0</v>
      </c>
      <c r="P218" s="667">
        <f>SUM(L218:L219)</f>
        <v/>
      </c>
      <c r="Q218" s="249" t="inlineStr">
        <is>
          <t>3/3 買進1口</t>
        </is>
      </c>
      <c r="R218" s="249" t="inlineStr">
        <is>
          <t>Yes</t>
        </is>
      </c>
      <c r="S218" s="249" t="n"/>
      <c r="T218" s="61">
        <f>IF(AND(R218="Yes",S218&lt;&gt;"Yes",L218&gt;0,B218&lt;&gt;"TXO"),L218,"")</f>
        <v/>
      </c>
      <c r="U218" s="61">
        <f>IF(AND(R218="Yes",S218&lt;&gt;"Yes",L218&lt;0,B218&lt;&gt;"TXO"),L218,"")</f>
        <v/>
      </c>
      <c r="V218" s="61">
        <f>IF(AND(R218="",S218&lt;&gt;"Yes",L218&gt;0,B218&lt;&gt;"TXO"),L218,"")</f>
        <v/>
      </c>
      <c r="W218" s="61">
        <f>IF(AND(R218="",S218&lt;&gt;"Yes",L218&lt;0,B218&lt;&gt;"TXO"),L218,"")</f>
        <v/>
      </c>
      <c r="X218" s="226">
        <f>IF(AND(R218="Yes",S218="Yes",L218&gt;0,B218&lt;&gt;"TXO"),L218,"")</f>
        <v/>
      </c>
      <c r="Y218" s="226">
        <f>IF(AND(R218="Yes",S218="Yes",L218&lt;0,B218&lt;&gt;"TXO"),L218,"")</f>
        <v/>
      </c>
      <c r="Z218" s="226">
        <f>IF(AND(R218="",S218="Yes",L218&gt;0,B218&lt;&gt;"TXO"),L218,"")</f>
        <v/>
      </c>
      <c r="AA218" s="226">
        <f>IF(AND(R218="",S218="Yes",L218&lt;0,B218&lt;&gt;"TXO"),L218,"")</f>
        <v/>
      </c>
    </row>
    <row r="219" outlineLevel="1" collapsed="1">
      <c r="A219" s="740" t="n">
        <v>43580</v>
      </c>
      <c r="B219" s="299" t="inlineStr">
        <is>
          <t>FIMTX</t>
        </is>
      </c>
      <c r="C219" s="300" t="inlineStr">
        <is>
          <t>小指05</t>
        </is>
      </c>
      <c r="D219" s="300" t="inlineStr">
        <is>
          <t>平倉</t>
        </is>
      </c>
      <c r="E219" s="301" t="inlineStr">
        <is>
          <t>買</t>
        </is>
      </c>
      <c r="F219" s="300" t="inlineStr">
        <is>
          <t>-</t>
        </is>
      </c>
      <c r="G219" s="741" t="n">
        <v>1</v>
      </c>
      <c r="H219" s="741" t="n">
        <v>10998</v>
      </c>
      <c r="I219" s="741" t="n">
        <v>0</v>
      </c>
      <c r="J219" s="742" t="n">
        <v>23</v>
      </c>
      <c r="K219" s="742" t="n">
        <v>11</v>
      </c>
      <c r="L219" s="742">
        <f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/>
      </c>
      <c r="M219" s="743">
        <f>L219</f>
        <v/>
      </c>
      <c r="N219" s="686">
        <f>IF(B219="TXO","",IF(D219="新倉","",IF(E219="賣",(H219-H218)*G219,(H218-H219)*G219)))</f>
        <v/>
      </c>
      <c r="O219" s="226" t="n">
        <v>0</v>
      </c>
      <c r="P219" s="667" t="n"/>
      <c r="Q219" s="249" t="inlineStr">
        <is>
          <t>技法: 碰10MA出場(停損)</t>
        </is>
      </c>
      <c r="R219" s="249" t="inlineStr">
        <is>
          <t>Yes</t>
        </is>
      </c>
      <c r="S219" s="249" t="n"/>
      <c r="T219" s="61">
        <f>IF(AND(R219="Yes",S219&lt;&gt;"Yes",L219&gt;0,B219&lt;&gt;"TXO"),L219,"")</f>
        <v/>
      </c>
      <c r="U219" s="61">
        <f>IF(AND(R219="Yes",S219&lt;&gt;"Yes",L219&lt;0,B219&lt;&gt;"TXO"),L219,"")</f>
        <v/>
      </c>
      <c r="V219" s="61">
        <f>IF(AND(R219="",S219&lt;&gt;"Yes",L219&gt;0,B219&lt;&gt;"TXO"),L219,"")</f>
        <v/>
      </c>
      <c r="W219" s="61">
        <f>IF(AND(R219="",S219&lt;&gt;"Yes",L219&lt;0,B219&lt;&gt;"TXO"),L219,"")</f>
        <v/>
      </c>
      <c r="X219" s="226">
        <f>IF(AND(R219="Yes",S219="Yes",L219&gt;0,B219&lt;&gt;"TXO"),L219,"")</f>
        <v/>
      </c>
      <c r="Y219" s="226">
        <f>IF(AND(R219="Yes",S219="Yes",L219&lt;0,B219&lt;&gt;"TXO"),L219,"")</f>
        <v/>
      </c>
      <c r="Z219" s="226">
        <f>IF(AND(R219="",S219="Yes",L219&gt;0,B219&lt;&gt;"TXO"),L219,"")</f>
        <v/>
      </c>
      <c r="AA219" s="226">
        <f>IF(AND(R219="",S219="Yes",L219&lt;0,B219&lt;&gt;"TXO"),L219,"")</f>
        <v/>
      </c>
    </row>
    <row r="220" outlineLevel="1">
      <c r="A220" s="696" t="n">
        <v>43584</v>
      </c>
      <c r="B220" s="234" t="inlineStr">
        <is>
          <t>FIMTX</t>
        </is>
      </c>
      <c r="C220" s="229" t="inlineStr">
        <is>
          <t>小指05</t>
        </is>
      </c>
      <c r="D220" s="229" t="inlineStr">
        <is>
          <t>新倉</t>
        </is>
      </c>
      <c r="E220" s="257" t="inlineStr">
        <is>
          <t>賣</t>
        </is>
      </c>
      <c r="F220" s="229" t="inlineStr">
        <is>
          <t>-</t>
        </is>
      </c>
      <c r="G220" s="697" t="n">
        <v>1</v>
      </c>
      <c r="H220" s="697" t="n">
        <v>10944</v>
      </c>
      <c r="I220" s="697" t="n">
        <v>0</v>
      </c>
      <c r="J220" s="585" t="n">
        <v>23</v>
      </c>
      <c r="K220" s="585" t="n">
        <v>11</v>
      </c>
      <c r="L220" s="585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/>
      </c>
      <c r="M220" s="699">
        <f>L220</f>
        <v/>
      </c>
      <c r="N220" s="686">
        <f>IF(B220="TXO","",IF(D220="新倉","",IF(E220="賣",(H220-H219)*G220,(H219-H220)*G220)))</f>
        <v/>
      </c>
      <c r="O220" s="226" t="n">
        <v>0</v>
      </c>
      <c r="P220" s="667">
        <f>SUM(L220:L221)</f>
        <v/>
      </c>
      <c r="Q220" s="249" t="inlineStr">
        <is>
          <t>3/3 買進1口</t>
        </is>
      </c>
      <c r="R220" s="249" t="inlineStr">
        <is>
          <t>Yes</t>
        </is>
      </c>
      <c r="S220" s="249" t="n"/>
      <c r="T220" s="61">
        <f>IF(AND(R220="Yes",S220&lt;&gt;"Yes",L220&gt;0,B220&lt;&gt;"TXO"),L220,"")</f>
        <v/>
      </c>
      <c r="U220" s="61">
        <f>IF(AND(R220="Yes",S220&lt;&gt;"Yes",L220&lt;0,B220&lt;&gt;"TXO"),L220,"")</f>
        <v/>
      </c>
      <c r="V220" s="61">
        <f>IF(AND(R220="",S220&lt;&gt;"Yes",L220&gt;0,B220&lt;&gt;"TXO"),L220,"")</f>
        <v/>
      </c>
      <c r="W220" s="61">
        <f>IF(AND(R220="",S220&lt;&gt;"Yes",L220&lt;0,B220&lt;&gt;"TXO"),L220,"")</f>
        <v/>
      </c>
      <c r="X220" s="226">
        <f>IF(AND(R220="Yes",S220="Yes",L220&gt;0,B220&lt;&gt;"TXO"),L220,"")</f>
        <v/>
      </c>
      <c r="Y220" s="226">
        <f>IF(AND(R220="Yes",S220="Yes",L220&lt;0,B220&lt;&gt;"TXO"),L220,"")</f>
        <v/>
      </c>
      <c r="Z220" s="226">
        <f>IF(AND(R220="",S220="Yes",L220&gt;0,B220&lt;&gt;"TXO"),L220,"")</f>
        <v/>
      </c>
      <c r="AA220" s="226">
        <f>IF(AND(R220="",S220="Yes",L220&lt;0,B220&lt;&gt;"TXO"),L220,"")</f>
        <v/>
      </c>
    </row>
    <row r="221" outlineLevel="1">
      <c r="A221" s="696" t="n">
        <v>43584</v>
      </c>
      <c r="B221" s="234" t="inlineStr">
        <is>
          <t>FIMTX</t>
        </is>
      </c>
      <c r="C221" s="229" t="inlineStr">
        <is>
          <t>小指05</t>
        </is>
      </c>
      <c r="D221" s="229" t="inlineStr">
        <is>
          <t>平倉</t>
        </is>
      </c>
      <c r="E221" s="257" t="inlineStr">
        <is>
          <t>買</t>
        </is>
      </c>
      <c r="F221" s="229" t="inlineStr">
        <is>
          <t>-</t>
        </is>
      </c>
      <c r="G221" s="697" t="n">
        <v>1</v>
      </c>
      <c r="H221" s="697" t="n">
        <v>10934</v>
      </c>
      <c r="I221" s="697" t="n">
        <v>0</v>
      </c>
      <c r="J221" s="585" t="n">
        <v>23</v>
      </c>
      <c r="K221" s="585" t="n">
        <v>11</v>
      </c>
      <c r="L221" s="585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/>
      </c>
      <c r="M221" s="699">
        <f>L221</f>
        <v/>
      </c>
      <c r="N221" s="686">
        <f>IF(B221="TXO","",IF(D221="新倉","",IF(E221="賣",(H221-H220)*G221,(H220-H221)*G221)))</f>
        <v/>
      </c>
      <c r="O221" s="226" t="n">
        <v>0</v>
      </c>
      <c r="P221" s="667" t="n"/>
      <c r="Q221" s="249" t="inlineStr">
        <is>
          <t>元大移動式停利</t>
        </is>
      </c>
      <c r="R221" s="249" t="inlineStr">
        <is>
          <t>Yes</t>
        </is>
      </c>
      <c r="S221" s="249" t="n"/>
      <c r="T221" s="61">
        <f>IF(AND(R221="Yes",S221&lt;&gt;"Yes",L221&gt;0,B221&lt;&gt;"TXO"),L221,"")</f>
        <v/>
      </c>
      <c r="U221" s="61">
        <f>IF(AND(R221="Yes",S221&lt;&gt;"Yes",L221&lt;0,B221&lt;&gt;"TXO"),L221,"")</f>
        <v/>
      </c>
      <c r="V221" s="61">
        <f>IF(AND(R221="",S221&lt;&gt;"Yes",L221&gt;0,B221&lt;&gt;"TXO"),L221,"")</f>
        <v/>
      </c>
      <c r="W221" s="61">
        <f>IF(AND(R221="",S221&lt;&gt;"Yes",L221&lt;0,B221&lt;&gt;"TXO"),L221,"")</f>
        <v/>
      </c>
      <c r="X221" s="226">
        <f>IF(AND(R221="Yes",S221="Yes",L221&gt;0,B221&lt;&gt;"TXO"),L221,"")</f>
        <v/>
      </c>
      <c r="Y221" s="226">
        <f>IF(AND(R221="Yes",S221="Yes",L221&lt;0,B221&lt;&gt;"TXO"),L221,"")</f>
        <v/>
      </c>
      <c r="Z221" s="226">
        <f>IF(AND(R221="",S221="Yes",L221&gt;0,B221&lt;&gt;"TXO"),L221,"")</f>
        <v/>
      </c>
      <c r="AA221" s="226">
        <f>IF(AND(R221="",S221="Yes",L221&lt;0,B221&lt;&gt;"TXO"),L221,"")</f>
        <v/>
      </c>
    </row>
    <row r="222" outlineLevel="1">
      <c r="A222" s="740" t="n">
        <v>43585</v>
      </c>
      <c r="B222" s="299" t="inlineStr">
        <is>
          <t>FIMTX</t>
        </is>
      </c>
      <c r="C222" s="300" t="inlineStr">
        <is>
          <t>小指05</t>
        </is>
      </c>
      <c r="D222" s="300" t="inlineStr">
        <is>
          <t>新倉</t>
        </is>
      </c>
      <c r="E222" s="301" t="inlineStr">
        <is>
          <t>買</t>
        </is>
      </c>
      <c r="F222" s="300" t="inlineStr">
        <is>
          <t>-</t>
        </is>
      </c>
      <c r="G222" s="741" t="n">
        <v>1</v>
      </c>
      <c r="H222" s="741" t="n">
        <v>10911</v>
      </c>
      <c r="I222" s="741" t="n">
        <v>0</v>
      </c>
      <c r="J222" s="742" t="n">
        <v>23</v>
      </c>
      <c r="K222" s="742" t="n">
        <v>11</v>
      </c>
      <c r="L222" s="742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/>
      </c>
      <c r="M222" s="743">
        <f>L222</f>
        <v/>
      </c>
      <c r="N222" s="686">
        <f>IF(B222="TXO","",IF(D222="新倉","",IF(E222="賣",(H222-H221)*G222,(H221-H222)*G222)))</f>
        <v/>
      </c>
      <c r="O222" s="226" t="n">
        <v>0</v>
      </c>
      <c r="P222" s="667">
        <f>SUM(L222:L223)</f>
        <v/>
      </c>
      <c r="Q222" s="249" t="inlineStr">
        <is>
          <t>3/3 買進1口</t>
        </is>
      </c>
      <c r="R222" s="249" t="inlineStr">
        <is>
          <t>Yes</t>
        </is>
      </c>
      <c r="S222" s="249" t="n"/>
      <c r="T222" s="61">
        <f>IF(AND(R222="Yes",S222&lt;&gt;"Yes",L222&gt;0,B222&lt;&gt;"TXO"),L222,"")</f>
        <v/>
      </c>
      <c r="U222" s="61">
        <f>IF(AND(R222="Yes",S222&lt;&gt;"Yes",L222&lt;0,B222&lt;&gt;"TXO"),L222,"")</f>
        <v/>
      </c>
      <c r="V222" s="61">
        <f>IF(AND(R222="",S222&lt;&gt;"Yes",L222&gt;0,B222&lt;&gt;"TXO"),L222,"")</f>
        <v/>
      </c>
      <c r="W222" s="61">
        <f>IF(AND(R222="",S222&lt;&gt;"Yes",L222&lt;0,B222&lt;&gt;"TXO"),L222,"")</f>
        <v/>
      </c>
      <c r="X222" s="226">
        <f>IF(AND(R222="Yes",S222="Yes",L222&gt;0,B222&lt;&gt;"TXO"),L222,"")</f>
        <v/>
      </c>
      <c r="Y222" s="226">
        <f>IF(AND(R222="Yes",S222="Yes",L222&lt;0,B222&lt;&gt;"TXO"),L222,"")</f>
        <v/>
      </c>
      <c r="Z222" s="226">
        <f>IF(AND(R222="",S222="Yes",L222&gt;0,B222&lt;&gt;"TXO"),L222,"")</f>
        <v/>
      </c>
      <c r="AA222" s="226">
        <f>IF(AND(R222="",S222="Yes",L222&lt;0,B222&lt;&gt;"TXO"),L222,"")</f>
        <v/>
      </c>
    </row>
    <row r="223" outlineLevel="1" collapsed="1" ht="17.25" customHeight="1" thickBot="1">
      <c r="A223" s="740" t="n">
        <v>43585</v>
      </c>
      <c r="B223" s="299" t="inlineStr">
        <is>
          <t>FIMTX</t>
        </is>
      </c>
      <c r="C223" s="300" t="inlineStr">
        <is>
          <t>小指05</t>
        </is>
      </c>
      <c r="D223" s="300" t="inlineStr">
        <is>
          <t>平倉</t>
        </is>
      </c>
      <c r="E223" s="301" t="inlineStr">
        <is>
          <t>賣</t>
        </is>
      </c>
      <c r="F223" s="300" t="inlineStr">
        <is>
          <t>-</t>
        </is>
      </c>
      <c r="G223" s="741" t="n">
        <v>1</v>
      </c>
      <c r="H223" s="741" t="n">
        <v>10918</v>
      </c>
      <c r="I223" s="741" t="n">
        <v>0</v>
      </c>
      <c r="J223" s="742" t="n">
        <v>23</v>
      </c>
      <c r="K223" s="742" t="n">
        <v>11</v>
      </c>
      <c r="L223" s="742">
        <f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/>
      </c>
      <c r="M223" s="743">
        <f>L223</f>
        <v/>
      </c>
      <c r="N223" s="686">
        <f>IF(B223="TXO","",IF(D223="新倉","",IF(E223="賣",(H223-H222)*G223,(H222-H223)*G223)))</f>
        <v/>
      </c>
      <c r="O223" s="226" t="n">
        <v>0</v>
      </c>
      <c r="P223" s="667" t="n"/>
      <c r="Q223" s="249" t="inlineStr">
        <is>
          <t>技法: 碰10MA出場(停損)</t>
        </is>
      </c>
      <c r="R223" s="249" t="inlineStr">
        <is>
          <t>Yes</t>
        </is>
      </c>
      <c r="S223" s="249" t="n"/>
      <c r="T223" s="61">
        <f>IF(AND(R223="Yes",S223&lt;&gt;"Yes",L223&gt;0,B223&lt;&gt;"TXO"),L223,"")</f>
        <v/>
      </c>
      <c r="U223" s="61">
        <f>IF(AND(R223="Yes",S223&lt;&gt;"Yes",L223&lt;0,B223&lt;&gt;"TXO"),L223,"")</f>
        <v/>
      </c>
      <c r="V223" s="61">
        <f>IF(AND(R223="",S223&lt;&gt;"Yes",L223&gt;0,B223&lt;&gt;"TXO"),L223,"")</f>
        <v/>
      </c>
      <c r="W223" s="61">
        <f>IF(AND(R223="",S223&lt;&gt;"Yes",L223&lt;0,B223&lt;&gt;"TXO"),L223,"")</f>
        <v/>
      </c>
      <c r="X223" s="226">
        <f>IF(AND(R223="Yes",S223="Yes",L223&gt;0,B223&lt;&gt;"TXO"),L223,"")</f>
        <v/>
      </c>
      <c r="Y223" s="226">
        <f>IF(AND(R223="Yes",S223="Yes",L223&lt;0,B223&lt;&gt;"TXO"),L223,"")</f>
        <v/>
      </c>
      <c r="Z223" s="226">
        <f>IF(AND(R223="",S223="Yes",L223&gt;0,B223&lt;&gt;"TXO"),L223,"")</f>
        <v/>
      </c>
      <c r="AA223" s="226">
        <f>IF(AND(R223="",S223="Yes",L223&lt;0,B223&lt;&gt;"TXO"),L223,"")</f>
        <v/>
      </c>
    </row>
    <row r="224" collapsed="1" ht="17.25" customHeight="1" thickBot="1">
      <c r="A224" s="273" t="inlineStr">
        <is>
          <t>4月總計</t>
        </is>
      </c>
      <c r="B224" s="274" t="n"/>
      <c r="C224" s="274" t="n"/>
      <c r="D224" s="274" t="n"/>
      <c r="E224" s="274" t="n"/>
      <c r="F224" s="274" t="n"/>
      <c r="G224" s="715" t="n"/>
      <c r="H224" s="715" t="n"/>
      <c r="I224" s="715" t="n"/>
      <c r="J224" s="716" t="n"/>
      <c r="K224" s="715" t="n"/>
      <c r="L224" s="717">
        <f>SUM(L193:L223)</f>
        <v/>
      </c>
      <c r="M224" s="717">
        <f>SUM(M194:M223)</f>
        <v/>
      </c>
      <c r="N224" s="666" t="n"/>
      <c r="P224" s="744" t="n"/>
      <c r="R224" s="717">
        <f>SUMIF(R194:R223,"Yes",L194:L223)</f>
        <v/>
      </c>
      <c r="S224" s="739" t="n"/>
      <c r="T224" s="226">
        <f>SUM(T194:T223)</f>
        <v/>
      </c>
      <c r="U224" s="226">
        <f>SUM(U194:U223)</f>
        <v/>
      </c>
      <c r="V224" s="226">
        <f>SUM(V194:V223)</f>
        <v/>
      </c>
      <c r="W224" s="226">
        <f>SUM(W194:W223)</f>
        <v/>
      </c>
      <c r="X224" s="226">
        <f>SUM(X194:X223)</f>
        <v/>
      </c>
      <c r="Y224" s="226">
        <f>SUM(Y194:Y223)</f>
        <v/>
      </c>
      <c r="Z224" s="226">
        <f>SUM(Z194:Z223)</f>
        <v/>
      </c>
      <c r="AA224" s="226">
        <f>SUM(AA194:AA223)</f>
        <v/>
      </c>
    </row>
    <row r="225" ht="17.25" customHeight="1" thickBot="1">
      <c r="A225" s="718" t="n">
        <v>43593</v>
      </c>
      <c r="B225" s="292" t="n"/>
      <c r="C225" s="292" t="inlineStr">
        <is>
          <t>2019 飆股技巧籌碼心魔班</t>
        </is>
      </c>
      <c r="D225" s="292" t="n"/>
      <c r="E225" s="292" t="n"/>
      <c r="F225" s="292" t="n"/>
      <c r="G225" s="719" t="n"/>
      <c r="H225" s="719" t="n"/>
      <c r="I225" s="719" t="n"/>
      <c r="J225" s="720" t="n"/>
      <c r="K225" s="719" t="n"/>
      <c r="L225" s="720" t="n"/>
      <c r="M225" s="721">
        <f>-4457*0.965</f>
        <v/>
      </c>
      <c r="N225" s="666" t="n"/>
      <c r="P225" s="722" t="n"/>
      <c r="Q225" s="249" t="inlineStr">
        <is>
          <t>13000分6期, 每期2166, 6-5</t>
        </is>
      </c>
      <c r="R225" s="226" t="n"/>
    </row>
    <row r="226">
      <c r="A226" s="696" t="n">
        <v>43592</v>
      </c>
      <c r="B226" s="234" t="inlineStr">
        <is>
          <t>FIMTX</t>
        </is>
      </c>
      <c r="C226" s="229" t="inlineStr">
        <is>
          <t>小指05</t>
        </is>
      </c>
      <c r="D226" s="229" t="inlineStr">
        <is>
          <t>新倉</t>
        </is>
      </c>
      <c r="E226" s="257" t="inlineStr">
        <is>
          <t>賣</t>
        </is>
      </c>
      <c r="F226" s="229" t="inlineStr">
        <is>
          <t>-</t>
        </is>
      </c>
      <c r="G226" s="697" t="n">
        <v>1</v>
      </c>
      <c r="H226" s="697" t="n">
        <v>10980</v>
      </c>
      <c r="I226" s="697" t="n">
        <v>0</v>
      </c>
      <c r="J226" s="585" t="n">
        <v>23</v>
      </c>
      <c r="K226" s="585" t="n">
        <v>11</v>
      </c>
      <c r="L226" s="585">
        <f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/>
      </c>
      <c r="M226" s="699">
        <f>L226</f>
        <v/>
      </c>
      <c r="N226" s="686">
        <f>IF(B226="TXO","",IF(D226="新倉","",IF(E226="賣",(H226-H225)*G226,(H225-H226)*G226)))</f>
        <v/>
      </c>
      <c r="O226" s="226" t="n">
        <v>0</v>
      </c>
      <c r="P226" s="667">
        <f>SUM(L226:L227)</f>
        <v/>
      </c>
      <c r="Q226" s="249" t="inlineStr">
        <is>
          <t>3/3 買進1口</t>
        </is>
      </c>
      <c r="R226" s="249" t="inlineStr">
        <is>
          <t>Yes</t>
        </is>
      </c>
      <c r="S226" s="249" t="n"/>
      <c r="T226" s="61">
        <f>IF(AND(R226="Yes",S226&lt;&gt;"Yes",L226&gt;0,B226&lt;&gt;"TXO"),L226,"")</f>
        <v/>
      </c>
      <c r="U226" s="61">
        <f>IF(AND(R226="Yes",S226&lt;&gt;"Yes",L226&lt;0,B226&lt;&gt;"TXO"),L226,"")</f>
        <v/>
      </c>
      <c r="V226" s="61">
        <f>IF(AND(R226="",S226&lt;&gt;"Yes",L226&gt;0,B226&lt;&gt;"TXO"),L226,"")</f>
        <v/>
      </c>
      <c r="W226" s="61">
        <f>IF(AND(R226="",S226&lt;&gt;"Yes",L226&lt;0,B226&lt;&gt;"TXO"),L226,"")</f>
        <v/>
      </c>
      <c r="X226" s="226">
        <f>IF(AND(R226="Yes",S226="Yes",L226&gt;0,B226&lt;&gt;"TXO"),L226,"")</f>
        <v/>
      </c>
      <c r="Y226" s="226">
        <f>IF(AND(R226="Yes",S226="Yes",L226&lt;0,B226&lt;&gt;"TXO"),L226,"")</f>
        <v/>
      </c>
      <c r="Z226" s="226">
        <f>IF(AND(R226="",S226="Yes",L226&gt;0,B226&lt;&gt;"TXO"),L226,"")</f>
        <v/>
      </c>
      <c r="AA226" s="226">
        <f>IF(AND(R226="",S226="Yes",L226&lt;0,B226&lt;&gt;"TXO"),L226,"")</f>
        <v/>
      </c>
    </row>
    <row r="227" outlineLevel="1">
      <c r="A227" s="696" t="n">
        <v>43592</v>
      </c>
      <c r="B227" s="234" t="inlineStr">
        <is>
          <t>FIMTX</t>
        </is>
      </c>
      <c r="C227" s="229" t="inlineStr">
        <is>
          <t>小指05</t>
        </is>
      </c>
      <c r="D227" s="229" t="inlineStr">
        <is>
          <t>平倉</t>
        </is>
      </c>
      <c r="E227" s="257" t="inlineStr">
        <is>
          <t>買</t>
        </is>
      </c>
      <c r="F227" s="229" t="inlineStr">
        <is>
          <t>-</t>
        </is>
      </c>
      <c r="G227" s="697" t="n">
        <v>1</v>
      </c>
      <c r="H227" s="697" t="n">
        <v>10983</v>
      </c>
      <c r="I227" s="697" t="n">
        <v>0</v>
      </c>
      <c r="J227" s="585" t="n">
        <v>23</v>
      </c>
      <c r="K227" s="585" t="n">
        <v>11</v>
      </c>
      <c r="L227" s="585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/>
      </c>
      <c r="M227" s="699">
        <f>L227</f>
        <v/>
      </c>
      <c r="N227" s="686">
        <f>IF(B227="TXO","",IF(D227="新倉","",IF(E227="賣",(H227-H226)*G227,(H226-H227)*G227)))</f>
        <v/>
      </c>
      <c r="O227" s="226" t="n">
        <v>0</v>
      </c>
      <c r="P227" s="667" t="n"/>
      <c r="Q227" s="249" t="inlineStr">
        <is>
          <t>技法: 碰10MA出場(停損)</t>
        </is>
      </c>
      <c r="R227" s="249" t="inlineStr">
        <is>
          <t>Yes</t>
        </is>
      </c>
      <c r="S227" s="249" t="n"/>
      <c r="T227" s="61">
        <f>IF(AND(R227="Yes",S227&lt;&gt;"Yes",L227&gt;0,B227&lt;&gt;"TXO"),L227,"")</f>
        <v/>
      </c>
      <c r="U227" s="61">
        <f>IF(AND(R227="Yes",S227&lt;&gt;"Yes",L227&lt;0,B227&lt;&gt;"TXO"),L227,"")</f>
        <v/>
      </c>
      <c r="V227" s="61">
        <f>IF(AND(R227="",S227&lt;&gt;"Yes",L227&gt;0,B227&lt;&gt;"TXO"),L227,"")</f>
        <v/>
      </c>
      <c r="W227" s="61">
        <f>IF(AND(R227="",S227&lt;&gt;"Yes",L227&lt;0,B227&lt;&gt;"TXO"),L227,"")</f>
        <v/>
      </c>
      <c r="X227" s="226">
        <f>IF(AND(R227="Yes",S227="Yes",L227&gt;0,B227&lt;&gt;"TXO"),L227,"")</f>
        <v/>
      </c>
      <c r="Y227" s="226">
        <f>IF(AND(R227="Yes",S227="Yes",L227&lt;0,B227&lt;&gt;"TXO"),L227,"")</f>
        <v/>
      </c>
      <c r="Z227" s="226">
        <f>IF(AND(R227="",S227="Yes",L227&gt;0,B227&lt;&gt;"TXO"),L227,"")</f>
        <v/>
      </c>
      <c r="AA227" s="226">
        <f>IF(AND(R227="",S227="Yes",L227&lt;0,B227&lt;&gt;"TXO"),L227,"")</f>
        <v/>
      </c>
    </row>
    <row r="228">
      <c r="A228" s="740" t="n">
        <v>43593</v>
      </c>
      <c r="B228" s="299" t="inlineStr">
        <is>
          <t>FIMTX</t>
        </is>
      </c>
      <c r="C228" s="300" t="inlineStr">
        <is>
          <t>小指05</t>
        </is>
      </c>
      <c r="D228" s="300" t="inlineStr">
        <is>
          <t>新倉</t>
        </is>
      </c>
      <c r="E228" s="301" t="inlineStr">
        <is>
          <t>買</t>
        </is>
      </c>
      <c r="F228" s="300" t="inlineStr">
        <is>
          <t>-</t>
        </is>
      </c>
      <c r="G228" s="741" t="n">
        <v>1</v>
      </c>
      <c r="H228" s="741" t="n">
        <v>10919</v>
      </c>
      <c r="I228" s="741" t="n">
        <v>0</v>
      </c>
      <c r="J228" s="742" t="n">
        <v>23</v>
      </c>
      <c r="K228" s="742" t="n">
        <v>11</v>
      </c>
      <c r="L228" s="742">
        <f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/>
      </c>
      <c r="M228" s="743">
        <f>L228</f>
        <v/>
      </c>
      <c r="N228" s="686">
        <f>IF(B228="TXO","",IF(D228="新倉","",IF(E228="賣",(H228-H227)*G228,(H227-H228)*G228)))</f>
        <v/>
      </c>
      <c r="O228" s="226" t="n">
        <v>0</v>
      </c>
      <c r="P228" s="667">
        <f>SUM(L228:L231)</f>
        <v/>
      </c>
      <c r="Q228" s="249" t="inlineStr">
        <is>
          <t>3/3 買進1口</t>
        </is>
      </c>
      <c r="R228" s="249" t="inlineStr">
        <is>
          <t>Yes</t>
        </is>
      </c>
      <c r="S228" s="249" t="n"/>
      <c r="T228" s="61">
        <f>IF(AND(R228="Yes",S228&lt;&gt;"Yes",L228&gt;0,B228&lt;&gt;"TXO"),L228,"")</f>
        <v/>
      </c>
      <c r="U228" s="61">
        <f>IF(AND(R228="Yes",S228&lt;&gt;"Yes",L228&lt;0,B228&lt;&gt;"TXO"),L228,"")</f>
        <v/>
      </c>
      <c r="V228" s="61">
        <f>IF(AND(R228="",S228&lt;&gt;"Yes",L228&gt;0,B228&lt;&gt;"TXO"),L228,"")</f>
        <v/>
      </c>
      <c r="W228" s="61">
        <f>IF(AND(R228="",S228&lt;&gt;"Yes",L228&lt;0,B228&lt;&gt;"TXO"),L228,"")</f>
        <v/>
      </c>
      <c r="X228" s="226">
        <f>IF(AND(R228="Yes",S228="Yes",L228&gt;0,B228&lt;&gt;"TXO"),L228,"")</f>
        <v/>
      </c>
      <c r="Y228" s="226">
        <f>IF(AND(R228="Yes",S228="Yes",L228&lt;0,B228&lt;&gt;"TXO"),L228,"")</f>
        <v/>
      </c>
      <c r="Z228" s="226">
        <f>IF(AND(R228="",S228="Yes",L228&gt;0,B228&lt;&gt;"TXO"),L228,"")</f>
        <v/>
      </c>
      <c r="AA228" s="226">
        <f>IF(AND(R228="",S228="Yes",L228&lt;0,B228&lt;&gt;"TXO"),L228,"")</f>
        <v/>
      </c>
    </row>
    <row r="229" outlineLevel="1">
      <c r="A229" s="740" t="n">
        <v>43593</v>
      </c>
      <c r="B229" s="299" t="inlineStr">
        <is>
          <t>FIMTX</t>
        </is>
      </c>
      <c r="C229" s="300" t="inlineStr">
        <is>
          <t>小指05</t>
        </is>
      </c>
      <c r="D229" s="300" t="inlineStr">
        <is>
          <t>平倉</t>
        </is>
      </c>
      <c r="E229" s="301" t="inlineStr">
        <is>
          <t>賣</t>
        </is>
      </c>
      <c r="F229" s="300" t="inlineStr">
        <is>
          <t>-</t>
        </is>
      </c>
      <c r="G229" s="741" t="n">
        <v>1</v>
      </c>
      <c r="H229" s="741" t="n">
        <v>10925</v>
      </c>
      <c r="I229" s="741" t="n">
        <v>0</v>
      </c>
      <c r="J229" s="742" t="n">
        <v>23</v>
      </c>
      <c r="K229" s="742" t="n">
        <v>11</v>
      </c>
      <c r="L229" s="742">
        <f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/>
      </c>
      <c r="M229" s="743">
        <f>L229</f>
        <v/>
      </c>
      <c r="N229" s="686">
        <f>IF(B229="TXO","",IF(D229="新倉","",IF(E229="賣",(H229-H228)*G229,(H228-H229)*G229)))</f>
        <v/>
      </c>
      <c r="O229" s="226" t="n">
        <v>0</v>
      </c>
      <c r="P229" s="667" t="n"/>
      <c r="Q229" s="249" t="inlineStr">
        <is>
          <t>元大移動式停利</t>
        </is>
      </c>
      <c r="R229" s="249" t="inlineStr">
        <is>
          <t>Yes</t>
        </is>
      </c>
      <c r="S229" s="249" t="n"/>
      <c r="T229" s="61">
        <f>IF(AND(R229="Yes",S229&lt;&gt;"Yes",L229&gt;0,B229&lt;&gt;"TXO"),L229,"")</f>
        <v/>
      </c>
      <c r="U229" s="61">
        <f>IF(AND(R229="Yes",S229&lt;&gt;"Yes",L229&lt;0,B229&lt;&gt;"TXO"),L229,"")</f>
        <v/>
      </c>
      <c r="V229" s="61">
        <f>IF(AND(R229="",S229&lt;&gt;"Yes",L229&gt;0,B229&lt;&gt;"TXO"),L229,"")</f>
        <v/>
      </c>
      <c r="W229" s="61">
        <f>IF(AND(R229="",S229&lt;&gt;"Yes",L229&lt;0,B229&lt;&gt;"TXO"),L229,"")</f>
        <v/>
      </c>
      <c r="X229" s="226">
        <f>IF(AND(R229="Yes",S229="Yes",L229&gt;0,B229&lt;&gt;"TXO"),L229,"")</f>
        <v/>
      </c>
      <c r="Y229" s="226">
        <f>IF(AND(R229="Yes",S229="Yes",L229&lt;0,B229&lt;&gt;"TXO"),L229,"")</f>
        <v/>
      </c>
      <c r="Z229" s="226">
        <f>IF(AND(R229="",S229="Yes",L229&gt;0,B229&lt;&gt;"TXO"),L229,"")</f>
        <v/>
      </c>
      <c r="AA229" s="226">
        <f>IF(AND(R229="",S229="Yes",L229&lt;0,B229&lt;&gt;"TXO"),L229,"")</f>
        <v/>
      </c>
    </row>
    <row r="230" outlineLevel="1">
      <c r="A230" s="740" t="n">
        <v>43593</v>
      </c>
      <c r="B230" s="299" t="inlineStr">
        <is>
          <t>TXO</t>
        </is>
      </c>
      <c r="C230" s="300" t="inlineStr">
        <is>
          <t>台選W2 05 10750 P</t>
        </is>
      </c>
      <c r="D230" s="300" t="inlineStr">
        <is>
          <t>新倉</t>
        </is>
      </c>
      <c r="E230" s="301" t="inlineStr">
        <is>
          <t>買</t>
        </is>
      </c>
      <c r="F230" s="300" t="inlineStr">
        <is>
          <t>-</t>
        </is>
      </c>
      <c r="G230" s="741" t="n">
        <v>2</v>
      </c>
      <c r="H230" s="741" t="n">
        <v>1</v>
      </c>
      <c r="I230" s="741" t="n">
        <v>-100</v>
      </c>
      <c r="J230" s="742" t="n">
        <v>36</v>
      </c>
      <c r="K230" s="742" t="n">
        <v>0</v>
      </c>
      <c r="L230" s="742">
        <f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/>
      </c>
      <c r="M230" s="743">
        <f>L230</f>
        <v/>
      </c>
      <c r="N230" s="686">
        <f>IF(B230="TXO","",IF(D230="新倉","",IF(E230="賣",(H230-H229)*G230,(H229-H230)*G230)))</f>
        <v/>
      </c>
      <c r="O230" s="226" t="n">
        <v>0</v>
      </c>
      <c r="P230" s="667" t="n"/>
      <c r="S230" s="249" t="n"/>
      <c r="T230" s="61">
        <f>IF(AND(R230="Yes",S230&lt;&gt;"Yes",L230&gt;0,B230&lt;&gt;"TXO"),L230,"")</f>
        <v/>
      </c>
      <c r="U230" s="61">
        <f>IF(AND(R230="Yes",S230&lt;&gt;"Yes",L230&lt;0,B230&lt;&gt;"TXO"),L230,"")</f>
        <v/>
      </c>
      <c r="V230" s="61">
        <f>IF(AND(R230="",S230&lt;&gt;"Yes",L230&gt;0,B230&lt;&gt;"TXO"),L230,"")</f>
        <v/>
      </c>
      <c r="W230" s="61">
        <f>IF(AND(R230="",S230&lt;&gt;"Yes",L230&lt;0,B230&lt;&gt;"TXO"),L230,"")</f>
        <v/>
      </c>
      <c r="X230" s="226">
        <f>IF(AND(R230="Yes",S230="Yes",L230&gt;0,B230&lt;&gt;"TXO"),L230,"")</f>
        <v/>
      </c>
      <c r="Y230" s="226">
        <f>IF(AND(R230="Yes",S230="Yes",L230&lt;0,B230&lt;&gt;"TXO"),L230,"")</f>
        <v/>
      </c>
      <c r="Z230" s="226">
        <f>IF(AND(R230="",S230="Yes",L230&gt;0,B230&lt;&gt;"TXO"),L230,"")</f>
        <v/>
      </c>
      <c r="AA230" s="226">
        <f>IF(AND(R230="",S230="Yes",L230&lt;0,B230&lt;&gt;"TXO"),L230,"")</f>
        <v/>
      </c>
    </row>
    <row r="231" outlineLevel="1">
      <c r="A231" s="740" t="n">
        <v>43593</v>
      </c>
      <c r="B231" s="299" t="inlineStr">
        <is>
          <t>TXO</t>
        </is>
      </c>
      <c r="C231" s="300" t="inlineStr">
        <is>
          <t>台選W2 05 10750 P</t>
        </is>
      </c>
      <c r="D231" s="300" t="inlineStr">
        <is>
          <t>新倉</t>
        </is>
      </c>
      <c r="E231" s="301" t="inlineStr">
        <is>
          <t>買</t>
        </is>
      </c>
      <c r="F231" s="300" t="inlineStr">
        <is>
          <t>-</t>
        </is>
      </c>
      <c r="G231" s="741" t="n">
        <v>2</v>
      </c>
      <c r="H231" s="741" t="n">
        <v>4.4</v>
      </c>
      <c r="I231" s="741" t="n">
        <v>-440</v>
      </c>
      <c r="J231" s="742" t="n">
        <v>36</v>
      </c>
      <c r="K231" s="742" t="n">
        <v>0</v>
      </c>
      <c r="L231" s="742">
        <f>IF(B231="TXO",I231-SUM(J231:K231),IF(B231="FITX",IF(D231="新倉",-SUM(J231:K231),IF(E231="賣",(H231-H230)*G231*200-SUM(J231:K231),(H230-H231)*G231*200-SUM(J231:K231))),IF(D231="新倉",-SUM(J231:K231),IF(E231="賣",(H231-H230)*G231*50-SUM(J231:K231),(H230-H231)*G231*50-SUM(J231:K231)))))</f>
        <v/>
      </c>
      <c r="M231" s="743">
        <f>L231</f>
        <v/>
      </c>
      <c r="N231" s="686">
        <f>IF(B231="TXO","",IF(D231="新倉","",IF(E231="賣",(H231-H230)*G231,(H230-H231)*G231)))</f>
        <v/>
      </c>
      <c r="O231" s="226" t="n">
        <v>0</v>
      </c>
      <c r="P231" s="667" t="n"/>
      <c r="S231" s="249" t="n"/>
      <c r="T231" s="61">
        <f>IF(AND(R231="Yes",S231&lt;&gt;"Yes",L231&gt;0,B231&lt;&gt;"TXO"),L231,"")</f>
        <v/>
      </c>
      <c r="U231" s="61">
        <f>IF(AND(R231="Yes",S231&lt;&gt;"Yes",L231&lt;0,B231&lt;&gt;"TXO"),L231,"")</f>
        <v/>
      </c>
      <c r="V231" s="61">
        <f>IF(AND(R231="",S231&lt;&gt;"Yes",L231&gt;0,B231&lt;&gt;"TXO"),L231,"")</f>
        <v/>
      </c>
      <c r="W231" s="61">
        <f>IF(AND(R231="",S231&lt;&gt;"Yes",L231&lt;0,B231&lt;&gt;"TXO"),L231,"")</f>
        <v/>
      </c>
      <c r="X231" s="226">
        <f>IF(AND(R231="Yes",S231="Yes",L231&gt;0,B231&lt;&gt;"TXO"),L231,"")</f>
        <v/>
      </c>
      <c r="Y231" s="226">
        <f>IF(AND(R231="Yes",S231="Yes",L231&lt;0,B231&lt;&gt;"TXO"),L231,"")</f>
        <v/>
      </c>
      <c r="Z231" s="226">
        <f>IF(AND(R231="",S231="Yes",L231&gt;0,B231&lt;&gt;"TXO"),L231,"")</f>
        <v/>
      </c>
      <c r="AA231" s="226">
        <f>IF(AND(R231="",S231="Yes",L231&lt;0,B231&lt;&gt;"TXO"),L231,"")</f>
        <v/>
      </c>
    </row>
    <row r="232">
      <c r="A232" s="696" t="n">
        <v>43594</v>
      </c>
      <c r="B232" s="234" t="inlineStr">
        <is>
          <t>FIMTX</t>
        </is>
      </c>
      <c r="C232" s="229" t="inlineStr">
        <is>
          <t>小指05</t>
        </is>
      </c>
      <c r="D232" s="229" t="inlineStr">
        <is>
          <t>新倉</t>
        </is>
      </c>
      <c r="E232" s="257" t="inlineStr">
        <is>
          <t>賣</t>
        </is>
      </c>
      <c r="F232" s="229" t="inlineStr">
        <is>
          <t>-</t>
        </is>
      </c>
      <c r="G232" s="697" t="n">
        <v>1</v>
      </c>
      <c r="H232" s="697" t="n">
        <v>10816</v>
      </c>
      <c r="I232" s="697" t="n">
        <v>0</v>
      </c>
      <c r="J232" s="585" t="n">
        <v>23</v>
      </c>
      <c r="K232" s="585" t="n">
        <v>11</v>
      </c>
      <c r="L232" s="585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/>
      </c>
      <c r="M232" s="699">
        <f>L232</f>
        <v/>
      </c>
      <c r="N232" s="686">
        <f>IF(B232="TXO","",IF(D232="新倉","",IF(E232="賣",(H232-H231)*G232,(H231-H232)*G232)))</f>
        <v/>
      </c>
      <c r="O232" s="226" t="n">
        <v>0</v>
      </c>
      <c r="P232" s="667">
        <f>SUM(L232:L239)</f>
        <v/>
      </c>
      <c r="Q232" s="249" t="inlineStr">
        <is>
          <t>3/3 買進1口</t>
        </is>
      </c>
      <c r="R232" s="249" t="inlineStr">
        <is>
          <t>Yes</t>
        </is>
      </c>
      <c r="S232" s="249" t="n"/>
      <c r="T232" s="61">
        <f>IF(AND(R232="Yes",S232&lt;&gt;"Yes",L232&gt;0,B232&lt;&gt;"TXO"),L232,"")</f>
        <v/>
      </c>
      <c r="U232" s="61">
        <f>IF(AND(R232="Yes",S232&lt;&gt;"Yes",L232&lt;0,B232&lt;&gt;"TXO"),L232,"")</f>
        <v/>
      </c>
      <c r="V232" s="61">
        <f>IF(AND(R232="",S232&lt;&gt;"Yes",L232&gt;0,B232&lt;&gt;"TXO"),L232,"")</f>
        <v/>
      </c>
      <c r="W232" s="61">
        <f>IF(AND(R232="",S232&lt;&gt;"Yes",L232&lt;0,B232&lt;&gt;"TXO"),L232,"")</f>
        <v/>
      </c>
      <c r="X232" s="226">
        <f>IF(AND(R232="Yes",S232="Yes",L232&gt;0,B232&lt;&gt;"TXO"),L232,"")</f>
        <v/>
      </c>
      <c r="Y232" s="226">
        <f>IF(AND(R232="Yes",S232="Yes",L232&lt;0,B232&lt;&gt;"TXO"),L232,"")</f>
        <v/>
      </c>
      <c r="Z232" s="226">
        <f>IF(AND(R232="",S232="Yes",L232&gt;0,B232&lt;&gt;"TXO"),L232,"")</f>
        <v/>
      </c>
      <c r="AA232" s="226">
        <f>IF(AND(R232="",S232="Yes",L232&lt;0,B232&lt;&gt;"TXO"),L232,"")</f>
        <v/>
      </c>
    </row>
    <row r="233" outlineLevel="1">
      <c r="A233" s="696" t="n">
        <v>43594</v>
      </c>
      <c r="B233" s="234" t="inlineStr">
        <is>
          <t>FIMTX</t>
        </is>
      </c>
      <c r="C233" s="229" t="inlineStr">
        <is>
          <t>小指05</t>
        </is>
      </c>
      <c r="D233" s="229" t="inlineStr">
        <is>
          <t>平倉</t>
        </is>
      </c>
      <c r="E233" s="257" t="inlineStr">
        <is>
          <t>買</t>
        </is>
      </c>
      <c r="F233" s="229" t="inlineStr">
        <is>
          <t>-</t>
        </is>
      </c>
      <c r="G233" s="697" t="n">
        <v>1</v>
      </c>
      <c r="H233" s="697" t="n">
        <v>10832</v>
      </c>
      <c r="I233" s="697" t="n">
        <v>0</v>
      </c>
      <c r="J233" s="585" t="n">
        <v>23</v>
      </c>
      <c r="K233" s="585" t="n">
        <v>11</v>
      </c>
      <c r="L233" s="585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/>
      </c>
      <c r="M233" s="699">
        <f>L233</f>
        <v/>
      </c>
      <c r="N233" s="686">
        <f>IF(B233="TXO","",IF(D233="新倉","",IF(E233="賣",(H233-H232)*G233,(H232-H233)*G233)))</f>
        <v/>
      </c>
      <c r="O233" s="226" t="n">
        <v>0</v>
      </c>
      <c r="P233" s="667" t="n"/>
      <c r="Q233" s="249" t="inlineStr">
        <is>
          <t>技法: 碰10MA出場</t>
        </is>
      </c>
      <c r="R233" s="249" t="inlineStr">
        <is>
          <t>Yes</t>
        </is>
      </c>
      <c r="S233" s="249" t="n"/>
      <c r="T233" s="61">
        <f>IF(AND(R233="Yes",S233&lt;&gt;"Yes",L233&gt;0,B233&lt;&gt;"TXO"),L233,"")</f>
        <v/>
      </c>
      <c r="U233" s="61">
        <f>IF(AND(R233="Yes",S233&lt;&gt;"Yes",L233&lt;0,B233&lt;&gt;"TXO"),L233,"")</f>
        <v/>
      </c>
      <c r="V233" s="61">
        <f>IF(AND(R233="",S233&lt;&gt;"Yes",L233&gt;0,B233&lt;&gt;"TXO"),L233,"")</f>
        <v/>
      </c>
      <c r="W233" s="61">
        <f>IF(AND(R233="",S233&lt;&gt;"Yes",L233&lt;0,B233&lt;&gt;"TXO"),L233,"")</f>
        <v/>
      </c>
      <c r="X233" s="226">
        <f>IF(AND(R233="Yes",S233="Yes",L233&gt;0,B233&lt;&gt;"TXO"),L233,"")</f>
        <v/>
      </c>
      <c r="Y233" s="226">
        <f>IF(AND(R233="Yes",S233="Yes",L233&lt;0,B233&lt;&gt;"TXO"),L233,"")</f>
        <v/>
      </c>
      <c r="Z233" s="226">
        <f>IF(AND(R233="",S233="Yes",L233&gt;0,B233&lt;&gt;"TXO"),L233,"")</f>
        <v/>
      </c>
      <c r="AA233" s="226">
        <f>IF(AND(R233="",S233="Yes",L233&lt;0,B233&lt;&gt;"TXO"),L233,"")</f>
        <v/>
      </c>
    </row>
    <row r="234" outlineLevel="1">
      <c r="A234" s="696" t="n">
        <v>43594</v>
      </c>
      <c r="B234" s="234" t="inlineStr">
        <is>
          <t>FIMTX</t>
        </is>
      </c>
      <c r="C234" s="229" t="inlineStr">
        <is>
          <t>小指05</t>
        </is>
      </c>
      <c r="D234" s="229" t="inlineStr">
        <is>
          <t>新倉</t>
        </is>
      </c>
      <c r="E234" s="257" t="inlineStr">
        <is>
          <t>賣</t>
        </is>
      </c>
      <c r="F234" s="229" t="inlineStr">
        <is>
          <t>-</t>
        </is>
      </c>
      <c r="G234" s="697" t="n">
        <v>1</v>
      </c>
      <c r="H234" s="697" t="n">
        <v>10597</v>
      </c>
      <c r="I234" s="697" t="n">
        <v>0</v>
      </c>
      <c r="J234" s="585" t="n">
        <v>23</v>
      </c>
      <c r="K234" s="585" t="n">
        <v>11</v>
      </c>
      <c r="L234" s="585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/>
      </c>
      <c r="M234" s="699">
        <f>L234</f>
        <v/>
      </c>
      <c r="N234" s="686">
        <f>IF(B234="TXO","",IF(D234="新倉","",IF(E234="賣",(H234-H233)*G234,(H233-H234)*G234)))</f>
        <v/>
      </c>
      <c r="O234" s="226" t="n">
        <v>0</v>
      </c>
      <c r="P234" s="667" t="n"/>
      <c r="Q234" s="249" t="inlineStr">
        <is>
          <t>3/3 買進1口</t>
        </is>
      </c>
      <c r="R234" s="249" t="inlineStr">
        <is>
          <t>Yes</t>
        </is>
      </c>
      <c r="S234" s="249" t="inlineStr">
        <is>
          <t>Yes</t>
        </is>
      </c>
      <c r="T234" s="61">
        <f>IF(AND(R234="Yes",S234&lt;&gt;"Yes",L234&gt;0,B234&lt;&gt;"TXO"),L234,"")</f>
        <v/>
      </c>
      <c r="U234" s="61">
        <f>IF(AND(R234="Yes",S234&lt;&gt;"Yes",L234&lt;0,B234&lt;&gt;"TXO"),L234,"")</f>
        <v/>
      </c>
      <c r="V234" s="61">
        <f>IF(AND(R234="",S234&lt;&gt;"Yes",L234&gt;0,B234&lt;&gt;"TXO"),L234,"")</f>
        <v/>
      </c>
      <c r="W234" s="61">
        <f>IF(AND(R234="",S234&lt;&gt;"Yes",L234&lt;0,B234&lt;&gt;"TXO"),L234,"")</f>
        <v/>
      </c>
      <c r="X234" s="226">
        <f>IF(AND(R234="Yes",S234="Yes",L234&gt;0,B234&lt;&gt;"TXO"),L234,"")</f>
        <v/>
      </c>
      <c r="Y234" s="226">
        <f>IF(AND(R234="Yes",S234="Yes",L234&lt;0,B234&lt;&gt;"TXO"),L234,"")</f>
        <v/>
      </c>
      <c r="Z234" s="226">
        <f>IF(AND(R234="",S234="Yes",L234&gt;0,B234&lt;&gt;"TXO"),L234,"")</f>
        <v/>
      </c>
      <c r="AA234" s="226">
        <f>IF(AND(R234="",S234="Yes",L234&lt;0,B234&lt;&gt;"TXO"),L234,"")</f>
        <v/>
      </c>
    </row>
    <row r="235" outlineLevel="1">
      <c r="A235" s="696" t="n">
        <v>43594</v>
      </c>
      <c r="B235" s="234" t="inlineStr">
        <is>
          <t>FIMTX</t>
        </is>
      </c>
      <c r="C235" s="229" t="inlineStr">
        <is>
          <t>小指05</t>
        </is>
      </c>
      <c r="D235" s="229" t="inlineStr">
        <is>
          <t>平倉</t>
        </is>
      </c>
      <c r="E235" s="257" t="inlineStr">
        <is>
          <t>買</t>
        </is>
      </c>
      <c r="F235" s="229" t="inlineStr">
        <is>
          <t>-</t>
        </is>
      </c>
      <c r="G235" s="697" t="n">
        <v>1</v>
      </c>
      <c r="H235" s="697" t="n">
        <v>10620</v>
      </c>
      <c r="I235" s="697" t="n">
        <v>0</v>
      </c>
      <c r="J235" s="585" t="n">
        <v>23</v>
      </c>
      <c r="K235" s="585" t="n">
        <v>11</v>
      </c>
      <c r="L235" s="585">
        <f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/>
      </c>
      <c r="M235" s="699">
        <f>L235</f>
        <v/>
      </c>
      <c r="N235" s="686">
        <f>IF(B235="TXO","",IF(D235="新倉","",IF(E235="賣",(H235-H234)*G235,(H234-H235)*G235)))</f>
        <v/>
      </c>
      <c r="O235" s="226" t="n">
        <v>0</v>
      </c>
      <c r="P235" s="667" t="n"/>
      <c r="Q235" s="249" t="inlineStr">
        <is>
          <t>技法: 碰10MA出場(停損)</t>
        </is>
      </c>
      <c r="R235" s="249" t="inlineStr">
        <is>
          <t>Yes</t>
        </is>
      </c>
      <c r="S235" s="249" t="inlineStr">
        <is>
          <t>Yes</t>
        </is>
      </c>
      <c r="T235" s="61">
        <f>IF(AND(R235="Yes",S235&lt;&gt;"Yes",L235&gt;0,B235&lt;&gt;"TXO"),L235,"")</f>
        <v/>
      </c>
      <c r="U235" s="61">
        <f>IF(AND(R235="Yes",S235&lt;&gt;"Yes",L235&lt;0,B235&lt;&gt;"TXO"),L235,"")</f>
        <v/>
      </c>
      <c r="V235" s="61">
        <f>IF(AND(R235="",S235&lt;&gt;"Yes",L235&gt;0,B235&lt;&gt;"TXO"),L235,"")</f>
        <v/>
      </c>
      <c r="W235" s="61">
        <f>IF(AND(R235="",S235&lt;&gt;"Yes",L235&lt;0,B235&lt;&gt;"TXO"),L235,"")</f>
        <v/>
      </c>
      <c r="X235" s="226">
        <f>IF(AND(R235="Yes",S235="Yes",L235&gt;0,B235&lt;&gt;"TXO"),L235,"")</f>
        <v/>
      </c>
      <c r="Y235" s="226">
        <f>IF(AND(R235="Yes",S235="Yes",L235&lt;0,B235&lt;&gt;"TXO"),L235,"")</f>
        <v/>
      </c>
      <c r="Z235" s="226">
        <f>IF(AND(R235="",S235="Yes",L235&gt;0,B235&lt;&gt;"TXO"),L235,"")</f>
        <v/>
      </c>
      <c r="AA235" s="226">
        <f>IF(AND(R235="",S235="Yes",L235&lt;0,B235&lt;&gt;"TXO"),L235,"")</f>
        <v/>
      </c>
    </row>
    <row r="236" outlineLevel="1">
      <c r="A236" s="696" t="n">
        <v>43594</v>
      </c>
      <c r="B236" s="234" t="inlineStr">
        <is>
          <t>FIMTX</t>
        </is>
      </c>
      <c r="C236" s="229" t="inlineStr">
        <is>
          <t>小指05</t>
        </is>
      </c>
      <c r="D236" s="229" t="inlineStr">
        <is>
          <t>新倉</t>
        </is>
      </c>
      <c r="E236" s="257" t="inlineStr">
        <is>
          <t>賣</t>
        </is>
      </c>
      <c r="F236" s="229" t="inlineStr">
        <is>
          <t>-</t>
        </is>
      </c>
      <c r="G236" s="697" t="n">
        <v>1</v>
      </c>
      <c r="H236" s="697" t="n">
        <v>10611</v>
      </c>
      <c r="I236" s="697" t="n">
        <v>0</v>
      </c>
      <c r="J236" s="585" t="n">
        <v>23</v>
      </c>
      <c r="K236" s="585" t="n">
        <v>11</v>
      </c>
      <c r="L236" s="585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/>
      </c>
      <c r="M236" s="699">
        <f>L236</f>
        <v/>
      </c>
      <c r="N236" s="686">
        <f>IF(B236="TXO","",IF(D236="新倉","",IF(E236="賣",(H236-H235)*G236,(H235-H236)*G236)))</f>
        <v/>
      </c>
      <c r="O236" s="226" t="n">
        <v>0</v>
      </c>
      <c r="P236" s="667" t="n"/>
      <c r="Q236" s="249" t="inlineStr">
        <is>
          <t>3/3 買進1口</t>
        </is>
      </c>
      <c r="R236" s="249" t="inlineStr">
        <is>
          <t>Yes</t>
        </is>
      </c>
      <c r="S236" s="249" t="inlineStr">
        <is>
          <t>Yes</t>
        </is>
      </c>
      <c r="T236" s="61">
        <f>IF(AND(R236="Yes",S236&lt;&gt;"Yes",L236&gt;0,B236&lt;&gt;"TXO"),L236,"")</f>
        <v/>
      </c>
      <c r="U236" s="61">
        <f>IF(AND(R236="Yes",S236&lt;&gt;"Yes",L236&lt;0,B236&lt;&gt;"TXO"),L236,"")</f>
        <v/>
      </c>
      <c r="V236" s="61">
        <f>IF(AND(R236="",S236&lt;&gt;"Yes",L236&gt;0,B236&lt;&gt;"TXO"),L236,"")</f>
        <v/>
      </c>
      <c r="W236" s="61">
        <f>IF(AND(R236="",S236&lt;&gt;"Yes",L236&lt;0,B236&lt;&gt;"TXO"),L236,"")</f>
        <v/>
      </c>
      <c r="X236" s="226">
        <f>IF(AND(R236="Yes",S236="Yes",L236&gt;0,B236&lt;&gt;"TXO"),L236,"")</f>
        <v/>
      </c>
      <c r="Y236" s="226">
        <f>IF(AND(R236="Yes",S236="Yes",L236&lt;0,B236&lt;&gt;"TXO"),L236,"")</f>
        <v/>
      </c>
      <c r="Z236" s="226">
        <f>IF(AND(R236="",S236="Yes",L236&gt;0,B236&lt;&gt;"TXO"),L236,"")</f>
        <v/>
      </c>
      <c r="AA236" s="226">
        <f>IF(AND(R236="",S236="Yes",L236&lt;0,B236&lt;&gt;"TXO"),L236,"")</f>
        <v/>
      </c>
    </row>
    <row r="237" outlineLevel="1">
      <c r="A237" s="696" t="n">
        <v>43594</v>
      </c>
      <c r="B237" s="234" t="inlineStr">
        <is>
          <t>FIMTX</t>
        </is>
      </c>
      <c r="C237" s="229" t="inlineStr">
        <is>
          <t>小指05</t>
        </is>
      </c>
      <c r="D237" s="229" t="inlineStr">
        <is>
          <t>平倉</t>
        </is>
      </c>
      <c r="E237" s="257" t="inlineStr">
        <is>
          <t>買</t>
        </is>
      </c>
      <c r="F237" s="229" t="inlineStr">
        <is>
          <t>-</t>
        </is>
      </c>
      <c r="G237" s="697" t="n">
        <v>1</v>
      </c>
      <c r="H237" s="697" t="n">
        <v>10620</v>
      </c>
      <c r="I237" s="697" t="n">
        <v>0</v>
      </c>
      <c r="J237" s="585" t="n">
        <v>23</v>
      </c>
      <c r="K237" s="585" t="n">
        <v>11</v>
      </c>
      <c r="L237" s="585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/>
      </c>
      <c r="M237" s="699">
        <f>L237</f>
        <v/>
      </c>
      <c r="N237" s="686">
        <f>IF(B237="TXO","",IF(D237="新倉","",IF(E237="賣",(H237-H236)*G237,(H236-H237)*G237)))</f>
        <v/>
      </c>
      <c r="O237" s="226" t="n">
        <v>0</v>
      </c>
      <c r="P237" s="667" t="n"/>
      <c r="Q237" s="249" t="inlineStr">
        <is>
          <t>技法: 碰10MA出場(停損)</t>
        </is>
      </c>
      <c r="R237" s="249" t="inlineStr">
        <is>
          <t>Yes</t>
        </is>
      </c>
      <c r="S237" s="249" t="inlineStr">
        <is>
          <t>Yes</t>
        </is>
      </c>
      <c r="T237" s="61">
        <f>IF(AND(R237="Yes",S237&lt;&gt;"Yes",L237&gt;0,B237&lt;&gt;"TXO"),L237,"")</f>
        <v/>
      </c>
      <c r="U237" s="61">
        <f>IF(AND(R237="Yes",S237&lt;&gt;"Yes",L237&lt;0,B237&lt;&gt;"TXO"),L237,"")</f>
        <v/>
      </c>
      <c r="V237" s="61">
        <f>IF(AND(R237="",S237&lt;&gt;"Yes",L237&gt;0,B237&lt;&gt;"TXO"),L237,"")</f>
        <v/>
      </c>
      <c r="W237" s="61">
        <f>IF(AND(R237="",S237&lt;&gt;"Yes",L237&lt;0,B237&lt;&gt;"TXO"),L237,"")</f>
        <v/>
      </c>
      <c r="X237" s="226">
        <f>IF(AND(R237="Yes",S237="Yes",L237&gt;0,B237&lt;&gt;"TXO"),L237,"")</f>
        <v/>
      </c>
      <c r="Y237" s="226">
        <f>IF(AND(R237="Yes",S237="Yes",L237&lt;0,B237&lt;&gt;"TXO"),L237,"")</f>
        <v/>
      </c>
      <c r="Z237" s="226">
        <f>IF(AND(R237="",S237="Yes",L237&gt;0,B237&lt;&gt;"TXO"),L237,"")</f>
        <v/>
      </c>
      <c r="AA237" s="226">
        <f>IF(AND(R237="",S237="Yes",L237&lt;0,B237&lt;&gt;"TXO"),L237,"")</f>
        <v/>
      </c>
    </row>
    <row r="238" outlineLevel="1">
      <c r="A238" s="696" t="n">
        <v>43594</v>
      </c>
      <c r="B238" s="234" t="inlineStr">
        <is>
          <t>FIMTX</t>
        </is>
      </c>
      <c r="C238" s="229" t="inlineStr">
        <is>
          <t>小指05</t>
        </is>
      </c>
      <c r="D238" s="229" t="inlineStr">
        <is>
          <t>新倉</t>
        </is>
      </c>
      <c r="E238" s="257" t="inlineStr">
        <is>
          <t>買</t>
        </is>
      </c>
      <c r="F238" s="229" t="inlineStr">
        <is>
          <t>-</t>
        </is>
      </c>
      <c r="G238" s="697" t="n">
        <v>1</v>
      </c>
      <c r="H238" s="697" t="n">
        <v>10672</v>
      </c>
      <c r="I238" s="697" t="n">
        <v>0</v>
      </c>
      <c r="J238" s="585" t="n">
        <v>23</v>
      </c>
      <c r="K238" s="585" t="n">
        <v>11</v>
      </c>
      <c r="L238" s="585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/>
      </c>
      <c r="M238" s="699">
        <f>L238</f>
        <v/>
      </c>
      <c r="N238" s="686">
        <f>IF(B238="TXO","",IF(D238="新倉","",IF(E238="賣",(H238-H237)*G238,(H237-H238)*G238)))</f>
        <v/>
      </c>
      <c r="O238" s="226" t="n">
        <v>0</v>
      </c>
      <c r="P238" s="667" t="n"/>
      <c r="Q238" s="249" t="inlineStr">
        <is>
          <t>3/3 買進1口</t>
        </is>
      </c>
      <c r="R238" s="249" t="inlineStr">
        <is>
          <t>Yes</t>
        </is>
      </c>
      <c r="S238" s="249" t="inlineStr">
        <is>
          <t>Yes</t>
        </is>
      </c>
      <c r="T238" s="61">
        <f>IF(AND(R238="Yes",S238&lt;&gt;"Yes",L238&gt;0,B238&lt;&gt;"TXO"),L238,"")</f>
        <v/>
      </c>
      <c r="U238" s="61">
        <f>IF(AND(R238="Yes",S238&lt;&gt;"Yes",L238&lt;0,B238&lt;&gt;"TXO"),L238,"")</f>
        <v/>
      </c>
      <c r="V238" s="61">
        <f>IF(AND(R238="",S238&lt;&gt;"Yes",L238&gt;0,B238&lt;&gt;"TXO"),L238,"")</f>
        <v/>
      </c>
      <c r="W238" s="61">
        <f>IF(AND(R238="",S238&lt;&gt;"Yes",L238&lt;0,B238&lt;&gt;"TXO"),L238,"")</f>
        <v/>
      </c>
      <c r="X238" s="226">
        <f>IF(AND(R238="Yes",S238="Yes",L238&gt;0,B238&lt;&gt;"TXO"),L238,"")</f>
        <v/>
      </c>
      <c r="Y238" s="226">
        <f>IF(AND(R238="Yes",S238="Yes",L238&lt;0,B238&lt;&gt;"TXO"),L238,"")</f>
        <v/>
      </c>
      <c r="Z238" s="226">
        <f>IF(AND(R238="",S238="Yes",L238&gt;0,B238&lt;&gt;"TXO"),L238,"")</f>
        <v/>
      </c>
      <c r="AA238" s="226">
        <f>IF(AND(R238="",S238="Yes",L238&lt;0,B238&lt;&gt;"TXO"),L238,"")</f>
        <v/>
      </c>
    </row>
    <row r="239" outlineLevel="1">
      <c r="A239" s="696" t="n">
        <v>43594</v>
      </c>
      <c r="B239" s="234" t="inlineStr">
        <is>
          <t>FIMTX</t>
        </is>
      </c>
      <c r="C239" s="229" t="inlineStr">
        <is>
          <t>小指05</t>
        </is>
      </c>
      <c r="D239" s="229" t="inlineStr">
        <is>
          <t>平倉</t>
        </is>
      </c>
      <c r="E239" s="257" t="inlineStr">
        <is>
          <t>賣</t>
        </is>
      </c>
      <c r="F239" s="229" t="inlineStr">
        <is>
          <t>-</t>
        </is>
      </c>
      <c r="G239" s="697" t="n">
        <v>1</v>
      </c>
      <c r="H239" s="697" t="n">
        <v>10681</v>
      </c>
      <c r="I239" s="697" t="n">
        <v>0</v>
      </c>
      <c r="J239" s="585" t="n">
        <v>23</v>
      </c>
      <c r="K239" s="585" t="n">
        <v>11</v>
      </c>
      <c r="L239" s="585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/>
      </c>
      <c r="M239" s="699">
        <f>L239</f>
        <v/>
      </c>
      <c r="N239" s="686">
        <f>IF(B239="TXO","",IF(D239="新倉","",IF(E239="賣",(H239-H238)*G239,(H238-H239)*G239)))</f>
        <v/>
      </c>
      <c r="O239" s="226" t="n">
        <v>0</v>
      </c>
      <c r="P239" s="667" t="n"/>
      <c r="Q239" s="249" t="inlineStr">
        <is>
          <t>元大移動式停利</t>
        </is>
      </c>
      <c r="R239" s="249" t="inlineStr">
        <is>
          <t>Yes</t>
        </is>
      </c>
      <c r="S239" s="249" t="inlineStr">
        <is>
          <t>Yes</t>
        </is>
      </c>
      <c r="T239" s="61">
        <f>IF(AND(R239="Yes",S239&lt;&gt;"Yes",L239&gt;0,B239&lt;&gt;"TXO"),L239,"")</f>
        <v/>
      </c>
      <c r="U239" s="61">
        <f>IF(AND(R239="Yes",S239&lt;&gt;"Yes",L239&lt;0,B239&lt;&gt;"TXO"),L239,"")</f>
        <v/>
      </c>
      <c r="V239" s="61">
        <f>IF(AND(R239="",S239&lt;&gt;"Yes",L239&gt;0,B239&lt;&gt;"TXO"),L239,"")</f>
        <v/>
      </c>
      <c r="W239" s="61">
        <f>IF(AND(R239="",S239&lt;&gt;"Yes",L239&lt;0,B239&lt;&gt;"TXO"),L239,"")</f>
        <v/>
      </c>
      <c r="X239" s="226">
        <f>IF(AND(R239="Yes",S239="Yes",L239&gt;0,B239&lt;&gt;"TXO"),L239,"")</f>
        <v/>
      </c>
      <c r="Y239" s="226">
        <f>IF(AND(R239="Yes",S239="Yes",L239&lt;0,B239&lt;&gt;"TXO"),L239,"")</f>
        <v/>
      </c>
      <c r="Z239" s="226">
        <f>IF(AND(R239="",S239="Yes",L239&gt;0,B239&lt;&gt;"TXO"),L239,"")</f>
        <v/>
      </c>
      <c r="AA239" s="226">
        <f>IF(AND(R239="",S239="Yes",L239&lt;0,B239&lt;&gt;"TXO"),L239,"")</f>
        <v/>
      </c>
    </row>
    <row r="240">
      <c r="A240" s="740" t="n">
        <v>43594</v>
      </c>
      <c r="B240" s="299" t="inlineStr">
        <is>
          <t>TXO</t>
        </is>
      </c>
      <c r="C240" s="300" t="inlineStr">
        <is>
          <t>台指選 05 10750 C</t>
        </is>
      </c>
      <c r="D240" s="300" t="inlineStr">
        <is>
          <t>新倉</t>
        </is>
      </c>
      <c r="E240" s="301" t="inlineStr">
        <is>
          <t>買</t>
        </is>
      </c>
      <c r="F240" s="300" t="inlineStr">
        <is>
          <t>-</t>
        </is>
      </c>
      <c r="G240" s="741" t="n">
        <v>1</v>
      </c>
      <c r="H240" s="741" t="n">
        <v>75</v>
      </c>
      <c r="I240" s="741" t="n">
        <v>-3750</v>
      </c>
      <c r="J240" s="742" t="n">
        <v>18</v>
      </c>
      <c r="K240" s="742" t="n">
        <v>4</v>
      </c>
      <c r="L240" s="742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/>
      </c>
      <c r="M240" s="743">
        <f>L240</f>
        <v/>
      </c>
      <c r="N240" s="686">
        <f>IF(B240="TXO","",IF(D240="新倉","",IF(E240="賣",(H240-H239)*G240,(H239-H240)*G240)))</f>
        <v/>
      </c>
      <c r="O240" s="226" t="n">
        <v>0</v>
      </c>
      <c r="P240" s="667">
        <f>SUM(L240:L243)</f>
        <v/>
      </c>
      <c r="S240" s="249" t="n"/>
      <c r="T240" s="61">
        <f>IF(AND(R240="Yes",S240&lt;&gt;"Yes",L240&gt;0,B240&lt;&gt;"TXO"),L240,"")</f>
        <v/>
      </c>
      <c r="U240" s="61">
        <f>IF(AND(R240="Yes",S240&lt;&gt;"Yes",L240&lt;0,B240&lt;&gt;"TXO"),L240,"")</f>
        <v/>
      </c>
      <c r="V240" s="61">
        <f>IF(AND(R240="",S240&lt;&gt;"Yes",L240&gt;0,B240&lt;&gt;"TXO"),L240,"")</f>
        <v/>
      </c>
      <c r="W240" s="61">
        <f>IF(AND(R240="",S240&lt;&gt;"Yes",L240&lt;0,B240&lt;&gt;"TXO"),L240,"")</f>
        <v/>
      </c>
      <c r="X240" s="226">
        <f>IF(AND(R240="Yes",S240="Yes",L240&gt;0,B240&lt;&gt;"TXO"),L240,"")</f>
        <v/>
      </c>
      <c r="Y240" s="226">
        <f>IF(AND(R240="Yes",S240="Yes",L240&lt;0,B240&lt;&gt;"TXO"),L240,"")</f>
        <v/>
      </c>
      <c r="Z240" s="226">
        <f>IF(AND(R240="",S240="Yes",L240&gt;0,B240&lt;&gt;"TXO"),L240,"")</f>
        <v/>
      </c>
      <c r="AA240" s="226">
        <f>IF(AND(R240="",S240="Yes",L240&lt;0,B240&lt;&gt;"TXO"),L240,"")</f>
        <v/>
      </c>
    </row>
    <row r="241" outlineLevel="1" collapsed="1">
      <c r="A241" s="740" t="n">
        <v>43595</v>
      </c>
      <c r="B241" s="299" t="inlineStr">
        <is>
          <t>TXO</t>
        </is>
      </c>
      <c r="C241" s="300" t="inlineStr">
        <is>
          <t>台指選 05 10750 C</t>
        </is>
      </c>
      <c r="D241" s="300" t="inlineStr">
        <is>
          <t>平倉</t>
        </is>
      </c>
      <c r="E241" s="301" t="inlineStr">
        <is>
          <t>賣</t>
        </is>
      </c>
      <c r="F241" s="300" t="inlineStr">
        <is>
          <t>-</t>
        </is>
      </c>
      <c r="G241" s="741" t="n">
        <v>1</v>
      </c>
      <c r="H241" s="741" t="n">
        <v>122</v>
      </c>
      <c r="I241" s="741" t="n">
        <v>6100</v>
      </c>
      <c r="J241" s="742" t="n">
        <v>18</v>
      </c>
      <c r="K241" s="742" t="n">
        <v>6</v>
      </c>
      <c r="L241" s="742">
        <f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/>
      </c>
      <c r="M241" s="743">
        <f>L241</f>
        <v/>
      </c>
      <c r="N241" s="686">
        <f>IF(B241="TXO","",IF(D241="新倉","",IF(E241="賣",(H241-H240)*G241,(H240-H241)*G241)))</f>
        <v/>
      </c>
      <c r="O241" s="226" t="n">
        <v>0</v>
      </c>
      <c r="P241" s="667" t="n"/>
      <c r="S241" s="249" t="n"/>
      <c r="T241" s="61">
        <f>IF(AND(R241="Yes",S241&lt;&gt;"Yes",L241&gt;0,B241&lt;&gt;"TXO"),L241,"")</f>
        <v/>
      </c>
      <c r="U241" s="61">
        <f>IF(AND(R241="Yes",S241&lt;&gt;"Yes",L241&lt;0,B241&lt;&gt;"TXO"),L241,"")</f>
        <v/>
      </c>
      <c r="V241" s="61">
        <f>IF(AND(R241="",S241&lt;&gt;"Yes",L241&gt;0,B241&lt;&gt;"TXO"),L241,"")</f>
        <v/>
      </c>
      <c r="W241" s="61">
        <f>IF(AND(R241="",S241&lt;&gt;"Yes",L241&lt;0,B241&lt;&gt;"TXO"),L241,"")</f>
        <v/>
      </c>
      <c r="X241" s="226">
        <f>IF(AND(R241="Yes",S241="Yes",L241&gt;0,B241&lt;&gt;"TXO"),L241,"")</f>
        <v/>
      </c>
      <c r="Y241" s="226">
        <f>IF(AND(R241="Yes",S241="Yes",L241&lt;0,B241&lt;&gt;"TXO"),L241,"")</f>
        <v/>
      </c>
      <c r="Z241" s="226">
        <f>IF(AND(R241="",S241="Yes",L241&gt;0,B241&lt;&gt;"TXO"),L241,"")</f>
        <v/>
      </c>
      <c r="AA241" s="226">
        <f>IF(AND(R241="",S241="Yes",L241&lt;0,B241&lt;&gt;"TXO"),L241,"")</f>
        <v/>
      </c>
    </row>
    <row r="242" outlineLevel="1">
      <c r="A242" s="740" t="n">
        <v>43595</v>
      </c>
      <c r="B242" s="299" t="inlineStr">
        <is>
          <t>FIMTX</t>
        </is>
      </c>
      <c r="C242" s="300" t="inlineStr">
        <is>
          <t>小指05</t>
        </is>
      </c>
      <c r="D242" s="300" t="inlineStr">
        <is>
          <t>新倉</t>
        </is>
      </c>
      <c r="E242" s="301" t="inlineStr">
        <is>
          <t>賣</t>
        </is>
      </c>
      <c r="F242" s="300" t="inlineStr">
        <is>
          <t>-</t>
        </is>
      </c>
      <c r="G242" s="741" t="n">
        <v>1</v>
      </c>
      <c r="H242" s="741" t="n">
        <v>10700</v>
      </c>
      <c r="I242" s="741" t="n">
        <v>0</v>
      </c>
      <c r="J242" s="742" t="n">
        <v>23</v>
      </c>
      <c r="K242" s="742" t="n">
        <v>11</v>
      </c>
      <c r="L242" s="742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/>
      </c>
      <c r="M242" s="743">
        <f>L242</f>
        <v/>
      </c>
      <c r="N242" s="686">
        <f>IF(B242="TXO","",IF(D242="新倉","",IF(E242="賣",(H242-H241)*G242,(H241-H242)*G242)))</f>
        <v/>
      </c>
      <c r="O242" s="226" t="n">
        <v>0</v>
      </c>
      <c r="P242" s="667" t="n"/>
      <c r="Q242" s="249" t="inlineStr">
        <is>
          <t>3/3 買進1口</t>
        </is>
      </c>
      <c r="R242" s="249" t="inlineStr">
        <is>
          <t>Yes</t>
        </is>
      </c>
      <c r="S242" s="249" t="n"/>
      <c r="T242" s="61">
        <f>IF(AND(R242="Yes",S242&lt;&gt;"Yes",L242&gt;0,B242&lt;&gt;"TXO"),L242,"")</f>
        <v/>
      </c>
      <c r="U242" s="61">
        <f>IF(AND(R242="Yes",S242&lt;&gt;"Yes",L242&lt;0,B242&lt;&gt;"TXO"),L242,"")</f>
        <v/>
      </c>
      <c r="V242" s="61">
        <f>IF(AND(R242="",S242&lt;&gt;"Yes",L242&gt;0,B242&lt;&gt;"TXO"),L242,"")</f>
        <v/>
      </c>
      <c r="W242" s="61">
        <f>IF(AND(R242="",S242&lt;&gt;"Yes",L242&lt;0,B242&lt;&gt;"TXO"),L242,"")</f>
        <v/>
      </c>
      <c r="X242" s="226">
        <f>IF(AND(R242="Yes",S242="Yes",L242&gt;0,B242&lt;&gt;"TXO"),L242,"")</f>
        <v/>
      </c>
      <c r="Y242" s="226">
        <f>IF(AND(R242="Yes",S242="Yes",L242&lt;0,B242&lt;&gt;"TXO"),L242,"")</f>
        <v/>
      </c>
      <c r="Z242" s="226">
        <f>IF(AND(R242="",S242="Yes",L242&gt;0,B242&lt;&gt;"TXO"),L242,"")</f>
        <v/>
      </c>
      <c r="AA242" s="226">
        <f>IF(AND(R242="",S242="Yes",L242&lt;0,B242&lt;&gt;"TXO"),L242,"")</f>
        <v/>
      </c>
    </row>
    <row r="243" outlineLevel="1">
      <c r="A243" s="740" t="n">
        <v>43595</v>
      </c>
      <c r="B243" s="299" t="inlineStr">
        <is>
          <t>FIMTX</t>
        </is>
      </c>
      <c r="C243" s="300" t="inlineStr">
        <is>
          <t>小指05</t>
        </is>
      </c>
      <c r="D243" s="300" t="inlineStr">
        <is>
          <t>平倉</t>
        </is>
      </c>
      <c r="E243" s="301" t="inlineStr">
        <is>
          <t>買</t>
        </is>
      </c>
      <c r="F243" s="300" t="inlineStr">
        <is>
          <t>-</t>
        </is>
      </c>
      <c r="G243" s="741" t="n">
        <v>1</v>
      </c>
      <c r="H243" s="741" t="n">
        <v>10693</v>
      </c>
      <c r="I243" s="741" t="n">
        <v>0</v>
      </c>
      <c r="J243" s="742" t="n">
        <v>23</v>
      </c>
      <c r="K243" s="742" t="n">
        <v>11</v>
      </c>
      <c r="L243" s="742">
        <f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/>
      </c>
      <c r="M243" s="743">
        <f>L243</f>
        <v/>
      </c>
      <c r="N243" s="686">
        <f>IF(B243="TXO","",IF(D243="新倉","",IF(E243="賣",(H243-H242)*G243,(H242-H243)*G243)))</f>
        <v/>
      </c>
      <c r="O243" s="226" t="n">
        <v>0</v>
      </c>
      <c r="P243" s="667" t="n"/>
      <c r="Q243" s="249" t="inlineStr">
        <is>
          <t>元大移動式停利</t>
        </is>
      </c>
      <c r="R243" s="249" t="inlineStr">
        <is>
          <t>Yes</t>
        </is>
      </c>
      <c r="S243" s="249" t="n"/>
      <c r="T243" s="61">
        <f>IF(AND(R243="Yes",S243&lt;&gt;"Yes",L243&gt;0,B243&lt;&gt;"TXO"),L243,"")</f>
        <v/>
      </c>
      <c r="U243" s="61">
        <f>IF(AND(R243="Yes",S243&lt;&gt;"Yes",L243&lt;0,B243&lt;&gt;"TXO"),L243,"")</f>
        <v/>
      </c>
      <c r="V243" s="61">
        <f>IF(AND(R243="",S243&lt;&gt;"Yes",L243&gt;0,B243&lt;&gt;"TXO"),L243,"")</f>
        <v/>
      </c>
      <c r="W243" s="61">
        <f>IF(AND(R243="",S243&lt;&gt;"Yes",L243&lt;0,B243&lt;&gt;"TXO"),L243,"")</f>
        <v/>
      </c>
      <c r="X243" s="226">
        <f>IF(AND(R243="Yes",S243="Yes",L243&gt;0,B243&lt;&gt;"TXO"),L243,"")</f>
        <v/>
      </c>
      <c r="Y243" s="226">
        <f>IF(AND(R243="Yes",S243="Yes",L243&lt;0,B243&lt;&gt;"TXO"),L243,"")</f>
        <v/>
      </c>
      <c r="Z243" s="226">
        <f>IF(AND(R243="",S243="Yes",L243&gt;0,B243&lt;&gt;"TXO"),L243,"")</f>
        <v/>
      </c>
      <c r="AA243" s="226">
        <f>IF(AND(R243="",S243="Yes",L243&lt;0,B243&lt;&gt;"TXO"),L243,"")</f>
        <v/>
      </c>
    </row>
    <row r="244">
      <c r="A244" s="696" t="n">
        <v>43598</v>
      </c>
      <c r="B244" s="234" t="inlineStr">
        <is>
          <t>TXO</t>
        </is>
      </c>
      <c r="C244" s="229" t="inlineStr">
        <is>
          <t>台指選 05 10650 C</t>
        </is>
      </c>
      <c r="D244" s="229" t="inlineStr">
        <is>
          <t>新倉</t>
        </is>
      </c>
      <c r="E244" s="257" t="inlineStr">
        <is>
          <t>買</t>
        </is>
      </c>
      <c r="F244" s="229" t="inlineStr">
        <is>
          <t>-</t>
        </is>
      </c>
      <c r="G244" s="697" t="n">
        <v>1</v>
      </c>
      <c r="H244" s="697" t="n">
        <v>6</v>
      </c>
      <c r="I244" s="697" t="n">
        <v>-300</v>
      </c>
      <c r="J244" s="585" t="n">
        <v>18</v>
      </c>
      <c r="K244" s="585" t="n">
        <v>0</v>
      </c>
      <c r="L244" s="585">
        <f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/>
      </c>
      <c r="M244" s="699">
        <f>L244</f>
        <v/>
      </c>
      <c r="N244" s="686">
        <f>IF(B244="TXO","",IF(D244="新倉","",IF(E244="賣",(H244-H243)*G244,(H243-H244)*G244)))</f>
        <v/>
      </c>
      <c r="O244" s="226" t="n">
        <v>0</v>
      </c>
      <c r="P244" s="667">
        <f>SUM(L244:L247)</f>
        <v/>
      </c>
      <c r="R244" s="249" t="inlineStr">
        <is>
          <t>Yes</t>
        </is>
      </c>
      <c r="S244" s="249" t="n"/>
      <c r="T244" s="61">
        <f>IF(AND(R244="Yes",S244&lt;&gt;"Yes",L244&gt;0,B244&lt;&gt;"TXO"),L244,"")</f>
        <v/>
      </c>
      <c r="U244" s="61">
        <f>IF(AND(R244="Yes",S244&lt;&gt;"Yes",L244&lt;0,B244&lt;&gt;"TXO"),L244,"")</f>
        <v/>
      </c>
      <c r="V244" s="61">
        <f>IF(AND(R244="",S244&lt;&gt;"Yes",L244&gt;0,B244&lt;&gt;"TXO"),L244,"")</f>
        <v/>
      </c>
      <c r="W244" s="61">
        <f>IF(AND(R244="",S244&lt;&gt;"Yes",L244&lt;0,B244&lt;&gt;"TXO"),L244,"")</f>
        <v/>
      </c>
      <c r="X244" s="226">
        <f>IF(AND(R244="Yes",S244="Yes",L244&gt;0,B244&lt;&gt;"TXO"),L244,"")</f>
        <v/>
      </c>
      <c r="Y244" s="226">
        <f>IF(AND(R244="Yes",S244="Yes",L244&lt;0,B244&lt;&gt;"TXO"),L244,"")</f>
        <v/>
      </c>
      <c r="Z244" s="226">
        <f>IF(AND(R244="",S244="Yes",L244&gt;0,B244&lt;&gt;"TXO"),L244,"")</f>
        <v/>
      </c>
      <c r="AA244" s="226">
        <f>IF(AND(R244="",S244="Yes",L244&lt;0,B244&lt;&gt;"TXO"),L244,"")</f>
        <v/>
      </c>
    </row>
    <row r="245" outlineLevel="1">
      <c r="A245" s="696" t="n">
        <v>43599</v>
      </c>
      <c r="B245" s="234" t="inlineStr">
        <is>
          <t>TXO</t>
        </is>
      </c>
      <c r="C245" s="229" t="inlineStr">
        <is>
          <t>台指選 05 10650 C</t>
        </is>
      </c>
      <c r="D245" s="229" t="inlineStr">
        <is>
          <t>平倉</t>
        </is>
      </c>
      <c r="E245" s="257" t="inlineStr">
        <is>
          <t>賣</t>
        </is>
      </c>
      <c r="F245" s="229" t="inlineStr">
        <is>
          <t>-</t>
        </is>
      </c>
      <c r="G245" s="697" t="n">
        <v>1</v>
      </c>
      <c r="H245" s="697" t="n">
        <v>12.5</v>
      </c>
      <c r="I245" s="697" t="n">
        <v>625</v>
      </c>
      <c r="J245" s="585" t="n">
        <v>18</v>
      </c>
      <c r="K245" s="585" t="n">
        <v>1</v>
      </c>
      <c r="L245" s="585">
        <f>IF(B245="TXO",I245-SUM(J245:K245),IF(B245="FITX",IF(D245="新倉",-SUM(J245:K245),IF(E245="賣",(H245-H244)*G245*200-SUM(J245:K245),(H244-H245)*G245*200-SUM(J245:K245))),IF(D245="新倉",-SUM(J245:K245),IF(E245="賣",(H245-H244)*G245*50-SUM(J245:K245),(H244-H245)*G245*50-SUM(J245:K245)))))</f>
        <v/>
      </c>
      <c r="M245" s="699">
        <f>L245</f>
        <v/>
      </c>
      <c r="N245" s="686">
        <f>IF(B245="TXO","",IF(D245="新倉","",IF(E245="賣",(H245-H244)*G245,(H244-H245)*G245)))</f>
        <v/>
      </c>
      <c r="O245" s="226" t="n">
        <v>0</v>
      </c>
      <c r="P245" s="667" t="n"/>
      <c r="R245" s="249" t="inlineStr">
        <is>
          <t>Yes</t>
        </is>
      </c>
      <c r="S245" s="249" t="n"/>
      <c r="T245" s="61">
        <f>IF(AND(R245="Yes",S245&lt;&gt;"Yes",L245&gt;0,B245&lt;&gt;"TXO"),L245,"")</f>
        <v/>
      </c>
      <c r="U245" s="61">
        <f>IF(AND(R245="Yes",S245&lt;&gt;"Yes",L245&lt;0,B245&lt;&gt;"TXO"),L245,"")</f>
        <v/>
      </c>
      <c r="V245" s="61">
        <f>IF(AND(R245="",S245&lt;&gt;"Yes",L245&gt;0,B245&lt;&gt;"TXO"),L245,"")</f>
        <v/>
      </c>
      <c r="W245" s="61">
        <f>IF(AND(R245="",S245&lt;&gt;"Yes",L245&lt;0,B245&lt;&gt;"TXO"),L245,"")</f>
        <v/>
      </c>
      <c r="X245" s="226">
        <f>IF(AND(R245="Yes",S245="Yes",L245&gt;0,B245&lt;&gt;"TXO"),L245,"")</f>
        <v/>
      </c>
      <c r="Y245" s="226">
        <f>IF(AND(R245="Yes",S245="Yes",L245&lt;0,B245&lt;&gt;"TXO"),L245,"")</f>
        <v/>
      </c>
      <c r="Z245" s="226">
        <f>IF(AND(R245="",S245="Yes",L245&gt;0,B245&lt;&gt;"TXO"),L245,"")</f>
        <v/>
      </c>
      <c r="AA245" s="226">
        <f>IF(AND(R245="",S245="Yes",L245&lt;0,B245&lt;&gt;"TXO"),L245,"")</f>
        <v/>
      </c>
    </row>
    <row r="246" outlineLevel="1">
      <c r="A246" s="696" t="n">
        <v>43599</v>
      </c>
      <c r="B246" s="234" t="inlineStr">
        <is>
          <t>FIMTX</t>
        </is>
      </c>
      <c r="C246" s="229" t="inlineStr">
        <is>
          <t>小指05</t>
        </is>
      </c>
      <c r="D246" s="229" t="inlineStr">
        <is>
          <t>新倉</t>
        </is>
      </c>
      <c r="E246" s="257" t="inlineStr">
        <is>
          <t>賣</t>
        </is>
      </c>
      <c r="F246" s="229" t="inlineStr">
        <is>
          <t>-</t>
        </is>
      </c>
      <c r="G246" s="697" t="n">
        <v>1</v>
      </c>
      <c r="H246" s="697" t="n">
        <v>10539</v>
      </c>
      <c r="I246" s="697" t="n">
        <v>0</v>
      </c>
      <c r="J246" s="585" t="n">
        <v>23</v>
      </c>
      <c r="K246" s="585" t="n">
        <v>11</v>
      </c>
      <c r="L246" s="585">
        <f>IF(B246="TXO",I246-SUM(J246:K246),IF(B246="FITX",IF(D246="新倉",-SUM(J246:K246),IF(E246="賣",(H246-H245)*G246*200-SUM(J246:K246),(H245-H246)*G246*200-SUM(J246:K246))),IF(D246="新倉",-SUM(J246:K246),IF(E246="賣",(H246-H245)*G246*50-SUM(J246:K246),(H245-H246)*G246*50-SUM(J246:K246)))))</f>
        <v/>
      </c>
      <c r="M246" s="699">
        <f>L246</f>
        <v/>
      </c>
      <c r="N246" s="686">
        <f>IF(B246="TXO","",IF(D246="新倉","",IF(E246="賣",(H246-H245)*G246,(H245-H246)*G246)))</f>
        <v/>
      </c>
      <c r="O246" s="226" t="n">
        <v>0</v>
      </c>
      <c r="P246" s="667" t="n"/>
      <c r="Q246" s="249" t="inlineStr">
        <is>
          <t>3/3 買進1口</t>
        </is>
      </c>
      <c r="R246" s="249" t="inlineStr">
        <is>
          <t>Yes</t>
        </is>
      </c>
      <c r="S246" s="249" t="inlineStr">
        <is>
          <t>Yes</t>
        </is>
      </c>
      <c r="T246" s="61">
        <f>IF(AND(R246="Yes",S246&lt;&gt;"Yes",L246&gt;0,B246&lt;&gt;"TXO"),L246,"")</f>
        <v/>
      </c>
      <c r="U246" s="61">
        <f>IF(AND(R246="Yes",S246&lt;&gt;"Yes",L246&lt;0,B246&lt;&gt;"TXO"),L246,"")</f>
        <v/>
      </c>
      <c r="V246" s="61">
        <f>IF(AND(R246="",S246&lt;&gt;"Yes",L246&gt;0,B246&lt;&gt;"TXO"),L246,"")</f>
        <v/>
      </c>
      <c r="W246" s="61">
        <f>IF(AND(R246="",S246&lt;&gt;"Yes",L246&lt;0,B246&lt;&gt;"TXO"),L246,"")</f>
        <v/>
      </c>
      <c r="X246" s="226">
        <f>IF(AND(R246="Yes",S246="Yes",L246&gt;0,B246&lt;&gt;"TXO"),L246,"")</f>
        <v/>
      </c>
      <c r="Y246" s="226">
        <f>IF(AND(R246="Yes",S246="Yes",L246&lt;0,B246&lt;&gt;"TXO"),L246,"")</f>
        <v/>
      </c>
      <c r="Z246" s="226">
        <f>IF(AND(R246="",S246="Yes",L246&gt;0,B246&lt;&gt;"TXO"),L246,"")</f>
        <v/>
      </c>
      <c r="AA246" s="226">
        <f>IF(AND(R246="",S246="Yes",L246&lt;0,B246&lt;&gt;"TXO"),L246,"")</f>
        <v/>
      </c>
    </row>
    <row r="247" outlineLevel="1">
      <c r="A247" s="696" t="n">
        <v>43599</v>
      </c>
      <c r="B247" s="234" t="inlineStr">
        <is>
          <t>FIMTX</t>
        </is>
      </c>
      <c r="C247" s="229" t="inlineStr">
        <is>
          <t>小指05</t>
        </is>
      </c>
      <c r="D247" s="229" t="inlineStr">
        <is>
          <t>平倉</t>
        </is>
      </c>
      <c r="E247" s="257" t="inlineStr">
        <is>
          <t>買</t>
        </is>
      </c>
      <c r="F247" s="229" t="inlineStr">
        <is>
          <t>-</t>
        </is>
      </c>
      <c r="G247" s="697" t="n">
        <v>1</v>
      </c>
      <c r="H247" s="697" t="n">
        <v>10530</v>
      </c>
      <c r="I247" s="697" t="n">
        <v>0</v>
      </c>
      <c r="J247" s="585" t="n">
        <v>23</v>
      </c>
      <c r="K247" s="585" t="n">
        <v>11</v>
      </c>
      <c r="L247" s="585">
        <f>IF(B247="TXO",I247-SUM(J247:K247),IF(B247="FITX",IF(D247="新倉",-SUM(J247:K247),IF(E247="賣",(H247-H246)*G247*200-SUM(J247:K247),(H246-H247)*G247*200-SUM(J247:K247))),IF(D247="新倉",-SUM(J247:K247),IF(E247="賣",(H247-H246)*G247*50-SUM(J247:K247),(H246-H247)*G247*50-SUM(J247:K247)))))</f>
        <v/>
      </c>
      <c r="M247" s="699">
        <f>L247</f>
        <v/>
      </c>
      <c r="N247" s="686">
        <f>IF(B247="TXO","",IF(D247="新倉","",IF(E247="賣",(H247-H246)*G247,(H246-H247)*G247)))</f>
        <v/>
      </c>
      <c r="O247" s="226" t="n">
        <v>0</v>
      </c>
      <c r="P247" s="667" t="n"/>
      <c r="Q247" s="249" t="inlineStr">
        <is>
          <t>元大移動式停利</t>
        </is>
      </c>
      <c r="R247" s="249" t="inlineStr">
        <is>
          <t>Yes</t>
        </is>
      </c>
      <c r="S247" s="249" t="inlineStr">
        <is>
          <t>Yes</t>
        </is>
      </c>
      <c r="T247" s="61">
        <f>IF(AND(R247="Yes",S247&lt;&gt;"Yes",L247&gt;0,B247&lt;&gt;"TXO"),L247,"")</f>
        <v/>
      </c>
      <c r="U247" s="61">
        <f>IF(AND(R247="Yes",S247&lt;&gt;"Yes",L247&lt;0,B247&lt;&gt;"TXO"),L247,"")</f>
        <v/>
      </c>
      <c r="V247" s="61">
        <f>IF(AND(R247="",S247&lt;&gt;"Yes",L247&gt;0,B247&lt;&gt;"TXO"),L247,"")</f>
        <v/>
      </c>
      <c r="W247" s="61">
        <f>IF(AND(R247="",S247&lt;&gt;"Yes",L247&lt;0,B247&lt;&gt;"TXO"),L247,"")</f>
        <v/>
      </c>
      <c r="X247" s="226">
        <f>IF(AND(R247="Yes",S247="Yes",L247&gt;0,B247&lt;&gt;"TXO"),L247,"")</f>
        <v/>
      </c>
      <c r="Y247" s="226">
        <f>IF(AND(R247="Yes",S247="Yes",L247&lt;0,B247&lt;&gt;"TXO"),L247,"")</f>
        <v/>
      </c>
      <c r="Z247" s="226">
        <f>IF(AND(R247="",S247="Yes",L247&gt;0,B247&lt;&gt;"TXO"),L247,"")</f>
        <v/>
      </c>
      <c r="AA247" s="226">
        <f>IF(AND(R247="",S247="Yes",L247&lt;0,B247&lt;&gt;"TXO"),L247,"")</f>
        <v/>
      </c>
    </row>
    <row r="248">
      <c r="A248" s="740" t="n">
        <v>43600</v>
      </c>
      <c r="B248" s="299" t="inlineStr">
        <is>
          <t>FIMTX</t>
        </is>
      </c>
      <c r="C248" s="300" t="inlineStr">
        <is>
          <t>小指05</t>
        </is>
      </c>
      <c r="D248" s="300" t="inlineStr">
        <is>
          <t>新倉</t>
        </is>
      </c>
      <c r="E248" s="301" t="inlineStr">
        <is>
          <t>買</t>
        </is>
      </c>
      <c r="F248" s="300" t="inlineStr">
        <is>
          <t>-</t>
        </is>
      </c>
      <c r="G248" s="741" t="n">
        <v>1</v>
      </c>
      <c r="H248" s="741" t="n">
        <v>10583</v>
      </c>
      <c r="I248" s="741" t="n">
        <v>0</v>
      </c>
      <c r="J248" s="742" t="n">
        <v>23</v>
      </c>
      <c r="K248" s="742" t="n">
        <v>11</v>
      </c>
      <c r="L248" s="742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/>
      </c>
      <c r="M248" s="743">
        <f>L248</f>
        <v/>
      </c>
      <c r="N248" s="686">
        <f>IF(B248="TXO","",IF(D248="新倉","",IF(E248="賣",(H248-H247)*G248,(H247-H248)*G248)))</f>
        <v/>
      </c>
      <c r="O248" s="226" t="n">
        <v>0</v>
      </c>
      <c r="P248" s="667">
        <f>SUM(L248:L251)</f>
        <v/>
      </c>
      <c r="Q248" s="249" t="inlineStr">
        <is>
          <t>3/3 買進1口</t>
        </is>
      </c>
      <c r="R248" s="249" t="inlineStr">
        <is>
          <t>Yes</t>
        </is>
      </c>
      <c r="S248" s="249" t="n"/>
      <c r="T248" s="61">
        <f>IF(AND(R248="Yes",S248&lt;&gt;"Yes",L248&gt;0,B248&lt;&gt;"TXO"),L248,"")</f>
        <v/>
      </c>
      <c r="U248" s="61">
        <f>IF(AND(R248="Yes",S248&lt;&gt;"Yes",L248&lt;0,B248&lt;&gt;"TXO"),L248,"")</f>
        <v/>
      </c>
      <c r="V248" s="61">
        <f>IF(AND(R248="",S248&lt;&gt;"Yes",L248&gt;0,B248&lt;&gt;"TXO"),L248,"")</f>
        <v/>
      </c>
      <c r="W248" s="61">
        <f>IF(AND(R248="",S248&lt;&gt;"Yes",L248&lt;0,B248&lt;&gt;"TXO"),L248,"")</f>
        <v/>
      </c>
      <c r="X248" s="226">
        <f>IF(AND(R248="Yes",S248="Yes",L248&gt;0,B248&lt;&gt;"TXO"),L248,"")</f>
        <v/>
      </c>
      <c r="Y248" s="226">
        <f>IF(AND(R248="Yes",S248="Yes",L248&lt;0,B248&lt;&gt;"TXO"),L248,"")</f>
        <v/>
      </c>
      <c r="Z248" s="226">
        <f>IF(AND(R248="",S248="Yes",L248&gt;0,B248&lt;&gt;"TXO"),L248,"")</f>
        <v/>
      </c>
      <c r="AA248" s="226">
        <f>IF(AND(R248="",S248="Yes",L248&lt;0,B248&lt;&gt;"TXO"),L248,"")</f>
        <v/>
      </c>
    </row>
    <row r="249" outlineLevel="1" collapsed="1">
      <c r="A249" s="740" t="n">
        <v>43600</v>
      </c>
      <c r="B249" s="299" t="inlineStr">
        <is>
          <t>FIMTX</t>
        </is>
      </c>
      <c r="C249" s="300" t="inlineStr">
        <is>
          <t>小指05</t>
        </is>
      </c>
      <c r="D249" s="300" t="inlineStr">
        <is>
          <t>平倉</t>
        </is>
      </c>
      <c r="E249" s="301" t="inlineStr">
        <is>
          <t>賣</t>
        </is>
      </c>
      <c r="F249" s="300" t="inlineStr">
        <is>
          <t>-</t>
        </is>
      </c>
      <c r="G249" s="741" t="n">
        <v>1</v>
      </c>
      <c r="H249" s="741" t="n">
        <v>10582</v>
      </c>
      <c r="I249" s="741" t="n">
        <v>0</v>
      </c>
      <c r="J249" s="742" t="n">
        <v>23</v>
      </c>
      <c r="K249" s="742" t="n">
        <v>11</v>
      </c>
      <c r="L249" s="742">
        <f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/>
      </c>
      <c r="M249" s="743">
        <f>L249</f>
        <v/>
      </c>
      <c r="N249" s="686">
        <f>IF(B249="TXO","",IF(D249="新倉","",IF(E249="賣",(H249-H248)*G249,(H248-H249)*G249)))</f>
        <v/>
      </c>
      <c r="O249" s="226" t="n">
        <v>0</v>
      </c>
      <c r="P249" s="667" t="n"/>
      <c r="Q249" s="249" t="inlineStr">
        <is>
          <t>元大移動式停利</t>
        </is>
      </c>
      <c r="R249" s="249" t="inlineStr">
        <is>
          <t>Yes</t>
        </is>
      </c>
      <c r="S249" s="249" t="n"/>
      <c r="T249" s="61">
        <f>IF(AND(R249="Yes",S249&lt;&gt;"Yes",L249&gt;0,B249&lt;&gt;"TXO"),L249,"")</f>
        <v/>
      </c>
      <c r="U249" s="61">
        <f>IF(AND(R249="Yes",S249&lt;&gt;"Yes",L249&lt;0,B249&lt;&gt;"TXO"),L249,"")</f>
        <v/>
      </c>
      <c r="V249" s="61">
        <f>IF(AND(R249="",S249&lt;&gt;"Yes",L249&gt;0,B249&lt;&gt;"TXO"),L249,"")</f>
        <v/>
      </c>
      <c r="W249" s="61">
        <f>IF(AND(R249="",S249&lt;&gt;"Yes",L249&lt;0,B249&lt;&gt;"TXO"),L249,"")</f>
        <v/>
      </c>
      <c r="X249" s="226">
        <f>IF(AND(R249="Yes",S249="Yes",L249&gt;0,B249&lt;&gt;"TXO"),L249,"")</f>
        <v/>
      </c>
      <c r="Y249" s="226">
        <f>IF(AND(R249="Yes",S249="Yes",L249&lt;0,B249&lt;&gt;"TXO"),L249,"")</f>
        <v/>
      </c>
      <c r="Z249" s="226">
        <f>IF(AND(R249="",S249="Yes",L249&gt;0,B249&lt;&gt;"TXO"),L249,"")</f>
        <v/>
      </c>
      <c r="AA249" s="226">
        <f>IF(AND(R249="",S249="Yes",L249&lt;0,B249&lt;&gt;"TXO"),L249,"")</f>
        <v/>
      </c>
    </row>
    <row r="250" outlineLevel="1">
      <c r="A250" s="740" t="n">
        <v>43600</v>
      </c>
      <c r="B250" s="299" t="inlineStr">
        <is>
          <t>FIMTX</t>
        </is>
      </c>
      <c r="C250" s="300" t="inlineStr">
        <is>
          <t>小指05</t>
        </is>
      </c>
      <c r="D250" s="300" t="inlineStr">
        <is>
          <t>新倉</t>
        </is>
      </c>
      <c r="E250" s="301" t="inlineStr">
        <is>
          <t>買</t>
        </is>
      </c>
      <c r="F250" s="300" t="inlineStr">
        <is>
          <t>-</t>
        </is>
      </c>
      <c r="G250" s="741" t="n">
        <v>1</v>
      </c>
      <c r="H250" s="741" t="n">
        <v>10584</v>
      </c>
      <c r="I250" s="741" t="n">
        <v>0</v>
      </c>
      <c r="J250" s="742" t="n">
        <v>23</v>
      </c>
      <c r="K250" s="742" t="n">
        <v>11</v>
      </c>
      <c r="L250" s="742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/>
      </c>
      <c r="M250" s="743">
        <f>L250</f>
        <v/>
      </c>
      <c r="N250" s="686">
        <f>IF(B250="TXO","",IF(D250="新倉","",IF(E250="賣",(H250-H249)*G250,(H249-H250)*G250)))</f>
        <v/>
      </c>
      <c r="O250" s="226" t="n">
        <v>0</v>
      </c>
      <c r="P250" s="667" t="n"/>
      <c r="Q250" s="249" t="inlineStr">
        <is>
          <t>3/3 買進1口</t>
        </is>
      </c>
      <c r="R250" s="249" t="inlineStr">
        <is>
          <t>Yes</t>
        </is>
      </c>
      <c r="S250" s="249" t="n"/>
      <c r="T250" s="61">
        <f>IF(AND(R250="Yes",S250&lt;&gt;"Yes",L250&gt;0,B250&lt;&gt;"TXO"),L250,"")</f>
        <v/>
      </c>
      <c r="U250" s="61">
        <f>IF(AND(R250="Yes",S250&lt;&gt;"Yes",L250&lt;0,B250&lt;&gt;"TXO"),L250,"")</f>
        <v/>
      </c>
      <c r="V250" s="61">
        <f>IF(AND(R250="",S250&lt;&gt;"Yes",L250&gt;0,B250&lt;&gt;"TXO"),L250,"")</f>
        <v/>
      </c>
      <c r="W250" s="61">
        <f>IF(AND(R250="",S250&lt;&gt;"Yes",L250&lt;0,B250&lt;&gt;"TXO"),L250,"")</f>
        <v/>
      </c>
      <c r="X250" s="226">
        <f>IF(AND(R250="Yes",S250="Yes",L250&gt;0,B250&lt;&gt;"TXO"),L250,"")</f>
        <v/>
      </c>
      <c r="Y250" s="226">
        <f>IF(AND(R250="Yes",S250="Yes",L250&lt;0,B250&lt;&gt;"TXO"),L250,"")</f>
        <v/>
      </c>
      <c r="Z250" s="226">
        <f>IF(AND(R250="",S250="Yes",L250&gt;0,B250&lt;&gt;"TXO"),L250,"")</f>
        <v/>
      </c>
      <c r="AA250" s="226">
        <f>IF(AND(R250="",S250="Yes",L250&lt;0,B250&lt;&gt;"TXO"),L250,"")</f>
        <v/>
      </c>
    </row>
    <row r="251" outlineLevel="1">
      <c r="A251" s="740" t="n">
        <v>43600</v>
      </c>
      <c r="B251" s="299" t="inlineStr">
        <is>
          <t>FIMTX</t>
        </is>
      </c>
      <c r="C251" s="300" t="inlineStr">
        <is>
          <t>小指05</t>
        </is>
      </c>
      <c r="D251" s="300" t="inlineStr">
        <is>
          <t>平倉</t>
        </is>
      </c>
      <c r="E251" s="301" t="inlineStr">
        <is>
          <t>賣</t>
        </is>
      </c>
      <c r="F251" s="300" t="inlineStr">
        <is>
          <t>-</t>
        </is>
      </c>
      <c r="G251" s="741" t="n">
        <v>1</v>
      </c>
      <c r="H251" s="741" t="n">
        <v>10589</v>
      </c>
      <c r="I251" s="741" t="n">
        <v>0</v>
      </c>
      <c r="J251" s="742" t="n">
        <v>23</v>
      </c>
      <c r="K251" s="742" t="n">
        <v>11</v>
      </c>
      <c r="L251" s="742">
        <f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/>
      </c>
      <c r="M251" s="743">
        <f>L251</f>
        <v/>
      </c>
      <c r="N251" s="686">
        <f>IF(B251="TXO","",IF(D251="新倉","",IF(E251="賣",(H251-H250)*G251,(H250-H251)*G251)))</f>
        <v/>
      </c>
      <c r="O251" s="226" t="n">
        <v>0</v>
      </c>
      <c r="P251" s="667" t="n"/>
      <c r="Q251" s="249" t="inlineStr">
        <is>
          <t>元大移動式停利</t>
        </is>
      </c>
      <c r="R251" s="249" t="inlineStr">
        <is>
          <t>Yes</t>
        </is>
      </c>
      <c r="S251" s="249" t="n"/>
      <c r="T251" s="61">
        <f>IF(AND(R251="Yes",S251&lt;&gt;"Yes",L251&gt;0,B251&lt;&gt;"TXO"),L251,"")</f>
        <v/>
      </c>
      <c r="U251" s="61">
        <f>IF(AND(R251="Yes",S251&lt;&gt;"Yes",L251&lt;0,B251&lt;&gt;"TXO"),L251,"")</f>
        <v/>
      </c>
      <c r="V251" s="61">
        <f>IF(AND(R251="",S251&lt;&gt;"Yes",L251&gt;0,B251&lt;&gt;"TXO"),L251,"")</f>
        <v/>
      </c>
      <c r="W251" s="61">
        <f>IF(AND(R251="",S251&lt;&gt;"Yes",L251&lt;0,B251&lt;&gt;"TXO"),L251,"")</f>
        <v/>
      </c>
      <c r="X251" s="226">
        <f>IF(AND(R251="Yes",S251="Yes",L251&gt;0,B251&lt;&gt;"TXO"),L251,"")</f>
        <v/>
      </c>
      <c r="Y251" s="226">
        <f>IF(AND(R251="Yes",S251="Yes",L251&lt;0,B251&lt;&gt;"TXO"),L251,"")</f>
        <v/>
      </c>
      <c r="Z251" s="226">
        <f>IF(AND(R251="",S251="Yes",L251&gt;0,B251&lt;&gt;"TXO"),L251,"")</f>
        <v/>
      </c>
      <c r="AA251" s="226">
        <f>IF(AND(R251="",S251="Yes",L251&lt;0,B251&lt;&gt;"TXO"),L251,"")</f>
        <v/>
      </c>
    </row>
    <row r="252">
      <c r="A252" s="696" t="n">
        <v>43601</v>
      </c>
      <c r="B252" s="234" t="inlineStr">
        <is>
          <t>FIMTX</t>
        </is>
      </c>
      <c r="C252" s="229" t="inlineStr">
        <is>
          <t>小指06</t>
        </is>
      </c>
      <c r="D252" s="229" t="inlineStr">
        <is>
          <t>新倉</t>
        </is>
      </c>
      <c r="E252" s="257" t="inlineStr">
        <is>
          <t>買</t>
        </is>
      </c>
      <c r="F252" s="229" t="inlineStr">
        <is>
          <t>-</t>
        </is>
      </c>
      <c r="G252" s="697" t="n">
        <v>1</v>
      </c>
      <c r="H252" s="697" t="n">
        <v>10549</v>
      </c>
      <c r="I252" s="697" t="n">
        <v>0</v>
      </c>
      <c r="J252" s="585" t="n">
        <v>23</v>
      </c>
      <c r="K252" s="585" t="n">
        <v>11</v>
      </c>
      <c r="L252" s="585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/>
      </c>
      <c r="M252" s="699">
        <f>L252</f>
        <v/>
      </c>
      <c r="N252" s="686">
        <f>IF(B252="TXO","",IF(D252="新倉","",IF(E252="賣",(H252-H251)*G252,(H251-H252)*G252)))</f>
        <v/>
      </c>
      <c r="O252" s="226" t="n">
        <v>0</v>
      </c>
      <c r="P252" s="667">
        <f>SUM(L252:L259)</f>
        <v/>
      </c>
      <c r="Q252" s="249" t="inlineStr">
        <is>
          <t>3/3 買進1口</t>
        </is>
      </c>
      <c r="R252" s="249" t="inlineStr">
        <is>
          <t>Yes</t>
        </is>
      </c>
      <c r="S252" s="249" t="n"/>
      <c r="T252" s="61">
        <f>IF(AND(R252="Yes",S252&lt;&gt;"Yes",L252&gt;0,B252&lt;&gt;"TXO"),L252,"")</f>
        <v/>
      </c>
      <c r="U252" s="61">
        <f>IF(AND(R252="Yes",S252&lt;&gt;"Yes",L252&lt;0,B252&lt;&gt;"TXO"),L252,"")</f>
        <v/>
      </c>
      <c r="V252" s="61">
        <f>IF(AND(R252="",S252&lt;&gt;"Yes",L252&gt;0,B252&lt;&gt;"TXO"),L252,"")</f>
        <v/>
      </c>
      <c r="W252" s="61">
        <f>IF(AND(R252="",S252&lt;&gt;"Yes",L252&lt;0,B252&lt;&gt;"TXO"),L252,"")</f>
        <v/>
      </c>
      <c r="X252" s="226">
        <f>IF(AND(R252="Yes",S252="Yes",L252&gt;0,B252&lt;&gt;"TXO"),L252,"")</f>
        <v/>
      </c>
      <c r="Y252" s="226">
        <f>IF(AND(R252="Yes",S252="Yes",L252&lt;0,B252&lt;&gt;"TXO"),L252,"")</f>
        <v/>
      </c>
      <c r="Z252" s="226">
        <f>IF(AND(R252="",S252="Yes",L252&gt;0,B252&lt;&gt;"TXO"),L252,"")</f>
        <v/>
      </c>
      <c r="AA252" s="226">
        <f>IF(AND(R252="",S252="Yes",L252&lt;0,B252&lt;&gt;"TXO"),L252,"")</f>
        <v/>
      </c>
    </row>
    <row r="253" outlineLevel="1">
      <c r="A253" s="696" t="n">
        <v>43601</v>
      </c>
      <c r="B253" s="234" t="inlineStr">
        <is>
          <t>FIMTX</t>
        </is>
      </c>
      <c r="C253" s="229" t="inlineStr">
        <is>
          <t>小指06</t>
        </is>
      </c>
      <c r="D253" s="229" t="inlineStr">
        <is>
          <t>平倉</t>
        </is>
      </c>
      <c r="E253" s="257" t="inlineStr">
        <is>
          <t>賣</t>
        </is>
      </c>
      <c r="F253" s="229" t="inlineStr">
        <is>
          <t>-</t>
        </is>
      </c>
      <c r="G253" s="697" t="n">
        <v>1</v>
      </c>
      <c r="H253" s="697" t="n">
        <v>10534</v>
      </c>
      <c r="I253" s="697" t="n">
        <v>0</v>
      </c>
      <c r="J253" s="585" t="n">
        <v>23</v>
      </c>
      <c r="K253" s="585" t="n">
        <v>11</v>
      </c>
      <c r="L253" s="585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/>
      </c>
      <c r="M253" s="699">
        <f>L253</f>
        <v/>
      </c>
      <c r="N253" s="686">
        <f>IF(B253="TXO","",IF(D253="新倉","",IF(E253="賣",(H253-H252)*G253,(H252-H253)*G253)))</f>
        <v/>
      </c>
      <c r="O253" s="226" t="n">
        <v>0</v>
      </c>
      <c r="P253" s="667" t="n"/>
      <c r="Q253" s="249" t="inlineStr">
        <is>
          <t>技法: 15點停損</t>
        </is>
      </c>
      <c r="R253" s="249" t="inlineStr">
        <is>
          <t>Yes</t>
        </is>
      </c>
      <c r="S253" s="249" t="n"/>
      <c r="T253" s="61">
        <f>IF(AND(R253="Yes",S253&lt;&gt;"Yes",L253&gt;0,B253&lt;&gt;"TXO"),L253,"")</f>
        <v/>
      </c>
      <c r="U253" s="61">
        <f>IF(AND(R253="Yes",S253&lt;&gt;"Yes",L253&lt;0,B253&lt;&gt;"TXO"),L253,"")</f>
        <v/>
      </c>
      <c r="V253" s="61">
        <f>IF(AND(R253="",S253&lt;&gt;"Yes",L253&gt;0,B253&lt;&gt;"TXO"),L253,"")</f>
        <v/>
      </c>
      <c r="W253" s="61">
        <f>IF(AND(R253="",S253&lt;&gt;"Yes",L253&lt;0,B253&lt;&gt;"TXO"),L253,"")</f>
        <v/>
      </c>
      <c r="X253" s="226">
        <f>IF(AND(R253="Yes",S253="Yes",L253&gt;0,B253&lt;&gt;"TXO"),L253,"")</f>
        <v/>
      </c>
      <c r="Y253" s="226">
        <f>IF(AND(R253="Yes",S253="Yes",L253&lt;0,B253&lt;&gt;"TXO"),L253,"")</f>
        <v/>
      </c>
      <c r="Z253" s="226">
        <f>IF(AND(R253="",S253="Yes",L253&gt;0,B253&lt;&gt;"TXO"),L253,"")</f>
        <v/>
      </c>
      <c r="AA253" s="226">
        <f>IF(AND(R253="",S253="Yes",L253&lt;0,B253&lt;&gt;"TXO"),L253,"")</f>
        <v/>
      </c>
    </row>
    <row r="254" outlineLevel="1">
      <c r="A254" s="696" t="n">
        <v>43601</v>
      </c>
      <c r="B254" s="234" t="inlineStr">
        <is>
          <t>FIMTX</t>
        </is>
      </c>
      <c r="C254" s="229" t="inlineStr">
        <is>
          <t>小指06</t>
        </is>
      </c>
      <c r="D254" s="229" t="inlineStr">
        <is>
          <t>新倉</t>
        </is>
      </c>
      <c r="E254" s="257" t="inlineStr">
        <is>
          <t>賣</t>
        </is>
      </c>
      <c r="F254" s="229" t="inlineStr">
        <is>
          <t>-</t>
        </is>
      </c>
      <c r="G254" s="697" t="n">
        <v>1</v>
      </c>
      <c r="H254" s="697" t="n">
        <v>10500</v>
      </c>
      <c r="I254" s="697" t="n">
        <v>0</v>
      </c>
      <c r="J254" s="585" t="n">
        <v>23</v>
      </c>
      <c r="K254" s="585" t="n">
        <v>11</v>
      </c>
      <c r="L254" s="585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/>
      </c>
      <c r="M254" s="699">
        <f>L254</f>
        <v/>
      </c>
      <c r="N254" s="686">
        <f>IF(B254="TXO","",IF(D254="新倉","",IF(E254="賣",(H254-H253)*G254,(H253-H254)*G254)))</f>
        <v/>
      </c>
      <c r="O254" s="226" t="n">
        <v>0</v>
      </c>
      <c r="P254" s="667" t="n"/>
      <c r="Q254" s="249" t="inlineStr">
        <is>
          <t>3/3 買進1口</t>
        </is>
      </c>
      <c r="R254" s="249" t="inlineStr">
        <is>
          <t>Yes</t>
        </is>
      </c>
      <c r="S254" s="249" t="n"/>
      <c r="T254" s="61">
        <f>IF(AND(R254="Yes",S254&lt;&gt;"Yes",L254&gt;0,B254&lt;&gt;"TXO"),L254,"")</f>
        <v/>
      </c>
      <c r="U254" s="61">
        <f>IF(AND(R254="Yes",S254&lt;&gt;"Yes",L254&lt;0,B254&lt;&gt;"TXO"),L254,"")</f>
        <v/>
      </c>
      <c r="V254" s="61">
        <f>IF(AND(R254="",S254&lt;&gt;"Yes",L254&gt;0,B254&lt;&gt;"TXO"),L254,"")</f>
        <v/>
      </c>
      <c r="W254" s="61">
        <f>IF(AND(R254="",S254&lt;&gt;"Yes",L254&lt;0,B254&lt;&gt;"TXO"),L254,"")</f>
        <v/>
      </c>
      <c r="X254" s="226">
        <f>IF(AND(R254="Yes",S254="Yes",L254&gt;0,B254&lt;&gt;"TXO"),L254,"")</f>
        <v/>
      </c>
      <c r="Y254" s="226">
        <f>IF(AND(R254="Yes",S254="Yes",L254&lt;0,B254&lt;&gt;"TXO"),L254,"")</f>
        <v/>
      </c>
      <c r="Z254" s="226">
        <f>IF(AND(R254="",S254="Yes",L254&gt;0,B254&lt;&gt;"TXO"),L254,"")</f>
        <v/>
      </c>
      <c r="AA254" s="226">
        <f>IF(AND(R254="",S254="Yes",L254&lt;0,B254&lt;&gt;"TXO"),L254,"")</f>
        <v/>
      </c>
    </row>
    <row r="255" outlineLevel="1">
      <c r="A255" s="696" t="n">
        <v>43601</v>
      </c>
      <c r="B255" s="234" t="inlineStr">
        <is>
          <t>FIMTX</t>
        </is>
      </c>
      <c r="C255" s="229" t="inlineStr">
        <is>
          <t>小指06</t>
        </is>
      </c>
      <c r="D255" s="229" t="inlineStr">
        <is>
          <t>平倉</t>
        </is>
      </c>
      <c r="E255" s="257" t="inlineStr">
        <is>
          <t>買</t>
        </is>
      </c>
      <c r="F255" s="229" t="inlineStr">
        <is>
          <t>-</t>
        </is>
      </c>
      <c r="G255" s="697" t="n">
        <v>1</v>
      </c>
      <c r="H255" s="697" t="n">
        <v>10493</v>
      </c>
      <c r="I255" s="697" t="n">
        <v>0</v>
      </c>
      <c r="J255" s="585" t="n">
        <v>23</v>
      </c>
      <c r="K255" s="585" t="n">
        <v>10</v>
      </c>
      <c r="L255" s="585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/>
      </c>
      <c r="M255" s="699">
        <f>L255</f>
        <v/>
      </c>
      <c r="N255" s="686">
        <f>IF(B255="TXO","",IF(D255="新倉","",IF(E255="賣",(H255-H254)*G255,(H254-H255)*G255)))</f>
        <v/>
      </c>
      <c r="O255" s="226" t="n">
        <v>0</v>
      </c>
      <c r="P255" s="667" t="n"/>
      <c r="Q255" s="249" t="inlineStr">
        <is>
          <t>元大移動式停利</t>
        </is>
      </c>
      <c r="R255" s="249" t="inlineStr">
        <is>
          <t>Yes</t>
        </is>
      </c>
      <c r="S255" s="249" t="n"/>
      <c r="T255" s="61">
        <f>IF(AND(R255="Yes",S255&lt;&gt;"Yes",L255&gt;0,B255&lt;&gt;"TXO"),L255,"")</f>
        <v/>
      </c>
      <c r="U255" s="61">
        <f>IF(AND(R255="Yes",S255&lt;&gt;"Yes",L255&lt;0,B255&lt;&gt;"TXO"),L255,"")</f>
        <v/>
      </c>
      <c r="V255" s="61">
        <f>IF(AND(R255="",S255&lt;&gt;"Yes",L255&gt;0,B255&lt;&gt;"TXO"),L255,"")</f>
        <v/>
      </c>
      <c r="W255" s="61">
        <f>IF(AND(R255="",S255&lt;&gt;"Yes",L255&lt;0,B255&lt;&gt;"TXO"),L255,"")</f>
        <v/>
      </c>
      <c r="X255" s="226">
        <f>IF(AND(R255="Yes",S255="Yes",L255&gt;0,B255&lt;&gt;"TXO"),L255,"")</f>
        <v/>
      </c>
      <c r="Y255" s="226">
        <f>IF(AND(R255="Yes",S255="Yes",L255&lt;0,B255&lt;&gt;"TXO"),L255,"")</f>
        <v/>
      </c>
      <c r="Z255" s="226">
        <f>IF(AND(R255="",S255="Yes",L255&gt;0,B255&lt;&gt;"TXO"),L255,"")</f>
        <v/>
      </c>
      <c r="AA255" s="226">
        <f>IF(AND(R255="",S255="Yes",L255&lt;0,B255&lt;&gt;"TXO"),L255,"")</f>
        <v/>
      </c>
    </row>
    <row r="256" outlineLevel="1">
      <c r="A256" s="696" t="n">
        <v>43601</v>
      </c>
      <c r="B256" s="234" t="inlineStr">
        <is>
          <t>FIMTX</t>
        </is>
      </c>
      <c r="C256" s="229" t="inlineStr">
        <is>
          <t>小指06</t>
        </is>
      </c>
      <c r="D256" s="229" t="inlineStr">
        <is>
          <t>新倉</t>
        </is>
      </c>
      <c r="E256" s="257" t="inlineStr">
        <is>
          <t>賣</t>
        </is>
      </c>
      <c r="F256" s="229" t="inlineStr">
        <is>
          <t>-</t>
        </is>
      </c>
      <c r="G256" s="697" t="n">
        <v>1</v>
      </c>
      <c r="H256" s="697" t="n">
        <v>10508</v>
      </c>
      <c r="I256" s="697" t="n">
        <v>0</v>
      </c>
      <c r="J256" s="585" t="n">
        <v>23</v>
      </c>
      <c r="K256" s="585" t="n">
        <v>11</v>
      </c>
      <c r="L256" s="585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/>
      </c>
      <c r="M256" s="699">
        <f>L256</f>
        <v/>
      </c>
      <c r="N256" s="686">
        <f>IF(B256="TXO","",IF(D256="新倉","",IF(E256="賣",(H256-H255)*G256,(H255-H256)*G256)))</f>
        <v/>
      </c>
      <c r="O256" s="226" t="n">
        <v>0</v>
      </c>
      <c r="P256" s="667" t="n"/>
      <c r="Q256" s="249" t="inlineStr">
        <is>
          <t>3/3 買進1口</t>
        </is>
      </c>
      <c r="R256" s="249" t="inlineStr">
        <is>
          <t>Yes</t>
        </is>
      </c>
      <c r="S256" s="249" t="n"/>
      <c r="T256" s="61">
        <f>IF(AND(R256="Yes",S256&lt;&gt;"Yes",L256&gt;0,B256&lt;&gt;"TXO"),L256,"")</f>
        <v/>
      </c>
      <c r="U256" s="61">
        <f>IF(AND(R256="Yes",S256&lt;&gt;"Yes",L256&lt;0,B256&lt;&gt;"TXO"),L256,"")</f>
        <v/>
      </c>
      <c r="V256" s="61">
        <f>IF(AND(R256="",S256&lt;&gt;"Yes",L256&gt;0,B256&lt;&gt;"TXO"),L256,"")</f>
        <v/>
      </c>
      <c r="W256" s="61">
        <f>IF(AND(R256="",S256&lt;&gt;"Yes",L256&lt;0,B256&lt;&gt;"TXO"),L256,"")</f>
        <v/>
      </c>
      <c r="X256" s="226">
        <f>IF(AND(R256="Yes",S256="Yes",L256&gt;0,B256&lt;&gt;"TXO"),L256,"")</f>
        <v/>
      </c>
      <c r="Y256" s="226">
        <f>IF(AND(R256="Yes",S256="Yes",L256&lt;0,B256&lt;&gt;"TXO"),L256,"")</f>
        <v/>
      </c>
      <c r="Z256" s="226">
        <f>IF(AND(R256="",S256="Yes",L256&gt;0,B256&lt;&gt;"TXO"),L256,"")</f>
        <v/>
      </c>
      <c r="AA256" s="226">
        <f>IF(AND(R256="",S256="Yes",L256&lt;0,B256&lt;&gt;"TXO"),L256,"")</f>
        <v/>
      </c>
    </row>
    <row r="257" outlineLevel="1">
      <c r="A257" s="696" t="n">
        <v>43601</v>
      </c>
      <c r="B257" s="234" t="inlineStr">
        <is>
          <t>FIMTX</t>
        </is>
      </c>
      <c r="C257" s="229" t="inlineStr">
        <is>
          <t>小指06</t>
        </is>
      </c>
      <c r="D257" s="229" t="inlineStr">
        <is>
          <t>平倉</t>
        </is>
      </c>
      <c r="E257" s="257" t="inlineStr">
        <is>
          <t>買</t>
        </is>
      </c>
      <c r="F257" s="229" t="inlineStr">
        <is>
          <t>-</t>
        </is>
      </c>
      <c r="G257" s="697" t="n">
        <v>1</v>
      </c>
      <c r="H257" s="697" t="n">
        <v>10503</v>
      </c>
      <c r="I257" s="697" t="n">
        <v>0</v>
      </c>
      <c r="J257" s="585" t="n">
        <v>23</v>
      </c>
      <c r="K257" s="585" t="n">
        <v>11</v>
      </c>
      <c r="L257" s="585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/>
      </c>
      <c r="M257" s="699">
        <f>L257</f>
        <v/>
      </c>
      <c r="N257" s="686">
        <f>IF(B257="TXO","",IF(D257="新倉","",IF(E257="賣",(H257-H256)*G257,(H256-H257)*G257)))</f>
        <v/>
      </c>
      <c r="O257" s="226" t="n">
        <v>0</v>
      </c>
      <c r="P257" s="667" t="n"/>
      <c r="Q257" s="249" t="inlineStr">
        <is>
          <t>元大移動式停利</t>
        </is>
      </c>
      <c r="R257" s="249" t="inlineStr">
        <is>
          <t>Yes</t>
        </is>
      </c>
      <c r="S257" s="249" t="n"/>
      <c r="T257" s="61">
        <f>IF(AND(R257="Yes",S257&lt;&gt;"Yes",L257&gt;0,B257&lt;&gt;"TXO"),L257,"")</f>
        <v/>
      </c>
      <c r="U257" s="61">
        <f>IF(AND(R257="Yes",S257&lt;&gt;"Yes",L257&lt;0,B257&lt;&gt;"TXO"),L257,"")</f>
        <v/>
      </c>
      <c r="V257" s="61">
        <f>IF(AND(R257="",S257&lt;&gt;"Yes",L257&gt;0,B257&lt;&gt;"TXO"),L257,"")</f>
        <v/>
      </c>
      <c r="W257" s="61">
        <f>IF(AND(R257="",S257&lt;&gt;"Yes",L257&lt;0,B257&lt;&gt;"TXO"),L257,"")</f>
        <v/>
      </c>
      <c r="X257" s="226">
        <f>IF(AND(R257="Yes",S257="Yes",L257&gt;0,B257&lt;&gt;"TXO"),L257,"")</f>
        <v/>
      </c>
      <c r="Y257" s="226">
        <f>IF(AND(R257="Yes",S257="Yes",L257&lt;0,B257&lt;&gt;"TXO"),L257,"")</f>
        <v/>
      </c>
      <c r="Z257" s="226">
        <f>IF(AND(R257="",S257="Yes",L257&gt;0,B257&lt;&gt;"TXO"),L257,"")</f>
        <v/>
      </c>
      <c r="AA257" s="226">
        <f>IF(AND(R257="",S257="Yes",L257&lt;0,B257&lt;&gt;"TXO"),L257,"")</f>
        <v/>
      </c>
    </row>
    <row r="258" outlineLevel="1">
      <c r="A258" s="696" t="n">
        <v>43601</v>
      </c>
      <c r="B258" s="234" t="inlineStr">
        <is>
          <t>FIMTX</t>
        </is>
      </c>
      <c r="C258" s="229" t="inlineStr">
        <is>
          <t>小指06</t>
        </is>
      </c>
      <c r="D258" s="229" t="inlineStr">
        <is>
          <t>新倉</t>
        </is>
      </c>
      <c r="E258" s="257" t="inlineStr">
        <is>
          <t>賣</t>
        </is>
      </c>
      <c r="F258" s="229" t="inlineStr">
        <is>
          <t>-</t>
        </is>
      </c>
      <c r="G258" s="697" t="n">
        <v>1</v>
      </c>
      <c r="H258" s="697" t="n">
        <v>10512</v>
      </c>
      <c r="I258" s="697" t="n">
        <v>0</v>
      </c>
      <c r="J258" s="585" t="n">
        <v>23</v>
      </c>
      <c r="K258" s="585" t="n">
        <v>11</v>
      </c>
      <c r="L258" s="585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/>
      </c>
      <c r="M258" s="699">
        <f>L258</f>
        <v/>
      </c>
      <c r="N258" s="686">
        <f>IF(B258="TXO","",IF(D258="新倉","",IF(E258="賣",(H258-H257)*G258,(H257-H258)*G258)))</f>
        <v/>
      </c>
      <c r="O258" s="226" t="n">
        <v>0</v>
      </c>
      <c r="P258" s="667" t="n"/>
      <c r="Q258" s="249" t="inlineStr">
        <is>
          <t>3/3 買進1口</t>
        </is>
      </c>
      <c r="R258" s="249" t="inlineStr">
        <is>
          <t>Yes</t>
        </is>
      </c>
      <c r="S258" s="249" t="n"/>
      <c r="T258" s="61">
        <f>IF(AND(R258="Yes",S258&lt;&gt;"Yes",L258&gt;0,B258&lt;&gt;"TXO"),L258,"")</f>
        <v/>
      </c>
      <c r="U258" s="61">
        <f>IF(AND(R258="Yes",S258&lt;&gt;"Yes",L258&lt;0,B258&lt;&gt;"TXO"),L258,"")</f>
        <v/>
      </c>
      <c r="V258" s="61">
        <f>IF(AND(R258="",S258&lt;&gt;"Yes",L258&gt;0,B258&lt;&gt;"TXO"),L258,"")</f>
        <v/>
      </c>
      <c r="W258" s="61">
        <f>IF(AND(R258="",S258&lt;&gt;"Yes",L258&lt;0,B258&lt;&gt;"TXO"),L258,"")</f>
        <v/>
      </c>
      <c r="X258" s="226">
        <f>IF(AND(R258="Yes",S258="Yes",L258&gt;0,B258&lt;&gt;"TXO"),L258,"")</f>
        <v/>
      </c>
      <c r="Y258" s="226">
        <f>IF(AND(R258="Yes",S258="Yes",L258&lt;0,B258&lt;&gt;"TXO"),L258,"")</f>
        <v/>
      </c>
      <c r="Z258" s="226">
        <f>IF(AND(R258="",S258="Yes",L258&gt;0,B258&lt;&gt;"TXO"),L258,"")</f>
        <v/>
      </c>
      <c r="AA258" s="226">
        <f>IF(AND(R258="",S258="Yes",L258&lt;0,B258&lt;&gt;"TXO"),L258,"")</f>
        <v/>
      </c>
    </row>
    <row r="259" outlineLevel="1">
      <c r="A259" s="696" t="n">
        <v>43601</v>
      </c>
      <c r="B259" s="234" t="inlineStr">
        <is>
          <t>FIMTX</t>
        </is>
      </c>
      <c r="C259" s="229" t="inlineStr">
        <is>
          <t>小指06</t>
        </is>
      </c>
      <c r="D259" s="229" t="inlineStr">
        <is>
          <t>平倉</t>
        </is>
      </c>
      <c r="E259" s="257" t="inlineStr">
        <is>
          <t>買</t>
        </is>
      </c>
      <c r="F259" s="229" t="inlineStr">
        <is>
          <t>-</t>
        </is>
      </c>
      <c r="G259" s="697" t="n">
        <v>1</v>
      </c>
      <c r="H259" s="697" t="n">
        <v>10526</v>
      </c>
      <c r="I259" s="697" t="n">
        <v>0</v>
      </c>
      <c r="J259" s="585" t="n">
        <v>23</v>
      </c>
      <c r="K259" s="585" t="n">
        <v>11</v>
      </c>
      <c r="L259" s="585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/>
      </c>
      <c r="M259" s="699">
        <f>L259</f>
        <v/>
      </c>
      <c r="N259" s="686">
        <f>IF(B259="TXO","",IF(D259="新倉","",IF(E259="賣",(H259-H258)*G259,(H258-H259)*G259)))</f>
        <v/>
      </c>
      <c r="O259" s="226" t="n">
        <v>0</v>
      </c>
      <c r="P259" s="667" t="n"/>
      <c r="Q259" s="249" t="inlineStr">
        <is>
          <t>技法: 碰10MA出場(停損)</t>
        </is>
      </c>
      <c r="R259" s="249" t="inlineStr">
        <is>
          <t>Yes</t>
        </is>
      </c>
      <c r="S259" s="249" t="n"/>
      <c r="T259" s="61">
        <f>IF(AND(R259="Yes",S259&lt;&gt;"Yes",L259&gt;0,B259&lt;&gt;"TXO"),L259,"")</f>
        <v/>
      </c>
      <c r="U259" s="61">
        <f>IF(AND(R259="Yes",S259&lt;&gt;"Yes",L259&lt;0,B259&lt;&gt;"TXO"),L259,"")</f>
        <v/>
      </c>
      <c r="V259" s="61">
        <f>IF(AND(R259="",S259&lt;&gt;"Yes",L259&gt;0,B259&lt;&gt;"TXO"),L259,"")</f>
        <v/>
      </c>
      <c r="W259" s="61">
        <f>IF(AND(R259="",S259&lt;&gt;"Yes",L259&lt;0,B259&lt;&gt;"TXO"),L259,"")</f>
        <v/>
      </c>
      <c r="X259" s="226">
        <f>IF(AND(R259="Yes",S259="Yes",L259&gt;0,B259&lt;&gt;"TXO"),L259,"")</f>
        <v/>
      </c>
      <c r="Y259" s="226">
        <f>IF(AND(R259="Yes",S259="Yes",L259&lt;0,B259&lt;&gt;"TXO"),L259,"")</f>
        <v/>
      </c>
      <c r="Z259" s="226">
        <f>IF(AND(R259="",S259="Yes",L259&gt;0,B259&lt;&gt;"TXO"),L259,"")</f>
        <v/>
      </c>
      <c r="AA259" s="226">
        <f>IF(AND(R259="",S259="Yes",L259&lt;0,B259&lt;&gt;"TXO"),L259,"")</f>
        <v/>
      </c>
    </row>
    <row r="260">
      <c r="A260" s="740" t="n">
        <v>43607</v>
      </c>
      <c r="B260" s="299" t="inlineStr">
        <is>
          <t>FIMTX</t>
        </is>
      </c>
      <c r="C260" s="300" t="inlineStr">
        <is>
          <t>小指06</t>
        </is>
      </c>
      <c r="D260" s="300" t="inlineStr">
        <is>
          <t>新倉</t>
        </is>
      </c>
      <c r="E260" s="301" t="inlineStr">
        <is>
          <t>買</t>
        </is>
      </c>
      <c r="F260" s="300" t="inlineStr">
        <is>
          <t>-</t>
        </is>
      </c>
      <c r="G260" s="741" t="n">
        <v>1</v>
      </c>
      <c r="H260" s="741" t="n">
        <v>10496</v>
      </c>
      <c r="I260" s="741" t="n">
        <v>0</v>
      </c>
      <c r="J260" s="742" t="n">
        <v>23</v>
      </c>
      <c r="K260" s="742" t="n">
        <v>10</v>
      </c>
      <c r="L260" s="742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/>
      </c>
      <c r="M260" s="743">
        <f>L260</f>
        <v/>
      </c>
      <c r="N260" s="686">
        <f>IF(B260="TXO","",IF(D260="新倉","",IF(E260="賣",(H260-H259)*G260,(H259-H260)*G260)))</f>
        <v/>
      </c>
      <c r="O260" s="226" t="n">
        <v>0</v>
      </c>
      <c r="P260" s="667">
        <f>SUM(L260:L261)</f>
        <v/>
      </c>
      <c r="Q260" s="249" t="inlineStr">
        <is>
          <t>3/3 買進1口</t>
        </is>
      </c>
      <c r="R260" s="249" t="inlineStr">
        <is>
          <t>Yes</t>
        </is>
      </c>
      <c r="S260" s="249" t="n"/>
      <c r="T260" s="61">
        <f>IF(AND(R260="Yes",S260&lt;&gt;"Yes",L260&gt;0,B260&lt;&gt;"TXO"),L260,"")</f>
        <v/>
      </c>
      <c r="U260" s="61">
        <f>IF(AND(R260="Yes",S260&lt;&gt;"Yes",L260&lt;0,B260&lt;&gt;"TXO"),L260,"")</f>
        <v/>
      </c>
      <c r="V260" s="61">
        <f>IF(AND(R260="",S260&lt;&gt;"Yes",L260&gt;0,B260&lt;&gt;"TXO"),L260,"")</f>
        <v/>
      </c>
      <c r="W260" s="61">
        <f>IF(AND(R260="",S260&lt;&gt;"Yes",L260&lt;0,B260&lt;&gt;"TXO"),L260,"")</f>
        <v/>
      </c>
      <c r="X260" s="226">
        <f>IF(AND(R260="Yes",S260="Yes",L260&gt;0,B260&lt;&gt;"TXO"),L260,"")</f>
        <v/>
      </c>
      <c r="Y260" s="226">
        <f>IF(AND(R260="Yes",S260="Yes",L260&lt;0,B260&lt;&gt;"TXO"),L260,"")</f>
        <v/>
      </c>
      <c r="Z260" s="226">
        <f>IF(AND(R260="",S260="Yes",L260&gt;0,B260&lt;&gt;"TXO"),L260,"")</f>
        <v/>
      </c>
      <c r="AA260" s="226">
        <f>IF(AND(R260="",S260="Yes",L260&lt;0,B260&lt;&gt;"TXO"),L260,"")</f>
        <v/>
      </c>
    </row>
    <row r="261" collapsed="1">
      <c r="A261" s="740" t="n">
        <v>43607</v>
      </c>
      <c r="B261" s="299" t="inlineStr">
        <is>
          <t>FIMTX</t>
        </is>
      </c>
      <c r="C261" s="300" t="inlineStr">
        <is>
          <t>小指06</t>
        </is>
      </c>
      <c r="D261" s="300" t="inlineStr">
        <is>
          <t>平倉</t>
        </is>
      </c>
      <c r="E261" s="301" t="inlineStr">
        <is>
          <t>賣</t>
        </is>
      </c>
      <c r="F261" s="300" t="inlineStr">
        <is>
          <t>-</t>
        </is>
      </c>
      <c r="G261" s="741" t="n">
        <v>1</v>
      </c>
      <c r="H261" s="741" t="n">
        <v>10488</v>
      </c>
      <c r="I261" s="741" t="n">
        <v>0</v>
      </c>
      <c r="J261" s="742" t="n">
        <v>23</v>
      </c>
      <c r="K261" s="742" t="n">
        <v>10</v>
      </c>
      <c r="L261" s="742">
        <f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/>
      </c>
      <c r="M261" s="743">
        <f>L261</f>
        <v/>
      </c>
      <c r="N261" s="686">
        <f>IF(B261="TXO","",IF(D261="新倉","",IF(E261="賣",(H261-H260)*G261,(H260-H261)*G261)))</f>
        <v/>
      </c>
      <c r="O261" s="226" t="n">
        <v>0</v>
      </c>
      <c r="P261" s="667" t="n"/>
      <c r="Q261" s="249" t="inlineStr">
        <is>
          <t>技法: 碰10MA出場(停損)</t>
        </is>
      </c>
      <c r="R261" s="249" t="inlineStr">
        <is>
          <t>Yes</t>
        </is>
      </c>
      <c r="S261" s="249" t="n"/>
      <c r="T261" s="61">
        <f>IF(AND(R261="Yes",S261&lt;&gt;"Yes",L261&gt;0,B261&lt;&gt;"TXO"),L261,"")</f>
        <v/>
      </c>
      <c r="U261" s="61">
        <f>IF(AND(R261="Yes",S261&lt;&gt;"Yes",L261&lt;0,B261&lt;&gt;"TXO"),L261,"")</f>
        <v/>
      </c>
      <c r="V261" s="61">
        <f>IF(AND(R261="",S261&lt;&gt;"Yes",L261&gt;0,B261&lt;&gt;"TXO"),L261,"")</f>
        <v/>
      </c>
      <c r="W261" s="61">
        <f>IF(AND(R261="",S261&lt;&gt;"Yes",L261&lt;0,B261&lt;&gt;"TXO"),L261,"")</f>
        <v/>
      </c>
      <c r="X261" s="226">
        <f>IF(AND(R261="Yes",S261="Yes",L261&gt;0,B261&lt;&gt;"TXO"),L261,"")</f>
        <v/>
      </c>
      <c r="Y261" s="226">
        <f>IF(AND(R261="Yes",S261="Yes",L261&lt;0,B261&lt;&gt;"TXO"),L261,"")</f>
        <v/>
      </c>
      <c r="Z261" s="226">
        <f>IF(AND(R261="",S261="Yes",L261&gt;0,B261&lt;&gt;"TXO"),L261,"")</f>
        <v/>
      </c>
      <c r="AA261" s="226">
        <f>IF(AND(R261="",S261="Yes",L261&lt;0,B261&lt;&gt;"TXO"),L261,"")</f>
        <v/>
      </c>
    </row>
    <row r="262">
      <c r="A262" s="696" t="n">
        <v>43608</v>
      </c>
      <c r="B262" s="234" t="inlineStr">
        <is>
          <t>FIMTX</t>
        </is>
      </c>
      <c r="C262" s="229" t="inlineStr">
        <is>
          <t>小指06</t>
        </is>
      </c>
      <c r="D262" s="229" t="inlineStr">
        <is>
          <t>新倉</t>
        </is>
      </c>
      <c r="E262" s="257" t="inlineStr">
        <is>
          <t>買</t>
        </is>
      </c>
      <c r="F262" s="229" t="inlineStr">
        <is>
          <t>-</t>
        </is>
      </c>
      <c r="G262" s="697" t="n">
        <v>1</v>
      </c>
      <c r="H262" s="697" t="n">
        <v>10279</v>
      </c>
      <c r="I262" s="697" t="n">
        <v>0</v>
      </c>
      <c r="J262" s="585" t="n">
        <v>23</v>
      </c>
      <c r="K262" s="585" t="n">
        <v>10</v>
      </c>
      <c r="L262" s="585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/>
      </c>
      <c r="M262" s="699">
        <f>L262</f>
        <v/>
      </c>
      <c r="N262" s="686">
        <f>IF(B262="TXO","",IF(D262="新倉","",IF(E262="賣",(H262-H261)*G262,(H261-H262)*G262)))</f>
        <v/>
      </c>
      <c r="O262" s="226" t="n">
        <v>0</v>
      </c>
      <c r="P262" s="667">
        <f>SUM(L262:L266)</f>
        <v/>
      </c>
      <c r="Q262" s="249" t="inlineStr">
        <is>
          <t>3/3 買進1口</t>
        </is>
      </c>
      <c r="R262" s="249" t="inlineStr">
        <is>
          <t>Yes</t>
        </is>
      </c>
      <c r="S262" s="249" t="n"/>
      <c r="T262" s="61">
        <f>IF(AND(R262="Yes",S262&lt;&gt;"Yes",L262&gt;0,B262&lt;&gt;"TXO"),L262,"")</f>
        <v/>
      </c>
      <c r="U262" s="61">
        <f>IF(AND(R262="Yes",S262&lt;&gt;"Yes",L262&lt;0,B262&lt;&gt;"TXO"),L262,"")</f>
        <v/>
      </c>
      <c r="V262" s="61">
        <f>IF(AND(R262="",S262&lt;&gt;"Yes",L262&gt;0,B262&lt;&gt;"TXO"),L262,"")</f>
        <v/>
      </c>
      <c r="W262" s="61">
        <f>IF(AND(R262="",S262&lt;&gt;"Yes",L262&lt;0,B262&lt;&gt;"TXO"),L262,"")</f>
        <v/>
      </c>
      <c r="X262" s="226">
        <f>IF(AND(R262="Yes",S262="Yes",L262&gt;0,B262&lt;&gt;"TXO"),L262,"")</f>
        <v/>
      </c>
      <c r="Y262" s="226">
        <f>IF(AND(R262="Yes",S262="Yes",L262&lt;0,B262&lt;&gt;"TXO"),L262,"")</f>
        <v/>
      </c>
      <c r="Z262" s="226">
        <f>IF(AND(R262="",S262="Yes",L262&gt;0,B262&lt;&gt;"TXO"),L262,"")</f>
        <v/>
      </c>
      <c r="AA262" s="226">
        <f>IF(AND(R262="",S262="Yes",L262&lt;0,B262&lt;&gt;"TXO"),L262,"")</f>
        <v/>
      </c>
    </row>
    <row r="263" outlineLevel="1">
      <c r="A263" s="696" t="n">
        <v>43608</v>
      </c>
      <c r="B263" s="234" t="inlineStr">
        <is>
          <t>FIMTX</t>
        </is>
      </c>
      <c r="C263" s="229" t="inlineStr">
        <is>
          <t>小指06</t>
        </is>
      </c>
      <c r="D263" s="229" t="inlineStr">
        <is>
          <t>平倉</t>
        </is>
      </c>
      <c r="E263" s="257" t="inlineStr">
        <is>
          <t>賣</t>
        </is>
      </c>
      <c r="F263" s="229" t="inlineStr">
        <is>
          <t>-</t>
        </is>
      </c>
      <c r="G263" s="697" t="n">
        <v>1</v>
      </c>
      <c r="H263" s="697" t="n">
        <v>10273</v>
      </c>
      <c r="I263" s="697" t="n">
        <v>0</v>
      </c>
      <c r="J263" s="585" t="n">
        <v>23</v>
      </c>
      <c r="K263" s="585" t="n">
        <v>10</v>
      </c>
      <c r="L263" s="585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/>
      </c>
      <c r="M263" s="699">
        <f>L263</f>
        <v/>
      </c>
      <c r="N263" s="686">
        <f>IF(B263="TXO","",IF(D263="新倉","",IF(E263="賣",(H263-H262)*G263,(H262-H263)*G263)))</f>
        <v/>
      </c>
      <c r="O263" s="226" t="n">
        <v>0</v>
      </c>
      <c r="P263" s="667" t="n"/>
      <c r="Q263" s="249" t="inlineStr">
        <is>
          <t>技法: 15點停損</t>
        </is>
      </c>
      <c r="R263" s="249" t="inlineStr">
        <is>
          <t>Yes</t>
        </is>
      </c>
      <c r="S263" s="249" t="n"/>
      <c r="T263" s="61">
        <f>IF(AND(R263="Yes",S263&lt;&gt;"Yes",L263&gt;0,B263&lt;&gt;"TXO"),L263,"")</f>
        <v/>
      </c>
      <c r="U263" s="61">
        <f>IF(AND(R263="Yes",S263&lt;&gt;"Yes",L263&lt;0,B263&lt;&gt;"TXO"),L263,"")</f>
        <v/>
      </c>
      <c r="V263" s="61">
        <f>IF(AND(R263="",S263&lt;&gt;"Yes",L263&gt;0,B263&lt;&gt;"TXO"),L263,"")</f>
        <v/>
      </c>
      <c r="W263" s="61">
        <f>IF(AND(R263="",S263&lt;&gt;"Yes",L263&lt;0,B263&lt;&gt;"TXO"),L263,"")</f>
        <v/>
      </c>
      <c r="X263" s="226">
        <f>IF(AND(R263="Yes",S263="Yes",L263&gt;0,B263&lt;&gt;"TXO"),L263,"")</f>
        <v/>
      </c>
      <c r="Y263" s="226">
        <f>IF(AND(R263="Yes",S263="Yes",L263&lt;0,B263&lt;&gt;"TXO"),L263,"")</f>
        <v/>
      </c>
      <c r="Z263" s="226">
        <f>IF(AND(R263="",S263="Yes",L263&gt;0,B263&lt;&gt;"TXO"),L263,"")</f>
        <v/>
      </c>
      <c r="AA263" s="226">
        <f>IF(AND(R263="",S263="Yes",L263&lt;0,B263&lt;&gt;"TXO"),L263,"")</f>
        <v/>
      </c>
    </row>
    <row r="264" outlineLevel="1">
      <c r="A264" s="696" t="n">
        <v>43608</v>
      </c>
      <c r="B264" s="234" t="inlineStr">
        <is>
          <t>FIMTX</t>
        </is>
      </c>
      <c r="C264" s="229" t="inlineStr">
        <is>
          <t>小指06</t>
        </is>
      </c>
      <c r="D264" s="229" t="inlineStr">
        <is>
          <t>新倉</t>
        </is>
      </c>
      <c r="E264" s="257" t="inlineStr">
        <is>
          <t>賣</t>
        </is>
      </c>
      <c r="F264" s="229" t="inlineStr">
        <is>
          <t>-</t>
        </is>
      </c>
      <c r="G264" s="697" t="n">
        <v>1</v>
      </c>
      <c r="H264" s="697" t="n">
        <v>10281</v>
      </c>
      <c r="I264" s="697" t="n">
        <v>0</v>
      </c>
      <c r="J264" s="585" t="n">
        <v>23</v>
      </c>
      <c r="K264" s="585" t="n">
        <v>10</v>
      </c>
      <c r="L264" s="585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/>
      </c>
      <c r="M264" s="699">
        <f>L264</f>
        <v/>
      </c>
      <c r="N264" s="686">
        <f>IF(B264="TXO","",IF(D264="新倉","",IF(E264="賣",(H264-H263)*G264,(H263-H264)*G264)))</f>
        <v/>
      </c>
      <c r="O264" s="226" t="n">
        <v>0</v>
      </c>
      <c r="P264" s="667" t="n"/>
      <c r="Q264" s="249" t="inlineStr">
        <is>
          <t>3/3 買進1口</t>
        </is>
      </c>
      <c r="R264" s="249" t="inlineStr">
        <is>
          <t>Yes</t>
        </is>
      </c>
      <c r="S264" s="249" t="n"/>
      <c r="T264" s="61">
        <f>IF(AND(R264="Yes",S264&lt;&gt;"Yes",L264&gt;0,B264&lt;&gt;"TXO"),L264,"")</f>
        <v/>
      </c>
      <c r="U264" s="61">
        <f>IF(AND(R264="Yes",S264&lt;&gt;"Yes",L264&lt;0,B264&lt;&gt;"TXO"),L264,"")</f>
        <v/>
      </c>
      <c r="V264" s="61">
        <f>IF(AND(R264="",S264&lt;&gt;"Yes",L264&gt;0,B264&lt;&gt;"TXO"),L264,"")</f>
        <v/>
      </c>
      <c r="W264" s="61">
        <f>IF(AND(R264="",S264&lt;&gt;"Yes",L264&lt;0,B264&lt;&gt;"TXO"),L264,"")</f>
        <v/>
      </c>
      <c r="X264" s="226">
        <f>IF(AND(R264="Yes",S264="Yes",L264&gt;0,B264&lt;&gt;"TXO"),L264,"")</f>
        <v/>
      </c>
      <c r="Y264" s="226">
        <f>IF(AND(R264="Yes",S264="Yes",L264&lt;0,B264&lt;&gt;"TXO"),L264,"")</f>
        <v/>
      </c>
      <c r="Z264" s="226">
        <f>IF(AND(R264="",S264="Yes",L264&gt;0,B264&lt;&gt;"TXO"),L264,"")</f>
        <v/>
      </c>
      <c r="AA264" s="226">
        <f>IF(AND(R264="",S264="Yes",L264&lt;0,B264&lt;&gt;"TXO"),L264,"")</f>
        <v/>
      </c>
    </row>
    <row r="265" outlineLevel="1">
      <c r="A265" s="696" t="n">
        <v>43608</v>
      </c>
      <c r="B265" s="234" t="inlineStr">
        <is>
          <t>FIMTX</t>
        </is>
      </c>
      <c r="C265" s="229" t="inlineStr">
        <is>
          <t>小指06</t>
        </is>
      </c>
      <c r="D265" s="229" t="inlineStr">
        <is>
          <t>平倉</t>
        </is>
      </c>
      <c r="E265" s="257" t="inlineStr">
        <is>
          <t>買</t>
        </is>
      </c>
      <c r="F265" s="229" t="inlineStr">
        <is>
          <t>-</t>
        </is>
      </c>
      <c r="G265" s="697" t="n">
        <v>1</v>
      </c>
      <c r="H265" s="697" t="n">
        <v>10275</v>
      </c>
      <c r="I265" s="697" t="n">
        <v>0</v>
      </c>
      <c r="J265" s="585" t="n">
        <v>23</v>
      </c>
      <c r="K265" s="585" t="n">
        <v>10</v>
      </c>
      <c r="L265" s="585">
        <f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/>
      </c>
      <c r="M265" s="699">
        <f>L265</f>
        <v/>
      </c>
      <c r="N265" s="686">
        <f>IF(B265="TXO","",IF(D265="新倉","",IF(E265="賣",(H265-H264)*G265,(H264-H265)*G265)))</f>
        <v/>
      </c>
      <c r="O265" s="226" t="n">
        <v>0</v>
      </c>
      <c r="P265" s="667" t="n"/>
      <c r="Q265" s="249" t="inlineStr">
        <is>
          <t>元大移動式停利</t>
        </is>
      </c>
      <c r="R265" s="249" t="inlineStr">
        <is>
          <t>Yes</t>
        </is>
      </c>
      <c r="S265" s="249" t="n"/>
      <c r="T265" s="61">
        <f>IF(AND(R265="Yes",S265&lt;&gt;"Yes",L265&gt;0,B265&lt;&gt;"TXO"),L265,"")</f>
        <v/>
      </c>
      <c r="U265" s="61">
        <f>IF(AND(R265="Yes",S265&lt;&gt;"Yes",L265&lt;0,B265&lt;&gt;"TXO"),L265,"")</f>
        <v/>
      </c>
      <c r="V265" s="61">
        <f>IF(AND(R265="",S265&lt;&gt;"Yes",L265&gt;0,B265&lt;&gt;"TXO"),L265,"")</f>
        <v/>
      </c>
      <c r="W265" s="61">
        <f>IF(AND(R265="",S265&lt;&gt;"Yes",L265&lt;0,B265&lt;&gt;"TXO"),L265,"")</f>
        <v/>
      </c>
      <c r="X265" s="226">
        <f>IF(AND(R265="Yes",S265="Yes",L265&gt;0,B265&lt;&gt;"TXO"),L265,"")</f>
        <v/>
      </c>
      <c r="Y265" s="226">
        <f>IF(AND(R265="Yes",S265="Yes",L265&lt;0,B265&lt;&gt;"TXO"),L265,"")</f>
        <v/>
      </c>
      <c r="Z265" s="226">
        <f>IF(AND(R265="",S265="Yes",L265&gt;0,B265&lt;&gt;"TXO"),L265,"")</f>
        <v/>
      </c>
      <c r="AA265" s="226">
        <f>IF(AND(R265="",S265="Yes",L265&lt;0,B265&lt;&gt;"TXO"),L265,"")</f>
        <v/>
      </c>
    </row>
    <row r="266" outlineLevel="1">
      <c r="A266" s="696" t="n">
        <v>43608</v>
      </c>
      <c r="B266" s="234" t="inlineStr">
        <is>
          <t>TXO</t>
        </is>
      </c>
      <c r="C266" s="229" t="inlineStr">
        <is>
          <t>台選W5 05 10200 P</t>
        </is>
      </c>
      <c r="D266" s="229" t="inlineStr">
        <is>
          <t>新倉</t>
        </is>
      </c>
      <c r="E266" s="257" t="inlineStr">
        <is>
          <t>買</t>
        </is>
      </c>
      <c r="F266" s="229" t="inlineStr">
        <is>
          <t>-</t>
        </is>
      </c>
      <c r="G266" s="697" t="n">
        <v>1</v>
      </c>
      <c r="H266" s="697" t="n">
        <v>45</v>
      </c>
      <c r="I266" s="697" t="n">
        <v>-2250</v>
      </c>
      <c r="J266" s="585" t="n">
        <v>18</v>
      </c>
      <c r="K266" s="585" t="n">
        <v>2</v>
      </c>
      <c r="L266" s="585">
        <f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/>
      </c>
      <c r="M266" s="699">
        <f>L266</f>
        <v/>
      </c>
      <c r="N266" s="686">
        <f>IF(B266="TXO","",IF(D266="新倉","",IF(E266="賣",(H266-H265)*G266,(H265-H266)*G266)))</f>
        <v/>
      </c>
      <c r="O266" s="226" t="n">
        <v>0</v>
      </c>
      <c r="P266" s="667" t="n"/>
      <c r="S266" s="249" t="n"/>
      <c r="T266" s="61">
        <f>IF(AND(R266="Yes",S266&lt;&gt;"Yes",L266&gt;0,B266&lt;&gt;"TXO"),L266,"")</f>
        <v/>
      </c>
      <c r="U266" s="61">
        <f>IF(AND(R266="Yes",S266&lt;&gt;"Yes",L266&lt;0,B266&lt;&gt;"TXO"),L266,"")</f>
        <v/>
      </c>
      <c r="V266" s="61">
        <f>IF(AND(R266="",S266&lt;&gt;"Yes",L266&gt;0,B266&lt;&gt;"TXO"),L266,"")</f>
        <v/>
      </c>
      <c r="W266" s="61">
        <f>IF(AND(R266="",S266&lt;&gt;"Yes",L266&lt;0,B266&lt;&gt;"TXO"),L266,"")</f>
        <v/>
      </c>
      <c r="X266" s="226">
        <f>IF(AND(R266="Yes",S266="Yes",L266&gt;0,B266&lt;&gt;"TXO"),L266,"")</f>
        <v/>
      </c>
      <c r="Y266" s="226">
        <f>IF(AND(R266="Yes",S266="Yes",L266&lt;0,B266&lt;&gt;"TXO"),L266,"")</f>
        <v/>
      </c>
      <c r="Z266" s="226">
        <f>IF(AND(R266="",S266="Yes",L266&gt;0,B266&lt;&gt;"TXO"),L266,"")</f>
        <v/>
      </c>
      <c r="AA266" s="226">
        <f>IF(AND(R266="",S266="Yes",L266&lt;0,B266&lt;&gt;"TXO"),L266,"")</f>
        <v/>
      </c>
    </row>
    <row r="267">
      <c r="A267" s="740" t="n">
        <v>43615</v>
      </c>
      <c r="B267" s="299" t="inlineStr">
        <is>
          <t>FIMTX</t>
        </is>
      </c>
      <c r="C267" s="300" t="inlineStr">
        <is>
          <t>小指06</t>
        </is>
      </c>
      <c r="D267" s="300" t="inlineStr">
        <is>
          <t>新倉</t>
        </is>
      </c>
      <c r="E267" s="301" t="inlineStr">
        <is>
          <t>賣</t>
        </is>
      </c>
      <c r="F267" s="300" t="inlineStr">
        <is>
          <t>-</t>
        </is>
      </c>
      <c r="G267" s="741" t="n">
        <v>1</v>
      </c>
      <c r="H267" s="741" t="n">
        <v>10392</v>
      </c>
      <c r="I267" s="741" t="n">
        <v>0</v>
      </c>
      <c r="J267" s="742" t="n">
        <v>23</v>
      </c>
      <c r="K267" s="742" t="n">
        <v>10</v>
      </c>
      <c r="L267" s="742">
        <f>IF(B267="TXO",I267-SUM(J267:K267),IF(B267="FITX",IF(D267="新倉",-SUM(J267:K267),IF(E267="賣",(H267-H266)*G267*200-SUM(J267:K267),(H266-H267)*G267*200-SUM(J267:K267))),IF(D267="新倉",-SUM(J267:K267),IF(E267="賣",(H267-H266)*G267*50-SUM(J267:K267),(H266-H267)*G267*50-SUM(J267:K267)))))</f>
        <v/>
      </c>
      <c r="M267" s="743">
        <f>L267</f>
        <v/>
      </c>
      <c r="N267" s="686">
        <f>IF(B267="TXO","",IF(D267="新倉","",IF(E267="賣",(H267-H266)*G267,(H266-H267)*G267)))</f>
        <v/>
      </c>
      <c r="O267" s="226" t="n">
        <v>0</v>
      </c>
      <c r="P267" s="667">
        <f>SUM(L267:L268)</f>
        <v/>
      </c>
      <c r="Q267" s="249" t="inlineStr">
        <is>
          <t>3/3 買進1口</t>
        </is>
      </c>
      <c r="R267" s="249" t="inlineStr">
        <is>
          <t>Yes</t>
        </is>
      </c>
      <c r="S267" s="249" t="n"/>
      <c r="T267" s="61">
        <f>IF(AND(R267="Yes",S267&lt;&gt;"Yes",L267&gt;0,B267&lt;&gt;"TXO"),L267,"")</f>
        <v/>
      </c>
      <c r="U267" s="61">
        <f>IF(AND(R267="Yes",S267&lt;&gt;"Yes",L267&lt;0,B267&lt;&gt;"TXO"),L267,"")</f>
        <v/>
      </c>
      <c r="V267" s="61">
        <f>IF(AND(R267="",S267&lt;&gt;"Yes",L267&gt;0,B267&lt;&gt;"TXO"),L267,"")</f>
        <v/>
      </c>
      <c r="W267" s="61">
        <f>IF(AND(R267="",S267&lt;&gt;"Yes",L267&lt;0,B267&lt;&gt;"TXO"),L267,"")</f>
        <v/>
      </c>
      <c r="X267" s="226">
        <f>IF(AND(R267="Yes",S267="Yes",L267&gt;0,B267&lt;&gt;"TXO"),L267,"")</f>
        <v/>
      </c>
      <c r="Y267" s="226">
        <f>IF(AND(R267="Yes",S267="Yes",L267&lt;0,B267&lt;&gt;"TXO"),L267,"")</f>
        <v/>
      </c>
      <c r="Z267" s="226">
        <f>IF(AND(R267="",S267="Yes",L267&gt;0,B267&lt;&gt;"TXO"),L267,"")</f>
        <v/>
      </c>
      <c r="AA267" s="226">
        <f>IF(AND(R267="",S267="Yes",L267&lt;0,B267&lt;&gt;"TXO"),L267,"")</f>
        <v/>
      </c>
    </row>
    <row r="268" collapsed="1">
      <c r="A268" s="740" t="n">
        <v>43615</v>
      </c>
      <c r="B268" s="299" t="inlineStr">
        <is>
          <t>FIMTX</t>
        </is>
      </c>
      <c r="C268" s="300" t="inlineStr">
        <is>
          <t>小指06</t>
        </is>
      </c>
      <c r="D268" s="300" t="inlineStr">
        <is>
          <t>平倉</t>
        </is>
      </c>
      <c r="E268" s="301" t="inlineStr">
        <is>
          <t>買</t>
        </is>
      </c>
      <c r="F268" s="300" t="inlineStr">
        <is>
          <t>-</t>
        </is>
      </c>
      <c r="G268" s="741" t="n">
        <v>1</v>
      </c>
      <c r="H268" s="741" t="n">
        <v>10400</v>
      </c>
      <c r="I268" s="741" t="n">
        <v>0</v>
      </c>
      <c r="J268" s="742" t="n">
        <v>23</v>
      </c>
      <c r="K268" s="742" t="n">
        <v>10</v>
      </c>
      <c r="L268" s="742">
        <f>IF(B268="TXO",I268-SUM(J268:K268),IF(B268="FITX",IF(D268="新倉",-SUM(J268:K268),IF(E268="賣",(H268-H267)*G268*200-SUM(J268:K268),(H267-H268)*G268*200-SUM(J268:K268))),IF(D268="新倉",-SUM(J268:K268),IF(E268="賣",(H268-H267)*G268*50-SUM(J268:K268),(H267-H268)*G268*50-SUM(J268:K268)))))</f>
        <v/>
      </c>
      <c r="M268" s="743">
        <f>L268</f>
        <v/>
      </c>
      <c r="N268" s="686">
        <f>IF(B268="TXO","",IF(D268="新倉","",IF(E268="賣",(H268-H267)*G268,(H267-H268)*G268)))</f>
        <v/>
      </c>
      <c r="O268" s="226" t="n">
        <v>0</v>
      </c>
      <c r="P268" s="667" t="n"/>
      <c r="Q268" s="249" t="inlineStr">
        <is>
          <t>技法: 碰10MA出場(停損)</t>
        </is>
      </c>
      <c r="R268" s="249" t="inlineStr">
        <is>
          <t>Yes</t>
        </is>
      </c>
      <c r="S268" s="249" t="n"/>
      <c r="T268" s="61">
        <f>IF(AND(R268="Yes",S268&lt;&gt;"Yes",L268&gt;0,B268&lt;&gt;"TXO"),L268,"")</f>
        <v/>
      </c>
      <c r="U268" s="61">
        <f>IF(AND(R268="Yes",S268&lt;&gt;"Yes",L268&lt;0,B268&lt;&gt;"TXO"),L268,"")</f>
        <v/>
      </c>
      <c r="V268" s="61">
        <f>IF(AND(R268="",S268&lt;&gt;"Yes",L268&gt;0,B268&lt;&gt;"TXO"),L268,"")</f>
        <v/>
      </c>
      <c r="W268" s="61">
        <f>IF(AND(R268="",S268&lt;&gt;"Yes",L268&lt;0,B268&lt;&gt;"TXO"),L268,"")</f>
        <v/>
      </c>
      <c r="X268" s="226">
        <f>IF(AND(R268="Yes",S268="Yes",L268&gt;0,B268&lt;&gt;"TXO"),L268,"")</f>
        <v/>
      </c>
      <c r="Y268" s="226">
        <f>IF(AND(R268="Yes",S268="Yes",L268&lt;0,B268&lt;&gt;"TXO"),L268,"")</f>
        <v/>
      </c>
      <c r="Z268" s="226">
        <f>IF(AND(R268="",S268="Yes",L268&gt;0,B268&lt;&gt;"TXO"),L268,"")</f>
        <v/>
      </c>
      <c r="AA268" s="226">
        <f>IF(AND(R268="",S268="Yes",L268&lt;0,B268&lt;&gt;"TXO"),L268,"")</f>
        <v/>
      </c>
    </row>
    <row r="269">
      <c r="A269" s="696" t="n">
        <v>43616</v>
      </c>
      <c r="B269" s="234" t="inlineStr">
        <is>
          <t>FIMTX</t>
        </is>
      </c>
      <c r="C269" s="229" t="inlineStr">
        <is>
          <t>小指06</t>
        </is>
      </c>
      <c r="D269" s="229" t="inlineStr">
        <is>
          <t>新倉</t>
        </is>
      </c>
      <c r="E269" s="257" t="inlineStr">
        <is>
          <t>賣</t>
        </is>
      </c>
      <c r="F269" s="229" t="inlineStr">
        <is>
          <t>-</t>
        </is>
      </c>
      <c r="G269" s="697" t="n">
        <v>1</v>
      </c>
      <c r="H269" s="697" t="n">
        <v>10381</v>
      </c>
      <c r="I269" s="697" t="n">
        <v>0</v>
      </c>
      <c r="J269" s="585" t="n">
        <v>23</v>
      </c>
      <c r="K269" s="585" t="n">
        <v>10</v>
      </c>
      <c r="L269" s="585">
        <f>IF(B269="TXO",I269-SUM(J269:K269),IF(B269="FITX",IF(D269="新倉",-SUM(J269:K269),IF(E269="賣",(H269-H268)*G269*200-SUM(J269:K269),(H268-H269)*G269*200-SUM(J269:K269))),IF(D269="新倉",-SUM(J269:K269),IF(E269="賣",(H269-H268)*G269*50-SUM(J269:K269),(H268-H269)*G269*50-SUM(J269:K269)))))</f>
        <v/>
      </c>
      <c r="M269" s="699">
        <f>L269</f>
        <v/>
      </c>
      <c r="N269" s="686">
        <f>IF(B269="TXO","",IF(D269="新倉","",IF(E269="賣",(H269-H268)*G269,(H268-H269)*G269)))</f>
        <v/>
      </c>
      <c r="O269" s="226" t="n">
        <v>0</v>
      </c>
      <c r="P269" s="667">
        <f>SUM(L269:L274)</f>
        <v/>
      </c>
      <c r="Q269" s="249" t="inlineStr">
        <is>
          <t>3/3 買進1口</t>
        </is>
      </c>
      <c r="R269" s="249" t="inlineStr">
        <is>
          <t>Yes</t>
        </is>
      </c>
      <c r="S269" s="249" t="n"/>
      <c r="T269" s="61">
        <f>IF(AND(R269="Yes",S269&lt;&gt;"Yes",L269&gt;0,B269&lt;&gt;"TXO"),L269,"")</f>
        <v/>
      </c>
      <c r="U269" s="61">
        <f>IF(AND(R269="Yes",S269&lt;&gt;"Yes",L269&lt;0,B269&lt;&gt;"TXO"),L269,"")</f>
        <v/>
      </c>
      <c r="V269" s="61">
        <f>IF(AND(R269="",S269&lt;&gt;"Yes",L269&gt;0,B269&lt;&gt;"TXO"),L269,"")</f>
        <v/>
      </c>
      <c r="W269" s="61">
        <f>IF(AND(R269="",S269&lt;&gt;"Yes",L269&lt;0,B269&lt;&gt;"TXO"),L269,"")</f>
        <v/>
      </c>
      <c r="X269" s="226">
        <f>IF(AND(R269="Yes",S269="Yes",L269&gt;0,B269&lt;&gt;"TXO"),L269,"")</f>
        <v/>
      </c>
      <c r="Y269" s="226">
        <f>IF(AND(R269="Yes",S269="Yes",L269&lt;0,B269&lt;&gt;"TXO"),L269,"")</f>
        <v/>
      </c>
      <c r="Z269" s="226">
        <f>IF(AND(R269="",S269="Yes",L269&gt;0,B269&lt;&gt;"TXO"),L269,"")</f>
        <v/>
      </c>
      <c r="AA269" s="226">
        <f>IF(AND(R269="",S269="Yes",L269&lt;0,B269&lt;&gt;"TXO"),L269,"")</f>
        <v/>
      </c>
    </row>
    <row r="270" outlineLevel="1">
      <c r="A270" s="696" t="n">
        <v>43616</v>
      </c>
      <c r="B270" s="234" t="inlineStr">
        <is>
          <t>FIMTX</t>
        </is>
      </c>
      <c r="C270" s="229" t="inlineStr">
        <is>
          <t>小指06</t>
        </is>
      </c>
      <c r="D270" s="229" t="inlineStr">
        <is>
          <t>平倉</t>
        </is>
      </c>
      <c r="E270" s="257" t="inlineStr">
        <is>
          <t>買</t>
        </is>
      </c>
      <c r="F270" s="229" t="inlineStr">
        <is>
          <t>-</t>
        </is>
      </c>
      <c r="G270" s="697" t="n">
        <v>1</v>
      </c>
      <c r="H270" s="697" t="n">
        <v>10382</v>
      </c>
      <c r="I270" s="697" t="n">
        <v>0</v>
      </c>
      <c r="J270" s="585" t="n">
        <v>23</v>
      </c>
      <c r="K270" s="585" t="n">
        <v>10</v>
      </c>
      <c r="L270" s="585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/>
      </c>
      <c r="M270" s="699">
        <f>L270</f>
        <v/>
      </c>
      <c r="N270" s="686">
        <f>IF(B270="TXO","",IF(D270="新倉","",IF(E270="賣",(H270-H269)*G270,(H269-H270)*G270)))</f>
        <v/>
      </c>
      <c r="O270" s="226" t="n">
        <v>0</v>
      </c>
      <c r="P270" s="667" t="n"/>
      <c r="Q270" s="249" t="inlineStr">
        <is>
          <t>技法: 15點停損</t>
        </is>
      </c>
      <c r="R270" s="249" t="inlineStr">
        <is>
          <t>Yes</t>
        </is>
      </c>
      <c r="S270" s="249" t="n"/>
      <c r="T270" s="61">
        <f>IF(AND(R270="Yes",S270&lt;&gt;"Yes",L270&gt;0,B270&lt;&gt;"TXO"),L270,"")</f>
        <v/>
      </c>
      <c r="U270" s="61">
        <f>IF(AND(R270="Yes",S270&lt;&gt;"Yes",L270&lt;0,B270&lt;&gt;"TXO"),L270,"")</f>
        <v/>
      </c>
      <c r="V270" s="61">
        <f>IF(AND(R270="",S270&lt;&gt;"Yes",L270&gt;0,B270&lt;&gt;"TXO"),L270,"")</f>
        <v/>
      </c>
      <c r="W270" s="61">
        <f>IF(AND(R270="",S270&lt;&gt;"Yes",L270&lt;0,B270&lt;&gt;"TXO"),L270,"")</f>
        <v/>
      </c>
      <c r="X270" s="226">
        <f>IF(AND(R270="Yes",S270="Yes",L270&gt;0,B270&lt;&gt;"TXO"),L270,"")</f>
        <v/>
      </c>
      <c r="Y270" s="226">
        <f>IF(AND(R270="Yes",S270="Yes",L270&lt;0,B270&lt;&gt;"TXO"),L270,"")</f>
        <v/>
      </c>
      <c r="Z270" s="226">
        <f>IF(AND(R270="",S270="Yes",L270&gt;0,B270&lt;&gt;"TXO"),L270,"")</f>
        <v/>
      </c>
      <c r="AA270" s="226">
        <f>IF(AND(R270="",S270="Yes",L270&lt;0,B270&lt;&gt;"TXO"),L270,"")</f>
        <v/>
      </c>
    </row>
    <row r="271" outlineLevel="1">
      <c r="A271" s="696" t="n">
        <v>43616</v>
      </c>
      <c r="B271" s="234" t="inlineStr">
        <is>
          <t>FIMTX</t>
        </is>
      </c>
      <c r="C271" s="229" t="inlineStr">
        <is>
          <t>小指06</t>
        </is>
      </c>
      <c r="D271" s="229" t="inlineStr">
        <is>
          <t>新倉</t>
        </is>
      </c>
      <c r="E271" s="257" t="inlineStr">
        <is>
          <t>買</t>
        </is>
      </c>
      <c r="F271" s="229" t="inlineStr">
        <is>
          <t>-</t>
        </is>
      </c>
      <c r="G271" s="697" t="n">
        <v>1</v>
      </c>
      <c r="H271" s="697" t="n">
        <v>10382</v>
      </c>
      <c r="I271" s="697" t="n">
        <v>0</v>
      </c>
      <c r="J271" s="585" t="n">
        <v>23</v>
      </c>
      <c r="K271" s="585" t="n">
        <v>10</v>
      </c>
      <c r="L271" s="585">
        <f>IF(B271="TXO",I271-SUM(J271:K271),IF(B271="FITX",IF(D271="新倉",-SUM(J271:K271),IF(E271="賣",(H271-H270)*G271*200-SUM(J271:K271),(H270-H271)*G271*200-SUM(J271:K271))),IF(D271="新倉",-SUM(J271:K271),IF(E271="賣",(H271-H270)*G271*50-SUM(J271:K271),(H270-H271)*G271*50-SUM(J271:K271)))))</f>
        <v/>
      </c>
      <c r="M271" s="699">
        <f>L271</f>
        <v/>
      </c>
      <c r="N271" s="686">
        <f>IF(B271="TXO","",IF(D271="新倉","",IF(E271="賣",(H271-H270)*G271,(H270-H271)*G271)))</f>
        <v/>
      </c>
      <c r="O271" s="226" t="n">
        <v>0</v>
      </c>
      <c r="P271" s="667" t="n"/>
      <c r="Q271" s="249" t="inlineStr">
        <is>
          <t>3/3 買進1口</t>
        </is>
      </c>
      <c r="R271" s="249" t="inlineStr">
        <is>
          <t>Yes</t>
        </is>
      </c>
      <c r="S271" s="249" t="n"/>
      <c r="T271" s="61">
        <f>IF(AND(R271="Yes",S271&lt;&gt;"Yes",L271&gt;0,B271&lt;&gt;"TXO"),L271,"")</f>
        <v/>
      </c>
      <c r="U271" s="61">
        <f>IF(AND(R271="Yes",S271&lt;&gt;"Yes",L271&lt;0,B271&lt;&gt;"TXO"),L271,"")</f>
        <v/>
      </c>
      <c r="V271" s="61">
        <f>IF(AND(R271="",S271&lt;&gt;"Yes",L271&gt;0,B271&lt;&gt;"TXO"),L271,"")</f>
        <v/>
      </c>
      <c r="W271" s="61">
        <f>IF(AND(R271="",S271&lt;&gt;"Yes",L271&lt;0,B271&lt;&gt;"TXO"),L271,"")</f>
        <v/>
      </c>
      <c r="X271" s="226">
        <f>IF(AND(R271="Yes",S271="Yes",L271&gt;0,B271&lt;&gt;"TXO"),L271,"")</f>
        <v/>
      </c>
      <c r="Y271" s="226">
        <f>IF(AND(R271="Yes",S271="Yes",L271&lt;0,B271&lt;&gt;"TXO"),L271,"")</f>
        <v/>
      </c>
      <c r="Z271" s="226">
        <f>IF(AND(R271="",S271="Yes",L271&gt;0,B271&lt;&gt;"TXO"),L271,"")</f>
        <v/>
      </c>
      <c r="AA271" s="226">
        <f>IF(AND(R271="",S271="Yes",L271&lt;0,B271&lt;&gt;"TXO"),L271,"")</f>
        <v/>
      </c>
    </row>
    <row r="272" outlineLevel="1">
      <c r="A272" s="696" t="n">
        <v>43616</v>
      </c>
      <c r="B272" s="234" t="inlineStr">
        <is>
          <t>FIMTX</t>
        </is>
      </c>
      <c r="C272" s="229" t="inlineStr">
        <is>
          <t>小指06</t>
        </is>
      </c>
      <c r="D272" s="229" t="inlineStr">
        <is>
          <t>平倉</t>
        </is>
      </c>
      <c r="E272" s="257" t="inlineStr">
        <is>
          <t>賣</t>
        </is>
      </c>
      <c r="F272" s="229" t="inlineStr">
        <is>
          <t>-</t>
        </is>
      </c>
      <c r="G272" s="697" t="n">
        <v>1</v>
      </c>
      <c r="H272" s="697" t="n">
        <v>10391</v>
      </c>
      <c r="I272" s="697" t="n">
        <v>0</v>
      </c>
      <c r="J272" s="585" t="n">
        <v>23</v>
      </c>
      <c r="K272" s="585" t="n">
        <v>10</v>
      </c>
      <c r="L272" s="585">
        <f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/>
      </c>
      <c r="M272" s="699">
        <f>L272</f>
        <v/>
      </c>
      <c r="N272" s="686">
        <f>IF(B272="TXO","",IF(D272="新倉","",IF(E272="賣",(H272-H271)*G272,(H271-H272)*G272)))</f>
        <v/>
      </c>
      <c r="O272" s="226" t="n">
        <v>0</v>
      </c>
      <c r="P272" s="667" t="n"/>
      <c r="Q272" s="249" t="inlineStr">
        <is>
          <t>元大移動式停利</t>
        </is>
      </c>
      <c r="R272" s="249" t="inlineStr">
        <is>
          <t>Yes</t>
        </is>
      </c>
      <c r="S272" s="249" t="n"/>
      <c r="T272" s="61">
        <f>IF(AND(R272="Yes",S272&lt;&gt;"Yes",L272&gt;0,B272&lt;&gt;"TXO"),L272,"")</f>
        <v/>
      </c>
      <c r="U272" s="61">
        <f>IF(AND(R272="Yes",S272&lt;&gt;"Yes",L272&lt;0,B272&lt;&gt;"TXO"),L272,"")</f>
        <v/>
      </c>
      <c r="V272" s="61">
        <f>IF(AND(R272="",S272&lt;&gt;"Yes",L272&gt;0,B272&lt;&gt;"TXO"),L272,"")</f>
        <v/>
      </c>
      <c r="W272" s="61">
        <f>IF(AND(R272="",S272&lt;&gt;"Yes",L272&lt;0,B272&lt;&gt;"TXO"),L272,"")</f>
        <v/>
      </c>
      <c r="X272" s="226">
        <f>IF(AND(R272="Yes",S272="Yes",L272&gt;0,B272&lt;&gt;"TXO"),L272,"")</f>
        <v/>
      </c>
      <c r="Y272" s="226">
        <f>IF(AND(R272="Yes",S272="Yes",L272&lt;0,B272&lt;&gt;"TXO"),L272,"")</f>
        <v/>
      </c>
      <c r="Z272" s="226">
        <f>IF(AND(R272="",S272="Yes",L272&gt;0,B272&lt;&gt;"TXO"),L272,"")</f>
        <v/>
      </c>
      <c r="AA272" s="226">
        <f>IF(AND(R272="",S272="Yes",L272&lt;0,B272&lt;&gt;"TXO"),L272,"")</f>
        <v/>
      </c>
    </row>
    <row r="273" outlineLevel="1">
      <c r="A273" s="696" t="n">
        <v>43616</v>
      </c>
      <c r="B273" s="234" t="inlineStr">
        <is>
          <t>FIMTX</t>
        </is>
      </c>
      <c r="C273" s="229" t="inlineStr">
        <is>
          <t>小指06</t>
        </is>
      </c>
      <c r="D273" s="229" t="inlineStr">
        <is>
          <t>新倉</t>
        </is>
      </c>
      <c r="E273" s="257" t="inlineStr">
        <is>
          <t>買</t>
        </is>
      </c>
      <c r="F273" s="229" t="inlineStr">
        <is>
          <t>-</t>
        </is>
      </c>
      <c r="G273" s="697" t="n">
        <v>1</v>
      </c>
      <c r="H273" s="697" t="n">
        <v>10432</v>
      </c>
      <c r="I273" s="697" t="n">
        <v>0</v>
      </c>
      <c r="J273" s="585" t="n">
        <v>23</v>
      </c>
      <c r="K273" s="585" t="n">
        <v>10</v>
      </c>
      <c r="L273" s="585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/>
      </c>
      <c r="M273" s="699">
        <f>L273</f>
        <v/>
      </c>
      <c r="N273" s="686">
        <f>IF(B273="TXO","",IF(D273="新倉","",IF(E273="賣",(H273-H272)*G273,(H272-H273)*G273)))</f>
        <v/>
      </c>
      <c r="O273" s="226" t="n">
        <v>0</v>
      </c>
      <c r="P273" s="667" t="n"/>
      <c r="Q273" s="249" t="inlineStr">
        <is>
          <t>3/3 買進1口</t>
        </is>
      </c>
      <c r="R273" s="249" t="inlineStr">
        <is>
          <t>Yes</t>
        </is>
      </c>
      <c r="S273" s="249" t="n"/>
      <c r="T273" s="61">
        <f>IF(AND(R273="Yes",S273&lt;&gt;"Yes",L273&gt;0,B273&lt;&gt;"TXO"),L273,"")</f>
        <v/>
      </c>
      <c r="U273" s="61">
        <f>IF(AND(R273="Yes",S273&lt;&gt;"Yes",L273&lt;0,B273&lt;&gt;"TXO"),L273,"")</f>
        <v/>
      </c>
      <c r="V273" s="61">
        <f>IF(AND(R273="",S273&lt;&gt;"Yes",L273&gt;0,B273&lt;&gt;"TXO"),L273,"")</f>
        <v/>
      </c>
      <c r="W273" s="61">
        <f>IF(AND(R273="",S273&lt;&gt;"Yes",L273&lt;0,B273&lt;&gt;"TXO"),L273,"")</f>
        <v/>
      </c>
      <c r="X273" s="226">
        <f>IF(AND(R273="Yes",S273="Yes",L273&gt;0,B273&lt;&gt;"TXO"),L273,"")</f>
        <v/>
      </c>
      <c r="Y273" s="226">
        <f>IF(AND(R273="Yes",S273="Yes",L273&lt;0,B273&lt;&gt;"TXO"),L273,"")</f>
        <v/>
      </c>
      <c r="Z273" s="226">
        <f>IF(AND(R273="",S273="Yes",L273&gt;0,B273&lt;&gt;"TXO"),L273,"")</f>
        <v/>
      </c>
      <c r="AA273" s="226">
        <f>IF(AND(R273="",S273="Yes",L273&lt;0,B273&lt;&gt;"TXO"),L273,"")</f>
        <v/>
      </c>
    </row>
    <row r="274" outlineLevel="1" ht="17.25" customHeight="1" thickBot="1">
      <c r="A274" s="696" t="n">
        <v>43616</v>
      </c>
      <c r="B274" s="234" t="inlineStr">
        <is>
          <t>FIMTX</t>
        </is>
      </c>
      <c r="C274" s="229" t="inlineStr">
        <is>
          <t>小指06</t>
        </is>
      </c>
      <c r="D274" s="229" t="inlineStr">
        <is>
          <t>平倉</t>
        </is>
      </c>
      <c r="E274" s="257" t="inlineStr">
        <is>
          <t>賣</t>
        </is>
      </c>
      <c r="F274" s="229" t="inlineStr">
        <is>
          <t>-</t>
        </is>
      </c>
      <c r="G274" s="697" t="n">
        <v>1</v>
      </c>
      <c r="H274" s="697" t="n">
        <v>10452</v>
      </c>
      <c r="I274" s="697" t="n">
        <v>0</v>
      </c>
      <c r="J274" s="585" t="n">
        <v>23</v>
      </c>
      <c r="K274" s="585" t="n">
        <v>10</v>
      </c>
      <c r="L274" s="585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/>
      </c>
      <c r="M274" s="699">
        <f>L274</f>
        <v/>
      </c>
      <c r="N274" s="686">
        <f>IF(B274="TXO","",IF(D274="新倉","",IF(E274="賣",(H274-H273)*G274,(H273-H274)*G274)))</f>
        <v/>
      </c>
      <c r="O274" s="226" t="n">
        <v>0</v>
      </c>
      <c r="P274" s="667" t="n"/>
      <c r="Q274" s="249" t="inlineStr">
        <is>
          <t>元大移動式停利</t>
        </is>
      </c>
      <c r="R274" s="249" t="inlineStr">
        <is>
          <t>Yes</t>
        </is>
      </c>
      <c r="S274" s="249" t="n"/>
      <c r="T274" s="61">
        <f>IF(AND(R274="Yes",S274&lt;&gt;"Yes",L274&gt;0,B274&lt;&gt;"TXO"),L274,"")</f>
        <v/>
      </c>
      <c r="U274" s="61">
        <f>IF(AND(R274="Yes",S274&lt;&gt;"Yes",L274&lt;0,B274&lt;&gt;"TXO"),L274,"")</f>
        <v/>
      </c>
      <c r="V274" s="61">
        <f>IF(AND(R274="",S274&lt;&gt;"Yes",L274&gt;0,B274&lt;&gt;"TXO"),L274,"")</f>
        <v/>
      </c>
      <c r="W274" s="61">
        <f>IF(AND(R274="",S274&lt;&gt;"Yes",L274&lt;0,B274&lt;&gt;"TXO"),L274,"")</f>
        <v/>
      </c>
      <c r="X274" s="226">
        <f>IF(AND(R274="Yes",S274="Yes",L274&gt;0,B274&lt;&gt;"TXO"),L274,"")</f>
        <v/>
      </c>
      <c r="Y274" s="226">
        <f>IF(AND(R274="Yes",S274="Yes",L274&lt;0,B274&lt;&gt;"TXO"),L274,"")</f>
        <v/>
      </c>
      <c r="Z274" s="226">
        <f>IF(AND(R274="",S274="Yes",L274&gt;0,B274&lt;&gt;"TXO"),L274,"")</f>
        <v/>
      </c>
      <c r="AA274" s="226">
        <f>IF(AND(R274="",S274="Yes",L274&lt;0,B274&lt;&gt;"TXO"),L274,"")</f>
        <v/>
      </c>
    </row>
    <row r="275" collapsed="1" ht="17.25" customHeight="1" thickBot="1">
      <c r="A275" s="273" t="inlineStr">
        <is>
          <t>5月總計</t>
        </is>
      </c>
      <c r="B275" s="274" t="n"/>
      <c r="C275" s="274" t="n"/>
      <c r="D275" s="274" t="n"/>
      <c r="E275" s="274" t="n"/>
      <c r="F275" s="274" t="n"/>
      <c r="G275" s="715" t="n"/>
      <c r="H275" s="715" t="n"/>
      <c r="I275" s="715" t="n"/>
      <c r="J275" s="716" t="n"/>
      <c r="K275" s="715" t="n"/>
      <c r="L275" s="717">
        <f>SUM(L225:L274)</f>
        <v/>
      </c>
      <c r="M275" s="717">
        <f>SUM(M226:M274)</f>
        <v/>
      </c>
      <c r="N275" s="666" t="n"/>
      <c r="P275" s="744" t="n"/>
      <c r="R275" s="717">
        <f>SUMIF(R226:R274,"Yes",L226:L274)</f>
        <v/>
      </c>
      <c r="S275" s="739" t="n"/>
      <c r="T275" s="226">
        <f>SUM(T226:T274)</f>
        <v/>
      </c>
      <c r="U275" s="226">
        <f>SUM(U226:U274)</f>
        <v/>
      </c>
      <c r="V275" s="226">
        <f>SUM(V226:V274)</f>
        <v/>
      </c>
      <c r="W275" s="226">
        <f>SUM(W226:W274)</f>
        <v/>
      </c>
      <c r="X275" s="226">
        <f>SUM(X226:X274)</f>
        <v/>
      </c>
      <c r="Y275" s="226">
        <f>SUM(Y226:Y274)</f>
        <v/>
      </c>
      <c r="Z275" s="226">
        <f>SUM(Z226:Z274)</f>
        <v/>
      </c>
      <c r="AA275" s="226">
        <f>SUM(AA226:AA274)</f>
        <v/>
      </c>
    </row>
    <row r="276" ht="17.25" customHeight="1" thickBot="1">
      <c r="A276" s="718" t="n">
        <v>43624</v>
      </c>
      <c r="B276" s="292" t="n"/>
      <c r="C276" s="292" t="inlineStr">
        <is>
          <t>2019 飆股技巧籌碼心魔班</t>
        </is>
      </c>
      <c r="D276" s="292" t="n"/>
      <c r="E276" s="292" t="n"/>
      <c r="F276" s="292" t="n"/>
      <c r="G276" s="719" t="n"/>
      <c r="H276" s="719" t="n"/>
      <c r="I276" s="719" t="n"/>
      <c r="J276" s="720" t="n"/>
      <c r="K276" s="719" t="n"/>
      <c r="L276" s="720" t="n"/>
      <c r="M276" s="721">
        <f>-4457*0.965</f>
        <v/>
      </c>
      <c r="N276" s="666" t="n"/>
      <c r="P276" s="722" t="n"/>
      <c r="Q276" s="249" t="inlineStr">
        <is>
          <t>13000分6期, 每期2166, 6-6</t>
        </is>
      </c>
      <c r="R276" s="226" t="n"/>
    </row>
    <row r="277">
      <c r="A277" s="696" t="n">
        <v>43627</v>
      </c>
      <c r="B277" s="234" t="inlineStr">
        <is>
          <t>TXO</t>
        </is>
      </c>
      <c r="C277" s="229" t="inlineStr">
        <is>
          <t>TXOW2 06 10700 C</t>
        </is>
      </c>
      <c r="D277" s="229" t="inlineStr">
        <is>
          <t>新倉</t>
        </is>
      </c>
      <c r="E277" s="257" t="inlineStr">
        <is>
          <t>買</t>
        </is>
      </c>
      <c r="F277" s="229" t="inlineStr">
        <is>
          <t>-</t>
        </is>
      </c>
      <c r="G277" s="697" t="n">
        <v>1</v>
      </c>
      <c r="H277" s="697" t="n">
        <v>1.5</v>
      </c>
      <c r="I277" s="697" t="n">
        <v>-75</v>
      </c>
      <c r="J277" s="585" t="n">
        <v>18</v>
      </c>
      <c r="K277" s="585" t="n">
        <v>0</v>
      </c>
      <c r="L277" s="585">
        <f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/>
      </c>
      <c r="M277" s="699">
        <f>L277</f>
        <v/>
      </c>
      <c r="N277" s="686">
        <f>IF(B277="TXO","",IF(D277="新倉","",IF(E277="賣",(H277-#REF!)*G277,(#REF!-H277)*G277)))</f>
        <v/>
      </c>
      <c r="O277" s="226" t="n">
        <v>0</v>
      </c>
      <c r="P277" s="667">
        <f>SUM(L277:L280)</f>
        <v/>
      </c>
      <c r="R277" s="249" t="inlineStr">
        <is>
          <t>Yes</t>
        </is>
      </c>
      <c r="S277" s="249" t="n"/>
      <c r="T277" s="61">
        <f>IF(AND(R277="Yes",S277&lt;&gt;"Yes",L277&gt;0,B277&lt;&gt;"TXO"),L277,"")</f>
        <v/>
      </c>
      <c r="U277" s="61">
        <f>IF(AND(R277="Yes",S277&lt;&gt;"Yes",L277&lt;0,B277&lt;&gt;"TXO"),L277,"")</f>
        <v/>
      </c>
      <c r="V277" s="61">
        <f>IF(AND(R277="",S277&lt;&gt;"Yes",L277&gt;0,B277&lt;&gt;"TXO"),L277,"")</f>
        <v/>
      </c>
      <c r="W277" s="61">
        <f>IF(AND(R277="",S277&lt;&gt;"Yes",L277&lt;0,B277&lt;&gt;"TXO"),L277,"")</f>
        <v/>
      </c>
      <c r="X277" s="226">
        <f>IF(AND(R277="Yes",S277="Yes",L277&gt;0,B277&lt;&gt;"TXO"),L277,"")</f>
        <v/>
      </c>
      <c r="Y277" s="226">
        <f>IF(AND(R277="Yes",S277="Yes",L277&lt;0,B277&lt;&gt;"TXO"),L277,"")</f>
        <v/>
      </c>
      <c r="Z277" s="226">
        <f>IF(AND(R277="",S277="Yes",L277&gt;0,B277&lt;&gt;"TXO"),L277,"")</f>
        <v/>
      </c>
      <c r="AA277" s="226">
        <f>IF(AND(R277="",S277="Yes",L277&lt;0,B277&lt;&gt;"TXO"),L277,"")</f>
        <v/>
      </c>
    </row>
    <row r="278">
      <c r="A278" s="696" t="n">
        <v>43627</v>
      </c>
      <c r="B278" s="234" t="inlineStr">
        <is>
          <t>TXO</t>
        </is>
      </c>
      <c r="C278" s="229" t="inlineStr">
        <is>
          <t>TXOW2 06 10700 C</t>
        </is>
      </c>
      <c r="D278" s="229" t="inlineStr">
        <is>
          <t>平倉</t>
        </is>
      </c>
      <c r="E278" s="257" t="inlineStr">
        <is>
          <t>賣</t>
        </is>
      </c>
      <c r="F278" s="229" t="inlineStr">
        <is>
          <t>-</t>
        </is>
      </c>
      <c r="G278" s="697" t="n">
        <v>1</v>
      </c>
      <c r="H278" s="697" t="n">
        <v>2.6</v>
      </c>
      <c r="I278" s="697" t="n">
        <v>130</v>
      </c>
      <c r="J278" s="585" t="n">
        <v>18</v>
      </c>
      <c r="K278" s="585" t="n">
        <v>0</v>
      </c>
      <c r="L278" s="585">
        <f>IF(B278="TXO",I278-SUM(J278:K278),IF(B278="FITX",IF(D278="新倉",-SUM(J278:K278),IF(E278="賣",(H278-H277)*G278*200-SUM(J278:K278),(H277-H278)*G278*200-SUM(J278:K278))),IF(D278="新倉",-SUM(J278:K278),IF(E278="賣",(H278-H277)*G278*50-SUM(J278:K278),(H277-H278)*G278*50-SUM(J278:K278)))))</f>
        <v/>
      </c>
      <c r="M278" s="699">
        <f>L278</f>
        <v/>
      </c>
      <c r="N278" s="686">
        <f>IF(B278="TXO","",IF(D278="新倉","",IF(E278="賣",(H278-H277)*G278,(H277-H278)*G278)))</f>
        <v/>
      </c>
      <c r="O278" s="226" t="n">
        <v>0</v>
      </c>
      <c r="P278" s="667" t="n"/>
      <c r="R278" s="249" t="inlineStr">
        <is>
          <t>Yes</t>
        </is>
      </c>
      <c r="S278" s="249" t="n"/>
      <c r="T278" s="61">
        <f>IF(AND(R278="Yes",S278&lt;&gt;"Yes",L278&gt;0,B278&lt;&gt;"TXO"),L278,"")</f>
        <v/>
      </c>
      <c r="U278" s="61">
        <f>IF(AND(R278="Yes",S278&lt;&gt;"Yes",L278&lt;0,B278&lt;&gt;"TXO"),L278,"")</f>
        <v/>
      </c>
      <c r="V278" s="61">
        <f>IF(AND(R278="",S278&lt;&gt;"Yes",L278&gt;0,B278&lt;&gt;"TXO"),L278,"")</f>
        <v/>
      </c>
      <c r="W278" s="61">
        <f>IF(AND(R278="",S278&lt;&gt;"Yes",L278&lt;0,B278&lt;&gt;"TXO"),L278,"")</f>
        <v/>
      </c>
      <c r="X278" s="226">
        <f>IF(AND(R278="Yes",S278="Yes",L278&gt;0,B278&lt;&gt;"TXO"),L278,"")</f>
        <v/>
      </c>
      <c r="Y278" s="226">
        <f>IF(AND(R278="Yes",S278="Yes",L278&lt;0,B278&lt;&gt;"TXO"),L278,"")</f>
        <v/>
      </c>
      <c r="Z278" s="226">
        <f>IF(AND(R278="",S278="Yes",L278&gt;0,B278&lt;&gt;"TXO"),L278,"")</f>
        <v/>
      </c>
      <c r="AA278" s="226">
        <f>IF(AND(R278="",S278="Yes",L278&lt;0,B278&lt;&gt;"TXO"),L278,"")</f>
        <v/>
      </c>
    </row>
    <row r="279">
      <c r="A279" s="696" t="n">
        <v>43627</v>
      </c>
      <c r="B279" s="234" t="inlineStr">
        <is>
          <t>TXO</t>
        </is>
      </c>
      <c r="C279" s="229" t="inlineStr">
        <is>
          <t>TXOW2 06 10650 C</t>
        </is>
      </c>
      <c r="D279" s="229" t="inlineStr">
        <is>
          <t>新倉</t>
        </is>
      </c>
      <c r="E279" s="257" t="inlineStr">
        <is>
          <t>買</t>
        </is>
      </c>
      <c r="F279" s="229" t="inlineStr">
        <is>
          <t>-</t>
        </is>
      </c>
      <c r="G279" s="697" t="n">
        <v>2</v>
      </c>
      <c r="H279" s="697" t="n">
        <v>4.8</v>
      </c>
      <c r="I279" s="697" t="n">
        <v>-480</v>
      </c>
      <c r="J279" s="585" t="n">
        <v>36</v>
      </c>
      <c r="K279" s="585" t="n">
        <v>0</v>
      </c>
      <c r="L279" s="585">
        <f>IF(B279="TXO",I279-SUM(J279:K279),IF(B279="FITX",IF(D279="新倉",-SUM(J279:K279),IF(E279="賣",(H279-H278)*G279*200-SUM(J279:K279),(H278-H279)*G279*200-SUM(J279:K279))),IF(D279="新倉",-SUM(J279:K279),IF(E279="賣",(H279-H278)*G279*50-SUM(J279:K279),(H278-H279)*G279*50-SUM(J279:K279)))))</f>
        <v/>
      </c>
      <c r="M279" s="699">
        <f>L279</f>
        <v/>
      </c>
      <c r="N279" s="686">
        <f>IF(B279="TXO","",IF(D279="新倉","",IF(E279="賣",(H279-H278)*G279,(H278-H279)*G279)))</f>
        <v/>
      </c>
      <c r="O279" s="226" t="n">
        <v>0</v>
      </c>
      <c r="P279" s="667" t="n"/>
      <c r="R279" s="249" t="inlineStr">
        <is>
          <t>Yes</t>
        </is>
      </c>
      <c r="S279" s="249" t="inlineStr">
        <is>
          <t>Yes</t>
        </is>
      </c>
      <c r="T279" s="61">
        <f>IF(AND(R279="Yes",S279&lt;&gt;"Yes",L279&gt;0,B279&lt;&gt;"TXO"),L279,"")</f>
        <v/>
      </c>
      <c r="U279" s="61">
        <f>IF(AND(R279="Yes",S279&lt;&gt;"Yes",L279&lt;0,B279&lt;&gt;"TXO"),L279,"")</f>
        <v/>
      </c>
      <c r="V279" s="61">
        <f>IF(AND(R279="",S279&lt;&gt;"Yes",L279&gt;0,B279&lt;&gt;"TXO"),L279,"")</f>
        <v/>
      </c>
      <c r="W279" s="61">
        <f>IF(AND(R279="",S279&lt;&gt;"Yes",L279&lt;0,B279&lt;&gt;"TXO"),L279,"")</f>
        <v/>
      </c>
      <c r="X279" s="226">
        <f>IF(AND(R279="Yes",S279="Yes",L279&gt;0,B279&lt;&gt;"TXO"),L279,"")</f>
        <v/>
      </c>
      <c r="Y279" s="226">
        <f>IF(AND(R279="Yes",S279="Yes",L279&lt;0,B279&lt;&gt;"TXO"),L279,"")</f>
        <v/>
      </c>
      <c r="Z279" s="226">
        <f>IF(AND(R279="",S279="Yes",L279&gt;0,B279&lt;&gt;"TXO"),L279,"")</f>
        <v/>
      </c>
      <c r="AA279" s="226">
        <f>IF(AND(R279="",S279="Yes",L279&lt;0,B279&lt;&gt;"TXO"),L279,"")</f>
        <v/>
      </c>
    </row>
    <row r="280">
      <c r="A280" s="696" t="n">
        <v>43627</v>
      </c>
      <c r="B280" s="234" t="inlineStr">
        <is>
          <t>TXO</t>
        </is>
      </c>
      <c r="C280" s="229" t="inlineStr">
        <is>
          <t>TXOW2 06 10650 C</t>
        </is>
      </c>
      <c r="D280" s="229" t="inlineStr">
        <is>
          <t>平倉</t>
        </is>
      </c>
      <c r="E280" s="257" t="inlineStr">
        <is>
          <t>賣</t>
        </is>
      </c>
      <c r="F280" s="229" t="inlineStr">
        <is>
          <t>-</t>
        </is>
      </c>
      <c r="G280" s="697" t="n">
        <v>2</v>
      </c>
      <c r="H280" s="697" t="n">
        <v>9.6</v>
      </c>
      <c r="I280" s="697" t="n">
        <v>960</v>
      </c>
      <c r="J280" s="585" t="n">
        <v>36</v>
      </c>
      <c r="K280" s="585" t="n">
        <v>0</v>
      </c>
      <c r="L280" s="585">
        <f>IF(B280="TXO",I280-SUM(J280:K280),IF(B280="FITX",IF(D280="新倉",-SUM(J280:K280),IF(E280="賣",(H280-H279)*G280*200-SUM(J280:K280),(H279-H280)*G280*200-SUM(J280:K280))),IF(D280="新倉",-SUM(J280:K280),IF(E280="賣",(H280-H279)*G280*50-SUM(J280:K280),(H279-H280)*G280*50-SUM(J280:K280)))))</f>
        <v/>
      </c>
      <c r="M280" s="699">
        <f>L280</f>
        <v/>
      </c>
      <c r="N280" s="686">
        <f>IF(B280="TXO","",IF(D280="新倉","",IF(E280="賣",(H280-H279)*G280,(H279-H280)*G280)))</f>
        <v/>
      </c>
      <c r="O280" s="226" t="n">
        <v>0</v>
      </c>
      <c r="P280" s="667" t="n"/>
      <c r="R280" s="249" t="inlineStr">
        <is>
          <t>Yes</t>
        </is>
      </c>
      <c r="S280" s="249" t="inlineStr">
        <is>
          <t>Yes</t>
        </is>
      </c>
      <c r="T280" s="61">
        <f>IF(AND(R280="Yes",S280&lt;&gt;"Yes",L280&gt;0,B280&lt;&gt;"TXO"),L280,"")</f>
        <v/>
      </c>
      <c r="U280" s="61">
        <f>IF(AND(R280="Yes",S280&lt;&gt;"Yes",L280&lt;0,B280&lt;&gt;"TXO"),L280,"")</f>
        <v/>
      </c>
      <c r="V280" s="61">
        <f>IF(AND(R280="",S280&lt;&gt;"Yes",L280&gt;0,B280&lt;&gt;"TXO"),L280,"")</f>
        <v/>
      </c>
      <c r="W280" s="61">
        <f>IF(AND(R280="",S280&lt;&gt;"Yes",L280&lt;0,B280&lt;&gt;"TXO"),L280,"")</f>
        <v/>
      </c>
      <c r="X280" s="226">
        <f>IF(AND(R280="Yes",S280="Yes",L280&gt;0,B280&lt;&gt;"TXO"),L280,"")</f>
        <v/>
      </c>
      <c r="Y280" s="226">
        <f>IF(AND(R280="Yes",S280="Yes",L280&lt;0,B280&lt;&gt;"TXO"),L280,"")</f>
        <v/>
      </c>
      <c r="Z280" s="226">
        <f>IF(AND(R280="",S280="Yes",L280&gt;0,B280&lt;&gt;"TXO"),L280,"")</f>
        <v/>
      </c>
      <c r="AA280" s="226">
        <f>IF(AND(R280="",S280="Yes",L280&lt;0,B280&lt;&gt;"TXO"),L280,"")</f>
        <v/>
      </c>
    </row>
    <row r="281" collapsed="1" ht="17.25" customHeight="1" thickBot="1">
      <c r="A281" s="696" t="n"/>
      <c r="B281" s="234" t="n"/>
      <c r="C281" s="229" t="n"/>
      <c r="D281" s="229" t="n"/>
      <c r="E281" s="257" t="n"/>
      <c r="F281" s="229" t="n"/>
      <c r="G281" s="697" t="n"/>
      <c r="H281" s="697" t="n"/>
      <c r="I281" s="697" t="n"/>
      <c r="J281" s="585" t="n"/>
      <c r="K281" s="585" t="n"/>
      <c r="L281" s="585" t="n"/>
      <c r="M281" s="699" t="n"/>
      <c r="P281" s="667" t="n"/>
      <c r="Q281" s="297" t="n"/>
      <c r="S281" s="249" t="n"/>
      <c r="T281" s="61" t="n"/>
      <c r="U281" s="61" t="n"/>
      <c r="V281" s="61" t="n"/>
      <c r="W281" s="61" t="n"/>
    </row>
    <row r="282" collapsed="1" ht="17.25" customHeight="1" thickBot="1">
      <c r="A282" s="273" t="inlineStr">
        <is>
          <t>6月總計</t>
        </is>
      </c>
      <c r="B282" s="274" t="n"/>
      <c r="C282" s="274" t="n"/>
      <c r="D282" s="274" t="n"/>
      <c r="E282" s="274" t="n"/>
      <c r="F282" s="274" t="n"/>
      <c r="G282" s="715" t="n"/>
      <c r="H282" s="715" t="n"/>
      <c r="I282" s="715" t="n"/>
      <c r="J282" s="716" t="n"/>
      <c r="K282" s="715" t="n"/>
      <c r="L282" s="717">
        <f>SUM(L276:L281)</f>
        <v/>
      </c>
      <c r="M282" s="717">
        <f>SUM(M277:M281)</f>
        <v/>
      </c>
      <c r="N282" s="666" t="n"/>
      <c r="P282" s="744" t="n"/>
      <c r="R282" s="717">
        <f>SUMIF(R277:R281,"Yes",L277:L281)</f>
        <v/>
      </c>
      <c r="S282" s="739" t="n"/>
      <c r="T282" s="226">
        <f>SUM(T277:T281)</f>
        <v/>
      </c>
      <c r="U282" s="226">
        <f>SUM(U277:U281)</f>
        <v/>
      </c>
      <c r="V282" s="226">
        <f>SUM(V277:V281)</f>
        <v/>
      </c>
      <c r="W282" s="226">
        <f>SUM(W277:W281)</f>
        <v/>
      </c>
      <c r="X282" s="226">
        <f>SUM(X277:X281)</f>
        <v/>
      </c>
      <c r="Y282" s="226">
        <f>SUM(Y277:Y281)</f>
        <v/>
      </c>
      <c r="Z282" s="226">
        <f>SUM(Z277:Z281)</f>
        <v/>
      </c>
      <c r="AA282" s="226">
        <f>SUM(AA277:AA281)</f>
        <v/>
      </c>
    </row>
    <row r="283" ht="17.25" customHeight="1" thickBot="1">
      <c r="A283" s="718" t="n">
        <v>43624</v>
      </c>
      <c r="B283" s="292" t="n"/>
      <c r="C283" s="292" t="inlineStr">
        <is>
          <t>2019 飆股技巧籌碼心魔班</t>
        </is>
      </c>
      <c r="D283" s="292" t="n"/>
      <c r="E283" s="292" t="n"/>
      <c r="F283" s="292" t="n"/>
      <c r="G283" s="719" t="n"/>
      <c r="H283" s="719" t="n"/>
      <c r="I283" s="719" t="n"/>
      <c r="J283" s="720" t="n"/>
      <c r="K283" s="719" t="n"/>
      <c r="L283" s="720" t="n"/>
      <c r="M283" s="721">
        <f>-4457*0.965</f>
        <v/>
      </c>
      <c r="N283" s="666" t="n"/>
      <c r="P283" s="722" t="n"/>
      <c r="Q283" s="249" t="inlineStr">
        <is>
          <t>13000分6期, 每期2166, 6-6</t>
        </is>
      </c>
      <c r="R283" s="226" t="n"/>
    </row>
    <row r="284" ht="17.25" customHeight="1" thickBot="1">
      <c r="A284" s="241" t="n"/>
      <c r="B284" s="241" t="n"/>
      <c r="E284" s="226" t="n"/>
      <c r="J284" s="30" t="n"/>
      <c r="K284" s="31" t="n"/>
      <c r="L284" s="667" t="n"/>
      <c r="M284" s="667" t="n"/>
      <c r="P284" s="667" t="n"/>
      <c r="S284" s="739" t="n"/>
      <c r="T284" s="61" t="n"/>
      <c r="U284" s="61" t="n"/>
      <c r="V284" s="61" t="n"/>
      <c r="W284" s="61" t="n"/>
      <c r="X284" s="61" t="n"/>
      <c r="Y284" s="61" t="n"/>
      <c r="Z284" s="61" t="n"/>
    </row>
    <row r="285" collapsed="1" ht="17.25" customFormat="1" customHeight="1" s="244" thickBot="1">
      <c r="A285" s="262" t="inlineStr">
        <is>
          <t>2019總計</t>
        </is>
      </c>
      <c r="B285" s="263" t="n"/>
      <c r="C285" s="263" t="n"/>
      <c r="D285" s="263" t="n"/>
      <c r="E285" s="263" t="n"/>
      <c r="F285" s="263" t="n"/>
      <c r="G285" s="702" t="n"/>
      <c r="H285" s="702" t="n"/>
      <c r="I285" s="702" t="n"/>
      <c r="J285" s="703" t="n"/>
      <c r="K285" s="702" t="n"/>
      <c r="L285" s="704">
        <f>SUM(L66,L110,L192,L224,L275,L282)</f>
        <v/>
      </c>
      <c r="M285" s="704">
        <f>SUM(M66,M110,M192,M224,M275)</f>
        <v/>
      </c>
      <c r="N285" s="706" t="n"/>
      <c r="P285" s="744" t="n"/>
      <c r="Q285" s="255" t="n"/>
      <c r="R285" s="255" t="n"/>
      <c r="S285" s="745" t="n"/>
    </row>
    <row r="286" ht="17.25" customHeight="1" thickBot="1">
      <c r="A286" s="241" t="n"/>
      <c r="B286" s="241" t="n"/>
      <c r="E286" s="226" t="n"/>
      <c r="J286" s="30" t="n"/>
      <c r="K286" s="31" t="n"/>
      <c r="L286" s="667" t="n"/>
      <c r="M286" s="667" t="n"/>
      <c r="P286" s="667" t="n"/>
      <c r="S286" s="739" t="n"/>
      <c r="T286" s="61" t="n"/>
      <c r="U286" s="61" t="n"/>
      <c r="V286" s="61" t="n"/>
      <c r="W286" s="61" t="n"/>
      <c r="X286" s="61" t="n"/>
      <c r="Y286" s="61" t="n"/>
      <c r="Z286" s="61" t="n"/>
    </row>
    <row r="287" ht="17.25" customHeight="1" thickBot="1">
      <c r="E287" s="704" t="inlineStr">
        <is>
          <t>權利金</t>
        </is>
      </c>
      <c r="F287" s="723" t="inlineStr">
        <is>
          <t>手續費</t>
        </is>
      </c>
      <c r="G287" s="723" t="inlineStr">
        <is>
          <t>交易稅</t>
        </is>
      </c>
      <c r="H287" s="723" t="inlineStr">
        <is>
          <t>已實現損益</t>
        </is>
      </c>
      <c r="I287" s="724" t="inlineStr">
        <is>
          <t>報酬率</t>
        </is>
      </c>
      <c r="J287" s="724" t="inlineStr">
        <is>
          <t>淨報酬率</t>
        </is>
      </c>
      <c r="N287" s="226" t="n"/>
      <c r="O287" s="686" t="n"/>
      <c r="P287" s="226" t="n"/>
      <c r="Q287" s="725" t="n"/>
      <c r="R287" s="725" t="n"/>
      <c r="S287" s="230" t="n"/>
    </row>
    <row r="288" ht="17.25" customHeight="1" thickBot="1">
      <c r="A288" s="141" t="inlineStr">
        <is>
          <t>選擇權總計</t>
        </is>
      </c>
      <c r="B288" s="579" t="n"/>
      <c r="C288" s="143" t="n"/>
      <c r="D288" s="144" t="n"/>
      <c r="E288" s="705">
        <f>SUMIF($B2:$B285,"TXO",I2:I285)</f>
        <v/>
      </c>
      <c r="F288" s="705">
        <f>SUMIF($B2:$B285,"TXO",J2:J285)</f>
        <v/>
      </c>
      <c r="G288" s="705">
        <f>SUMIF($B2:$B285,"TXO",K2:K285)</f>
        <v/>
      </c>
      <c r="H288" s="705">
        <f>SUMIF($B2:$B285,"TXO",L2:L285)</f>
        <v/>
      </c>
      <c r="I288" s="726">
        <f>IF(H288=0,0,H288/C294)</f>
        <v/>
      </c>
      <c r="J288" s="147" t="n"/>
      <c r="K288" s="570" t="inlineStr">
        <is>
          <t>年化報酬率</t>
        </is>
      </c>
      <c r="L288" s="727">
        <f>IF(I288&lt;0,-((1+ABS(I288))^(1/((TODAY()-A6)/365.25))-1),(1+ABS(I288))^(1/((TODAY()-A6)/365.25))-1)</f>
        <v/>
      </c>
      <c r="M288" s="727" t="n"/>
      <c r="N288" s="226" t="n"/>
      <c r="O288" s="686" t="n"/>
      <c r="P288" s="226" t="n"/>
      <c r="Q288" s="725" t="n"/>
      <c r="R288" s="725" t="n"/>
      <c r="S288" s="230" t="n"/>
      <c r="T288" s="61" t="n"/>
      <c r="U288" s="61" t="n"/>
      <c r="V288" s="61" t="n"/>
      <c r="W288" s="61" t="n"/>
      <c r="X288" s="61" t="n"/>
      <c r="Y288" s="61" t="n"/>
      <c r="Z288" s="61" t="n"/>
      <c r="AA288" s="61" t="n"/>
    </row>
    <row r="289" ht="17.25" customHeight="1" thickBot="1">
      <c r="A289" s="141" t="inlineStr">
        <is>
          <t>期貨總計</t>
        </is>
      </c>
      <c r="B289" s="579" t="n"/>
      <c r="C289" s="143" t="n"/>
      <c r="D289" s="144" t="n"/>
      <c r="E289" s="705">
        <f>SUMIF($B2:$B285,"FITX",I2:I285)</f>
        <v/>
      </c>
      <c r="F289" s="705">
        <f>SUMIF($B2:$B285,"FIMTX",J2:J285)</f>
        <v/>
      </c>
      <c r="G289" s="705">
        <f>SUMIF($B2:$B285,"FITX",K2:K285)</f>
        <v/>
      </c>
      <c r="H289" s="705">
        <f>SUMIF($B2:$B285,"FITX",L2:L285)+SUMIF($B2:$B285,"FIMTX",L2:L285)</f>
        <v/>
      </c>
      <c r="I289" s="726">
        <f>IF(H289=0,0,H289/$C$293)</f>
        <v/>
      </c>
      <c r="J289" s="726" t="n"/>
      <c r="K289" s="604" t="n"/>
      <c r="L289" s="727">
        <f>IF(I289&lt;0,-((1+ABS(I289))^(1/((TODAY()-A6)/365.25))-1),(1+ABS(I289))^(1/((TODAY()-A6)/365.25))-1)</f>
        <v/>
      </c>
      <c r="M289" s="727" t="n"/>
      <c r="N289" s="226" t="n"/>
      <c r="O289" s="686" t="n"/>
      <c r="P289" s="226" t="n"/>
      <c r="Q289" s="725" t="n"/>
      <c r="R289" s="725" t="n"/>
      <c r="S289" s="230" t="n"/>
      <c r="T289" s="61" t="n"/>
      <c r="U289" s="61" t="n"/>
      <c r="V289" s="61" t="n"/>
      <c r="W289" s="61" t="n"/>
      <c r="X289" s="61" t="n"/>
      <c r="Y289" s="61" t="n"/>
      <c r="Z289" s="61" t="n"/>
      <c r="AA289" s="61" t="n"/>
    </row>
    <row r="290" ht="17.25" customHeight="1" thickBot="1">
      <c r="A290" s="141" t="inlineStr">
        <is>
          <t>2019總計</t>
        </is>
      </c>
      <c r="B290" s="579" t="n"/>
      <c r="C290" s="143" t="n"/>
      <c r="D290" s="144" t="n"/>
      <c r="E290" s="705">
        <f>SUM(E288:E289)</f>
        <v/>
      </c>
      <c r="F290" s="705">
        <f>SUM(F288:F289)</f>
        <v/>
      </c>
      <c r="G290" s="705">
        <f>SUM(G288:G289)</f>
        <v/>
      </c>
      <c r="H290" s="705">
        <f>L285</f>
        <v/>
      </c>
      <c r="I290" s="726">
        <f>IF(H290=0,0,H290/$C$293)</f>
        <v/>
      </c>
      <c r="J290" s="726">
        <f>IF(M285=0,0,M285/$C$293)</f>
        <v/>
      </c>
      <c r="K290" s="604" t="n"/>
      <c r="L290" s="727">
        <f>IF(I290&lt;0,-((1+ABS(I290))^(1/((TODAY()-A6)/365.25))-1),(1+ABS(I290))^(1/((TODAY()-A6)/365.25))-1)</f>
        <v/>
      </c>
      <c r="M290" s="727">
        <f>IF(J290&lt;0,-((1+ABS(J290))^(1/((TODAY()-A6)/365.25))-1),(1+ABS(J290))^(1/((TODAY()-A6)/365.25))-1)</f>
        <v/>
      </c>
      <c r="N290" s="226" t="n"/>
      <c r="O290" s="686" t="n"/>
      <c r="P290" s="226" t="n"/>
      <c r="Q290" s="725" t="n"/>
      <c r="R290" s="725" t="n"/>
      <c r="S290" s="230" t="n"/>
    </row>
    <row r="291" ht="17.25" customHeight="1" thickBot="1">
      <c r="A291" s="141" t="inlineStr">
        <is>
          <t>16~18 總計</t>
        </is>
      </c>
      <c r="B291" s="579" t="n"/>
      <c r="C291" s="143" t="n"/>
      <c r="D291" s="144" t="n"/>
      <c r="E291" s="705">
        <f>'18期'!E1854</f>
        <v/>
      </c>
      <c r="F291" s="705">
        <f>'18期'!F1854</f>
        <v/>
      </c>
      <c r="G291" s="705">
        <f>'18期'!G1854</f>
        <v/>
      </c>
      <c r="H291" s="705">
        <f>'18期'!H1854</f>
        <v/>
      </c>
      <c r="I291" s="726">
        <f>'18期'!I1854</f>
        <v/>
      </c>
      <c r="J291" s="726">
        <f>'18期'!J1854</f>
        <v/>
      </c>
      <c r="K291" s="604" t="n"/>
      <c r="L291" s="726">
        <f>'18期'!L1854</f>
        <v/>
      </c>
      <c r="M291" s="727" t="n"/>
      <c r="N291" s="226" t="n"/>
      <c r="O291" s="686" t="n"/>
      <c r="P291" s="226" t="n"/>
      <c r="Q291" s="725" t="n"/>
      <c r="R291" s="725" t="n"/>
      <c r="S291" s="230" t="n"/>
    </row>
    <row r="292" ht="17.25" customHeight="1" thickBot="1">
      <c r="A292" s="141" t="inlineStr">
        <is>
          <t>總計</t>
        </is>
      </c>
      <c r="B292" s="579" t="n"/>
      <c r="C292" s="143" t="n"/>
      <c r="D292" s="144" t="n"/>
      <c r="E292" s="705">
        <f>SUM(E290:E291)</f>
        <v/>
      </c>
      <c r="F292" s="705">
        <f>SUM(F290:F291)</f>
        <v/>
      </c>
      <c r="G292" s="705">
        <f>SUM(G290:G291)</f>
        <v/>
      </c>
      <c r="H292" s="705">
        <f>SUM(H290:H291)</f>
        <v/>
      </c>
      <c r="I292" s="726">
        <f>IF(H292=0,0,H292/$C$293)</f>
        <v/>
      </c>
      <c r="J292" s="726">
        <f>IF(H292=0,0,(H291+M285)/$C$293)</f>
        <v/>
      </c>
      <c r="K292" s="613" t="n"/>
      <c r="L292" s="746">
        <f>H292/#REF!</f>
        <v/>
      </c>
      <c r="M292" s="746" t="n">
        <v>-1.722454622198667</v>
      </c>
      <c r="N292" s="226" t="n"/>
      <c r="O292" s="686" t="n"/>
      <c r="P292" s="226" t="n"/>
      <c r="Q292" s="725" t="n"/>
      <c r="R292" s="725" t="n"/>
      <c r="S292" s="230" t="n"/>
    </row>
    <row r="293" ht="17.25" customHeight="1" thickBot="1">
      <c r="A293" s="149" t="inlineStr">
        <is>
          <t>帳戶餘額</t>
        </is>
      </c>
      <c r="B293" s="141" t="n"/>
      <c r="C293" s="747" t="n">
        <v>79356</v>
      </c>
      <c r="D293" s="701" t="n"/>
    </row>
    <row r="294" ht="17.25" customHeight="1" thickBot="1">
      <c r="A294" s="149" t="inlineStr">
        <is>
          <t>平均餘額</t>
        </is>
      </c>
      <c r="B294" s="141" t="n"/>
      <c r="C294" s="748" t="n">
        <v>121098.7052362707</v>
      </c>
      <c r="D294" s="701" t="n"/>
    </row>
    <row r="295">
      <c r="A295" s="62" t="n"/>
      <c r="B295" s="62" t="n"/>
      <c r="D295" s="61" t="n"/>
      <c r="E295" s="226" t="n"/>
    </row>
    <row r="296">
      <c r="A296" s="62" t="n"/>
      <c r="B296" s="62" t="n"/>
      <c r="D296" s="61" t="n"/>
      <c r="E296" s="226" t="n"/>
    </row>
    <row r="297">
      <c r="A297" s="62" t="inlineStr">
        <is>
          <t>投資報酬率＝（期末淨值－期初投資）÷期初投資</t>
        </is>
      </c>
      <c r="B297" s="62" t="n"/>
      <c r="D297" s="61" t="n"/>
      <c r="E297" s="226" t="n"/>
    </row>
    <row r="298">
      <c r="A298" s="62" t="inlineStr">
        <is>
          <t>年化報酬率＝（（1＋投資報酬率）^（1／年數））－1</t>
        </is>
      </c>
      <c r="B298" s="62" t="n"/>
      <c r="D298" s="61" t="n"/>
      <c r="E298" s="226" t="n"/>
    </row>
    <row r="299">
      <c r="A299" s="62" t="n"/>
      <c r="B299" s="62" t="n"/>
      <c r="D299" s="61" t="n"/>
      <c r="E299" s="226" t="n"/>
    </row>
    <row r="300">
      <c r="A300" s="62" t="n"/>
      <c r="B300" s="62" t="n"/>
      <c r="D300" s="61" t="n"/>
      <c r="E300" s="226" t="n"/>
    </row>
    <row r="301">
      <c r="C301" s="245" t="n"/>
      <c r="D301" s="288" t="n"/>
      <c r="E301" s="226" t="n"/>
    </row>
    <row r="302">
      <c r="C302" s="245" t="n"/>
      <c r="D302" s="288" t="n"/>
      <c r="E302" s="226" t="n"/>
    </row>
    <row r="303">
      <c r="C303" s="245" t="n"/>
      <c r="D303" s="288" t="n"/>
      <c r="E303" s="226" t="n"/>
    </row>
    <row r="304">
      <c r="C304" s="245" t="n"/>
      <c r="D304" s="288" t="n"/>
      <c r="E304" s="226" t="n"/>
    </row>
    <row r="305">
      <c r="C305" s="245" t="n"/>
      <c r="D305" s="288" t="n"/>
      <c r="E305" s="226" t="n"/>
    </row>
    <row r="306">
      <c r="C306" s="245" t="n"/>
      <c r="D306" s="288" t="n"/>
      <c r="E306" s="226" t="n"/>
    </row>
    <row r="307">
      <c r="C307" s="245" t="n"/>
      <c r="D307" s="245" t="n"/>
      <c r="E307" s="226" t="n"/>
    </row>
    <row r="308">
      <c r="C308" s="245" t="n"/>
      <c r="D308" s="245" t="n"/>
      <c r="E308" s="226" t="n"/>
    </row>
    <row r="309">
      <c r="C309" s="245" t="n"/>
      <c r="D309" s="245" t="n"/>
      <c r="E309" s="226" t="n"/>
    </row>
    <row r="310">
      <c r="C310" s="245" t="n"/>
      <c r="D310" s="245" t="n"/>
      <c r="E310" s="226" t="n"/>
    </row>
    <row r="311">
      <c r="C311" s="245" t="n"/>
      <c r="D311" s="245" t="n"/>
      <c r="E311" s="226" t="n"/>
    </row>
    <row r="312">
      <c r="C312" s="245" t="n"/>
      <c r="D312" s="245" t="n"/>
      <c r="E312" s="226" t="n"/>
    </row>
    <row r="313">
      <c r="A313" s="245" t="n"/>
      <c r="B313" s="245" t="n"/>
      <c r="C313" s="245" t="n"/>
      <c r="D313" s="245" t="n"/>
      <c r="E313" s="226" t="n"/>
    </row>
    <row r="314">
      <c r="A314" s="245" t="n"/>
      <c r="B314" s="245" t="n"/>
      <c r="C314" s="245" t="n"/>
      <c r="D314" s="245" t="n"/>
      <c r="E314" s="226" t="n"/>
    </row>
    <row r="315">
      <c r="A315" s="245" t="n"/>
      <c r="B315" s="245" t="n"/>
      <c r="C315" s="245" t="n"/>
      <c r="D315" s="245" t="n"/>
      <c r="E315" s="226" t="n"/>
    </row>
    <row r="316">
      <c r="A316" s="245" t="n"/>
      <c r="B316" s="245" t="n"/>
      <c r="C316" s="245" t="n"/>
      <c r="D316" s="245" t="n"/>
      <c r="E316" s="226" t="n"/>
    </row>
    <row r="317">
      <c r="A317" s="245" t="n"/>
      <c r="B317" s="245" t="n"/>
      <c r="C317" s="245" t="n"/>
      <c r="D317" s="245" t="n"/>
      <c r="E317" s="226" t="n"/>
    </row>
    <row r="318">
      <c r="A318" s="245" t="n"/>
      <c r="B318" s="245" t="n"/>
      <c r="C318" s="245" t="n"/>
      <c r="D318" s="245" t="n"/>
      <c r="E318" s="226" t="n"/>
    </row>
    <row r="319">
      <c r="A319" s="245" t="n"/>
      <c r="B319" s="245" t="n"/>
      <c r="C319" s="245" t="n"/>
      <c r="D319" s="245" t="n"/>
      <c r="E319" s="226" t="n"/>
    </row>
    <row r="320">
      <c r="A320" s="245" t="n"/>
      <c r="B320" s="245" t="n"/>
      <c r="C320" s="245" t="n"/>
      <c r="D320" s="245" t="n"/>
      <c r="E320" s="226" t="n"/>
    </row>
  </sheetData>
  <mergeCells count="3">
    <mergeCell ref="K288:K292"/>
    <mergeCell ref="C293:D293"/>
    <mergeCell ref="C294:D294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 codeName="Sheet10">
    <outlinePr summaryBelow="0" summaryRight="0"/>
    <pageSetUpPr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2.625" bestFit="1" customWidth="1" style="226" min="7" max="7"/>
    <col width="9.125" customWidth="1" style="226" min="8" max="8"/>
    <col width="11.5" bestFit="1" customWidth="1" style="226" min="9" max="9"/>
    <col outlineLevel="1" width="9.375" customWidth="1" style="226" min="10" max="10"/>
    <col outlineLevel="1" width="13" customWidth="1" style="226" min="11" max="11"/>
    <col outlineLevel="1" width="9.625" customWidth="1" style="226" min="12" max="13"/>
    <col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9.5" bestFit="1" customWidth="1" style="226" min="18" max="18"/>
    <col hidden="1" outlineLevel="1" width="10.125" customWidth="1" style="226" min="19" max="19"/>
    <col hidden="1" outlineLevel="1" width="0.12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2.875" bestFit="1" customWidth="1" style="226" min="26" max="26"/>
    <col width="12.875" customWidth="1" style="226" min="27" max="27"/>
    <col width="25.125" customWidth="1" style="230" min="28" max="28"/>
    <col width="17.625" customWidth="1" style="230" min="29" max="29"/>
    <col width="9" customWidth="1" style="226" min="30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226" t="inlineStr">
        <is>
          <t>買進理由</t>
        </is>
      </c>
      <c r="AC1" s="226" t="inlineStr">
        <is>
          <t>賣出理由</t>
        </is>
      </c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 t="n"/>
      <c r="G2" s="229">
        <f>'14股'!G63</f>
        <v/>
      </c>
      <c r="H2" s="229">
        <f>'14股'!H63</f>
        <v/>
      </c>
      <c r="I2" s="229" t="n"/>
      <c r="J2" s="229" t="n"/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697">
        <f>'14股'!P63</f>
        <v/>
      </c>
      <c r="Q2" s="229">
        <f>'14股'!Q63</f>
        <v/>
      </c>
      <c r="R2" s="229">
        <f>'14股'!R63</f>
        <v/>
      </c>
      <c r="S2" s="229">
        <f>'14股'!S63</f>
        <v/>
      </c>
      <c r="T2" s="229">
        <f>'14股'!T63</f>
        <v/>
      </c>
      <c r="U2" s="229">
        <f>'14股'!U63</f>
        <v/>
      </c>
      <c r="V2" s="229">
        <f>'14股'!V63</f>
        <v/>
      </c>
      <c r="W2" s="229">
        <f>'14股'!W63</f>
        <v/>
      </c>
      <c r="X2" s="229">
        <f>'14股'!X63</f>
        <v/>
      </c>
      <c r="Y2" s="229">
        <f>'14股'!Y63</f>
        <v/>
      </c>
      <c r="Z2" s="279" t="n"/>
      <c r="AA2" s="588" t="n"/>
    </row>
    <row r="3">
      <c r="A3" s="734" t="n">
        <v>42369</v>
      </c>
      <c r="B3" s="229" t="n"/>
      <c r="C3" s="229" t="n"/>
      <c r="D3" s="229">
        <f>'15股'!D144</f>
        <v/>
      </c>
      <c r="E3" s="229">
        <f>'15股'!E144</f>
        <v/>
      </c>
      <c r="F3" s="229" t="n"/>
      <c r="G3" s="280">
        <f>'15股'!G144</f>
        <v/>
      </c>
      <c r="H3" s="280">
        <f>'15股'!H144</f>
        <v/>
      </c>
      <c r="I3" s="234" t="n"/>
      <c r="J3" s="229" t="n"/>
      <c r="K3" s="280">
        <f>'15股'!K144</f>
        <v/>
      </c>
      <c r="L3" s="280">
        <f>'15股'!L144</f>
        <v/>
      </c>
      <c r="M3" s="280">
        <f>'15股'!M144</f>
        <v/>
      </c>
      <c r="N3" s="280">
        <f>'15股'!N144</f>
        <v/>
      </c>
      <c r="O3" s="280">
        <f>'15股'!O144</f>
        <v/>
      </c>
      <c r="P3" s="697">
        <f>'15股'!P144</f>
        <v/>
      </c>
      <c r="Q3" s="280">
        <f>'15股'!Q144</f>
        <v/>
      </c>
      <c r="R3" s="280">
        <f>'15股'!R144</f>
        <v/>
      </c>
      <c r="S3" s="280">
        <f>'15股'!S144</f>
        <v/>
      </c>
      <c r="T3" s="280">
        <f>'15股'!T144</f>
        <v/>
      </c>
      <c r="U3" s="280">
        <f>'15股'!U144</f>
        <v/>
      </c>
      <c r="V3" s="280">
        <f>'15股'!V144</f>
        <v/>
      </c>
      <c r="W3" s="280">
        <f>'15股'!W144</f>
        <v/>
      </c>
      <c r="X3" s="280">
        <f>'15股'!X144</f>
        <v/>
      </c>
      <c r="Y3" s="280">
        <f>'15股'!Y144</f>
        <v/>
      </c>
      <c r="Z3" s="281" t="n"/>
      <c r="AA3" s="588" t="n"/>
    </row>
    <row r="4">
      <c r="A4" s="734" t="n">
        <v>42735</v>
      </c>
      <c r="B4" s="229" t="n"/>
      <c r="C4" s="229" t="n"/>
      <c r="D4" s="229">
        <f>'16股'!D54</f>
        <v/>
      </c>
      <c r="E4" s="229">
        <f>'16股'!E142</f>
        <v/>
      </c>
      <c r="F4" s="229" t="n"/>
      <c r="G4" s="280">
        <f>'16股'!G54</f>
        <v/>
      </c>
      <c r="H4" s="280">
        <f>'16股'!H54</f>
        <v/>
      </c>
      <c r="I4" s="234" t="n"/>
      <c r="J4" s="229" t="n"/>
      <c r="K4" s="280">
        <f>'16股'!K54</f>
        <v/>
      </c>
      <c r="L4" s="280">
        <f>'16股'!L54</f>
        <v/>
      </c>
      <c r="M4" s="280">
        <f>'16股'!M54</f>
        <v/>
      </c>
      <c r="N4" s="280">
        <f>'16股'!N54</f>
        <v/>
      </c>
      <c r="O4" s="280">
        <f>'16股'!O54</f>
        <v/>
      </c>
      <c r="P4" s="697">
        <f>'16股'!P54</f>
        <v/>
      </c>
      <c r="Q4" s="280">
        <f>'16股'!Q54</f>
        <v/>
      </c>
      <c r="R4" s="280">
        <f>'16股'!R54</f>
        <v/>
      </c>
      <c r="S4" s="280">
        <f>'16股'!S142</f>
        <v/>
      </c>
      <c r="T4" s="280">
        <f>'16股'!T142</f>
        <v/>
      </c>
      <c r="U4" s="280">
        <f>'16股'!U54</f>
        <v/>
      </c>
      <c r="V4" s="280">
        <f>'16股'!V142</f>
        <v/>
      </c>
      <c r="W4" s="280">
        <f>'16股'!W142</f>
        <v/>
      </c>
      <c r="X4" s="280">
        <f>'16股'!X54</f>
        <v/>
      </c>
      <c r="Y4" s="280">
        <f>'16股'!Y54</f>
        <v/>
      </c>
      <c r="Z4" s="281" t="n"/>
      <c r="AA4" s="588" t="n"/>
    </row>
    <row r="5">
      <c r="A5" s="734" t="n">
        <v>43100</v>
      </c>
      <c r="B5" s="229" t="n"/>
      <c r="C5" s="229" t="n"/>
      <c r="D5" s="229">
        <f>'17股'!D37</f>
        <v/>
      </c>
      <c r="E5" s="229">
        <f>'16股'!E143</f>
        <v/>
      </c>
      <c r="F5" s="229" t="n"/>
      <c r="G5" s="280">
        <f>'17股'!G37</f>
        <v/>
      </c>
      <c r="H5" s="280">
        <f>'17股'!H37</f>
        <v/>
      </c>
      <c r="I5" s="234" t="n"/>
      <c r="J5" s="229" t="n"/>
      <c r="K5" s="280">
        <f>'16股'!K55</f>
        <v/>
      </c>
      <c r="L5" s="280">
        <f>'16股'!L55</f>
        <v/>
      </c>
      <c r="M5" s="280">
        <f>'16股'!M55</f>
        <v/>
      </c>
      <c r="N5" s="280">
        <f>'16股'!N55</f>
        <v/>
      </c>
      <c r="O5" s="280">
        <f>'17股'!O37</f>
        <v/>
      </c>
      <c r="P5" s="697">
        <f>'17股'!P37</f>
        <v/>
      </c>
      <c r="Q5" s="280">
        <f>'17股'!Q37</f>
        <v/>
      </c>
      <c r="R5" s="280">
        <f>'17股'!R37</f>
        <v/>
      </c>
      <c r="S5" s="280">
        <f>'16股'!S143</f>
        <v/>
      </c>
      <c r="T5" s="280">
        <f>'16股'!T143</f>
        <v/>
      </c>
      <c r="U5" s="280">
        <f>'17股'!U37</f>
        <v/>
      </c>
      <c r="V5" s="280">
        <f>'16股'!V143</f>
        <v/>
      </c>
      <c r="W5" s="280">
        <f>'16股'!W143</f>
        <v/>
      </c>
      <c r="X5" s="280">
        <f>'17股'!X37</f>
        <v/>
      </c>
      <c r="Y5" s="280">
        <f>'17股'!Y37</f>
        <v/>
      </c>
      <c r="Z5" s="281" t="n"/>
      <c r="AA5" s="588" t="n"/>
    </row>
    <row r="6">
      <c r="A6" s="231" t="n"/>
      <c r="B6" s="232" t="n"/>
      <c r="C6" s="232" t="n"/>
      <c r="D6" s="232" t="n"/>
      <c r="E6" s="232" t="n"/>
      <c r="F6" s="232" t="n"/>
      <c r="G6" s="232" t="n"/>
      <c r="H6" s="232" t="n"/>
      <c r="I6" s="282" t="n"/>
      <c r="J6" s="42" t="n"/>
      <c r="K6" s="232" t="n"/>
      <c r="L6" s="283" t="n"/>
      <c r="M6" s="232" t="n"/>
      <c r="N6" s="232" t="n"/>
      <c r="O6" s="590" t="n"/>
      <c r="P6" s="591" t="n"/>
      <c r="Q6" s="591" t="n"/>
      <c r="R6" s="591" t="n"/>
      <c r="S6" s="591" t="n"/>
      <c r="T6" s="591" t="n"/>
      <c r="U6" s="69" t="n"/>
      <c r="V6" s="69" t="n"/>
      <c r="W6" s="71" t="n"/>
      <c r="X6" s="592" t="n"/>
      <c r="Y6" s="42" t="n"/>
      <c r="Z6" s="735" t="n"/>
      <c r="AA6" s="588" t="n"/>
    </row>
    <row r="7">
      <c r="A7" s="228" t="n">
        <v>43109</v>
      </c>
      <c r="B7" s="229" t="inlineStr">
        <is>
          <t>普通買進</t>
        </is>
      </c>
      <c r="C7" s="229" t="n">
        <v>4306</v>
      </c>
      <c r="D7" s="229">
        <f>VLOOKUP(C7,每日行情!A:B,2,FALSE)</f>
        <v/>
      </c>
      <c r="E7" s="229" t="n">
        <v>2000</v>
      </c>
      <c r="F7" s="229" t="n">
        <v>15.45</v>
      </c>
      <c r="G7" s="229">
        <f>E7*F7</f>
        <v/>
      </c>
      <c r="H7" s="229" t="n">
        <v>26</v>
      </c>
      <c r="I7" s="234" t="n">
        <v>43124</v>
      </c>
      <c r="J7" s="16" t="n">
        <v>14.9</v>
      </c>
      <c r="K7" s="229">
        <f>E7*J7</f>
        <v/>
      </c>
      <c r="L7" s="17" t="n">
        <v>25</v>
      </c>
      <c r="M7" s="229" t="n">
        <v>89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>
        <v>10</v>
      </c>
      <c r="T7" s="585">
        <f>IF(ROUND(R7*(1+V7),0)&gt;5000,ROUND(ROUND(R7*(1+V7),0)*2%,0),0)</f>
        <v/>
      </c>
      <c r="U7" s="65">
        <f>(V7*50%)/(1+50%*V7)</f>
        <v/>
      </c>
      <c r="V7" s="65" t="n"/>
      <c r="W7" s="66" t="n">
        <v>0.11</v>
      </c>
      <c r="X7" s="586">
        <f>(P7+Q7)/G7</f>
        <v/>
      </c>
      <c r="Y7" s="16">
        <f>VLOOKUP(C7,#REF!,3,FALSE)</f>
        <v/>
      </c>
      <c r="Z7" s="587">
        <f>VLOOKUP(C7,#REF!,6,FALSE)</f>
        <v/>
      </c>
      <c r="AA7" s="588">
        <f>IF(I7="",((TODAY()-A7)*G7)/365.24,((I7-A7)*G7)/365.24)</f>
        <v/>
      </c>
      <c r="AB7" s="230" t="inlineStr">
        <is>
          <t>阿水一式</t>
        </is>
      </c>
    </row>
    <row r="8">
      <c r="A8" s="228" t="n">
        <v>43108</v>
      </c>
      <c r="B8" s="229" t="inlineStr">
        <is>
          <t>普通買進</t>
        </is>
      </c>
      <c r="C8" s="229" t="n">
        <v>4207</v>
      </c>
      <c r="D8" s="229">
        <f>VLOOKUP(C8,每日行情!A:B,2,FALSE)</f>
        <v/>
      </c>
      <c r="E8" s="229" t="n">
        <v>1000</v>
      </c>
      <c r="F8" s="229" t="n">
        <v>13.8</v>
      </c>
      <c r="G8" s="229">
        <f>E8*F8</f>
        <v/>
      </c>
      <c r="H8" s="229" t="n">
        <v>20</v>
      </c>
      <c r="I8" s="234" t="n">
        <v>43131</v>
      </c>
      <c r="J8" s="16" t="n">
        <v>13.3</v>
      </c>
      <c r="K8" s="229">
        <f>E8*J8</f>
        <v/>
      </c>
      <c r="L8" s="17" t="n">
        <v>20</v>
      </c>
      <c r="M8" s="229" t="n">
        <v>39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>
        <v>10</v>
      </c>
      <c r="T8" s="585">
        <f>IF(ROUND(R8*(1+V8),0)&gt;5000,ROUND(ROUND(R8*(1+V8),0)*2%,0),0)</f>
        <v/>
      </c>
      <c r="U8" s="65">
        <f>(V8*50%)/(1+50%*V8)</f>
        <v/>
      </c>
      <c r="V8" s="65" t="n"/>
      <c r="W8" s="66" t="n">
        <v>0.11</v>
      </c>
      <c r="X8" s="586">
        <f>(P8+Q8)/G8</f>
        <v/>
      </c>
      <c r="Y8" s="16">
        <f>VLOOKUP(C8,#REF!,3,FALSE)</f>
        <v/>
      </c>
      <c r="Z8" s="587">
        <f>VLOOKUP(C8,#REF!,6,FALSE)</f>
        <v/>
      </c>
      <c r="AA8" s="588">
        <f>IF(I8="",((TODAY()-A8)*G8)/365.24,((I8-A8)*G8)/365.24)</f>
        <v/>
      </c>
      <c r="AB8" s="230" t="inlineStr">
        <is>
          <t>阿水一式</t>
        </is>
      </c>
    </row>
    <row r="9">
      <c r="A9" s="228" t="n">
        <v>43122</v>
      </c>
      <c r="B9" s="229" t="inlineStr">
        <is>
          <t>普通買進</t>
        </is>
      </c>
      <c r="C9" s="229" t="n">
        <v>2311</v>
      </c>
      <c r="D9" s="229">
        <f>VLOOKUP(C9,每日行情!A:B,2,FALSE)</f>
        <v/>
      </c>
      <c r="E9" s="229" t="n">
        <v>1000</v>
      </c>
      <c r="F9" s="229" t="n">
        <v>42.3</v>
      </c>
      <c r="G9" s="229">
        <f>E9*F9</f>
        <v/>
      </c>
      <c r="H9" s="229" t="n">
        <v>36</v>
      </c>
      <c r="I9" s="234" t="n">
        <v>43132</v>
      </c>
      <c r="J9" s="16" t="n">
        <v>40.5</v>
      </c>
      <c r="K9" s="229">
        <f>E9*J9</f>
        <v/>
      </c>
      <c r="L9" s="17" t="n">
        <v>34</v>
      </c>
      <c r="M9" s="229" t="n">
        <v>121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>
        <v>10</v>
      </c>
      <c r="T9" s="585">
        <f>IF(ROUND(R9*(1+V9),0)&gt;5000,ROUND(ROUND(R9*(1+V9),0)*2%,0),0)</f>
        <v/>
      </c>
      <c r="U9" s="65">
        <f>(V9*50%)/(1+50%*V9)</f>
        <v/>
      </c>
      <c r="V9" s="65" t="n"/>
      <c r="W9" s="66" t="n">
        <v>0.11</v>
      </c>
      <c r="X9" s="586">
        <f>(P9+Q9)/G9</f>
        <v/>
      </c>
      <c r="Y9" s="16">
        <f>VLOOKUP(C9,#REF!,3,FALSE)</f>
        <v/>
      </c>
      <c r="Z9" s="587">
        <f>VLOOKUP(C9,#REF!,6,FALSE)</f>
        <v/>
      </c>
      <c r="AA9" s="588">
        <f>IF(I9="",((TODAY()-A9)*G9)/365.24,((I9-A9)*G9)/365.24)</f>
        <v/>
      </c>
      <c r="AB9" s="230" t="inlineStr">
        <is>
          <t>阿水一式</t>
        </is>
      </c>
    </row>
    <row r="10">
      <c r="A10" s="228" t="n">
        <v>43255</v>
      </c>
      <c r="B10" s="229" t="inlineStr">
        <is>
          <t>普通買進</t>
        </is>
      </c>
      <c r="C10" s="229" t="n">
        <v>2027</v>
      </c>
      <c r="D10" s="229">
        <f>VLOOKUP(C10,每日行情!A:B,2,FALSE)</f>
        <v/>
      </c>
      <c r="E10" s="229" t="n">
        <v>1000</v>
      </c>
      <c r="F10" s="229" t="n">
        <v>36.65</v>
      </c>
      <c r="G10" s="229">
        <f>E10*F10</f>
        <v/>
      </c>
      <c r="H10" s="229" t="n">
        <v>34</v>
      </c>
      <c r="I10" s="234" t="n">
        <v>43277</v>
      </c>
      <c r="J10" s="16" t="n">
        <v>36.1</v>
      </c>
      <c r="K10" s="229">
        <f>E10*J10</f>
        <v/>
      </c>
      <c r="L10" s="17" t="n">
        <v>30.5</v>
      </c>
      <c r="M10" s="229" t="n">
        <v>108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>
        <v>10</v>
      </c>
      <c r="T10" s="585">
        <f>IF(ROUND(R10*(1+V10),0)&gt;5000,ROUND(ROUND(R10*(1+V10),0)*2%,0),0)</f>
        <v/>
      </c>
      <c r="U10" s="65">
        <f>(V10*50%)/(1+50%*V10)</f>
        <v/>
      </c>
      <c r="V10" s="65" t="n"/>
      <c r="W10" s="66" t="n">
        <v>0.11</v>
      </c>
      <c r="X10" s="586">
        <f>(P10+Q10)/G10</f>
        <v/>
      </c>
      <c r="Y10" s="16">
        <f>VLOOKUP(C10,#REF!,3,FALSE)</f>
        <v/>
      </c>
      <c r="Z10" s="587">
        <f>VLOOKUP(C10,#REF!,6,FALSE)</f>
        <v/>
      </c>
      <c r="AA10" s="588">
        <f>IF(I10="",((TODAY()-A10)*G10)/365.24,((I10-A10)*G10)/365.24)</f>
        <v/>
      </c>
      <c r="AB10" s="230" t="inlineStr">
        <is>
          <t>阿水一式</t>
        </is>
      </c>
      <c r="AC10" s="230" t="inlineStr">
        <is>
          <t>跌破20MA</t>
        </is>
      </c>
    </row>
    <row r="11">
      <c r="A11" s="228" t="n">
        <v>43270</v>
      </c>
      <c r="B11" s="229" t="inlineStr">
        <is>
          <t>普通買進</t>
        </is>
      </c>
      <c r="C11" s="229" t="n">
        <v>2027</v>
      </c>
      <c r="D11" s="229">
        <f>VLOOKUP(C11,每日行情!A:B,2,FALSE)</f>
        <v/>
      </c>
      <c r="E11" s="229" t="n">
        <v>1000</v>
      </c>
      <c r="F11" s="229" t="n">
        <v>40</v>
      </c>
      <c r="G11" s="229">
        <f>E11*F11</f>
        <v/>
      </c>
      <c r="H11" s="229" t="n">
        <v>34</v>
      </c>
      <c r="I11" s="234" t="n">
        <v>43277</v>
      </c>
      <c r="J11" s="16" t="n">
        <v>36.1</v>
      </c>
      <c r="K11" s="229">
        <f>E11*J11</f>
        <v/>
      </c>
      <c r="L11" s="17" t="n">
        <v>30.5</v>
      </c>
      <c r="M11" s="229" t="n">
        <v>108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>
        <v>10</v>
      </c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>
        <v>0.11</v>
      </c>
      <c r="X11" s="586">
        <f>(P11+Q11)/G11</f>
        <v/>
      </c>
      <c r="Y11" s="16">
        <f>VLOOKUP(C11,#REF!,3,FALSE)</f>
        <v/>
      </c>
      <c r="Z11" s="587">
        <f>VLOOKUP(C11,#REF!,6,FALSE)</f>
        <v/>
      </c>
      <c r="AA11" s="588">
        <f>IF(I11="",((TODAY()-A11)*G11)/365.24,((I11-A11)*G11)/365.24)</f>
        <v/>
      </c>
      <c r="AB11" s="230" t="inlineStr">
        <is>
          <t>阿水一式</t>
        </is>
      </c>
      <c r="AC11" s="230" t="inlineStr">
        <is>
          <t>跌破20MA</t>
        </is>
      </c>
    </row>
    <row r="12">
      <c r="A12" s="734" t="n"/>
      <c r="B12" s="229" t="n"/>
      <c r="C12" s="229" t="n"/>
      <c r="D12" s="229" t="n"/>
      <c r="E12" s="229" t="n"/>
      <c r="F12" s="229" t="n"/>
      <c r="G12" s="280" t="n"/>
      <c r="H12" s="280" t="n"/>
      <c r="I12" s="234" t="n"/>
      <c r="J12" s="229" t="n"/>
      <c r="K12" s="280" t="n"/>
      <c r="L12" s="280" t="n"/>
      <c r="M12" s="280" t="n"/>
      <c r="N12" s="280" t="n"/>
      <c r="O12" s="280" t="n"/>
      <c r="P12" s="280" t="n"/>
      <c r="Q12" s="585" t="n"/>
      <c r="R12" s="280" t="n"/>
      <c r="S12" s="229" t="n"/>
      <c r="T12" s="585" t="n"/>
      <c r="U12" s="65" t="n"/>
      <c r="V12" s="285" t="n"/>
      <c r="W12" s="286" t="n"/>
      <c r="X12" s="285" t="n"/>
      <c r="Y12" s="229" t="n"/>
      <c r="Z12" s="587" t="n"/>
      <c r="AA12" s="588" t="n"/>
    </row>
    <row r="13">
      <c r="A13" s="231" t="n"/>
      <c r="B13" s="232" t="n"/>
      <c r="C13" s="232" t="n"/>
      <c r="D13" s="232" t="n"/>
      <c r="E13" s="232" t="n"/>
      <c r="F13" s="232" t="n"/>
      <c r="G13" s="232" t="n"/>
      <c r="H13" s="232" t="n"/>
      <c r="I13" s="233" t="n"/>
      <c r="J13" s="42" t="n"/>
      <c r="K13" s="232" t="n"/>
      <c r="L13" s="589" t="n"/>
      <c r="M13" s="232" t="n"/>
      <c r="N13" s="232" t="n"/>
      <c r="O13" s="590" t="n"/>
      <c r="P13" s="591" t="n"/>
      <c r="Q13" s="591" t="n"/>
      <c r="R13" s="591" t="n"/>
      <c r="S13" s="591" t="n"/>
      <c r="T13" s="591" t="n"/>
      <c r="U13" s="69" t="n"/>
      <c r="V13" s="69" t="n"/>
      <c r="W13" s="71" t="n"/>
      <c r="X13" s="592" t="n"/>
      <c r="Y13" s="42" t="n"/>
      <c r="Z13" s="47" t="n"/>
      <c r="AA13" s="588" t="n"/>
    </row>
    <row r="14">
      <c r="A14" s="228" t="n"/>
      <c r="B14" s="229" t="n"/>
      <c r="C14" s="229" t="n"/>
      <c r="D14" s="229" t="n"/>
      <c r="E14" s="229" t="n"/>
      <c r="F14" s="229" t="n"/>
      <c r="G14" s="229" t="n"/>
      <c r="H14" s="229" t="n"/>
      <c r="I14" s="234" t="n"/>
      <c r="J14" s="229" t="n"/>
      <c r="K14" s="229" t="n"/>
      <c r="L14" s="229" t="n"/>
      <c r="M14" s="229" t="n"/>
      <c r="N14" s="229" t="n"/>
      <c r="O14" s="584" t="n"/>
      <c r="P14" s="585" t="n"/>
      <c r="Q14" s="585" t="n"/>
      <c r="R14" s="585" t="n"/>
      <c r="S14" s="585" t="n"/>
      <c r="T14" s="585" t="n"/>
      <c r="U14" s="585" t="n"/>
      <c r="V14" s="65" t="n"/>
      <c r="W14" s="66" t="n"/>
      <c r="X14" s="586" t="n"/>
      <c r="Y14" s="16" t="n"/>
      <c r="Z14" s="587" t="n"/>
      <c r="AA14" s="588" t="n"/>
    </row>
    <row r="15">
      <c r="A15" s="235">
        <f>MIN(A16:A18)</f>
        <v/>
      </c>
      <c r="B15" s="236" t="n"/>
      <c r="C15" s="237" t="n"/>
      <c r="D15" s="236" t="n"/>
      <c r="E15" s="236" t="n"/>
      <c r="F15" s="236" t="n"/>
      <c r="G15" s="236" t="n"/>
      <c r="H15" s="236" t="n"/>
      <c r="I15" s="21" t="n"/>
      <c r="J15" s="22" t="n"/>
      <c r="K15" s="236" t="n"/>
      <c r="L15" s="661" t="n"/>
      <c r="M15" s="236" t="n"/>
      <c r="N15" s="236" t="n"/>
      <c r="O15" s="662" t="n"/>
      <c r="P15" s="663" t="n"/>
      <c r="Q15" s="663" t="n"/>
      <c r="R15" s="663" t="n"/>
      <c r="S15" s="663" t="n"/>
      <c r="T15" s="663" t="n"/>
      <c r="U15" s="663" t="n"/>
      <c r="V15" s="70" t="n"/>
      <c r="W15" s="72" t="n"/>
      <c r="X15" s="664" t="n"/>
      <c r="Y15" s="22" t="n"/>
      <c r="Z15" s="27" t="n"/>
      <c r="AA15" s="588" t="n"/>
    </row>
    <row r="16" hidden="1">
      <c r="A16" s="235" t="n"/>
      <c r="B16" s="236" t="n"/>
      <c r="C16" s="237" t="n"/>
      <c r="D16" s="236" t="n"/>
      <c r="E16" s="236" t="n"/>
      <c r="F16" s="236" t="n"/>
      <c r="G16" s="236" t="n"/>
      <c r="H16" s="236" t="n"/>
      <c r="I16" s="21" t="n"/>
      <c r="J16" s="22" t="n"/>
      <c r="K16" s="236" t="n"/>
      <c r="L16" s="661" t="n"/>
      <c r="M16" s="236" t="n"/>
      <c r="N16" s="236" t="n"/>
      <c r="O16" s="662" t="n"/>
      <c r="P16" s="663" t="n"/>
      <c r="Q16" s="663" t="n"/>
      <c r="R16" s="663" t="n"/>
      <c r="S16" s="663" t="n"/>
      <c r="T16" s="663" t="n"/>
      <c r="U16" s="663" t="n"/>
      <c r="V16" s="70" t="n"/>
      <c r="W16" s="72" t="n"/>
      <c r="X16" s="664" t="n"/>
      <c r="Y16" s="22" t="n"/>
      <c r="Z16" s="27" t="n"/>
      <c r="AA16" s="588">
        <f>((I16-A16)*G16)/365.24</f>
        <v/>
      </c>
    </row>
    <row r="17">
      <c r="A17" s="228" t="n"/>
      <c r="B17" s="229" t="n"/>
      <c r="C17" s="229" t="n"/>
      <c r="D17" s="229" t="n"/>
      <c r="E17" s="229" t="n"/>
      <c r="F17" s="229" t="n"/>
      <c r="G17" s="229" t="n"/>
      <c r="H17" s="229" t="n"/>
      <c r="I17" s="234" t="n"/>
      <c r="J17" s="16" t="n"/>
      <c r="K17" s="229" t="n"/>
      <c r="L17" s="17" t="n"/>
      <c r="M17" s="229" t="n"/>
      <c r="N17" s="229" t="n"/>
      <c r="O17" s="584" t="n"/>
      <c r="P17" s="585" t="n"/>
      <c r="Q17" s="585" t="n"/>
      <c r="R17" s="585" t="n"/>
      <c r="S17" s="585" t="n"/>
      <c r="T17" s="585" t="n"/>
      <c r="U17" s="65" t="n"/>
      <c r="V17" s="65" t="n"/>
      <c r="W17" s="66" t="n"/>
      <c r="X17" s="586" t="n"/>
      <c r="Y17" s="16" t="n"/>
      <c r="Z17" s="587" t="n"/>
      <c r="AA17" s="588" t="n"/>
    </row>
    <row r="18" ht="17.25" customHeight="1" thickBot="1">
      <c r="A18" s="238" t="n"/>
      <c r="B18" s="239" t="n"/>
      <c r="C18" s="239" t="n"/>
      <c r="D18" s="239" t="n"/>
      <c r="E18" s="239" t="n"/>
      <c r="F18" s="239" t="n"/>
      <c r="G18" s="239" t="n"/>
      <c r="H18" s="239" t="n"/>
      <c r="I18" s="240" t="n"/>
      <c r="J18" s="51" t="n"/>
      <c r="K18" s="239" t="n"/>
      <c r="L18" s="593" t="n"/>
      <c r="M18" s="239" t="n"/>
      <c r="N18" s="239" t="n"/>
      <c r="O18" s="594" t="n"/>
      <c r="P18" s="595" t="n"/>
      <c r="Q18" s="595" t="n"/>
      <c r="R18" s="595" t="n"/>
      <c r="S18" s="595" t="n"/>
      <c r="T18" s="596" t="n"/>
      <c r="U18" s="595" t="n"/>
      <c r="V18" s="595" t="n"/>
      <c r="W18" s="73" t="n"/>
      <c r="X18" s="597" t="n"/>
      <c r="Y18" s="51" t="n"/>
      <c r="Z18" s="56" t="n"/>
      <c r="AA18" s="588" t="n"/>
    </row>
    <row r="19" ht="17.25" customHeight="1" thickBot="1">
      <c r="A19" s="241" t="n"/>
      <c r="D19" s="226" t="n"/>
      <c r="I19" s="30" t="n"/>
      <c r="J19" s="31" t="n"/>
      <c r="L19" s="665" t="n"/>
      <c r="O19" s="666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8" t="n"/>
      <c r="Y19" s="31" t="n"/>
      <c r="Z19" s="31" t="n"/>
      <c r="AA19" s="588" t="n"/>
    </row>
    <row r="20" ht="17.25" customHeight="1" thickBot="1">
      <c r="A20" s="669" t="n"/>
      <c r="B20" s="600" t="n"/>
      <c r="C20" s="670" t="n"/>
      <c r="D20" s="569" t="inlineStr">
        <is>
          <t>持股小計</t>
        </is>
      </c>
      <c r="E20" s="736" t="n"/>
      <c r="F20" s="670" t="n"/>
      <c r="G20" s="59">
        <f>SUM(G15:G18)</f>
        <v/>
      </c>
      <c r="H20" s="59">
        <f>SUM(H15:H18)</f>
        <v/>
      </c>
      <c r="I20" s="736" t="n"/>
      <c r="J20" s="670" t="n"/>
      <c r="K20" s="59" t="n"/>
      <c r="L20" s="671" t="n"/>
      <c r="M20" s="671" t="n"/>
      <c r="N20" s="672" t="n"/>
      <c r="O20" s="59">
        <f>SUM(O15:O18)</f>
        <v/>
      </c>
      <c r="P20" s="59">
        <f>SUM(P15:P18)</f>
        <v/>
      </c>
      <c r="Q20" s="59">
        <f>SUM(Q15:Q18)</f>
        <v/>
      </c>
      <c r="R20" s="59">
        <f>SUM(R15:R18)</f>
        <v/>
      </c>
      <c r="S20" s="548" t="n"/>
      <c r="T20" s="548" t="n"/>
      <c r="U20" s="548" t="n"/>
      <c r="V20" s="548" t="n"/>
      <c r="W20" s="548" t="n"/>
      <c r="X20" s="674">
        <f>(P20+Q20)/G20</f>
        <v/>
      </c>
      <c r="Y20" s="532" t="inlineStr">
        <is>
          <t>年化報酬率</t>
        </is>
      </c>
      <c r="Z20" s="675">
        <f>IF(AA20=0,0,(P20+Q20)/(AA20))</f>
        <v/>
      </c>
      <c r="AA20" s="588">
        <f>SUM(AA15:AA18)</f>
        <v/>
      </c>
    </row>
    <row r="21" ht="17.25" customFormat="1" customHeight="1" s="244" thickBot="1">
      <c r="A21" s="602" t="n"/>
      <c r="C21" s="676" t="n"/>
      <c r="D21" s="569" t="inlineStr">
        <is>
          <t>2018總計</t>
        </is>
      </c>
      <c r="E21" s="677" t="n"/>
      <c r="F21" s="676" t="n"/>
      <c r="G21" s="60">
        <f>SUM(G6:G18)</f>
        <v/>
      </c>
      <c r="H21" s="60">
        <f>SUM(H6:H18)</f>
        <v/>
      </c>
      <c r="I21" s="677" t="n"/>
      <c r="J21" s="676" t="n"/>
      <c r="K21" s="60">
        <f>SUM(K6:K18)</f>
        <v/>
      </c>
      <c r="L21" s="60">
        <f>SUM(L6:L18)</f>
        <v/>
      </c>
      <c r="M21" s="60">
        <f>SUM(M6:M18)</f>
        <v/>
      </c>
      <c r="N21" s="60">
        <f>SUM(N6:N18)</f>
        <v/>
      </c>
      <c r="O21" s="60">
        <f>SUM(O6:O18)</f>
        <v/>
      </c>
      <c r="P21" s="60">
        <f>SUM(P6:P18)</f>
        <v/>
      </c>
      <c r="Q21" s="60">
        <f>SUM(Q6:Q18)</f>
        <v/>
      </c>
      <c r="R21" s="60">
        <f>SUM(R6:R18)</f>
        <v/>
      </c>
      <c r="S21" s="68" t="n"/>
      <c r="T21" s="68" t="n"/>
      <c r="U21" s="68" t="n"/>
      <c r="V21" s="68" t="n"/>
      <c r="W21" s="68" t="n"/>
      <c r="X21" s="674">
        <f>(P21+Q21)/G21</f>
        <v/>
      </c>
      <c r="Y21" s="604" t="n"/>
      <c r="Z21" s="675">
        <f>IF(AA21=0,0,(P21+Q21)/(AA21))</f>
        <v/>
      </c>
      <c r="AA21" s="588">
        <f>SUM(AA2:AA18)</f>
        <v/>
      </c>
      <c r="AB21" s="242" t="n"/>
      <c r="AC21" s="243" t="n"/>
    </row>
    <row r="22" ht="17.25" customFormat="1" customHeight="1" s="244" thickBot="1">
      <c r="A22" s="610" t="n"/>
      <c r="B22" s="611" t="n"/>
      <c r="C22" s="679" t="n"/>
      <c r="D22" s="569" t="inlineStr">
        <is>
          <t>總計</t>
        </is>
      </c>
      <c r="E22" s="680" t="n"/>
      <c r="F22" s="679" t="n"/>
      <c r="G22" s="60">
        <f>SUM(G2:G18)</f>
        <v/>
      </c>
      <c r="H22" s="60">
        <f>SUM(H2:H18)</f>
        <v/>
      </c>
      <c r="I22" s="680" t="n"/>
      <c r="J22" s="679" t="n"/>
      <c r="K22" s="60">
        <f>SUM(K2:K18)</f>
        <v/>
      </c>
      <c r="L22" s="60">
        <f>SUM(L2:L18)</f>
        <v/>
      </c>
      <c r="M22" s="60">
        <f>SUM(M2:M18)</f>
        <v/>
      </c>
      <c r="N22" s="60">
        <f>SUM(N2:N18)</f>
        <v/>
      </c>
      <c r="O22" s="60">
        <f>SUM(O2:O18)</f>
        <v/>
      </c>
      <c r="P22" s="60">
        <f>SUM(P2:P18)</f>
        <v/>
      </c>
      <c r="Q22" s="60">
        <f>SUM(Q2:Q18)</f>
        <v/>
      </c>
      <c r="R22" s="60">
        <f>SUM(R2:R18)</f>
        <v/>
      </c>
      <c r="S22" s="68" t="n"/>
      <c r="T22" s="68" t="n"/>
      <c r="U22" s="68" t="n"/>
      <c r="V22" s="68" t="n"/>
      <c r="W22" s="68" t="n"/>
      <c r="X22" s="674">
        <f>(P22+Q22)/G22</f>
        <v/>
      </c>
      <c r="Y22" s="613" t="n"/>
      <c r="Z22" s="675">
        <f>IF(AA22=0,0,(P22+Q22)/(AA22))</f>
        <v/>
      </c>
      <c r="AA22" s="588">
        <f>AA21+'16股'!AA55</f>
        <v/>
      </c>
      <c r="AB22" s="242" t="n"/>
      <c r="AC22" s="242" t="n"/>
    </row>
    <row r="23">
      <c r="Z23" s="737" t="n"/>
      <c r="AA23" s="588" t="n"/>
    </row>
    <row r="24" ht="17.25" customHeight="1" thickBot="1">
      <c r="A24" s="288" t="n"/>
      <c r="B24" s="245" t="n"/>
      <c r="C24" s="245" t="n"/>
      <c r="D24" s="226" t="n"/>
      <c r="AA24" s="588" t="n"/>
    </row>
    <row r="25" ht="17.25" customHeight="1" thickBot="1">
      <c r="A25" s="61" t="n"/>
      <c r="C25" s="61" t="inlineStr">
        <is>
          <t>阿水一式</t>
        </is>
      </c>
      <c r="D25" s="159" t="inlineStr">
        <is>
          <t>總計</t>
        </is>
      </c>
      <c r="E25" s="289" t="n"/>
      <c r="F25" s="289" t="n"/>
      <c r="G25" s="59">
        <f>SUMIF($AB15:$AB18,"阿水一式",G15:G18)</f>
        <v/>
      </c>
      <c r="H25" s="59">
        <f>SUMIF($AB15:$AB18,"阿水一式",H15:H18)</f>
        <v/>
      </c>
      <c r="I25" s="289" t="n"/>
      <c r="J25" s="289" t="n"/>
      <c r="K25" s="59" t="n"/>
      <c r="L25" s="671" t="n"/>
      <c r="M25" s="671" t="n"/>
      <c r="N25" s="672" t="n"/>
      <c r="O25" s="59">
        <f>SUMIF($AB15:$AB18,"阿水一式",O15:O18)</f>
        <v/>
      </c>
      <c r="P25" s="59">
        <f>SUMIF($AB6:$AB18,"阿水一式",P6:P18)</f>
        <v/>
      </c>
      <c r="Q25" s="59">
        <f>SUMIF($AB15:$AB18,"阿水一式",Q15:Q18)</f>
        <v/>
      </c>
      <c r="R25" s="59">
        <f>SUMIF($AB15:$AB18,"阿水一式",R15:R18)</f>
        <v/>
      </c>
      <c r="S25" s="548" t="n"/>
      <c r="T25" s="548" t="n"/>
      <c r="U25" s="548" t="n"/>
      <c r="V25" s="548" t="n"/>
      <c r="W25" s="548" t="n"/>
      <c r="X25" s="674">
        <f>(P25+Q25)/G25</f>
        <v/>
      </c>
      <c r="Y25" s="289" t="n"/>
      <c r="Z25" s="675">
        <f>(1+X25)^(1/((TODAY()-A6)/365.25))-1</f>
        <v/>
      </c>
      <c r="AA25" s="588">
        <f>((I25-A25)*G25)/365.24</f>
        <v/>
      </c>
    </row>
    <row r="26">
      <c r="A26" s="62" t="n"/>
      <c r="C26" s="61" t="n"/>
      <c r="D26" s="226" t="n"/>
    </row>
    <row r="27">
      <c r="A27" s="62" t="n"/>
      <c r="C27" s="61" t="n"/>
      <c r="D27" s="226" t="n"/>
    </row>
    <row r="28">
      <c r="A28" s="62" t="n"/>
      <c r="C28" s="61" t="n"/>
      <c r="D28" s="226" t="n"/>
    </row>
    <row r="29">
      <c r="A29" s="62" t="n"/>
      <c r="C29" s="61" t="n"/>
      <c r="D29" s="226" t="n"/>
    </row>
    <row r="30">
      <c r="A30" s="62" t="n"/>
      <c r="C30" s="61" t="n"/>
      <c r="D30" s="226" t="n"/>
    </row>
    <row r="31">
      <c r="A31" s="62" t="n"/>
      <c r="C31" s="61" t="n"/>
      <c r="D31" s="226" t="n"/>
    </row>
    <row r="32">
      <c r="A32" s="62" t="n"/>
      <c r="C32" s="61" t="n"/>
      <c r="D32" s="226" t="n"/>
    </row>
    <row r="33">
      <c r="A33" s="62" t="n"/>
      <c r="C33" s="61" t="n"/>
      <c r="D33" s="226" t="n"/>
    </row>
    <row r="34">
      <c r="A34" s="62" t="n"/>
      <c r="C34" s="61" t="n"/>
      <c r="D34" s="226" t="n"/>
    </row>
    <row r="35">
      <c r="A35" s="62" t="n"/>
      <c r="C35" s="61" t="n"/>
      <c r="D35" s="226" t="n"/>
    </row>
    <row r="36">
      <c r="B36" s="245" t="n"/>
      <c r="C36" s="288" t="n"/>
      <c r="D36" s="226" t="n"/>
    </row>
    <row r="37">
      <c r="B37" s="245" t="n"/>
      <c r="C37" s="288" t="n"/>
      <c r="D37" s="226" t="n"/>
    </row>
    <row r="38">
      <c r="B38" s="245" t="n"/>
      <c r="C38" s="288" t="n"/>
      <c r="D38" s="226" t="n"/>
    </row>
    <row r="39">
      <c r="B39" s="245" t="n"/>
      <c r="C39" s="288" t="n"/>
      <c r="D39" s="226" t="n"/>
    </row>
    <row r="40">
      <c r="B40" s="245" t="n"/>
      <c r="C40" s="288" t="n"/>
      <c r="D40" s="226" t="n"/>
    </row>
    <row r="41">
      <c r="B41" s="245" t="n"/>
      <c r="C41" s="288" t="n"/>
      <c r="D41" s="226" t="n"/>
    </row>
    <row r="42">
      <c r="B42" s="245" t="n"/>
      <c r="C42" s="245" t="n"/>
      <c r="D42" s="226" t="n"/>
    </row>
    <row r="43">
      <c r="B43" s="245" t="n"/>
      <c r="C43" s="245" t="n"/>
      <c r="D43" s="226" t="n"/>
    </row>
    <row r="44">
      <c r="B44" s="245" t="n"/>
      <c r="C44" s="245" t="n"/>
      <c r="D44" s="226" t="n"/>
    </row>
    <row r="45">
      <c r="B45" s="245" t="n"/>
      <c r="C45" s="245" t="n"/>
      <c r="D45" s="226" t="n"/>
    </row>
    <row r="46">
      <c r="B46" s="245" t="n"/>
      <c r="C46" s="245" t="n"/>
      <c r="D46" s="226" t="n"/>
    </row>
    <row r="47">
      <c r="B47" s="245" t="n"/>
      <c r="C47" s="245" t="n"/>
      <c r="D47" s="226" t="n"/>
    </row>
    <row r="48">
      <c r="A48" s="245" t="n"/>
      <c r="B48" s="245" t="n"/>
      <c r="C48" s="245" t="n"/>
      <c r="D48" s="226" t="n"/>
    </row>
    <row r="49">
      <c r="A49" s="245" t="n"/>
      <c r="B49" s="245" t="n"/>
      <c r="C49" s="245" t="n"/>
      <c r="D49" s="226" t="n"/>
    </row>
    <row r="50">
      <c r="A50" s="245" t="n"/>
      <c r="B50" s="245" t="n"/>
      <c r="C50" s="245" t="n"/>
      <c r="D50" s="226" t="n"/>
    </row>
    <row r="51">
      <c r="A51" s="245" t="n"/>
      <c r="B51" s="245" t="n"/>
      <c r="C51" s="245" t="n"/>
      <c r="D51" s="226" t="n"/>
    </row>
    <row r="52">
      <c r="A52" s="245" t="n"/>
      <c r="B52" s="245" t="n"/>
      <c r="C52" s="245" t="n"/>
      <c r="D52" s="226" t="n"/>
    </row>
    <row r="53">
      <c r="A53" s="245" t="n"/>
      <c r="B53" s="245" t="n"/>
      <c r="C53" s="245" t="n"/>
      <c r="D53" s="226" t="n"/>
    </row>
    <row r="54">
      <c r="A54" s="245" t="n"/>
      <c r="B54" s="245" t="n"/>
      <c r="C54" s="245" t="n"/>
      <c r="D54" s="226" t="n"/>
    </row>
    <row r="55">
      <c r="A55" s="245" t="n"/>
      <c r="B55" s="245" t="n"/>
      <c r="C55" s="245" t="n"/>
      <c r="D55" s="226" t="n"/>
    </row>
  </sheetData>
  <autoFilter ref="A1:AA57"/>
  <mergeCells count="6">
    <mergeCell ref="A20:C22"/>
    <mergeCell ref="E20:F22"/>
    <mergeCell ref="I20:J22"/>
    <mergeCell ref="Y20:Y22"/>
    <mergeCell ref="K25:N25"/>
    <mergeCell ref="K20:N20"/>
  </mergeCells>
  <conditionalFormatting sqref="Z1:AA1 Z6:Z10 Z12:AA17 Z18:Z22 Z24:AA1048576 AA2:AA10 AA18:AA23">
    <cfRule type="containsText" priority="7" operator="containsText" dxfId="1" text="△">
      <formula>NOT(ISERROR(SEARCH("△",Z1)))</formula>
    </cfRule>
    <cfRule type="containsText" priority="8" operator="containsText" dxfId="0" text="▽">
      <formula>NOT(ISERROR(SEARCH("▽",Z1)))</formula>
    </cfRule>
  </conditionalFormatting>
  <conditionalFormatting sqref="I2:I6 I12:I16 I18:I19">
    <cfRule type="expression" priority="5" dxfId="7">
      <formula>$I2&gt;(TODAY()-7)</formula>
    </cfRule>
    <cfRule type="expression" priority="6" dxfId="6">
      <formula>$I2&gt;(TODAY()-30)</formula>
    </cfRule>
  </conditionalFormatting>
  <conditionalFormatting sqref="Z10:AA10">
    <cfRule type="containsText" priority="3" operator="containsText" dxfId="1" text="△">
      <formula>NOT(ISERROR(SEARCH("△",Z10)))</formula>
    </cfRule>
    <cfRule type="containsText" priority="4" operator="containsText" dxfId="0" text="▽">
      <formula>NOT(ISERROR(SEARCH("▽",Z10)))</formula>
    </cfRule>
  </conditionalFormatting>
  <conditionalFormatting sqref="Z11:AA11">
    <cfRule type="containsText" priority="1" operator="containsText" dxfId="1" text="△">
      <formula>NOT(ISERROR(SEARCH("△",Z11)))</formula>
    </cfRule>
    <cfRule type="containsText" priority="2" operator="containsText" dxfId="0" text="▽">
      <formula>NOT(ISERROR(SEARCH("▽",Z11)))</formula>
    </cfRule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 codeName="工作表9">
    <outlinePr summaryBelow="0" summaryRight="0"/>
    <pageSetUpPr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baseColWidth="8" defaultColWidth="9" defaultRowHeight="16.5" outlineLevelRow="2"/>
  <cols>
    <col width="12.625" bestFit="1" customWidth="1" style="226" min="1" max="1"/>
    <col width="10.5" customWidth="1" style="226" min="2" max="2"/>
    <col width="20.125" bestFit="1" customWidth="1" style="226" min="3" max="3"/>
    <col width="9.5" bestFit="1" customWidth="1" style="226" min="4" max="4"/>
    <col width="10.5" bestFit="1" customWidth="1" style="245" min="5" max="5"/>
    <col width="9.5" bestFit="1" customWidth="1" style="226" min="6" max="6"/>
    <col width="8.125" bestFit="1" customWidth="1" style="226" min="7" max="7"/>
    <col width="11.875" bestFit="1" customWidth="1" style="226" min="8" max="8"/>
    <col width="10.875" bestFit="1" customWidth="1" style="226" min="9" max="9"/>
    <col collapsed="1" width="11.5" bestFit="1" customWidth="1" style="226" min="10" max="10"/>
    <col width="12.5" customWidth="1" style="226" min="11" max="11"/>
    <col width="12.875" bestFit="1" customWidth="1" style="226" min="12" max="12"/>
    <col outlineLevel="1" width="10.875" customWidth="1" style="226" min="13" max="13"/>
    <col width="9.5" bestFit="1" customWidth="1" style="686" min="14" max="14"/>
    <col hidden="1" width="5.5" customWidth="1" style="226" min="15" max="15"/>
    <col width="13.875" bestFit="1" customWidth="1" style="686" min="16" max="16"/>
    <col width="33.5" customWidth="1" style="249" min="17" max="17"/>
    <col width="7.375" bestFit="1" customWidth="1" style="249" min="18" max="18"/>
    <col width="6" bestFit="1" customWidth="1" style="226" min="19" max="19"/>
    <col width="7.125" bestFit="1" customWidth="1" style="226" min="20" max="20"/>
    <col width="6.625" bestFit="1" customWidth="1" style="226" min="21" max="21"/>
    <col width="9.5" bestFit="1" customWidth="1" style="226" min="22" max="22"/>
    <col width="8.875" bestFit="1" customWidth="1" style="226" min="23" max="23"/>
    <col width="12.5" bestFit="1" customWidth="1" style="226" min="24" max="24"/>
    <col width="11.875" bestFit="1" customWidth="1" style="226" min="25" max="25"/>
    <col width="14.875" bestFit="1" customWidth="1" style="226" min="26" max="26"/>
    <col width="14.125" bestFit="1" customWidth="1" style="226" min="27" max="27"/>
    <col width="9" customWidth="1" style="226" min="28" max="16384"/>
  </cols>
  <sheetData>
    <row r="1" ht="17.25" customFormat="1" customHeight="1" s="227" thickBot="1">
      <c r="A1" s="127" t="inlineStr">
        <is>
          <t>成交日期</t>
        </is>
      </c>
      <c r="B1" s="128" t="inlineStr">
        <is>
          <t>商品代號</t>
        </is>
      </c>
      <c r="C1" s="246" t="inlineStr">
        <is>
          <t>商品名稱</t>
        </is>
      </c>
      <c r="D1" s="247" t="inlineStr">
        <is>
          <t>新／平</t>
        </is>
      </c>
      <c r="E1" s="128" t="inlineStr">
        <is>
          <t>買賣別</t>
        </is>
      </c>
      <c r="F1" s="128" t="inlineStr">
        <is>
          <t>當沖</t>
        </is>
      </c>
      <c r="G1" s="128" t="inlineStr">
        <is>
          <t>成交量</t>
        </is>
      </c>
      <c r="H1" s="128" t="inlineStr">
        <is>
          <t>成交價</t>
        </is>
      </c>
      <c r="I1" s="687" t="inlineStr">
        <is>
          <t>權利金</t>
        </is>
      </c>
      <c r="J1" s="130" t="inlineStr">
        <is>
          <t>手續費</t>
        </is>
      </c>
      <c r="K1" s="130" t="inlineStr">
        <is>
          <t>交易稅</t>
        </is>
      </c>
      <c r="L1" s="688" t="inlineStr">
        <is>
          <t>投資損益</t>
        </is>
      </c>
      <c r="M1" s="689" t="inlineStr">
        <is>
          <t xml:space="preserve"> </t>
        </is>
      </c>
      <c r="N1" s="690" t="inlineStr">
        <is>
          <t>損益點數</t>
        </is>
      </c>
      <c r="P1" s="738" t="n"/>
      <c r="Q1" s="249" t="n"/>
      <c r="R1" s="249" t="inlineStr">
        <is>
          <t>技法</t>
        </is>
      </c>
      <c r="S1" s="227" t="inlineStr">
        <is>
          <t>夜盤</t>
        </is>
      </c>
      <c r="T1" s="227" t="inlineStr">
        <is>
          <t>技法+</t>
        </is>
      </c>
      <c r="U1" s="227" t="inlineStr">
        <is>
          <t>技法-</t>
        </is>
      </c>
      <c r="V1" s="227" t="inlineStr">
        <is>
          <t>非技法+</t>
        </is>
      </c>
      <c r="W1" s="227" t="inlineStr">
        <is>
          <t>非技法-</t>
        </is>
      </c>
      <c r="X1" s="227" t="inlineStr">
        <is>
          <t>技法/夜盤+</t>
        </is>
      </c>
      <c r="Y1" s="227" t="inlineStr">
        <is>
          <t>技法/夜盤-</t>
        </is>
      </c>
      <c r="Z1" s="227" t="inlineStr">
        <is>
          <t>非技法/夜盤+</t>
        </is>
      </c>
      <c r="AA1" s="227" t="inlineStr">
        <is>
          <t>非技法/夜盤-</t>
        </is>
      </c>
    </row>
    <row r="2" ht="17.25" customHeight="1" thickBot="1">
      <c r="A2" s="718" t="n">
        <v>43108</v>
      </c>
      <c r="B2" s="292" t="n"/>
      <c r="C2" s="292" t="inlineStr">
        <is>
          <t>富邦個人信貸</t>
        </is>
      </c>
      <c r="D2" s="292" t="n"/>
      <c r="E2" s="292" t="n"/>
      <c r="F2" s="292" t="n"/>
      <c r="G2" s="719" t="n"/>
      <c r="H2" s="719" t="n"/>
      <c r="I2" s="719" t="n"/>
      <c r="J2" s="720" t="n"/>
      <c r="K2" s="719" t="n"/>
      <c r="L2" s="720" t="n"/>
      <c r="M2" s="721" t="n">
        <v>-1217</v>
      </c>
      <c r="N2" s="666" t="n"/>
      <c r="P2" s="722" t="n"/>
      <c r="Q2" s="249" t="inlineStr">
        <is>
          <t>利息</t>
        </is>
      </c>
      <c r="S2" s="739" t="n"/>
      <c r="T2" s="61" t="n"/>
      <c r="U2" s="61" t="n"/>
      <c r="V2" s="61" t="n"/>
      <c r="W2" s="61" t="n"/>
    </row>
    <row r="3" ht="17.25" customHeight="1" thickBot="1">
      <c r="A3" s="718" t="n">
        <v>43108</v>
      </c>
      <c r="B3" s="292" t="n"/>
      <c r="C3" s="292" t="inlineStr">
        <is>
          <t>遠傳4G網路</t>
        </is>
      </c>
      <c r="D3" s="292" t="n"/>
      <c r="E3" s="292" t="n"/>
      <c r="F3" s="292" t="n"/>
      <c r="G3" s="719" t="n"/>
      <c r="H3" s="719" t="n"/>
      <c r="I3" s="719" t="n"/>
      <c r="J3" s="720" t="n"/>
      <c r="K3" s="719" t="n"/>
      <c r="L3" s="720" t="n"/>
      <c r="M3" s="721" t="n">
        <v>364</v>
      </c>
      <c r="N3" s="666" t="n"/>
      <c r="P3" s="722" t="n"/>
      <c r="S3" s="739" t="n"/>
      <c r="T3" s="61" t="n"/>
      <c r="U3" s="61" t="n"/>
      <c r="V3" s="61" t="n"/>
      <c r="W3" s="61" t="n"/>
    </row>
    <row r="4" ht="17.25" customHeight="1" thickBot="1">
      <c r="A4" s="718" t="n">
        <v>43119</v>
      </c>
      <c r="B4" s="292" t="n"/>
      <c r="C4" s="292" t="inlineStr">
        <is>
          <t>阿水制霸班</t>
        </is>
      </c>
      <c r="D4" s="292" t="n"/>
      <c r="E4" s="292" t="n"/>
      <c r="F4" s="292" t="n"/>
      <c r="G4" s="719" t="n"/>
      <c r="H4" s="719" t="n"/>
      <c r="I4" s="719" t="n"/>
      <c r="J4" s="720" t="n"/>
      <c r="K4" s="719" t="n"/>
      <c r="L4" s="720" t="n"/>
      <c r="M4" s="721" t="n">
        <v>-4490</v>
      </c>
      <c r="N4" s="666" t="n"/>
      <c r="P4" s="722" t="n"/>
      <c r="Q4" s="249" t="inlineStr">
        <is>
          <t>53888分12期, 每期4490, 12-02</t>
        </is>
      </c>
      <c r="S4" s="739" t="n"/>
      <c r="T4" s="61" t="n"/>
      <c r="U4" s="61" t="n"/>
      <c r="V4" s="61" t="n"/>
      <c r="W4" s="61" t="n"/>
    </row>
    <row r="5" collapsed="1" ht="17.25" customHeight="1" thickBot="1">
      <c r="A5" s="718" t="n">
        <v>43122</v>
      </c>
      <c r="B5" s="292" t="n"/>
      <c r="C5" s="292" t="inlineStr">
        <is>
          <t>阿水財經三班</t>
        </is>
      </c>
      <c r="D5" s="292" t="n"/>
      <c r="E5" s="292" t="n"/>
      <c r="F5" s="292" t="n"/>
      <c r="G5" s="719" t="n"/>
      <c r="H5" s="719" t="n"/>
      <c r="I5" s="719" t="n"/>
      <c r="J5" s="720" t="n"/>
      <c r="K5" s="719" t="n"/>
      <c r="L5" s="720" t="n"/>
      <c r="M5" s="721" t="n">
        <v>-8240</v>
      </c>
      <c r="N5" s="666" t="n"/>
      <c r="P5" s="722" t="n"/>
      <c r="Q5" s="249" t="inlineStr">
        <is>
          <t>98888分12期, 每期8240</t>
        </is>
      </c>
      <c r="S5" s="739" t="n"/>
      <c r="T5" s="61" t="n"/>
      <c r="U5" s="61" t="n"/>
      <c r="V5" s="61" t="n"/>
      <c r="W5" s="61" t="n"/>
    </row>
    <row r="6" hidden="1" outlineLevel="1" ht="17.25" customHeight="1" thickBot="1">
      <c r="A6" s="718" t="n">
        <v>43128</v>
      </c>
      <c r="B6" s="292" t="n"/>
      <c r="C6" s="292" t="inlineStr">
        <is>
          <t>阿水財經四班</t>
        </is>
      </c>
      <c r="D6" s="292" t="n"/>
      <c r="E6" s="292" t="n"/>
      <c r="F6" s="292" t="n"/>
      <c r="G6" s="719" t="n"/>
      <c r="H6" s="719" t="n"/>
      <c r="I6" s="719" t="n"/>
      <c r="J6" s="720" t="n"/>
      <c r="K6" s="719" t="n"/>
      <c r="L6" s="720" t="n"/>
      <c r="M6" s="721" t="n">
        <v>-5000</v>
      </c>
      <c r="N6" s="666" t="n"/>
      <c r="P6" s="722" t="n"/>
      <c r="Q6" s="249" t="inlineStr">
        <is>
          <t>60000分12期, 每期5000</t>
        </is>
      </c>
      <c r="S6" s="739" t="n"/>
      <c r="T6" s="61" t="n"/>
      <c r="U6" s="61" t="n"/>
      <c r="V6" s="61" t="n"/>
      <c r="W6" s="61" t="n"/>
    </row>
    <row r="7" hidden="1" outlineLevel="1" ht="17.1" customHeight="1">
      <c r="A7" s="740" t="n">
        <v>43110</v>
      </c>
      <c r="B7" s="299" t="inlineStr">
        <is>
          <t>TXO</t>
        </is>
      </c>
      <c r="C7" s="300" t="inlineStr">
        <is>
          <t>台選W2 01 10900 C</t>
        </is>
      </c>
      <c r="D7" s="300" t="inlineStr">
        <is>
          <t>新倉</t>
        </is>
      </c>
      <c r="E7" s="301" t="inlineStr">
        <is>
          <t>買</t>
        </is>
      </c>
      <c r="F7" s="300" t="inlineStr">
        <is>
          <t>-</t>
        </is>
      </c>
      <c r="G7" s="741" t="n">
        <v>10</v>
      </c>
      <c r="H7" s="741" t="n">
        <v>4</v>
      </c>
      <c r="I7" s="741" t="n">
        <v>-2000</v>
      </c>
      <c r="J7" s="742" t="n">
        <v>180</v>
      </c>
      <c r="K7" s="742" t="n">
        <v>0</v>
      </c>
      <c r="L7" s="742">
        <f>IF(B7="TXO",I7-SUM(J7:K7),IF(B7="FITX",IF(D7="新倉",-SUM(J7:K7),IF(E7="賣",(H7-H1)*G7*200-SUM(J7:K7),(H1-H7)*G7*200-SUM(J7:K7))),IF(D7="新倉",-SUM(J7:K7),IF(E7="賣",(H7-H1)*G7*50-SUM(J7:K7),(H1-H7)*G7*50-SUM(J7:K7)))))</f>
        <v/>
      </c>
      <c r="M7" s="743">
        <f>L7</f>
        <v/>
      </c>
      <c r="N7" s="686">
        <f>IF(B7="TXO","",IF(D7="新倉","",IF(E7="賣",(H7-H1)*G7,(H1-H7)*G7)))</f>
        <v/>
      </c>
      <c r="O7" s="226">
        <f>ABS(I7)</f>
        <v/>
      </c>
      <c r="P7" s="667">
        <f>SUM(L7:L10)</f>
        <v/>
      </c>
      <c r="S7" s="739" t="n"/>
      <c r="T7" s="61" t="n"/>
      <c r="U7" s="61" t="n"/>
      <c r="V7" s="61" t="n"/>
      <c r="W7" s="61" t="n"/>
    </row>
    <row r="8" hidden="1" outlineLevel="2" ht="17.1" customHeight="1">
      <c r="A8" s="740" t="n">
        <v>43110</v>
      </c>
      <c r="B8" s="299" t="inlineStr">
        <is>
          <t>TXO</t>
        </is>
      </c>
      <c r="C8" s="300" t="inlineStr">
        <is>
          <t>台選W2 01 10900 C</t>
        </is>
      </c>
      <c r="D8" s="300" t="inlineStr">
        <is>
          <t>平倉</t>
        </is>
      </c>
      <c r="E8" s="301" t="inlineStr">
        <is>
          <t>賣</t>
        </is>
      </c>
      <c r="F8" s="300" t="inlineStr">
        <is>
          <t>-</t>
        </is>
      </c>
      <c r="G8" s="741" t="n">
        <v>10</v>
      </c>
      <c r="H8" s="741" t="n">
        <v>0.1</v>
      </c>
      <c r="I8" s="741" t="n">
        <v>50</v>
      </c>
      <c r="J8" s="742" t="n">
        <v>180</v>
      </c>
      <c r="K8" s="742" t="n">
        <v>0</v>
      </c>
      <c r="L8" s="742">
        <f>IF(B8="TXO",I8-SUM(J8:K8),IF(B8="FITX",IF(D8="新倉",-SUM(J8:K8),IF(E8="賣",(H8-H7)*G8*200-SUM(J8:K8),(H7-H8)*G8*200-SUM(J8:K8))),IF(D8="新倉",-SUM(J8:K8),IF(E8="賣",(H8-H7)*G8*50-SUM(J8:K8),(H7-H8)*G8*50-SUM(J8:K8)))))</f>
        <v/>
      </c>
      <c r="M8" s="743">
        <f>L8</f>
        <v/>
      </c>
      <c r="N8" s="686">
        <f>IF(B8="TXO","",IF(D8="新倉","",IF(E8="賣",(H8-H7)*G8,(H7-H8)*G8)))</f>
        <v/>
      </c>
      <c r="O8" s="226">
        <f>ABS(I8)</f>
        <v/>
      </c>
      <c r="P8" s="667" t="n"/>
      <c r="S8" s="739" t="n"/>
      <c r="T8" s="61" t="n"/>
      <c r="U8" s="61" t="n"/>
      <c r="V8" s="61" t="n"/>
      <c r="W8" s="61" t="n"/>
    </row>
    <row r="9" hidden="1" outlineLevel="2" ht="17.1" customHeight="1">
      <c r="A9" s="740" t="n">
        <v>43110</v>
      </c>
      <c r="B9" s="299" t="inlineStr">
        <is>
          <t>TXO</t>
        </is>
      </c>
      <c r="C9" s="300" t="inlineStr">
        <is>
          <t>台選W2 01 10900 C</t>
        </is>
      </c>
      <c r="D9" s="300" t="inlineStr">
        <is>
          <t>新倉</t>
        </is>
      </c>
      <c r="E9" s="301" t="inlineStr">
        <is>
          <t>買</t>
        </is>
      </c>
      <c r="F9" s="300" t="inlineStr">
        <is>
          <t>-</t>
        </is>
      </c>
      <c r="G9" s="741" t="n">
        <v>5</v>
      </c>
      <c r="H9" s="741" t="n">
        <v>10</v>
      </c>
      <c r="I9" s="741" t="n">
        <v>-2500</v>
      </c>
      <c r="J9" s="742" t="n">
        <v>90</v>
      </c>
      <c r="K9" s="742" t="n">
        <v>5</v>
      </c>
      <c r="L9" s="742">
        <f>IF(B9="TXO",I9-SUM(J9:K9),IF(B9="FITX",IF(D9="新倉",-SUM(J9:K9),IF(E9="賣",(H9-H8)*G9*200-SUM(J9:K9),(H8-H9)*G9*200-SUM(J9:K9))),IF(D9="新倉",-SUM(J9:K9),IF(E9="賣",(H9-H8)*G9*50-SUM(J9:K9),(H8-H9)*G9*50-SUM(J9:K9)))))</f>
        <v/>
      </c>
      <c r="M9" s="743">
        <f>L9</f>
        <v/>
      </c>
      <c r="N9" s="686">
        <f>IF(B9="TXO","",IF(D9="新倉","",IF(E9="賣",(H9-H8)*G9,(H8-H9)*G9)))</f>
        <v/>
      </c>
      <c r="O9" s="226">
        <f>ABS(I9)</f>
        <v/>
      </c>
      <c r="P9" s="667" t="n"/>
      <c r="S9" s="739" t="n"/>
      <c r="T9" s="61" t="n"/>
      <c r="U9" s="61" t="n"/>
      <c r="V9" s="61" t="n"/>
      <c r="W9" s="61" t="n"/>
    </row>
    <row r="10" hidden="1" outlineLevel="2" ht="17.1" customHeight="1">
      <c r="A10" s="740" t="n">
        <v>43110</v>
      </c>
      <c r="B10" s="299" t="inlineStr">
        <is>
          <t>TXO</t>
        </is>
      </c>
      <c r="C10" s="300" t="inlineStr">
        <is>
          <t>台選W2 01 10900 C</t>
        </is>
      </c>
      <c r="D10" s="300" t="inlineStr">
        <is>
          <t>平倉</t>
        </is>
      </c>
      <c r="E10" s="301" t="inlineStr">
        <is>
          <t>賣</t>
        </is>
      </c>
      <c r="F10" s="300" t="inlineStr">
        <is>
          <t>-</t>
        </is>
      </c>
      <c r="G10" s="741" t="n">
        <v>5</v>
      </c>
      <c r="H10" s="741" t="n">
        <v>0.1</v>
      </c>
      <c r="I10" s="741" t="n">
        <v>25</v>
      </c>
      <c r="J10" s="742" t="n">
        <v>90</v>
      </c>
      <c r="K10" s="742" t="n">
        <v>0</v>
      </c>
      <c r="L10" s="742">
        <f>IF(B10="TXO",I10-SUM(J10:K10),IF(B10="FITX",IF(D10="新倉",-SUM(J10:K10),IF(E10="賣",(H10-H9)*G10*200-SUM(J10:K10),(H9-H10)*G10*200-SUM(J10:K10))),IF(D10="新倉",-SUM(J10:K10),IF(E10="賣",(H10-H9)*G10*50-SUM(J10:K10),(H9-H10)*G10*50-SUM(J10:K10)))))</f>
        <v/>
      </c>
      <c r="M10" s="743">
        <f>L10</f>
        <v/>
      </c>
      <c r="N10" s="686">
        <f>IF(B10="TXO","",IF(D10="新倉","",IF(E10="賣",(H10-H9)*G10,(H9-H10)*G10)))</f>
        <v/>
      </c>
      <c r="O10" s="226">
        <f>ABS(I10)</f>
        <v/>
      </c>
      <c r="P10" s="667" t="n"/>
      <c r="S10" s="739" t="n"/>
      <c r="T10" s="61" t="n"/>
      <c r="U10" s="61" t="n"/>
      <c r="V10" s="61" t="n"/>
      <c r="W10" s="61" t="n"/>
    </row>
    <row r="11" hidden="1" outlineLevel="1" ht="17.1" customHeight="1">
      <c r="A11" s="696" t="n">
        <v>43111</v>
      </c>
      <c r="B11" s="234" t="inlineStr">
        <is>
          <t>TXO</t>
        </is>
      </c>
      <c r="C11" s="229" t="inlineStr">
        <is>
          <t>台指選 01 10850 C</t>
        </is>
      </c>
      <c r="D11" s="229" t="inlineStr">
        <is>
          <t>新倉</t>
        </is>
      </c>
      <c r="E11" s="229" t="inlineStr">
        <is>
          <t>買</t>
        </is>
      </c>
      <c r="F11" s="229" t="inlineStr">
        <is>
          <t>-</t>
        </is>
      </c>
      <c r="G11" s="697" t="n">
        <v>1</v>
      </c>
      <c r="H11" s="697" t="n">
        <v>37</v>
      </c>
      <c r="I11" s="697" t="n">
        <v>-1850</v>
      </c>
      <c r="J11" s="585" t="n">
        <v>18</v>
      </c>
      <c r="K11" s="749" t="n">
        <v>2</v>
      </c>
      <c r="L11" s="585">
        <f>IF(B11="TXO",I11-SUM(J11:K11),IF(B11="FITX",IF(D11="新倉",-SUM(J11:K11),IF(E11="賣",(H11-H10)*G11*200-SUM(J11:K11),(H10-H11)*G11*200-SUM(J11:K11))),IF(D11="新倉",-SUM(J11:K11),IF(E11="賣",(H11-H10)*G11*50-SUM(J11:K11),(H10-H11)*G11*50-SUM(J11:K11)))))</f>
        <v/>
      </c>
      <c r="M11" s="699">
        <f>L11</f>
        <v/>
      </c>
      <c r="N11" s="686">
        <f>IF(B11="TXO","",IF(D11="新倉","",IF(E11="賣",(H11-H10)*G11,(H10-H11)*G11)))</f>
        <v/>
      </c>
      <c r="O11" s="226">
        <f>ABS(I11)</f>
        <v/>
      </c>
      <c r="P11" s="667">
        <f>SUM(L11:L15)</f>
        <v/>
      </c>
      <c r="S11" s="739" t="n"/>
      <c r="T11" s="61" t="n"/>
      <c r="U11" s="61" t="n"/>
      <c r="V11" s="61" t="n"/>
      <c r="W11" s="61" t="n"/>
    </row>
    <row r="12" hidden="1" outlineLevel="2" ht="17.1" customHeight="1">
      <c r="A12" s="696" t="n">
        <v>43111</v>
      </c>
      <c r="B12" s="234" t="inlineStr">
        <is>
          <t>TXO</t>
        </is>
      </c>
      <c r="C12" s="229" t="inlineStr">
        <is>
          <t>台指選 01 10850 C</t>
        </is>
      </c>
      <c r="D12" s="229" t="inlineStr">
        <is>
          <t>平倉</t>
        </is>
      </c>
      <c r="E12" s="229" t="inlineStr">
        <is>
          <t>賣</t>
        </is>
      </c>
      <c r="F12" s="229" t="inlineStr">
        <is>
          <t>-</t>
        </is>
      </c>
      <c r="G12" s="697" t="n">
        <v>1</v>
      </c>
      <c r="H12" s="697" t="n">
        <v>17.5</v>
      </c>
      <c r="I12" s="697" t="n">
        <v>875</v>
      </c>
      <c r="J12" s="585" t="n">
        <v>18</v>
      </c>
      <c r="K12" s="749" t="n">
        <v>1</v>
      </c>
      <c r="L12" s="585">
        <f>IF(B12="TXO",I12-SUM(J12:K12),IF(B12="FITX",IF(D12="新倉",-SUM(J12:K12),IF(E12="賣",(H12-H11)*G12*200-SUM(J12:K12),(H11-H12)*G12*200-SUM(J12:K12))),IF(D12="新倉",-SUM(J12:K12),IF(E12="賣",(H12-H11)*G12*50-SUM(J12:K12),(H11-H12)*G12*50-SUM(J12:K12)))))</f>
        <v/>
      </c>
      <c r="M12" s="699">
        <f>L12</f>
        <v/>
      </c>
      <c r="N12" s="686">
        <f>IF(B12="TXO","",IF(D12="新倉","",IF(E12="賣",(H12-H11)*G12,(H11-H12)*G12)))</f>
        <v/>
      </c>
      <c r="O12" s="226">
        <f>ABS(I12)</f>
        <v/>
      </c>
      <c r="P12" s="667" t="n"/>
      <c r="S12" s="739" t="n"/>
      <c r="T12" s="61" t="n"/>
      <c r="U12" s="61" t="n"/>
      <c r="V12" s="61" t="n"/>
      <c r="W12" s="61" t="n"/>
    </row>
    <row r="13" hidden="1" outlineLevel="2" ht="17.1" customHeight="1">
      <c r="A13" s="696" t="n">
        <v>43111</v>
      </c>
      <c r="B13" s="234" t="inlineStr">
        <is>
          <t>TXO</t>
        </is>
      </c>
      <c r="C13" s="229" t="inlineStr">
        <is>
          <t>台指選 01 10750 P</t>
        </is>
      </c>
      <c r="D13" s="229" t="inlineStr">
        <is>
          <t>新倉</t>
        </is>
      </c>
      <c r="E13" s="229" t="inlineStr">
        <is>
          <t>買</t>
        </is>
      </c>
      <c r="F13" s="229" t="inlineStr">
        <is>
          <t>-</t>
        </is>
      </c>
      <c r="G13" s="697" t="n">
        <v>1</v>
      </c>
      <c r="H13" s="697" t="n">
        <v>29</v>
      </c>
      <c r="I13" s="697" t="n">
        <v>-1450</v>
      </c>
      <c r="J13" s="585" t="n">
        <v>18</v>
      </c>
      <c r="K13" s="749" t="n">
        <v>1</v>
      </c>
      <c r="L13" s="585">
        <f>IF(B13="TXO",I13-SUM(J13:K13),IF(B13="FITX",IF(D13="新倉",-SUM(J13:K13),IF(E13="賣",(H13-H12)*G13*200-SUM(J13:K13),(H12-H13)*G13*200-SUM(J13:K13))),IF(D13="新倉",-SUM(J13:K13),IF(E13="賣",(H13-H12)*G13*50-SUM(J13:K13),(H12-H13)*G13*50-SUM(J13:K13)))))</f>
        <v/>
      </c>
      <c r="M13" s="699">
        <f>L13</f>
        <v/>
      </c>
      <c r="N13" s="686">
        <f>IF(B13="TXO","",IF(D13="新倉","",IF(E13="賣",(H13-H12)*G13,(H12-H13)*G13)))</f>
        <v/>
      </c>
      <c r="O13" s="226">
        <f>ABS(I13)</f>
        <v/>
      </c>
      <c r="P13" s="667" t="n"/>
      <c r="S13" s="739" t="n"/>
      <c r="T13" s="61" t="n"/>
      <c r="U13" s="61" t="n"/>
      <c r="V13" s="61" t="n"/>
      <c r="W13" s="61" t="n"/>
    </row>
    <row r="14" hidden="1" outlineLevel="2" ht="17.1" customHeight="1">
      <c r="A14" s="696" t="n">
        <v>43111</v>
      </c>
      <c r="B14" s="234" t="inlineStr">
        <is>
          <t>TXO</t>
        </is>
      </c>
      <c r="C14" s="229" t="inlineStr">
        <is>
          <t>台指選 01 10400 P</t>
        </is>
      </c>
      <c r="D14" s="229" t="inlineStr">
        <is>
          <t>新倉</t>
        </is>
      </c>
      <c r="E14" s="229" t="inlineStr">
        <is>
          <t>買</t>
        </is>
      </c>
      <c r="F14" s="229" t="inlineStr">
        <is>
          <t>-</t>
        </is>
      </c>
      <c r="G14" s="697" t="n">
        <v>5</v>
      </c>
      <c r="H14" s="697" t="n">
        <v>1.4</v>
      </c>
      <c r="I14" s="697" t="n">
        <v>-350</v>
      </c>
      <c r="J14" s="585" t="n">
        <v>90</v>
      </c>
      <c r="K14" s="749" t="n">
        <v>0</v>
      </c>
      <c r="L14" s="585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/>
      </c>
      <c r="M14" s="699">
        <f>L14</f>
        <v/>
      </c>
      <c r="N14" s="686">
        <f>IF(B14="TXO","",IF(D14="新倉","",IF(E14="賣",(H14-H13)*G14,(H13-H14)*G14)))</f>
        <v/>
      </c>
      <c r="O14" s="226">
        <f>ABS(I14)</f>
        <v/>
      </c>
      <c r="P14" s="667" t="n"/>
      <c r="S14" s="739" t="n"/>
      <c r="T14" s="61" t="n"/>
      <c r="U14" s="61" t="n"/>
      <c r="V14" s="61" t="n"/>
      <c r="W14" s="61" t="n"/>
    </row>
    <row r="15" hidden="1" outlineLevel="2" ht="17.1" customHeight="1">
      <c r="A15" s="696" t="n">
        <v>43111</v>
      </c>
      <c r="B15" s="234" t="inlineStr">
        <is>
          <t>TXO</t>
        </is>
      </c>
      <c r="C15" s="229" t="inlineStr">
        <is>
          <t>台指選 01 10650 P</t>
        </is>
      </c>
      <c r="D15" s="229" t="inlineStr">
        <is>
          <t>新倉</t>
        </is>
      </c>
      <c r="E15" s="229" t="inlineStr">
        <is>
          <t>買</t>
        </is>
      </c>
      <c r="F15" s="229" t="inlineStr">
        <is>
          <t>-</t>
        </is>
      </c>
      <c r="G15" s="697" t="n">
        <v>2</v>
      </c>
      <c r="H15" s="697" t="n">
        <v>11.5</v>
      </c>
      <c r="I15" s="697" t="n">
        <v>-1150</v>
      </c>
      <c r="J15" s="585" t="n">
        <v>36</v>
      </c>
      <c r="K15" s="749" t="n">
        <v>2</v>
      </c>
      <c r="L15" s="585">
        <f>IF(B15="TXO",I15-SUM(J15:K15),IF(B15="FITX",IF(D15="新倉",-SUM(J15:K15),IF(E15="賣",(H15-H14)*G15*200-SUM(J15:K15),(H14-H15)*G15*200-SUM(J15:K15))),IF(D15="新倉",-SUM(J15:K15),IF(E15="賣",(H15-H14)*G15*50-SUM(J15:K15),(H14-H15)*G15*50-SUM(J15:K15)))))</f>
        <v/>
      </c>
      <c r="M15" s="699">
        <f>L15</f>
        <v/>
      </c>
      <c r="N15" s="686">
        <f>IF(B15="TXO","",IF(D15="新倉","",IF(E15="賣",(H15-H14)*G15,(H14-H15)*G15)))</f>
        <v/>
      </c>
      <c r="O15" s="226">
        <f>ABS(I15)</f>
        <v/>
      </c>
      <c r="P15" s="667" t="n"/>
      <c r="S15" s="739" t="n"/>
      <c r="T15" s="61" t="n"/>
      <c r="U15" s="61" t="n"/>
      <c r="V15" s="61" t="n"/>
      <c r="W15" s="61" t="n"/>
    </row>
    <row r="16" hidden="1" outlineLevel="1" ht="17.1" customHeight="1">
      <c r="A16" s="740" t="n">
        <v>43118</v>
      </c>
      <c r="B16" s="299" t="inlineStr">
        <is>
          <t>TXO</t>
        </is>
      </c>
      <c r="C16" s="300" t="inlineStr">
        <is>
          <t>台選W4 01 10950 P</t>
        </is>
      </c>
      <c r="D16" s="300" t="inlineStr">
        <is>
          <t>新倉</t>
        </is>
      </c>
      <c r="E16" s="301" t="inlineStr">
        <is>
          <t>買</t>
        </is>
      </c>
      <c r="F16" s="300" t="inlineStr">
        <is>
          <t>-</t>
        </is>
      </c>
      <c r="G16" s="741" t="n">
        <v>1</v>
      </c>
      <c r="H16" s="741" t="n">
        <v>19.5</v>
      </c>
      <c r="I16" s="741" t="n">
        <v>-975</v>
      </c>
      <c r="J16" s="742" t="n">
        <v>18</v>
      </c>
      <c r="K16" s="742" t="n">
        <v>1</v>
      </c>
      <c r="L16" s="742">
        <f>IF(B16="TXO",I16-SUM(J16:K16),IF(B16="FITX",IF(D16="新倉",-SUM(J16:K16),IF(E16="賣",(H16-H15)*G16*200-SUM(J16:K16),(H15-H16)*G16*200-SUM(J16:K16))),IF(D16="新倉",-SUM(J16:K16),IF(E16="賣",(H16-H15)*G16*50-SUM(J16:K16),(H15-H16)*G16*50-SUM(J16:K16)))))</f>
        <v/>
      </c>
      <c r="M16" s="743">
        <f>L16</f>
        <v/>
      </c>
      <c r="N16" s="686">
        <f>IF(B16="TXO","",IF(D16="新倉","",IF(E16="賣",(H16-H15)*G16,(H15-H16)*G16)))</f>
        <v/>
      </c>
      <c r="O16" s="226">
        <f>ABS(I16)</f>
        <v/>
      </c>
      <c r="P16" s="667">
        <f>SUM(L16:L17)</f>
        <v/>
      </c>
      <c r="S16" s="739" t="n"/>
      <c r="T16" s="61" t="n"/>
      <c r="U16" s="61" t="n"/>
      <c r="V16" s="61" t="n"/>
      <c r="W16" s="61" t="n"/>
    </row>
    <row r="17" hidden="1" outlineLevel="2" ht="17.1" customHeight="1">
      <c r="A17" s="740" t="n">
        <v>43118</v>
      </c>
      <c r="B17" s="299" t="inlineStr">
        <is>
          <t>TXO</t>
        </is>
      </c>
      <c r="C17" s="300" t="inlineStr">
        <is>
          <t>台選W4 01 10950 P</t>
        </is>
      </c>
      <c r="D17" s="300" t="inlineStr">
        <is>
          <t>平倉</t>
        </is>
      </c>
      <c r="E17" s="301" t="inlineStr">
        <is>
          <t>賣</t>
        </is>
      </c>
      <c r="F17" s="300" t="inlineStr">
        <is>
          <t>-</t>
        </is>
      </c>
      <c r="G17" s="741" t="n">
        <v>1</v>
      </c>
      <c r="H17" s="741" t="n">
        <v>11</v>
      </c>
      <c r="I17" s="741" t="n">
        <v>550</v>
      </c>
      <c r="J17" s="742" t="n">
        <v>18</v>
      </c>
      <c r="K17" s="742" t="n">
        <v>1</v>
      </c>
      <c r="L17" s="742">
        <f>IF(B17="TXO",I17-SUM(J17:K17),IF(B17="FITX",IF(D17="新倉",-SUM(J17:K17),IF(E17="賣",(H17-H16)*G17*200-SUM(J17:K17),(H16-H17)*G17*200-SUM(J17:K17))),IF(D17="新倉",-SUM(J17:K17),IF(E17="賣",(H17-H16)*G17*50-SUM(J17:K17),(H16-H17)*G17*50-SUM(J17:K17)))))</f>
        <v/>
      </c>
      <c r="M17" s="743">
        <f>L17</f>
        <v/>
      </c>
      <c r="N17" s="686">
        <f>IF(B17="TXO","",IF(D17="新倉","",IF(E17="賣",(H17-H16)*G17,(H16-H17)*G17)))</f>
        <v/>
      </c>
      <c r="O17" s="226">
        <f>ABS(I17)</f>
        <v/>
      </c>
      <c r="P17" s="667" t="n"/>
      <c r="S17" s="739" t="n"/>
      <c r="T17" s="61" t="n"/>
      <c r="U17" s="61" t="n"/>
      <c r="V17" s="61" t="n"/>
      <c r="W17" s="61" t="n"/>
    </row>
    <row r="18" hidden="1" outlineLevel="1" ht="17.1" customHeight="1">
      <c r="A18" s="696" t="n">
        <v>43124</v>
      </c>
      <c r="B18" s="234" t="inlineStr">
        <is>
          <t>TXO</t>
        </is>
      </c>
      <c r="C18" s="229" t="inlineStr">
        <is>
          <t>台選W4 01 11250 P</t>
        </is>
      </c>
      <c r="D18" s="229" t="inlineStr">
        <is>
          <t>新倉</t>
        </is>
      </c>
      <c r="E18" s="229" t="inlineStr">
        <is>
          <t>買</t>
        </is>
      </c>
      <c r="F18" s="229" t="inlineStr">
        <is>
          <t>-</t>
        </is>
      </c>
      <c r="G18" s="697" t="n">
        <v>1</v>
      </c>
      <c r="H18" s="697" t="n">
        <v>100</v>
      </c>
      <c r="I18" s="697" t="n">
        <v>-5000</v>
      </c>
      <c r="J18" s="585" t="n">
        <v>18</v>
      </c>
      <c r="K18" s="749" t="n">
        <v>5</v>
      </c>
      <c r="L18" s="585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/>
      </c>
      <c r="M18" s="699">
        <f>L18</f>
        <v/>
      </c>
      <c r="N18" s="686">
        <f>IF(B18="TXO","",IF(D18="新倉","",IF(E18="賣",(H18-H17)*G18,(H17-H18)*G18)))</f>
        <v/>
      </c>
      <c r="O18" s="226">
        <f>ABS(I18)</f>
        <v/>
      </c>
      <c r="P18" s="667">
        <f>SUM(L18:L21)</f>
        <v/>
      </c>
      <c r="S18" s="739" t="n"/>
      <c r="T18" s="61" t="n"/>
      <c r="U18" s="61" t="n"/>
      <c r="V18" s="61" t="n"/>
      <c r="W18" s="61" t="n"/>
    </row>
    <row r="19" hidden="1" outlineLevel="2" ht="17.1" customHeight="1">
      <c r="A19" s="696" t="n">
        <v>43124</v>
      </c>
      <c r="B19" s="234" t="inlineStr">
        <is>
          <t>TXO</t>
        </is>
      </c>
      <c r="C19" s="229" t="inlineStr">
        <is>
          <t>台選W4 01 11250 P</t>
        </is>
      </c>
      <c r="D19" s="229" t="inlineStr">
        <is>
          <t>平倉</t>
        </is>
      </c>
      <c r="E19" s="229" t="inlineStr">
        <is>
          <t>賣</t>
        </is>
      </c>
      <c r="F19" s="229" t="inlineStr">
        <is>
          <t>-</t>
        </is>
      </c>
      <c r="G19" s="697" t="n">
        <v>1</v>
      </c>
      <c r="H19" s="697" t="n">
        <v>109</v>
      </c>
      <c r="I19" s="697" t="n">
        <v>5450</v>
      </c>
      <c r="J19" s="585" t="n">
        <v>18</v>
      </c>
      <c r="K19" s="749" t="n">
        <v>5</v>
      </c>
      <c r="L19" s="585">
        <f>IF(B19="TXO",I19-SUM(J19:K19),IF(B19="FITX",IF(D19="新倉",-SUM(J19:K19),IF(E19="賣",(H19-H18)*G19*200-SUM(J19:K19),(H18-H19)*G19*200-SUM(J19:K19))),IF(D19="新倉",-SUM(J19:K19),IF(E19="賣",(H19-H18)*G19*50-SUM(J19:K19),(H18-H19)*G19*50-SUM(J19:K19)))))</f>
        <v/>
      </c>
      <c r="M19" s="699">
        <f>L19</f>
        <v/>
      </c>
      <c r="N19" s="686">
        <f>IF(B19="TXO","",IF(D19="新倉","",IF(E19="賣",(H19-H18)*G19,(H18-H19)*G19)))</f>
        <v/>
      </c>
      <c r="O19" s="226">
        <f>ABS(I19)</f>
        <v/>
      </c>
      <c r="P19" s="667" t="n"/>
      <c r="S19" s="739" t="n"/>
      <c r="T19" s="61" t="n"/>
      <c r="U19" s="61" t="n"/>
      <c r="V19" s="61" t="n"/>
      <c r="W19" s="61" t="n"/>
    </row>
    <row r="20" hidden="1" outlineLevel="2" ht="17.1" customHeight="1">
      <c r="A20" s="696" t="n">
        <v>43124</v>
      </c>
      <c r="B20" s="234" t="inlineStr">
        <is>
          <t>TXO</t>
        </is>
      </c>
      <c r="C20" s="229" t="inlineStr">
        <is>
          <t>台選W4 01 11200 P</t>
        </is>
      </c>
      <c r="D20" s="229" t="inlineStr">
        <is>
          <t>新倉</t>
        </is>
      </c>
      <c r="E20" s="229" t="inlineStr">
        <is>
          <t>買</t>
        </is>
      </c>
      <c r="F20" s="229" t="inlineStr">
        <is>
          <t>-</t>
        </is>
      </c>
      <c r="G20" s="697" t="n">
        <v>1</v>
      </c>
      <c r="H20" s="697" t="n">
        <v>25.5</v>
      </c>
      <c r="I20" s="697" t="n">
        <v>-1275</v>
      </c>
      <c r="J20" s="585" t="n">
        <v>18</v>
      </c>
      <c r="K20" s="749" t="n">
        <v>1</v>
      </c>
      <c r="L20" s="585">
        <f>IF(B20="TXO",I20-SUM(J20:K20),IF(B20="FITX",IF(D20="新倉",-SUM(J20:K20),IF(E20="賣",(H20-H19)*G20*200-SUM(J20:K20),(H19-H20)*G20*200-SUM(J20:K20))),IF(D20="新倉",-SUM(J20:K20),IF(E20="賣",(H20-H19)*G20*50-SUM(J20:K20),(H19-H20)*G20*50-SUM(J20:K20)))))</f>
        <v/>
      </c>
      <c r="M20" s="699">
        <f>L20</f>
        <v/>
      </c>
      <c r="N20" s="686">
        <f>IF(B20="TXO","",IF(D20="新倉","",IF(E20="賣",(H20-H19)*G20,(H19-H20)*G20)))</f>
        <v/>
      </c>
      <c r="O20" s="226">
        <f>ABS(I20)</f>
        <v/>
      </c>
      <c r="P20" s="667" t="n"/>
      <c r="S20" s="739" t="n"/>
      <c r="T20" s="61" t="n"/>
      <c r="U20" s="61" t="n"/>
      <c r="V20" s="61" t="n"/>
      <c r="W20" s="61" t="n"/>
    </row>
    <row r="21" hidden="1" outlineLevel="2" ht="17.1" customHeight="1">
      <c r="A21" s="696" t="n">
        <v>43124</v>
      </c>
      <c r="B21" s="234" t="inlineStr">
        <is>
          <t>TXO</t>
        </is>
      </c>
      <c r="C21" s="229" t="inlineStr">
        <is>
          <t>台選W4 01 11200 P</t>
        </is>
      </c>
      <c r="D21" s="229" t="inlineStr">
        <is>
          <t>平倉</t>
        </is>
      </c>
      <c r="E21" s="229" t="inlineStr">
        <is>
          <t>賣</t>
        </is>
      </c>
      <c r="F21" s="229" t="inlineStr">
        <is>
          <t>-</t>
        </is>
      </c>
      <c r="G21" s="697" t="n">
        <v>1</v>
      </c>
      <c r="H21" s="697" t="n">
        <v>37.5</v>
      </c>
      <c r="I21" s="697" t="n">
        <v>1875</v>
      </c>
      <c r="J21" s="585" t="n">
        <v>18</v>
      </c>
      <c r="K21" s="749" t="n">
        <v>2</v>
      </c>
      <c r="L21" s="585">
        <f>IF(B21="TXO",I21-SUM(J21:K21),IF(B21="FITX",IF(D21="新倉",-SUM(J21:K21),IF(E21="賣",(H21-H20)*G21*200-SUM(J21:K21),(H20-H21)*G21*200-SUM(J21:K21))),IF(D21="新倉",-SUM(J21:K21),IF(E21="賣",(H21-H20)*G21*50-SUM(J21:K21),(H20-H21)*G21*50-SUM(J21:K21)))))</f>
        <v/>
      </c>
      <c r="M21" s="699">
        <f>L21</f>
        <v/>
      </c>
      <c r="N21" s="686">
        <f>IF(B21="TXO","",IF(D21="新倉","",IF(E21="賣",(H21-H20)*G21,(H20-H21)*G21)))</f>
        <v/>
      </c>
      <c r="O21" s="226">
        <f>ABS(I21)</f>
        <v/>
      </c>
      <c r="P21" s="667" t="n"/>
      <c r="S21" s="739" t="n"/>
      <c r="T21" s="61" t="n"/>
      <c r="U21" s="61" t="n"/>
      <c r="V21" s="61" t="n"/>
      <c r="W21" s="61" t="n"/>
    </row>
    <row r="22" hidden="1" outlineLevel="1" ht="17.1" customHeight="1">
      <c r="A22" s="740" t="n">
        <v>43131</v>
      </c>
      <c r="B22" s="299" t="inlineStr">
        <is>
          <t>TXO</t>
        </is>
      </c>
      <c r="C22" s="300" t="inlineStr">
        <is>
          <t>台選W5 01 11000 P</t>
        </is>
      </c>
      <c r="D22" s="300" t="inlineStr">
        <is>
          <t>新倉</t>
        </is>
      </c>
      <c r="E22" s="301" t="inlineStr">
        <is>
          <t>買</t>
        </is>
      </c>
      <c r="F22" s="300" t="inlineStr">
        <is>
          <t>-</t>
        </is>
      </c>
      <c r="G22" s="741" t="n">
        <v>1</v>
      </c>
      <c r="H22" s="741" t="n">
        <v>14.5</v>
      </c>
      <c r="I22" s="741" t="n">
        <v>-725</v>
      </c>
      <c r="J22" s="742" t="n">
        <v>18</v>
      </c>
      <c r="K22" s="742" t="n">
        <v>1</v>
      </c>
      <c r="L22" s="742">
        <f>IF(B22="TXO",I22-SUM(J22:K22),IF(B22="FITX",IF(D22="新倉",-SUM(J22:K22),IF(E22="賣",(H22-H21)*G22*200-SUM(J22:K22),(H21-H22)*G22*200-SUM(J22:K22))),IF(D22="新倉",-SUM(J22:K22),IF(E22="賣",(H22-H21)*G22*50-SUM(J22:K22),(H21-H22)*G22*50-SUM(J22:K22)))))</f>
        <v/>
      </c>
      <c r="M22" s="743">
        <f>L22</f>
        <v/>
      </c>
      <c r="N22" s="686">
        <f>IF(B22="TXO","",IF(D22="新倉","",IF(E22="賣",(H22-H21)*G22,(H21-H22)*G22)))</f>
        <v/>
      </c>
      <c r="O22" s="226">
        <f>ABS(I22)</f>
        <v/>
      </c>
      <c r="P22" s="667">
        <f>SUM(L22:L23)</f>
        <v/>
      </c>
      <c r="S22" s="739" t="n"/>
      <c r="T22" s="61" t="n"/>
      <c r="U22" s="61" t="n"/>
      <c r="V22" s="61" t="n"/>
      <c r="W22" s="61" t="n"/>
    </row>
    <row r="23" hidden="1" outlineLevel="2" ht="17.45" customHeight="1" thickBot="1">
      <c r="A23" s="740" t="n">
        <v>43131</v>
      </c>
      <c r="B23" s="299" t="inlineStr">
        <is>
          <t>TXO</t>
        </is>
      </c>
      <c r="C23" s="300" t="inlineStr">
        <is>
          <t>台選W5 01 11000 P</t>
        </is>
      </c>
      <c r="D23" s="300" t="inlineStr">
        <is>
          <t>新倉</t>
        </is>
      </c>
      <c r="E23" s="301" t="inlineStr">
        <is>
          <t>買</t>
        </is>
      </c>
      <c r="F23" s="300" t="inlineStr">
        <is>
          <t>-</t>
        </is>
      </c>
      <c r="G23" s="741" t="n">
        <v>1</v>
      </c>
      <c r="H23" s="741" t="n">
        <v>12</v>
      </c>
      <c r="I23" s="741" t="n">
        <v>-600</v>
      </c>
      <c r="J23" s="742" t="n">
        <v>18</v>
      </c>
      <c r="K23" s="742" t="n">
        <v>1</v>
      </c>
      <c r="L23" s="742">
        <f>IF(B23="TXO",I23-SUM(J23:K23),IF(B23="FITX",IF(D23="新倉",-SUM(J23:K23),IF(E23="賣",(H23-H22)*G23*200-SUM(J23:K23),(H22-H23)*G23*200-SUM(J23:K23))),IF(D23="新倉",-SUM(J23:K23),IF(E23="賣",(H23-H22)*G23*50-SUM(J23:K23),(H22-H23)*G23*50-SUM(J23:K23)))))</f>
        <v/>
      </c>
      <c r="M23" s="743">
        <f>L23</f>
        <v/>
      </c>
      <c r="N23" s="686">
        <f>IF(B23="TXO","",IF(D23="新倉","",IF(E23="賣",(H23-H22)*G23,(H22-H23)*G23)))</f>
        <v/>
      </c>
      <c r="O23" s="226">
        <f>ABS(I23)</f>
        <v/>
      </c>
      <c r="P23" s="667" t="n"/>
      <c r="S23" s="739" t="n"/>
      <c r="T23" s="61" t="n"/>
      <c r="U23" s="61" t="n"/>
      <c r="V23" s="61" t="n"/>
      <c r="W23" s="61" t="n"/>
    </row>
    <row r="24" ht="17.25" customHeight="1" thickBot="1">
      <c r="A24" s="273" t="inlineStr">
        <is>
          <t>1月總計</t>
        </is>
      </c>
      <c r="B24" s="274" t="n"/>
      <c r="C24" s="274" t="n"/>
      <c r="D24" s="274" t="n"/>
      <c r="E24" s="274" t="n"/>
      <c r="F24" s="274" t="n"/>
      <c r="G24" s="715" t="n"/>
      <c r="H24" s="715" t="n"/>
      <c r="I24" s="715" t="n"/>
      <c r="J24" s="716" t="n"/>
      <c r="K24" s="715" t="n"/>
      <c r="L24" s="750">
        <f>SUM(L2:L23)</f>
        <v/>
      </c>
      <c r="M24" s="717">
        <f>SUM(M2:M23)</f>
        <v/>
      </c>
      <c r="N24" s="666" t="n"/>
      <c r="P24" s="744" t="n"/>
      <c r="S24" s="739" t="n"/>
      <c r="T24" s="61" t="n"/>
      <c r="U24" s="61" t="n"/>
      <c r="V24" s="61" t="n"/>
      <c r="W24" s="61" t="n"/>
    </row>
    <row r="25" ht="17.25" customHeight="1" thickBot="1">
      <c r="A25" s="718" t="n">
        <v>43137</v>
      </c>
      <c r="B25" s="292" t="n"/>
      <c r="C25" s="292" t="inlineStr">
        <is>
          <t>富邦個人信貸</t>
        </is>
      </c>
      <c r="D25" s="292" t="n"/>
      <c r="E25" s="292" t="n"/>
      <c r="F25" s="292" t="n"/>
      <c r="G25" s="719" t="n"/>
      <c r="H25" s="719" t="n"/>
      <c r="I25" s="719" t="n"/>
      <c r="J25" s="720" t="n"/>
      <c r="K25" s="719" t="n"/>
      <c r="L25" s="720" t="n"/>
      <c r="M25" s="721" t="n">
        <v>-1199</v>
      </c>
      <c r="N25" s="666" t="n"/>
      <c r="P25" s="722" t="n"/>
      <c r="Q25" s="249" t="inlineStr">
        <is>
          <t>利息</t>
        </is>
      </c>
      <c r="S25" s="739" t="n"/>
      <c r="T25" s="61" t="n"/>
      <c r="U25" s="61" t="n"/>
      <c r="V25" s="61" t="n"/>
      <c r="W25" s="61" t="n"/>
    </row>
    <row r="26" ht="17.25" customHeight="1" thickBot="1">
      <c r="A26" s="718" t="n">
        <v>43139</v>
      </c>
      <c r="B26" s="292" t="n"/>
      <c r="C26" s="292" t="inlineStr">
        <is>
          <t>遠傳4G網路</t>
        </is>
      </c>
      <c r="D26" s="292" t="n"/>
      <c r="E26" s="292" t="n"/>
      <c r="F26" s="292" t="n"/>
      <c r="G26" s="719" t="n"/>
      <c r="H26" s="719" t="n"/>
      <c r="I26" s="719" t="n"/>
      <c r="J26" s="720" t="n"/>
      <c r="K26" s="719" t="n"/>
      <c r="L26" s="720" t="n"/>
      <c r="M26" s="721" t="n">
        <v>499</v>
      </c>
      <c r="N26" s="666" t="n"/>
      <c r="P26" s="722" t="n"/>
      <c r="S26" s="739" t="n"/>
      <c r="T26" s="61" t="n"/>
      <c r="U26" s="61" t="n"/>
      <c r="V26" s="61" t="n"/>
      <c r="W26" s="61" t="n"/>
    </row>
    <row r="27" ht="17.25" customHeight="1" thickBot="1">
      <c r="A27" s="718" t="n">
        <v>43150</v>
      </c>
      <c r="B27" s="292" t="n"/>
      <c r="C27" s="292" t="inlineStr">
        <is>
          <t>阿水制霸班</t>
        </is>
      </c>
      <c r="D27" s="292" t="n"/>
      <c r="E27" s="292" t="n"/>
      <c r="F27" s="292" t="n"/>
      <c r="G27" s="719" t="n"/>
      <c r="H27" s="719" t="n"/>
      <c r="I27" s="719" t="n"/>
      <c r="J27" s="720" t="n"/>
      <c r="K27" s="719" t="n"/>
      <c r="L27" s="720" t="n"/>
      <c r="M27" s="721" t="n">
        <v>-4490</v>
      </c>
      <c r="N27" s="666" t="n"/>
      <c r="P27" s="722" t="n"/>
      <c r="Q27" s="249" t="inlineStr">
        <is>
          <t>53888分12期, 每期4490, 12-03</t>
        </is>
      </c>
      <c r="S27" s="739" t="n"/>
      <c r="T27" s="61" t="n"/>
      <c r="U27" s="61" t="n"/>
      <c r="V27" s="61" t="n"/>
      <c r="W27" s="61" t="n"/>
    </row>
    <row r="28" ht="17.25" customHeight="1" thickBot="1">
      <c r="A28" s="718" t="n">
        <v>43153</v>
      </c>
      <c r="B28" s="292" t="n"/>
      <c r="C28" s="292" t="inlineStr">
        <is>
          <t>阿水財經三班</t>
        </is>
      </c>
      <c r="D28" s="292" t="n"/>
      <c r="E28" s="292" t="n"/>
      <c r="F28" s="292" t="n"/>
      <c r="G28" s="719" t="n"/>
      <c r="H28" s="719" t="n"/>
      <c r="I28" s="719" t="n"/>
      <c r="J28" s="720" t="n"/>
      <c r="K28" s="719" t="n"/>
      <c r="L28" s="720" t="n"/>
      <c r="M28" s="721" t="n">
        <v>-8240</v>
      </c>
      <c r="N28" s="666" t="n"/>
      <c r="P28" s="722" t="n"/>
      <c r="Q28" s="249" t="inlineStr">
        <is>
          <t>98888分12期, 每期8240</t>
        </is>
      </c>
      <c r="S28" s="739" t="n"/>
      <c r="T28" s="61" t="n"/>
      <c r="U28" s="61" t="n"/>
      <c r="V28" s="61" t="n"/>
      <c r="W28" s="61" t="n"/>
    </row>
    <row r="29" collapsed="1" ht="17.25" customHeight="1" thickBot="1">
      <c r="A29" s="718" t="n">
        <v>43159</v>
      </c>
      <c r="B29" s="292" t="n"/>
      <c r="C29" s="292" t="inlineStr">
        <is>
          <t>阿水財經四班</t>
        </is>
      </c>
      <c r="D29" s="292" t="n"/>
      <c r="E29" s="292" t="n"/>
      <c r="F29" s="292" t="n"/>
      <c r="G29" s="719" t="n"/>
      <c r="H29" s="719" t="n"/>
      <c r="I29" s="719" t="n"/>
      <c r="J29" s="720" t="n"/>
      <c r="K29" s="719" t="n"/>
      <c r="L29" s="720" t="n"/>
      <c r="M29" s="721" t="n">
        <v>-5000</v>
      </c>
      <c r="N29" s="666" t="n"/>
      <c r="P29" s="722" t="n"/>
      <c r="Q29" s="249" t="inlineStr">
        <is>
          <t>60000分12期, 每期5000</t>
        </is>
      </c>
      <c r="S29" s="739" t="n"/>
      <c r="T29" s="61" t="n"/>
      <c r="U29" s="61" t="n"/>
      <c r="V29" s="61" t="n"/>
      <c r="W29" s="61" t="n"/>
    </row>
    <row r="30" hidden="1" outlineLevel="1" ht="17.25" customHeight="1" thickBot="1">
      <c r="A30" s="740" t="n">
        <v>43136</v>
      </c>
      <c r="B30" s="299" t="inlineStr">
        <is>
          <t>FIMTX</t>
        </is>
      </c>
      <c r="C30" s="300" t="inlineStr">
        <is>
          <t>小指02</t>
        </is>
      </c>
      <c r="D30" s="300" t="inlineStr">
        <is>
          <t>新倉</t>
        </is>
      </c>
      <c r="E30" s="301" t="inlineStr">
        <is>
          <t>賣</t>
        </is>
      </c>
      <c r="F30" s="300" t="inlineStr">
        <is>
          <t>-</t>
        </is>
      </c>
      <c r="G30" s="741" t="n">
        <v>1</v>
      </c>
      <c r="H30" s="741" t="n">
        <v>10891</v>
      </c>
      <c r="I30" s="741" t="n">
        <v>0</v>
      </c>
      <c r="J30" s="742" t="n">
        <v>23</v>
      </c>
      <c r="K30" s="742" t="n">
        <v>11</v>
      </c>
      <c r="L30" s="742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/>
      </c>
      <c r="M30" s="743">
        <f>L30</f>
        <v/>
      </c>
      <c r="N30" s="686">
        <f>IF(B30="TXO","",IF(D30="新倉","",IF(E30="賣",(H30-H24)*G30,(H24-H30)*G30)))</f>
        <v/>
      </c>
      <c r="O30" s="226">
        <f>ABS(I30)</f>
        <v/>
      </c>
      <c r="P30" s="667">
        <f>SUM(L30:L61)</f>
        <v/>
      </c>
      <c r="S30" s="739" t="n"/>
      <c r="T30" s="61" t="n"/>
      <c r="U30" s="61" t="n"/>
      <c r="V30" s="61" t="n"/>
      <c r="W30" s="61" t="n"/>
    </row>
    <row r="31" hidden="1" outlineLevel="2" ht="17.25" customHeight="1" thickBot="1">
      <c r="A31" s="740" t="n">
        <v>43136</v>
      </c>
      <c r="B31" s="299" t="inlineStr">
        <is>
          <t>FIMTX</t>
        </is>
      </c>
      <c r="C31" s="300" t="inlineStr">
        <is>
          <t>小指02</t>
        </is>
      </c>
      <c r="D31" s="300" t="inlineStr">
        <is>
          <t>平倉</t>
        </is>
      </c>
      <c r="E31" s="301" t="inlineStr">
        <is>
          <t>買</t>
        </is>
      </c>
      <c r="F31" s="300" t="inlineStr">
        <is>
          <t>-</t>
        </is>
      </c>
      <c r="G31" s="741" t="n">
        <v>1</v>
      </c>
      <c r="H31" s="741" t="n">
        <v>10889</v>
      </c>
      <c r="I31" s="741" t="n">
        <v>0</v>
      </c>
      <c r="J31" s="742" t="n">
        <v>23</v>
      </c>
      <c r="K31" s="742" t="n">
        <v>11</v>
      </c>
      <c r="L31" s="742">
        <f>IF(B31="TXO",I31-SUM(J31:K31),IF(B31="FITX",IF(D31="新倉",-SUM(J31:K31),IF(E31="賣",(H31-H30)*G31*200-SUM(J31:K31),(H30-H31)*G31*200-SUM(J31:K31))),IF(D31="新倉",-SUM(J31:K31),IF(E31="賣",(H31-H30)*G31*50-SUM(J31:K31),(H30-H31)*G31*50-SUM(J31:K31)))))</f>
        <v/>
      </c>
      <c r="M31" s="743">
        <f>L31</f>
        <v/>
      </c>
      <c r="N31" s="686">
        <f>IF(B31="TXO","",IF(D31="新倉","",IF(E31="賣",(H31-H30)*G31,(H30-H31)*G31)))</f>
        <v/>
      </c>
      <c r="O31" s="226">
        <f>ABS(I31)</f>
        <v/>
      </c>
      <c r="P31" s="667" t="n"/>
      <c r="S31" s="739" t="n"/>
      <c r="T31" s="61" t="n"/>
      <c r="U31" s="61" t="n"/>
      <c r="V31" s="61" t="n"/>
      <c r="W31" s="61" t="n"/>
    </row>
    <row r="32" hidden="1" outlineLevel="2" ht="17.25" customHeight="1" thickBot="1">
      <c r="A32" s="740" t="n">
        <v>43136</v>
      </c>
      <c r="B32" s="299" t="inlineStr">
        <is>
          <t>FIMTX</t>
        </is>
      </c>
      <c r="C32" s="300" t="inlineStr">
        <is>
          <t>小指02</t>
        </is>
      </c>
      <c r="D32" s="300" t="inlineStr">
        <is>
          <t>新倉</t>
        </is>
      </c>
      <c r="E32" s="301" t="inlineStr">
        <is>
          <t>賣</t>
        </is>
      </c>
      <c r="F32" s="300" t="inlineStr">
        <is>
          <t>-</t>
        </is>
      </c>
      <c r="G32" s="741" t="n">
        <v>1</v>
      </c>
      <c r="H32" s="741" t="n">
        <v>10885</v>
      </c>
      <c r="I32" s="741" t="n">
        <v>0</v>
      </c>
      <c r="J32" s="742" t="n">
        <v>23</v>
      </c>
      <c r="K32" s="742" t="n">
        <v>11</v>
      </c>
      <c r="L32" s="742">
        <f>IF(B32="TXO",I32-SUM(J32:K32),IF(B32="FITX",IF(D32="新倉",-SUM(J32:K32),IF(E32="賣",(H32-H31)*G32*200-SUM(J32:K32),(H31-H32)*G32*200-SUM(J32:K32))),IF(D32="新倉",-SUM(J32:K32),IF(E32="賣",(H32-H31)*G32*50-SUM(J32:K32),(H31-H32)*G32*50-SUM(J32:K32)))))</f>
        <v/>
      </c>
      <c r="M32" s="743">
        <f>L32</f>
        <v/>
      </c>
      <c r="N32" s="686">
        <f>IF(B32="TXO","",IF(D32="新倉","",IF(E32="賣",(H32-H31)*G32,(H31-H32)*G32)))</f>
        <v/>
      </c>
      <c r="O32" s="226">
        <f>ABS(I32)</f>
        <v/>
      </c>
      <c r="P32" s="667" t="n"/>
      <c r="S32" s="739" t="n"/>
      <c r="T32" s="61" t="n"/>
      <c r="U32" s="61" t="n"/>
      <c r="V32" s="61" t="n"/>
      <c r="W32" s="61" t="n"/>
    </row>
    <row r="33" hidden="1" outlineLevel="2" ht="17.25" customHeight="1" thickBot="1">
      <c r="A33" s="740" t="n">
        <v>43136</v>
      </c>
      <c r="B33" s="299" t="inlineStr">
        <is>
          <t>FIMTX</t>
        </is>
      </c>
      <c r="C33" s="300" t="inlineStr">
        <is>
          <t>小指02</t>
        </is>
      </c>
      <c r="D33" s="300" t="inlineStr">
        <is>
          <t>平倉</t>
        </is>
      </c>
      <c r="E33" s="301" t="inlineStr">
        <is>
          <t>買</t>
        </is>
      </c>
      <c r="F33" s="300" t="inlineStr">
        <is>
          <t>-</t>
        </is>
      </c>
      <c r="G33" s="741" t="n">
        <v>1</v>
      </c>
      <c r="H33" s="741" t="n">
        <v>10886</v>
      </c>
      <c r="I33" s="741" t="n">
        <v>0</v>
      </c>
      <c r="J33" s="742" t="n">
        <v>23</v>
      </c>
      <c r="K33" s="742" t="n">
        <v>11</v>
      </c>
      <c r="L33" s="742">
        <f>IF(B33="TXO",I33-SUM(J33:K33),IF(B33="FITX",IF(D33="新倉",-SUM(J33:K33),IF(E33="賣",(H33-H32)*G33*200-SUM(J33:K33),(H32-H33)*G33*200-SUM(J33:K33))),IF(D33="新倉",-SUM(J33:K33),IF(E33="賣",(H33-H32)*G33*50-SUM(J33:K33),(H32-H33)*G33*50-SUM(J33:K33)))))</f>
        <v/>
      </c>
      <c r="M33" s="743">
        <f>L33</f>
        <v/>
      </c>
      <c r="N33" s="686">
        <f>IF(B33="TXO","",IF(D33="新倉","",IF(E33="賣",(H33-H32)*G33,(H32-H33)*G33)))</f>
        <v/>
      </c>
      <c r="O33" s="226">
        <f>ABS(I33)</f>
        <v/>
      </c>
      <c r="P33" s="667" t="n"/>
      <c r="S33" s="739" t="n"/>
      <c r="T33" s="61" t="n"/>
      <c r="U33" s="61" t="n"/>
      <c r="V33" s="61" t="n"/>
      <c r="W33" s="61" t="n"/>
    </row>
    <row r="34" hidden="1" outlineLevel="2" ht="17.25" customHeight="1" thickBot="1">
      <c r="A34" s="740" t="n">
        <v>43136</v>
      </c>
      <c r="B34" s="299" t="inlineStr">
        <is>
          <t>FIMTX</t>
        </is>
      </c>
      <c r="C34" s="300" t="inlineStr">
        <is>
          <t>小指02</t>
        </is>
      </c>
      <c r="D34" s="300" t="inlineStr">
        <is>
          <t>新倉</t>
        </is>
      </c>
      <c r="E34" s="301" t="inlineStr">
        <is>
          <t>賣</t>
        </is>
      </c>
      <c r="F34" s="300" t="inlineStr">
        <is>
          <t>-</t>
        </is>
      </c>
      <c r="G34" s="741" t="n">
        <v>1</v>
      </c>
      <c r="H34" s="741" t="n">
        <v>10889</v>
      </c>
      <c r="I34" s="741" t="n">
        <v>0</v>
      </c>
      <c r="J34" s="742" t="n">
        <v>23</v>
      </c>
      <c r="K34" s="742" t="n">
        <v>11</v>
      </c>
      <c r="L34" s="742">
        <f>IF(B34="TXO",I34-SUM(J34:K34),IF(B34="FITX",IF(D34="新倉",-SUM(J34:K34),IF(E34="賣",(H34-H33)*G34*200-SUM(J34:K34),(H33-H34)*G34*200-SUM(J34:K34))),IF(D34="新倉",-SUM(J34:K34),IF(E34="賣",(H34-H33)*G34*50-SUM(J34:K34),(H33-H34)*G34*50-SUM(J34:K34)))))</f>
        <v/>
      </c>
      <c r="M34" s="743">
        <f>L34</f>
        <v/>
      </c>
      <c r="N34" s="686">
        <f>IF(B34="TXO","",IF(D34="新倉","",IF(E34="賣",(H34-H33)*G34,(H33-H34)*G34)))</f>
        <v/>
      </c>
      <c r="O34" s="226">
        <f>ABS(I34)</f>
        <v/>
      </c>
      <c r="P34" s="667" t="n"/>
      <c r="S34" s="739" t="n"/>
      <c r="T34" s="61" t="n"/>
      <c r="U34" s="61" t="n"/>
      <c r="V34" s="61" t="n"/>
      <c r="W34" s="61" t="n"/>
    </row>
    <row r="35" hidden="1" outlineLevel="2" ht="17.25" customHeight="1" thickBot="1">
      <c r="A35" s="740" t="n">
        <v>43136</v>
      </c>
      <c r="B35" s="299" t="inlineStr">
        <is>
          <t>FIMTX</t>
        </is>
      </c>
      <c r="C35" s="300" t="inlineStr">
        <is>
          <t>小指02</t>
        </is>
      </c>
      <c r="D35" s="300" t="inlineStr">
        <is>
          <t>平倉</t>
        </is>
      </c>
      <c r="E35" s="301" t="inlineStr">
        <is>
          <t>買</t>
        </is>
      </c>
      <c r="F35" s="300" t="inlineStr">
        <is>
          <t>-</t>
        </is>
      </c>
      <c r="G35" s="741" t="n">
        <v>1</v>
      </c>
      <c r="H35" s="741" t="n">
        <v>10908</v>
      </c>
      <c r="I35" s="741" t="n">
        <v>0</v>
      </c>
      <c r="J35" s="742" t="n">
        <v>23</v>
      </c>
      <c r="K35" s="742" t="n">
        <v>11</v>
      </c>
      <c r="L35" s="742">
        <f>IF(B35="TXO",I35-SUM(J35:K35),IF(B35="FITX",IF(D35="新倉",-SUM(J35:K35),IF(E35="賣",(H35-H34)*G35*200-SUM(J35:K35),(H34-H35)*G35*200-SUM(J35:K35))),IF(D35="新倉",-SUM(J35:K35),IF(E35="賣",(H35-H34)*G35*50-SUM(J35:K35),(H34-H35)*G35*50-SUM(J35:K35)))))</f>
        <v/>
      </c>
      <c r="M35" s="743">
        <f>L35</f>
        <v/>
      </c>
      <c r="N35" s="686">
        <f>IF(B35="TXO","",IF(D35="新倉","",IF(E35="賣",(H35-H34)*G35,(H34-H35)*G35)))</f>
        <v/>
      </c>
      <c r="O35" s="226">
        <f>ABS(I35)</f>
        <v/>
      </c>
      <c r="P35" s="667" t="n"/>
      <c r="S35" s="739" t="n"/>
      <c r="T35" s="61" t="n"/>
      <c r="U35" s="61" t="n"/>
      <c r="V35" s="61" t="n"/>
      <c r="W35" s="61" t="n"/>
    </row>
    <row r="36" hidden="1" outlineLevel="2" ht="17.25" customHeight="1" thickBot="1">
      <c r="A36" s="740" t="n">
        <v>43136</v>
      </c>
      <c r="B36" s="299" t="inlineStr">
        <is>
          <t>TXO</t>
        </is>
      </c>
      <c r="C36" s="300" t="inlineStr">
        <is>
          <t>TXOW1 02 10800 P</t>
        </is>
      </c>
      <c r="D36" s="300" t="inlineStr">
        <is>
          <t>新倉</t>
        </is>
      </c>
      <c r="E36" s="301" t="inlineStr">
        <is>
          <t>買</t>
        </is>
      </c>
      <c r="F36" s="300" t="inlineStr">
        <is>
          <t>-</t>
        </is>
      </c>
      <c r="G36" s="741" t="n">
        <v>1</v>
      </c>
      <c r="H36" s="741" t="n">
        <v>29.5</v>
      </c>
      <c r="I36" s="741" t="n">
        <v>-1475</v>
      </c>
      <c r="J36" s="742" t="n">
        <v>18</v>
      </c>
      <c r="K36" s="742" t="n">
        <v>1</v>
      </c>
      <c r="L36" s="742">
        <f>IF(B36="TXO",I36-SUM(J36:K36),IF(B36="FITX",IF(D36="新倉",-SUM(J36:K36),IF(E36="賣",(H36-H35)*G36*200-SUM(J36:K36),(H35-H36)*G36*200-SUM(J36:K36))),IF(D36="新倉",-SUM(J36:K36),IF(E36="賣",(H36-H35)*G36*50-SUM(J36:K36),(H35-H36)*G36*50-SUM(J36:K36)))))</f>
        <v/>
      </c>
      <c r="M36" s="743">
        <f>L36</f>
        <v/>
      </c>
      <c r="N36" s="686">
        <f>IF(B36="TXO","",IF(D36="新倉","",IF(E36="賣",(H36-H35)*G36,(H35-H36)*G36)))</f>
        <v/>
      </c>
      <c r="O36" s="226">
        <f>ABS(I36)</f>
        <v/>
      </c>
      <c r="P36" s="667" t="n"/>
      <c r="S36" s="739" t="n"/>
      <c r="T36" s="61" t="n"/>
      <c r="U36" s="61" t="n"/>
      <c r="V36" s="61" t="n"/>
      <c r="W36" s="61" t="n"/>
    </row>
    <row r="37" hidden="1" outlineLevel="2" ht="17.25" customHeight="1" thickBot="1">
      <c r="A37" s="740" t="n">
        <v>43136</v>
      </c>
      <c r="B37" s="299" t="inlineStr">
        <is>
          <t>TXO</t>
        </is>
      </c>
      <c r="C37" s="300" t="inlineStr">
        <is>
          <t>TXOW1 02 10800 P</t>
        </is>
      </c>
      <c r="D37" s="300" t="inlineStr">
        <is>
          <t>平倉</t>
        </is>
      </c>
      <c r="E37" s="301" t="inlineStr">
        <is>
          <t>賣</t>
        </is>
      </c>
      <c r="F37" s="300" t="inlineStr">
        <is>
          <t>-</t>
        </is>
      </c>
      <c r="G37" s="741" t="n">
        <v>1</v>
      </c>
      <c r="H37" s="741" t="n">
        <v>39</v>
      </c>
      <c r="I37" s="741" t="n">
        <v>1950</v>
      </c>
      <c r="J37" s="742" t="n">
        <v>18</v>
      </c>
      <c r="K37" s="742" t="n">
        <v>2</v>
      </c>
      <c r="L37" s="742">
        <f>IF(B37="TXO",I37-SUM(J37:K37),IF(B37="FITX",IF(D37="新倉",-SUM(J37:K37),IF(E37="賣",(H37-H36)*G37*200-SUM(J37:K37),(H36-H37)*G37*200-SUM(J37:K37))),IF(D37="新倉",-SUM(J37:K37),IF(E37="賣",(H37-H36)*G37*50-SUM(J37:K37),(H36-H37)*G37*50-SUM(J37:K37)))))</f>
        <v/>
      </c>
      <c r="M37" s="743">
        <f>L37</f>
        <v/>
      </c>
      <c r="N37" s="686">
        <f>IF(B37="TXO","",IF(D37="新倉","",IF(E37="賣",(H37-H36)*G37,(H36-H37)*G37)))</f>
        <v/>
      </c>
      <c r="O37" s="226">
        <f>ABS(I37)</f>
        <v/>
      </c>
      <c r="P37" s="667" t="n"/>
      <c r="S37" s="739" t="n"/>
      <c r="T37" s="61" t="n"/>
      <c r="U37" s="61" t="n"/>
      <c r="V37" s="61" t="n"/>
      <c r="W37" s="61" t="n"/>
    </row>
    <row r="38" hidden="1" outlineLevel="2" ht="17.25" customHeight="1" thickBot="1">
      <c r="A38" s="740" t="n">
        <v>43136</v>
      </c>
      <c r="B38" s="299" t="inlineStr">
        <is>
          <t>TXO</t>
        </is>
      </c>
      <c r="C38" s="300" t="inlineStr">
        <is>
          <t>TXOW1 02 10750 P</t>
        </is>
      </c>
      <c r="D38" s="300" t="inlineStr">
        <is>
          <t>新倉</t>
        </is>
      </c>
      <c r="E38" s="301" t="inlineStr">
        <is>
          <t>買</t>
        </is>
      </c>
      <c r="F38" s="300" t="inlineStr">
        <is>
          <t>-</t>
        </is>
      </c>
      <c r="G38" s="741" t="n">
        <v>2</v>
      </c>
      <c r="H38" s="741" t="n">
        <v>25</v>
      </c>
      <c r="I38" s="741" t="n">
        <v>-2500</v>
      </c>
      <c r="J38" s="742" t="n">
        <v>36</v>
      </c>
      <c r="K38" s="742" t="n">
        <v>2</v>
      </c>
      <c r="L38" s="742">
        <f>IF(B38="TXO",I38-SUM(J38:K38),IF(B38="FITX",IF(D38="新倉",-SUM(J38:K38),IF(E38="賣",(H38-H37)*G38*200-SUM(J38:K38),(H37-H38)*G38*200-SUM(J38:K38))),IF(D38="新倉",-SUM(J38:K38),IF(E38="賣",(H38-H37)*G38*50-SUM(J38:K38),(H37-H38)*G38*50-SUM(J38:K38)))))</f>
        <v/>
      </c>
      <c r="M38" s="743">
        <f>L38</f>
        <v/>
      </c>
      <c r="N38" s="686">
        <f>IF(B38="TXO","",IF(D38="新倉","",IF(E38="賣",(H38-H37)*G38,(H37-H38)*G38)))</f>
        <v/>
      </c>
      <c r="O38" s="226">
        <f>ABS(I38)</f>
        <v/>
      </c>
      <c r="P38" s="667" t="n"/>
      <c r="S38" s="739" t="n"/>
      <c r="T38" s="61" t="n"/>
      <c r="U38" s="61" t="n"/>
      <c r="V38" s="61" t="n"/>
      <c r="W38" s="61" t="n"/>
    </row>
    <row r="39" hidden="1" outlineLevel="2" ht="17.25" customHeight="1" thickBot="1">
      <c r="A39" s="740" t="n">
        <v>43137</v>
      </c>
      <c r="B39" s="299" t="inlineStr">
        <is>
          <t>TXO</t>
        </is>
      </c>
      <c r="C39" s="300" t="inlineStr">
        <is>
          <t>TXOW1 02 10750 P</t>
        </is>
      </c>
      <c r="D39" s="300" t="inlineStr">
        <is>
          <t>平倉</t>
        </is>
      </c>
      <c r="E39" s="301" t="inlineStr">
        <is>
          <t>賣</t>
        </is>
      </c>
      <c r="F39" s="300" t="inlineStr">
        <is>
          <t>-</t>
        </is>
      </c>
      <c r="G39" s="741" t="n">
        <v>2</v>
      </c>
      <c r="H39" s="741" t="n">
        <v>156</v>
      </c>
      <c r="I39" s="741" t="n">
        <v>15600</v>
      </c>
      <c r="J39" s="742" t="n">
        <v>36</v>
      </c>
      <c r="K39" s="742" t="n">
        <v>16</v>
      </c>
      <c r="L39" s="742">
        <f>IF(B39="TXO",I39-SUM(J39:K39),IF(B39="FITX",IF(D39="新倉",-SUM(J39:K39),IF(E39="賣",(H39-H38)*G39*200-SUM(J39:K39),(H38-H39)*G39*200-SUM(J39:K39))),IF(D39="新倉",-SUM(J39:K39),IF(E39="賣",(H39-H38)*G39*50-SUM(J39:K39),(H38-H39)*G39*50-SUM(J39:K39)))))</f>
        <v/>
      </c>
      <c r="M39" s="743">
        <f>L39</f>
        <v/>
      </c>
      <c r="N39" s="686">
        <f>IF(B39="TXO","",IF(D39="新倉","",IF(E39="賣",(H39-H38)*G39,(H38-H39)*G39)))</f>
        <v/>
      </c>
      <c r="O39" s="226">
        <f>ABS(I39)</f>
        <v/>
      </c>
      <c r="P39" s="667" t="n"/>
      <c r="S39" s="739" t="n"/>
      <c r="T39" s="61" t="n"/>
      <c r="U39" s="61" t="n"/>
      <c r="V39" s="61" t="n"/>
      <c r="W39" s="61" t="n"/>
    </row>
    <row r="40" hidden="1" outlineLevel="2" ht="17.25" customHeight="1" thickBot="1">
      <c r="A40" s="740" t="n">
        <v>43136</v>
      </c>
      <c r="B40" s="299" t="inlineStr">
        <is>
          <t>TXO</t>
        </is>
      </c>
      <c r="C40" s="300" t="inlineStr">
        <is>
          <t>TXOW1 02 10800 P</t>
        </is>
      </c>
      <c r="D40" s="300" t="inlineStr">
        <is>
          <t>新倉</t>
        </is>
      </c>
      <c r="E40" s="301" t="inlineStr">
        <is>
          <t>買</t>
        </is>
      </c>
      <c r="F40" s="300" t="inlineStr">
        <is>
          <t>-</t>
        </is>
      </c>
      <c r="G40" s="741" t="n">
        <v>1</v>
      </c>
      <c r="H40" s="741" t="n">
        <v>35.5</v>
      </c>
      <c r="I40" s="741" t="n">
        <v>-1775</v>
      </c>
      <c r="J40" s="742" t="n">
        <v>18</v>
      </c>
      <c r="K40" s="742" t="n">
        <v>2</v>
      </c>
      <c r="L40" s="742">
        <f>IF(B40="TXO",I40-SUM(J40:K40),IF(B40="FITX",IF(D40="新倉",-SUM(J40:K40),IF(E40="賣",(H40-H39)*G40*200-SUM(J40:K40),(H39-H40)*G40*200-SUM(J40:K40))),IF(D40="新倉",-SUM(J40:K40),IF(E40="賣",(H40-H39)*G40*50-SUM(J40:K40),(H39-H40)*G40*50-SUM(J40:K40)))))</f>
        <v/>
      </c>
      <c r="M40" s="743">
        <f>L40</f>
        <v/>
      </c>
      <c r="N40" s="686">
        <f>IF(B40="TXO","",IF(D40="新倉","",IF(E40="賣",(H40-H39)*G40,(H39-H40)*G40)))</f>
        <v/>
      </c>
      <c r="O40" s="226">
        <f>ABS(I40)</f>
        <v/>
      </c>
      <c r="P40" s="667" t="n"/>
      <c r="S40" s="739" t="n"/>
      <c r="T40" s="61" t="n"/>
      <c r="U40" s="61" t="n"/>
      <c r="V40" s="61" t="n"/>
      <c r="W40" s="61" t="n"/>
    </row>
    <row r="41" hidden="1" outlineLevel="2" ht="17.25" customHeight="1" thickBot="1">
      <c r="A41" s="740" t="n">
        <v>43137</v>
      </c>
      <c r="B41" s="299" t="inlineStr">
        <is>
          <t>TXO</t>
        </is>
      </c>
      <c r="C41" s="300" t="inlineStr">
        <is>
          <t>TXOW1 02 10800 P</t>
        </is>
      </c>
      <c r="D41" s="300" t="inlineStr">
        <is>
          <t>平倉</t>
        </is>
      </c>
      <c r="E41" s="301" t="inlineStr">
        <is>
          <t>賣</t>
        </is>
      </c>
      <c r="F41" s="300" t="inlineStr">
        <is>
          <t>-</t>
        </is>
      </c>
      <c r="G41" s="741" t="n">
        <v>1</v>
      </c>
      <c r="H41" s="741" t="n">
        <v>196</v>
      </c>
      <c r="I41" s="741" t="n">
        <v>9800</v>
      </c>
      <c r="J41" s="742" t="n">
        <v>18</v>
      </c>
      <c r="K41" s="742" t="n">
        <v>10</v>
      </c>
      <c r="L41" s="742">
        <f>IF(B41="TXO",I41-SUM(J41:K41),IF(B41="FITX",IF(D41="新倉",-SUM(J41:K41),IF(E41="賣",(H41-H40)*G41*200-SUM(J41:K41),(H40-H41)*G41*200-SUM(J41:K41))),IF(D41="新倉",-SUM(J41:K41),IF(E41="賣",(H41-H40)*G41*50-SUM(J41:K41),(H40-H41)*G41*50-SUM(J41:K41)))))</f>
        <v/>
      </c>
      <c r="M41" s="743">
        <f>L41</f>
        <v/>
      </c>
      <c r="N41" s="686">
        <f>IF(B41="TXO","",IF(D41="新倉","",IF(E41="賣",(H41-H40)*G41,(H40-H41)*G41)))</f>
        <v/>
      </c>
      <c r="O41" s="226">
        <f>ABS(I41)</f>
        <v/>
      </c>
      <c r="P41" s="667" t="n"/>
      <c r="S41" s="739" t="n"/>
      <c r="T41" s="61" t="n"/>
      <c r="U41" s="61" t="n"/>
      <c r="V41" s="61" t="n"/>
      <c r="W41" s="61" t="n"/>
    </row>
    <row r="42" hidden="1" outlineLevel="2" ht="17.25" customHeight="1" thickBot="1">
      <c r="A42" s="740" t="n">
        <v>43136</v>
      </c>
      <c r="B42" s="299" t="inlineStr">
        <is>
          <t>TXO</t>
        </is>
      </c>
      <c r="C42" s="300" t="inlineStr">
        <is>
          <t>TXOW1 02 10750 P</t>
        </is>
      </c>
      <c r="D42" s="300" t="inlineStr">
        <is>
          <t>新倉</t>
        </is>
      </c>
      <c r="E42" s="301" t="inlineStr">
        <is>
          <t>買</t>
        </is>
      </c>
      <c r="F42" s="300" t="inlineStr">
        <is>
          <t>-</t>
        </is>
      </c>
      <c r="G42" s="741" t="n">
        <v>2</v>
      </c>
      <c r="H42" s="741" t="n">
        <v>15</v>
      </c>
      <c r="I42" s="741" t="n">
        <v>-1500</v>
      </c>
      <c r="J42" s="742" t="n">
        <v>36</v>
      </c>
      <c r="K42" s="742" t="n">
        <v>2</v>
      </c>
      <c r="L42" s="742">
        <f>IF(B42="TXO",I42-SUM(J42:K42),IF(B42="FITX",IF(D42="新倉",-SUM(J42:K42),IF(E42="賣",(H42-H41)*G42*200-SUM(J42:K42),(H41-H42)*G42*200-SUM(J42:K42))),IF(D42="新倉",-SUM(J42:K42),IF(E42="賣",(H42-H41)*G42*50-SUM(J42:K42),(H41-H42)*G42*50-SUM(J42:K42)))))</f>
        <v/>
      </c>
      <c r="M42" s="743">
        <f>L42</f>
        <v/>
      </c>
      <c r="N42" s="686">
        <f>IF(B42="TXO","",IF(D42="新倉","",IF(E42="賣",(H42-H41)*G42,(H41-H42)*G42)))</f>
        <v/>
      </c>
      <c r="O42" s="226">
        <f>ABS(I42)</f>
        <v/>
      </c>
      <c r="P42" s="667" t="n"/>
      <c r="S42" s="739" t="n"/>
      <c r="T42" s="61" t="n"/>
      <c r="U42" s="61" t="n"/>
      <c r="V42" s="61" t="n"/>
      <c r="W42" s="61" t="n"/>
    </row>
    <row r="43" hidden="1" outlineLevel="2" ht="17.25" customHeight="1" thickBot="1">
      <c r="A43" s="740" t="n">
        <v>43137</v>
      </c>
      <c r="B43" s="299" t="inlineStr">
        <is>
          <t>TXO</t>
        </is>
      </c>
      <c r="C43" s="300" t="inlineStr">
        <is>
          <t>TXOW1 02 10750 P</t>
        </is>
      </c>
      <c r="D43" s="300" t="inlineStr">
        <is>
          <t>平倉</t>
        </is>
      </c>
      <c r="E43" s="301" t="inlineStr">
        <is>
          <t>賣</t>
        </is>
      </c>
      <c r="F43" s="300" t="inlineStr">
        <is>
          <t>-</t>
        </is>
      </c>
      <c r="G43" s="741" t="n">
        <v>2</v>
      </c>
      <c r="H43" s="741" t="n">
        <v>156</v>
      </c>
      <c r="I43" s="741" t="n">
        <v>15600</v>
      </c>
      <c r="J43" s="742" t="n">
        <v>36</v>
      </c>
      <c r="K43" s="742" t="n">
        <v>16</v>
      </c>
      <c r="L43" s="742">
        <f>IF(B43="TXO",I43-SUM(J43:K43),IF(B43="FITX",IF(D43="新倉",-SUM(J43:K43),IF(E43="賣",(H43-H42)*G43*200-SUM(J43:K43),(H42-H43)*G43*200-SUM(J43:K43))),IF(D43="新倉",-SUM(J43:K43),IF(E43="賣",(H43-H42)*G43*50-SUM(J43:K43),(H42-H43)*G43*50-SUM(J43:K43)))))</f>
        <v/>
      </c>
      <c r="M43" s="743">
        <f>L43</f>
        <v/>
      </c>
      <c r="N43" s="686">
        <f>IF(B43="TXO","",IF(D43="新倉","",IF(E43="賣",(H43-H42)*G43,(H42-H43)*G43)))</f>
        <v/>
      </c>
      <c r="O43" s="226">
        <f>ABS(I43)</f>
        <v/>
      </c>
      <c r="P43" s="667" t="n"/>
      <c r="S43" s="739" t="n"/>
      <c r="T43" s="61" t="n"/>
      <c r="U43" s="61" t="n"/>
      <c r="V43" s="61" t="n"/>
      <c r="W43" s="61" t="n"/>
    </row>
    <row r="44" hidden="1" outlineLevel="2" ht="17.25" customHeight="1" thickBot="1">
      <c r="A44" s="740" t="n">
        <v>43136</v>
      </c>
      <c r="B44" s="299" t="inlineStr">
        <is>
          <t>TXO</t>
        </is>
      </c>
      <c r="C44" s="300" t="inlineStr">
        <is>
          <t>TXOW1 02 10750 P</t>
        </is>
      </c>
      <c r="D44" s="300" t="inlineStr">
        <is>
          <t>新倉</t>
        </is>
      </c>
      <c r="E44" s="301" t="inlineStr">
        <is>
          <t>買</t>
        </is>
      </c>
      <c r="F44" s="300" t="inlineStr">
        <is>
          <t>-</t>
        </is>
      </c>
      <c r="G44" s="741" t="n">
        <v>2</v>
      </c>
      <c r="H44" s="741" t="n">
        <v>5</v>
      </c>
      <c r="I44" s="741" t="n">
        <v>-500</v>
      </c>
      <c r="J44" s="742" t="n">
        <v>36</v>
      </c>
      <c r="K44" s="742" t="n">
        <v>0</v>
      </c>
      <c r="L44" s="742">
        <f>IF(B44="TXO",I44-SUM(J44:K44),IF(B44="FITX",IF(D44="新倉",-SUM(J44:K44),IF(E44="賣",(H44-H43)*G44*200-SUM(J44:K44),(H43-H44)*G44*200-SUM(J44:K44))),IF(D44="新倉",-SUM(J44:K44),IF(E44="賣",(H44-H43)*G44*50-SUM(J44:K44),(H43-H44)*G44*50-SUM(J44:K44)))))</f>
        <v/>
      </c>
      <c r="M44" s="743">
        <f>L44</f>
        <v/>
      </c>
      <c r="N44" s="686">
        <f>IF(B44="TXO","",IF(D44="新倉","",IF(E44="賣",(H44-H43)*G44,(H43-H44)*G44)))</f>
        <v/>
      </c>
      <c r="O44" s="226">
        <f>ABS(I44)</f>
        <v/>
      </c>
      <c r="P44" s="667" t="n"/>
      <c r="S44" s="739" t="n"/>
      <c r="T44" s="61" t="n"/>
      <c r="U44" s="61" t="n"/>
      <c r="V44" s="61" t="n"/>
      <c r="W44" s="61" t="n"/>
    </row>
    <row r="45" hidden="1" outlineLevel="2" ht="17.25" customHeight="1" thickBot="1">
      <c r="A45" s="740" t="n">
        <v>43137</v>
      </c>
      <c r="B45" s="299" t="inlineStr">
        <is>
          <t>TXO</t>
        </is>
      </c>
      <c r="C45" s="300" t="inlineStr">
        <is>
          <t>TXOW1 02 10750 P</t>
        </is>
      </c>
      <c r="D45" s="300" t="inlineStr">
        <is>
          <t>平倉</t>
        </is>
      </c>
      <c r="E45" s="301" t="inlineStr">
        <is>
          <t>賣</t>
        </is>
      </c>
      <c r="F45" s="300" t="inlineStr">
        <is>
          <t>-</t>
        </is>
      </c>
      <c r="G45" s="741" t="n">
        <v>2</v>
      </c>
      <c r="H45" s="741" t="n">
        <v>347</v>
      </c>
      <c r="I45" s="741" t="n">
        <v>34700</v>
      </c>
      <c r="J45" s="742" t="n">
        <v>36</v>
      </c>
      <c r="K45" s="742" t="n">
        <v>34</v>
      </c>
      <c r="L45" s="742">
        <f>IF(B45="TXO",I45-SUM(J45:K45),IF(B45="FITX",IF(D45="新倉",-SUM(J45:K45),IF(E45="賣",(H45-H44)*G45*200-SUM(J45:K45),(H44-H45)*G45*200-SUM(J45:K45))),IF(D45="新倉",-SUM(J45:K45),IF(E45="賣",(H45-H44)*G45*50-SUM(J45:K45),(H44-H45)*G45*50-SUM(J45:K45)))))</f>
        <v/>
      </c>
      <c r="M45" s="743">
        <f>L45</f>
        <v/>
      </c>
      <c r="N45" s="686">
        <f>IF(B45="TXO","",IF(D45="新倉","",IF(E45="賣",(H45-H44)*G45,(H44-H45)*G45)))</f>
        <v/>
      </c>
      <c r="O45" s="226">
        <f>ABS(I45)</f>
        <v/>
      </c>
      <c r="P45" s="667" t="n"/>
      <c r="S45" s="739" t="n"/>
      <c r="T45" s="61" t="n"/>
      <c r="U45" s="61" t="n"/>
      <c r="V45" s="61" t="n"/>
      <c r="W45" s="61" t="n"/>
    </row>
    <row r="46" hidden="1" outlineLevel="2" ht="17.25" customHeight="1" thickBot="1">
      <c r="A46" s="740" t="n">
        <v>43136</v>
      </c>
      <c r="B46" s="299" t="inlineStr">
        <is>
          <t>TXO</t>
        </is>
      </c>
      <c r="C46" s="300" t="inlineStr">
        <is>
          <t>TXOW1 02 10850 P</t>
        </is>
      </c>
      <c r="D46" s="300" t="inlineStr">
        <is>
          <t>新倉</t>
        </is>
      </c>
      <c r="E46" s="301" t="inlineStr">
        <is>
          <t>買</t>
        </is>
      </c>
      <c r="F46" s="300" t="inlineStr">
        <is>
          <t>-</t>
        </is>
      </c>
      <c r="G46" s="741" t="n">
        <v>1</v>
      </c>
      <c r="H46" s="741" t="n">
        <v>21</v>
      </c>
      <c r="I46" s="741" t="n">
        <v>-1050</v>
      </c>
      <c r="J46" s="742" t="n">
        <v>18</v>
      </c>
      <c r="K46" s="742" t="n">
        <v>1</v>
      </c>
      <c r="L46" s="742">
        <f>IF(B46="TXO",I46-SUM(J46:K46),IF(B46="FITX",IF(D46="新倉",-SUM(J46:K46),IF(E46="賣",(H46-H45)*G46*200-SUM(J46:K46),(H45-H46)*G46*200-SUM(J46:K46))),IF(D46="新倉",-SUM(J46:K46),IF(E46="賣",(H46-H45)*G46*50-SUM(J46:K46),(H45-H46)*G46*50-SUM(J46:K46)))))</f>
        <v/>
      </c>
      <c r="M46" s="743">
        <f>L46</f>
        <v/>
      </c>
      <c r="N46" s="686">
        <f>IF(B46="TXO","",IF(D46="新倉","",IF(E46="賣",(H46-H45)*G46,(H45-H46)*G46)))</f>
        <v/>
      </c>
      <c r="O46" s="226">
        <f>ABS(I46)</f>
        <v/>
      </c>
      <c r="P46" s="667" t="n"/>
      <c r="S46" s="739" t="n"/>
      <c r="T46" s="61" t="n"/>
      <c r="U46" s="61" t="n"/>
      <c r="V46" s="61" t="n"/>
      <c r="W46" s="61" t="n"/>
    </row>
    <row r="47" hidden="1" outlineLevel="2" ht="17.25" customHeight="1" thickBot="1">
      <c r="A47" s="740" t="n">
        <v>43137</v>
      </c>
      <c r="B47" s="299" t="inlineStr">
        <is>
          <t>TXO</t>
        </is>
      </c>
      <c r="C47" s="300" t="inlineStr">
        <is>
          <t>TXOW1 02 10850 P</t>
        </is>
      </c>
      <c r="D47" s="300" t="inlineStr">
        <is>
          <t>平倉</t>
        </is>
      </c>
      <c r="E47" s="301" t="inlineStr">
        <is>
          <t>賣</t>
        </is>
      </c>
      <c r="F47" s="300" t="inlineStr">
        <is>
          <t>-</t>
        </is>
      </c>
      <c r="G47" s="741" t="n">
        <v>1</v>
      </c>
      <c r="H47" s="741" t="n">
        <v>240</v>
      </c>
      <c r="I47" s="741" t="n">
        <v>12000</v>
      </c>
      <c r="J47" s="742" t="n">
        <v>18</v>
      </c>
      <c r="K47" s="742" t="n">
        <v>12</v>
      </c>
      <c r="L47" s="742">
        <f>IF(B47="TXO",I47-SUM(J47:K47),IF(B47="FITX",IF(D47="新倉",-SUM(J47:K47),IF(E47="賣",(H47-H46)*G47*200-SUM(J47:K47),(H46-H47)*G47*200-SUM(J47:K47))),IF(D47="新倉",-SUM(J47:K47),IF(E47="賣",(H47-H46)*G47*50-SUM(J47:K47),(H46-H47)*G47*50-SUM(J47:K47)))))</f>
        <v/>
      </c>
      <c r="M47" s="743">
        <f>L47</f>
        <v/>
      </c>
      <c r="N47" s="686">
        <f>IF(B47="TXO","",IF(D47="新倉","",IF(E47="賣",(H47-H46)*G47,(H46-H47)*G47)))</f>
        <v/>
      </c>
      <c r="O47" s="226">
        <f>ABS(I47)</f>
        <v/>
      </c>
      <c r="P47" s="667" t="n"/>
      <c r="S47" s="739" t="n"/>
      <c r="T47" s="61" t="n"/>
      <c r="U47" s="61" t="n"/>
      <c r="V47" s="61" t="n"/>
      <c r="W47" s="61" t="n"/>
    </row>
    <row r="48" hidden="1" outlineLevel="2" ht="17.25" customHeight="1" thickBot="1">
      <c r="A48" s="740" t="n">
        <v>43136</v>
      </c>
      <c r="B48" s="299" t="inlineStr">
        <is>
          <t>TXO</t>
        </is>
      </c>
      <c r="C48" s="300" t="inlineStr">
        <is>
          <t>TXOW1 02 10850 P</t>
        </is>
      </c>
      <c r="D48" s="300" t="inlineStr">
        <is>
          <t>新倉</t>
        </is>
      </c>
      <c r="E48" s="301" t="inlineStr">
        <is>
          <t>買</t>
        </is>
      </c>
      <c r="F48" s="300" t="inlineStr">
        <is>
          <t>-</t>
        </is>
      </c>
      <c r="G48" s="741" t="n">
        <v>1</v>
      </c>
      <c r="H48" s="741" t="n">
        <v>21</v>
      </c>
      <c r="I48" s="741" t="n">
        <v>-1050</v>
      </c>
      <c r="J48" s="742" t="n">
        <v>18</v>
      </c>
      <c r="K48" s="742" t="n">
        <v>1</v>
      </c>
      <c r="L48" s="742">
        <f>IF(B48="TXO",I48-SUM(J48:K48),IF(B48="FITX",IF(D48="新倉",-SUM(J48:K48),IF(E48="賣",(H48-H47)*G48*200-SUM(J48:K48),(H47-H48)*G48*200-SUM(J48:K48))),IF(D48="新倉",-SUM(J48:K48),IF(E48="賣",(H48-H47)*G48*50-SUM(J48:K48),(H47-H48)*G48*50-SUM(J48:K48)))))</f>
        <v/>
      </c>
      <c r="M48" s="743">
        <f>L48</f>
        <v/>
      </c>
      <c r="N48" s="686">
        <f>IF(B48="TXO","",IF(D48="新倉","",IF(E48="賣",(H48-H47)*G48,(H47-H48)*G48)))</f>
        <v/>
      </c>
      <c r="O48" s="226">
        <f>ABS(I48)</f>
        <v/>
      </c>
      <c r="P48" s="667" t="n"/>
      <c r="S48" s="739" t="n"/>
      <c r="T48" s="61" t="n"/>
      <c r="U48" s="61" t="n"/>
      <c r="V48" s="61" t="n"/>
      <c r="W48" s="61" t="n"/>
    </row>
    <row r="49" hidden="1" outlineLevel="2" ht="17.25" customHeight="1" thickBot="1">
      <c r="A49" s="740" t="n">
        <v>43137</v>
      </c>
      <c r="B49" s="299" t="inlineStr">
        <is>
          <t>TXO</t>
        </is>
      </c>
      <c r="C49" s="300" t="inlineStr">
        <is>
          <t>TXOW1 02 10850 P</t>
        </is>
      </c>
      <c r="D49" s="300" t="inlineStr">
        <is>
          <t>平倉</t>
        </is>
      </c>
      <c r="E49" s="301" t="inlineStr">
        <is>
          <t>賣</t>
        </is>
      </c>
      <c r="F49" s="300" t="inlineStr">
        <is>
          <t>-</t>
        </is>
      </c>
      <c r="G49" s="741" t="n">
        <v>1</v>
      </c>
      <c r="H49" s="741" t="n">
        <v>228</v>
      </c>
      <c r="I49" s="741" t="n">
        <v>11400</v>
      </c>
      <c r="J49" s="742" t="n">
        <v>18</v>
      </c>
      <c r="K49" s="742" t="n">
        <v>11</v>
      </c>
      <c r="L49" s="742">
        <f>IF(B49="TXO",I49-SUM(J49:K49),IF(B49="FITX",IF(D49="新倉",-SUM(J49:K49),IF(E49="賣",(H49-H48)*G49*200-SUM(J49:K49),(H48-H49)*G49*200-SUM(J49:K49))),IF(D49="新倉",-SUM(J49:K49),IF(E49="賣",(H49-H48)*G49*50-SUM(J49:K49),(H48-H49)*G49*50-SUM(J49:K49)))))</f>
        <v/>
      </c>
      <c r="M49" s="743">
        <f>L49</f>
        <v/>
      </c>
      <c r="N49" s="686">
        <f>IF(B49="TXO","",IF(D49="新倉","",IF(E49="賣",(H49-H48)*G49,(H48-H49)*G49)))</f>
        <v/>
      </c>
      <c r="O49" s="226">
        <f>ABS(I49)</f>
        <v/>
      </c>
      <c r="P49" s="667" t="n"/>
      <c r="S49" s="739" t="n"/>
      <c r="T49" s="61" t="n"/>
      <c r="U49" s="61" t="n"/>
      <c r="V49" s="61" t="n"/>
      <c r="W49" s="61" t="n"/>
    </row>
    <row r="50" hidden="1" outlineLevel="2" ht="17.25" customHeight="1" thickBot="1">
      <c r="A50" s="740" t="n">
        <v>43136</v>
      </c>
      <c r="B50" s="299" t="inlineStr">
        <is>
          <t>TXO</t>
        </is>
      </c>
      <c r="C50" s="300" t="inlineStr">
        <is>
          <t>TXOW1 02 10800 P</t>
        </is>
      </c>
      <c r="D50" s="300" t="inlineStr">
        <is>
          <t>新倉</t>
        </is>
      </c>
      <c r="E50" s="301" t="inlineStr">
        <is>
          <t>買</t>
        </is>
      </c>
      <c r="F50" s="300" t="inlineStr">
        <is>
          <t>-</t>
        </is>
      </c>
      <c r="G50" s="741" t="n">
        <v>2</v>
      </c>
      <c r="H50" s="741" t="n">
        <v>10</v>
      </c>
      <c r="I50" s="741" t="n">
        <v>-1000</v>
      </c>
      <c r="J50" s="742" t="n">
        <v>36</v>
      </c>
      <c r="K50" s="742" t="n">
        <v>2</v>
      </c>
      <c r="L50" s="742">
        <f>IF(B50="TXO",I50-SUM(J50:K50),IF(B50="FITX",IF(D50="新倉",-SUM(J50:K50),IF(E50="賣",(H50-H49)*G50*200-SUM(J50:K50),(H49-H50)*G50*200-SUM(J50:K50))),IF(D50="新倉",-SUM(J50:K50),IF(E50="賣",(H50-H49)*G50*50-SUM(J50:K50),(H49-H50)*G50*50-SUM(J50:K50)))))</f>
        <v/>
      </c>
      <c r="M50" s="743">
        <f>L50</f>
        <v/>
      </c>
      <c r="N50" s="686">
        <f>IF(B50="TXO","",IF(D50="新倉","",IF(E50="賣",(H50-H49)*G50,(H49-H50)*G50)))</f>
        <v/>
      </c>
      <c r="O50" s="226">
        <f>ABS(I50)</f>
        <v/>
      </c>
      <c r="P50" s="667" t="n"/>
      <c r="S50" s="739" t="n"/>
      <c r="T50" s="61" t="n"/>
      <c r="U50" s="61" t="n"/>
      <c r="V50" s="61" t="n"/>
      <c r="W50" s="61" t="n"/>
    </row>
    <row r="51" hidden="1" outlineLevel="2" ht="17.25" customHeight="1" thickBot="1">
      <c r="A51" s="740" t="n">
        <v>43137</v>
      </c>
      <c r="B51" s="299" t="inlineStr">
        <is>
          <t>TXO</t>
        </is>
      </c>
      <c r="C51" s="300" t="inlineStr">
        <is>
          <t>TXOW1 02 10800 P</t>
        </is>
      </c>
      <c r="D51" s="300" t="inlineStr">
        <is>
          <t>平倉</t>
        </is>
      </c>
      <c r="E51" s="301" t="inlineStr">
        <is>
          <t>賣</t>
        </is>
      </c>
      <c r="F51" s="300" t="inlineStr">
        <is>
          <t>-</t>
        </is>
      </c>
      <c r="G51" s="741" t="n">
        <v>2</v>
      </c>
      <c r="H51" s="741" t="n">
        <v>206</v>
      </c>
      <c r="I51" s="741" t="n">
        <v>20600</v>
      </c>
      <c r="J51" s="742" t="n">
        <v>36</v>
      </c>
      <c r="K51" s="742" t="n">
        <v>20</v>
      </c>
      <c r="L51" s="742">
        <f>IF(B51="TXO",I51-SUM(J51:K51),IF(B51="FITX",IF(D51="新倉",-SUM(J51:K51),IF(E51="賣",(H51-H50)*G51*200-SUM(J51:K51),(H50-H51)*G51*200-SUM(J51:K51))),IF(D51="新倉",-SUM(J51:K51),IF(E51="賣",(H51-H50)*G51*50-SUM(J51:K51),(H50-H51)*G51*50-SUM(J51:K51)))))</f>
        <v/>
      </c>
      <c r="M51" s="743">
        <f>L51</f>
        <v/>
      </c>
      <c r="N51" s="686">
        <f>IF(B51="TXO","",IF(D51="新倉","",IF(E51="賣",(H51-H50)*G51,(H50-H51)*G51)))</f>
        <v/>
      </c>
      <c r="O51" s="226">
        <f>ABS(I51)</f>
        <v/>
      </c>
      <c r="P51" s="667" t="n"/>
      <c r="S51" s="739" t="n"/>
      <c r="T51" s="61" t="n"/>
      <c r="U51" s="61" t="n"/>
      <c r="V51" s="61" t="n"/>
      <c r="W51" s="61" t="n"/>
    </row>
    <row r="52" hidden="1" outlineLevel="2" ht="17.25" customHeight="1" thickBot="1">
      <c r="A52" s="740" t="n">
        <v>43136</v>
      </c>
      <c r="B52" s="299" t="inlineStr">
        <is>
          <t>TXO</t>
        </is>
      </c>
      <c r="C52" s="300" t="inlineStr">
        <is>
          <t>TXOW1 02 10900 P</t>
        </is>
      </c>
      <c r="D52" s="300" t="inlineStr">
        <is>
          <t>新倉</t>
        </is>
      </c>
      <c r="E52" s="301" t="inlineStr">
        <is>
          <t>買</t>
        </is>
      </c>
      <c r="F52" s="300" t="inlineStr">
        <is>
          <t>-</t>
        </is>
      </c>
      <c r="G52" s="741" t="n">
        <v>2</v>
      </c>
      <c r="H52" s="741" t="n">
        <v>30</v>
      </c>
      <c r="I52" s="741" t="n">
        <v>-3000</v>
      </c>
      <c r="J52" s="742" t="n">
        <v>36</v>
      </c>
      <c r="K52" s="742" t="n">
        <v>4</v>
      </c>
      <c r="L52" s="742">
        <f>IF(B52="TXO",I52-SUM(J52:K52),IF(B52="FITX",IF(D52="新倉",-SUM(J52:K52),IF(E52="賣",(H52-H51)*G52*200-SUM(J52:K52),(H51-H52)*G52*200-SUM(J52:K52))),IF(D52="新倉",-SUM(J52:K52),IF(E52="賣",(H52-H51)*G52*50-SUM(J52:K52),(H51-H52)*G52*50-SUM(J52:K52)))))</f>
        <v/>
      </c>
      <c r="M52" s="743">
        <f>L52</f>
        <v/>
      </c>
      <c r="N52" s="686">
        <f>IF(B52="TXO","",IF(D52="新倉","",IF(E52="賣",(H52-H51)*G52,(H51-H52)*G52)))</f>
        <v/>
      </c>
      <c r="O52" s="226">
        <f>ABS(I52)</f>
        <v/>
      </c>
      <c r="P52" s="667" t="n"/>
      <c r="S52" s="739" t="n"/>
      <c r="T52" s="61" t="n"/>
      <c r="U52" s="61" t="n"/>
      <c r="V52" s="61" t="n"/>
      <c r="W52" s="61" t="n"/>
    </row>
    <row r="53" hidden="1" outlineLevel="2" ht="17.25" customHeight="1" thickBot="1">
      <c r="A53" s="740" t="n">
        <v>43137</v>
      </c>
      <c r="B53" s="299" t="inlineStr">
        <is>
          <t>TXO</t>
        </is>
      </c>
      <c r="C53" s="300" t="inlineStr">
        <is>
          <t>TXOW1 02 10900 P</t>
        </is>
      </c>
      <c r="D53" s="300" t="inlineStr">
        <is>
          <t>平倉</t>
        </is>
      </c>
      <c r="E53" s="301" t="inlineStr">
        <is>
          <t>賣</t>
        </is>
      </c>
      <c r="F53" s="300" t="inlineStr">
        <is>
          <t>-</t>
        </is>
      </c>
      <c r="G53" s="741" t="n">
        <v>2</v>
      </c>
      <c r="H53" s="741" t="n">
        <v>294</v>
      </c>
      <c r="I53" s="741" t="n">
        <v>29400</v>
      </c>
      <c r="J53" s="742" t="n">
        <v>36</v>
      </c>
      <c r="K53" s="742" t="n">
        <v>30</v>
      </c>
      <c r="L53" s="742">
        <f>IF(B53="TXO",I53-SUM(J53:K53),IF(B53="FITX",IF(D53="新倉",-SUM(J53:K53),IF(E53="賣",(H53-H52)*G53*200-SUM(J53:K53),(H52-H53)*G53*200-SUM(J53:K53))),IF(D53="新倉",-SUM(J53:K53),IF(E53="賣",(H53-H52)*G53*50-SUM(J53:K53),(H52-H53)*G53*50-SUM(J53:K53)))))</f>
        <v/>
      </c>
      <c r="M53" s="743">
        <f>L53</f>
        <v/>
      </c>
      <c r="N53" s="686">
        <f>IF(B53="TXO","",IF(D53="新倉","",IF(E53="賣",(H53-H52)*G53,(H52-H53)*G53)))</f>
        <v/>
      </c>
      <c r="O53" s="226">
        <f>ABS(I53)</f>
        <v/>
      </c>
      <c r="P53" s="667" t="n"/>
      <c r="S53" s="739" t="n"/>
      <c r="T53" s="61" t="n"/>
      <c r="U53" s="61" t="n"/>
      <c r="V53" s="61" t="n"/>
      <c r="W53" s="61" t="n"/>
    </row>
    <row r="54" hidden="1" outlineLevel="2" ht="17.25" customHeight="1" thickBot="1">
      <c r="A54" s="740" t="n">
        <v>43136</v>
      </c>
      <c r="B54" s="299" t="inlineStr">
        <is>
          <t>TXO</t>
        </is>
      </c>
      <c r="C54" s="300" t="inlineStr">
        <is>
          <t>TXOW1 02 10800 P</t>
        </is>
      </c>
      <c r="D54" s="300" t="inlineStr">
        <is>
          <t>新倉</t>
        </is>
      </c>
      <c r="E54" s="301" t="inlineStr">
        <is>
          <t>買</t>
        </is>
      </c>
      <c r="F54" s="300" t="inlineStr">
        <is>
          <t>-</t>
        </is>
      </c>
      <c r="G54" s="741" t="n">
        <v>1</v>
      </c>
      <c r="H54" s="741" t="n">
        <v>12.5</v>
      </c>
      <c r="I54" s="741" t="n">
        <v>-625</v>
      </c>
      <c r="J54" s="742" t="n">
        <v>18</v>
      </c>
      <c r="K54" s="742" t="n">
        <v>1</v>
      </c>
      <c r="L54" s="742">
        <f>IF(B54="TXO",I54-SUM(J54:K54),IF(B54="FITX",IF(D54="新倉",-SUM(J54:K54),IF(E54="賣",(H54-H53)*G54*200-SUM(J54:K54),(H53-H54)*G54*200-SUM(J54:K54))),IF(D54="新倉",-SUM(J54:K54),IF(E54="賣",(H54-H53)*G54*50-SUM(J54:K54),(H53-H54)*G54*50-SUM(J54:K54)))))</f>
        <v/>
      </c>
      <c r="M54" s="743">
        <f>L54</f>
        <v/>
      </c>
      <c r="N54" s="686">
        <f>IF(B54="TXO","",IF(D54="新倉","",IF(E54="賣",(H54-H53)*G54,(H53-H54)*G54)))</f>
        <v/>
      </c>
      <c r="O54" s="226">
        <f>ABS(I54)</f>
        <v/>
      </c>
      <c r="P54" s="667" t="n"/>
      <c r="S54" s="739" t="n"/>
      <c r="T54" s="61" t="n"/>
      <c r="U54" s="61" t="n"/>
      <c r="V54" s="61" t="n"/>
      <c r="W54" s="61" t="n"/>
    </row>
    <row r="55" hidden="1" outlineLevel="2" ht="17.25" customHeight="1" thickBot="1">
      <c r="A55" s="740" t="n">
        <v>43137</v>
      </c>
      <c r="B55" s="299" t="inlineStr">
        <is>
          <t>TXO</t>
        </is>
      </c>
      <c r="C55" s="300" t="inlineStr">
        <is>
          <t>TXOW1 02 10800 P</t>
        </is>
      </c>
      <c r="D55" s="300" t="inlineStr">
        <is>
          <t>平倉</t>
        </is>
      </c>
      <c r="E55" s="301" t="inlineStr">
        <is>
          <t>賣</t>
        </is>
      </c>
      <c r="F55" s="300" t="inlineStr">
        <is>
          <t>-</t>
        </is>
      </c>
      <c r="G55" s="741" t="n">
        <v>1</v>
      </c>
      <c r="H55" s="741" t="n">
        <v>196</v>
      </c>
      <c r="I55" s="741" t="n">
        <v>9800</v>
      </c>
      <c r="J55" s="742" t="n">
        <v>18</v>
      </c>
      <c r="K55" s="742" t="n">
        <v>10</v>
      </c>
      <c r="L55" s="742">
        <f>IF(B55="TXO",I55-SUM(J55:K55),IF(B55="FITX",IF(D55="新倉",-SUM(J55:K55),IF(E55="賣",(H55-H54)*G55*200-SUM(J55:K55),(H54-H55)*G55*200-SUM(J55:K55))),IF(D55="新倉",-SUM(J55:K55),IF(E55="賣",(H55-H54)*G55*50-SUM(J55:K55),(H54-H55)*G55*50-SUM(J55:K55)))))</f>
        <v/>
      </c>
      <c r="M55" s="743">
        <f>L55</f>
        <v/>
      </c>
      <c r="N55" s="686">
        <f>IF(B55="TXO","",IF(D55="新倉","",IF(E55="賣",(H55-H54)*G55,(H54-H55)*G55)))</f>
        <v/>
      </c>
      <c r="O55" s="226">
        <f>ABS(I55)</f>
        <v/>
      </c>
      <c r="P55" s="667" t="n"/>
      <c r="S55" s="739" t="n"/>
      <c r="T55" s="61" t="n"/>
      <c r="U55" s="61" t="n"/>
      <c r="V55" s="61" t="n"/>
      <c r="W55" s="61" t="n"/>
    </row>
    <row r="56" hidden="1" outlineLevel="2" ht="17.25" customHeight="1" thickBot="1">
      <c r="A56" s="740" t="n">
        <v>43136</v>
      </c>
      <c r="B56" s="299" t="inlineStr">
        <is>
          <t>TXO</t>
        </is>
      </c>
      <c r="C56" s="300" t="inlineStr">
        <is>
          <t>TXOW1 02 10750 P</t>
        </is>
      </c>
      <c r="D56" s="300" t="inlineStr">
        <is>
          <t>新倉</t>
        </is>
      </c>
      <c r="E56" s="301" t="inlineStr">
        <is>
          <t>買</t>
        </is>
      </c>
      <c r="F56" s="300" t="inlineStr">
        <is>
          <t>-</t>
        </is>
      </c>
      <c r="G56" s="741" t="n">
        <v>1</v>
      </c>
      <c r="H56" s="741" t="n">
        <v>6</v>
      </c>
      <c r="I56" s="741" t="n">
        <v>-300</v>
      </c>
      <c r="J56" s="742" t="n">
        <v>18</v>
      </c>
      <c r="K56" s="742" t="n">
        <v>0</v>
      </c>
      <c r="L56" s="742">
        <f>IF(B56="TXO",I56-SUM(J56:K56),IF(B56="FITX",IF(D56="新倉",-SUM(J56:K56),IF(E56="賣",(H56-H55)*G56*200-SUM(J56:K56),(H55-H56)*G56*200-SUM(J56:K56))),IF(D56="新倉",-SUM(J56:K56),IF(E56="賣",(H56-H55)*G56*50-SUM(J56:K56),(H55-H56)*G56*50-SUM(J56:K56)))))</f>
        <v/>
      </c>
      <c r="M56" s="743">
        <f>L56</f>
        <v/>
      </c>
      <c r="N56" s="686">
        <f>IF(B56="TXO","",IF(D56="新倉","",IF(E56="賣",(H56-H55)*G56,(H55-H56)*G56)))</f>
        <v/>
      </c>
      <c r="O56" s="226">
        <f>ABS(I56)</f>
        <v/>
      </c>
      <c r="P56" s="667" t="n"/>
      <c r="S56" s="739" t="n"/>
      <c r="T56" s="61" t="n"/>
      <c r="U56" s="61" t="n"/>
      <c r="V56" s="61" t="n"/>
      <c r="W56" s="61" t="n"/>
    </row>
    <row r="57" hidden="1" outlineLevel="2" ht="17.25" customHeight="1" thickBot="1">
      <c r="A57" s="740" t="n">
        <v>43137</v>
      </c>
      <c r="B57" s="299" t="inlineStr">
        <is>
          <t>TXO</t>
        </is>
      </c>
      <c r="C57" s="300" t="inlineStr">
        <is>
          <t>TXOW1 02 10750 P</t>
        </is>
      </c>
      <c r="D57" s="300" t="inlineStr">
        <is>
          <t>平倉</t>
        </is>
      </c>
      <c r="E57" s="301" t="inlineStr">
        <is>
          <t>賣</t>
        </is>
      </c>
      <c r="F57" s="300" t="inlineStr">
        <is>
          <t>-</t>
        </is>
      </c>
      <c r="G57" s="741" t="n">
        <v>1</v>
      </c>
      <c r="H57" s="741" t="n">
        <v>169</v>
      </c>
      <c r="I57" s="741" t="n">
        <v>8450</v>
      </c>
      <c r="J57" s="742" t="n">
        <v>18</v>
      </c>
      <c r="K57" s="742" t="n">
        <v>8</v>
      </c>
      <c r="L57" s="742">
        <f>IF(B57="TXO",I57-SUM(J57:K57),IF(B57="FITX",IF(D57="新倉",-SUM(J57:K57),IF(E57="賣",(H57-H56)*G57*200-SUM(J57:K57),(H56-H57)*G57*200-SUM(J57:K57))),IF(D57="新倉",-SUM(J57:K57),IF(E57="賣",(H57-H56)*G57*50-SUM(J57:K57),(H56-H57)*G57*50-SUM(J57:K57)))))</f>
        <v/>
      </c>
      <c r="M57" s="743">
        <f>L57</f>
        <v/>
      </c>
      <c r="N57" s="686">
        <f>IF(B57="TXO","",IF(D57="新倉","",IF(E57="賣",(H57-H56)*G57,(H56-H57)*G57)))</f>
        <v/>
      </c>
      <c r="O57" s="226">
        <f>ABS(I57)</f>
        <v/>
      </c>
      <c r="P57" s="667" t="n"/>
      <c r="S57" s="739" t="n"/>
      <c r="T57" s="61" t="n"/>
      <c r="U57" s="61" t="n"/>
      <c r="V57" s="61" t="n"/>
      <c r="W57" s="61" t="n"/>
    </row>
    <row r="58" hidden="1" outlineLevel="2" ht="17.25" customHeight="1" thickBot="1">
      <c r="A58" s="740" t="n">
        <v>43136</v>
      </c>
      <c r="B58" s="299" t="inlineStr">
        <is>
          <t>TXO</t>
        </is>
      </c>
      <c r="C58" s="300" t="inlineStr">
        <is>
          <t>TXOW1 02 10900 P</t>
        </is>
      </c>
      <c r="D58" s="300" t="inlineStr">
        <is>
          <t>新倉</t>
        </is>
      </c>
      <c r="E58" s="301" t="inlineStr">
        <is>
          <t>買</t>
        </is>
      </c>
      <c r="F58" s="300" t="inlineStr">
        <is>
          <t>-</t>
        </is>
      </c>
      <c r="G58" s="741" t="n">
        <v>1</v>
      </c>
      <c r="H58" s="741" t="n">
        <v>36</v>
      </c>
      <c r="I58" s="741" t="n">
        <v>-1800</v>
      </c>
      <c r="J58" s="742" t="n">
        <v>18</v>
      </c>
      <c r="K58" s="742" t="n">
        <v>2</v>
      </c>
      <c r="L58" s="742">
        <f>IF(B58="TXO",I58-SUM(J58:K58),IF(B58="FITX",IF(D58="新倉",-SUM(J58:K58),IF(E58="賣",(H58-H57)*G58*200-SUM(J58:K58),(H57-H58)*G58*200-SUM(J58:K58))),IF(D58="新倉",-SUM(J58:K58),IF(E58="賣",(H58-H57)*G58*50-SUM(J58:K58),(H57-H58)*G58*50-SUM(J58:K58)))))</f>
        <v/>
      </c>
      <c r="M58" s="743">
        <f>L58</f>
        <v/>
      </c>
      <c r="N58" s="686">
        <f>IF(B58="TXO","",IF(D58="新倉","",IF(E58="賣",(H58-H57)*G58,(H57-H58)*G58)))</f>
        <v/>
      </c>
      <c r="O58" s="226">
        <f>ABS(I58)</f>
        <v/>
      </c>
      <c r="P58" s="667" t="n"/>
      <c r="S58" s="739" t="n"/>
      <c r="T58" s="61" t="n"/>
      <c r="U58" s="61" t="n"/>
      <c r="V58" s="61" t="n"/>
      <c r="W58" s="61" t="n"/>
    </row>
    <row r="59" hidden="1" outlineLevel="2" ht="17.25" customHeight="1" thickBot="1">
      <c r="A59" s="740" t="n">
        <v>43137</v>
      </c>
      <c r="B59" s="299" t="inlineStr">
        <is>
          <t>TXO</t>
        </is>
      </c>
      <c r="C59" s="300" t="inlineStr">
        <is>
          <t>TXOW1 02 10900 P</t>
        </is>
      </c>
      <c r="D59" s="300" t="inlineStr">
        <is>
          <t>平倉</t>
        </is>
      </c>
      <c r="E59" s="301" t="inlineStr">
        <is>
          <t>賣</t>
        </is>
      </c>
      <c r="F59" s="300" t="inlineStr">
        <is>
          <t>-</t>
        </is>
      </c>
      <c r="G59" s="741" t="n">
        <v>1</v>
      </c>
      <c r="H59" s="741" t="n">
        <v>270</v>
      </c>
      <c r="I59" s="741" t="n">
        <v>13500</v>
      </c>
      <c r="J59" s="742" t="n">
        <v>18</v>
      </c>
      <c r="K59" s="742" t="n">
        <v>14</v>
      </c>
      <c r="L59" s="742">
        <f>IF(B59="TXO",I59-SUM(J59:K59),IF(B59="FITX",IF(D59="新倉",-SUM(J59:K59),IF(E59="賣",(H59-H58)*G59*200-SUM(J59:K59),(H58-H59)*G59*200-SUM(J59:K59))),IF(D59="新倉",-SUM(J59:K59),IF(E59="賣",(H59-H58)*G59*50-SUM(J59:K59),(H58-H59)*G59*50-SUM(J59:K59)))))</f>
        <v/>
      </c>
      <c r="M59" s="743">
        <f>L59</f>
        <v/>
      </c>
      <c r="N59" s="686">
        <f>IF(B59="TXO","",IF(D59="新倉","",IF(E59="賣",(H59-H58)*G59,(H58-H59)*G59)))</f>
        <v/>
      </c>
      <c r="O59" s="226">
        <f>ABS(I59)</f>
        <v/>
      </c>
      <c r="P59" s="667" t="n"/>
      <c r="S59" s="739" t="n"/>
      <c r="T59" s="61" t="n"/>
      <c r="U59" s="61" t="n"/>
      <c r="V59" s="61" t="n"/>
      <c r="W59" s="61" t="n"/>
    </row>
    <row r="60" hidden="1" outlineLevel="2" ht="17.25" customHeight="1" thickBot="1">
      <c r="A60" s="740" t="n">
        <v>43136</v>
      </c>
      <c r="B60" s="299" t="inlineStr">
        <is>
          <t>TXO</t>
        </is>
      </c>
      <c r="C60" s="300" t="inlineStr">
        <is>
          <t>TXOW1 02 10750 P</t>
        </is>
      </c>
      <c r="D60" s="300" t="inlineStr">
        <is>
          <t>新倉</t>
        </is>
      </c>
      <c r="E60" s="301" t="inlineStr">
        <is>
          <t>買</t>
        </is>
      </c>
      <c r="F60" s="300" t="inlineStr">
        <is>
          <t>-</t>
        </is>
      </c>
      <c r="G60" s="741" t="n">
        <v>5</v>
      </c>
      <c r="H60" s="741" t="n">
        <v>13.5</v>
      </c>
      <c r="I60" s="741" t="n">
        <v>-3375</v>
      </c>
      <c r="J60" s="742" t="n">
        <v>90</v>
      </c>
      <c r="K60" s="742" t="n">
        <v>5</v>
      </c>
      <c r="L60" s="742">
        <f>IF(B60="TXO",I60-SUM(J60:K60),IF(B60="FITX",IF(D60="新倉",-SUM(J60:K60),IF(E60="賣",(H60-H59)*G60*200-SUM(J60:K60),(H59-H60)*G60*200-SUM(J60:K60))),IF(D60="新倉",-SUM(J60:K60),IF(E60="賣",(H60-H59)*G60*50-SUM(J60:K60),(H59-H60)*G60*50-SUM(J60:K60)))))</f>
        <v/>
      </c>
      <c r="M60" s="743">
        <f>L60</f>
        <v/>
      </c>
      <c r="N60" s="686">
        <f>IF(B60="TXO","",IF(D60="新倉","",IF(E60="賣",(H60-H59)*G60,(H59-H60)*G60)))</f>
        <v/>
      </c>
      <c r="O60" s="226">
        <f>ABS(I60)</f>
        <v/>
      </c>
      <c r="P60" s="667" t="n"/>
      <c r="S60" s="739" t="n"/>
      <c r="T60" s="61" t="n"/>
      <c r="U60" s="61" t="n"/>
      <c r="V60" s="61" t="n"/>
      <c r="W60" s="61" t="n"/>
    </row>
    <row r="61" hidden="1" outlineLevel="2" ht="17.25" customHeight="1" thickBot="1">
      <c r="A61" s="740" t="n">
        <v>43137</v>
      </c>
      <c r="B61" s="299" t="inlineStr">
        <is>
          <t>TXO</t>
        </is>
      </c>
      <c r="C61" s="300" t="inlineStr">
        <is>
          <t>TXOW1 02 10750 P</t>
        </is>
      </c>
      <c r="D61" s="300" t="inlineStr">
        <is>
          <t>平倉</t>
        </is>
      </c>
      <c r="E61" s="301" t="inlineStr">
        <is>
          <t>賣</t>
        </is>
      </c>
      <c r="F61" s="300" t="inlineStr">
        <is>
          <t>-</t>
        </is>
      </c>
      <c r="G61" s="741" t="n">
        <v>5</v>
      </c>
      <c r="H61" s="741" t="n">
        <v>169</v>
      </c>
      <c r="I61" s="741" t="n">
        <v>42250</v>
      </c>
      <c r="J61" s="742" t="n">
        <v>90</v>
      </c>
      <c r="K61" s="742" t="n">
        <v>40</v>
      </c>
      <c r="L61" s="742">
        <f>IF(B61="TXO",I61-SUM(J61:K61),IF(B61="FITX",IF(D61="新倉",-SUM(J61:K61),IF(E61="賣",(H61-H60)*G61*200-SUM(J61:K61),(H60-H61)*G61*200-SUM(J61:K61))),IF(D61="新倉",-SUM(J61:K61),IF(E61="賣",(H61-H60)*G61*50-SUM(J61:K61),(H60-H61)*G61*50-SUM(J61:K61)))))</f>
        <v/>
      </c>
      <c r="M61" s="743">
        <f>L61</f>
        <v/>
      </c>
      <c r="N61" s="686">
        <f>IF(B61="TXO","",IF(D61="新倉","",IF(E61="賣",(H61-H60)*G61,(H60-H61)*G61)))</f>
        <v/>
      </c>
      <c r="O61" s="226">
        <f>ABS(I61)</f>
        <v/>
      </c>
      <c r="P61" s="667" t="n"/>
      <c r="S61" s="739" t="n"/>
      <c r="T61" s="61" t="n"/>
      <c r="U61" s="61" t="n"/>
      <c r="V61" s="61" t="n"/>
      <c r="W61" s="61" t="n"/>
    </row>
    <row r="62" hidden="1" outlineLevel="1" ht="17.25" customHeight="1" thickBot="1">
      <c r="A62" s="740" t="n">
        <v>43143</v>
      </c>
      <c r="B62" s="299" t="inlineStr">
        <is>
          <t>TXO</t>
        </is>
      </c>
      <c r="C62" s="300" t="inlineStr">
        <is>
          <t>台指選 02 10250 P</t>
        </is>
      </c>
      <c r="D62" s="300" t="inlineStr">
        <is>
          <t>新倉</t>
        </is>
      </c>
      <c r="E62" s="301" t="inlineStr">
        <is>
          <t>買</t>
        </is>
      </c>
      <c r="F62" s="300" t="inlineStr">
        <is>
          <t>-</t>
        </is>
      </c>
      <c r="G62" s="741" t="n">
        <v>1</v>
      </c>
      <c r="H62" s="741" t="n">
        <v>66</v>
      </c>
      <c r="I62" s="741" t="n">
        <v>-3300</v>
      </c>
      <c r="J62" s="742" t="n">
        <v>18</v>
      </c>
      <c r="K62" s="742" t="n">
        <v>3</v>
      </c>
      <c r="L62" s="742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/>
      </c>
      <c r="M62" s="743">
        <f>L62</f>
        <v/>
      </c>
      <c r="N62" s="686">
        <f>IF(B62="TXO","",IF(D62="新倉","",IF(E62="賣",(H62-H25)*G62,(H25-H62)*G62)))</f>
        <v/>
      </c>
      <c r="O62" s="226">
        <f>ABS(I62)</f>
        <v/>
      </c>
      <c r="P62" s="667">
        <f>SUM(L62)</f>
        <v/>
      </c>
      <c r="S62" s="739" t="n"/>
      <c r="T62" s="61" t="n"/>
      <c r="U62" s="61" t="n"/>
      <c r="V62" s="61" t="n"/>
      <c r="W62" s="61" t="n"/>
    </row>
    <row r="63" hidden="1" outlineLevel="1" ht="17.25" customHeight="1" thickBot="1">
      <c r="A63" s="740" t="n">
        <v>43152</v>
      </c>
      <c r="B63" s="299" t="inlineStr">
        <is>
          <t>TXO</t>
        </is>
      </c>
      <c r="C63" s="300" t="inlineStr">
        <is>
          <t>TXOW4 02 10800 C</t>
        </is>
      </c>
      <c r="D63" s="300" t="inlineStr">
        <is>
          <t>新倉</t>
        </is>
      </c>
      <c r="E63" s="301" t="inlineStr">
        <is>
          <t>買</t>
        </is>
      </c>
      <c r="F63" s="300" t="inlineStr">
        <is>
          <t>-</t>
        </is>
      </c>
      <c r="G63" s="741" t="n">
        <v>1</v>
      </c>
      <c r="H63" s="741" t="n">
        <v>50</v>
      </c>
      <c r="I63" s="741" t="n">
        <v>-2500</v>
      </c>
      <c r="J63" s="742" t="n">
        <v>18</v>
      </c>
      <c r="K63" s="742" t="n">
        <v>3</v>
      </c>
      <c r="L63" s="742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/>
      </c>
      <c r="M63" s="743">
        <f>L63</f>
        <v/>
      </c>
      <c r="N63" s="686">
        <f>IF(B63="TXO","",IF(D63="新倉","",IF(E63="賣",(H63-H27)*G63,(H27-H63)*G63)))</f>
        <v/>
      </c>
      <c r="O63" s="226">
        <f>ABS(I63)</f>
        <v/>
      </c>
      <c r="P63" s="667">
        <f>SUM(L63:L68)</f>
        <v/>
      </c>
      <c r="S63" s="739" t="n"/>
      <c r="T63" s="61" t="n"/>
      <c r="U63" s="61" t="n"/>
      <c r="V63" s="61" t="n"/>
      <c r="W63" s="61" t="n"/>
    </row>
    <row r="64" hidden="1" outlineLevel="2" ht="17.25" customHeight="1" thickBot="1">
      <c r="A64" s="740" t="n">
        <v>43157</v>
      </c>
      <c r="B64" s="299" t="inlineStr">
        <is>
          <t>TXO</t>
        </is>
      </c>
      <c r="C64" s="300" t="inlineStr">
        <is>
          <t>TXOW4 02 10800 C</t>
        </is>
      </c>
      <c r="D64" s="300" t="inlineStr">
        <is>
          <t>平倉</t>
        </is>
      </c>
      <c r="E64" s="301" t="inlineStr">
        <is>
          <t>賣</t>
        </is>
      </c>
      <c r="F64" s="300" t="inlineStr">
        <is>
          <t>-</t>
        </is>
      </c>
      <c r="G64" s="741" t="n">
        <v>1</v>
      </c>
      <c r="H64" s="741" t="n">
        <v>107</v>
      </c>
      <c r="I64" s="741" t="n">
        <v>5350</v>
      </c>
      <c r="J64" s="742" t="n">
        <v>18</v>
      </c>
      <c r="K64" s="742" t="n">
        <v>5</v>
      </c>
      <c r="L64" s="742">
        <f>IF(B64="TXO",I64-SUM(J64:K64),IF(B64="FITX",IF(D64="新倉",-SUM(J64:K64),IF(E64="賣",(H64-H28)*G64*200-SUM(J64:K64),(H28-H64)*G64*200-SUM(J64:K64))),IF(D64="新倉",-SUM(J64:K64),IF(E64="賣",(H64-H28)*G64*50-SUM(J64:K64),(H28-H64)*G64*50-SUM(J64:K64)))))</f>
        <v/>
      </c>
      <c r="M64" s="743">
        <f>L64</f>
        <v/>
      </c>
      <c r="N64" s="686">
        <f>IF(B64="TXO","",IF(D64="新倉","",IF(E64="賣",(H64-H28)*G64,(H28-H64)*G64)))</f>
        <v/>
      </c>
      <c r="O64" s="226">
        <f>ABS(I64)</f>
        <v/>
      </c>
      <c r="P64" s="667" t="n"/>
      <c r="S64" s="739" t="n"/>
      <c r="T64" s="61" t="n"/>
      <c r="U64" s="61" t="n"/>
      <c r="V64" s="61" t="n"/>
      <c r="W64" s="61" t="n"/>
    </row>
    <row r="65" hidden="1" outlineLevel="2" ht="17.25" customHeight="1" thickBot="1">
      <c r="A65" s="740" t="n">
        <v>43152</v>
      </c>
      <c r="B65" s="299" t="inlineStr">
        <is>
          <t>TXO</t>
        </is>
      </c>
      <c r="C65" s="300" t="inlineStr">
        <is>
          <t>TXOW4 02 10900 C</t>
        </is>
      </c>
      <c r="D65" s="300" t="inlineStr">
        <is>
          <t>新倉</t>
        </is>
      </c>
      <c r="E65" s="301" t="inlineStr">
        <is>
          <t>買</t>
        </is>
      </c>
      <c r="F65" s="300" t="inlineStr">
        <is>
          <t>-</t>
        </is>
      </c>
      <c r="G65" s="741" t="n">
        <v>1</v>
      </c>
      <c r="H65" s="741" t="n">
        <v>29</v>
      </c>
      <c r="I65" s="741" t="n">
        <v>-1450</v>
      </c>
      <c r="J65" s="742" t="n">
        <v>18</v>
      </c>
      <c r="K65" s="742" t="n">
        <v>1</v>
      </c>
      <c r="L65" s="742">
        <f>IF(B65="TXO",I65-SUM(J65:K65),IF(B65="FITX",IF(D65="新倉",-SUM(J65:K65),IF(E65="賣",(H65-H29)*G65*200-SUM(J65:K65),(H29-H65)*G65*200-SUM(J65:K65))),IF(D65="新倉",-SUM(J65:K65),IF(E65="賣",(H65-H29)*G65*50-SUM(J65:K65),(H29-H65)*G65*50-SUM(J65:K65)))))</f>
        <v/>
      </c>
      <c r="M65" s="743">
        <f>L65</f>
        <v/>
      </c>
      <c r="N65" s="686">
        <f>IF(B65="TXO","",IF(D65="新倉","",IF(E65="賣",(H65-H29)*G65,(H29-H65)*G65)))</f>
        <v/>
      </c>
      <c r="O65" s="226">
        <f>ABS(I65)</f>
        <v/>
      </c>
      <c r="P65" s="667" t="n"/>
      <c r="S65" s="739" t="n"/>
      <c r="T65" s="61" t="n"/>
      <c r="U65" s="61" t="n"/>
      <c r="V65" s="61" t="n"/>
      <c r="W65" s="61" t="n"/>
    </row>
    <row r="66" hidden="1" outlineLevel="2" ht="17.25" customHeight="1" thickBot="1">
      <c r="A66" s="740" t="n">
        <v>43157</v>
      </c>
      <c r="B66" s="299" t="inlineStr">
        <is>
          <t>TXO</t>
        </is>
      </c>
      <c r="C66" s="300" t="inlineStr">
        <is>
          <t>TXOW4 02 10900 C</t>
        </is>
      </c>
      <c r="D66" s="300" t="inlineStr">
        <is>
          <t>平倉</t>
        </is>
      </c>
      <c r="E66" s="301" t="inlineStr">
        <is>
          <t>賣</t>
        </is>
      </c>
      <c r="F66" s="300" t="inlineStr">
        <is>
          <t>-</t>
        </is>
      </c>
      <c r="G66" s="741" t="n">
        <v>1</v>
      </c>
      <c r="H66" s="741" t="n">
        <v>50</v>
      </c>
      <c r="I66" s="741" t="n">
        <v>2500</v>
      </c>
      <c r="J66" s="742" t="n">
        <v>18</v>
      </c>
      <c r="K66" s="742" t="n">
        <v>3</v>
      </c>
      <c r="L66" s="742">
        <f>IF(B66="TXO",I66-SUM(J66:K66),IF(B66="FITX",IF(D66="新倉",-SUM(J66:K66),IF(E66="賣",(H66-H30)*G66*200-SUM(J66:K66),(H30-H66)*G66*200-SUM(J66:K66))),IF(D66="新倉",-SUM(J66:K66),IF(E66="賣",(H66-H30)*G66*50-SUM(J66:K66),(H30-H66)*G66*50-SUM(J66:K66)))))</f>
        <v/>
      </c>
      <c r="M66" s="743">
        <f>L66</f>
        <v/>
      </c>
      <c r="N66" s="686">
        <f>IF(B66="TXO","",IF(D66="新倉","",IF(E66="賣",(H66-H30)*G66,(H30-H66)*G66)))</f>
        <v/>
      </c>
      <c r="O66" s="226">
        <f>ABS(I66)</f>
        <v/>
      </c>
      <c r="P66" s="667" t="n"/>
      <c r="S66" s="739" t="n"/>
      <c r="T66" s="61" t="n"/>
      <c r="U66" s="61" t="n"/>
      <c r="V66" s="61" t="n"/>
      <c r="W66" s="61" t="n"/>
    </row>
    <row r="67" hidden="1" outlineLevel="2" ht="17.25" customHeight="1" thickBot="1">
      <c r="A67" s="740" t="n">
        <v>43152</v>
      </c>
      <c r="B67" s="299" t="inlineStr">
        <is>
          <t>TXO</t>
        </is>
      </c>
      <c r="C67" s="300" t="inlineStr">
        <is>
          <t>TXOW4 02 10800 C</t>
        </is>
      </c>
      <c r="D67" s="300" t="inlineStr">
        <is>
          <t>新倉</t>
        </is>
      </c>
      <c r="E67" s="301" t="inlineStr">
        <is>
          <t>買</t>
        </is>
      </c>
      <c r="F67" s="300" t="inlineStr">
        <is>
          <t>-</t>
        </is>
      </c>
      <c r="G67" s="741" t="n">
        <v>1</v>
      </c>
      <c r="H67" s="741" t="n">
        <v>62</v>
      </c>
      <c r="I67" s="741" t="n">
        <v>-3100</v>
      </c>
      <c r="J67" s="742" t="n">
        <v>18</v>
      </c>
      <c r="K67" s="742" t="n">
        <v>3</v>
      </c>
      <c r="L67" s="742">
        <f>IF(B67="TXO",I67-SUM(J67:K67),IF(B67="FITX",IF(D67="新倉",-SUM(J67:K67),IF(E67="賣",(H67-H31)*G67*200-SUM(J67:K67),(H31-H67)*G67*200-SUM(J67:K67))),IF(D67="新倉",-SUM(J67:K67),IF(E67="賣",(H67-H31)*G67*50-SUM(J67:K67),(H31-H67)*G67*50-SUM(J67:K67)))))</f>
        <v/>
      </c>
      <c r="M67" s="743">
        <f>L67</f>
        <v/>
      </c>
      <c r="N67" s="686">
        <f>IF(B67="TXO","",IF(D67="新倉","",IF(E67="賣",(H67-H31)*G67,(H31-H67)*G67)))</f>
        <v/>
      </c>
      <c r="O67" s="226">
        <f>ABS(I67)</f>
        <v/>
      </c>
      <c r="P67" s="667" t="n"/>
      <c r="S67" s="739" t="n"/>
      <c r="T67" s="61" t="n"/>
      <c r="U67" s="61" t="n"/>
      <c r="V67" s="61" t="n"/>
      <c r="W67" s="61" t="n"/>
    </row>
    <row r="68" hidden="1" outlineLevel="2" ht="17.25" customHeight="1" thickBot="1">
      <c r="A68" s="740" t="n">
        <v>43157</v>
      </c>
      <c r="B68" s="299" t="inlineStr">
        <is>
          <t>TXO</t>
        </is>
      </c>
      <c r="C68" s="300" t="inlineStr">
        <is>
          <t>TXOW4 02 10800 C</t>
        </is>
      </c>
      <c r="D68" s="300" t="inlineStr">
        <is>
          <t>平倉</t>
        </is>
      </c>
      <c r="E68" s="301" t="inlineStr">
        <is>
          <t>賣</t>
        </is>
      </c>
      <c r="F68" s="300" t="inlineStr">
        <is>
          <t>-</t>
        </is>
      </c>
      <c r="G68" s="741" t="n">
        <v>1</v>
      </c>
      <c r="H68" s="741" t="n">
        <v>107</v>
      </c>
      <c r="I68" s="741" t="n">
        <v>5350</v>
      </c>
      <c r="J68" s="742" t="n">
        <v>18</v>
      </c>
      <c r="K68" s="742" t="n">
        <v>5</v>
      </c>
      <c r="L68" s="742">
        <f>IF(B68="TXO",I68-SUM(J68:K68),IF(B68="FITX",IF(D68="新倉",-SUM(J68:K68),IF(E68="賣",(H68-H32)*G68*200-SUM(J68:K68),(H32-H68)*G68*200-SUM(J68:K68))),IF(D68="新倉",-SUM(J68:K68),IF(E68="賣",(H68-H32)*G68*50-SUM(J68:K68),(H32-H68)*G68*50-SUM(J68:K68)))))</f>
        <v/>
      </c>
      <c r="M68" s="743">
        <f>L68</f>
        <v/>
      </c>
      <c r="N68" s="686">
        <f>IF(B68="TXO","",IF(D68="新倉","",IF(E68="賣",(H68-H32)*G68,(H32-H68)*G68)))</f>
        <v/>
      </c>
      <c r="O68" s="226">
        <f>ABS(I68)</f>
        <v/>
      </c>
      <c r="P68" s="667" t="n"/>
      <c r="S68" s="739" t="n"/>
      <c r="T68" s="61" t="n"/>
      <c r="U68" s="61" t="n"/>
      <c r="V68" s="61" t="n"/>
      <c r="W68" s="61" t="n"/>
    </row>
    <row r="69" hidden="1" outlineLevel="1" ht="17.25" customHeight="1" thickBot="1">
      <c r="A69" s="740" t="n">
        <v>43152</v>
      </c>
      <c r="B69" s="299" t="inlineStr">
        <is>
          <t>TXO</t>
        </is>
      </c>
      <c r="C69" s="300" t="inlineStr">
        <is>
          <t>TXOW4 02 10900 C</t>
        </is>
      </c>
      <c r="D69" s="300" t="inlineStr">
        <is>
          <t>新倉</t>
        </is>
      </c>
      <c r="E69" s="301" t="inlineStr">
        <is>
          <t>買</t>
        </is>
      </c>
      <c r="F69" s="300" t="inlineStr">
        <is>
          <t>-</t>
        </is>
      </c>
      <c r="G69" s="741" t="n">
        <v>1</v>
      </c>
      <c r="H69" s="741" t="n">
        <v>29</v>
      </c>
      <c r="I69" s="741" t="n">
        <v>-1450</v>
      </c>
      <c r="J69" s="742" t="n">
        <v>18</v>
      </c>
      <c r="K69" s="742" t="n">
        <v>1</v>
      </c>
      <c r="L69" s="742">
        <f>IF(B69="TXO",I69-SUM(J69:K69),IF(B69="FITX",IF(D69="新倉",-SUM(J69:K69),IF(E69="賣",(H69-H33)*G69*200-SUM(J69:K69),(H33-H69)*G69*200-SUM(J69:K69))),IF(D69="新倉",-SUM(J69:K69),IF(E69="賣",(H69-H33)*G69*50-SUM(J69:K69),(H33-H69)*G69*50-SUM(J69:K69)))))</f>
        <v/>
      </c>
      <c r="M69" s="743">
        <f>L69</f>
        <v/>
      </c>
      <c r="N69" s="686">
        <f>IF(B69="TXO","",IF(D69="新倉","",IF(E69="賣",(H69-H33)*G69,(H33-H69)*G69)))</f>
        <v/>
      </c>
      <c r="O69" s="226">
        <f>ABS(I69)</f>
        <v/>
      </c>
      <c r="P69" s="667">
        <f>SUM(L69:L70)</f>
        <v/>
      </c>
      <c r="S69" s="739" t="n"/>
      <c r="T69" s="61" t="n"/>
      <c r="U69" s="61" t="n"/>
      <c r="V69" s="61" t="n"/>
      <c r="W69" s="61" t="n"/>
    </row>
    <row r="70" hidden="1" outlineLevel="2" ht="17.25" customHeight="1" thickBot="1">
      <c r="A70" s="740" t="n">
        <v>43158</v>
      </c>
      <c r="B70" s="299" t="inlineStr">
        <is>
          <t>TXO</t>
        </is>
      </c>
      <c r="C70" s="300" t="inlineStr">
        <is>
          <t>TXOW4 02 10900 C</t>
        </is>
      </c>
      <c r="D70" s="300" t="inlineStr">
        <is>
          <t>平倉</t>
        </is>
      </c>
      <c r="E70" s="301" t="inlineStr">
        <is>
          <t>賣</t>
        </is>
      </c>
      <c r="F70" s="300" t="inlineStr">
        <is>
          <t>-</t>
        </is>
      </c>
      <c r="G70" s="741" t="n">
        <v>1</v>
      </c>
      <c r="H70" s="741" t="n">
        <v>41</v>
      </c>
      <c r="I70" s="741" t="n">
        <v>2050</v>
      </c>
      <c r="J70" s="742" t="n">
        <v>18</v>
      </c>
      <c r="K70" s="742" t="n">
        <v>2</v>
      </c>
      <c r="L70" s="742">
        <f>IF(B70="TXO",I70-SUM(J70:K70),IF(B70="FITX",IF(D70="新倉",-SUM(J70:K70),IF(E70="賣",(H70-H34)*G70*200-SUM(J70:K70),(H34-H70)*G70*200-SUM(J70:K70))),IF(D70="新倉",-SUM(J70:K70),IF(E70="賣",(H70-H34)*G70*50-SUM(J70:K70),(H34-H70)*G70*50-SUM(J70:K70)))))</f>
        <v/>
      </c>
      <c r="M70" s="743">
        <f>L70</f>
        <v/>
      </c>
      <c r="N70" s="686">
        <f>IF(B70="TXO","",IF(D70="新倉","",IF(E70="賣",(H70-H34)*G70,(H34-H70)*G70)))</f>
        <v/>
      </c>
      <c r="O70" s="226">
        <f>ABS(I70)</f>
        <v/>
      </c>
      <c r="P70" s="667" t="n"/>
      <c r="S70" s="739" t="n"/>
      <c r="T70" s="61" t="n"/>
      <c r="U70" s="61" t="n"/>
      <c r="V70" s="61" t="n"/>
      <c r="W70" s="61" t="n"/>
    </row>
    <row r="71" hidden="1" outlineLevel="1" ht="17.25" customHeight="1" thickBot="1">
      <c r="A71" s="740" t="n">
        <v>43157</v>
      </c>
      <c r="B71" s="299" t="inlineStr">
        <is>
          <t>TXO</t>
        </is>
      </c>
      <c r="C71" s="300" t="inlineStr">
        <is>
          <t>TXOW4 02 11000 C</t>
        </is>
      </c>
      <c r="D71" s="300" t="inlineStr">
        <is>
          <t>新倉</t>
        </is>
      </c>
      <c r="E71" s="301" t="inlineStr">
        <is>
          <t>買</t>
        </is>
      </c>
      <c r="F71" s="300" t="inlineStr">
        <is>
          <t>-</t>
        </is>
      </c>
      <c r="G71" s="741" t="n">
        <v>1</v>
      </c>
      <c r="H71" s="741" t="n">
        <v>12</v>
      </c>
      <c r="I71" s="741" t="n">
        <v>-600</v>
      </c>
      <c r="J71" s="742" t="n">
        <v>18</v>
      </c>
      <c r="K71" s="742" t="n">
        <v>1</v>
      </c>
      <c r="L71" s="742">
        <f>IF(B71="TXO",I71-SUM(J71:K71),IF(B71="FITX",IF(D71="新倉",-SUM(J71:K71),IF(E71="賣",(H71-H35)*G71*200-SUM(J71:K71),(H35-H71)*G71*200-SUM(J71:K71))),IF(D71="新倉",-SUM(J71:K71),IF(E71="賣",(H71-H35)*G71*50-SUM(J71:K71),(H35-H71)*G71*50-SUM(J71:K71)))))</f>
        <v/>
      </c>
      <c r="M71" s="743">
        <f>L71</f>
        <v/>
      </c>
      <c r="N71" s="686">
        <f>IF(B71="TXO","",IF(D71="新倉","",IF(E71="賣",(H71-H35)*G71,(H35-H71)*G71)))</f>
        <v/>
      </c>
      <c r="O71" s="226">
        <f>ABS(I71)</f>
        <v/>
      </c>
      <c r="P71" s="667">
        <f>SUM(L71:L73)</f>
        <v/>
      </c>
      <c r="S71" s="739" t="n"/>
      <c r="T71" s="61" t="n"/>
      <c r="U71" s="61" t="n"/>
      <c r="V71" s="61" t="n"/>
      <c r="W71" s="61" t="n"/>
    </row>
    <row r="72" hidden="1" outlineLevel="1" ht="17.25" customHeight="1" thickBot="1">
      <c r="A72" s="740" t="n">
        <v>43158</v>
      </c>
      <c r="B72" s="299" t="inlineStr">
        <is>
          <t>TXO</t>
        </is>
      </c>
      <c r="C72" s="300" t="inlineStr">
        <is>
          <t>台指選W4 02 10950 C</t>
        </is>
      </c>
      <c r="D72" s="300" t="inlineStr">
        <is>
          <t>新倉</t>
        </is>
      </c>
      <c r="E72" s="301" t="inlineStr">
        <is>
          <t>買</t>
        </is>
      </c>
      <c r="F72" s="300" t="inlineStr">
        <is>
          <t>-</t>
        </is>
      </c>
      <c r="G72" s="741" t="n">
        <v>1</v>
      </c>
      <c r="H72" s="741" t="n">
        <v>10</v>
      </c>
      <c r="I72" s="741" t="n">
        <v>-500</v>
      </c>
      <c r="J72" s="742" t="n">
        <v>18</v>
      </c>
      <c r="K72" s="742" t="n">
        <v>1</v>
      </c>
      <c r="L72" s="742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/>
      </c>
      <c r="M72" s="743">
        <f>L72</f>
        <v/>
      </c>
      <c r="N72" s="686">
        <f>IF(B72="TXO","",IF(D72="新倉","",IF(E72="賣",(H72-H28)*G72,(H28-H72)*G72)))</f>
        <v/>
      </c>
      <c r="O72" s="226">
        <f>ABS(I72)</f>
        <v/>
      </c>
      <c r="P72" s="667" t="n"/>
      <c r="S72" s="739" t="n"/>
      <c r="T72" s="61" t="n"/>
      <c r="U72" s="61" t="n"/>
      <c r="V72" s="61" t="n"/>
      <c r="W72" s="61" t="n"/>
    </row>
    <row r="73" hidden="1" outlineLevel="1" ht="17.25" customHeight="1" thickBot="1">
      <c r="A73" s="740" t="n">
        <v>43158</v>
      </c>
      <c r="B73" s="299" t="inlineStr">
        <is>
          <t>TXO</t>
        </is>
      </c>
      <c r="C73" s="300" t="inlineStr">
        <is>
          <t>台指選W4 02 11000 C</t>
        </is>
      </c>
      <c r="D73" s="300" t="inlineStr">
        <is>
          <t>新倉</t>
        </is>
      </c>
      <c r="E73" s="301" t="inlineStr">
        <is>
          <t>買</t>
        </is>
      </c>
      <c r="F73" s="300" t="inlineStr">
        <is>
          <t>-</t>
        </is>
      </c>
      <c r="G73" s="741" t="n">
        <v>2</v>
      </c>
      <c r="H73" s="741" t="n">
        <v>4</v>
      </c>
      <c r="I73" s="741" t="n">
        <v>-400</v>
      </c>
      <c r="J73" s="742" t="n">
        <v>36</v>
      </c>
      <c r="K73" s="742" t="n">
        <v>0</v>
      </c>
      <c r="L73" s="742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/>
      </c>
      <c r="M73" s="743">
        <f>L73</f>
        <v/>
      </c>
      <c r="N73" s="686">
        <f>IF(B73="TXO","",IF(D73="新倉","",IF(E73="賣",(H73-H72)*G73,(H72-H73)*G73)))</f>
        <v/>
      </c>
      <c r="O73" s="226">
        <f>ABS(I73)</f>
        <v/>
      </c>
      <c r="P73" s="667" t="n"/>
      <c r="S73" s="739" t="n"/>
      <c r="T73" s="61" t="n"/>
      <c r="U73" s="61" t="n"/>
      <c r="V73" s="61" t="n"/>
      <c r="W73" s="61" t="n"/>
    </row>
    <row r="74" ht="17.25" customHeight="1" thickBot="1">
      <c r="A74" s="273" t="inlineStr">
        <is>
          <t>2月總計</t>
        </is>
      </c>
      <c r="B74" s="274" t="n"/>
      <c r="C74" s="274" t="n"/>
      <c r="D74" s="274" t="n"/>
      <c r="E74" s="274" t="n"/>
      <c r="F74" s="274" t="n"/>
      <c r="G74" s="715" t="n"/>
      <c r="H74" s="715" t="n"/>
      <c r="I74" s="715" t="n"/>
      <c r="J74" s="716" t="n"/>
      <c r="K74" s="715" t="n"/>
      <c r="L74" s="750">
        <f>SUM(L25:L73)</f>
        <v/>
      </c>
      <c r="M74" s="717">
        <f>SUM(M25:M73)</f>
        <v/>
      </c>
      <c r="N74" s="666" t="n"/>
      <c r="P74" s="744" t="n"/>
      <c r="S74" s="739" t="n"/>
      <c r="T74" s="61" t="n"/>
      <c r="U74" s="61" t="n"/>
      <c r="V74" s="61" t="n"/>
      <c r="W74" s="61" t="n"/>
    </row>
    <row r="75" ht="17.25" customHeight="1" thickBot="1">
      <c r="A75" s="718" t="n">
        <v>43165</v>
      </c>
      <c r="B75" s="292" t="n"/>
      <c r="C75" s="292" t="inlineStr">
        <is>
          <t>富邦個人信貸</t>
        </is>
      </c>
      <c r="D75" s="292" t="n"/>
      <c r="E75" s="292" t="n"/>
      <c r="F75" s="292" t="n"/>
      <c r="G75" s="719" t="n"/>
      <c r="H75" s="719" t="n"/>
      <c r="I75" s="719" t="n"/>
      <c r="J75" s="720" t="n"/>
      <c r="K75" s="719" t="n"/>
      <c r="L75" s="720" t="n"/>
      <c r="M75" s="721" t="n">
        <v>-1186</v>
      </c>
      <c r="N75" s="666" t="n"/>
      <c r="P75" s="722" t="n"/>
      <c r="Q75" s="249" t="inlineStr">
        <is>
          <t>利息</t>
        </is>
      </c>
      <c r="S75" s="739" t="n"/>
      <c r="T75" s="61" t="n"/>
      <c r="U75" s="61" t="n"/>
      <c r="V75" s="61" t="n"/>
      <c r="W75" s="61" t="n"/>
    </row>
    <row r="76" ht="17.25" customHeight="1" thickBot="1">
      <c r="A76" s="718" t="n">
        <v>43167</v>
      </c>
      <c r="B76" s="292" t="n"/>
      <c r="C76" s="292" t="inlineStr">
        <is>
          <t>遠傳4G網路</t>
        </is>
      </c>
      <c r="D76" s="292" t="n"/>
      <c r="E76" s="292" t="n"/>
      <c r="F76" s="292" t="n"/>
      <c r="G76" s="719" t="n"/>
      <c r="H76" s="719" t="n"/>
      <c r="I76" s="719" t="n"/>
      <c r="J76" s="720" t="n"/>
      <c r="K76" s="719" t="n"/>
      <c r="L76" s="720" t="n"/>
      <c r="M76" s="721" t="n">
        <v>499</v>
      </c>
      <c r="N76" s="666" t="n"/>
      <c r="P76" s="722" t="n"/>
      <c r="S76" s="739" t="n"/>
      <c r="T76" s="61" t="n"/>
      <c r="U76" s="61" t="n"/>
      <c r="V76" s="61" t="n"/>
      <c r="W76" s="61" t="n"/>
    </row>
    <row r="77" ht="17.25" customHeight="1" thickBot="1">
      <c r="A77" s="718" t="n">
        <v>43173</v>
      </c>
      <c r="B77" s="292" t="n"/>
      <c r="C77" s="292" t="inlineStr">
        <is>
          <t>XQ 學院版</t>
        </is>
      </c>
      <c r="D77" s="292" t="n"/>
      <c r="E77" s="292" t="n"/>
      <c r="F77" s="292" t="n"/>
      <c r="G77" s="719" t="n"/>
      <c r="H77" s="719" t="n"/>
      <c r="I77" s="719" t="n"/>
      <c r="J77" s="720" t="n"/>
      <c r="K77" s="719" t="n"/>
      <c r="L77" s="720" t="n"/>
      <c r="M77" s="721">
        <f>-4161*0.965</f>
        <v/>
      </c>
      <c r="N77" s="666" t="n"/>
      <c r="P77" s="722" t="n"/>
      <c r="Q77" s="249" t="inlineStr">
        <is>
          <t>49888分12期, 每期4457</t>
        </is>
      </c>
      <c r="S77" s="739" t="n"/>
      <c r="T77" s="61" t="n"/>
      <c r="U77" s="61" t="n"/>
      <c r="V77" s="61" t="n"/>
      <c r="W77" s="61" t="n"/>
    </row>
    <row r="78" ht="17.25" customHeight="1" thickBot="1">
      <c r="A78" s="718" t="n">
        <v>43178</v>
      </c>
      <c r="B78" s="292" t="n"/>
      <c r="C78" s="292" t="inlineStr">
        <is>
          <t>阿水制霸班</t>
        </is>
      </c>
      <c r="D78" s="292" t="n"/>
      <c r="E78" s="292" t="n"/>
      <c r="F78" s="292" t="n"/>
      <c r="G78" s="719" t="n"/>
      <c r="H78" s="719" t="n"/>
      <c r="I78" s="719" t="n"/>
      <c r="J78" s="720" t="n"/>
      <c r="K78" s="719" t="n"/>
      <c r="L78" s="720" t="n"/>
      <c r="M78" s="721" t="n">
        <v>-4490</v>
      </c>
      <c r="N78" s="666" t="n"/>
      <c r="P78" s="722" t="n"/>
      <c r="Q78" s="249" t="inlineStr">
        <is>
          <t>53888分12期, 每期4490, 12-04</t>
        </is>
      </c>
      <c r="S78" s="739" t="n"/>
      <c r="T78" s="61" t="n"/>
      <c r="U78" s="61" t="n"/>
      <c r="V78" s="61" t="n"/>
      <c r="W78" s="61" t="n"/>
    </row>
    <row r="79" ht="17.25" customHeight="1" thickBot="1">
      <c r="A79" s="718" t="n">
        <v>43181</v>
      </c>
      <c r="B79" s="292" t="n"/>
      <c r="C79" s="292" t="inlineStr">
        <is>
          <t>阿水財經三班</t>
        </is>
      </c>
      <c r="D79" s="292" t="n"/>
      <c r="E79" s="292" t="n"/>
      <c r="F79" s="292" t="n"/>
      <c r="G79" s="719" t="n"/>
      <c r="H79" s="719" t="n"/>
      <c r="I79" s="719" t="n"/>
      <c r="J79" s="720" t="n"/>
      <c r="K79" s="719" t="n"/>
      <c r="L79" s="720" t="n"/>
      <c r="M79" s="721" t="n">
        <v>-8240</v>
      </c>
      <c r="N79" s="666" t="n"/>
      <c r="P79" s="722" t="n"/>
      <c r="Q79" s="249" t="inlineStr">
        <is>
          <t>98888分12期, 每期8240</t>
        </is>
      </c>
      <c r="S79" s="739" t="n"/>
      <c r="T79" s="61" t="n"/>
      <c r="U79" s="61" t="n"/>
      <c r="V79" s="61" t="n"/>
      <c r="W79" s="61" t="n"/>
    </row>
    <row r="80" collapsed="1" ht="17.25" customHeight="1" thickBot="1">
      <c r="A80" s="718" t="n">
        <v>43187</v>
      </c>
      <c r="B80" s="292" t="n"/>
      <c r="C80" s="292" t="inlineStr">
        <is>
          <t>阿水財經四班</t>
        </is>
      </c>
      <c r="D80" s="292" t="n"/>
      <c r="E80" s="292" t="n"/>
      <c r="F80" s="292" t="n"/>
      <c r="G80" s="719" t="n"/>
      <c r="H80" s="719" t="n"/>
      <c r="I80" s="719" t="n"/>
      <c r="J80" s="720" t="n"/>
      <c r="K80" s="719" t="n"/>
      <c r="L80" s="720" t="n"/>
      <c r="M80" s="721">
        <f>-5000*0.965</f>
        <v/>
      </c>
      <c r="N80" s="666" t="n"/>
      <c r="P80" s="722" t="n"/>
      <c r="Q80" s="249" t="inlineStr">
        <is>
          <t>60000分12期, 每期5000</t>
        </is>
      </c>
      <c r="S80" s="739" t="n"/>
      <c r="T80" s="61" t="n"/>
      <c r="U80" s="61" t="n"/>
      <c r="V80" s="61" t="n"/>
      <c r="W80" s="61" t="n"/>
    </row>
    <row r="81" hidden="1" outlineLevel="1" ht="17.25" customHeight="1" thickBot="1">
      <c r="A81" s="740" t="n">
        <v>43161</v>
      </c>
      <c r="B81" s="299" t="inlineStr">
        <is>
          <t>TXO</t>
        </is>
      </c>
      <c r="C81" s="300" t="inlineStr">
        <is>
          <t>TXOW1 03 10850 C</t>
        </is>
      </c>
      <c r="D81" s="300" t="inlineStr">
        <is>
          <t>新倉</t>
        </is>
      </c>
      <c r="E81" s="301" t="inlineStr">
        <is>
          <t>買</t>
        </is>
      </c>
      <c r="F81" s="300" t="inlineStr">
        <is>
          <t>-</t>
        </is>
      </c>
      <c r="G81" s="741" t="n">
        <v>1</v>
      </c>
      <c r="H81" s="741" t="n">
        <v>23.5</v>
      </c>
      <c r="I81" s="741" t="n">
        <v>-1175</v>
      </c>
      <c r="J81" s="742" t="n">
        <v>18</v>
      </c>
      <c r="K81" s="742" t="n">
        <v>1</v>
      </c>
      <c r="L81" s="742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/>
      </c>
      <c r="M81" s="743">
        <f>L81</f>
        <v/>
      </c>
      <c r="N81" s="686">
        <f>IF(B81="TXO","",IF(D81="新倉","",IF(E81="賣",(H81-H73)*G81,(H73-H81)*G81)))</f>
        <v/>
      </c>
      <c r="O81" s="226">
        <f>ABS(I81)</f>
        <v/>
      </c>
      <c r="P81" s="667">
        <f>SUM(L81:L82)</f>
        <v/>
      </c>
      <c r="S81" s="739" t="n"/>
      <c r="T81" s="61" t="n"/>
      <c r="U81" s="61" t="n"/>
      <c r="V81" s="61" t="n"/>
      <c r="W81" s="61" t="n"/>
    </row>
    <row r="82" hidden="1" outlineLevel="2" ht="17.25" customHeight="1" thickBot="1">
      <c r="A82" s="740" t="n">
        <v>43161</v>
      </c>
      <c r="B82" s="299" t="inlineStr">
        <is>
          <t>TXO</t>
        </is>
      </c>
      <c r="C82" s="300" t="inlineStr">
        <is>
          <t>TXOW1 03 10850 C</t>
        </is>
      </c>
      <c r="D82" s="300" t="inlineStr">
        <is>
          <t>平倉</t>
        </is>
      </c>
      <c r="E82" s="301" t="inlineStr">
        <is>
          <t>賣</t>
        </is>
      </c>
      <c r="F82" s="300" t="inlineStr">
        <is>
          <t>-</t>
        </is>
      </c>
      <c r="G82" s="741" t="n">
        <v>1</v>
      </c>
      <c r="H82" s="741" t="n">
        <v>28.5</v>
      </c>
      <c r="I82" s="741" t="n">
        <v>1425</v>
      </c>
      <c r="J82" s="742" t="n">
        <v>18</v>
      </c>
      <c r="K82" s="742" t="n">
        <v>1</v>
      </c>
      <c r="L82" s="742">
        <f>IF(B82="TXO",I82-SUM(J82:K82),IF(B82="FITX",IF(D82="新倉",-SUM(J82:K82),IF(E82="賣",(H82-H81)*G82*200-SUM(J82:K82),(H81-H82)*G82*200-SUM(J82:K82))),IF(D82="新倉",-SUM(J82:K82),IF(E82="賣",(H82-H81)*G82*50-SUM(J82:K82),(H81-H82)*G82*50-SUM(J82:K82)))))</f>
        <v/>
      </c>
      <c r="M82" s="743">
        <f>L82</f>
        <v/>
      </c>
      <c r="N82" s="686">
        <f>IF(B82="TXO","",IF(D82="新倉","",IF(E82="賣",(H82-H29)*G82,(H29-H82)*G82)))</f>
        <v/>
      </c>
      <c r="O82" s="226">
        <f>ABS(I82)</f>
        <v/>
      </c>
      <c r="P82" s="667" t="n"/>
      <c r="S82" s="739" t="n"/>
      <c r="T82" s="61" t="n"/>
      <c r="U82" s="61" t="n"/>
      <c r="V82" s="61" t="n"/>
      <c r="W82" s="61" t="n"/>
    </row>
    <row r="83" hidden="1" outlineLevel="1" ht="17.25" customHeight="1" thickBot="1">
      <c r="A83" s="740" t="n">
        <v>43164</v>
      </c>
      <c r="B83" s="299" t="inlineStr">
        <is>
          <t>TXO</t>
        </is>
      </c>
      <c r="C83" s="300" t="inlineStr">
        <is>
          <t>台選W1 03 10600 P</t>
        </is>
      </c>
      <c r="D83" s="300" t="inlineStr">
        <is>
          <t>新倉</t>
        </is>
      </c>
      <c r="E83" s="301" t="inlineStr">
        <is>
          <t>買</t>
        </is>
      </c>
      <c r="F83" s="300" t="inlineStr">
        <is>
          <t>-</t>
        </is>
      </c>
      <c r="G83" s="741" t="n">
        <v>1</v>
      </c>
      <c r="H83" s="741" t="n">
        <v>20</v>
      </c>
      <c r="I83" s="741" t="n">
        <v>-1000</v>
      </c>
      <c r="J83" s="742" t="n">
        <v>18</v>
      </c>
      <c r="K83" s="742" t="n">
        <v>1</v>
      </c>
      <c r="L83" s="742">
        <f>IF(B83="TXO",I83-SUM(J83:K83),IF(B83="FITX",IF(D83="新倉",-SUM(J83:K83),IF(E83="賣",(H83-H82)*G83*200-SUM(J83:K83),(H82-H83)*G83*200-SUM(J83:K83))),IF(D83="新倉",-SUM(J83:K83),IF(E83="賣",(H83-H82)*G83*50-SUM(J83:K83),(H82-H83)*G83*50-SUM(J83:K83)))))</f>
        <v/>
      </c>
      <c r="M83" s="743">
        <f>L83</f>
        <v/>
      </c>
      <c r="N83" s="686">
        <f>IF(B83="TXO","",IF(D83="新倉","",IF(E83="賣",(H83-H74)*G83,(H74-H83)*G83)))</f>
        <v/>
      </c>
      <c r="O83" s="226">
        <f>ABS(I83)</f>
        <v/>
      </c>
      <c r="P83" s="667">
        <f>SUM(L83:L86)</f>
        <v/>
      </c>
      <c r="S83" s="739" t="n"/>
      <c r="T83" s="61" t="n"/>
      <c r="U83" s="61" t="n"/>
      <c r="V83" s="61" t="n"/>
      <c r="W83" s="61" t="n"/>
    </row>
    <row r="84" hidden="1" outlineLevel="2" ht="17.25" customHeight="1" thickBot="1">
      <c r="A84" s="740" t="n">
        <v>43164</v>
      </c>
      <c r="B84" s="299" t="inlineStr">
        <is>
          <t>TXO</t>
        </is>
      </c>
      <c r="C84" s="300" t="inlineStr">
        <is>
          <t>台選W1 03 10550 P</t>
        </is>
      </c>
      <c r="D84" s="300" t="inlineStr">
        <is>
          <t>新倉</t>
        </is>
      </c>
      <c r="E84" s="301" t="inlineStr">
        <is>
          <t>買</t>
        </is>
      </c>
      <c r="F84" s="300" t="inlineStr">
        <is>
          <t>-</t>
        </is>
      </c>
      <c r="G84" s="741" t="n">
        <v>1</v>
      </c>
      <c r="H84" s="741" t="n">
        <v>12.5</v>
      </c>
      <c r="I84" s="741" t="n">
        <v>-625</v>
      </c>
      <c r="J84" s="742" t="n">
        <v>18</v>
      </c>
      <c r="K84" s="742" t="n">
        <v>1</v>
      </c>
      <c r="L84" s="742">
        <f>IF(B84="TXO",I84-SUM(J84:K84),IF(B84="FITX",IF(D84="新倉",-SUM(J84:K84),IF(E84="賣",(H84-H83)*G84*200-SUM(J84:K84),(H83-H84)*G84*200-SUM(J84:K84))),IF(D84="新倉",-SUM(J84:K84),IF(E84="賣",(H84-H83)*G84*50-SUM(J84:K84),(H83-H84)*G84*50-SUM(J84:K84)))))</f>
        <v/>
      </c>
      <c r="M84" s="743">
        <f>L84</f>
        <v/>
      </c>
      <c r="N84" s="686">
        <f>IF(B84="TXO","",IF(D84="新倉","",IF(E84="賣",(H84-H81)*G84,(H81-H84)*G84)))</f>
        <v/>
      </c>
      <c r="O84" s="226">
        <f>ABS(I84)</f>
        <v/>
      </c>
      <c r="P84" s="667" t="n"/>
      <c r="S84" s="739" t="n"/>
      <c r="T84" s="61" t="n"/>
      <c r="U84" s="61" t="n"/>
      <c r="V84" s="61" t="n"/>
      <c r="W84" s="61" t="n"/>
    </row>
    <row r="85" hidden="1" outlineLevel="2" ht="17.25" customHeight="1" thickBot="1">
      <c r="A85" s="740" t="n">
        <v>43164</v>
      </c>
      <c r="B85" s="299" t="inlineStr">
        <is>
          <t>TXO</t>
        </is>
      </c>
      <c r="C85" s="300" t="inlineStr">
        <is>
          <t>台選W1 03 10550 P</t>
        </is>
      </c>
      <c r="D85" s="300" t="inlineStr">
        <is>
          <t>新倉</t>
        </is>
      </c>
      <c r="E85" s="301" t="inlineStr">
        <is>
          <t>買</t>
        </is>
      </c>
      <c r="F85" s="300" t="inlineStr">
        <is>
          <t>-</t>
        </is>
      </c>
      <c r="G85" s="741" t="n">
        <v>1</v>
      </c>
      <c r="H85" s="741" t="n">
        <v>12</v>
      </c>
      <c r="I85" s="741" t="n">
        <v>-600</v>
      </c>
      <c r="J85" s="742" t="n">
        <v>18</v>
      </c>
      <c r="K85" s="742" t="n">
        <v>1</v>
      </c>
      <c r="L85" s="742">
        <f>IF(B85="TXO",I85-SUM(J85:K85),IF(B85="FITX",IF(D85="新倉",-SUM(J85:K85),IF(E85="賣",(H85-H84)*G85*200-SUM(J85:K85),(H84-H85)*G85*200-SUM(J85:K85))),IF(D85="新倉",-SUM(J85:K85),IF(E85="賣",(H85-H84)*G85*50-SUM(J85:K85),(H84-H85)*G85*50-SUM(J85:K85)))))</f>
        <v/>
      </c>
      <c r="M85" s="743">
        <f>L85</f>
        <v/>
      </c>
      <c r="N85" s="686">
        <f>IF(B85="TXO","",IF(D85="新倉","",IF(E85="賣",(H85-H82)*G85,(H82-H85)*G85)))</f>
        <v/>
      </c>
      <c r="O85" s="226">
        <f>ABS(I85)</f>
        <v/>
      </c>
      <c r="P85" s="667" t="n"/>
      <c r="S85" s="739" t="n"/>
      <c r="T85" s="61" t="n"/>
      <c r="U85" s="61" t="n"/>
      <c r="V85" s="61" t="n"/>
      <c r="W85" s="61" t="n"/>
    </row>
    <row r="86" hidden="1" outlineLevel="2" ht="17.25" customHeight="1" thickBot="1">
      <c r="A86" s="740" t="n">
        <v>43164</v>
      </c>
      <c r="B86" s="299" t="inlineStr">
        <is>
          <t>TXO</t>
        </is>
      </c>
      <c r="C86" s="300" t="inlineStr">
        <is>
          <t>台選W1 03 10600 P</t>
        </is>
      </c>
      <c r="D86" s="300" t="inlineStr">
        <is>
          <t>新倉</t>
        </is>
      </c>
      <c r="E86" s="301" t="inlineStr">
        <is>
          <t>買</t>
        </is>
      </c>
      <c r="F86" s="300" t="inlineStr">
        <is>
          <t>-</t>
        </is>
      </c>
      <c r="G86" s="741" t="n">
        <v>1</v>
      </c>
      <c r="H86" s="741" t="n">
        <v>21</v>
      </c>
      <c r="I86" s="741" t="n">
        <v>-1050</v>
      </c>
      <c r="J86" s="742" t="n">
        <v>18</v>
      </c>
      <c r="K86" s="742" t="n">
        <v>1</v>
      </c>
      <c r="L86" s="742">
        <f>IF(B86="TXO",I86-SUM(J86:K86),IF(B86="FITX",IF(D86="新倉",-SUM(J86:K86),IF(E86="賣",(H86-H85)*G86*200-SUM(J86:K86),(H85-H86)*G86*200-SUM(J86:K86))),IF(D86="新倉",-SUM(J86:K86),IF(E86="賣",(H86-H85)*G86*50-SUM(J86:K86),(H85-H86)*G86*50-SUM(J86:K86)))))</f>
        <v/>
      </c>
      <c r="M86" s="743">
        <f>L86</f>
        <v/>
      </c>
      <c r="N86" s="686">
        <f>IF(B86="TXO","",IF(D86="新倉","",IF(E86="賣",(H86-H83)*G86,(H83-H86)*G86)))</f>
        <v/>
      </c>
      <c r="O86" s="226">
        <f>ABS(I86)</f>
        <v/>
      </c>
      <c r="P86" s="667" t="n"/>
      <c r="S86" s="739" t="n"/>
      <c r="T86" s="61" t="n"/>
      <c r="U86" s="61" t="n"/>
      <c r="V86" s="61" t="n"/>
      <c r="W86" s="61" t="n"/>
    </row>
    <row r="87" hidden="1" outlineLevel="1" ht="17.25" customHeight="1" thickBot="1">
      <c r="A87" s="740" t="n">
        <v>43167</v>
      </c>
      <c r="B87" s="299" t="inlineStr">
        <is>
          <t>TXO</t>
        </is>
      </c>
      <c r="C87" s="300" t="inlineStr">
        <is>
          <t>TXOW2 03 10900 C</t>
        </is>
      </c>
      <c r="D87" s="300" t="inlineStr">
        <is>
          <t>新倉</t>
        </is>
      </c>
      <c r="E87" s="301" t="inlineStr">
        <is>
          <t>買</t>
        </is>
      </c>
      <c r="F87" s="300" t="inlineStr">
        <is>
          <t>-</t>
        </is>
      </c>
      <c r="G87" s="741" t="n">
        <v>1</v>
      </c>
      <c r="H87" s="741" t="n">
        <v>58</v>
      </c>
      <c r="I87" s="741" t="n">
        <v>-2900</v>
      </c>
      <c r="J87" s="742" t="n">
        <v>18</v>
      </c>
      <c r="K87" s="742" t="n">
        <v>3</v>
      </c>
      <c r="L87" s="742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/>
      </c>
      <c r="M87" s="743">
        <f>L87</f>
        <v/>
      </c>
      <c r="N87" s="686">
        <f>IF(B87="TXO","",IF(D87="新倉","",IF(E87="賣",(H87-H85)*G87,(H85-H87)*G87)))</f>
        <v/>
      </c>
      <c r="O87" s="226">
        <f>ABS(I87)</f>
        <v/>
      </c>
      <c r="P87" s="667">
        <f>SUM(L87:L96)</f>
        <v/>
      </c>
      <c r="S87" s="739" t="n"/>
      <c r="T87" s="61" t="n"/>
      <c r="U87" s="61" t="n"/>
      <c r="V87" s="61" t="n"/>
      <c r="W87" s="61" t="n"/>
    </row>
    <row r="88" hidden="1" outlineLevel="2" ht="17.25" customHeight="1" thickBot="1">
      <c r="A88" s="740" t="n">
        <v>43168</v>
      </c>
      <c r="B88" s="299" t="inlineStr">
        <is>
          <t>TXO</t>
        </is>
      </c>
      <c r="C88" s="300" t="inlineStr">
        <is>
          <t>TXOW2 03 10900 C</t>
        </is>
      </c>
      <c r="D88" s="300" t="inlineStr">
        <is>
          <t>平倉</t>
        </is>
      </c>
      <c r="E88" s="301" t="inlineStr">
        <is>
          <t>賣</t>
        </is>
      </c>
      <c r="F88" s="300" t="inlineStr">
        <is>
          <t>-</t>
        </is>
      </c>
      <c r="G88" s="741" t="n">
        <v>1</v>
      </c>
      <c r="H88" s="741" t="n">
        <v>76</v>
      </c>
      <c r="I88" s="741" t="n">
        <v>3800</v>
      </c>
      <c r="J88" s="742" t="n">
        <v>18</v>
      </c>
      <c r="K88" s="742" t="n">
        <v>4</v>
      </c>
      <c r="L88" s="742">
        <f>IF(B88="TXO",I88-SUM(J88:K88),IF(B88="FITX",IF(D88="新倉",-SUM(J88:K88),IF(E88="賣",(H88-H87)*G88*200-SUM(J88:K88),(H87-H88)*G88*200-SUM(J88:K88))),IF(D88="新倉",-SUM(J88:K88),IF(E88="賣",(H88-H87)*G88*50-SUM(J88:K88),(H87-H88)*G88*50-SUM(J88:K88)))))</f>
        <v/>
      </c>
      <c r="M88" s="743">
        <f>L88</f>
        <v/>
      </c>
      <c r="N88" s="686">
        <f>IF(B88="TXO","",IF(D88="新倉","",IF(E88="賣",(H88-H86)*G88,(H86-H88)*G88)))</f>
        <v/>
      </c>
      <c r="O88" s="226">
        <f>ABS(I88)</f>
        <v/>
      </c>
      <c r="P88" s="667" t="n"/>
      <c r="S88" s="739" t="n"/>
      <c r="T88" s="61" t="n"/>
      <c r="U88" s="61" t="n"/>
      <c r="V88" s="61" t="n"/>
      <c r="W88" s="61" t="n"/>
    </row>
    <row r="89" hidden="1" outlineLevel="2" ht="17.25" customHeight="1" thickBot="1">
      <c r="A89" s="740" t="n">
        <v>43167</v>
      </c>
      <c r="B89" s="299" t="inlineStr">
        <is>
          <t>TXO</t>
        </is>
      </c>
      <c r="C89" s="300" t="inlineStr">
        <is>
          <t>TXOW2 03 10850 C</t>
        </is>
      </c>
      <c r="D89" s="300" t="inlineStr">
        <is>
          <t>新倉</t>
        </is>
      </c>
      <c r="E89" s="301" t="inlineStr">
        <is>
          <t>買</t>
        </is>
      </c>
      <c r="F89" s="300" t="inlineStr">
        <is>
          <t>-</t>
        </is>
      </c>
      <c r="G89" s="741" t="n">
        <v>1</v>
      </c>
      <c r="H89" s="741" t="n">
        <v>83</v>
      </c>
      <c r="I89" s="741" t="n">
        <v>-4150</v>
      </c>
      <c r="J89" s="742" t="n">
        <v>18</v>
      </c>
      <c r="K89" s="742" t="n">
        <v>4</v>
      </c>
      <c r="L89" s="742">
        <f>IF(B89="TXO",I89-SUM(J89:K89),IF(B89="FITX",IF(D89="新倉",-SUM(J89:K89),IF(E89="賣",(H89-H88)*G89*200-SUM(J89:K89),(H88-H89)*G89*200-SUM(J89:K89))),IF(D89="新倉",-SUM(J89:K89),IF(E89="賣",(H89-H88)*G89*50-SUM(J89:K89),(H88-H89)*G89*50-SUM(J89:K89)))))</f>
        <v/>
      </c>
      <c r="M89" s="743">
        <f>L89</f>
        <v/>
      </c>
      <c r="N89" s="686">
        <f>IF(B89="TXO","",IF(D89="新倉","",IF(E89="賣",(H89-H75)*G89,(H75-H89)*G89)))</f>
        <v/>
      </c>
      <c r="O89" s="226">
        <f>ABS(I89)</f>
        <v/>
      </c>
      <c r="P89" s="667" t="n"/>
      <c r="S89" s="739" t="n"/>
      <c r="T89" s="61" t="n"/>
      <c r="U89" s="61" t="n"/>
      <c r="V89" s="61" t="n"/>
      <c r="W89" s="61" t="n"/>
    </row>
    <row r="90" hidden="1" outlineLevel="2" ht="17.25" customHeight="1" thickBot="1">
      <c r="A90" s="740" t="n">
        <v>43168</v>
      </c>
      <c r="B90" s="299" t="inlineStr">
        <is>
          <t>TXO</t>
        </is>
      </c>
      <c r="C90" s="300" t="inlineStr">
        <is>
          <t>TXOW2 03 10850 C</t>
        </is>
      </c>
      <c r="D90" s="300" t="inlineStr">
        <is>
          <t>平倉</t>
        </is>
      </c>
      <c r="E90" s="301" t="inlineStr">
        <is>
          <t>賣</t>
        </is>
      </c>
      <c r="F90" s="300" t="inlineStr">
        <is>
          <t>-</t>
        </is>
      </c>
      <c r="G90" s="741" t="n">
        <v>1</v>
      </c>
      <c r="H90" s="741" t="n">
        <v>108</v>
      </c>
      <c r="I90" s="741" t="n">
        <v>5400</v>
      </c>
      <c r="J90" s="742" t="n">
        <v>18</v>
      </c>
      <c r="K90" s="742" t="n">
        <v>5</v>
      </c>
      <c r="L90" s="742">
        <f>IF(B90="TXO",I90-SUM(J90:K90),IF(B90="FITX",IF(D90="新倉",-SUM(J90:K90),IF(E90="賣",(H90-H89)*G90*200-SUM(J90:K90),(H89-H90)*G90*200-SUM(J90:K90))),IF(D90="新倉",-SUM(J90:K90),IF(E90="賣",(H90-H89)*G90*50-SUM(J90:K90),(H89-H90)*G90*50-SUM(J90:K90)))))</f>
        <v/>
      </c>
      <c r="M90" s="743">
        <f>L90</f>
        <v/>
      </c>
      <c r="N90" s="686">
        <f>IF(B90="TXO","",IF(D90="新倉","",IF(E90="賣",(H90-H76)*G90,(H76-H90)*G90)))</f>
        <v/>
      </c>
      <c r="O90" s="226">
        <f>ABS(I90)</f>
        <v/>
      </c>
      <c r="P90" s="667" t="n"/>
      <c r="S90" s="739" t="n"/>
      <c r="T90" s="61" t="n"/>
      <c r="U90" s="61" t="n"/>
      <c r="V90" s="61" t="n"/>
      <c r="W90" s="61" t="n"/>
    </row>
    <row r="91" hidden="1" outlineLevel="2" ht="17.25" customHeight="1" thickBot="1">
      <c r="A91" s="740" t="n">
        <v>43167</v>
      </c>
      <c r="B91" s="299" t="inlineStr">
        <is>
          <t>TXO</t>
        </is>
      </c>
      <c r="C91" s="300" t="inlineStr">
        <is>
          <t>TXOW2 03 10950 C</t>
        </is>
      </c>
      <c r="D91" s="300" t="inlineStr">
        <is>
          <t>新倉</t>
        </is>
      </c>
      <c r="E91" s="301" t="inlineStr">
        <is>
          <t>買</t>
        </is>
      </c>
      <c r="F91" s="300" t="inlineStr">
        <is>
          <t>-</t>
        </is>
      </c>
      <c r="G91" s="741" t="n">
        <v>1</v>
      </c>
      <c r="H91" s="741" t="n">
        <v>34</v>
      </c>
      <c r="I91" s="741" t="n">
        <v>-1700</v>
      </c>
      <c r="J91" s="742" t="n">
        <v>18</v>
      </c>
      <c r="K91" s="742" t="n">
        <v>2</v>
      </c>
      <c r="L91" s="742">
        <f>IF(B91="TXO",I91-SUM(J91:K91),IF(B91="FITX",IF(D91="新倉",-SUM(J91:K91),IF(E91="賣",(H91-H90)*G91*200-SUM(J91:K91),(H90-H91)*G91*200-SUM(J91:K91))),IF(D91="新倉",-SUM(J91:K91),IF(E91="賣",(H91-H90)*G91*50-SUM(J91:K91),(H90-H91)*G91*50-SUM(J91:K91)))))</f>
        <v/>
      </c>
      <c r="M91" s="743">
        <f>L91</f>
        <v/>
      </c>
      <c r="N91" s="686">
        <f>IF(B91="TXO","",IF(D91="新倉","",IF(E91="賣",(H91-H87)*G91,(H87-H91)*G91)))</f>
        <v/>
      </c>
      <c r="O91" s="226">
        <f>ABS(I91)</f>
        <v/>
      </c>
      <c r="P91" s="667" t="n"/>
      <c r="S91" s="739" t="n"/>
      <c r="T91" s="61" t="n"/>
      <c r="U91" s="61" t="n"/>
      <c r="V91" s="61" t="n"/>
      <c r="W91" s="61" t="n"/>
    </row>
    <row r="92" hidden="1" outlineLevel="2" ht="17.25" customHeight="1" thickBot="1">
      <c r="A92" s="740" t="n">
        <v>43168</v>
      </c>
      <c r="B92" s="299" t="inlineStr">
        <is>
          <t>TXO</t>
        </is>
      </c>
      <c r="C92" s="300" t="inlineStr">
        <is>
          <t>TXOW2 03 10950 C</t>
        </is>
      </c>
      <c r="D92" s="300" t="inlineStr">
        <is>
          <t>平倉</t>
        </is>
      </c>
      <c r="E92" s="301" t="inlineStr">
        <is>
          <t>賣</t>
        </is>
      </c>
      <c r="F92" s="300" t="inlineStr">
        <is>
          <t>-</t>
        </is>
      </c>
      <c r="G92" s="741" t="n">
        <v>1</v>
      </c>
      <c r="H92" s="741" t="n">
        <v>45</v>
      </c>
      <c r="I92" s="741" t="n">
        <v>2250</v>
      </c>
      <c r="J92" s="742" t="n">
        <v>18</v>
      </c>
      <c r="K92" s="742" t="n">
        <v>2</v>
      </c>
      <c r="L92" s="742">
        <f>IF(B92="TXO",I92-SUM(J92:K92),IF(B92="FITX",IF(D92="新倉",-SUM(J92:K92),IF(E92="賣",(H92-H91)*G92*200-SUM(J92:K92),(H91-H92)*G92*200-SUM(J92:K92))),IF(D92="新倉",-SUM(J92:K92),IF(E92="賣",(H92-H91)*G92*50-SUM(J92:K92),(H91-H92)*G92*50-SUM(J92:K92)))))</f>
        <v/>
      </c>
      <c r="M92" s="743">
        <f>L92</f>
        <v/>
      </c>
      <c r="N92" s="686">
        <f>IF(B92="TXO","",IF(D92="新倉","",IF(E92="賣",(H92-H88)*G92,(H88-H92)*G92)))</f>
        <v/>
      </c>
      <c r="O92" s="226">
        <f>ABS(I92)</f>
        <v/>
      </c>
      <c r="P92" s="667" t="n"/>
      <c r="S92" s="739" t="n"/>
      <c r="T92" s="61" t="n"/>
      <c r="U92" s="61" t="n"/>
      <c r="V92" s="61" t="n"/>
      <c r="W92" s="61" t="n"/>
    </row>
    <row r="93" hidden="1" outlineLevel="2" ht="17.25" customHeight="1" thickBot="1">
      <c r="A93" s="740" t="n">
        <v>43167</v>
      </c>
      <c r="B93" s="299" t="inlineStr">
        <is>
          <t>TXO</t>
        </is>
      </c>
      <c r="C93" s="300" t="inlineStr">
        <is>
          <t>TXOW2 03 11050 C</t>
        </is>
      </c>
      <c r="D93" s="300" t="inlineStr">
        <is>
          <t>新倉</t>
        </is>
      </c>
      <c r="E93" s="301" t="inlineStr">
        <is>
          <t>買</t>
        </is>
      </c>
      <c r="F93" s="300" t="inlineStr">
        <is>
          <t>-</t>
        </is>
      </c>
      <c r="G93" s="741" t="n">
        <v>2</v>
      </c>
      <c r="H93" s="741" t="n">
        <v>10</v>
      </c>
      <c r="I93" s="741" t="n">
        <v>-1000</v>
      </c>
      <c r="J93" s="742" t="n">
        <v>36</v>
      </c>
      <c r="K93" s="742" t="n">
        <v>2</v>
      </c>
      <c r="L93" s="742">
        <f>IF(B93="TXO",I93-SUM(J93:K93),IF(B93="FITX",IF(D93="新倉",-SUM(J93:K93),IF(E93="賣",(H93-H92)*G93*200-SUM(J93:K93),(H92-H93)*G93*200-SUM(J93:K93))),IF(D93="新倉",-SUM(J93:K93),IF(E93="賣",(H93-H92)*G93*50-SUM(J93:K93),(H92-H93)*G93*50-SUM(J93:K93)))))</f>
        <v/>
      </c>
      <c r="M93" s="743">
        <f>L93</f>
        <v/>
      </c>
      <c r="N93" s="686">
        <f>IF(B93="TXO","",IF(D93="新倉","",IF(E93="賣",(H93-H89)*G93,(H89-H93)*G93)))</f>
        <v/>
      </c>
      <c r="O93" s="226">
        <f>ABS(I93)</f>
        <v/>
      </c>
      <c r="P93" s="667" t="n"/>
      <c r="S93" s="739" t="n"/>
      <c r="T93" s="61" t="n"/>
      <c r="U93" s="61" t="n"/>
      <c r="V93" s="61" t="n"/>
      <c r="W93" s="61" t="n"/>
    </row>
    <row r="94" hidden="1" outlineLevel="2" ht="17.25" customHeight="1" thickBot="1">
      <c r="A94" s="740" t="n">
        <v>43168</v>
      </c>
      <c r="B94" s="299" t="inlineStr">
        <is>
          <t>TXO</t>
        </is>
      </c>
      <c r="C94" s="300" t="inlineStr">
        <is>
          <t>TXOW2 03 11050 C</t>
        </is>
      </c>
      <c r="D94" s="300" t="inlineStr">
        <is>
          <t>平倉</t>
        </is>
      </c>
      <c r="E94" s="301" t="inlineStr">
        <is>
          <t>賣</t>
        </is>
      </c>
      <c r="F94" s="300" t="inlineStr">
        <is>
          <t>-</t>
        </is>
      </c>
      <c r="G94" s="741" t="n">
        <v>2</v>
      </c>
      <c r="H94" s="741" t="n">
        <v>13</v>
      </c>
      <c r="I94" s="741" t="n">
        <v>1300</v>
      </c>
      <c r="J94" s="742" t="n">
        <v>36</v>
      </c>
      <c r="K94" s="742" t="n">
        <v>2</v>
      </c>
      <c r="L94" s="742">
        <f>IF(B94="TXO",I94-SUM(J94:K94),IF(B94="FITX",IF(D94="新倉",-SUM(J94:K94),IF(E94="賣",(H94-H93)*G94*200-SUM(J94:K94),(H93-H94)*G94*200-SUM(J94:K94))),IF(D94="新倉",-SUM(J94:K94),IF(E94="賣",(H94-H93)*G94*50-SUM(J94:K94),(H93-H94)*G94*50-SUM(J94:K94)))))</f>
        <v/>
      </c>
      <c r="M94" s="743">
        <f>L94</f>
        <v/>
      </c>
      <c r="N94" s="686">
        <f>IF(B94="TXO","",IF(D94="新倉","",IF(E94="賣",(H94-H90)*G94,(H90-H94)*G94)))</f>
        <v/>
      </c>
      <c r="O94" s="226">
        <f>ABS(I94)</f>
        <v/>
      </c>
      <c r="P94" s="667" t="n"/>
      <c r="S94" s="739" t="n"/>
      <c r="T94" s="61" t="n"/>
      <c r="U94" s="61" t="n"/>
      <c r="V94" s="61" t="n"/>
      <c r="W94" s="61" t="n"/>
    </row>
    <row r="95" hidden="1" outlineLevel="2" ht="17.25" customHeight="1" thickBot="1">
      <c r="A95" s="740" t="n">
        <v>43167</v>
      </c>
      <c r="B95" s="299" t="inlineStr">
        <is>
          <t>TXO</t>
        </is>
      </c>
      <c r="C95" s="300" t="inlineStr">
        <is>
          <t>TXOW2 03 11050 C</t>
        </is>
      </c>
      <c r="D95" s="300" t="inlineStr">
        <is>
          <t>新倉</t>
        </is>
      </c>
      <c r="E95" s="301" t="inlineStr">
        <is>
          <t>買</t>
        </is>
      </c>
      <c r="F95" s="300" t="inlineStr">
        <is>
          <t>-</t>
        </is>
      </c>
      <c r="G95" s="741" t="n">
        <v>1</v>
      </c>
      <c r="H95" s="741" t="n">
        <v>10</v>
      </c>
      <c r="I95" s="741" t="n">
        <v>-500</v>
      </c>
      <c r="J95" s="742" t="n">
        <v>18</v>
      </c>
      <c r="K95" s="742" t="n">
        <v>1</v>
      </c>
      <c r="L95" s="742">
        <f>IF(B95="TXO",I95-SUM(J95:K95),IF(B95="FITX",IF(D95="新倉",-SUM(J95:K95),IF(E95="賣",(H95-H94)*G95*200-SUM(J95:K95),(H94-H95)*G95*200-SUM(J95:K95))),IF(D95="新倉",-SUM(J95:K95),IF(E95="賣",(H95-H94)*G95*50-SUM(J95:K95),(H94-H95)*G95*50-SUM(J95:K95)))))</f>
        <v/>
      </c>
      <c r="M95" s="743">
        <f>L95</f>
        <v/>
      </c>
      <c r="N95" s="686">
        <f>IF(B95="TXO","",IF(D95="新倉","",IF(E95="賣",(H95-H91)*G95,(H91-H95)*G95)))</f>
        <v/>
      </c>
      <c r="O95" s="226">
        <f>ABS(I95)</f>
        <v/>
      </c>
      <c r="P95" s="667" t="n"/>
      <c r="S95" s="739" t="n"/>
      <c r="T95" s="61" t="n"/>
      <c r="U95" s="61" t="n"/>
      <c r="V95" s="61" t="n"/>
      <c r="W95" s="61" t="n"/>
    </row>
    <row r="96" hidden="1" outlineLevel="2" ht="17.25" customHeight="1" thickBot="1">
      <c r="A96" s="740" t="n">
        <v>43171</v>
      </c>
      <c r="B96" s="299" t="inlineStr">
        <is>
          <t>TXO</t>
        </is>
      </c>
      <c r="C96" s="300" t="inlineStr">
        <is>
          <t>TXOW2 03 11050 C</t>
        </is>
      </c>
      <c r="D96" s="300" t="inlineStr">
        <is>
          <t>平倉</t>
        </is>
      </c>
      <c r="E96" s="301" t="inlineStr">
        <is>
          <t>賣</t>
        </is>
      </c>
      <c r="F96" s="300" t="inlineStr">
        <is>
          <t>-</t>
        </is>
      </c>
      <c r="G96" s="741" t="n">
        <v>1</v>
      </c>
      <c r="H96" s="741" t="n">
        <v>22</v>
      </c>
      <c r="I96" s="741" t="n">
        <v>1100</v>
      </c>
      <c r="J96" s="742" t="n">
        <v>18</v>
      </c>
      <c r="K96" s="742" t="n">
        <v>1</v>
      </c>
      <c r="L96" s="742">
        <f>IF(B96="TXO",I96-SUM(J96:K96),IF(B96="FITX",IF(D96="新倉",-SUM(J96:K96),IF(E96="賣",(H96-H95)*G96*200-SUM(J96:K96),(H95-H96)*G96*200-SUM(J96:K96))),IF(D96="新倉",-SUM(J96:K96),IF(E96="賣",(H96-H95)*G96*50-SUM(J96:K96),(H95-H96)*G96*50-SUM(J96:K96)))))</f>
        <v/>
      </c>
      <c r="M96" s="743">
        <f>L96</f>
        <v/>
      </c>
      <c r="N96" s="686">
        <f>IF(B96="TXO","",IF(D96="新倉","",IF(E96="賣",(H96-H92)*G96,(H92-H96)*G96)))</f>
        <v/>
      </c>
      <c r="O96" s="226">
        <f>ABS(I96)</f>
        <v/>
      </c>
      <c r="P96" s="667" t="n"/>
      <c r="S96" s="739" t="n"/>
      <c r="T96" s="61" t="n"/>
      <c r="U96" s="61" t="n"/>
      <c r="V96" s="61" t="n"/>
      <c r="W96" s="61" t="n"/>
    </row>
    <row r="97" hidden="1" outlineLevel="1" ht="17.25" customHeight="1" thickBot="1">
      <c r="A97" s="696" t="n">
        <v>43171</v>
      </c>
      <c r="B97" s="234" t="inlineStr">
        <is>
          <t>TXO</t>
        </is>
      </c>
      <c r="C97" s="229" t="inlineStr">
        <is>
          <t>TXOW2 03 11100 C</t>
        </is>
      </c>
      <c r="D97" s="229" t="inlineStr">
        <is>
          <t>新倉</t>
        </is>
      </c>
      <c r="E97" s="257" t="inlineStr">
        <is>
          <t>買</t>
        </is>
      </c>
      <c r="F97" s="229" t="inlineStr">
        <is>
          <t>-</t>
        </is>
      </c>
      <c r="G97" s="697" t="n">
        <v>1</v>
      </c>
      <c r="H97" s="697" t="n">
        <v>20</v>
      </c>
      <c r="I97" s="697" t="n">
        <v>-1000</v>
      </c>
      <c r="J97" s="585" t="n">
        <v>18</v>
      </c>
      <c r="K97" s="585" t="n">
        <v>1</v>
      </c>
      <c r="L97" s="585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/>
      </c>
      <c r="M97" s="699">
        <f>L97</f>
        <v/>
      </c>
      <c r="N97" s="686">
        <f>IF(B97="TXO","",IF(D97="新倉","",IF(E97="賣",(H97-H93)*G97,(H93-H97)*G97)))</f>
        <v/>
      </c>
      <c r="O97" s="226">
        <f>ABS(I97)</f>
        <v/>
      </c>
      <c r="P97" s="667">
        <f>SUM(L97:L102)</f>
        <v/>
      </c>
      <c r="S97" s="739" t="n"/>
      <c r="T97" s="61" t="n"/>
      <c r="U97" s="61" t="n"/>
      <c r="V97" s="61" t="n"/>
      <c r="W97" s="61" t="n"/>
    </row>
    <row r="98" hidden="1" outlineLevel="2" ht="17.25" customHeight="1" thickBot="1">
      <c r="A98" s="696" t="n">
        <v>43171</v>
      </c>
      <c r="B98" s="234" t="inlineStr">
        <is>
          <t>TXO</t>
        </is>
      </c>
      <c r="C98" s="229" t="inlineStr">
        <is>
          <t>TXOW2 03 11150 C</t>
        </is>
      </c>
      <c r="D98" s="229" t="inlineStr">
        <is>
          <t>新倉</t>
        </is>
      </c>
      <c r="E98" s="257" t="inlineStr">
        <is>
          <t>買</t>
        </is>
      </c>
      <c r="F98" s="229" t="inlineStr">
        <is>
          <t>-</t>
        </is>
      </c>
      <c r="G98" s="697" t="n">
        <v>1</v>
      </c>
      <c r="H98" s="697" t="n">
        <v>8.9</v>
      </c>
      <c r="I98" s="697" t="n">
        <v>-445</v>
      </c>
      <c r="J98" s="585" t="n">
        <v>18</v>
      </c>
      <c r="K98" s="585" t="n">
        <v>0</v>
      </c>
      <c r="L98" s="585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/>
      </c>
      <c r="M98" s="699">
        <f>L98</f>
        <v/>
      </c>
      <c r="N98" s="686">
        <f>IF(B98="TXO","",IF(D98="新倉","",IF(E98="賣",(H98-H94)*G98,(H94-H98)*G98)))</f>
        <v/>
      </c>
      <c r="O98" s="226">
        <f>ABS(I98)</f>
        <v/>
      </c>
      <c r="P98" s="667" t="n"/>
      <c r="S98" s="739" t="n"/>
      <c r="T98" s="61" t="n"/>
      <c r="U98" s="61" t="n"/>
      <c r="V98" s="61" t="n"/>
      <c r="W98" s="61" t="n"/>
    </row>
    <row r="99" hidden="1" outlineLevel="2" ht="17.25" customHeight="1" thickBot="1">
      <c r="A99" s="696" t="n">
        <v>43171</v>
      </c>
      <c r="B99" s="234" t="inlineStr">
        <is>
          <t>TXO</t>
        </is>
      </c>
      <c r="C99" s="229" t="inlineStr">
        <is>
          <t>TXOW2 03 11100 C</t>
        </is>
      </c>
      <c r="D99" s="229" t="inlineStr">
        <is>
          <t>新倉</t>
        </is>
      </c>
      <c r="E99" s="257" t="inlineStr">
        <is>
          <t>買</t>
        </is>
      </c>
      <c r="F99" s="229" t="inlineStr">
        <is>
          <t>-</t>
        </is>
      </c>
      <c r="G99" s="697" t="n">
        <v>2</v>
      </c>
      <c r="H99" s="697" t="n">
        <v>25</v>
      </c>
      <c r="I99" s="697" t="n">
        <v>-2500</v>
      </c>
      <c r="J99" s="585" t="n">
        <v>36</v>
      </c>
      <c r="K99" s="585" t="n">
        <v>2</v>
      </c>
      <c r="L99" s="585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/>
      </c>
      <c r="M99" s="699">
        <f>L99</f>
        <v/>
      </c>
      <c r="N99" s="686">
        <f>IF(B99="TXO","",IF(D99="新倉","",IF(E99="賣",(H99-H95)*G99,(H95-H99)*G99)))</f>
        <v/>
      </c>
      <c r="O99" s="226">
        <f>ABS(I99)</f>
        <v/>
      </c>
      <c r="P99" s="667" t="n"/>
      <c r="S99" s="739" t="n"/>
      <c r="T99" s="61" t="n"/>
      <c r="U99" s="61" t="n"/>
      <c r="V99" s="61" t="n"/>
      <c r="W99" s="61" t="n"/>
    </row>
    <row r="100" hidden="1" outlineLevel="2" ht="17.25" customHeight="1" thickBot="1">
      <c r="A100" s="696" t="n">
        <v>43171</v>
      </c>
      <c r="B100" s="234" t="inlineStr">
        <is>
          <t>TXO</t>
        </is>
      </c>
      <c r="C100" s="229" t="inlineStr">
        <is>
          <t>TXOW2 03 11100 C</t>
        </is>
      </c>
      <c r="D100" s="229" t="inlineStr">
        <is>
          <t>新倉</t>
        </is>
      </c>
      <c r="E100" s="257" t="inlineStr">
        <is>
          <t>買</t>
        </is>
      </c>
      <c r="F100" s="229" t="inlineStr">
        <is>
          <t>-</t>
        </is>
      </c>
      <c r="G100" s="697" t="n">
        <v>1</v>
      </c>
      <c r="H100" s="697" t="n">
        <v>30</v>
      </c>
      <c r="I100" s="697" t="n">
        <v>-1500</v>
      </c>
      <c r="J100" s="585" t="n">
        <v>18</v>
      </c>
      <c r="K100" s="585" t="n">
        <v>2</v>
      </c>
      <c r="L100" s="585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/>
      </c>
      <c r="M100" s="699">
        <f>L100</f>
        <v/>
      </c>
      <c r="N100" s="686">
        <f>IF(B100="TXO","",IF(D100="新倉","",IF(E100="賣",(H100-H96)*G100,(H96-H100)*G100)))</f>
        <v/>
      </c>
      <c r="O100" s="226">
        <f>ABS(I100)</f>
        <v/>
      </c>
      <c r="P100" s="667" t="n"/>
      <c r="S100" s="739" t="n"/>
      <c r="T100" s="61" t="n"/>
      <c r="U100" s="61" t="n"/>
      <c r="V100" s="61" t="n"/>
      <c r="W100" s="61" t="n"/>
    </row>
    <row r="101" hidden="1" outlineLevel="2" ht="17.25" customHeight="1" thickBot="1">
      <c r="A101" s="696" t="n">
        <v>43171</v>
      </c>
      <c r="B101" s="234" t="inlineStr">
        <is>
          <t>TXO</t>
        </is>
      </c>
      <c r="C101" s="229" t="inlineStr">
        <is>
          <t>TXOW2 03 11150 C</t>
        </is>
      </c>
      <c r="D101" s="229" t="inlineStr">
        <is>
          <t>新倉</t>
        </is>
      </c>
      <c r="E101" s="257" t="inlineStr">
        <is>
          <t>買</t>
        </is>
      </c>
      <c r="F101" s="229" t="inlineStr">
        <is>
          <t>-</t>
        </is>
      </c>
      <c r="G101" s="697" t="n">
        <v>1</v>
      </c>
      <c r="H101" s="697" t="n">
        <v>14.5</v>
      </c>
      <c r="I101" s="697" t="n">
        <v>-725</v>
      </c>
      <c r="J101" s="585" t="n">
        <v>18</v>
      </c>
      <c r="K101" s="585" t="n">
        <v>1</v>
      </c>
      <c r="L101" s="585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/>
      </c>
      <c r="M101" s="699">
        <f>L101</f>
        <v/>
      </c>
      <c r="N101" s="686">
        <f>IF(B101="TXO","",IF(D101="新倉","",IF(E101="賣",(H101-H97)*G101,(H97-H101)*G101)))</f>
        <v/>
      </c>
      <c r="O101" s="226">
        <f>ABS(I101)</f>
        <v/>
      </c>
      <c r="P101" s="667" t="n"/>
      <c r="S101" s="739" t="n"/>
      <c r="T101" s="61" t="n"/>
      <c r="U101" s="61" t="n"/>
      <c r="V101" s="61" t="n"/>
      <c r="W101" s="61" t="n"/>
    </row>
    <row r="102" hidden="1" outlineLevel="2" ht="17.25" customHeight="1" thickBot="1">
      <c r="A102" s="696" t="n">
        <v>43171</v>
      </c>
      <c r="B102" s="234" t="inlineStr">
        <is>
          <t>TXO</t>
        </is>
      </c>
      <c r="C102" s="229" t="inlineStr">
        <is>
          <t>台選W2 03 11150 C</t>
        </is>
      </c>
      <c r="D102" s="229" t="inlineStr">
        <is>
          <t>新倉</t>
        </is>
      </c>
      <c r="E102" s="257" t="inlineStr">
        <is>
          <t>買</t>
        </is>
      </c>
      <c r="F102" s="229" t="inlineStr">
        <is>
          <t>-</t>
        </is>
      </c>
      <c r="G102" s="697" t="n">
        <v>3</v>
      </c>
      <c r="H102" s="697" t="n">
        <v>10.5</v>
      </c>
      <c r="I102" s="697" t="n">
        <v>-1575</v>
      </c>
      <c r="J102" s="585" t="n">
        <v>54</v>
      </c>
      <c r="K102" s="585" t="n">
        <v>3</v>
      </c>
      <c r="L102" s="585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/>
      </c>
      <c r="M102" s="699">
        <f>L102</f>
        <v/>
      </c>
      <c r="N102" s="686">
        <f>IF(B102="TXO","",IF(D102="新倉","",IF(E102="賣",(H102-H98)*G102,(H98-H102)*G102)))</f>
        <v/>
      </c>
      <c r="O102" s="226">
        <f>ABS(I102)</f>
        <v/>
      </c>
      <c r="P102" s="667" t="n"/>
      <c r="S102" s="739" t="n"/>
      <c r="T102" s="61" t="n"/>
      <c r="U102" s="61" t="n"/>
      <c r="V102" s="61" t="n"/>
      <c r="W102" s="61" t="n"/>
    </row>
    <row r="103" hidden="1" outlineLevel="1" ht="17.25" customHeight="1" thickBot="1">
      <c r="A103" s="696" t="n">
        <v>43182</v>
      </c>
      <c r="B103" s="234" t="inlineStr">
        <is>
          <t>TXO</t>
        </is>
      </c>
      <c r="C103" s="229" t="inlineStr">
        <is>
          <t>TXOW4 03 10700 P</t>
        </is>
      </c>
      <c r="D103" s="229" t="inlineStr">
        <is>
          <t>新倉</t>
        </is>
      </c>
      <c r="E103" s="257" t="inlineStr">
        <is>
          <t>買</t>
        </is>
      </c>
      <c r="F103" s="229" t="inlineStr">
        <is>
          <t>-</t>
        </is>
      </c>
      <c r="G103" s="697" t="n">
        <v>1</v>
      </c>
      <c r="H103" s="697" t="n">
        <v>64</v>
      </c>
      <c r="I103" s="697" t="n">
        <v>-3200</v>
      </c>
      <c r="J103" s="585" t="n">
        <v>18</v>
      </c>
      <c r="K103" s="585" t="n">
        <v>3</v>
      </c>
      <c r="L103" s="585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/>
      </c>
      <c r="M103" s="699">
        <f>L103</f>
        <v/>
      </c>
      <c r="N103" s="686">
        <f>IF(B103="TXO","",IF(D103="新倉","",IF(E103="賣",(H103-H102)*G103,(H102-H103)*G103)))</f>
        <v/>
      </c>
      <c r="O103" s="226">
        <f>ABS(I103)</f>
        <v/>
      </c>
      <c r="P103" s="667">
        <f>SUM(L103:L117)</f>
        <v/>
      </c>
      <c r="S103" s="739" t="n"/>
      <c r="T103" s="61" t="n"/>
      <c r="U103" s="61" t="n"/>
      <c r="V103" s="61" t="n"/>
      <c r="W103" s="61" t="n"/>
    </row>
    <row r="104" hidden="1" outlineLevel="2" ht="17.25" customHeight="1" thickBot="1">
      <c r="A104" s="696" t="n">
        <v>43182</v>
      </c>
      <c r="B104" s="234" t="inlineStr">
        <is>
          <t>TXO</t>
        </is>
      </c>
      <c r="C104" s="229" t="inlineStr">
        <is>
          <t>TXOW4 03 10700 P</t>
        </is>
      </c>
      <c r="D104" s="229" t="inlineStr">
        <is>
          <t>平倉</t>
        </is>
      </c>
      <c r="E104" s="257" t="inlineStr">
        <is>
          <t>賣</t>
        </is>
      </c>
      <c r="F104" s="229" t="inlineStr">
        <is>
          <t>-</t>
        </is>
      </c>
      <c r="G104" s="697" t="n">
        <v>1</v>
      </c>
      <c r="H104" s="697" t="n">
        <v>126</v>
      </c>
      <c r="I104" s="697" t="n">
        <v>6300</v>
      </c>
      <c r="J104" s="585" t="n">
        <v>18</v>
      </c>
      <c r="K104" s="585" t="n">
        <v>6</v>
      </c>
      <c r="L104" s="585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/>
      </c>
      <c r="M104" s="699">
        <f>L104</f>
        <v/>
      </c>
      <c r="N104" s="686">
        <f>IF(B104="TXO","",IF(D104="新倉","",IF(E104="賣",(H104-H77)*G104,(H77-H104)*G104)))</f>
        <v/>
      </c>
      <c r="O104" s="226">
        <f>ABS(I104)</f>
        <v/>
      </c>
      <c r="P104" s="667" t="n"/>
      <c r="S104" s="739" t="n"/>
      <c r="T104" s="61" t="n"/>
      <c r="U104" s="61" t="n"/>
      <c r="V104" s="61" t="n"/>
      <c r="W104" s="61" t="n"/>
    </row>
    <row r="105" hidden="1" outlineLevel="2" ht="17.25" customHeight="1" thickBot="1">
      <c r="A105" s="696" t="n">
        <v>43182</v>
      </c>
      <c r="B105" s="234" t="inlineStr">
        <is>
          <t>TXO</t>
        </is>
      </c>
      <c r="C105" s="229" t="inlineStr">
        <is>
          <t>TXOW4 03 10750 P</t>
        </is>
      </c>
      <c r="D105" s="229" t="inlineStr">
        <is>
          <t>新倉</t>
        </is>
      </c>
      <c r="E105" s="257" t="inlineStr">
        <is>
          <t>買</t>
        </is>
      </c>
      <c r="F105" s="229" t="inlineStr">
        <is>
          <t>-</t>
        </is>
      </c>
      <c r="G105" s="697" t="n">
        <v>1</v>
      </c>
      <c r="H105" s="697" t="n">
        <v>71</v>
      </c>
      <c r="I105" s="697" t="n">
        <v>-3550</v>
      </c>
      <c r="J105" s="585" t="n">
        <v>18</v>
      </c>
      <c r="K105" s="585" t="n">
        <v>4</v>
      </c>
      <c r="L105" s="585">
        <f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/>
      </c>
      <c r="M105" s="699">
        <f>L105</f>
        <v/>
      </c>
      <c r="N105" s="686">
        <f>IF(B105="TXO","",IF(D105="新倉","",IF(E105="賣",(H105-H78)*G105,(H78-H105)*G105)))</f>
        <v/>
      </c>
      <c r="O105" s="226">
        <f>ABS(I105)</f>
        <v/>
      </c>
      <c r="P105" s="667" t="n"/>
      <c r="S105" s="739" t="n"/>
      <c r="T105" s="61" t="n"/>
      <c r="U105" s="61" t="n"/>
      <c r="V105" s="61" t="n"/>
      <c r="W105" s="61" t="n"/>
    </row>
    <row r="106" hidden="1" outlineLevel="2" ht="17.25" customHeight="1" thickBot="1">
      <c r="A106" s="696" t="n">
        <v>43182</v>
      </c>
      <c r="B106" s="234" t="inlineStr">
        <is>
          <t>TXO</t>
        </is>
      </c>
      <c r="C106" s="229" t="inlineStr">
        <is>
          <t>TXOW4 03 10750 P</t>
        </is>
      </c>
      <c r="D106" s="229" t="inlineStr">
        <is>
          <t>平倉</t>
        </is>
      </c>
      <c r="E106" s="257" t="inlineStr">
        <is>
          <t>賣</t>
        </is>
      </c>
      <c r="F106" s="229" t="inlineStr">
        <is>
          <t>-</t>
        </is>
      </c>
      <c r="G106" s="697" t="n">
        <v>1</v>
      </c>
      <c r="H106" s="697" t="n">
        <v>143</v>
      </c>
      <c r="I106" s="697" t="n">
        <v>7150</v>
      </c>
      <c r="J106" s="585" t="n">
        <v>18</v>
      </c>
      <c r="K106" s="585" t="n">
        <v>7</v>
      </c>
      <c r="L106" s="585">
        <f>IF(B106="TXO",I106-SUM(J106:K106),IF(B106="FITX",IF(D106="新倉",-SUM(J106:K106),IF(E106="賣",(H106-H104)*G106*200-SUM(J106:K106),(H104-H106)*G106*200-SUM(J106:K106))),IF(D106="新倉",-SUM(J106:K106),IF(E106="賣",(H106-H104)*G106*50-SUM(J106:K106),(H104-H106)*G106*50-SUM(J106:K106)))))</f>
        <v/>
      </c>
      <c r="M106" s="699">
        <f>L106</f>
        <v/>
      </c>
      <c r="N106" s="686">
        <f>IF(B106="TXO","",IF(D106="新倉","",IF(E106="賣",(H106-H79)*G106,(H79-H106)*G106)))</f>
        <v/>
      </c>
      <c r="O106" s="226">
        <f>ABS(I106)</f>
        <v/>
      </c>
      <c r="P106" s="667" t="n"/>
      <c r="S106" s="739" t="n"/>
      <c r="T106" s="61" t="n"/>
      <c r="U106" s="61" t="n"/>
      <c r="V106" s="61" t="n"/>
      <c r="W106" s="61" t="n"/>
    </row>
    <row r="107" hidden="1" outlineLevel="2" ht="17.25" customHeight="1" thickBot="1">
      <c r="A107" s="696" t="n">
        <v>43182</v>
      </c>
      <c r="B107" s="234" t="inlineStr">
        <is>
          <t>TXO</t>
        </is>
      </c>
      <c r="C107" s="229" t="inlineStr">
        <is>
          <t>TXOW4 03 10400 P</t>
        </is>
      </c>
      <c r="D107" s="229" t="inlineStr">
        <is>
          <t>新倉</t>
        </is>
      </c>
      <c r="E107" s="257" t="inlineStr">
        <is>
          <t>買</t>
        </is>
      </c>
      <c r="F107" s="229" t="inlineStr">
        <is>
          <t>-</t>
        </is>
      </c>
      <c r="G107" s="697" t="n">
        <v>2</v>
      </c>
      <c r="H107" s="697" t="n">
        <v>20</v>
      </c>
      <c r="I107" s="697" t="n">
        <v>-2000</v>
      </c>
      <c r="J107" s="585" t="n">
        <v>36</v>
      </c>
      <c r="K107" s="585" t="n">
        <v>2</v>
      </c>
      <c r="L107" s="585">
        <f>IF(B107="TXO",I107-SUM(J107:K107),IF(B107="FITX",IF(D107="新倉",-SUM(J107:K107),IF(E107="賣",(H107-H105)*G107*200-SUM(J107:K107),(H105-H107)*G107*200-SUM(J107:K107))),IF(D107="新倉",-SUM(J107:K107),IF(E107="賣",(H107-H105)*G107*50-SUM(J107:K107),(H105-H107)*G107*50-SUM(J107:K107)))))</f>
        <v/>
      </c>
      <c r="M107" s="699">
        <f>L107</f>
        <v/>
      </c>
      <c r="N107" s="686">
        <f>IF(B107="TXO","",IF(D107="新倉","",IF(E107="賣",(H107-H103)*G107,(H103-H107)*G107)))</f>
        <v/>
      </c>
      <c r="O107" s="226">
        <f>ABS(I107)</f>
        <v/>
      </c>
      <c r="P107" s="667" t="n"/>
      <c r="S107" s="739" t="n"/>
      <c r="T107" s="61" t="n"/>
      <c r="U107" s="61" t="n"/>
      <c r="V107" s="61" t="n"/>
      <c r="W107" s="61" t="n"/>
    </row>
    <row r="108" hidden="1" outlineLevel="2" ht="17.25" customHeight="1" thickBot="1">
      <c r="A108" s="696" t="n">
        <v>43182</v>
      </c>
      <c r="B108" s="234" t="inlineStr">
        <is>
          <t>TXO</t>
        </is>
      </c>
      <c r="C108" s="229" t="inlineStr">
        <is>
          <t>TXOW4 03 10300 P</t>
        </is>
      </c>
      <c r="D108" s="229" t="inlineStr">
        <is>
          <t>新倉</t>
        </is>
      </c>
      <c r="E108" s="257" t="inlineStr">
        <is>
          <t>買</t>
        </is>
      </c>
      <c r="F108" s="229" t="inlineStr">
        <is>
          <t>-</t>
        </is>
      </c>
      <c r="G108" s="697" t="n">
        <v>1</v>
      </c>
      <c r="H108" s="697" t="n">
        <v>15</v>
      </c>
      <c r="I108" s="697" t="n">
        <v>-750</v>
      </c>
      <c r="J108" s="585" t="n">
        <v>18</v>
      </c>
      <c r="K108" s="585" t="n">
        <v>1</v>
      </c>
      <c r="L108" s="585">
        <f>IF(B108="TXO",I108-SUM(J108:K108),IF(B108="FITX",IF(D108="新倉",-SUM(J108:K108),IF(E108="賣",(H108-H106)*G108*200-SUM(J108:K108),(H106-H108)*G108*200-SUM(J108:K108))),IF(D108="新倉",-SUM(J108:K108),IF(E108="賣",(H108-H106)*G108*50-SUM(J108:K108),(H106-H108)*G108*50-SUM(J108:K108)))))</f>
        <v/>
      </c>
      <c r="M108" s="699">
        <f>L108</f>
        <v/>
      </c>
      <c r="N108" s="686">
        <f>IF(B108="TXO","",IF(D108="新倉","",IF(E108="賣",(H108-H104)*G108,(H104-H108)*G108)))</f>
        <v/>
      </c>
      <c r="O108" s="226">
        <f>ABS(I108)</f>
        <v/>
      </c>
      <c r="P108" s="667" t="n"/>
      <c r="S108" s="739" t="n"/>
      <c r="T108" s="61" t="n"/>
      <c r="U108" s="61" t="n"/>
      <c r="V108" s="61" t="n"/>
      <c r="W108" s="61" t="n"/>
    </row>
    <row r="109" hidden="1" outlineLevel="2" ht="17.25" customHeight="1" thickBot="1">
      <c r="A109" s="696" t="n">
        <v>43182</v>
      </c>
      <c r="B109" s="234" t="inlineStr">
        <is>
          <t>TXO</t>
        </is>
      </c>
      <c r="C109" s="229" t="inlineStr">
        <is>
          <t>TXOW4 03 10300 P</t>
        </is>
      </c>
      <c r="D109" s="229" t="inlineStr">
        <is>
          <t>新倉</t>
        </is>
      </c>
      <c r="E109" s="257" t="inlineStr">
        <is>
          <t>買</t>
        </is>
      </c>
      <c r="F109" s="229" t="inlineStr">
        <is>
          <t>-</t>
        </is>
      </c>
      <c r="G109" s="697" t="n">
        <v>1</v>
      </c>
      <c r="H109" s="697" t="n">
        <v>15</v>
      </c>
      <c r="I109" s="697" t="n">
        <v>-750</v>
      </c>
      <c r="J109" s="585" t="n">
        <v>18</v>
      </c>
      <c r="K109" s="585" t="n">
        <v>1</v>
      </c>
      <c r="L109" s="585">
        <f>IF(B109="TXO",I109-SUM(J109:K109),IF(B109="FITX",IF(D109="新倉",-SUM(J109:K109),IF(E109="賣",(H109-H107)*G109*200-SUM(J109:K109),(H107-H109)*G109*200-SUM(J109:K109))),IF(D109="新倉",-SUM(J109:K109),IF(E109="賣",(H109-H107)*G109*50-SUM(J109:K109),(H107-H109)*G109*50-SUM(J109:K109)))))</f>
        <v/>
      </c>
      <c r="M109" s="699">
        <f>L109</f>
        <v/>
      </c>
      <c r="N109" s="686">
        <f>IF(B109="TXO","",IF(D109="新倉","",IF(E109="賣",(H109-H105)*G109,(H105-H109)*G109)))</f>
        <v/>
      </c>
      <c r="O109" s="226">
        <f>ABS(I109)</f>
        <v/>
      </c>
      <c r="P109" s="667" t="n"/>
      <c r="S109" s="739" t="n"/>
      <c r="T109" s="61" t="n"/>
      <c r="U109" s="61" t="n"/>
      <c r="V109" s="61" t="n"/>
      <c r="W109" s="61" t="n"/>
    </row>
    <row r="110" hidden="1" outlineLevel="2" ht="17.25" customHeight="1" thickBot="1">
      <c r="A110" s="696" t="n">
        <v>43182</v>
      </c>
      <c r="B110" s="234" t="inlineStr">
        <is>
          <t>TXO</t>
        </is>
      </c>
      <c r="C110" s="229" t="inlineStr">
        <is>
          <t>TXOW4 03 10500 P</t>
        </is>
      </c>
      <c r="D110" s="229" t="inlineStr">
        <is>
          <t>新倉</t>
        </is>
      </c>
      <c r="E110" s="257" t="inlineStr">
        <is>
          <t>買</t>
        </is>
      </c>
      <c r="F110" s="229" t="inlineStr">
        <is>
          <t>-</t>
        </is>
      </c>
      <c r="G110" s="697" t="n">
        <v>1</v>
      </c>
      <c r="H110" s="697" t="n">
        <v>31</v>
      </c>
      <c r="I110" s="697" t="n">
        <v>-1550</v>
      </c>
      <c r="J110" s="585" t="n">
        <v>18</v>
      </c>
      <c r="K110" s="585" t="n">
        <v>2</v>
      </c>
      <c r="L110" s="585">
        <f>IF(B110="TXO",I110-SUM(J110:K110),IF(B110="FITX",IF(D110="新倉",-SUM(J110:K110),IF(E110="賣",(H110-H108)*G110*200-SUM(J110:K110),(H108-H110)*G110*200-SUM(J110:K110))),IF(D110="新倉",-SUM(J110:K110),IF(E110="賣",(H110-H108)*G110*50-SUM(J110:K110),(H108-H110)*G110*50-SUM(J110:K110)))))</f>
        <v/>
      </c>
      <c r="M110" s="699">
        <f>L110</f>
        <v/>
      </c>
      <c r="N110" s="686">
        <f>IF(B110="TXO","",IF(D110="新倉","",IF(E110="賣",(H110-H106)*G110,(H106-H110)*G110)))</f>
        <v/>
      </c>
      <c r="O110" s="226">
        <f>ABS(I110)</f>
        <v/>
      </c>
      <c r="P110" s="667" t="n"/>
      <c r="S110" s="739" t="n"/>
      <c r="T110" s="61" t="n"/>
      <c r="U110" s="61" t="n"/>
      <c r="V110" s="61" t="n"/>
      <c r="W110" s="61" t="n"/>
    </row>
    <row r="111" hidden="1" outlineLevel="2" ht="17.25" customHeight="1" thickBot="1">
      <c r="A111" s="696" t="n">
        <v>43182</v>
      </c>
      <c r="B111" s="234" t="inlineStr">
        <is>
          <t>TXO</t>
        </is>
      </c>
      <c r="C111" s="229" t="inlineStr">
        <is>
          <t>TXOW4 03 10700 P</t>
        </is>
      </c>
      <c r="D111" s="229" t="inlineStr">
        <is>
          <t>新倉</t>
        </is>
      </c>
      <c r="E111" s="257" t="inlineStr">
        <is>
          <t>買</t>
        </is>
      </c>
      <c r="F111" s="229" t="inlineStr">
        <is>
          <t>-</t>
        </is>
      </c>
      <c r="G111" s="697" t="n">
        <v>1</v>
      </c>
      <c r="H111" s="697" t="n">
        <v>56</v>
      </c>
      <c r="I111" s="697" t="n">
        <v>-2800</v>
      </c>
      <c r="J111" s="585" t="n">
        <v>18</v>
      </c>
      <c r="K111" s="585" t="n">
        <v>3</v>
      </c>
      <c r="L111" s="585">
        <f>IF(B111="TXO",I111-SUM(J111:K111),IF(B111="FITX",IF(D111="新倉",-SUM(J111:K111),IF(E111="賣",(H111-H109)*G111*200-SUM(J111:K111),(H109-H111)*G111*200-SUM(J111:K111))),IF(D111="新倉",-SUM(J111:K111),IF(E111="賣",(H111-H109)*G111*50-SUM(J111:K111),(H109-H111)*G111*50-SUM(J111:K111)))))</f>
        <v/>
      </c>
      <c r="M111" s="699">
        <f>L111</f>
        <v/>
      </c>
      <c r="N111" s="686">
        <f>IF(B111="TXO","",IF(D111="新倉","",IF(E111="賣",(H111-H107)*G111,(H107-H111)*G111)))</f>
        <v/>
      </c>
      <c r="O111" s="226">
        <f>ABS(I111)</f>
        <v/>
      </c>
      <c r="P111" s="667" t="n"/>
      <c r="S111" s="739" t="n"/>
      <c r="T111" s="61" t="n"/>
      <c r="U111" s="61" t="n"/>
      <c r="V111" s="61" t="n"/>
      <c r="W111" s="61" t="n"/>
    </row>
    <row r="112" hidden="1" outlineLevel="2" ht="17.25" customHeight="1" thickBot="1">
      <c r="A112" s="696" t="n">
        <v>43182</v>
      </c>
      <c r="B112" s="234" t="inlineStr">
        <is>
          <t>TXO</t>
        </is>
      </c>
      <c r="C112" s="229" t="inlineStr">
        <is>
          <t>TXOW4 03 10500 P</t>
        </is>
      </c>
      <c r="D112" s="229" t="inlineStr">
        <is>
          <t>新倉</t>
        </is>
      </c>
      <c r="E112" s="257" t="inlineStr">
        <is>
          <t>買</t>
        </is>
      </c>
      <c r="F112" s="229" t="inlineStr">
        <is>
          <t>-</t>
        </is>
      </c>
      <c r="G112" s="697" t="n">
        <v>1</v>
      </c>
      <c r="H112" s="697" t="n">
        <v>28</v>
      </c>
      <c r="I112" s="697" t="n">
        <v>-1400</v>
      </c>
      <c r="J112" s="585" t="n">
        <v>18</v>
      </c>
      <c r="K112" s="585" t="n">
        <v>1</v>
      </c>
      <c r="L112" s="585">
        <f>IF(B112="TXO",I112-SUM(J112:K112),IF(B112="FITX",IF(D112="新倉",-SUM(J112:K112),IF(E112="賣",(H112-H110)*G112*200-SUM(J112:K112),(H110-H112)*G112*200-SUM(J112:K112))),IF(D112="新倉",-SUM(J112:K112),IF(E112="賣",(H112-H110)*G112*50-SUM(J112:K112),(H110-H112)*G112*50-SUM(J112:K112)))))</f>
        <v/>
      </c>
      <c r="M112" s="699">
        <f>L112</f>
        <v/>
      </c>
      <c r="N112" s="686">
        <f>IF(B112="TXO","",IF(D112="新倉","",IF(E112="賣",(H112-H108)*G112,(H108-H112)*G112)))</f>
        <v/>
      </c>
      <c r="O112" s="226">
        <f>ABS(I112)</f>
        <v/>
      </c>
      <c r="P112" s="667" t="n"/>
      <c r="S112" s="739" t="n"/>
      <c r="T112" s="61" t="n"/>
      <c r="U112" s="61" t="n"/>
      <c r="V112" s="61" t="n"/>
      <c r="W112" s="61" t="n"/>
    </row>
    <row r="113" hidden="1" outlineLevel="2" ht="17.25" customHeight="1" thickBot="1">
      <c r="A113" s="696" t="n">
        <v>43182</v>
      </c>
      <c r="B113" s="234" t="inlineStr">
        <is>
          <t>TXO</t>
        </is>
      </c>
      <c r="C113" s="229" t="inlineStr">
        <is>
          <t>TXOW4 03 10750 P</t>
        </is>
      </c>
      <c r="D113" s="229" t="inlineStr">
        <is>
          <t>新倉</t>
        </is>
      </c>
      <c r="E113" s="257" t="inlineStr">
        <is>
          <t>買</t>
        </is>
      </c>
      <c r="F113" s="229" t="inlineStr">
        <is>
          <t>-</t>
        </is>
      </c>
      <c r="G113" s="697" t="n">
        <v>1</v>
      </c>
      <c r="H113" s="697" t="n">
        <v>72</v>
      </c>
      <c r="I113" s="697" t="n">
        <v>-3600</v>
      </c>
      <c r="J113" s="585" t="n">
        <v>18</v>
      </c>
      <c r="K113" s="585" t="n">
        <v>4</v>
      </c>
      <c r="L113" s="585">
        <f>IF(B113="TXO",I113-SUM(J113:K113),IF(B113="FITX",IF(D113="新倉",-SUM(J113:K113),IF(E113="賣",(H113-H111)*G113*200-SUM(J113:K113),(H111-H113)*G113*200-SUM(J113:K113))),IF(D113="新倉",-SUM(J113:K113),IF(E113="賣",(H113-H111)*G113*50-SUM(J113:K113),(H111-H113)*G113*50-SUM(J113:K113)))))</f>
        <v/>
      </c>
      <c r="M113" s="699">
        <f>L113</f>
        <v/>
      </c>
      <c r="N113" s="686">
        <f>IF(B113="TXO","",IF(D113="新倉","",IF(E113="賣",(H113-H109)*G113,(H109-H113)*G113)))</f>
        <v/>
      </c>
      <c r="O113" s="226">
        <f>ABS(I113)</f>
        <v/>
      </c>
      <c r="P113" s="667" t="n"/>
      <c r="S113" s="739" t="n"/>
      <c r="T113" s="61" t="n"/>
      <c r="U113" s="61" t="n"/>
      <c r="V113" s="61" t="n"/>
      <c r="W113" s="61" t="n"/>
    </row>
    <row r="114" hidden="1" outlineLevel="2" ht="17.25" customHeight="1" thickBot="1">
      <c r="A114" s="696" t="n">
        <v>43182</v>
      </c>
      <c r="B114" s="234" t="inlineStr">
        <is>
          <t>TXO</t>
        </is>
      </c>
      <c r="C114" s="229" t="inlineStr">
        <is>
          <t>TXOW4 03 10600 P</t>
        </is>
      </c>
      <c r="D114" s="229" t="inlineStr">
        <is>
          <t>新倉</t>
        </is>
      </c>
      <c r="E114" s="257" t="inlineStr">
        <is>
          <t>買</t>
        </is>
      </c>
      <c r="F114" s="229" t="inlineStr">
        <is>
          <t>-</t>
        </is>
      </c>
      <c r="G114" s="697" t="n">
        <v>1</v>
      </c>
      <c r="H114" s="697" t="n">
        <v>43</v>
      </c>
      <c r="I114" s="697" t="n">
        <v>-2150</v>
      </c>
      <c r="J114" s="585" t="n">
        <v>18</v>
      </c>
      <c r="K114" s="585" t="n">
        <v>2</v>
      </c>
      <c r="L114" s="585">
        <f>IF(B114="TXO",I114-SUM(J114:K114),IF(B114="FITX",IF(D114="新倉",-SUM(J114:K114),IF(E114="賣",(H114-H112)*G114*200-SUM(J114:K114),(H112-H114)*G114*200-SUM(J114:K114))),IF(D114="新倉",-SUM(J114:K114),IF(E114="賣",(H114-H112)*G114*50-SUM(J114:K114),(H112-H114)*G114*50-SUM(J114:K114)))))</f>
        <v/>
      </c>
      <c r="M114" s="699">
        <f>L114</f>
        <v/>
      </c>
      <c r="N114" s="686">
        <f>IF(B114="TXO","",IF(D114="新倉","",IF(E114="賣",(H114-H110)*G114,(H110-H114)*G114)))</f>
        <v/>
      </c>
      <c r="O114" s="226">
        <f>ABS(I114)</f>
        <v/>
      </c>
      <c r="P114" s="667" t="n"/>
      <c r="S114" s="739" t="n"/>
      <c r="T114" s="61" t="n"/>
      <c r="U114" s="61" t="n"/>
      <c r="V114" s="61" t="n"/>
      <c r="W114" s="61" t="n"/>
    </row>
    <row r="115" hidden="1" outlineLevel="2" ht="17.25" customHeight="1" thickBot="1">
      <c r="A115" s="696" t="n">
        <v>43182</v>
      </c>
      <c r="B115" s="234" t="inlineStr">
        <is>
          <t>TXO</t>
        </is>
      </c>
      <c r="C115" s="229" t="inlineStr">
        <is>
          <t>TXOW4 03 10500 P</t>
        </is>
      </c>
      <c r="D115" s="229" t="inlineStr">
        <is>
          <t>新倉</t>
        </is>
      </c>
      <c r="E115" s="257" t="inlineStr">
        <is>
          <t>買</t>
        </is>
      </c>
      <c r="F115" s="229" t="inlineStr">
        <is>
          <t>-</t>
        </is>
      </c>
      <c r="G115" s="697" t="n">
        <v>1</v>
      </c>
      <c r="H115" s="697" t="n">
        <v>32</v>
      </c>
      <c r="I115" s="697" t="n">
        <v>-1600</v>
      </c>
      <c r="J115" s="585" t="n">
        <v>18</v>
      </c>
      <c r="K115" s="585" t="n">
        <v>2</v>
      </c>
      <c r="L115" s="585">
        <f>IF(B115="TXO",I115-SUM(J115:K115),IF(B115="FITX",IF(D115="新倉",-SUM(J115:K115),IF(E115="賣",(H115-H113)*G115*200-SUM(J115:K115),(H113-H115)*G115*200-SUM(J115:K115))),IF(D115="新倉",-SUM(J115:K115),IF(E115="賣",(H115-H113)*G115*50-SUM(J115:K115),(H113-H115)*G115*50-SUM(J115:K115)))))</f>
        <v/>
      </c>
      <c r="M115" s="699">
        <f>L115</f>
        <v/>
      </c>
      <c r="N115" s="686">
        <f>IF(B115="TXO","",IF(D115="新倉","",IF(E115="賣",(H115-H111)*G115,(H111-H115)*G115)))</f>
        <v/>
      </c>
      <c r="O115" s="226">
        <f>ABS(I115)</f>
        <v/>
      </c>
      <c r="P115" s="667" t="n"/>
      <c r="S115" s="739" t="n"/>
      <c r="T115" s="61" t="n"/>
      <c r="U115" s="61" t="n"/>
      <c r="V115" s="61" t="n"/>
      <c r="W115" s="61" t="n"/>
    </row>
    <row r="116" hidden="1" outlineLevel="2" ht="17.25" customHeight="1" thickBot="1">
      <c r="A116" s="696" t="n">
        <v>43182</v>
      </c>
      <c r="B116" s="234" t="inlineStr">
        <is>
          <t>TXO</t>
        </is>
      </c>
      <c r="C116" s="229" t="inlineStr">
        <is>
          <t>TXOW4 03 10700 P</t>
        </is>
      </c>
      <c r="D116" s="229" t="inlineStr">
        <is>
          <t>新倉</t>
        </is>
      </c>
      <c r="E116" s="257" t="inlineStr">
        <is>
          <t>買</t>
        </is>
      </c>
      <c r="F116" s="229" t="inlineStr">
        <is>
          <t>-</t>
        </is>
      </c>
      <c r="G116" s="697" t="n">
        <v>1</v>
      </c>
      <c r="H116" s="697" t="n">
        <v>67</v>
      </c>
      <c r="I116" s="697" t="n">
        <v>-3350</v>
      </c>
      <c r="J116" s="585" t="n">
        <v>18</v>
      </c>
      <c r="K116" s="585" t="n">
        <v>3</v>
      </c>
      <c r="L116" s="585">
        <f>IF(B116="TXO",I116-SUM(J116:K116),IF(B116="FITX",IF(D116="新倉",-SUM(J116:K116),IF(E116="賣",(H116-H114)*G116*200-SUM(J116:K116),(H114-H116)*G116*200-SUM(J116:K116))),IF(D116="新倉",-SUM(J116:K116),IF(E116="賣",(H116-H114)*G116*50-SUM(J116:K116),(H114-H116)*G116*50-SUM(J116:K116)))))</f>
        <v/>
      </c>
      <c r="M116" s="699">
        <f>L116</f>
        <v/>
      </c>
      <c r="N116" s="686">
        <f>IF(B116="TXO","",IF(D116="新倉","",IF(E116="賣",(H116-H112)*G116,(H112-H116)*G116)))</f>
        <v/>
      </c>
      <c r="O116" s="226">
        <f>ABS(I116)</f>
        <v/>
      </c>
      <c r="P116" s="667" t="n"/>
      <c r="S116" s="739" t="n"/>
      <c r="T116" s="61" t="n"/>
      <c r="U116" s="61" t="n"/>
      <c r="V116" s="61" t="n"/>
      <c r="W116" s="61" t="n"/>
    </row>
    <row r="117" hidden="1" outlineLevel="2" ht="17.25" customHeight="1" thickBot="1">
      <c r="A117" s="696" t="n">
        <v>43182</v>
      </c>
      <c r="B117" s="234" t="inlineStr">
        <is>
          <t>TXO</t>
        </is>
      </c>
      <c r="C117" s="229" t="inlineStr">
        <is>
          <t>TXOW4 03 10600 P</t>
        </is>
      </c>
      <c r="D117" s="229" t="inlineStr">
        <is>
          <t>新倉</t>
        </is>
      </c>
      <c r="E117" s="257" t="inlineStr">
        <is>
          <t>買</t>
        </is>
      </c>
      <c r="F117" s="229" t="inlineStr">
        <is>
          <t>-</t>
        </is>
      </c>
      <c r="G117" s="697" t="n">
        <v>1</v>
      </c>
      <c r="H117" s="697" t="n">
        <v>46.5</v>
      </c>
      <c r="I117" s="697" t="n">
        <v>-2325</v>
      </c>
      <c r="J117" s="585" t="n">
        <v>18</v>
      </c>
      <c r="K117" s="585" t="n">
        <v>2</v>
      </c>
      <c r="L117" s="585">
        <f>IF(B117="TXO",I117-SUM(J117:K117),IF(B117="FITX",IF(D117="新倉",-SUM(J117:K117),IF(E117="賣",(H117-H115)*G117*200-SUM(J117:K117),(H115-H117)*G117*200-SUM(J117:K117))),IF(D117="新倉",-SUM(J117:K117),IF(E117="賣",(H117-H115)*G117*50-SUM(J117:K117),(H115-H117)*G117*50-SUM(J117:K117)))))</f>
        <v/>
      </c>
      <c r="M117" s="699">
        <f>L117</f>
        <v/>
      </c>
      <c r="N117" s="686">
        <f>IF(B117="TXO","",IF(D117="新倉","",IF(E117="賣",(H117-H113)*G117,(H113-H117)*G117)))</f>
        <v/>
      </c>
      <c r="O117" s="226">
        <f>ABS(I117)</f>
        <v/>
      </c>
      <c r="P117" s="667" t="n"/>
      <c r="S117" s="739" t="n"/>
      <c r="T117" s="61" t="n"/>
      <c r="U117" s="61" t="n"/>
      <c r="V117" s="61" t="n"/>
      <c r="W117" s="61" t="n"/>
    </row>
    <row r="118" ht="17.25" customHeight="1" thickBot="1">
      <c r="A118" s="273" t="inlineStr">
        <is>
          <t>3月總計</t>
        </is>
      </c>
      <c r="B118" s="274" t="n"/>
      <c r="C118" s="274" t="n"/>
      <c r="D118" s="274" t="n"/>
      <c r="E118" s="274" t="n"/>
      <c r="F118" s="274" t="n"/>
      <c r="G118" s="715" t="n"/>
      <c r="H118" s="715" t="n"/>
      <c r="I118" s="715" t="n"/>
      <c r="J118" s="716" t="n"/>
      <c r="K118" s="715" t="n"/>
      <c r="L118" s="750">
        <f>SUM(L75:L117)</f>
        <v/>
      </c>
      <c r="M118" s="717">
        <f>SUM(M75:M117)</f>
        <v/>
      </c>
      <c r="N118" s="666" t="n"/>
      <c r="P118" s="744" t="n"/>
      <c r="S118" s="739" t="n"/>
      <c r="T118" s="61" t="n"/>
      <c r="U118" s="61" t="n"/>
      <c r="V118" s="61" t="n"/>
      <c r="W118" s="61" t="n"/>
    </row>
    <row r="119" ht="17.25" customHeight="1" thickBot="1">
      <c r="A119" s="718" t="n">
        <v>43196</v>
      </c>
      <c r="B119" s="292" t="n"/>
      <c r="C119" s="292" t="inlineStr">
        <is>
          <t>富邦個人信貸</t>
        </is>
      </c>
      <c r="D119" s="292" t="n"/>
      <c r="E119" s="292" t="n"/>
      <c r="F119" s="292" t="n"/>
      <c r="G119" s="719" t="n"/>
      <c r="H119" s="719" t="n"/>
      <c r="I119" s="719" t="n"/>
      <c r="J119" s="720" t="n"/>
      <c r="K119" s="719" t="n"/>
      <c r="L119" s="720" t="n"/>
      <c r="M119" s="721" t="n">
        <v>-1177</v>
      </c>
      <c r="N119" s="666" t="n"/>
      <c r="P119" s="722" t="n"/>
      <c r="Q119" s="249" t="inlineStr">
        <is>
          <t>利息</t>
        </is>
      </c>
      <c r="S119" s="739" t="n"/>
      <c r="T119" s="61" t="n"/>
      <c r="U119" s="61" t="n"/>
      <c r="V119" s="61" t="n"/>
      <c r="W119" s="61" t="n"/>
    </row>
    <row r="120" ht="17.25" customHeight="1" thickBot="1">
      <c r="A120" s="718" t="n">
        <v>43204</v>
      </c>
      <c r="B120" s="292" t="n"/>
      <c r="C120" s="292" t="inlineStr">
        <is>
          <t>XQ 學院版</t>
        </is>
      </c>
      <c r="D120" s="292" t="n"/>
      <c r="E120" s="292" t="n"/>
      <c r="F120" s="292" t="n"/>
      <c r="G120" s="719" t="n"/>
      <c r="H120" s="719" t="n"/>
      <c r="I120" s="719" t="n"/>
      <c r="J120" s="720" t="n"/>
      <c r="K120" s="719" t="n"/>
      <c r="L120" s="720" t="n"/>
      <c r="M120" s="721">
        <f>-4457*0.965</f>
        <v/>
      </c>
      <c r="N120" s="666" t="n"/>
      <c r="P120" s="722" t="n"/>
      <c r="Q120" s="249" t="inlineStr">
        <is>
          <t>49888分12期, 每期4457</t>
        </is>
      </c>
      <c r="S120" s="739" t="n"/>
      <c r="T120" s="61" t="n"/>
      <c r="U120" s="61" t="n"/>
      <c r="V120" s="61" t="n"/>
      <c r="W120" s="61" t="n"/>
    </row>
    <row r="121" ht="17.25" customHeight="1" thickBot="1">
      <c r="A121" s="718" t="n">
        <v>43209</v>
      </c>
      <c r="B121" s="292" t="n"/>
      <c r="C121" s="292" t="inlineStr">
        <is>
          <t>阿水制霸班</t>
        </is>
      </c>
      <c r="D121" s="292" t="n"/>
      <c r="E121" s="292" t="n"/>
      <c r="F121" s="292" t="n"/>
      <c r="G121" s="719" t="n"/>
      <c r="H121" s="719" t="n"/>
      <c r="I121" s="719" t="n"/>
      <c r="J121" s="720" t="n"/>
      <c r="K121" s="719" t="n"/>
      <c r="L121" s="720" t="n"/>
      <c r="M121" s="721" t="n">
        <v>-4490</v>
      </c>
      <c r="N121" s="666" t="n"/>
      <c r="P121" s="722" t="n"/>
      <c r="Q121" s="249" t="inlineStr">
        <is>
          <t>53888分12期, 每期4490, 12-05</t>
        </is>
      </c>
      <c r="S121" s="739" t="n"/>
      <c r="T121" s="61" t="n"/>
      <c r="U121" s="61" t="n"/>
      <c r="V121" s="61" t="n"/>
      <c r="W121" s="61" t="n"/>
    </row>
    <row r="122" collapsed="1" ht="17.25" customHeight="1" thickBot="1">
      <c r="A122" s="718" t="n">
        <v>43218</v>
      </c>
      <c r="B122" s="292" t="n"/>
      <c r="C122" s="292" t="inlineStr">
        <is>
          <t>阿水財經四班</t>
        </is>
      </c>
      <c r="D122" s="292" t="n"/>
      <c r="E122" s="292" t="n"/>
      <c r="F122" s="292" t="n"/>
      <c r="G122" s="719" t="n"/>
      <c r="H122" s="719" t="n"/>
      <c r="I122" s="719" t="n"/>
      <c r="J122" s="720" t="n"/>
      <c r="K122" s="719" t="n"/>
      <c r="L122" s="720" t="n"/>
      <c r="M122" s="721">
        <f>-5000*0.965</f>
        <v/>
      </c>
      <c r="N122" s="666" t="n"/>
      <c r="P122" s="722" t="n"/>
      <c r="Q122" s="249" t="inlineStr">
        <is>
          <t>60000分12期, 每期5000</t>
        </is>
      </c>
      <c r="S122" s="739" t="n"/>
      <c r="T122" s="61" t="n"/>
      <c r="U122" s="61" t="n"/>
      <c r="V122" s="61" t="n"/>
      <c r="W122" s="61" t="n"/>
    </row>
    <row r="123" hidden="1" outlineLevel="1" ht="17.25" customHeight="1" thickBot="1">
      <c r="A123" s="696" t="n">
        <v>43207</v>
      </c>
      <c r="B123" s="234" t="inlineStr">
        <is>
          <t>TXO</t>
        </is>
      </c>
      <c r="C123" s="229" t="inlineStr">
        <is>
          <t>台指選 04 10800 P</t>
        </is>
      </c>
      <c r="D123" s="229" t="inlineStr">
        <is>
          <t>新倉</t>
        </is>
      </c>
      <c r="E123" s="257" t="inlineStr">
        <is>
          <t>買</t>
        </is>
      </c>
      <c r="F123" s="229" t="inlineStr">
        <is>
          <t>-</t>
        </is>
      </c>
      <c r="G123" s="697" t="n">
        <v>1</v>
      </c>
      <c r="H123" s="697" t="n">
        <v>19</v>
      </c>
      <c r="I123" s="697" t="n">
        <v>-950</v>
      </c>
      <c r="J123" s="585" t="n">
        <v>18</v>
      </c>
      <c r="K123" s="585" t="n">
        <v>1</v>
      </c>
      <c r="L123" s="585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/>
      </c>
      <c r="M123" s="699">
        <f>L123</f>
        <v/>
      </c>
      <c r="N123" s="686">
        <f>IF(B123="TXO","",IF(D123="新倉","",IF(E123="賣",(H123-H116)*G123,(H116-H123)*G123)))</f>
        <v/>
      </c>
      <c r="O123" s="226">
        <f>ABS(I123)</f>
        <v/>
      </c>
      <c r="P123" s="667">
        <f>SUM(L123:L125)</f>
        <v/>
      </c>
      <c r="S123" s="739" t="n"/>
      <c r="T123" s="61" t="n"/>
      <c r="U123" s="61" t="n"/>
      <c r="V123" s="61" t="n"/>
      <c r="W123" s="61" t="n"/>
    </row>
    <row r="124" hidden="1" outlineLevel="2" ht="17.25" customHeight="1" thickBot="1">
      <c r="A124" s="696" t="n">
        <v>43207</v>
      </c>
      <c r="B124" s="234" t="inlineStr">
        <is>
          <t>TXO</t>
        </is>
      </c>
      <c r="C124" s="229" t="inlineStr">
        <is>
          <t>台指選 04 10800 P</t>
        </is>
      </c>
      <c r="D124" s="229" t="inlineStr">
        <is>
          <t>新倉</t>
        </is>
      </c>
      <c r="E124" s="257" t="inlineStr">
        <is>
          <t>買</t>
        </is>
      </c>
      <c r="F124" s="229" t="inlineStr">
        <is>
          <t>-</t>
        </is>
      </c>
      <c r="G124" s="697" t="n">
        <v>1</v>
      </c>
      <c r="H124" s="697" t="n">
        <v>19</v>
      </c>
      <c r="I124" s="697" t="n">
        <v>-950</v>
      </c>
      <c r="J124" s="585" t="n">
        <v>18</v>
      </c>
      <c r="K124" s="585" t="n">
        <v>1</v>
      </c>
      <c r="L124" s="585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/>
      </c>
      <c r="M124" s="699">
        <f>L124</f>
        <v/>
      </c>
      <c r="N124" s="686">
        <f>IF(B124="TXO","",IF(D124="新倉","",IF(E124="賣",(H124-H117)*G124,(H117-H124)*G124)))</f>
        <v/>
      </c>
      <c r="O124" s="226">
        <f>ABS(I124)</f>
        <v/>
      </c>
      <c r="P124" s="667" t="n"/>
      <c r="S124" s="739" t="n"/>
      <c r="T124" s="61" t="n"/>
      <c r="U124" s="61" t="n"/>
      <c r="V124" s="61" t="n"/>
      <c r="W124" s="61" t="n"/>
    </row>
    <row r="125" hidden="1" outlineLevel="2" ht="17.25" customHeight="1" thickBot="1">
      <c r="A125" s="696" t="n">
        <v>43207</v>
      </c>
      <c r="B125" s="234" t="inlineStr">
        <is>
          <t>TXO</t>
        </is>
      </c>
      <c r="C125" s="229" t="inlineStr">
        <is>
          <t>台指選 04 10750 P</t>
        </is>
      </c>
      <c r="D125" s="229" t="inlineStr">
        <is>
          <t>新倉</t>
        </is>
      </c>
      <c r="E125" s="257" t="inlineStr">
        <is>
          <t>買</t>
        </is>
      </c>
      <c r="F125" s="229" t="inlineStr">
        <is>
          <t>-</t>
        </is>
      </c>
      <c r="G125" s="697" t="n">
        <v>4</v>
      </c>
      <c r="H125" s="697" t="n">
        <v>9.800000000000001</v>
      </c>
      <c r="I125" s="697" t="n">
        <v>-1960</v>
      </c>
      <c r="J125" s="585" t="n">
        <v>72</v>
      </c>
      <c r="K125" s="585" t="n">
        <v>0</v>
      </c>
      <c r="L125" s="585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/>
      </c>
      <c r="M125" s="699">
        <f>L125</f>
        <v/>
      </c>
      <c r="N125" s="686">
        <f>IF(B125="TXO","",IF(D125="新倉","",IF(E125="賣",(H125-H80)*G125,(H80-H125)*G125)))</f>
        <v/>
      </c>
      <c r="O125" s="226">
        <f>ABS(I125)</f>
        <v/>
      </c>
      <c r="P125" s="667" t="n"/>
      <c r="S125" s="739" t="n"/>
      <c r="T125" s="61" t="n"/>
      <c r="U125" s="61" t="n"/>
      <c r="V125" s="61" t="n"/>
      <c r="W125" s="61" t="n"/>
    </row>
    <row r="126" hidden="1" outlineLevel="1" ht="17.25" customHeight="1" thickBot="1">
      <c r="A126" s="696" t="n">
        <v>43210</v>
      </c>
      <c r="B126" s="234" t="inlineStr">
        <is>
          <t>TXO</t>
        </is>
      </c>
      <c r="C126" s="229" t="inlineStr">
        <is>
          <t>TXOW4 04 10800 P</t>
        </is>
      </c>
      <c r="D126" s="229" t="inlineStr">
        <is>
          <t>新倉</t>
        </is>
      </c>
      <c r="E126" s="257" t="inlineStr">
        <is>
          <t>買</t>
        </is>
      </c>
      <c r="F126" s="229" t="inlineStr">
        <is>
          <t>-</t>
        </is>
      </c>
      <c r="G126" s="697" t="n">
        <v>1</v>
      </c>
      <c r="H126" s="697" t="n">
        <v>75</v>
      </c>
      <c r="I126" s="697" t="n">
        <v>-3750</v>
      </c>
      <c r="J126" s="585" t="n">
        <v>18</v>
      </c>
      <c r="K126" s="585" t="n">
        <v>4</v>
      </c>
      <c r="L126" s="585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/>
      </c>
      <c r="M126" s="699">
        <f>L126</f>
        <v/>
      </c>
      <c r="N126" s="686">
        <f>IF(B126="TXO","",IF(D126="新倉","",IF(E126="賣",(H126-H104)*G126,(H104-H126)*G126)))</f>
        <v/>
      </c>
      <c r="O126" s="226">
        <f>ABS(I126)</f>
        <v/>
      </c>
      <c r="P126" s="667">
        <f>SUM(L126:L149)</f>
        <v/>
      </c>
      <c r="S126" s="739" t="n"/>
      <c r="T126" s="61" t="n"/>
      <c r="U126" s="61" t="n"/>
      <c r="V126" s="61" t="n"/>
      <c r="W126" s="61" t="n"/>
    </row>
    <row r="127" hidden="1" outlineLevel="2" ht="17.25" customHeight="1" thickBot="1">
      <c r="A127" s="696" t="n">
        <v>43214</v>
      </c>
      <c r="B127" s="234" t="inlineStr">
        <is>
          <t>TXO</t>
        </is>
      </c>
      <c r="C127" s="229" t="inlineStr">
        <is>
          <t>TXOW4 04 10800 P</t>
        </is>
      </c>
      <c r="D127" s="229" t="inlineStr">
        <is>
          <t>平倉</t>
        </is>
      </c>
      <c r="E127" s="257" t="inlineStr">
        <is>
          <t>賣</t>
        </is>
      </c>
      <c r="F127" s="229" t="inlineStr">
        <is>
          <t>-</t>
        </is>
      </c>
      <c r="G127" s="697" t="n">
        <v>1</v>
      </c>
      <c r="H127" s="697" t="n">
        <v>301</v>
      </c>
      <c r="I127" s="697" t="n">
        <v>15050</v>
      </c>
      <c r="J127" s="585" t="n">
        <v>18</v>
      </c>
      <c r="K127" s="585" t="n">
        <v>15</v>
      </c>
      <c r="L127" s="585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/>
      </c>
      <c r="M127" s="699">
        <f>L127</f>
        <v/>
      </c>
      <c r="N127" s="686">
        <f>IF(B127="TXO","",IF(D127="新倉","",IF(E127="賣",(H127-H105)*G127,(H105-H127)*G127)))</f>
        <v/>
      </c>
      <c r="O127" s="226">
        <f>ABS(I127)</f>
        <v/>
      </c>
      <c r="P127" s="667" t="n"/>
      <c r="S127" s="739" t="n"/>
      <c r="T127" s="61" t="n"/>
      <c r="U127" s="61" t="n"/>
      <c r="V127" s="61" t="n"/>
      <c r="W127" s="61" t="n"/>
    </row>
    <row r="128" hidden="1" outlineLevel="2" ht="17.25" customHeight="1" thickBot="1">
      <c r="A128" s="696" t="n">
        <v>43210</v>
      </c>
      <c r="B128" s="234" t="inlineStr">
        <is>
          <t>TXO</t>
        </is>
      </c>
      <c r="C128" s="229" t="inlineStr">
        <is>
          <t>TXOW4 04 10600 P</t>
        </is>
      </c>
      <c r="D128" s="229" t="inlineStr">
        <is>
          <t>新倉</t>
        </is>
      </c>
      <c r="E128" s="257" t="inlineStr">
        <is>
          <t>買</t>
        </is>
      </c>
      <c r="F128" s="229" t="inlineStr">
        <is>
          <t>-</t>
        </is>
      </c>
      <c r="G128" s="697" t="n">
        <v>2</v>
      </c>
      <c r="H128" s="697" t="n">
        <v>35.5</v>
      </c>
      <c r="I128" s="697" t="n">
        <v>-3550</v>
      </c>
      <c r="J128" s="585" t="n">
        <v>36</v>
      </c>
      <c r="K128" s="585" t="n">
        <v>4</v>
      </c>
      <c r="L128" s="585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/>
      </c>
      <c r="M128" s="699">
        <f>L128</f>
        <v/>
      </c>
      <c r="N128" s="686">
        <f>IF(B128="TXO","",IF(D128="新倉","",IF(E128="賣",(H128-H105)*G128,(H105-H128)*G128)))</f>
        <v/>
      </c>
      <c r="O128" s="226">
        <f>ABS(I128)</f>
        <v/>
      </c>
      <c r="P128" s="667" t="n"/>
      <c r="S128" s="739" t="n"/>
      <c r="T128" s="61" t="n"/>
      <c r="U128" s="61" t="n"/>
      <c r="V128" s="61" t="n"/>
      <c r="W128" s="61" t="n"/>
    </row>
    <row r="129" hidden="1" outlineLevel="2" ht="17.25" customHeight="1" thickBot="1">
      <c r="A129" s="696" t="n">
        <v>43214</v>
      </c>
      <c r="B129" s="234" t="inlineStr">
        <is>
          <t>TXO</t>
        </is>
      </c>
      <c r="C129" s="229" t="inlineStr">
        <is>
          <t>TXOW4 04 10600 P</t>
        </is>
      </c>
      <c r="D129" s="229" t="inlineStr">
        <is>
          <t>平倉</t>
        </is>
      </c>
      <c r="E129" s="257" t="inlineStr">
        <is>
          <t>賣</t>
        </is>
      </c>
      <c r="F129" s="229" t="inlineStr">
        <is>
          <t>-</t>
        </is>
      </c>
      <c r="G129" s="697" t="n">
        <v>2</v>
      </c>
      <c r="H129" s="697" t="n">
        <v>111</v>
      </c>
      <c r="I129" s="697" t="n">
        <v>11100</v>
      </c>
      <c r="J129" s="585" t="n">
        <v>36</v>
      </c>
      <c r="K129" s="585" t="n">
        <v>12</v>
      </c>
      <c r="L129" s="585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/>
      </c>
      <c r="M129" s="699">
        <f>L129</f>
        <v/>
      </c>
      <c r="N129" s="686">
        <f>IF(B129="TXO","",IF(D129="新倉","",IF(E129="賣",(H129-H106)*G129,(H106-H129)*G129)))</f>
        <v/>
      </c>
      <c r="O129" s="226">
        <f>ABS(I129)</f>
        <v/>
      </c>
      <c r="P129" s="667" t="n"/>
      <c r="S129" s="739" t="n"/>
      <c r="T129" s="61" t="n"/>
      <c r="U129" s="61" t="n"/>
      <c r="V129" s="61" t="n"/>
      <c r="W129" s="61" t="n"/>
    </row>
    <row r="130" hidden="1" outlineLevel="2" ht="17.25" customHeight="1" thickBot="1">
      <c r="A130" s="696" t="n">
        <v>43210</v>
      </c>
      <c r="B130" s="234" t="inlineStr">
        <is>
          <t>TXO</t>
        </is>
      </c>
      <c r="C130" s="229" t="inlineStr">
        <is>
          <t>TXOW4 04 10650 P</t>
        </is>
      </c>
      <c r="D130" s="229" t="inlineStr">
        <is>
          <t>新倉</t>
        </is>
      </c>
      <c r="E130" s="257" t="inlineStr">
        <is>
          <t>買</t>
        </is>
      </c>
      <c r="F130" s="229" t="inlineStr">
        <is>
          <t>-</t>
        </is>
      </c>
      <c r="G130" s="697" t="n">
        <v>1</v>
      </c>
      <c r="H130" s="697" t="n">
        <v>50</v>
      </c>
      <c r="I130" s="697" t="n">
        <v>-2500</v>
      </c>
      <c r="J130" s="585" t="n">
        <v>18</v>
      </c>
      <c r="K130" s="585" t="n">
        <v>3</v>
      </c>
      <c r="L130" s="585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/>
      </c>
      <c r="M130" s="699">
        <f>L130</f>
        <v/>
      </c>
      <c r="N130" s="686">
        <f>IF(B130="TXO","",IF(D130="新倉","",IF(E130="賣",(H130-H107)*G130,(H107-H130)*G130)))</f>
        <v/>
      </c>
      <c r="O130" s="226">
        <f>ABS(I130)</f>
        <v/>
      </c>
      <c r="P130" s="667" t="n"/>
      <c r="S130" s="739" t="n"/>
      <c r="T130" s="61" t="n"/>
      <c r="U130" s="61" t="n"/>
      <c r="V130" s="61" t="n"/>
      <c r="W130" s="61" t="n"/>
    </row>
    <row r="131" hidden="1" outlineLevel="2" ht="17.25" customHeight="1" thickBot="1">
      <c r="A131" s="696" t="n">
        <v>43214</v>
      </c>
      <c r="B131" s="234" t="inlineStr">
        <is>
          <t>TXO</t>
        </is>
      </c>
      <c r="C131" s="229" t="inlineStr">
        <is>
          <t>TXOW4 04 10650 P</t>
        </is>
      </c>
      <c r="D131" s="229" t="inlineStr">
        <is>
          <t>平倉</t>
        </is>
      </c>
      <c r="E131" s="257" t="inlineStr">
        <is>
          <t>賣</t>
        </is>
      </c>
      <c r="F131" s="229" t="inlineStr">
        <is>
          <t>-</t>
        </is>
      </c>
      <c r="G131" s="697" t="n">
        <v>1</v>
      </c>
      <c r="H131" s="697" t="n">
        <v>155</v>
      </c>
      <c r="I131" s="697" t="n">
        <v>7750</v>
      </c>
      <c r="J131" s="585" t="n">
        <v>18</v>
      </c>
      <c r="K131" s="585" t="n">
        <v>8</v>
      </c>
      <c r="L131" s="585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/>
      </c>
      <c r="M131" s="699">
        <f>L131</f>
        <v/>
      </c>
      <c r="N131" s="686">
        <f>IF(B131="TXO","",IF(D131="新倉","",IF(E131="賣",(H131-H126)*G131,(H126-H131)*G131)))</f>
        <v/>
      </c>
      <c r="O131" s="226">
        <f>ABS(I131)</f>
        <v/>
      </c>
      <c r="P131" s="667" t="n"/>
      <c r="S131" s="739" t="n"/>
      <c r="T131" s="61" t="n"/>
      <c r="U131" s="61" t="n"/>
      <c r="V131" s="61" t="n"/>
      <c r="W131" s="61" t="n"/>
    </row>
    <row r="132" hidden="1" outlineLevel="2" ht="17.25" customHeight="1" thickBot="1">
      <c r="A132" s="696" t="n">
        <v>43210</v>
      </c>
      <c r="B132" s="234" t="inlineStr">
        <is>
          <t>TXO</t>
        </is>
      </c>
      <c r="C132" s="229" t="inlineStr">
        <is>
          <t>TXOW4 04 10550 P</t>
        </is>
      </c>
      <c r="D132" s="229" t="inlineStr">
        <is>
          <t>新倉</t>
        </is>
      </c>
      <c r="E132" s="257" t="inlineStr">
        <is>
          <t>買</t>
        </is>
      </c>
      <c r="F132" s="229" t="inlineStr">
        <is>
          <t>-</t>
        </is>
      </c>
      <c r="G132" s="697" t="n">
        <v>2</v>
      </c>
      <c r="H132" s="697" t="n">
        <v>23</v>
      </c>
      <c r="I132" s="697" t="n">
        <v>-2300</v>
      </c>
      <c r="J132" s="585" t="n">
        <v>36</v>
      </c>
      <c r="K132" s="585" t="n">
        <v>2</v>
      </c>
      <c r="L132" s="585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/>
      </c>
      <c r="M132" s="699">
        <f>L132</f>
        <v/>
      </c>
      <c r="N132" s="686">
        <f>IF(B132="TXO","",IF(D132="新倉","",IF(E132="賣",(H132-H128)*G132,(H128-H132)*G132)))</f>
        <v/>
      </c>
      <c r="O132" s="226">
        <f>ABS(I132)</f>
        <v/>
      </c>
      <c r="P132" s="667" t="n"/>
      <c r="S132" s="739" t="n"/>
      <c r="T132" s="61" t="n"/>
      <c r="U132" s="61" t="n"/>
      <c r="V132" s="61" t="n"/>
      <c r="W132" s="61" t="n"/>
    </row>
    <row r="133" hidden="1" outlineLevel="2" ht="17.25" customHeight="1" thickBot="1">
      <c r="A133" s="696" t="n">
        <v>43214</v>
      </c>
      <c r="B133" s="234" t="inlineStr">
        <is>
          <t>TXO</t>
        </is>
      </c>
      <c r="C133" s="229" t="inlineStr">
        <is>
          <t>TXOW4 04 10550 P</t>
        </is>
      </c>
      <c r="D133" s="229" t="inlineStr">
        <is>
          <t>平倉</t>
        </is>
      </c>
      <c r="E133" s="257" t="inlineStr">
        <is>
          <t>賣</t>
        </is>
      </c>
      <c r="F133" s="229" t="inlineStr">
        <is>
          <t>-</t>
        </is>
      </c>
      <c r="G133" s="697" t="n">
        <v>2</v>
      </c>
      <c r="H133" s="697" t="n">
        <v>70</v>
      </c>
      <c r="I133" s="697" t="n">
        <v>7000</v>
      </c>
      <c r="J133" s="585" t="n">
        <v>36</v>
      </c>
      <c r="K133" s="585" t="n">
        <v>8</v>
      </c>
      <c r="L133" s="585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/>
      </c>
      <c r="M133" s="699">
        <f>L133</f>
        <v/>
      </c>
      <c r="N133" s="686">
        <f>IF(B133="TXO","",IF(D133="新倉","",IF(E133="賣",(H133-H129)*G133,(H129-H133)*G133)))</f>
        <v/>
      </c>
      <c r="O133" s="226">
        <f>ABS(I133)</f>
        <v/>
      </c>
      <c r="P133" s="667" t="n"/>
      <c r="S133" s="739" t="n"/>
      <c r="T133" s="61" t="n"/>
      <c r="U133" s="61" t="n"/>
      <c r="V133" s="61" t="n"/>
      <c r="W133" s="61" t="n"/>
    </row>
    <row r="134" hidden="1" outlineLevel="2" ht="17.25" customHeight="1" thickBot="1">
      <c r="A134" s="696" t="n">
        <v>43210</v>
      </c>
      <c r="B134" s="234" t="inlineStr">
        <is>
          <t>TXO</t>
        </is>
      </c>
      <c r="C134" s="229" t="inlineStr">
        <is>
          <t>TXOW4 04 10400 P</t>
        </is>
      </c>
      <c r="D134" s="229" t="inlineStr">
        <is>
          <t>新倉</t>
        </is>
      </c>
      <c r="E134" s="257" t="inlineStr">
        <is>
          <t>買</t>
        </is>
      </c>
      <c r="F134" s="229" t="inlineStr">
        <is>
          <t>-</t>
        </is>
      </c>
      <c r="G134" s="697" t="n">
        <v>1</v>
      </c>
      <c r="H134" s="697" t="n">
        <v>8.699999999999999</v>
      </c>
      <c r="I134" s="697" t="n">
        <v>-435</v>
      </c>
      <c r="J134" s="585" t="n">
        <v>18</v>
      </c>
      <c r="K134" s="585" t="n">
        <v>0</v>
      </c>
      <c r="L134" s="585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/>
      </c>
      <c r="M134" s="699">
        <f>L134</f>
        <v/>
      </c>
      <c r="N134" s="686">
        <f>IF(B134="TXO","",IF(D134="新倉","",IF(E134="賣",(H134-H112)*G134,(H112-H134)*G134)))</f>
        <v/>
      </c>
      <c r="O134" s="226">
        <f>ABS(I134)</f>
        <v/>
      </c>
      <c r="P134" s="667" t="n"/>
      <c r="S134" s="739" t="n"/>
      <c r="T134" s="61" t="n"/>
      <c r="U134" s="61" t="n"/>
      <c r="V134" s="61" t="n"/>
      <c r="W134" s="61" t="n"/>
    </row>
    <row r="135" hidden="1" outlineLevel="2" ht="17.25" customHeight="1" thickBot="1">
      <c r="A135" s="696" t="n">
        <v>43214</v>
      </c>
      <c r="B135" s="234" t="inlineStr">
        <is>
          <t>TXO</t>
        </is>
      </c>
      <c r="C135" s="229" t="inlineStr">
        <is>
          <t>TXOW4 04 10400 P</t>
        </is>
      </c>
      <c r="D135" s="229" t="inlineStr">
        <is>
          <t>平倉</t>
        </is>
      </c>
      <c r="E135" s="257" t="inlineStr">
        <is>
          <t>賣</t>
        </is>
      </c>
      <c r="F135" s="229" t="inlineStr">
        <is>
          <t>-</t>
        </is>
      </c>
      <c r="G135" s="697" t="n">
        <v>1</v>
      </c>
      <c r="H135" s="697" t="n">
        <v>20</v>
      </c>
      <c r="I135" s="697" t="n">
        <v>1000</v>
      </c>
      <c r="J135" s="585" t="n">
        <v>18</v>
      </c>
      <c r="K135" s="585" t="n">
        <v>1</v>
      </c>
      <c r="L135" s="585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/>
      </c>
      <c r="M135" s="699">
        <f>L135</f>
        <v/>
      </c>
      <c r="N135" s="686">
        <f>IF(B135="TXO","",IF(D135="新倉","",IF(E135="賣",(H135-H113)*G135,(H113-H135)*G135)))</f>
        <v/>
      </c>
      <c r="O135" s="226">
        <f>ABS(I135)</f>
        <v/>
      </c>
      <c r="P135" s="667" t="n"/>
      <c r="S135" s="739" t="n"/>
      <c r="T135" s="61" t="n"/>
      <c r="U135" s="61" t="n"/>
      <c r="V135" s="61" t="n"/>
      <c r="W135" s="61" t="n"/>
    </row>
    <row r="136" hidden="1" outlineLevel="2" ht="17.25" customHeight="1" thickBot="1">
      <c r="A136" s="696" t="n">
        <v>43210</v>
      </c>
      <c r="B136" s="234" t="inlineStr">
        <is>
          <t>TXO</t>
        </is>
      </c>
      <c r="C136" s="229" t="inlineStr">
        <is>
          <t>TXOW4 04 10400 P</t>
        </is>
      </c>
      <c r="D136" s="229" t="inlineStr">
        <is>
          <t>新倉</t>
        </is>
      </c>
      <c r="E136" s="257" t="inlineStr">
        <is>
          <t>買</t>
        </is>
      </c>
      <c r="F136" s="229" t="inlineStr">
        <is>
          <t>-</t>
        </is>
      </c>
      <c r="G136" s="697" t="n">
        <v>8</v>
      </c>
      <c r="H136" s="697" t="n">
        <v>8.699999999999999</v>
      </c>
      <c r="I136" s="697" t="n">
        <v>-3480</v>
      </c>
      <c r="J136" s="585" t="n">
        <v>144</v>
      </c>
      <c r="K136" s="585" t="n">
        <v>0</v>
      </c>
      <c r="L136" s="585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/>
      </c>
      <c r="M136" s="699">
        <f>L136</f>
        <v/>
      </c>
      <c r="N136" s="686">
        <f>IF(B136="TXO","",IF(D136="新倉","",IF(E136="賣",(H136-H113)*G136,(H113-H136)*G136)))</f>
        <v/>
      </c>
      <c r="O136" s="226">
        <f>ABS(I136)</f>
        <v/>
      </c>
      <c r="P136" s="667" t="n"/>
      <c r="S136" s="739" t="n"/>
      <c r="T136" s="61" t="n"/>
      <c r="U136" s="61" t="n"/>
      <c r="V136" s="61" t="n"/>
      <c r="W136" s="61" t="n"/>
    </row>
    <row r="137" hidden="1" outlineLevel="2" ht="17.25" customHeight="1" thickBot="1">
      <c r="A137" s="696" t="n">
        <v>43214</v>
      </c>
      <c r="B137" s="234" t="inlineStr">
        <is>
          <t>TXO</t>
        </is>
      </c>
      <c r="C137" s="229" t="inlineStr">
        <is>
          <t>TXOW4 04 10400 P</t>
        </is>
      </c>
      <c r="D137" s="229" t="inlineStr">
        <is>
          <t>平倉</t>
        </is>
      </c>
      <c r="E137" s="257" t="inlineStr">
        <is>
          <t>賣</t>
        </is>
      </c>
      <c r="F137" s="229" t="inlineStr">
        <is>
          <t>-</t>
        </is>
      </c>
      <c r="G137" s="697" t="n">
        <v>8</v>
      </c>
      <c r="H137" s="697" t="n">
        <v>10.5</v>
      </c>
      <c r="I137" s="697" t="n">
        <v>4200</v>
      </c>
      <c r="J137" s="585" t="n">
        <v>144</v>
      </c>
      <c r="K137" s="585" t="n">
        <v>8</v>
      </c>
      <c r="L137" s="585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/>
      </c>
      <c r="M137" s="699">
        <f>L137</f>
        <v/>
      </c>
      <c r="N137" s="686">
        <f>IF(B137="TXO","",IF(D137="新倉","",IF(E137="賣",(H137-H114)*G137,(H114-H137)*G137)))</f>
        <v/>
      </c>
      <c r="O137" s="226">
        <f>ABS(I137)</f>
        <v/>
      </c>
      <c r="P137" s="667" t="n"/>
      <c r="S137" s="739" t="n"/>
      <c r="T137" s="61" t="n"/>
      <c r="U137" s="61" t="n"/>
      <c r="V137" s="61" t="n"/>
      <c r="W137" s="61" t="n"/>
    </row>
    <row r="138" hidden="1" outlineLevel="2" ht="17.25" customHeight="1" thickBot="1">
      <c r="A138" s="696" t="n">
        <v>43210</v>
      </c>
      <c r="B138" s="234" t="inlineStr">
        <is>
          <t>TXO</t>
        </is>
      </c>
      <c r="C138" s="229" t="inlineStr">
        <is>
          <t>TXOW4 04 10400 P</t>
        </is>
      </c>
      <c r="D138" s="229" t="inlineStr">
        <is>
          <t>新倉</t>
        </is>
      </c>
      <c r="E138" s="257" t="inlineStr">
        <is>
          <t>買</t>
        </is>
      </c>
      <c r="F138" s="229" t="inlineStr">
        <is>
          <t>-</t>
        </is>
      </c>
      <c r="G138" s="697" t="n">
        <v>1</v>
      </c>
      <c r="H138" s="697" t="n">
        <v>8.699999999999999</v>
      </c>
      <c r="I138" s="697" t="n">
        <v>-435</v>
      </c>
      <c r="J138" s="585" t="n">
        <v>18</v>
      </c>
      <c r="K138" s="585" t="n">
        <v>0</v>
      </c>
      <c r="L138" s="585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/>
      </c>
      <c r="M138" s="699">
        <f>L138</f>
        <v/>
      </c>
      <c r="N138" s="686">
        <f>IF(B138="TXO","",IF(D138="新倉","",IF(E138="賣",(H138-H115)*G138,(H115-H138)*G138)))</f>
        <v/>
      </c>
      <c r="O138" s="226">
        <f>ABS(I138)</f>
        <v/>
      </c>
      <c r="P138" s="667" t="n"/>
      <c r="S138" s="739" t="n"/>
      <c r="T138" s="61" t="n"/>
      <c r="U138" s="61" t="n"/>
      <c r="V138" s="61" t="n"/>
      <c r="W138" s="61" t="n"/>
    </row>
    <row r="139" hidden="1" outlineLevel="2" ht="17.25" customHeight="1" thickBot="1">
      <c r="A139" s="696" t="n">
        <v>43210</v>
      </c>
      <c r="B139" s="234" t="inlineStr">
        <is>
          <t>TXO</t>
        </is>
      </c>
      <c r="C139" s="229" t="inlineStr">
        <is>
          <t>TXOW4 04 10300 P</t>
        </is>
      </c>
      <c r="D139" s="229" t="inlineStr">
        <is>
          <t>新倉</t>
        </is>
      </c>
      <c r="E139" s="257" t="inlineStr">
        <is>
          <t>買</t>
        </is>
      </c>
      <c r="F139" s="229" t="inlineStr">
        <is>
          <t>-</t>
        </is>
      </c>
      <c r="G139" s="697" t="n">
        <v>3</v>
      </c>
      <c r="H139" s="697" t="n">
        <v>5.1</v>
      </c>
      <c r="I139" s="697" t="n">
        <v>-765</v>
      </c>
      <c r="J139" s="585" t="n">
        <v>54</v>
      </c>
      <c r="K139" s="585" t="n">
        <v>0</v>
      </c>
      <c r="L139" s="585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/>
      </c>
      <c r="M139" s="699">
        <f>L139</f>
        <v/>
      </c>
      <c r="N139" s="686">
        <f>IF(B139="TXO","",IF(D139="新倉","",IF(E139="賣",(H139-H134)*G139,(H134-H139)*G139)))</f>
        <v/>
      </c>
      <c r="O139" s="226">
        <f>ABS(I139)</f>
        <v/>
      </c>
      <c r="P139" s="667" t="n"/>
      <c r="S139" s="739" t="n"/>
      <c r="T139" s="61" t="n"/>
      <c r="U139" s="61" t="n"/>
      <c r="V139" s="61" t="n"/>
      <c r="W139" s="61" t="n"/>
    </row>
    <row r="140" hidden="1" outlineLevel="2" ht="17.25" customHeight="1" thickBot="1">
      <c r="A140" s="696" t="n">
        <v>43214</v>
      </c>
      <c r="B140" s="234" t="inlineStr">
        <is>
          <t>TXO</t>
        </is>
      </c>
      <c r="C140" s="229" t="inlineStr">
        <is>
          <t>TXOW4 04 10300 P</t>
        </is>
      </c>
      <c r="D140" s="229" t="inlineStr">
        <is>
          <t>平倉</t>
        </is>
      </c>
      <c r="E140" s="257" t="inlineStr">
        <is>
          <t>賣</t>
        </is>
      </c>
      <c r="F140" s="229" t="inlineStr">
        <is>
          <t>-</t>
        </is>
      </c>
      <c r="G140" s="697" t="n">
        <v>3</v>
      </c>
      <c r="H140" s="697" t="n">
        <v>10</v>
      </c>
      <c r="I140" s="697" t="n">
        <v>1500</v>
      </c>
      <c r="J140" s="585" t="n">
        <v>54</v>
      </c>
      <c r="K140" s="585" t="n">
        <v>3</v>
      </c>
      <c r="L140" s="585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/>
      </c>
      <c r="M140" s="699">
        <f>L140</f>
        <v/>
      </c>
      <c r="N140" s="686">
        <f>IF(B140="TXO","",IF(D140="新倉","",IF(E140="賣",(H140-H136)*G140,(H136-H140)*G140)))</f>
        <v/>
      </c>
      <c r="O140" s="226">
        <f>ABS(I140)</f>
        <v/>
      </c>
      <c r="P140" s="667" t="n"/>
      <c r="S140" s="739" t="n"/>
      <c r="T140" s="61" t="n"/>
      <c r="U140" s="61" t="n"/>
      <c r="V140" s="61" t="n"/>
      <c r="W140" s="61" t="n"/>
    </row>
    <row r="141" hidden="1" outlineLevel="2" ht="17.25" customHeight="1" thickBot="1">
      <c r="A141" s="696" t="n">
        <v>43210</v>
      </c>
      <c r="B141" s="234" t="inlineStr">
        <is>
          <t>TXO</t>
        </is>
      </c>
      <c r="C141" s="229" t="inlineStr">
        <is>
          <t>TXOW4 04 10300 P</t>
        </is>
      </c>
      <c r="D141" s="229" t="inlineStr">
        <is>
          <t>新倉</t>
        </is>
      </c>
      <c r="E141" s="257" t="inlineStr">
        <is>
          <t>買</t>
        </is>
      </c>
      <c r="F141" s="229" t="inlineStr">
        <is>
          <t>-</t>
        </is>
      </c>
      <c r="G141" s="697" t="n">
        <v>2</v>
      </c>
      <c r="H141" s="697" t="n">
        <v>5.1</v>
      </c>
      <c r="I141" s="697" t="n">
        <v>-510</v>
      </c>
      <c r="J141" s="585" t="n">
        <v>36</v>
      </c>
      <c r="K141" s="585" t="n">
        <v>0</v>
      </c>
      <c r="L141" s="585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/>
      </c>
      <c r="M141" s="699">
        <f>L141</f>
        <v/>
      </c>
      <c r="N141" s="686">
        <f>IF(B141="TXO","",IF(D141="新倉","",IF(E141="賣",(H141-H137)*G141,(H137-H141)*G141)))</f>
        <v/>
      </c>
      <c r="O141" s="226">
        <f>ABS(I141)</f>
        <v/>
      </c>
      <c r="P141" s="667" t="n"/>
      <c r="S141" s="739" t="n"/>
      <c r="T141" s="61" t="n"/>
      <c r="U141" s="61" t="n"/>
      <c r="V141" s="61" t="n"/>
      <c r="W141" s="61" t="n"/>
    </row>
    <row r="142" hidden="1" outlineLevel="2" ht="17.25" customHeight="1" thickBot="1">
      <c r="A142" s="696" t="n">
        <v>43214</v>
      </c>
      <c r="B142" s="234" t="inlineStr">
        <is>
          <t>TXO</t>
        </is>
      </c>
      <c r="C142" s="229" t="inlineStr">
        <is>
          <t>TXOW4 04 10300 P</t>
        </is>
      </c>
      <c r="D142" s="229" t="inlineStr">
        <is>
          <t>平倉</t>
        </is>
      </c>
      <c r="E142" s="257" t="inlineStr">
        <is>
          <t>賣</t>
        </is>
      </c>
      <c r="F142" s="229" t="inlineStr">
        <is>
          <t>-</t>
        </is>
      </c>
      <c r="G142" s="697" t="n">
        <v>2</v>
      </c>
      <c r="H142" s="697" t="n">
        <v>10</v>
      </c>
      <c r="I142" s="697" t="n">
        <v>1000</v>
      </c>
      <c r="J142" s="585" t="n">
        <v>36</v>
      </c>
      <c r="K142" s="585" t="n">
        <v>2</v>
      </c>
      <c r="L142" s="585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/>
      </c>
      <c r="M142" s="699">
        <f>L142</f>
        <v/>
      </c>
      <c r="N142" s="686">
        <f>IF(B142="TXO","",IF(D142="新倉","",IF(E142="賣",(H142-H123)*G142,(H123-H142)*G142)))</f>
        <v/>
      </c>
      <c r="O142" s="226">
        <f>ABS(I142)</f>
        <v/>
      </c>
      <c r="P142" s="667" t="n"/>
      <c r="S142" s="739" t="n"/>
      <c r="T142" s="61" t="n"/>
      <c r="U142" s="61" t="n"/>
      <c r="V142" s="61" t="n"/>
      <c r="W142" s="61" t="n"/>
    </row>
    <row r="143" hidden="1" outlineLevel="2" ht="17.25" customHeight="1" thickBot="1">
      <c r="A143" s="696" t="n">
        <v>43210</v>
      </c>
      <c r="B143" s="234" t="inlineStr">
        <is>
          <t>TXO</t>
        </is>
      </c>
      <c r="C143" s="229" t="inlineStr">
        <is>
          <t>TXOW4 04 10300 P</t>
        </is>
      </c>
      <c r="D143" s="229" t="inlineStr">
        <is>
          <t>新倉</t>
        </is>
      </c>
      <c r="E143" s="257" t="inlineStr">
        <is>
          <t>買</t>
        </is>
      </c>
      <c r="F143" s="229" t="inlineStr">
        <is>
          <t>-</t>
        </is>
      </c>
      <c r="G143" s="697" t="n">
        <v>1</v>
      </c>
      <c r="H143" s="697" t="n">
        <v>5.1</v>
      </c>
      <c r="I143" s="697" t="n">
        <v>-255</v>
      </c>
      <c r="J143" s="585" t="n">
        <v>18</v>
      </c>
      <c r="K143" s="585" t="n">
        <v>0</v>
      </c>
      <c r="L143" s="585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/>
      </c>
      <c r="M143" s="699">
        <f>L143</f>
        <v/>
      </c>
      <c r="N143" s="686">
        <f>IF(B143="TXO","",IF(D143="新倉","",IF(E143="賣",(H143-H124)*G143,(H124-H143)*G143)))</f>
        <v/>
      </c>
      <c r="O143" s="226">
        <f>ABS(I143)</f>
        <v/>
      </c>
      <c r="P143" s="667" t="n"/>
      <c r="S143" s="739" t="n"/>
      <c r="T143" s="61" t="n"/>
      <c r="U143" s="61" t="n"/>
      <c r="V143" s="61" t="n"/>
      <c r="W143" s="61" t="n"/>
    </row>
    <row r="144" hidden="1" outlineLevel="2" ht="17.25" customHeight="1" thickBot="1">
      <c r="A144" s="696" t="n">
        <v>43214</v>
      </c>
      <c r="B144" s="234" t="inlineStr">
        <is>
          <t>TXO</t>
        </is>
      </c>
      <c r="C144" s="229" t="inlineStr">
        <is>
          <t>TXOW4 04 10300 P</t>
        </is>
      </c>
      <c r="D144" s="229" t="inlineStr">
        <is>
          <t>平倉</t>
        </is>
      </c>
      <c r="E144" s="257" t="inlineStr">
        <is>
          <t>賣</t>
        </is>
      </c>
      <c r="F144" s="229" t="inlineStr">
        <is>
          <t>-</t>
        </is>
      </c>
      <c r="G144" s="697" t="n">
        <v>1</v>
      </c>
      <c r="H144" s="697" t="n">
        <v>15</v>
      </c>
      <c r="I144" s="697" t="n">
        <v>750</v>
      </c>
      <c r="J144" s="585" t="n">
        <v>18</v>
      </c>
      <c r="K144" s="585" t="n">
        <v>1</v>
      </c>
      <c r="L144" s="585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/>
      </c>
      <c r="M144" s="699">
        <f>L144</f>
        <v/>
      </c>
      <c r="N144" s="686">
        <f>IF(B144="TXO","",IF(D144="新倉","",IF(E144="賣",(H144-H124)*G144,(H124-H144)*G144)))</f>
        <v/>
      </c>
      <c r="O144" s="226">
        <f>ABS(I144)</f>
        <v/>
      </c>
      <c r="P144" s="667" t="n"/>
      <c r="S144" s="739" t="n"/>
      <c r="T144" s="61" t="n"/>
      <c r="U144" s="61" t="n"/>
      <c r="V144" s="61" t="n"/>
      <c r="W144" s="61" t="n"/>
    </row>
    <row r="145" hidden="1" outlineLevel="2" ht="17.25" customHeight="1" thickBot="1">
      <c r="A145" s="696" t="n">
        <v>43210</v>
      </c>
      <c r="B145" s="234" t="inlineStr">
        <is>
          <t>TXO</t>
        </is>
      </c>
      <c r="C145" s="229" t="inlineStr">
        <is>
          <t>TXOW4 04 10300 P</t>
        </is>
      </c>
      <c r="D145" s="229" t="inlineStr">
        <is>
          <t>新倉</t>
        </is>
      </c>
      <c r="E145" s="257" t="inlineStr">
        <is>
          <t>買</t>
        </is>
      </c>
      <c r="F145" s="229" t="inlineStr">
        <is>
          <t>-</t>
        </is>
      </c>
      <c r="G145" s="697" t="n">
        <v>1</v>
      </c>
      <c r="H145" s="697" t="n">
        <v>5.1</v>
      </c>
      <c r="I145" s="697" t="n">
        <v>-255</v>
      </c>
      <c r="J145" s="585" t="n">
        <v>18</v>
      </c>
      <c r="K145" s="585" t="n">
        <v>0</v>
      </c>
      <c r="L145" s="585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/>
      </c>
      <c r="M145" s="699">
        <f>L145</f>
        <v/>
      </c>
      <c r="N145" s="686">
        <f>IF(B145="TXO","",IF(D145="新倉","",IF(E145="賣",(H145-H125)*G145,(H125-H145)*G145)))</f>
        <v/>
      </c>
      <c r="O145" s="226">
        <f>ABS(I145)</f>
        <v/>
      </c>
      <c r="P145" s="667" t="n"/>
      <c r="S145" s="739" t="n"/>
      <c r="T145" s="61" t="n"/>
      <c r="U145" s="61" t="n"/>
      <c r="V145" s="61" t="n"/>
      <c r="W145" s="61" t="n"/>
    </row>
    <row r="146" hidden="1" outlineLevel="2" ht="17.25" customHeight="1" thickBot="1">
      <c r="A146" s="696" t="n">
        <v>43214</v>
      </c>
      <c r="B146" s="234" t="inlineStr">
        <is>
          <t>TXO</t>
        </is>
      </c>
      <c r="C146" s="229" t="inlineStr">
        <is>
          <t>TXOW4 04 10300 P</t>
        </is>
      </c>
      <c r="D146" s="229" t="inlineStr">
        <is>
          <t>平倉</t>
        </is>
      </c>
      <c r="E146" s="257" t="inlineStr">
        <is>
          <t>賣</t>
        </is>
      </c>
      <c r="F146" s="229" t="inlineStr">
        <is>
          <t>-</t>
        </is>
      </c>
      <c r="G146" s="697" t="n">
        <v>1</v>
      </c>
      <c r="H146" s="697" t="n">
        <v>20</v>
      </c>
      <c r="I146" s="697" t="n">
        <v>1000</v>
      </c>
      <c r="J146" s="585" t="n">
        <v>18</v>
      </c>
      <c r="K146" s="585" t="n">
        <v>1</v>
      </c>
      <c r="L146" s="585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/>
      </c>
      <c r="M146" s="699">
        <f>L146</f>
        <v/>
      </c>
      <c r="N146" s="686">
        <f>IF(B146="TXO","",IF(D146="新倉","",IF(E146="賣",(H146-H120)*G146,(H120-H146)*G146)))</f>
        <v/>
      </c>
      <c r="O146" s="226">
        <f>ABS(I146)</f>
        <v/>
      </c>
      <c r="P146" s="667" t="n"/>
      <c r="S146" s="739" t="n"/>
      <c r="T146" s="61" t="n"/>
      <c r="U146" s="61" t="n"/>
      <c r="V146" s="61" t="n"/>
      <c r="W146" s="61" t="n"/>
    </row>
    <row r="147" hidden="1" outlineLevel="2" ht="17.25" customHeight="1" thickBot="1">
      <c r="A147" s="696" t="n">
        <v>43210</v>
      </c>
      <c r="B147" s="234" t="inlineStr">
        <is>
          <t>TXO</t>
        </is>
      </c>
      <c r="C147" s="229" t="inlineStr">
        <is>
          <t>TXOW4 04 10300 P</t>
        </is>
      </c>
      <c r="D147" s="229" t="inlineStr">
        <is>
          <t>新倉</t>
        </is>
      </c>
      <c r="E147" s="257" t="inlineStr">
        <is>
          <t>買</t>
        </is>
      </c>
      <c r="F147" s="229" t="inlineStr">
        <is>
          <t>-</t>
        </is>
      </c>
      <c r="G147" s="697" t="n">
        <v>2</v>
      </c>
      <c r="H147" s="697" t="n">
        <v>5.1</v>
      </c>
      <c r="I147" s="697" t="n">
        <v>-510</v>
      </c>
      <c r="J147" s="585" t="n">
        <v>36</v>
      </c>
      <c r="K147" s="585" t="n">
        <v>0</v>
      </c>
      <c r="L147" s="585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/>
      </c>
      <c r="M147" s="699">
        <f>L147</f>
        <v/>
      </c>
      <c r="N147" s="686">
        <f>IF(B147="TXO","",IF(D147="新倉","",IF(E147="賣",(H147-H142)*G147,(H142-H147)*G147)))</f>
        <v/>
      </c>
      <c r="O147" s="226">
        <f>ABS(I147)</f>
        <v/>
      </c>
      <c r="P147" s="667" t="n"/>
      <c r="S147" s="739" t="n"/>
      <c r="T147" s="61" t="n"/>
      <c r="U147" s="61" t="n"/>
      <c r="V147" s="61" t="n"/>
      <c r="W147" s="61" t="n"/>
    </row>
    <row r="148" hidden="1" outlineLevel="2" ht="17.25" customHeight="1" thickBot="1">
      <c r="A148" s="696" t="n">
        <v>43210</v>
      </c>
      <c r="B148" s="234" t="inlineStr">
        <is>
          <t>TXO</t>
        </is>
      </c>
      <c r="C148" s="229" t="inlineStr">
        <is>
          <t>TXOW4 04 10300 P</t>
        </is>
      </c>
      <c r="D148" s="229" t="inlineStr">
        <is>
          <t>新倉</t>
        </is>
      </c>
      <c r="E148" s="257" t="inlineStr">
        <is>
          <t>買</t>
        </is>
      </c>
      <c r="F148" s="229" t="inlineStr">
        <is>
          <t>-</t>
        </is>
      </c>
      <c r="G148" s="697" t="n">
        <v>1</v>
      </c>
      <c r="H148" s="697" t="n">
        <v>5.1</v>
      </c>
      <c r="I148" s="697" t="n">
        <v>-255</v>
      </c>
      <c r="J148" s="585" t="n">
        <v>18</v>
      </c>
      <c r="K148" s="585" t="n">
        <v>0</v>
      </c>
      <c r="L148" s="585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/>
      </c>
      <c r="M148" s="699">
        <f>L148</f>
        <v/>
      </c>
      <c r="N148" s="686">
        <f>IF(B148="TXO","",IF(D148="新倉","",IF(E148="賣",(H148-H144)*G148,(H144-H148)*G148)))</f>
        <v/>
      </c>
      <c r="O148" s="226">
        <f>ABS(I148)</f>
        <v/>
      </c>
      <c r="P148" s="667" t="n"/>
      <c r="S148" s="739" t="n"/>
      <c r="T148" s="61" t="n"/>
      <c r="U148" s="61" t="n"/>
      <c r="V148" s="61" t="n"/>
      <c r="W148" s="61" t="n"/>
    </row>
    <row r="149" hidden="1" outlineLevel="2" ht="17.25" customHeight="1" thickBot="1">
      <c r="A149" s="696" t="n">
        <v>43214</v>
      </c>
      <c r="B149" s="234" t="inlineStr">
        <is>
          <t>TXO</t>
        </is>
      </c>
      <c r="C149" s="229" t="inlineStr">
        <is>
          <t>TXOW4 04 10300 P</t>
        </is>
      </c>
      <c r="D149" s="229" t="inlineStr">
        <is>
          <t>平倉</t>
        </is>
      </c>
      <c r="E149" s="257" t="inlineStr">
        <is>
          <t>賣</t>
        </is>
      </c>
      <c r="F149" s="229" t="inlineStr">
        <is>
          <t>-</t>
        </is>
      </c>
      <c r="G149" s="697" t="n">
        <v>1</v>
      </c>
      <c r="H149" s="697" t="n">
        <v>8.1</v>
      </c>
      <c r="I149" s="697" t="n">
        <v>405</v>
      </c>
      <c r="J149" s="585" t="n">
        <v>18</v>
      </c>
      <c r="K149" s="585" t="n">
        <v>0</v>
      </c>
      <c r="L149" s="585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/>
      </c>
      <c r="M149" s="699">
        <f>L149</f>
        <v/>
      </c>
      <c r="N149" s="686">
        <f>IF(B149="TXO","",IF(D149="新倉","",IF(E149="賣",(H149-H145)*G149,(H145-H149)*G149)))</f>
        <v/>
      </c>
      <c r="O149" s="226">
        <f>ABS(I149)</f>
        <v/>
      </c>
      <c r="P149" s="667" t="n"/>
      <c r="S149" s="739" t="n"/>
      <c r="T149" s="61" t="n"/>
      <c r="U149" s="61" t="n"/>
      <c r="V149" s="61" t="n"/>
      <c r="W149" s="61" t="n"/>
    </row>
    <row r="150" ht="17.25" customHeight="1" thickBot="1">
      <c r="A150" s="273" t="inlineStr">
        <is>
          <t>4月總計</t>
        </is>
      </c>
      <c r="B150" s="274" t="n"/>
      <c r="C150" s="274" t="n"/>
      <c r="D150" s="274" t="n"/>
      <c r="E150" s="274" t="n"/>
      <c r="F150" s="274" t="n"/>
      <c r="G150" s="715" t="n"/>
      <c r="H150" s="715" t="n"/>
      <c r="I150" s="715" t="n"/>
      <c r="J150" s="716" t="n"/>
      <c r="K150" s="715" t="n"/>
      <c r="L150" s="717">
        <f>SUM(L119:L149)</f>
        <v/>
      </c>
      <c r="M150" s="751">
        <f>SUM(M119:M149)</f>
        <v/>
      </c>
      <c r="N150" s="666" t="n"/>
      <c r="P150" s="744" t="n"/>
      <c r="S150" s="739" t="n"/>
      <c r="T150" s="61" t="n"/>
      <c r="U150" s="61" t="n"/>
      <c r="V150" s="61" t="n"/>
      <c r="W150" s="61" t="n"/>
    </row>
    <row r="151" ht="17.25" customHeight="1" thickBot="1">
      <c r="A151" s="718" t="n">
        <v>43228</v>
      </c>
      <c r="B151" s="292" t="n"/>
      <c r="C151" s="292" t="inlineStr">
        <is>
          <t>富邦個人信貸</t>
        </is>
      </c>
      <c r="D151" s="292" t="n"/>
      <c r="E151" s="292" t="n"/>
      <c r="F151" s="292" t="n"/>
      <c r="G151" s="719" t="n"/>
      <c r="H151" s="719" t="n"/>
      <c r="I151" s="719" t="n"/>
      <c r="J151" s="720" t="n"/>
      <c r="K151" s="719" t="n"/>
      <c r="L151" s="720" t="n"/>
      <c r="M151" s="721">
        <f>-1005-155</f>
        <v/>
      </c>
      <c r="N151" s="666" t="n"/>
      <c r="P151" s="722" t="n"/>
      <c r="Q151" s="249" t="inlineStr">
        <is>
          <t>利息</t>
        </is>
      </c>
      <c r="S151" s="739" t="n"/>
      <c r="T151" s="61" t="n"/>
      <c r="U151" s="61" t="n"/>
      <c r="V151" s="61" t="n"/>
      <c r="W151" s="61" t="n"/>
    </row>
    <row r="152" ht="17.25" customHeight="1" thickBot="1">
      <c r="A152" s="718" t="n">
        <v>43234</v>
      </c>
      <c r="B152" s="292" t="n"/>
      <c r="C152" s="292" t="inlineStr">
        <is>
          <t>XQ 學院版</t>
        </is>
      </c>
      <c r="D152" s="292" t="n"/>
      <c r="E152" s="292" t="n"/>
      <c r="F152" s="292" t="n"/>
      <c r="G152" s="719" t="n"/>
      <c r="H152" s="719" t="n"/>
      <c r="I152" s="719" t="n"/>
      <c r="J152" s="720" t="n"/>
      <c r="K152" s="719" t="n"/>
      <c r="L152" s="720" t="n"/>
      <c r="M152" s="721">
        <f>-4457*0.965</f>
        <v/>
      </c>
      <c r="N152" s="666" t="n"/>
      <c r="P152" s="722" t="n"/>
      <c r="Q152" s="249" t="inlineStr">
        <is>
          <t>49888分12期, 每期4457</t>
        </is>
      </c>
      <c r="S152" s="739" t="n"/>
      <c r="T152" s="61" t="n"/>
      <c r="U152" s="61" t="n"/>
      <c r="V152" s="61" t="n"/>
      <c r="W152" s="61" t="n"/>
    </row>
    <row r="153" ht="17.25" customHeight="1" thickBot="1">
      <c r="A153" s="718" t="n">
        <v>43239</v>
      </c>
      <c r="B153" s="292" t="n"/>
      <c r="C153" s="292" t="inlineStr">
        <is>
          <t>阿水制霸班</t>
        </is>
      </c>
      <c r="D153" s="292" t="n"/>
      <c r="E153" s="292" t="n"/>
      <c r="F153" s="292" t="n"/>
      <c r="G153" s="719" t="n"/>
      <c r="H153" s="719" t="n"/>
      <c r="I153" s="719" t="n"/>
      <c r="J153" s="720" t="n"/>
      <c r="K153" s="719" t="n"/>
      <c r="L153" s="720" t="n"/>
      <c r="M153" s="721" t="n">
        <v>-4490</v>
      </c>
      <c r="N153" s="666" t="n"/>
      <c r="P153" s="722" t="n"/>
      <c r="Q153" s="249" t="inlineStr">
        <is>
          <t>53888分12期, 每期4490, 12-06</t>
        </is>
      </c>
      <c r="S153" s="739" t="n"/>
      <c r="T153" s="61" t="n"/>
      <c r="U153" s="61" t="n"/>
      <c r="V153" s="61" t="n"/>
      <c r="W153" s="61" t="n"/>
    </row>
    <row r="154" collapsed="1" ht="17.25" customHeight="1" thickBot="1">
      <c r="A154" s="718" t="n">
        <v>43248</v>
      </c>
      <c r="B154" s="292" t="n"/>
      <c r="C154" s="292" t="inlineStr">
        <is>
          <t>阿水財經四班</t>
        </is>
      </c>
      <c r="D154" s="292" t="n"/>
      <c r="E154" s="292" t="n"/>
      <c r="F154" s="292" t="n"/>
      <c r="G154" s="719" t="n"/>
      <c r="H154" s="719" t="n"/>
      <c r="I154" s="719" t="n"/>
      <c r="J154" s="720" t="n"/>
      <c r="K154" s="719" t="n"/>
      <c r="L154" s="720" t="n"/>
      <c r="M154" s="721">
        <f>-5000*0.965</f>
        <v/>
      </c>
      <c r="N154" s="666" t="n"/>
      <c r="P154" s="722" t="n"/>
      <c r="Q154" s="249" t="inlineStr">
        <is>
          <t>60000分12期, 每期5000</t>
        </is>
      </c>
      <c r="S154" s="739" t="n"/>
      <c r="T154" s="61" t="n"/>
      <c r="U154" s="61" t="n"/>
      <c r="V154" s="61" t="n"/>
      <c r="W154" s="61" t="n"/>
    </row>
    <row r="155" hidden="1" outlineLevel="1" ht="17.25" customHeight="1" thickBot="1">
      <c r="A155" s="740" t="n">
        <v>43222</v>
      </c>
      <c r="B155" s="299" t="inlineStr">
        <is>
          <t>FITX</t>
        </is>
      </c>
      <c r="C155" s="300" t="inlineStr">
        <is>
          <t>台指05</t>
        </is>
      </c>
      <c r="D155" s="300" t="inlineStr">
        <is>
          <t>新倉</t>
        </is>
      </c>
      <c r="E155" s="301" t="inlineStr">
        <is>
          <t>賣</t>
        </is>
      </c>
      <c r="F155" s="300" t="inlineStr">
        <is>
          <t>-</t>
        </is>
      </c>
      <c r="G155" s="741" t="n">
        <v>1</v>
      </c>
      <c r="H155" s="741" t="n">
        <v>10590</v>
      </c>
      <c r="I155" s="741" t="n">
        <v>0</v>
      </c>
      <c r="J155" s="742" t="n">
        <v>45</v>
      </c>
      <c r="K155" s="742" t="n">
        <v>42</v>
      </c>
      <c r="L155" s="742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/>
      </c>
      <c r="M155" s="743">
        <f>L155</f>
        <v/>
      </c>
      <c r="N155" s="686">
        <f>IF(B155="TXO","",IF(D155="新倉","",IF(E155="賣",(H155-H150)*G155,(H150-H155)*G155)))</f>
        <v/>
      </c>
      <c r="O155" s="226">
        <f>ABS(I155)</f>
        <v/>
      </c>
      <c r="P155" s="667">
        <f>SUM(L155:L156)</f>
        <v/>
      </c>
      <c r="S155" s="739" t="n"/>
      <c r="T155" s="61" t="n"/>
      <c r="U155" s="61" t="n"/>
      <c r="V155" s="61" t="n"/>
      <c r="W155" s="61" t="n"/>
    </row>
    <row r="156" hidden="1" outlineLevel="1" collapsed="1" ht="17.25" customHeight="1" thickBot="1">
      <c r="A156" s="740" t="n">
        <v>43222</v>
      </c>
      <c r="B156" s="299" t="inlineStr">
        <is>
          <t>FITX</t>
        </is>
      </c>
      <c r="C156" s="300" t="inlineStr">
        <is>
          <t>台指05</t>
        </is>
      </c>
      <c r="D156" s="300" t="inlineStr">
        <is>
          <t>平倉</t>
        </is>
      </c>
      <c r="E156" s="301" t="inlineStr">
        <is>
          <t>買</t>
        </is>
      </c>
      <c r="F156" s="300" t="inlineStr">
        <is>
          <t>-</t>
        </is>
      </c>
      <c r="G156" s="741" t="n">
        <v>1</v>
      </c>
      <c r="H156" s="741" t="n">
        <v>10587</v>
      </c>
      <c r="I156" s="741" t="n">
        <v>0</v>
      </c>
      <c r="J156" s="742" t="n">
        <v>45</v>
      </c>
      <c r="K156" s="742" t="n">
        <v>42</v>
      </c>
      <c r="L156" s="742">
        <f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/>
      </c>
      <c r="M156" s="743">
        <f>L156</f>
        <v/>
      </c>
      <c r="N156" s="686">
        <f>IF(B156="TXO","",IF(D156="新倉","",IF(E156="賣",(H156-H155)*G156,(H155-H156)*G156)))</f>
        <v/>
      </c>
      <c r="O156" s="226">
        <f>ABS(I156)</f>
        <v/>
      </c>
      <c r="P156" s="667" t="n"/>
      <c r="S156" s="739" t="n"/>
      <c r="T156" s="61" t="n"/>
      <c r="U156" s="61" t="n"/>
      <c r="V156" s="61" t="n"/>
      <c r="W156" s="61" t="n"/>
    </row>
    <row r="157" hidden="1" outlineLevel="1" ht="17.25" customHeight="1" thickBot="1">
      <c r="A157" s="696" t="n">
        <v>43223</v>
      </c>
      <c r="B157" s="234" t="inlineStr">
        <is>
          <t>FITX</t>
        </is>
      </c>
      <c r="C157" s="229" t="inlineStr">
        <is>
          <t>台指05</t>
        </is>
      </c>
      <c r="D157" s="229" t="inlineStr">
        <is>
          <t>新倉</t>
        </is>
      </c>
      <c r="E157" s="257" t="inlineStr">
        <is>
          <t>賣</t>
        </is>
      </c>
      <c r="F157" s="229" t="inlineStr">
        <is>
          <t>-</t>
        </is>
      </c>
      <c r="G157" s="697" t="n">
        <v>1</v>
      </c>
      <c r="H157" s="697" t="n">
        <v>10553</v>
      </c>
      <c r="I157" s="697" t="n">
        <v>0</v>
      </c>
      <c r="J157" s="585" t="n">
        <v>45</v>
      </c>
      <c r="K157" s="585" t="n">
        <v>42</v>
      </c>
      <c r="L157" s="585">
        <f>IF(B157="TXO",I157-SUM(J157:K157),IF(B157="FITX",IF(D157="新倉",-SUM(J157:K157),IF(E157="賣",(H157-H156)*G157*200-SUM(J157:K157),(H156-H157)*G157*200-SUM(J157:K157))),IF(D157="新倉",-SUM(J157:K157),IF(E157="賣",(H157-H156)*G157*50-SUM(J157:K157),(H156-H157)*G157*50-SUM(J157:K157)))))</f>
        <v/>
      </c>
      <c r="M157" s="699">
        <f>L157</f>
        <v/>
      </c>
      <c r="N157" s="686">
        <f>IF(B157="TXO","",IF(D157="新倉","",IF(E157="賣",(H157-H156)*G157,(H156-H157)*G157)))</f>
        <v/>
      </c>
      <c r="O157" s="226">
        <f>ABS(I157)</f>
        <v/>
      </c>
      <c r="P157" s="667">
        <f>SUM(L157:L162)</f>
        <v/>
      </c>
      <c r="S157" s="739" t="n"/>
      <c r="T157" s="61" t="n"/>
      <c r="U157" s="61" t="n"/>
      <c r="V157" s="61" t="n"/>
      <c r="W157" s="61" t="n"/>
    </row>
    <row r="158" hidden="1" outlineLevel="2" collapsed="1" ht="17.25" customHeight="1" thickBot="1">
      <c r="A158" s="696" t="n">
        <v>43223</v>
      </c>
      <c r="B158" s="234" t="inlineStr">
        <is>
          <t>FITX</t>
        </is>
      </c>
      <c r="C158" s="229" t="inlineStr">
        <is>
          <t>台指05</t>
        </is>
      </c>
      <c r="D158" s="229" t="inlineStr">
        <is>
          <t>平倉</t>
        </is>
      </c>
      <c r="E158" s="257" t="inlineStr">
        <is>
          <t>買</t>
        </is>
      </c>
      <c r="F158" s="229" t="inlineStr">
        <is>
          <t>-</t>
        </is>
      </c>
      <c r="G158" s="697" t="n">
        <v>1</v>
      </c>
      <c r="H158" s="697" t="n">
        <v>10542</v>
      </c>
      <c r="I158" s="697" t="n">
        <v>0</v>
      </c>
      <c r="J158" s="585" t="n">
        <v>45</v>
      </c>
      <c r="K158" s="585" t="n">
        <v>42</v>
      </c>
      <c r="L158" s="585">
        <f>IF(B158="TXO",I158-SUM(J158:K158),IF(B158="FITX",IF(D158="新倉",-SUM(J158:K158),IF(E158="賣",(H158-H157)*G158*200-SUM(J158:K158),(H157-H158)*G158*200-SUM(J158:K158))),IF(D158="新倉",-SUM(J158:K158),IF(E158="賣",(H158-H157)*G158*50-SUM(J158:K158),(H157-H158)*G158*50-SUM(J158:K158)))))</f>
        <v/>
      </c>
      <c r="M158" s="699">
        <f>L158</f>
        <v/>
      </c>
      <c r="N158" s="686">
        <f>IF(B158="TXO","",IF(D158="新倉","",IF(E158="賣",(H158-H157)*G158,(H157-H158)*G158)))</f>
        <v/>
      </c>
      <c r="O158" s="226">
        <f>ABS(I158)</f>
        <v/>
      </c>
      <c r="P158" s="667" t="n"/>
      <c r="S158" s="739" t="n"/>
      <c r="T158" s="61" t="n"/>
      <c r="U158" s="61" t="n"/>
      <c r="V158" s="61" t="n"/>
      <c r="W158" s="61" t="n"/>
    </row>
    <row r="159" hidden="1" outlineLevel="2" collapsed="1" ht="17.25" customHeight="1" thickBot="1">
      <c r="A159" s="696" t="n">
        <v>43223</v>
      </c>
      <c r="B159" s="234" t="inlineStr">
        <is>
          <t>FITX</t>
        </is>
      </c>
      <c r="C159" s="229" t="inlineStr">
        <is>
          <t>台指05</t>
        </is>
      </c>
      <c r="D159" s="229" t="inlineStr">
        <is>
          <t>新倉</t>
        </is>
      </c>
      <c r="E159" s="257" t="inlineStr">
        <is>
          <t>賣</t>
        </is>
      </c>
      <c r="F159" s="229" t="inlineStr">
        <is>
          <t>-</t>
        </is>
      </c>
      <c r="G159" s="697" t="n">
        <v>1</v>
      </c>
      <c r="H159" s="697" t="n">
        <v>10553</v>
      </c>
      <c r="I159" s="697" t="n">
        <v>0</v>
      </c>
      <c r="J159" s="585" t="n">
        <v>45</v>
      </c>
      <c r="K159" s="585" t="n">
        <v>42</v>
      </c>
      <c r="L159" s="585">
        <f>IF(B159="TXO",I159-SUM(J159:K159),IF(B159="FITX",IF(D159="新倉",-SUM(J159:K159),IF(E159="賣",(H159-H158)*G159*200-SUM(J159:K159),(H158-H159)*G159*200-SUM(J159:K159))),IF(D159="新倉",-SUM(J159:K159),IF(E159="賣",(H159-H158)*G159*50-SUM(J159:K159),(H158-H159)*G159*50-SUM(J159:K159)))))</f>
        <v/>
      </c>
      <c r="M159" s="699">
        <f>L159</f>
        <v/>
      </c>
      <c r="N159" s="686">
        <f>IF(B159="TXO","",IF(D159="新倉","",IF(E159="賣",(H159-H158)*G159,(H158-H159)*G159)))</f>
        <v/>
      </c>
      <c r="O159" s="226">
        <f>ABS(I159)</f>
        <v/>
      </c>
      <c r="P159" s="667" t="n"/>
      <c r="S159" s="739" t="n"/>
      <c r="T159" s="61" t="n"/>
      <c r="U159" s="61" t="n"/>
      <c r="V159" s="61" t="n"/>
      <c r="W159" s="61" t="n"/>
    </row>
    <row r="160" hidden="1" outlineLevel="2" collapsed="1" ht="17.25" customHeight="1" thickBot="1">
      <c r="A160" s="696" t="n">
        <v>43223</v>
      </c>
      <c r="B160" s="234" t="inlineStr">
        <is>
          <t>FITX</t>
        </is>
      </c>
      <c r="C160" s="229" t="inlineStr">
        <is>
          <t>台指05</t>
        </is>
      </c>
      <c r="D160" s="229" t="inlineStr">
        <is>
          <t>平倉</t>
        </is>
      </c>
      <c r="E160" s="257" t="inlineStr">
        <is>
          <t>買</t>
        </is>
      </c>
      <c r="F160" s="229" t="inlineStr">
        <is>
          <t>-</t>
        </is>
      </c>
      <c r="G160" s="697" t="n">
        <v>1</v>
      </c>
      <c r="H160" s="697" t="n">
        <v>10554</v>
      </c>
      <c r="I160" s="697" t="n">
        <v>0</v>
      </c>
      <c r="J160" s="585" t="n">
        <v>45</v>
      </c>
      <c r="K160" s="585" t="n">
        <v>42</v>
      </c>
      <c r="L160" s="585">
        <f>IF(B160="TXO",I160-SUM(J160:K160),IF(B160="FITX",IF(D160="新倉",-SUM(J160:K160),IF(E160="賣",(H160-H159)*G160*200-SUM(J160:K160),(H159-H160)*G160*200-SUM(J160:K160))),IF(D160="新倉",-SUM(J160:K160),IF(E160="賣",(H160-H159)*G160*50-SUM(J160:K160),(H159-H160)*G160*50-SUM(J160:K160)))))</f>
        <v/>
      </c>
      <c r="M160" s="699">
        <f>L160</f>
        <v/>
      </c>
      <c r="N160" s="686">
        <f>IF(B160="TXO","",IF(D160="新倉","",IF(E160="賣",(H160-H159)*G160,(H159-H160)*G160)))</f>
        <v/>
      </c>
      <c r="O160" s="226">
        <f>ABS(I160)</f>
        <v/>
      </c>
      <c r="P160" s="667" t="n"/>
      <c r="S160" s="739" t="n"/>
      <c r="T160" s="61" t="n"/>
      <c r="U160" s="61" t="n"/>
      <c r="V160" s="61" t="n"/>
      <c r="W160" s="61" t="n"/>
    </row>
    <row r="161" hidden="1" outlineLevel="2" collapsed="1" ht="17.25" customHeight="1" thickBot="1">
      <c r="A161" s="696" t="n">
        <v>43223</v>
      </c>
      <c r="B161" s="234" t="inlineStr">
        <is>
          <t>FITX</t>
        </is>
      </c>
      <c r="C161" s="229" t="inlineStr">
        <is>
          <t>台指05</t>
        </is>
      </c>
      <c r="D161" s="229" t="inlineStr">
        <is>
          <t>新倉</t>
        </is>
      </c>
      <c r="E161" s="257" t="inlineStr">
        <is>
          <t>買</t>
        </is>
      </c>
      <c r="F161" s="229" t="inlineStr">
        <is>
          <t>-</t>
        </is>
      </c>
      <c r="G161" s="697" t="n">
        <v>1</v>
      </c>
      <c r="H161" s="697" t="n">
        <v>10509</v>
      </c>
      <c r="I161" s="697" t="n">
        <v>0</v>
      </c>
      <c r="J161" s="585" t="n">
        <v>45</v>
      </c>
      <c r="K161" s="585" t="n">
        <v>42</v>
      </c>
      <c r="L161" s="585">
        <f>IF(B161="TXO",I161-SUM(J161:K161),IF(B161="FITX",IF(D161="新倉",-SUM(J161:K161),IF(E161="賣",(H161-H160)*G161*200-SUM(J161:K161),(H160-H161)*G161*200-SUM(J161:K161))),IF(D161="新倉",-SUM(J161:K161),IF(E161="賣",(H161-H160)*G161*50-SUM(J161:K161),(H160-H161)*G161*50-SUM(J161:K161)))))</f>
        <v/>
      </c>
      <c r="M161" s="699">
        <f>L161</f>
        <v/>
      </c>
      <c r="N161" s="686">
        <f>IF(B161="TXO","",IF(D161="新倉","",IF(E161="賣",(H161-H160)*G161,(H160-H161)*G161)))</f>
        <v/>
      </c>
      <c r="O161" s="226">
        <f>ABS(I161)</f>
        <v/>
      </c>
      <c r="P161" s="667" t="n"/>
      <c r="S161" s="739" t="n"/>
      <c r="T161" s="61" t="n"/>
      <c r="U161" s="61" t="n"/>
      <c r="V161" s="61" t="n"/>
      <c r="W161" s="61" t="n"/>
    </row>
    <row r="162" hidden="1" outlineLevel="2" collapsed="1" ht="17.25" customHeight="1" thickBot="1">
      <c r="A162" s="696" t="n">
        <v>43223</v>
      </c>
      <c r="B162" s="234" t="inlineStr">
        <is>
          <t>FITX</t>
        </is>
      </c>
      <c r="C162" s="229" t="inlineStr">
        <is>
          <t>台指05</t>
        </is>
      </c>
      <c r="D162" s="229" t="inlineStr">
        <is>
          <t>平倉</t>
        </is>
      </c>
      <c r="E162" s="257" t="inlineStr">
        <is>
          <t>賣</t>
        </is>
      </c>
      <c r="F162" s="229" t="inlineStr">
        <is>
          <t>-</t>
        </is>
      </c>
      <c r="G162" s="697" t="n">
        <v>1</v>
      </c>
      <c r="H162" s="697" t="n">
        <v>10511</v>
      </c>
      <c r="I162" s="697" t="n">
        <v>0</v>
      </c>
      <c r="J162" s="585" t="n">
        <v>45</v>
      </c>
      <c r="K162" s="585" t="n">
        <v>42</v>
      </c>
      <c r="L162" s="585">
        <f>IF(B162="TXO",I162-SUM(J162:K162),IF(B162="FITX",IF(D162="新倉",-SUM(J162:K162),IF(E162="賣",(H162-H161)*G162*200-SUM(J162:K162),(H161-H162)*G162*200-SUM(J162:K162))),IF(D162="新倉",-SUM(J162:K162),IF(E162="賣",(H162-H161)*G162*50-SUM(J162:K162),(H161-H162)*G162*50-SUM(J162:K162)))))</f>
        <v/>
      </c>
      <c r="M162" s="699">
        <f>L162</f>
        <v/>
      </c>
      <c r="N162" s="686">
        <f>IF(B162="TXO","",IF(D162="新倉","",IF(E162="賣",(H162-H161)*G162,(H161-H162)*G162)))</f>
        <v/>
      </c>
      <c r="O162" s="226">
        <f>ABS(I162)</f>
        <v/>
      </c>
      <c r="P162" s="667" t="n"/>
      <c r="S162" s="739" t="n"/>
      <c r="T162" s="61" t="n"/>
      <c r="U162" s="61" t="n"/>
      <c r="V162" s="61" t="n"/>
      <c r="W162" s="61" t="n"/>
    </row>
    <row r="163" hidden="1" outlineLevel="1" ht="17.25" customHeight="1" thickBot="1">
      <c r="A163" s="740" t="n">
        <v>43224</v>
      </c>
      <c r="B163" s="299" t="inlineStr">
        <is>
          <t>FITX</t>
        </is>
      </c>
      <c r="C163" s="300" t="inlineStr">
        <is>
          <t>台指05</t>
        </is>
      </c>
      <c r="D163" s="300" t="inlineStr">
        <is>
          <t>新倉</t>
        </is>
      </c>
      <c r="E163" s="301" t="inlineStr">
        <is>
          <t>賣</t>
        </is>
      </c>
      <c r="F163" s="300" t="inlineStr">
        <is>
          <t>-</t>
        </is>
      </c>
      <c r="G163" s="741" t="n">
        <v>1</v>
      </c>
      <c r="H163" s="741" t="n">
        <v>10487</v>
      </c>
      <c r="I163" s="741" t="n">
        <v>0</v>
      </c>
      <c r="J163" s="742" t="n">
        <v>45</v>
      </c>
      <c r="K163" s="742" t="n">
        <v>42</v>
      </c>
      <c r="L163" s="742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/>
      </c>
      <c r="M163" s="743">
        <f>L163</f>
        <v/>
      </c>
      <c r="N163" s="686">
        <f>IF(B163="TXO","",IF(D163="新倉","",IF(E163="賣",(H163-H162)*G163,(H162-H163)*G163)))</f>
        <v/>
      </c>
      <c r="O163" s="226">
        <f>ABS(I163)</f>
        <v/>
      </c>
      <c r="P163" s="667">
        <f>SUM(L163:L174)</f>
        <v/>
      </c>
      <c r="S163" s="739" t="n"/>
      <c r="T163" s="61" t="n"/>
      <c r="U163" s="61" t="n"/>
      <c r="V163" s="61" t="n"/>
      <c r="W163" s="61" t="n"/>
    </row>
    <row r="164" hidden="1" outlineLevel="2" ht="17.25" customHeight="1" thickBot="1">
      <c r="A164" s="740" t="n">
        <v>43224</v>
      </c>
      <c r="B164" s="299" t="inlineStr">
        <is>
          <t>FITX</t>
        </is>
      </c>
      <c r="C164" s="300" t="inlineStr">
        <is>
          <t>台指05</t>
        </is>
      </c>
      <c r="D164" s="300" t="inlineStr">
        <is>
          <t>平倉</t>
        </is>
      </c>
      <c r="E164" s="301" t="inlineStr">
        <is>
          <t>買</t>
        </is>
      </c>
      <c r="F164" s="300" t="inlineStr">
        <is>
          <t>-</t>
        </is>
      </c>
      <c r="G164" s="741" t="n">
        <v>1</v>
      </c>
      <c r="H164" s="741" t="n">
        <v>10482</v>
      </c>
      <c r="I164" s="741" t="n">
        <v>0</v>
      </c>
      <c r="J164" s="742" t="n">
        <v>45</v>
      </c>
      <c r="K164" s="742" t="n">
        <v>42</v>
      </c>
      <c r="L164" s="742">
        <f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/>
      </c>
      <c r="M164" s="743">
        <f>L164</f>
        <v/>
      </c>
      <c r="N164" s="686">
        <f>IF(B164="TXO","",IF(D164="新倉","",IF(E164="賣",(H164-H163)*G164,(H163-H164)*G164)))</f>
        <v/>
      </c>
      <c r="O164" s="226">
        <f>ABS(I164)</f>
        <v/>
      </c>
      <c r="P164" s="667" t="n"/>
      <c r="S164" s="739" t="n"/>
      <c r="T164" s="61" t="n"/>
      <c r="U164" s="61" t="n"/>
      <c r="V164" s="61" t="n"/>
      <c r="W164" s="61" t="n"/>
    </row>
    <row r="165" hidden="1" outlineLevel="2" ht="17.25" customHeight="1" thickBot="1">
      <c r="A165" s="740" t="n">
        <v>43224</v>
      </c>
      <c r="B165" s="299" t="inlineStr">
        <is>
          <t>FITX</t>
        </is>
      </c>
      <c r="C165" s="300" t="inlineStr">
        <is>
          <t>台指05</t>
        </is>
      </c>
      <c r="D165" s="300" t="inlineStr">
        <is>
          <t>新倉</t>
        </is>
      </c>
      <c r="E165" s="301" t="inlineStr">
        <is>
          <t>賣</t>
        </is>
      </c>
      <c r="F165" s="300" t="inlineStr">
        <is>
          <t>-</t>
        </is>
      </c>
      <c r="G165" s="741" t="n">
        <v>1</v>
      </c>
      <c r="H165" s="741" t="n">
        <v>10487</v>
      </c>
      <c r="I165" s="741" t="n">
        <v>0</v>
      </c>
      <c r="J165" s="742" t="n">
        <v>45</v>
      </c>
      <c r="K165" s="742" t="n">
        <v>42</v>
      </c>
      <c r="L165" s="742">
        <f>IF(B165="TXO",I165-SUM(J165:K165),IF(B165="FITX",IF(D165="新倉",-SUM(J165:K165),IF(E165="賣",(H165-H164)*G165*200-SUM(J165:K165),(H164-H165)*G165*200-SUM(J165:K165))),IF(D165="新倉",-SUM(J165:K165),IF(E165="賣",(H165-H164)*G165*50-SUM(J165:K165),(H164-H165)*G165*50-SUM(J165:K165)))))</f>
        <v/>
      </c>
      <c r="M165" s="743">
        <f>L165</f>
        <v/>
      </c>
      <c r="N165" s="686">
        <f>IF(B165="TXO","",IF(D165="新倉","",IF(E165="賣",(H165-H164)*G165,(H164-H165)*G165)))</f>
        <v/>
      </c>
      <c r="O165" s="226">
        <f>ABS(I165)</f>
        <v/>
      </c>
      <c r="P165" s="667" t="n"/>
      <c r="S165" s="739" t="n"/>
      <c r="T165" s="61" t="n"/>
      <c r="U165" s="61" t="n"/>
      <c r="V165" s="61" t="n"/>
      <c r="W165" s="61" t="n"/>
    </row>
    <row r="166" hidden="1" outlineLevel="2" ht="17.25" customHeight="1" thickBot="1">
      <c r="A166" s="740" t="n">
        <v>43224</v>
      </c>
      <c r="B166" s="299" t="inlineStr">
        <is>
          <t>FITX</t>
        </is>
      </c>
      <c r="C166" s="300" t="inlineStr">
        <is>
          <t>台指05</t>
        </is>
      </c>
      <c r="D166" s="300" t="inlineStr">
        <is>
          <t>平倉</t>
        </is>
      </c>
      <c r="E166" s="301" t="inlineStr">
        <is>
          <t>買</t>
        </is>
      </c>
      <c r="F166" s="300" t="inlineStr">
        <is>
          <t>-</t>
        </is>
      </c>
      <c r="G166" s="741" t="n">
        <v>1</v>
      </c>
      <c r="H166" s="741" t="n">
        <v>10497</v>
      </c>
      <c r="I166" s="741" t="n">
        <v>0</v>
      </c>
      <c r="J166" s="742" t="n">
        <v>45</v>
      </c>
      <c r="K166" s="742" t="n">
        <v>42</v>
      </c>
      <c r="L166" s="742">
        <f>IF(B166="TXO",I166-SUM(J166:K166),IF(B166="FITX",IF(D166="新倉",-SUM(J166:K166),IF(E166="賣",(H166-H165)*G166*200-SUM(J166:K166),(H165-H166)*G166*200-SUM(J166:K166))),IF(D166="新倉",-SUM(J166:K166),IF(E166="賣",(H166-H165)*G166*50-SUM(J166:K166),(H165-H166)*G166*50-SUM(J166:K166)))))</f>
        <v/>
      </c>
      <c r="M166" s="743">
        <f>L166</f>
        <v/>
      </c>
      <c r="N166" s="686">
        <f>IF(B166="TXO","",IF(D166="新倉","",IF(E166="賣",(H166-H165)*G166,(H165-H166)*G166)))</f>
        <v/>
      </c>
      <c r="O166" s="226">
        <f>ABS(I166)</f>
        <v/>
      </c>
      <c r="P166" s="667" t="n"/>
      <c r="S166" s="739" t="n"/>
      <c r="T166" s="61" t="n"/>
      <c r="U166" s="61" t="n"/>
      <c r="V166" s="61" t="n"/>
      <c r="W166" s="61" t="n"/>
    </row>
    <row r="167" hidden="1" outlineLevel="2" ht="17.25" customHeight="1" thickBot="1">
      <c r="A167" s="740" t="n">
        <v>43224</v>
      </c>
      <c r="B167" s="299" t="inlineStr">
        <is>
          <t>FITX</t>
        </is>
      </c>
      <c r="C167" s="300" t="inlineStr">
        <is>
          <t>台指05</t>
        </is>
      </c>
      <c r="D167" s="300" t="inlineStr">
        <is>
          <t>新倉</t>
        </is>
      </c>
      <c r="E167" s="301" t="inlineStr">
        <is>
          <t>買</t>
        </is>
      </c>
      <c r="F167" s="300" t="inlineStr">
        <is>
          <t>-</t>
        </is>
      </c>
      <c r="G167" s="741" t="n">
        <v>1</v>
      </c>
      <c r="H167" s="741" t="n">
        <v>10510</v>
      </c>
      <c r="I167" s="741" t="n">
        <v>0</v>
      </c>
      <c r="J167" s="742" t="n">
        <v>45</v>
      </c>
      <c r="K167" s="742" t="n">
        <v>42</v>
      </c>
      <c r="L167" s="742">
        <f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/>
      </c>
      <c r="M167" s="743">
        <f>L167</f>
        <v/>
      </c>
      <c r="N167" s="686">
        <f>IF(B167="TXO","",IF(D167="新倉","",IF(E167="賣",(H167-H166)*G167,(H166-H167)*G167)))</f>
        <v/>
      </c>
      <c r="O167" s="226">
        <f>ABS(I167)</f>
        <v/>
      </c>
      <c r="P167" s="667" t="n"/>
      <c r="S167" s="739" t="n"/>
      <c r="T167" s="61" t="n"/>
      <c r="U167" s="61" t="n"/>
      <c r="V167" s="61" t="n"/>
      <c r="W167" s="61" t="n"/>
    </row>
    <row r="168" hidden="1" outlineLevel="2" ht="17.25" customHeight="1" thickBot="1">
      <c r="A168" s="740" t="n">
        <v>43224</v>
      </c>
      <c r="B168" s="299" t="inlineStr">
        <is>
          <t>FITX</t>
        </is>
      </c>
      <c r="C168" s="300" t="inlineStr">
        <is>
          <t>台指05</t>
        </is>
      </c>
      <c r="D168" s="300" t="inlineStr">
        <is>
          <t>平倉</t>
        </is>
      </c>
      <c r="E168" s="301" t="inlineStr">
        <is>
          <t>賣</t>
        </is>
      </c>
      <c r="F168" s="300" t="inlineStr">
        <is>
          <t>-</t>
        </is>
      </c>
      <c r="G168" s="741" t="n">
        <v>1</v>
      </c>
      <c r="H168" s="741" t="n">
        <v>10507</v>
      </c>
      <c r="I168" s="741" t="n">
        <v>0</v>
      </c>
      <c r="J168" s="742" t="n">
        <v>45</v>
      </c>
      <c r="K168" s="742" t="n">
        <v>42</v>
      </c>
      <c r="L168" s="742">
        <f>IF(B168="TXO",I168-SUM(J168:K168),IF(B168="FITX",IF(D168="新倉",-SUM(J168:K168),IF(E168="賣",(H168-H167)*G168*200-SUM(J168:K168),(H167-H168)*G168*200-SUM(J168:K168))),IF(D168="新倉",-SUM(J168:K168),IF(E168="賣",(H168-H167)*G168*50-SUM(J168:K168),(H167-H168)*G168*50-SUM(J168:K168)))))</f>
        <v/>
      </c>
      <c r="M168" s="743">
        <f>L168</f>
        <v/>
      </c>
      <c r="N168" s="686">
        <f>IF(B168="TXO","",IF(D168="新倉","",IF(E168="賣",(H168-H167)*G168,(H167-H168)*G168)))</f>
        <v/>
      </c>
      <c r="O168" s="226">
        <f>ABS(I168)</f>
        <v/>
      </c>
      <c r="P168" s="667" t="n"/>
      <c r="S168" s="739" t="n"/>
      <c r="T168" s="61" t="n"/>
      <c r="U168" s="61" t="n"/>
      <c r="V168" s="61" t="n"/>
      <c r="W168" s="61" t="n"/>
    </row>
    <row r="169" hidden="1" outlineLevel="2" ht="17.25" customHeight="1" thickBot="1">
      <c r="A169" s="740" t="n">
        <v>43224</v>
      </c>
      <c r="B169" s="299" t="inlineStr">
        <is>
          <t>FIMTX</t>
        </is>
      </c>
      <c r="C169" s="300" t="inlineStr">
        <is>
          <t>小指05</t>
        </is>
      </c>
      <c r="D169" s="300" t="inlineStr">
        <is>
          <t>新倉</t>
        </is>
      </c>
      <c r="E169" s="301" t="inlineStr">
        <is>
          <t>買</t>
        </is>
      </c>
      <c r="F169" s="300" t="inlineStr">
        <is>
          <t>-</t>
        </is>
      </c>
      <c r="G169" s="741" t="n">
        <v>1</v>
      </c>
      <c r="H169" s="741" t="n">
        <v>10519</v>
      </c>
      <c r="I169" s="741" t="n">
        <v>0</v>
      </c>
      <c r="J169" s="742" t="n">
        <v>23</v>
      </c>
      <c r="K169" s="742" t="n">
        <v>11</v>
      </c>
      <c r="L169" s="742">
        <f>IF(B169="TXO",I169-SUM(J169:K169),IF(B169="FITX",IF(D169="新倉",-SUM(J169:K169),IF(E169="賣",(H169-H168)*G169*200-SUM(J169:K169),(H168-H169)*G169*200-SUM(J169:K169))),IF(D169="新倉",-SUM(J169:K169),IF(E169="賣",(H169-H168)*G169*50-SUM(J169:K169),(H168-H169)*G169*50-SUM(J169:K169)))))</f>
        <v/>
      </c>
      <c r="M169" s="743">
        <f>L169</f>
        <v/>
      </c>
      <c r="N169" s="686">
        <f>IF(B169="TXO","",IF(D169="新倉","",IF(E169="賣",(H169-H168)*G169,(H168-H169)*G169)))</f>
        <v/>
      </c>
      <c r="O169" s="226">
        <f>ABS(I169)</f>
        <v/>
      </c>
      <c r="P169" s="667" t="n"/>
      <c r="S169" s="739" t="n"/>
      <c r="T169" s="61" t="n"/>
      <c r="U169" s="61" t="n"/>
      <c r="V169" s="61" t="n"/>
      <c r="W169" s="61" t="n"/>
    </row>
    <row r="170" hidden="1" outlineLevel="2" ht="17.25" customHeight="1" thickBot="1">
      <c r="A170" s="740" t="n">
        <v>43224</v>
      </c>
      <c r="B170" s="299" t="inlineStr">
        <is>
          <t>FIMTX</t>
        </is>
      </c>
      <c r="C170" s="300" t="inlineStr">
        <is>
          <t>小指05</t>
        </is>
      </c>
      <c r="D170" s="300" t="inlineStr">
        <is>
          <t>平倉</t>
        </is>
      </c>
      <c r="E170" s="301" t="inlineStr">
        <is>
          <t>賣</t>
        </is>
      </c>
      <c r="F170" s="300" t="inlineStr">
        <is>
          <t>-</t>
        </is>
      </c>
      <c r="G170" s="741" t="n">
        <v>1</v>
      </c>
      <c r="H170" s="741" t="n">
        <v>10514</v>
      </c>
      <c r="I170" s="741" t="n">
        <v>0</v>
      </c>
      <c r="J170" s="742" t="n">
        <v>23</v>
      </c>
      <c r="K170" s="742" t="n">
        <v>11</v>
      </c>
      <c r="L170" s="742">
        <f>IF(B170="TXO",I170-SUM(J170:K170),IF(B170="FITX",IF(D170="新倉",-SUM(J170:K170),IF(E170="賣",(H170-H169)*G170*200-SUM(J170:K170),(H169-H170)*G170*200-SUM(J170:K170))),IF(D170="新倉",-SUM(J170:K170),IF(E170="賣",(H170-H169)*G170*50-SUM(J170:K170),(H169-H170)*G170*50-SUM(J170:K170)))))</f>
        <v/>
      </c>
      <c r="M170" s="743">
        <f>L170</f>
        <v/>
      </c>
      <c r="N170" s="686">
        <f>IF(B170="TXO","",IF(D170="新倉","",IF(E170="賣",(H170-H169)*G170,(H169-H170)*G170)))</f>
        <v/>
      </c>
      <c r="O170" s="226">
        <f>ABS(I170)</f>
        <v/>
      </c>
      <c r="P170" s="667" t="n"/>
      <c r="S170" s="739" t="n"/>
      <c r="T170" s="61" t="n"/>
      <c r="U170" s="61" t="n"/>
      <c r="V170" s="61" t="n"/>
      <c r="W170" s="61" t="n"/>
    </row>
    <row r="171" hidden="1" outlineLevel="2" ht="17.25" customHeight="1" thickBot="1">
      <c r="A171" s="740" t="n">
        <v>43224</v>
      </c>
      <c r="B171" s="299" t="inlineStr">
        <is>
          <t>FIMTX</t>
        </is>
      </c>
      <c r="C171" s="300" t="inlineStr">
        <is>
          <t>小指05</t>
        </is>
      </c>
      <c r="D171" s="300" t="inlineStr">
        <is>
          <t>新倉</t>
        </is>
      </c>
      <c r="E171" s="301" t="inlineStr">
        <is>
          <t>買</t>
        </is>
      </c>
      <c r="F171" s="300" t="inlineStr">
        <is>
          <t>-</t>
        </is>
      </c>
      <c r="G171" s="741" t="n">
        <v>1</v>
      </c>
      <c r="H171" s="741" t="n">
        <v>10528</v>
      </c>
      <c r="I171" s="741" t="n">
        <v>0</v>
      </c>
      <c r="J171" s="742" t="n">
        <v>23</v>
      </c>
      <c r="K171" s="742" t="n">
        <v>11</v>
      </c>
      <c r="L171" s="742">
        <f>IF(B171="TXO",I171-SUM(J171:K171),IF(B171="FITX",IF(D171="新倉",-SUM(J171:K171),IF(E171="賣",(H171-H170)*G171*200-SUM(J171:K171),(H170-H171)*G171*200-SUM(J171:K171))),IF(D171="新倉",-SUM(J171:K171),IF(E171="賣",(H171-H170)*G171*50-SUM(J171:K171),(H170-H171)*G171*50-SUM(J171:K171)))))</f>
        <v/>
      </c>
      <c r="M171" s="743">
        <f>L171</f>
        <v/>
      </c>
      <c r="N171" s="686">
        <f>IF(B171="TXO","",IF(D171="新倉","",IF(E171="賣",(H171-H170)*G171,(H170-H171)*G171)))</f>
        <v/>
      </c>
      <c r="O171" s="226">
        <f>ABS(I171)</f>
        <v/>
      </c>
      <c r="P171" s="667" t="n"/>
      <c r="S171" s="739" t="n"/>
      <c r="T171" s="61" t="n"/>
      <c r="U171" s="61" t="n"/>
      <c r="V171" s="61" t="n"/>
      <c r="W171" s="61" t="n"/>
    </row>
    <row r="172" hidden="1" outlineLevel="2" ht="17.25" customHeight="1" thickBot="1">
      <c r="A172" s="740" t="n">
        <v>43224</v>
      </c>
      <c r="B172" s="299" t="inlineStr">
        <is>
          <t>FIMTX</t>
        </is>
      </c>
      <c r="C172" s="300" t="inlineStr">
        <is>
          <t>小指05</t>
        </is>
      </c>
      <c r="D172" s="300" t="inlineStr">
        <is>
          <t>平倉</t>
        </is>
      </c>
      <c r="E172" s="301" t="inlineStr">
        <is>
          <t>賣</t>
        </is>
      </c>
      <c r="F172" s="300" t="inlineStr">
        <is>
          <t>-</t>
        </is>
      </c>
      <c r="G172" s="741" t="n">
        <v>1</v>
      </c>
      <c r="H172" s="741" t="n">
        <v>10530</v>
      </c>
      <c r="I172" s="741" t="n">
        <v>0</v>
      </c>
      <c r="J172" s="742" t="n">
        <v>23</v>
      </c>
      <c r="K172" s="742" t="n">
        <v>11</v>
      </c>
      <c r="L172" s="742">
        <f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/>
      </c>
      <c r="M172" s="743">
        <f>L172</f>
        <v/>
      </c>
      <c r="N172" s="686">
        <f>IF(B172="TXO","",IF(D172="新倉","",IF(E172="賣",(H172-H171)*G172,(H171-H172)*G172)))</f>
        <v/>
      </c>
      <c r="O172" s="226">
        <f>ABS(I172)</f>
        <v/>
      </c>
      <c r="P172" s="667" t="n"/>
      <c r="S172" s="739" t="n"/>
      <c r="T172" s="61" t="n"/>
      <c r="U172" s="61" t="n"/>
      <c r="V172" s="61" t="n"/>
      <c r="W172" s="61" t="n"/>
    </row>
    <row r="173" hidden="1" outlineLevel="2" ht="17.25" customHeight="1" thickBot="1">
      <c r="A173" s="740" t="n">
        <v>43224</v>
      </c>
      <c r="B173" s="299" t="inlineStr">
        <is>
          <t>FITX</t>
        </is>
      </c>
      <c r="C173" s="300" t="inlineStr">
        <is>
          <t>台指05</t>
        </is>
      </c>
      <c r="D173" s="300" t="inlineStr">
        <is>
          <t>新倉</t>
        </is>
      </c>
      <c r="E173" s="301" t="inlineStr">
        <is>
          <t>買</t>
        </is>
      </c>
      <c r="F173" s="300" t="inlineStr">
        <is>
          <t>-</t>
        </is>
      </c>
      <c r="G173" s="741" t="n">
        <v>1</v>
      </c>
      <c r="H173" s="741" t="n">
        <v>10571</v>
      </c>
      <c r="I173" s="741" t="n">
        <v>0</v>
      </c>
      <c r="J173" s="742" t="n">
        <v>45</v>
      </c>
      <c r="K173" s="742" t="n">
        <v>42</v>
      </c>
      <c r="L173" s="742">
        <f>IF(B173="TXO",I173-SUM(J173:K173),IF(B173="FITX",IF(D173="新倉",-SUM(J173:K173),IF(E173="賣",(H173-H172)*G173*200-SUM(J173:K173),(H172-H173)*G173*200-SUM(J173:K173))),IF(D173="新倉",-SUM(J173:K173),IF(E173="賣",(H173-H172)*G173*50-SUM(J173:K173),(H172-H173)*G173*50-SUM(J173:K173)))))</f>
        <v/>
      </c>
      <c r="M173" s="743">
        <f>L173</f>
        <v/>
      </c>
      <c r="N173" s="686">
        <f>IF(B173="TXO","",IF(D173="新倉","",IF(E173="賣",(H173-H172)*G173,(H172-H173)*G173)))</f>
        <v/>
      </c>
      <c r="O173" s="226">
        <f>ABS(I173)</f>
        <v/>
      </c>
      <c r="P173" s="667" t="n"/>
      <c r="S173" s="739" t="n"/>
      <c r="T173" s="61" t="n"/>
      <c r="U173" s="61" t="n"/>
      <c r="V173" s="61" t="n"/>
      <c r="W173" s="61" t="n"/>
    </row>
    <row r="174" hidden="1" outlineLevel="2" ht="17.25" customHeight="1" thickBot="1">
      <c r="A174" s="740" t="n">
        <v>43224</v>
      </c>
      <c r="B174" s="299" t="inlineStr">
        <is>
          <t>FITX</t>
        </is>
      </c>
      <c r="C174" s="300" t="inlineStr">
        <is>
          <t>台指05</t>
        </is>
      </c>
      <c r="D174" s="300" t="inlineStr">
        <is>
          <t>平倉</t>
        </is>
      </c>
      <c r="E174" s="301" t="inlineStr">
        <is>
          <t>賣</t>
        </is>
      </c>
      <c r="F174" s="300" t="inlineStr">
        <is>
          <t>-</t>
        </is>
      </c>
      <c r="G174" s="741" t="n">
        <v>1</v>
      </c>
      <c r="H174" s="741" t="n">
        <v>10584</v>
      </c>
      <c r="I174" s="741" t="n">
        <v>0</v>
      </c>
      <c r="J174" s="742" t="n">
        <v>45</v>
      </c>
      <c r="K174" s="742" t="n">
        <v>42</v>
      </c>
      <c r="L174" s="742">
        <f>IF(B174="TXO",I174-SUM(J174:K174),IF(B174="FITX",IF(D174="新倉",-SUM(J174:K174),IF(E174="賣",(H174-H173)*G174*200-SUM(J174:K174),(H173-H174)*G174*200-SUM(J174:K174))),IF(D174="新倉",-SUM(J174:K174),IF(E174="賣",(H174-H173)*G174*50-SUM(J174:K174),(H173-H174)*G174*50-SUM(J174:K174)))))</f>
        <v/>
      </c>
      <c r="M174" s="743">
        <f>L174</f>
        <v/>
      </c>
      <c r="N174" s="686">
        <f>IF(B174="TXO","",IF(D174="新倉","",IF(E174="賣",(H174-H173)*G174,(H173-H174)*G174)))</f>
        <v/>
      </c>
      <c r="O174" s="226">
        <f>ABS(I174)</f>
        <v/>
      </c>
      <c r="P174" s="667" t="n"/>
      <c r="S174" s="739" t="n"/>
      <c r="T174" s="61" t="n"/>
      <c r="U174" s="61" t="n"/>
      <c r="V174" s="61" t="n"/>
      <c r="W174" s="61" t="n"/>
    </row>
    <row r="175" hidden="1" outlineLevel="1" ht="17.25" customHeight="1" thickBot="1">
      <c r="A175" s="696" t="n">
        <v>43227</v>
      </c>
      <c r="B175" s="234" t="inlineStr">
        <is>
          <t>FITX</t>
        </is>
      </c>
      <c r="C175" s="229" t="inlineStr">
        <is>
          <t>台指05</t>
        </is>
      </c>
      <c r="D175" s="229" t="inlineStr">
        <is>
          <t>新倉</t>
        </is>
      </c>
      <c r="E175" s="257" t="inlineStr">
        <is>
          <t>賣</t>
        </is>
      </c>
      <c r="F175" s="229" t="inlineStr">
        <is>
          <t>-</t>
        </is>
      </c>
      <c r="G175" s="697" t="n">
        <v>1</v>
      </c>
      <c r="H175" s="697" t="n">
        <v>10585</v>
      </c>
      <c r="I175" s="697" t="n">
        <v>0</v>
      </c>
      <c r="J175" s="585" t="n">
        <v>45</v>
      </c>
      <c r="K175" s="585" t="n">
        <v>42</v>
      </c>
      <c r="L175" s="585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/>
      </c>
      <c r="M175" s="699">
        <f>L175</f>
        <v/>
      </c>
      <c r="N175" s="686">
        <f>IF(B175="TXO","",IF(D175="新倉","",IF(E175="賣",(H175-H174)*G175,(H174-H175)*G175)))</f>
        <v/>
      </c>
      <c r="O175" s="226">
        <f>ABS(I175)</f>
        <v/>
      </c>
      <c r="P175" s="667">
        <f>SUM(L175:L184)</f>
        <v/>
      </c>
      <c r="S175" s="739" t="n"/>
      <c r="T175" s="61" t="n"/>
      <c r="U175" s="61" t="n"/>
      <c r="V175" s="61" t="n"/>
      <c r="W175" s="61" t="n"/>
    </row>
    <row r="176" hidden="1" outlineLevel="2" collapsed="1" ht="17.25" customHeight="1" thickBot="1">
      <c r="A176" s="696" t="n">
        <v>43227</v>
      </c>
      <c r="B176" s="234" t="inlineStr">
        <is>
          <t>FITX</t>
        </is>
      </c>
      <c r="C176" s="229" t="inlineStr">
        <is>
          <t>台指05</t>
        </is>
      </c>
      <c r="D176" s="229" t="inlineStr">
        <is>
          <t>平倉</t>
        </is>
      </c>
      <c r="E176" s="257" t="inlineStr">
        <is>
          <t>買</t>
        </is>
      </c>
      <c r="F176" s="229" t="inlineStr">
        <is>
          <t>-</t>
        </is>
      </c>
      <c r="G176" s="697" t="n">
        <v>1</v>
      </c>
      <c r="H176" s="697" t="n">
        <v>10589</v>
      </c>
      <c r="I176" s="697" t="n">
        <v>0</v>
      </c>
      <c r="J176" s="585" t="n">
        <v>45</v>
      </c>
      <c r="K176" s="585" t="n">
        <v>42</v>
      </c>
      <c r="L176" s="585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/>
      </c>
      <c r="M176" s="699">
        <f>L176</f>
        <v/>
      </c>
      <c r="N176" s="686">
        <f>IF(B176="TXO","",IF(D176="新倉","",IF(E176="賣",(H176-H175)*G176,(H175-H176)*G176)))</f>
        <v/>
      </c>
      <c r="O176" s="226">
        <f>ABS(I176)</f>
        <v/>
      </c>
      <c r="P176" s="667" t="n"/>
      <c r="S176" s="739" t="n"/>
      <c r="T176" s="61" t="n"/>
      <c r="U176" s="61" t="n"/>
      <c r="V176" s="61" t="n"/>
      <c r="W176" s="61" t="n"/>
    </row>
    <row r="177" hidden="1" outlineLevel="2" collapsed="1" ht="17.25" customHeight="1" thickBot="1">
      <c r="A177" s="696" t="n">
        <v>43227</v>
      </c>
      <c r="B177" s="234" t="inlineStr">
        <is>
          <t>FITX</t>
        </is>
      </c>
      <c r="C177" s="229" t="inlineStr">
        <is>
          <t>台指05</t>
        </is>
      </c>
      <c r="D177" s="229" t="inlineStr">
        <is>
          <t>新倉</t>
        </is>
      </c>
      <c r="E177" s="257" t="inlineStr">
        <is>
          <t>買</t>
        </is>
      </c>
      <c r="F177" s="229" t="inlineStr">
        <is>
          <t>-</t>
        </is>
      </c>
      <c r="G177" s="697" t="n">
        <v>1</v>
      </c>
      <c r="H177" s="697" t="n">
        <v>10584</v>
      </c>
      <c r="I177" s="697" t="n">
        <v>0</v>
      </c>
      <c r="J177" s="585" t="n">
        <v>45</v>
      </c>
      <c r="K177" s="585" t="n">
        <v>42</v>
      </c>
      <c r="L177" s="585">
        <f>IF(B177="TXO",I177-SUM(J177:K177),IF(B177="FITX",IF(D177="新倉",-SUM(J177:K177),IF(E177="賣",(H177-H176)*G177*200-SUM(J177:K177),(H176-H177)*G177*200-SUM(J177:K177))),IF(D177="新倉",-SUM(J177:K177),IF(E177="賣",(H177-H176)*G177*50-SUM(J177:K177),(H176-H177)*G177*50-SUM(J177:K177)))))</f>
        <v/>
      </c>
      <c r="M177" s="699">
        <f>L177</f>
        <v/>
      </c>
      <c r="N177" s="686">
        <f>IF(B177="TXO","",IF(D177="新倉","",IF(E177="賣",(H177-H176)*G177,(H176-H177)*G177)))</f>
        <v/>
      </c>
      <c r="O177" s="226">
        <f>ABS(I177)</f>
        <v/>
      </c>
      <c r="P177" s="667" t="n"/>
      <c r="S177" s="739" t="n"/>
      <c r="T177" s="61" t="n"/>
      <c r="U177" s="61" t="n"/>
      <c r="V177" s="61" t="n"/>
      <c r="W177" s="61" t="n"/>
    </row>
    <row r="178" hidden="1" outlineLevel="2" collapsed="1" ht="17.25" customHeight="1" thickBot="1">
      <c r="A178" s="696" t="n">
        <v>43227</v>
      </c>
      <c r="B178" s="234" t="inlineStr">
        <is>
          <t>FITX</t>
        </is>
      </c>
      <c r="C178" s="229" t="inlineStr">
        <is>
          <t>台指05</t>
        </is>
      </c>
      <c r="D178" s="229" t="inlineStr">
        <is>
          <t>平倉</t>
        </is>
      </c>
      <c r="E178" s="257" t="inlineStr">
        <is>
          <t>賣</t>
        </is>
      </c>
      <c r="F178" s="229" t="inlineStr">
        <is>
          <t>-</t>
        </is>
      </c>
      <c r="G178" s="697" t="n">
        <v>1</v>
      </c>
      <c r="H178" s="697" t="n">
        <v>10578</v>
      </c>
      <c r="I178" s="697" t="n">
        <v>0</v>
      </c>
      <c r="J178" s="585" t="n">
        <v>45</v>
      </c>
      <c r="K178" s="585" t="n">
        <v>42</v>
      </c>
      <c r="L178" s="585">
        <f>IF(B178="TXO",I178-SUM(J178:K178),IF(B178="FITX",IF(D178="新倉",-SUM(J178:K178),IF(E178="賣",(H178-H177)*G178*200-SUM(J178:K178),(H177-H178)*G178*200-SUM(J178:K178))),IF(D178="新倉",-SUM(J178:K178),IF(E178="賣",(H178-H177)*G178*50-SUM(J178:K178),(H177-H178)*G178*50-SUM(J178:K178)))))</f>
        <v/>
      </c>
      <c r="M178" s="699">
        <f>L178</f>
        <v/>
      </c>
      <c r="N178" s="686">
        <f>IF(B178="TXO","",IF(D178="新倉","",IF(E178="賣",(H178-H177)*G178,(H177-H178)*G178)))</f>
        <v/>
      </c>
      <c r="O178" s="226">
        <f>ABS(I178)</f>
        <v/>
      </c>
      <c r="P178" s="667" t="n"/>
      <c r="S178" s="739" t="n"/>
      <c r="T178" s="61" t="n"/>
      <c r="U178" s="61" t="n"/>
      <c r="V178" s="61" t="n"/>
      <c r="W178" s="61" t="n"/>
    </row>
    <row r="179" hidden="1" outlineLevel="2" collapsed="1" ht="17.25" customHeight="1" thickBot="1">
      <c r="A179" s="696" t="n">
        <v>43227</v>
      </c>
      <c r="B179" s="234" t="inlineStr">
        <is>
          <t>FITX</t>
        </is>
      </c>
      <c r="C179" s="229" t="inlineStr">
        <is>
          <t>台指05</t>
        </is>
      </c>
      <c r="D179" s="229" t="inlineStr">
        <is>
          <t>新倉</t>
        </is>
      </c>
      <c r="E179" s="257" t="inlineStr">
        <is>
          <t>賣</t>
        </is>
      </c>
      <c r="F179" s="229" t="inlineStr">
        <is>
          <t>-</t>
        </is>
      </c>
      <c r="G179" s="697" t="n">
        <v>1</v>
      </c>
      <c r="H179" s="697" t="n">
        <v>10579</v>
      </c>
      <c r="I179" s="697" t="n">
        <v>0</v>
      </c>
      <c r="J179" s="585" t="n">
        <v>45</v>
      </c>
      <c r="K179" s="585" t="n">
        <v>42</v>
      </c>
      <c r="L179" s="585">
        <f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/>
      </c>
      <c r="M179" s="699">
        <f>L179</f>
        <v/>
      </c>
      <c r="N179" s="686">
        <f>IF(B179="TXO","",IF(D179="新倉","",IF(E179="賣",(H179-H178)*G179,(H178-H179)*G179)))</f>
        <v/>
      </c>
      <c r="O179" s="226">
        <f>ABS(I179)</f>
        <v/>
      </c>
      <c r="P179" s="667" t="n"/>
      <c r="S179" s="739" t="n"/>
      <c r="T179" s="61" t="n"/>
      <c r="U179" s="61" t="n"/>
      <c r="V179" s="61" t="n"/>
      <c r="W179" s="61" t="n"/>
    </row>
    <row r="180" hidden="1" outlineLevel="2" collapsed="1" ht="17.25" customHeight="1" thickBot="1">
      <c r="A180" s="696" t="n">
        <v>43227</v>
      </c>
      <c r="B180" s="234" t="inlineStr">
        <is>
          <t>FITX</t>
        </is>
      </c>
      <c r="C180" s="229" t="inlineStr">
        <is>
          <t>台指05</t>
        </is>
      </c>
      <c r="D180" s="229" t="inlineStr">
        <is>
          <t>平倉</t>
        </is>
      </c>
      <c r="E180" s="257" t="inlineStr">
        <is>
          <t>買</t>
        </is>
      </c>
      <c r="F180" s="229" t="inlineStr">
        <is>
          <t>-</t>
        </is>
      </c>
      <c r="G180" s="697" t="n">
        <v>1</v>
      </c>
      <c r="H180" s="697" t="n">
        <v>10585</v>
      </c>
      <c r="I180" s="697" t="n">
        <v>0</v>
      </c>
      <c r="J180" s="585" t="n">
        <v>45</v>
      </c>
      <c r="K180" s="585" t="n">
        <v>42</v>
      </c>
      <c r="L180" s="585">
        <f>IF(B180="TXO",I180-SUM(J180:K180),IF(B180="FITX",IF(D180="新倉",-SUM(J180:K180),IF(E180="賣",(H180-H179)*G180*200-SUM(J180:K180),(H179-H180)*G180*200-SUM(J180:K180))),IF(D180="新倉",-SUM(J180:K180),IF(E180="賣",(H180-H179)*G180*50-SUM(J180:K180),(H179-H180)*G180*50-SUM(J180:K180)))))</f>
        <v/>
      </c>
      <c r="M180" s="699">
        <f>L180</f>
        <v/>
      </c>
      <c r="N180" s="686">
        <f>IF(B180="TXO","",IF(D180="新倉","",IF(E180="賣",(H180-H179)*G180,(H179-H180)*G180)))</f>
        <v/>
      </c>
      <c r="O180" s="226">
        <f>ABS(I180)</f>
        <v/>
      </c>
      <c r="P180" s="667" t="n"/>
      <c r="S180" s="739" t="n"/>
      <c r="T180" s="61" t="n"/>
      <c r="U180" s="61" t="n"/>
      <c r="V180" s="61" t="n"/>
      <c r="W180" s="61" t="n"/>
    </row>
    <row r="181" hidden="1" outlineLevel="2" collapsed="1" ht="17.25" customHeight="1" thickBot="1">
      <c r="A181" s="696" t="n">
        <v>43227</v>
      </c>
      <c r="B181" s="234" t="inlineStr">
        <is>
          <t>FITX</t>
        </is>
      </c>
      <c r="C181" s="229" t="inlineStr">
        <is>
          <t>台指05</t>
        </is>
      </c>
      <c r="D181" s="229" t="inlineStr">
        <is>
          <t>新倉</t>
        </is>
      </c>
      <c r="E181" s="257" t="inlineStr">
        <is>
          <t>買</t>
        </is>
      </c>
      <c r="F181" s="229" t="inlineStr">
        <is>
          <t>-</t>
        </is>
      </c>
      <c r="G181" s="697" t="n">
        <v>1</v>
      </c>
      <c r="H181" s="697" t="n">
        <v>10603</v>
      </c>
      <c r="I181" s="697" t="n">
        <v>0</v>
      </c>
      <c r="J181" s="585" t="n">
        <v>45</v>
      </c>
      <c r="K181" s="585" t="n">
        <v>42</v>
      </c>
      <c r="L181" s="585">
        <f>IF(B181="TXO",I181-SUM(J181:K181),IF(B181="FITX",IF(D181="新倉",-SUM(J181:K181),IF(E181="賣",(H181-H180)*G181*200-SUM(J181:K181),(H180-H181)*G181*200-SUM(J181:K181))),IF(D181="新倉",-SUM(J181:K181),IF(E181="賣",(H181-H180)*G181*50-SUM(J181:K181),(H180-H181)*G181*50-SUM(J181:K181)))))</f>
        <v/>
      </c>
      <c r="M181" s="699">
        <f>L181</f>
        <v/>
      </c>
      <c r="N181" s="686">
        <f>IF(B181="TXO","",IF(D181="新倉","",IF(E181="賣",(H181-H180)*G181,(H180-H181)*G181)))</f>
        <v/>
      </c>
      <c r="O181" s="226">
        <f>ABS(I181)</f>
        <v/>
      </c>
      <c r="P181" s="667" t="n"/>
      <c r="S181" s="739" t="n"/>
      <c r="T181" s="61" t="n"/>
      <c r="U181" s="61" t="n"/>
      <c r="V181" s="61" t="n"/>
      <c r="W181" s="61" t="n"/>
    </row>
    <row r="182" hidden="1" outlineLevel="2" collapsed="1" ht="17.25" customHeight="1" thickBot="1">
      <c r="A182" s="696" t="n">
        <v>43227</v>
      </c>
      <c r="B182" s="234" t="inlineStr">
        <is>
          <t>FITX</t>
        </is>
      </c>
      <c r="C182" s="229" t="inlineStr">
        <is>
          <t>台指05</t>
        </is>
      </c>
      <c r="D182" s="229" t="inlineStr">
        <is>
          <t>平倉</t>
        </is>
      </c>
      <c r="E182" s="257" t="inlineStr">
        <is>
          <t>賣</t>
        </is>
      </c>
      <c r="F182" s="229" t="inlineStr">
        <is>
          <t>-</t>
        </is>
      </c>
      <c r="G182" s="697" t="n">
        <v>1</v>
      </c>
      <c r="H182" s="697" t="n">
        <v>10609</v>
      </c>
      <c r="I182" s="697" t="n">
        <v>0</v>
      </c>
      <c r="J182" s="585" t="n">
        <v>45</v>
      </c>
      <c r="K182" s="585" t="n">
        <v>42</v>
      </c>
      <c r="L182" s="585">
        <f>IF(B182="TXO",I182-SUM(J182:K182),IF(B182="FITX",IF(D182="新倉",-SUM(J182:K182),IF(E182="賣",(H182-H181)*G182*200-SUM(J182:K182),(H181-H182)*G182*200-SUM(J182:K182))),IF(D182="新倉",-SUM(J182:K182),IF(E182="賣",(H182-H181)*G182*50-SUM(J182:K182),(H181-H182)*G182*50-SUM(J182:K182)))))</f>
        <v/>
      </c>
      <c r="M182" s="699">
        <f>L182</f>
        <v/>
      </c>
      <c r="N182" s="686">
        <f>IF(B182="TXO","",IF(D182="新倉","",IF(E182="賣",(H182-H181)*G182,(H181-H182)*G182)))</f>
        <v/>
      </c>
      <c r="O182" s="226">
        <f>ABS(I182)</f>
        <v/>
      </c>
      <c r="P182" s="667" t="n"/>
      <c r="S182" s="739" t="n"/>
      <c r="T182" s="61" t="n"/>
      <c r="U182" s="61" t="n"/>
      <c r="V182" s="61" t="n"/>
      <c r="W182" s="61" t="n"/>
    </row>
    <row r="183" hidden="1" outlineLevel="2" collapsed="1" ht="17.25" customHeight="1" thickBot="1">
      <c r="A183" s="696" t="n">
        <v>43227</v>
      </c>
      <c r="B183" s="234" t="inlineStr">
        <is>
          <t>FITX</t>
        </is>
      </c>
      <c r="C183" s="229" t="inlineStr">
        <is>
          <t>台指05</t>
        </is>
      </c>
      <c r="D183" s="229" t="inlineStr">
        <is>
          <t>新倉</t>
        </is>
      </c>
      <c r="E183" s="257" t="inlineStr">
        <is>
          <t>賣</t>
        </is>
      </c>
      <c r="F183" s="229" t="inlineStr">
        <is>
          <t>-</t>
        </is>
      </c>
      <c r="G183" s="697" t="n">
        <v>1</v>
      </c>
      <c r="H183" s="697" t="n">
        <v>10586</v>
      </c>
      <c r="I183" s="697" t="n">
        <v>0</v>
      </c>
      <c r="J183" s="585" t="n">
        <v>45</v>
      </c>
      <c r="K183" s="585" t="n">
        <v>42</v>
      </c>
      <c r="L183" s="585">
        <f>IF(B183="TXO",I183-SUM(J183:K183),IF(B183="FITX",IF(D183="新倉",-SUM(J183:K183),IF(E183="賣",(H183-H182)*G183*200-SUM(J183:K183),(H182-H183)*G183*200-SUM(J183:K183))),IF(D183="新倉",-SUM(J183:K183),IF(E183="賣",(H183-H182)*G183*50-SUM(J183:K183),(H182-H183)*G183*50-SUM(J183:K183)))))</f>
        <v/>
      </c>
      <c r="M183" s="699">
        <f>L183</f>
        <v/>
      </c>
      <c r="N183" s="686">
        <f>IF(B183="TXO","",IF(D183="新倉","",IF(E183="賣",(H183-H182)*G183,(H182-H183)*G183)))</f>
        <v/>
      </c>
      <c r="O183" s="226">
        <f>ABS(I183)</f>
        <v/>
      </c>
      <c r="P183" s="667" t="n"/>
      <c r="S183" s="739" t="n"/>
      <c r="T183" s="61" t="n"/>
      <c r="U183" s="61" t="n"/>
      <c r="V183" s="61" t="n"/>
      <c r="W183" s="61" t="n"/>
    </row>
    <row r="184" hidden="1" outlineLevel="2" collapsed="1" ht="17.25" customHeight="1" thickBot="1">
      <c r="A184" s="696" t="n">
        <v>43227</v>
      </c>
      <c r="B184" s="234" t="inlineStr">
        <is>
          <t>FITX</t>
        </is>
      </c>
      <c r="C184" s="229" t="inlineStr">
        <is>
          <t>台指05</t>
        </is>
      </c>
      <c r="D184" s="229" t="inlineStr">
        <is>
          <t>平倉</t>
        </is>
      </c>
      <c r="E184" s="257" t="inlineStr">
        <is>
          <t>買</t>
        </is>
      </c>
      <c r="F184" s="229" t="inlineStr">
        <is>
          <t>-</t>
        </is>
      </c>
      <c r="G184" s="697" t="n">
        <v>1</v>
      </c>
      <c r="H184" s="697" t="n">
        <v>10586</v>
      </c>
      <c r="I184" s="697" t="n">
        <v>0</v>
      </c>
      <c r="J184" s="585" t="n">
        <v>45</v>
      </c>
      <c r="K184" s="585" t="n">
        <v>42</v>
      </c>
      <c r="L184" s="585">
        <f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/>
      </c>
      <c r="M184" s="699">
        <f>L184</f>
        <v/>
      </c>
      <c r="N184" s="686">
        <f>IF(B184="TXO","",IF(D184="新倉","",IF(E184="賣",(H184-H183)*G184,(H183-H184)*G184)))</f>
        <v/>
      </c>
      <c r="O184" s="226">
        <f>ABS(I184)</f>
        <v/>
      </c>
      <c r="P184" s="667" t="n"/>
      <c r="S184" s="739" t="n"/>
      <c r="T184" s="61" t="n"/>
      <c r="U184" s="61" t="n"/>
      <c r="V184" s="61" t="n"/>
      <c r="W184" s="61" t="n"/>
    </row>
    <row r="185" hidden="1" outlineLevel="1" collapsed="1" ht="17.25" customHeight="1" thickBot="1">
      <c r="A185" s="740" t="n">
        <v>43228</v>
      </c>
      <c r="B185" s="299" t="inlineStr">
        <is>
          <t>FITX</t>
        </is>
      </c>
      <c r="C185" s="300" t="inlineStr">
        <is>
          <t>台指05</t>
        </is>
      </c>
      <c r="D185" s="300" t="inlineStr">
        <is>
          <t>新倉</t>
        </is>
      </c>
      <c r="E185" s="301" t="inlineStr">
        <is>
          <t>買</t>
        </is>
      </c>
      <c r="F185" s="300" t="inlineStr">
        <is>
          <t>-</t>
        </is>
      </c>
      <c r="G185" s="741" t="n">
        <v>1</v>
      </c>
      <c r="H185" s="741" t="n">
        <v>10659</v>
      </c>
      <c r="I185" s="741" t="n">
        <v>0</v>
      </c>
      <c r="J185" s="742" t="n">
        <v>45</v>
      </c>
      <c r="K185" s="742" t="n">
        <v>43</v>
      </c>
      <c r="L185" s="742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/>
      </c>
      <c r="M185" s="743">
        <f>L185</f>
        <v/>
      </c>
      <c r="N185" s="686">
        <f>IF(B185="TXO","",IF(D185="新倉","",IF(E185="賣",(H185-H184)*G185,(H184-H185)*G185)))</f>
        <v/>
      </c>
      <c r="O185" s="226">
        <f>ABS(I185)</f>
        <v/>
      </c>
      <c r="P185" s="667">
        <f>SUM(L185:L186)</f>
        <v/>
      </c>
      <c r="S185" s="739" t="n"/>
      <c r="T185" s="61" t="n"/>
      <c r="U185" s="61" t="n"/>
      <c r="V185" s="61" t="n"/>
      <c r="W185" s="61" t="n"/>
    </row>
    <row r="186" hidden="1" outlineLevel="1" ht="17.25" customHeight="1" thickBot="1">
      <c r="A186" s="740" t="n">
        <v>43228</v>
      </c>
      <c r="B186" s="299" t="inlineStr">
        <is>
          <t>FITX</t>
        </is>
      </c>
      <c r="C186" s="300" t="inlineStr">
        <is>
          <t>台指05</t>
        </is>
      </c>
      <c r="D186" s="300" t="inlineStr">
        <is>
          <t>平倉</t>
        </is>
      </c>
      <c r="E186" s="301" t="inlineStr">
        <is>
          <t>賣</t>
        </is>
      </c>
      <c r="F186" s="300" t="inlineStr">
        <is>
          <t>-</t>
        </is>
      </c>
      <c r="G186" s="741" t="n">
        <v>1</v>
      </c>
      <c r="H186" s="741" t="n">
        <v>10653</v>
      </c>
      <c r="I186" s="741" t="n">
        <v>0</v>
      </c>
      <c r="J186" s="742" t="n">
        <v>45</v>
      </c>
      <c r="K186" s="742" t="n">
        <v>43</v>
      </c>
      <c r="L186" s="742">
        <f>IF(B186="TXO",I186-SUM(J186:K186),IF(B186="FITX",IF(D186="新倉",-SUM(J186:K186),IF(E186="賣",(H186-H185)*G186*200-SUM(J186:K186),(H185-H186)*G186*200-SUM(J186:K186))),IF(D186="新倉",-SUM(J186:K186),IF(E186="賣",(H186-H185)*G186*50-SUM(J186:K186),(H185-H186)*G186*50-SUM(J186:K186)))))</f>
        <v/>
      </c>
      <c r="M186" s="743">
        <f>L186</f>
        <v/>
      </c>
      <c r="N186" s="686">
        <f>IF(B186="TXO","",IF(D186="新倉","",IF(E186="賣",(H186-H185)*G186,(H185-H186)*G186)))</f>
        <v/>
      </c>
      <c r="O186" s="226">
        <f>ABS(I186)</f>
        <v/>
      </c>
      <c r="P186" s="667" t="n"/>
      <c r="S186" s="739" t="n"/>
      <c r="T186" s="61" t="n"/>
      <c r="U186" s="61" t="n"/>
      <c r="V186" s="61" t="n"/>
      <c r="W186" s="61" t="n"/>
    </row>
    <row r="187" hidden="1" outlineLevel="1" ht="17.25" customHeight="1" thickBot="1">
      <c r="A187" s="696" t="n">
        <v>43231</v>
      </c>
      <c r="B187" s="234" t="inlineStr">
        <is>
          <t>FITX</t>
        </is>
      </c>
      <c r="C187" s="229" t="inlineStr">
        <is>
          <t>台指05</t>
        </is>
      </c>
      <c r="D187" s="229" t="inlineStr">
        <is>
          <t>新倉</t>
        </is>
      </c>
      <c r="E187" s="257" t="inlineStr">
        <is>
          <t>買</t>
        </is>
      </c>
      <c r="F187" s="229" t="inlineStr">
        <is>
          <t>-</t>
        </is>
      </c>
      <c r="G187" s="697" t="n">
        <v>1</v>
      </c>
      <c r="H187" s="697" t="n">
        <v>10891</v>
      </c>
      <c r="I187" s="697" t="n">
        <v>0</v>
      </c>
      <c r="J187" s="585" t="n">
        <v>45</v>
      </c>
      <c r="K187" s="585" t="n">
        <v>44</v>
      </c>
      <c r="L187" s="585">
        <f>IF(B187="TXO",I187-SUM(J187:K187),IF(B187="FITX",IF(D187="新倉",-SUM(J187:K187),IF(E187="賣",(H187-H186)*G187*200-SUM(J187:K187),(H186-H187)*G187*200-SUM(J187:K187))),IF(D187="新倉",-SUM(J187:K187),IF(E187="賣",(H187-H186)*G187*50-SUM(J187:K187),(H186-H187)*G187*50-SUM(J187:K187)))))</f>
        <v/>
      </c>
      <c r="M187" s="699">
        <f>L187</f>
        <v/>
      </c>
      <c r="N187" s="686">
        <f>IF(B187="TXO","",IF(D187="新倉","",IF(E187="賣",(H187-H186)*G187,(H186-H187)*G187)))</f>
        <v/>
      </c>
      <c r="O187" s="226">
        <f>ABS(I187)</f>
        <v/>
      </c>
      <c r="P187" s="667">
        <f>SUM(L187:L190)</f>
        <v/>
      </c>
      <c r="S187" s="739" t="n"/>
      <c r="T187" s="61" t="n"/>
      <c r="U187" s="61" t="n"/>
      <c r="V187" s="61" t="n"/>
      <c r="W187" s="61" t="n"/>
    </row>
    <row r="188" hidden="1" outlineLevel="2" collapsed="1" ht="17.25" customHeight="1" thickBot="1">
      <c r="A188" s="696" t="n">
        <v>43231</v>
      </c>
      <c r="B188" s="234" t="inlineStr">
        <is>
          <t>FITX</t>
        </is>
      </c>
      <c r="C188" s="229" t="inlineStr">
        <is>
          <t>台指05</t>
        </is>
      </c>
      <c r="D188" s="229" t="inlineStr">
        <is>
          <t>平倉</t>
        </is>
      </c>
      <c r="E188" s="257" t="inlineStr">
        <is>
          <t>賣</t>
        </is>
      </c>
      <c r="F188" s="229" t="inlineStr">
        <is>
          <t>-</t>
        </is>
      </c>
      <c r="G188" s="697" t="n">
        <v>1</v>
      </c>
      <c r="H188" s="697" t="n">
        <v>10892</v>
      </c>
      <c r="I188" s="697" t="n">
        <v>0</v>
      </c>
      <c r="J188" s="585" t="n">
        <v>45</v>
      </c>
      <c r="K188" s="585" t="n">
        <v>44</v>
      </c>
      <c r="L188" s="585">
        <f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/>
      </c>
      <c r="M188" s="699">
        <f>L188</f>
        <v/>
      </c>
      <c r="N188" s="686">
        <f>IF(B188="TXO","",IF(D188="新倉","",IF(E188="賣",(H188-H187)*G188,(H187-H188)*G188)))</f>
        <v/>
      </c>
      <c r="O188" s="226">
        <f>ABS(I188)</f>
        <v/>
      </c>
      <c r="P188" s="667" t="n"/>
      <c r="S188" s="739" t="n"/>
      <c r="T188" s="61" t="n"/>
      <c r="U188" s="61" t="n"/>
      <c r="V188" s="61" t="n"/>
      <c r="W188" s="61" t="n"/>
    </row>
    <row r="189" hidden="1" outlineLevel="2" collapsed="1" ht="17.25" customHeight="1" thickBot="1">
      <c r="A189" s="696" t="n">
        <v>43231</v>
      </c>
      <c r="B189" s="234" t="inlineStr">
        <is>
          <t>FITX</t>
        </is>
      </c>
      <c r="C189" s="229" t="inlineStr">
        <is>
          <t>台指05</t>
        </is>
      </c>
      <c r="D189" s="229" t="inlineStr">
        <is>
          <t>新倉</t>
        </is>
      </c>
      <c r="E189" s="257" t="inlineStr">
        <is>
          <t>買</t>
        </is>
      </c>
      <c r="F189" s="229" t="inlineStr">
        <is>
          <t>-</t>
        </is>
      </c>
      <c r="G189" s="697" t="n">
        <v>1</v>
      </c>
      <c r="H189" s="697" t="n">
        <v>10897</v>
      </c>
      <c r="I189" s="697" t="n">
        <v>0</v>
      </c>
      <c r="J189" s="585" t="n">
        <v>45</v>
      </c>
      <c r="K189" s="585" t="n">
        <v>44</v>
      </c>
      <c r="L189" s="585">
        <f>IF(B189="TXO",I189-SUM(J189:K189),IF(B189="FITX",IF(D189="新倉",-SUM(J189:K189),IF(E189="賣",(H189-H188)*G189*200-SUM(J189:K189),(H188-H189)*G189*200-SUM(J189:K189))),IF(D189="新倉",-SUM(J189:K189),IF(E189="賣",(H189-H188)*G189*50-SUM(J189:K189),(H188-H189)*G189*50-SUM(J189:K189)))))</f>
        <v/>
      </c>
      <c r="M189" s="699">
        <f>L189</f>
        <v/>
      </c>
      <c r="N189" s="686">
        <f>IF(B189="TXO","",IF(D189="新倉","",IF(E189="賣",(H189-H188)*G189,(H188-H189)*G189)))</f>
        <v/>
      </c>
      <c r="O189" s="226">
        <f>ABS(I189)</f>
        <v/>
      </c>
      <c r="P189" s="667" t="n"/>
      <c r="S189" s="739" t="n"/>
      <c r="T189" s="61" t="n"/>
      <c r="U189" s="61" t="n"/>
      <c r="V189" s="61" t="n"/>
      <c r="W189" s="61" t="n"/>
    </row>
    <row r="190" hidden="1" outlineLevel="2" collapsed="1" ht="17.25" customHeight="1" thickBot="1">
      <c r="A190" s="696" t="n">
        <v>43231</v>
      </c>
      <c r="B190" s="234" t="inlineStr">
        <is>
          <t>FITX</t>
        </is>
      </c>
      <c r="C190" s="229" t="inlineStr">
        <is>
          <t>台指05</t>
        </is>
      </c>
      <c r="D190" s="229" t="inlineStr">
        <is>
          <t>平倉</t>
        </is>
      </c>
      <c r="E190" s="257" t="inlineStr">
        <is>
          <t>賣</t>
        </is>
      </c>
      <c r="F190" s="229" t="inlineStr">
        <is>
          <t>-</t>
        </is>
      </c>
      <c r="G190" s="697" t="n">
        <v>1</v>
      </c>
      <c r="H190" s="697" t="n">
        <v>10893</v>
      </c>
      <c r="I190" s="697" t="n">
        <v>0</v>
      </c>
      <c r="J190" s="585" t="n">
        <v>45</v>
      </c>
      <c r="K190" s="585" t="n">
        <v>44</v>
      </c>
      <c r="L190" s="585">
        <f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/>
      </c>
      <c r="M190" s="699">
        <f>L190</f>
        <v/>
      </c>
      <c r="N190" s="686">
        <f>IF(B190="TXO","",IF(D190="新倉","",IF(E190="賣",(H190-H189)*G190,(H189-H190)*G190)))</f>
        <v/>
      </c>
      <c r="O190" s="226">
        <f>ABS(I190)</f>
        <v/>
      </c>
      <c r="P190" s="667" t="n"/>
      <c r="S190" s="739" t="n"/>
      <c r="T190" s="61" t="n"/>
      <c r="U190" s="61" t="n"/>
      <c r="V190" s="61" t="n"/>
      <c r="W190" s="61" t="n"/>
    </row>
    <row r="191" hidden="1" outlineLevel="1" ht="17.25" customHeight="1" thickBot="1">
      <c r="A191" s="740" t="n">
        <v>43234</v>
      </c>
      <c r="B191" s="299" t="inlineStr">
        <is>
          <t>TXO</t>
        </is>
      </c>
      <c r="C191" s="300" t="inlineStr">
        <is>
          <t>台指選 05 11000 C</t>
        </is>
      </c>
      <c r="D191" s="300" t="inlineStr">
        <is>
          <t>新倉</t>
        </is>
      </c>
      <c r="E191" s="301" t="inlineStr">
        <is>
          <t>買</t>
        </is>
      </c>
      <c r="F191" s="300" t="inlineStr">
        <is>
          <t>-</t>
        </is>
      </c>
      <c r="G191" s="741" t="n">
        <v>1</v>
      </c>
      <c r="H191" s="741" t="n">
        <v>22</v>
      </c>
      <c r="I191" s="741" t="n">
        <v>-1100</v>
      </c>
      <c r="J191" s="742" t="n">
        <v>18</v>
      </c>
      <c r="K191" s="742" t="n">
        <v>1</v>
      </c>
      <c r="L191" s="742">
        <f>IF(B191="TXO",I191-SUM(J191:K191),IF(B191="FITX",IF(D191="新倉",-SUM(J191:K191),IF(E191="賣",(H191-H190)*G191*200-SUM(J191:K191),(H190-H191)*G191*200-SUM(J191:K191))),IF(D191="新倉",-SUM(J191:K191),IF(E191="賣",(H191-H190)*G191*50-SUM(J191:K191),(H190-H191)*G191*50-SUM(J191:K191)))))</f>
        <v/>
      </c>
      <c r="M191" s="743">
        <f>L191</f>
        <v/>
      </c>
      <c r="N191" s="686">
        <f>IF(B191="TXO","",IF(D191="新倉","",IF(E191="賣",(H191-H190)*G191,(H190-H191)*G191)))</f>
        <v/>
      </c>
      <c r="O191" s="226">
        <f>ABS(I191)</f>
        <v/>
      </c>
      <c r="P191" s="667">
        <f>SUM(L191:L196)</f>
        <v/>
      </c>
      <c r="S191" s="739" t="n"/>
      <c r="T191" s="61" t="n"/>
      <c r="U191" s="61" t="n"/>
      <c r="V191" s="61" t="n"/>
      <c r="W191" s="61" t="n"/>
    </row>
    <row r="192" hidden="1" outlineLevel="2" ht="17.25" customHeight="1" thickBot="1">
      <c r="A192" s="740" t="n">
        <v>43234</v>
      </c>
      <c r="B192" s="299" t="inlineStr">
        <is>
          <t>TXO</t>
        </is>
      </c>
      <c r="C192" s="300" t="inlineStr">
        <is>
          <t>台指選 05 10950 C</t>
        </is>
      </c>
      <c r="D192" s="300" t="inlineStr">
        <is>
          <t>新倉</t>
        </is>
      </c>
      <c r="E192" s="301" t="inlineStr">
        <is>
          <t>買</t>
        </is>
      </c>
      <c r="F192" s="300" t="inlineStr">
        <is>
          <t>-</t>
        </is>
      </c>
      <c r="G192" s="741" t="n">
        <v>1</v>
      </c>
      <c r="H192" s="741" t="n">
        <v>44</v>
      </c>
      <c r="I192" s="741" t="n">
        <v>-2200</v>
      </c>
      <c r="J192" s="742" t="n">
        <v>18</v>
      </c>
      <c r="K192" s="742" t="n">
        <v>2</v>
      </c>
      <c r="L192" s="742">
        <f>IF(B192="TXO",I192-SUM(J192:K192),IF(B192="FITX",IF(D192="新倉",-SUM(J192:K192),IF(E192="賣",(H192-H191)*G192*200-SUM(J192:K192),(H191-H192)*G192*200-SUM(J192:K192))),IF(D192="新倉",-SUM(J192:K192),IF(E192="賣",(H192-H191)*G192*50-SUM(J192:K192),(H191-H192)*G192*50-SUM(J192:K192)))))</f>
        <v/>
      </c>
      <c r="M192" s="743">
        <f>L192</f>
        <v/>
      </c>
      <c r="N192" s="686">
        <f>IF(B192="TXO","",IF(D192="新倉","",IF(E192="賣",(H192-H191)*G192,(H191-H192)*G192)))</f>
        <v/>
      </c>
      <c r="O192" s="226">
        <f>ABS(I192)</f>
        <v/>
      </c>
      <c r="P192" s="667" t="n"/>
      <c r="S192" s="739" t="n"/>
      <c r="T192" s="61" t="n"/>
      <c r="U192" s="61" t="n"/>
      <c r="V192" s="61" t="n"/>
      <c r="W192" s="61" t="n"/>
    </row>
    <row r="193" hidden="1" outlineLevel="2" ht="17.25" customHeight="1" thickBot="1">
      <c r="A193" s="740" t="n">
        <v>43234</v>
      </c>
      <c r="B193" s="299" t="inlineStr">
        <is>
          <t>FITX</t>
        </is>
      </c>
      <c r="C193" s="300" t="inlineStr">
        <is>
          <t>台指05</t>
        </is>
      </c>
      <c r="D193" s="300" t="inlineStr">
        <is>
          <t>新倉</t>
        </is>
      </c>
      <c r="E193" s="301" t="inlineStr">
        <is>
          <t>賣</t>
        </is>
      </c>
      <c r="F193" s="300" t="inlineStr">
        <is>
          <t>-</t>
        </is>
      </c>
      <c r="G193" s="741" t="n">
        <v>1</v>
      </c>
      <c r="H193" s="741" t="n">
        <v>10946</v>
      </c>
      <c r="I193" s="741" t="n">
        <v>0</v>
      </c>
      <c r="J193" s="742" t="n">
        <v>45</v>
      </c>
      <c r="K193" s="742" t="n">
        <v>44</v>
      </c>
      <c r="L193" s="742">
        <f>IF(B193="TXO",I193-SUM(J193:K193),IF(B193="FITX",IF(D193="新倉",-SUM(J193:K193),IF(E193="賣",(H193-H192)*G193*200-SUM(J193:K193),(H192-H193)*G193*200-SUM(J193:K193))),IF(D193="新倉",-SUM(J193:K193),IF(E193="賣",(H193-H192)*G193*50-SUM(J193:K193),(H192-H193)*G193*50-SUM(J193:K193)))))</f>
        <v/>
      </c>
      <c r="M193" s="743">
        <f>L193</f>
        <v/>
      </c>
      <c r="N193" s="686">
        <f>IF(B193="TXO","",IF(D193="新倉","",IF(E193="賣",(H193-H192)*G193,(H192-H193)*G193)))</f>
        <v/>
      </c>
      <c r="O193" s="226">
        <f>ABS(I193)</f>
        <v/>
      </c>
      <c r="P193" s="667" t="n"/>
      <c r="S193" s="739" t="n"/>
      <c r="T193" s="61" t="n"/>
      <c r="U193" s="61" t="n"/>
      <c r="V193" s="61" t="n"/>
      <c r="W193" s="61" t="n"/>
    </row>
    <row r="194" hidden="1" outlineLevel="2" ht="17.25" customHeight="1" thickBot="1">
      <c r="A194" s="740" t="n">
        <v>43234</v>
      </c>
      <c r="B194" s="299" t="inlineStr">
        <is>
          <t>FITX</t>
        </is>
      </c>
      <c r="C194" s="300" t="inlineStr">
        <is>
          <t>台指05</t>
        </is>
      </c>
      <c r="D194" s="300" t="inlineStr">
        <is>
          <t>平倉</t>
        </is>
      </c>
      <c r="E194" s="301" t="inlineStr">
        <is>
          <t>買</t>
        </is>
      </c>
      <c r="F194" s="300" t="inlineStr">
        <is>
          <t>-</t>
        </is>
      </c>
      <c r="G194" s="741" t="n">
        <v>1</v>
      </c>
      <c r="H194" s="741" t="n">
        <v>10946</v>
      </c>
      <c r="I194" s="741" t="n">
        <v>0</v>
      </c>
      <c r="J194" s="742" t="n">
        <v>45</v>
      </c>
      <c r="K194" s="742" t="n">
        <v>44</v>
      </c>
      <c r="L194" s="742">
        <f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/>
      </c>
      <c r="M194" s="743">
        <f>L194</f>
        <v/>
      </c>
      <c r="N194" s="686">
        <f>IF(B194="TXO","",IF(D194="新倉","",IF(E194="賣",(H194-H193)*G194,(H193-H194)*G194)))</f>
        <v/>
      </c>
      <c r="O194" s="226">
        <f>ABS(I194)</f>
        <v/>
      </c>
      <c r="P194" s="667" t="n"/>
      <c r="S194" s="739" t="n"/>
      <c r="T194" s="61" t="n"/>
      <c r="U194" s="61" t="n"/>
      <c r="V194" s="61" t="n"/>
      <c r="W194" s="61" t="n"/>
    </row>
    <row r="195" hidden="1" outlineLevel="2" ht="17.25" customHeight="1" thickBot="1">
      <c r="A195" s="740" t="n">
        <v>43234</v>
      </c>
      <c r="B195" s="299" t="inlineStr">
        <is>
          <t>FITX</t>
        </is>
      </c>
      <c r="C195" s="300" t="inlineStr">
        <is>
          <t>台指05</t>
        </is>
      </c>
      <c r="D195" s="300" t="inlineStr">
        <is>
          <t>新倉</t>
        </is>
      </c>
      <c r="E195" s="301" t="inlineStr">
        <is>
          <t>買</t>
        </is>
      </c>
      <c r="F195" s="300" t="inlineStr">
        <is>
          <t>-</t>
        </is>
      </c>
      <c r="G195" s="741" t="n">
        <v>1</v>
      </c>
      <c r="H195" s="741" t="n">
        <v>10945</v>
      </c>
      <c r="I195" s="741" t="n">
        <v>0</v>
      </c>
      <c r="J195" s="742" t="n">
        <v>45</v>
      </c>
      <c r="K195" s="742" t="n">
        <v>44</v>
      </c>
      <c r="L195" s="742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/>
      </c>
      <c r="M195" s="743">
        <f>L195</f>
        <v/>
      </c>
      <c r="N195" s="686">
        <f>IF(B195="TXO","",IF(D195="新倉","",IF(E195="賣",(H195-H194)*G195,(H194-H195)*G195)))</f>
        <v/>
      </c>
      <c r="O195" s="226">
        <f>ABS(I195)</f>
        <v/>
      </c>
      <c r="P195" s="667" t="n"/>
      <c r="S195" s="739" t="n"/>
      <c r="T195" s="61" t="n"/>
      <c r="U195" s="61" t="n"/>
      <c r="V195" s="61" t="n"/>
      <c r="W195" s="61" t="n"/>
    </row>
    <row r="196" hidden="1" outlineLevel="2" ht="17.25" customHeight="1" thickBot="1">
      <c r="A196" s="740" t="n">
        <v>43234</v>
      </c>
      <c r="B196" s="299" t="inlineStr">
        <is>
          <t>FITX</t>
        </is>
      </c>
      <c r="C196" s="300" t="inlineStr">
        <is>
          <t>台指05</t>
        </is>
      </c>
      <c r="D196" s="300" t="inlineStr">
        <is>
          <t>平倉</t>
        </is>
      </c>
      <c r="E196" s="301" t="inlineStr">
        <is>
          <t>賣</t>
        </is>
      </c>
      <c r="F196" s="300" t="inlineStr">
        <is>
          <t>-</t>
        </is>
      </c>
      <c r="G196" s="741" t="n">
        <v>1</v>
      </c>
      <c r="H196" s="741" t="n">
        <v>10948</v>
      </c>
      <c r="I196" s="741" t="n">
        <v>0</v>
      </c>
      <c r="J196" s="742" t="n">
        <v>45</v>
      </c>
      <c r="K196" s="742" t="n">
        <v>44</v>
      </c>
      <c r="L196" s="742">
        <f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/>
      </c>
      <c r="M196" s="743">
        <f>L196</f>
        <v/>
      </c>
      <c r="N196" s="686">
        <f>IF(B196="TXO","",IF(D196="新倉","",IF(E196="賣",(H196-H195)*G196,(H195-H196)*G196)))</f>
        <v/>
      </c>
      <c r="O196" s="226">
        <f>ABS(I196)</f>
        <v/>
      </c>
      <c r="P196" s="667" t="n"/>
      <c r="S196" s="739" t="n"/>
      <c r="T196" s="61" t="n"/>
      <c r="U196" s="61" t="n"/>
      <c r="V196" s="61" t="n"/>
      <c r="W196" s="61" t="n"/>
    </row>
    <row r="197" hidden="1" outlineLevel="1" ht="17.25" customHeight="1" thickBot="1">
      <c r="A197" s="696" t="n">
        <v>43235</v>
      </c>
      <c r="B197" s="234" t="inlineStr">
        <is>
          <t>TXO</t>
        </is>
      </c>
      <c r="C197" s="229" t="inlineStr">
        <is>
          <t>台指選 05 10950 C</t>
        </is>
      </c>
      <c r="D197" s="229" t="inlineStr">
        <is>
          <t>新倉</t>
        </is>
      </c>
      <c r="E197" s="257" t="inlineStr">
        <is>
          <t>買</t>
        </is>
      </c>
      <c r="F197" s="229" t="inlineStr">
        <is>
          <t>-</t>
        </is>
      </c>
      <c r="G197" s="697" t="n">
        <v>1</v>
      </c>
      <c r="H197" s="697" t="n">
        <v>18</v>
      </c>
      <c r="I197" s="697" t="n">
        <v>-900</v>
      </c>
      <c r="J197" s="585" t="n">
        <v>18</v>
      </c>
      <c r="K197" s="585" t="n">
        <v>1</v>
      </c>
      <c r="L197" s="585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/>
      </c>
      <c r="M197" s="699">
        <f>L197</f>
        <v/>
      </c>
      <c r="N197" s="686">
        <f>IF(B197="TXO","",IF(D197="新倉","",IF(E197="賣",(H197-H152)*G197,(H152-H197)*G197)))</f>
        <v/>
      </c>
      <c r="O197" s="226">
        <f>ABS(I197)</f>
        <v/>
      </c>
      <c r="P197" s="667">
        <f>SUM(L197:L204)</f>
        <v/>
      </c>
      <c r="S197" s="739" t="n"/>
      <c r="T197" s="61" t="n"/>
      <c r="U197" s="61" t="n"/>
      <c r="V197" s="61" t="n"/>
      <c r="W197" s="61" t="n"/>
    </row>
    <row r="198" hidden="1" outlineLevel="2" collapsed="1" ht="17.25" customHeight="1" thickBot="1">
      <c r="A198" s="696" t="n">
        <v>43235</v>
      </c>
      <c r="B198" s="234" t="inlineStr">
        <is>
          <t>TXO</t>
        </is>
      </c>
      <c r="C198" s="229" t="inlineStr">
        <is>
          <t>台指選 05 11000 C</t>
        </is>
      </c>
      <c r="D198" s="229" t="inlineStr">
        <is>
          <t>新倉</t>
        </is>
      </c>
      <c r="E198" s="257" t="inlineStr">
        <is>
          <t>買</t>
        </is>
      </c>
      <c r="F198" s="229" t="inlineStr">
        <is>
          <t>-</t>
        </is>
      </c>
      <c r="G198" s="697" t="n">
        <v>1</v>
      </c>
      <c r="H198" s="697" t="n">
        <v>6</v>
      </c>
      <c r="I198" s="697" t="n">
        <v>-300</v>
      </c>
      <c r="J198" s="585" t="n">
        <v>18</v>
      </c>
      <c r="K198" s="585" t="n">
        <v>0</v>
      </c>
      <c r="L198" s="585">
        <f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/>
      </c>
      <c r="M198" s="699">
        <f>L198</f>
        <v/>
      </c>
      <c r="N198" s="686">
        <f>IF(B198="TXO","",IF(D198="新倉","",IF(E198="賣",(H198-H197)*G198,(H197-H198)*G198)))</f>
        <v/>
      </c>
      <c r="O198" s="226">
        <f>ABS(I198)</f>
        <v/>
      </c>
      <c r="P198" s="667" t="n"/>
      <c r="S198" s="739" t="n"/>
      <c r="T198" s="61" t="n"/>
      <c r="U198" s="61" t="n"/>
      <c r="V198" s="61" t="n"/>
      <c r="W198" s="61" t="n"/>
    </row>
    <row r="199" hidden="1" outlineLevel="2" collapsed="1" ht="17.25" customHeight="1" thickBot="1">
      <c r="A199" s="696" t="n">
        <v>43235</v>
      </c>
      <c r="B199" s="234" t="inlineStr">
        <is>
          <t>FIMTX</t>
        </is>
      </c>
      <c r="C199" s="229" t="inlineStr">
        <is>
          <t>小指05</t>
        </is>
      </c>
      <c r="D199" s="229" t="inlineStr">
        <is>
          <t>新倉</t>
        </is>
      </c>
      <c r="E199" s="257" t="inlineStr">
        <is>
          <t>賣</t>
        </is>
      </c>
      <c r="F199" s="229" t="inlineStr">
        <is>
          <t>-</t>
        </is>
      </c>
      <c r="G199" s="697" t="n">
        <v>1</v>
      </c>
      <c r="H199" s="697" t="n">
        <v>10905</v>
      </c>
      <c r="I199" s="697" t="n">
        <v>0</v>
      </c>
      <c r="J199" s="585" t="n">
        <v>23</v>
      </c>
      <c r="K199" s="585" t="n">
        <v>11</v>
      </c>
      <c r="L199" s="585">
        <f>IF(B199="TXO",I199-SUM(J199:K199),IF(B199="FITX",IF(D199="新倉",-SUM(J199:K199),IF(E199="賣",(H199-H198)*G199*200-SUM(J199:K199),(H198-H199)*G199*200-SUM(J199:K199))),IF(D199="新倉",-SUM(J199:K199),IF(E199="賣",(H199-H198)*G199*50-SUM(J199:K199),(H198-H199)*G199*50-SUM(J199:K199)))))</f>
        <v/>
      </c>
      <c r="M199" s="699">
        <f>L199</f>
        <v/>
      </c>
      <c r="N199" s="686">
        <f>IF(B199="TXO","",IF(D199="新倉","",IF(E199="賣",(H199-H198)*G199,(H198-H199)*G199)))</f>
        <v/>
      </c>
      <c r="O199" s="226">
        <f>ABS(I199)</f>
        <v/>
      </c>
      <c r="P199" s="667" t="n"/>
      <c r="S199" s="739" t="n"/>
      <c r="T199" s="61" t="n"/>
      <c r="U199" s="61" t="n"/>
      <c r="V199" s="61" t="n"/>
      <c r="W199" s="61" t="n"/>
    </row>
    <row r="200" hidden="1" outlineLevel="2" collapsed="1" ht="17.25" customHeight="1" thickBot="1">
      <c r="A200" s="696" t="n">
        <v>43235</v>
      </c>
      <c r="B200" s="234" t="inlineStr">
        <is>
          <t>FIMTX</t>
        </is>
      </c>
      <c r="C200" s="229" t="inlineStr">
        <is>
          <t>小指05</t>
        </is>
      </c>
      <c r="D200" s="229" t="inlineStr">
        <is>
          <t>平倉</t>
        </is>
      </c>
      <c r="E200" s="257" t="inlineStr">
        <is>
          <t>買</t>
        </is>
      </c>
      <c r="F200" s="229" t="inlineStr">
        <is>
          <t>-</t>
        </is>
      </c>
      <c r="G200" s="697" t="n">
        <v>1</v>
      </c>
      <c r="H200" s="697" t="n">
        <v>10890</v>
      </c>
      <c r="I200" s="697" t="n">
        <v>0</v>
      </c>
      <c r="J200" s="585" t="n">
        <v>23</v>
      </c>
      <c r="K200" s="585" t="n">
        <v>11</v>
      </c>
      <c r="L200" s="585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/>
      </c>
      <c r="M200" s="699">
        <f>L200</f>
        <v/>
      </c>
      <c r="N200" s="686">
        <f>IF(B200="TXO","",IF(D200="新倉","",IF(E200="賣",(H200-H199)*G200,(H199-H200)*G200)))</f>
        <v/>
      </c>
      <c r="O200" s="226">
        <f>ABS(I200)</f>
        <v/>
      </c>
      <c r="P200" s="667" t="n"/>
      <c r="S200" s="739" t="n"/>
      <c r="T200" s="61" t="n"/>
      <c r="U200" s="61" t="n"/>
      <c r="V200" s="61" t="n"/>
      <c r="W200" s="61" t="n"/>
    </row>
    <row r="201" hidden="1" outlineLevel="2" collapsed="1" ht="17.25" customHeight="1" thickBot="1">
      <c r="A201" s="696" t="n">
        <v>43235</v>
      </c>
      <c r="B201" s="234" t="inlineStr">
        <is>
          <t>FITX</t>
        </is>
      </c>
      <c r="C201" s="229" t="inlineStr">
        <is>
          <t>台指05</t>
        </is>
      </c>
      <c r="D201" s="229" t="inlineStr">
        <is>
          <t>新倉</t>
        </is>
      </c>
      <c r="E201" s="257" t="inlineStr">
        <is>
          <t>賣</t>
        </is>
      </c>
      <c r="F201" s="229" t="inlineStr">
        <is>
          <t>-</t>
        </is>
      </c>
      <c r="G201" s="697" t="n">
        <v>1</v>
      </c>
      <c r="H201" s="697" t="n">
        <v>10837</v>
      </c>
      <c r="I201" s="697" t="n">
        <v>0</v>
      </c>
      <c r="J201" s="585" t="n">
        <v>45</v>
      </c>
      <c r="K201" s="585" t="n">
        <v>43</v>
      </c>
      <c r="L201" s="585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/>
      </c>
      <c r="M201" s="699">
        <f>L201</f>
        <v/>
      </c>
      <c r="N201" s="686">
        <f>IF(B201="TXO","",IF(D201="新倉","",IF(E201="賣",(H201-H200)*G201,(H200-H201)*G201)))</f>
        <v/>
      </c>
      <c r="O201" s="226">
        <f>ABS(I201)</f>
        <v/>
      </c>
      <c r="P201" s="667" t="n"/>
      <c r="S201" s="739" t="n"/>
      <c r="T201" s="61" t="n"/>
      <c r="U201" s="61" t="n"/>
      <c r="V201" s="61" t="n"/>
      <c r="W201" s="61" t="n"/>
    </row>
    <row r="202" hidden="1" outlineLevel="2" collapsed="1" ht="17.25" customHeight="1" thickBot="1">
      <c r="A202" s="696" t="n">
        <v>43235</v>
      </c>
      <c r="B202" s="234" t="inlineStr">
        <is>
          <t>FITX</t>
        </is>
      </c>
      <c r="C202" s="229" t="inlineStr">
        <is>
          <t>台指05</t>
        </is>
      </c>
      <c r="D202" s="229" t="inlineStr">
        <is>
          <t>平倉</t>
        </is>
      </c>
      <c r="E202" s="257" t="inlineStr">
        <is>
          <t>買</t>
        </is>
      </c>
      <c r="F202" s="229" t="inlineStr">
        <is>
          <t>-</t>
        </is>
      </c>
      <c r="G202" s="697" t="n">
        <v>1</v>
      </c>
      <c r="H202" s="697" t="n">
        <v>10842</v>
      </c>
      <c r="I202" s="697" t="n">
        <v>0</v>
      </c>
      <c r="J202" s="585" t="n">
        <v>45</v>
      </c>
      <c r="K202" s="585" t="n">
        <v>43</v>
      </c>
      <c r="L202" s="585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/>
      </c>
      <c r="M202" s="699">
        <f>L202</f>
        <v/>
      </c>
      <c r="N202" s="686">
        <f>IF(B202="TXO","",IF(D202="新倉","",IF(E202="賣",(H202-H201)*G202,(H201-H202)*G202)))</f>
        <v/>
      </c>
      <c r="O202" s="226">
        <f>ABS(I202)</f>
        <v/>
      </c>
      <c r="P202" s="667" t="n"/>
      <c r="S202" s="739" t="n"/>
      <c r="T202" s="61" t="n"/>
      <c r="U202" s="61" t="n"/>
      <c r="V202" s="61" t="n"/>
      <c r="W202" s="61" t="n"/>
    </row>
    <row r="203" hidden="1" outlineLevel="2" collapsed="1" ht="17.25" customHeight="1" thickBot="1">
      <c r="A203" s="696" t="n">
        <v>43235</v>
      </c>
      <c r="B203" s="234" t="inlineStr">
        <is>
          <t>FITX</t>
        </is>
      </c>
      <c r="C203" s="229" t="inlineStr">
        <is>
          <t>台指05</t>
        </is>
      </c>
      <c r="D203" s="229" t="inlineStr">
        <is>
          <t>新倉</t>
        </is>
      </c>
      <c r="E203" s="257" t="inlineStr">
        <is>
          <t>賣</t>
        </is>
      </c>
      <c r="F203" s="229" t="inlineStr">
        <is>
          <t>-</t>
        </is>
      </c>
      <c r="G203" s="697" t="n">
        <v>1</v>
      </c>
      <c r="H203" s="697" t="n">
        <v>10837</v>
      </c>
      <c r="I203" s="697" t="n">
        <v>0</v>
      </c>
      <c r="J203" s="585" t="n">
        <v>45</v>
      </c>
      <c r="K203" s="585" t="n">
        <v>43</v>
      </c>
      <c r="L203" s="585">
        <f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/>
      </c>
      <c r="M203" s="699">
        <f>L203</f>
        <v/>
      </c>
      <c r="N203" s="686">
        <f>IF(B203="TXO","",IF(D203="新倉","",IF(E203="賣",(H203-H202)*G203,(H202-H203)*G203)))</f>
        <v/>
      </c>
      <c r="O203" s="226">
        <f>ABS(I203)</f>
        <v/>
      </c>
      <c r="P203" s="667" t="n"/>
      <c r="S203" s="739" t="n"/>
      <c r="T203" s="61" t="n"/>
      <c r="U203" s="61" t="n"/>
      <c r="V203" s="61" t="n"/>
      <c r="W203" s="61" t="n"/>
    </row>
    <row r="204" hidden="1" outlineLevel="2" collapsed="1" ht="17.25" customHeight="1" thickBot="1">
      <c r="A204" s="696" t="n">
        <v>43235</v>
      </c>
      <c r="B204" s="234" t="inlineStr">
        <is>
          <t>FITX</t>
        </is>
      </c>
      <c r="C204" s="229" t="inlineStr">
        <is>
          <t>台指05</t>
        </is>
      </c>
      <c r="D204" s="229" t="inlineStr">
        <is>
          <t>平倉</t>
        </is>
      </c>
      <c r="E204" s="257" t="inlineStr">
        <is>
          <t>買</t>
        </is>
      </c>
      <c r="F204" s="229" t="inlineStr">
        <is>
          <t>-</t>
        </is>
      </c>
      <c r="G204" s="697" t="n">
        <v>1</v>
      </c>
      <c r="H204" s="697" t="n">
        <v>10831</v>
      </c>
      <c r="I204" s="697" t="n">
        <v>0</v>
      </c>
      <c r="J204" s="585" t="n">
        <v>45</v>
      </c>
      <c r="K204" s="585" t="n">
        <v>43</v>
      </c>
      <c r="L204" s="585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/>
      </c>
      <c r="M204" s="699">
        <f>L204</f>
        <v/>
      </c>
      <c r="N204" s="686">
        <f>IF(B204="TXO","",IF(D204="新倉","",IF(E204="賣",(H204-H203)*G204,(H203-H204)*G204)))</f>
        <v/>
      </c>
      <c r="O204" s="226">
        <f>ABS(I204)</f>
        <v/>
      </c>
      <c r="P204" s="667" t="n"/>
      <c r="S204" s="739" t="n"/>
      <c r="T204" s="61" t="n"/>
      <c r="U204" s="61" t="n"/>
      <c r="V204" s="61" t="n"/>
      <c r="W204" s="61" t="n"/>
    </row>
    <row r="205" hidden="1" outlineLevel="1" ht="17.25" customHeight="1" thickBot="1">
      <c r="A205" s="740" t="n">
        <v>43236</v>
      </c>
      <c r="B205" s="299" t="inlineStr">
        <is>
          <t>TXO</t>
        </is>
      </c>
      <c r="C205" s="300" t="inlineStr">
        <is>
          <t>台指選 05 10950 P</t>
        </is>
      </c>
      <c r="D205" s="300" t="inlineStr">
        <is>
          <t>新倉</t>
        </is>
      </c>
      <c r="E205" s="301" t="inlineStr">
        <is>
          <t>買</t>
        </is>
      </c>
      <c r="F205" s="300" t="inlineStr">
        <is>
          <t>-</t>
        </is>
      </c>
      <c r="G205" s="741" t="n">
        <v>1</v>
      </c>
      <c r="H205" s="741" t="n">
        <v>54</v>
      </c>
      <c r="I205" s="741" t="n">
        <v>-2700</v>
      </c>
      <c r="J205" s="742" t="n">
        <v>18</v>
      </c>
      <c r="K205" s="742" t="n">
        <v>3</v>
      </c>
      <c r="L205" s="742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/>
      </c>
      <c r="M205" s="743">
        <f>L205</f>
        <v/>
      </c>
      <c r="N205" s="686">
        <f>IF(B205="TXO","",IF(D205="新倉","",IF(E205="賣",(H205-H204)*G205,(H204-H205)*G205)))</f>
        <v/>
      </c>
      <c r="O205" s="226">
        <f>ABS(I205)</f>
        <v/>
      </c>
      <c r="P205" s="667">
        <f>SUM(L205:L210)</f>
        <v/>
      </c>
      <c r="S205" s="739" t="n"/>
      <c r="T205" s="61" t="n"/>
      <c r="U205" s="61" t="n"/>
      <c r="V205" s="61" t="n"/>
      <c r="W205" s="61" t="n"/>
    </row>
    <row r="206" hidden="1" outlineLevel="2" ht="17.25" customHeight="1" thickBot="1">
      <c r="A206" s="740" t="n">
        <v>43236</v>
      </c>
      <c r="B206" s="299" t="inlineStr">
        <is>
          <t>TXO</t>
        </is>
      </c>
      <c r="C206" s="300" t="inlineStr">
        <is>
          <t>台指選 05 10950 P</t>
        </is>
      </c>
      <c r="D206" s="300" t="inlineStr">
        <is>
          <t>平倉</t>
        </is>
      </c>
      <c r="E206" s="301" t="inlineStr">
        <is>
          <t>賣</t>
        </is>
      </c>
      <c r="F206" s="300" t="inlineStr">
        <is>
          <t>-</t>
        </is>
      </c>
      <c r="G206" s="741" t="n">
        <v>1</v>
      </c>
      <c r="H206" s="741" t="n">
        <v>88</v>
      </c>
      <c r="I206" s="741" t="n">
        <v>4400</v>
      </c>
      <c r="J206" s="742" t="n">
        <v>18</v>
      </c>
      <c r="K206" s="742" t="n">
        <v>4</v>
      </c>
      <c r="L206" s="742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/>
      </c>
      <c r="M206" s="743">
        <f>L206</f>
        <v/>
      </c>
      <c r="N206" s="686">
        <f>IF(B206="TXO","",IF(D206="新倉","",IF(E206="賣",(H206-H205)*G206,(H205-H206)*G206)))</f>
        <v/>
      </c>
      <c r="O206" s="226">
        <f>ABS(I206)</f>
        <v/>
      </c>
      <c r="P206" s="667" t="n"/>
      <c r="S206" s="739" t="n"/>
      <c r="T206" s="61" t="n"/>
      <c r="U206" s="61" t="n"/>
      <c r="V206" s="61" t="n"/>
      <c r="W206" s="61" t="n"/>
    </row>
    <row r="207" hidden="1" outlineLevel="2" ht="17.25" customHeight="1" thickBot="1">
      <c r="A207" s="740" t="n">
        <v>43236</v>
      </c>
      <c r="B207" s="299" t="inlineStr">
        <is>
          <t>FITX</t>
        </is>
      </c>
      <c r="C207" s="300" t="inlineStr">
        <is>
          <t>台指05</t>
        </is>
      </c>
      <c r="D207" s="300" t="inlineStr">
        <is>
          <t>新倉</t>
        </is>
      </c>
      <c r="E207" s="301" t="inlineStr">
        <is>
          <t>賣</t>
        </is>
      </c>
      <c r="F207" s="300" t="inlineStr">
        <is>
          <t>-</t>
        </is>
      </c>
      <c r="G207" s="741" t="n">
        <v>1</v>
      </c>
      <c r="H207" s="741" t="n">
        <v>10876</v>
      </c>
      <c r="I207" s="741" t="n">
        <v>0</v>
      </c>
      <c r="J207" s="742" t="n">
        <v>45</v>
      </c>
      <c r="K207" s="742" t="n">
        <v>44</v>
      </c>
      <c r="L207" s="742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/>
      </c>
      <c r="M207" s="743">
        <f>L207</f>
        <v/>
      </c>
      <c r="N207" s="686">
        <f>IF(B207="TXO","",IF(D207="新倉","",IF(E207="賣",(H207-H206)*G207,(H206-H207)*G207)))</f>
        <v/>
      </c>
      <c r="O207" s="226">
        <f>ABS(I207)</f>
        <v/>
      </c>
      <c r="P207" s="667" t="n"/>
      <c r="S207" s="739" t="n"/>
      <c r="T207" s="61" t="n"/>
      <c r="U207" s="61" t="n"/>
      <c r="V207" s="61" t="n"/>
      <c r="W207" s="61" t="n"/>
    </row>
    <row r="208" hidden="1" outlineLevel="2" ht="17.25" customHeight="1" thickBot="1">
      <c r="A208" s="740" t="n">
        <v>43236</v>
      </c>
      <c r="B208" s="299" t="inlineStr">
        <is>
          <t>FITX</t>
        </is>
      </c>
      <c r="C208" s="300" t="inlineStr">
        <is>
          <t>台指05</t>
        </is>
      </c>
      <c r="D208" s="300" t="inlineStr">
        <is>
          <t>平倉</t>
        </is>
      </c>
      <c r="E208" s="301" t="inlineStr">
        <is>
          <t>買</t>
        </is>
      </c>
      <c r="F208" s="300" t="inlineStr">
        <is>
          <t>-</t>
        </is>
      </c>
      <c r="G208" s="741" t="n">
        <v>1</v>
      </c>
      <c r="H208" s="741" t="n">
        <v>10886</v>
      </c>
      <c r="I208" s="741" t="n">
        <v>0</v>
      </c>
      <c r="J208" s="742" t="n">
        <v>45</v>
      </c>
      <c r="K208" s="742" t="n">
        <v>44</v>
      </c>
      <c r="L208" s="742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/>
      </c>
      <c r="M208" s="743">
        <f>L208</f>
        <v/>
      </c>
      <c r="N208" s="686">
        <f>IF(B208="TXO","",IF(D208="新倉","",IF(E208="賣",(H208-H207)*G208,(H207-H208)*G208)))</f>
        <v/>
      </c>
      <c r="O208" s="226">
        <f>ABS(I208)</f>
        <v/>
      </c>
      <c r="P208" s="667" t="n"/>
      <c r="S208" s="739" t="n"/>
      <c r="T208" s="61" t="n"/>
      <c r="U208" s="61" t="n"/>
      <c r="V208" s="61" t="n"/>
      <c r="W208" s="61" t="n"/>
    </row>
    <row r="209" hidden="1" outlineLevel="2" ht="17.25" customHeight="1" thickBot="1">
      <c r="A209" s="740" t="n">
        <v>43236</v>
      </c>
      <c r="B209" s="299" t="inlineStr">
        <is>
          <t>FITX</t>
        </is>
      </c>
      <c r="C209" s="300" t="inlineStr">
        <is>
          <t>台指06</t>
        </is>
      </c>
      <c r="D209" s="300" t="inlineStr">
        <is>
          <t>新倉</t>
        </is>
      </c>
      <c r="E209" s="301" t="inlineStr">
        <is>
          <t>賣</t>
        </is>
      </c>
      <c r="F209" s="300" t="inlineStr">
        <is>
          <t>-</t>
        </is>
      </c>
      <c r="G209" s="741" t="n">
        <v>1</v>
      </c>
      <c r="H209" s="741" t="n">
        <v>10893</v>
      </c>
      <c r="I209" s="741" t="n">
        <v>0</v>
      </c>
      <c r="J209" s="742" t="n">
        <v>45</v>
      </c>
      <c r="K209" s="742" t="n">
        <v>44</v>
      </c>
      <c r="L209" s="742">
        <f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/>
      </c>
      <c r="M209" s="743">
        <f>L209</f>
        <v/>
      </c>
      <c r="N209" s="686">
        <f>IF(B209="TXO","",IF(D209="新倉","",IF(E209="賣",(H209-H208)*G209,(H208-H209)*G209)))</f>
        <v/>
      </c>
      <c r="O209" s="226">
        <f>ABS(I209)</f>
        <v/>
      </c>
      <c r="P209" s="667" t="n"/>
      <c r="S209" s="739" t="n"/>
      <c r="T209" s="61" t="n"/>
      <c r="U209" s="61" t="n"/>
      <c r="V209" s="61" t="n"/>
      <c r="W209" s="61" t="n"/>
    </row>
    <row r="210" hidden="1" outlineLevel="2" ht="17.25" customHeight="1" thickBot="1">
      <c r="A210" s="740" t="n">
        <v>43236</v>
      </c>
      <c r="B210" s="299" t="inlineStr">
        <is>
          <t>FITX</t>
        </is>
      </c>
      <c r="C210" s="300" t="inlineStr">
        <is>
          <t>台指06</t>
        </is>
      </c>
      <c r="D210" s="300" t="inlineStr">
        <is>
          <t>平倉</t>
        </is>
      </c>
      <c r="E210" s="301" t="inlineStr">
        <is>
          <t>買</t>
        </is>
      </c>
      <c r="F210" s="300" t="inlineStr">
        <is>
          <t>-</t>
        </is>
      </c>
      <c r="G210" s="741" t="n">
        <v>1</v>
      </c>
      <c r="H210" s="741" t="n">
        <v>10893</v>
      </c>
      <c r="I210" s="741" t="n">
        <v>0</v>
      </c>
      <c r="J210" s="742" t="n">
        <v>45</v>
      </c>
      <c r="K210" s="742" t="n">
        <v>44</v>
      </c>
      <c r="L210" s="742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/>
      </c>
      <c r="M210" s="743">
        <f>L210</f>
        <v/>
      </c>
      <c r="N210" s="686">
        <f>IF(B210="TXO","",IF(D210="新倉","",IF(E210="賣",(H210-H209)*G210,(H209-H210)*G210)))</f>
        <v/>
      </c>
      <c r="O210" s="226">
        <f>ABS(I210)</f>
        <v/>
      </c>
      <c r="P210" s="667" t="n"/>
      <c r="S210" s="739" t="n"/>
      <c r="T210" s="61" t="n"/>
      <c r="U210" s="61" t="n"/>
      <c r="V210" s="61" t="n"/>
      <c r="W210" s="61" t="n"/>
    </row>
    <row r="211" hidden="1" outlineLevel="1" ht="17.25" customHeight="1" thickBot="1">
      <c r="A211" s="696" t="n">
        <v>43237</v>
      </c>
      <c r="B211" s="234" t="inlineStr">
        <is>
          <t>FIMTX</t>
        </is>
      </c>
      <c r="C211" s="229" t="inlineStr">
        <is>
          <t>小指06</t>
        </is>
      </c>
      <c r="D211" s="229" t="inlineStr">
        <is>
          <t>新倉</t>
        </is>
      </c>
      <c r="E211" s="257" t="inlineStr">
        <is>
          <t>賣</t>
        </is>
      </c>
      <c r="F211" s="229" t="inlineStr">
        <is>
          <t>-</t>
        </is>
      </c>
      <c r="G211" s="697" t="n">
        <v>1</v>
      </c>
      <c r="H211" s="697" t="n">
        <v>10878</v>
      </c>
      <c r="I211" s="697" t="n">
        <v>0</v>
      </c>
      <c r="J211" s="585" t="n">
        <v>23</v>
      </c>
      <c r="K211" s="585" t="n">
        <v>11</v>
      </c>
      <c r="L211" s="585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/>
      </c>
      <c r="M211" s="699">
        <f>L211</f>
        <v/>
      </c>
      <c r="N211" s="686">
        <f>IF(B211="TXO","",IF(D211="新倉","",IF(E211="賣",(H211-H210)*G211,(H210-H211)*G211)))</f>
        <v/>
      </c>
      <c r="O211" s="226">
        <f>ABS(I211)</f>
        <v/>
      </c>
      <c r="P211" s="667">
        <f>SUM(L211:L228)</f>
        <v/>
      </c>
      <c r="S211" s="739" t="n"/>
      <c r="T211" s="61" t="n"/>
      <c r="U211" s="61" t="n"/>
      <c r="V211" s="61" t="n"/>
      <c r="W211" s="61" t="n"/>
    </row>
    <row r="212" hidden="1" outlineLevel="2" collapsed="1" ht="17.25" customHeight="1" thickBot="1">
      <c r="A212" s="696" t="n">
        <v>43237</v>
      </c>
      <c r="B212" s="234" t="inlineStr">
        <is>
          <t>FIMTX</t>
        </is>
      </c>
      <c r="C212" s="229" t="inlineStr">
        <is>
          <t>小指06</t>
        </is>
      </c>
      <c r="D212" s="229" t="inlineStr">
        <is>
          <t>平倉</t>
        </is>
      </c>
      <c r="E212" s="257" t="inlineStr">
        <is>
          <t>買</t>
        </is>
      </c>
      <c r="F212" s="229" t="inlineStr">
        <is>
          <t>-</t>
        </is>
      </c>
      <c r="G212" s="697" t="n">
        <v>1</v>
      </c>
      <c r="H212" s="697" t="n">
        <v>10875</v>
      </c>
      <c r="I212" s="697" t="n">
        <v>0</v>
      </c>
      <c r="J212" s="585" t="n">
        <v>23</v>
      </c>
      <c r="K212" s="585" t="n">
        <v>11</v>
      </c>
      <c r="L212" s="585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/>
      </c>
      <c r="M212" s="699">
        <f>L212</f>
        <v/>
      </c>
      <c r="N212" s="686">
        <f>IF(B212="TXO","",IF(D212="新倉","",IF(E212="賣",(H212-H211)*G212,(H211-H212)*G212)))</f>
        <v/>
      </c>
      <c r="O212" s="226">
        <f>ABS(I212)</f>
        <v/>
      </c>
      <c r="P212" s="667" t="n"/>
      <c r="S212" s="739" t="n"/>
      <c r="T212" s="61" t="n"/>
      <c r="U212" s="61" t="n"/>
      <c r="V212" s="61" t="n"/>
      <c r="W212" s="61" t="n"/>
    </row>
    <row r="213" hidden="1" outlineLevel="2" collapsed="1" ht="17.25" customHeight="1" thickBot="1">
      <c r="A213" s="696" t="n">
        <v>43237</v>
      </c>
      <c r="B213" s="234" t="inlineStr">
        <is>
          <t>FIMTX</t>
        </is>
      </c>
      <c r="C213" s="229" t="inlineStr">
        <is>
          <t>小指06</t>
        </is>
      </c>
      <c r="D213" s="229" t="inlineStr">
        <is>
          <t>新倉</t>
        </is>
      </c>
      <c r="E213" s="257" t="inlineStr">
        <is>
          <t>賣</t>
        </is>
      </c>
      <c r="F213" s="229" t="inlineStr">
        <is>
          <t>-</t>
        </is>
      </c>
      <c r="G213" s="697" t="n">
        <v>1</v>
      </c>
      <c r="H213" s="697" t="n">
        <v>10879</v>
      </c>
      <c r="I213" s="697" t="n">
        <v>0</v>
      </c>
      <c r="J213" s="585" t="n">
        <v>23</v>
      </c>
      <c r="K213" s="585" t="n">
        <v>11</v>
      </c>
      <c r="L213" s="585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/>
      </c>
      <c r="M213" s="699">
        <f>L213</f>
        <v/>
      </c>
      <c r="N213" s="686">
        <f>IF(B213="TXO","",IF(D213="新倉","",IF(E213="賣",(H213-H212)*G213,(H212-H213)*G213)))</f>
        <v/>
      </c>
      <c r="O213" s="226">
        <f>ABS(I213)</f>
        <v/>
      </c>
      <c r="P213" s="667" t="n"/>
      <c r="S213" s="739" t="n"/>
      <c r="T213" s="61" t="n"/>
      <c r="U213" s="61" t="n"/>
      <c r="V213" s="61" t="n"/>
      <c r="W213" s="61" t="n"/>
    </row>
    <row r="214" hidden="1" outlineLevel="2" collapsed="1" ht="17.25" customHeight="1" thickBot="1">
      <c r="A214" s="696" t="n">
        <v>43237</v>
      </c>
      <c r="B214" s="234" t="inlineStr">
        <is>
          <t>FIMTX</t>
        </is>
      </c>
      <c r="C214" s="229" t="inlineStr">
        <is>
          <t>小指06</t>
        </is>
      </c>
      <c r="D214" s="229" t="inlineStr">
        <is>
          <t>平倉</t>
        </is>
      </c>
      <c r="E214" s="257" t="inlineStr">
        <is>
          <t>買</t>
        </is>
      </c>
      <c r="F214" s="229" t="inlineStr">
        <is>
          <t>-</t>
        </is>
      </c>
      <c r="G214" s="697" t="n">
        <v>1</v>
      </c>
      <c r="H214" s="697" t="n">
        <v>10875</v>
      </c>
      <c r="I214" s="697" t="n">
        <v>0</v>
      </c>
      <c r="J214" s="585" t="n">
        <v>23</v>
      </c>
      <c r="K214" s="585" t="n">
        <v>11</v>
      </c>
      <c r="L214" s="585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/>
      </c>
      <c r="M214" s="699">
        <f>L214</f>
        <v/>
      </c>
      <c r="N214" s="686">
        <f>IF(B214="TXO","",IF(D214="新倉","",IF(E214="賣",(H214-H213)*G214,(H213-H214)*G214)))</f>
        <v/>
      </c>
      <c r="O214" s="226">
        <f>ABS(I214)</f>
        <v/>
      </c>
      <c r="P214" s="667" t="n"/>
      <c r="S214" s="739" t="n"/>
      <c r="T214" s="61" t="n"/>
      <c r="U214" s="61" t="n"/>
      <c r="V214" s="61" t="n"/>
      <c r="W214" s="61" t="n"/>
    </row>
    <row r="215" hidden="1" outlineLevel="2" collapsed="1" ht="17.25" customHeight="1" thickBot="1">
      <c r="A215" s="696" t="n">
        <v>43237</v>
      </c>
      <c r="B215" s="234" t="inlineStr">
        <is>
          <t>FIMTX</t>
        </is>
      </c>
      <c r="C215" s="229" t="inlineStr">
        <is>
          <t>小指06</t>
        </is>
      </c>
      <c r="D215" s="229" t="inlineStr">
        <is>
          <t>新倉</t>
        </is>
      </c>
      <c r="E215" s="257" t="inlineStr">
        <is>
          <t>賣</t>
        </is>
      </c>
      <c r="F215" s="229" t="inlineStr">
        <is>
          <t>-</t>
        </is>
      </c>
      <c r="G215" s="697" t="n">
        <v>1</v>
      </c>
      <c r="H215" s="697" t="n">
        <v>10892</v>
      </c>
      <c r="I215" s="697" t="n">
        <v>0</v>
      </c>
      <c r="J215" s="585" t="n">
        <v>23</v>
      </c>
      <c r="K215" s="585" t="n">
        <v>11</v>
      </c>
      <c r="L215" s="585">
        <f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/>
      </c>
      <c r="M215" s="699">
        <f>L215</f>
        <v/>
      </c>
      <c r="N215" s="686">
        <f>IF(B215="TXO","",IF(D215="新倉","",IF(E215="賣",(H215-H214)*G215,(H214-H215)*G215)))</f>
        <v/>
      </c>
      <c r="O215" s="226">
        <f>ABS(I215)</f>
        <v/>
      </c>
      <c r="P215" s="667" t="n"/>
      <c r="S215" s="739" t="n"/>
      <c r="T215" s="61" t="n"/>
      <c r="U215" s="61" t="n"/>
      <c r="V215" s="61" t="n"/>
      <c r="W215" s="61" t="n"/>
    </row>
    <row r="216" hidden="1" outlineLevel="2" collapsed="1" ht="17.25" customHeight="1" thickBot="1">
      <c r="A216" s="696" t="n">
        <v>43237</v>
      </c>
      <c r="B216" s="234" t="inlineStr">
        <is>
          <t>FIMTX</t>
        </is>
      </c>
      <c r="C216" s="229" t="inlineStr">
        <is>
          <t>小指06</t>
        </is>
      </c>
      <c r="D216" s="229" t="inlineStr">
        <is>
          <t>平倉</t>
        </is>
      </c>
      <c r="E216" s="257" t="inlineStr">
        <is>
          <t>買</t>
        </is>
      </c>
      <c r="F216" s="229" t="inlineStr">
        <is>
          <t>-</t>
        </is>
      </c>
      <c r="G216" s="697" t="n">
        <v>1</v>
      </c>
      <c r="H216" s="697" t="n">
        <v>10875</v>
      </c>
      <c r="I216" s="697" t="n">
        <v>0</v>
      </c>
      <c r="J216" s="585" t="n">
        <v>23</v>
      </c>
      <c r="K216" s="585" t="n">
        <v>11</v>
      </c>
      <c r="L216" s="585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/>
      </c>
      <c r="M216" s="699">
        <f>L216</f>
        <v/>
      </c>
      <c r="N216" s="686">
        <f>IF(B216="TXO","",IF(D216="新倉","",IF(E216="賣",(H216-H215)*G216,(H215-H216)*G216)))</f>
        <v/>
      </c>
      <c r="O216" s="226">
        <f>ABS(I216)</f>
        <v/>
      </c>
      <c r="P216" s="667" t="n"/>
      <c r="S216" s="739" t="n"/>
      <c r="T216" s="61" t="n"/>
      <c r="U216" s="61" t="n"/>
      <c r="V216" s="61" t="n"/>
      <c r="W216" s="61" t="n"/>
    </row>
    <row r="217" hidden="1" outlineLevel="2" ht="17.25" customHeight="1" thickBot="1">
      <c r="A217" s="696" t="n">
        <v>43237</v>
      </c>
      <c r="B217" s="234" t="inlineStr">
        <is>
          <t>FIMTX</t>
        </is>
      </c>
      <c r="C217" s="229" t="inlineStr">
        <is>
          <t>小指06</t>
        </is>
      </c>
      <c r="D217" s="229" t="inlineStr">
        <is>
          <t>新倉</t>
        </is>
      </c>
      <c r="E217" s="257" t="inlineStr">
        <is>
          <t>買</t>
        </is>
      </c>
      <c r="F217" s="229" t="inlineStr">
        <is>
          <t>-</t>
        </is>
      </c>
      <c r="G217" s="697" t="n">
        <v>1</v>
      </c>
      <c r="H217" s="697" t="n">
        <v>10814</v>
      </c>
      <c r="I217" s="697" t="n">
        <v>0</v>
      </c>
      <c r="J217" s="585" t="n">
        <v>23</v>
      </c>
      <c r="K217" s="585" t="n">
        <v>11</v>
      </c>
      <c r="L217" s="585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/>
      </c>
      <c r="M217" s="699">
        <f>L217</f>
        <v/>
      </c>
      <c r="N217" s="686">
        <f>IF(B217="TXO","",IF(D217="新倉","",IF(E217="賣",(H217-H216)*G217,(H216-H217)*G217)))</f>
        <v/>
      </c>
      <c r="O217" s="226">
        <f>ABS(I217)</f>
        <v/>
      </c>
      <c r="P217" s="667" t="n"/>
      <c r="S217" s="739" t="n"/>
      <c r="T217" s="61" t="n"/>
      <c r="U217" s="61" t="n"/>
      <c r="V217" s="61" t="n"/>
      <c r="W217" s="61" t="n"/>
    </row>
    <row r="218" hidden="1" outlineLevel="2" collapsed="1" ht="17.25" customHeight="1" thickBot="1">
      <c r="A218" s="696" t="n">
        <v>43237</v>
      </c>
      <c r="B218" s="234" t="inlineStr">
        <is>
          <t>FIMTX</t>
        </is>
      </c>
      <c r="C218" s="229" t="inlineStr">
        <is>
          <t>小指06</t>
        </is>
      </c>
      <c r="D218" s="229" t="inlineStr">
        <is>
          <t>平倉</t>
        </is>
      </c>
      <c r="E218" s="257" t="inlineStr">
        <is>
          <t>賣</t>
        </is>
      </c>
      <c r="F218" s="229" t="inlineStr">
        <is>
          <t>-</t>
        </is>
      </c>
      <c r="G218" s="697" t="n">
        <v>1</v>
      </c>
      <c r="H218" s="697" t="n">
        <v>10809</v>
      </c>
      <c r="I218" s="697" t="n">
        <v>0</v>
      </c>
      <c r="J218" s="585" t="n">
        <v>23</v>
      </c>
      <c r="K218" s="585" t="n">
        <v>11</v>
      </c>
      <c r="L218" s="585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/>
      </c>
      <c r="M218" s="699">
        <f>L218</f>
        <v/>
      </c>
      <c r="N218" s="686">
        <f>IF(B218="TXO","",IF(D218="新倉","",IF(E218="賣",(H218-H217)*G218,(H217-H218)*G218)))</f>
        <v/>
      </c>
      <c r="O218" s="226">
        <f>ABS(I218)</f>
        <v/>
      </c>
      <c r="P218" s="667" t="n"/>
      <c r="S218" s="739" t="n"/>
      <c r="T218" s="61" t="n"/>
      <c r="U218" s="61" t="n"/>
      <c r="V218" s="61" t="n"/>
      <c r="W218" s="61" t="n"/>
    </row>
    <row r="219" hidden="1" outlineLevel="2" collapsed="1" ht="17.25" customHeight="1" thickBot="1">
      <c r="A219" s="696" t="n">
        <v>43237</v>
      </c>
      <c r="B219" s="234" t="inlineStr">
        <is>
          <t>FIMTX</t>
        </is>
      </c>
      <c r="C219" s="229" t="inlineStr">
        <is>
          <t>小指06</t>
        </is>
      </c>
      <c r="D219" s="229" t="inlineStr">
        <is>
          <t>新倉</t>
        </is>
      </c>
      <c r="E219" s="257" t="inlineStr">
        <is>
          <t>買</t>
        </is>
      </c>
      <c r="F219" s="229" t="inlineStr">
        <is>
          <t>-</t>
        </is>
      </c>
      <c r="G219" s="697" t="n">
        <v>1</v>
      </c>
      <c r="H219" s="697" t="n">
        <v>10814</v>
      </c>
      <c r="I219" s="697" t="n">
        <v>0</v>
      </c>
      <c r="J219" s="585" t="n">
        <v>23</v>
      </c>
      <c r="K219" s="585" t="n">
        <v>11</v>
      </c>
      <c r="L219" s="585">
        <f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/>
      </c>
      <c r="M219" s="699">
        <f>L219</f>
        <v/>
      </c>
      <c r="N219" s="686">
        <f>IF(B219="TXO","",IF(D219="新倉","",IF(E219="賣",(H219-H218)*G219,(H218-H219)*G219)))</f>
        <v/>
      </c>
      <c r="O219" s="226">
        <f>ABS(I219)</f>
        <v/>
      </c>
      <c r="P219" s="667" t="n"/>
      <c r="S219" s="739" t="n"/>
      <c r="T219" s="61" t="n"/>
      <c r="U219" s="61" t="n"/>
      <c r="V219" s="61" t="n"/>
      <c r="W219" s="61" t="n"/>
    </row>
    <row r="220" hidden="1" outlineLevel="2" collapsed="1" ht="17.25" customHeight="1" thickBot="1">
      <c r="A220" s="696" t="n">
        <v>43237</v>
      </c>
      <c r="B220" s="234" t="inlineStr">
        <is>
          <t>FIMTX</t>
        </is>
      </c>
      <c r="C220" s="229" t="inlineStr">
        <is>
          <t>小指06</t>
        </is>
      </c>
      <c r="D220" s="229" t="inlineStr">
        <is>
          <t>平倉</t>
        </is>
      </c>
      <c r="E220" s="257" t="inlineStr">
        <is>
          <t>賣</t>
        </is>
      </c>
      <c r="F220" s="229" t="inlineStr">
        <is>
          <t>-</t>
        </is>
      </c>
      <c r="G220" s="697" t="n">
        <v>1</v>
      </c>
      <c r="H220" s="697" t="n">
        <v>10809</v>
      </c>
      <c r="I220" s="697" t="n">
        <v>0</v>
      </c>
      <c r="J220" s="585" t="n">
        <v>23</v>
      </c>
      <c r="K220" s="585" t="n">
        <v>11</v>
      </c>
      <c r="L220" s="585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/>
      </c>
      <c r="M220" s="699">
        <f>L220</f>
        <v/>
      </c>
      <c r="N220" s="686">
        <f>IF(B220="TXO","",IF(D220="新倉","",IF(E220="賣",(H220-H219)*G220,(H219-H220)*G220)))</f>
        <v/>
      </c>
      <c r="O220" s="226">
        <f>ABS(I220)</f>
        <v/>
      </c>
      <c r="P220" s="667" t="n"/>
      <c r="S220" s="739" t="n"/>
      <c r="T220" s="61" t="n"/>
      <c r="U220" s="61" t="n"/>
      <c r="V220" s="61" t="n"/>
      <c r="W220" s="61" t="n"/>
    </row>
    <row r="221" hidden="1" outlineLevel="2" collapsed="1" ht="17.25" customHeight="1" thickBot="1">
      <c r="A221" s="696" t="n">
        <v>43237</v>
      </c>
      <c r="B221" s="234" t="inlineStr">
        <is>
          <t>FIMTX</t>
        </is>
      </c>
      <c r="C221" s="229" t="inlineStr">
        <is>
          <t>小指06</t>
        </is>
      </c>
      <c r="D221" s="229" t="inlineStr">
        <is>
          <t>新倉</t>
        </is>
      </c>
      <c r="E221" s="257" t="inlineStr">
        <is>
          <t>賣</t>
        </is>
      </c>
      <c r="F221" s="229" t="inlineStr">
        <is>
          <t>-</t>
        </is>
      </c>
      <c r="G221" s="697" t="n">
        <v>1</v>
      </c>
      <c r="H221" s="697" t="n">
        <v>10814</v>
      </c>
      <c r="I221" s="697" t="n">
        <v>0</v>
      </c>
      <c r="J221" s="585" t="n">
        <v>23</v>
      </c>
      <c r="K221" s="585" t="n">
        <v>11</v>
      </c>
      <c r="L221" s="585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/>
      </c>
      <c r="M221" s="699">
        <f>L221</f>
        <v/>
      </c>
      <c r="N221" s="686">
        <f>IF(B221="TXO","",IF(D221="新倉","",IF(E221="賣",(H221-H220)*G221,(H220-H221)*G221)))</f>
        <v/>
      </c>
      <c r="O221" s="226">
        <f>ABS(I221)</f>
        <v/>
      </c>
      <c r="P221" s="667" t="n"/>
      <c r="S221" s="739" t="n"/>
      <c r="T221" s="61" t="n"/>
      <c r="U221" s="61" t="n"/>
      <c r="V221" s="61" t="n"/>
      <c r="W221" s="61" t="n"/>
    </row>
    <row r="222" hidden="1" outlineLevel="2" collapsed="1" ht="17.25" customHeight="1" thickBot="1">
      <c r="A222" s="696" t="n">
        <v>43237</v>
      </c>
      <c r="B222" s="234" t="inlineStr">
        <is>
          <t>FIMTX</t>
        </is>
      </c>
      <c r="C222" s="229" t="inlineStr">
        <is>
          <t>小指06</t>
        </is>
      </c>
      <c r="D222" s="229" t="inlineStr">
        <is>
          <t>平倉</t>
        </is>
      </c>
      <c r="E222" s="257" t="inlineStr">
        <is>
          <t>買</t>
        </is>
      </c>
      <c r="F222" s="229" t="inlineStr">
        <is>
          <t>-</t>
        </is>
      </c>
      <c r="G222" s="697" t="n">
        <v>1</v>
      </c>
      <c r="H222" s="697" t="n">
        <v>10817</v>
      </c>
      <c r="I222" s="697" t="n">
        <v>0</v>
      </c>
      <c r="J222" s="585" t="n">
        <v>23</v>
      </c>
      <c r="K222" s="585" t="n">
        <v>11</v>
      </c>
      <c r="L222" s="585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/>
      </c>
      <c r="M222" s="699">
        <f>L222</f>
        <v/>
      </c>
      <c r="N222" s="686">
        <f>IF(B222="TXO","",IF(D222="新倉","",IF(E222="賣",(H222-H221)*G222,(H221-H222)*G222)))</f>
        <v/>
      </c>
      <c r="O222" s="226">
        <f>ABS(I222)</f>
        <v/>
      </c>
      <c r="P222" s="667" t="n"/>
      <c r="S222" s="739" t="n"/>
      <c r="T222" s="61" t="n"/>
      <c r="U222" s="61" t="n"/>
      <c r="V222" s="61" t="n"/>
      <c r="W222" s="61" t="n"/>
    </row>
    <row r="223" hidden="1" outlineLevel="2" ht="17.25" customHeight="1" thickBot="1">
      <c r="A223" s="696" t="n">
        <v>43237</v>
      </c>
      <c r="B223" s="234" t="inlineStr">
        <is>
          <t>FIMTX</t>
        </is>
      </c>
      <c r="C223" s="229" t="inlineStr">
        <is>
          <t>小指06</t>
        </is>
      </c>
      <c r="D223" s="229" t="inlineStr">
        <is>
          <t>新倉</t>
        </is>
      </c>
      <c r="E223" s="257" t="inlineStr">
        <is>
          <t>賣</t>
        </is>
      </c>
      <c r="F223" s="229" t="inlineStr">
        <is>
          <t>-</t>
        </is>
      </c>
      <c r="G223" s="697" t="n">
        <v>1</v>
      </c>
      <c r="H223" s="697" t="n">
        <v>10815</v>
      </c>
      <c r="I223" s="697" t="n">
        <v>0</v>
      </c>
      <c r="J223" s="585" t="n">
        <v>23</v>
      </c>
      <c r="K223" s="585" t="n">
        <v>11</v>
      </c>
      <c r="L223" s="585">
        <f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/>
      </c>
      <c r="M223" s="699">
        <f>L223</f>
        <v/>
      </c>
      <c r="N223" s="686">
        <f>IF(B223="TXO","",IF(D223="新倉","",IF(E223="賣",(H223-H222)*G223,(H222-H223)*G223)))</f>
        <v/>
      </c>
      <c r="O223" s="226">
        <f>ABS(I223)</f>
        <v/>
      </c>
      <c r="P223" s="667" t="n"/>
      <c r="S223" s="739" t="n"/>
      <c r="T223" s="61" t="n"/>
      <c r="U223" s="61" t="n"/>
      <c r="V223" s="61" t="n"/>
      <c r="W223" s="61" t="n"/>
    </row>
    <row r="224" hidden="1" outlineLevel="2" collapsed="1" ht="17.25" customHeight="1" thickBot="1">
      <c r="A224" s="696" t="n">
        <v>43237</v>
      </c>
      <c r="B224" s="234" t="inlineStr">
        <is>
          <t>FIMTX</t>
        </is>
      </c>
      <c r="C224" s="229" t="inlineStr">
        <is>
          <t>小指06</t>
        </is>
      </c>
      <c r="D224" s="229" t="inlineStr">
        <is>
          <t>平倉</t>
        </is>
      </c>
      <c r="E224" s="257" t="inlineStr">
        <is>
          <t>買</t>
        </is>
      </c>
      <c r="F224" s="229" t="inlineStr">
        <is>
          <t>-</t>
        </is>
      </c>
      <c r="G224" s="697" t="n">
        <v>1</v>
      </c>
      <c r="H224" s="697" t="n">
        <v>10817</v>
      </c>
      <c r="I224" s="697" t="n">
        <v>0</v>
      </c>
      <c r="J224" s="585" t="n">
        <v>23</v>
      </c>
      <c r="K224" s="585" t="n">
        <v>11</v>
      </c>
      <c r="L224" s="585">
        <f>IF(B224="TXO",I224-SUM(J224:K224),IF(B224="FITX",IF(D224="新倉",-SUM(J224:K224),IF(E224="賣",(H224-H223)*G224*200-SUM(J224:K224),(H223-H224)*G224*200-SUM(J224:K224))),IF(D224="新倉",-SUM(J224:K224),IF(E224="賣",(H224-H223)*G224*50-SUM(J224:K224),(H223-H224)*G224*50-SUM(J224:K224)))))</f>
        <v/>
      </c>
      <c r="M224" s="699">
        <f>L224</f>
        <v/>
      </c>
      <c r="N224" s="686">
        <f>IF(B224="TXO","",IF(D224="新倉","",IF(E224="賣",(H224-H223)*G224,(H223-H224)*G224)))</f>
        <v/>
      </c>
      <c r="O224" s="226">
        <f>ABS(I224)</f>
        <v/>
      </c>
      <c r="P224" s="667" t="n"/>
      <c r="S224" s="739" t="n"/>
      <c r="T224" s="61" t="n"/>
      <c r="U224" s="61" t="n"/>
      <c r="V224" s="61" t="n"/>
      <c r="W224" s="61" t="n"/>
    </row>
    <row r="225" hidden="1" outlineLevel="2" collapsed="1" ht="17.25" customHeight="1" thickBot="1">
      <c r="A225" s="696" t="n">
        <v>43237</v>
      </c>
      <c r="B225" s="234" t="inlineStr">
        <is>
          <t>FIMTX</t>
        </is>
      </c>
      <c r="C225" s="229" t="inlineStr">
        <is>
          <t>小指06</t>
        </is>
      </c>
      <c r="D225" s="229" t="inlineStr">
        <is>
          <t>新倉</t>
        </is>
      </c>
      <c r="E225" s="257" t="inlineStr">
        <is>
          <t>賣</t>
        </is>
      </c>
      <c r="F225" s="229" t="inlineStr">
        <is>
          <t>-</t>
        </is>
      </c>
      <c r="G225" s="697" t="n">
        <v>1</v>
      </c>
      <c r="H225" s="697" t="n">
        <v>10824</v>
      </c>
      <c r="I225" s="697" t="n">
        <v>0</v>
      </c>
      <c r="J225" s="585" t="n">
        <v>23</v>
      </c>
      <c r="K225" s="585" t="n">
        <v>11</v>
      </c>
      <c r="L225" s="585">
        <f>IF(B225="TXO",I225-SUM(J225:K225),IF(B225="FITX",IF(D225="新倉",-SUM(J225:K225),IF(E225="賣",(H225-H224)*G225*200-SUM(J225:K225),(H224-H225)*G225*200-SUM(J225:K225))),IF(D225="新倉",-SUM(J225:K225),IF(E225="賣",(H225-H224)*G225*50-SUM(J225:K225),(H224-H225)*G225*50-SUM(J225:K225)))))</f>
        <v/>
      </c>
      <c r="M225" s="699">
        <f>L225</f>
        <v/>
      </c>
      <c r="N225" s="686">
        <f>IF(B225="TXO","",IF(D225="新倉","",IF(E225="賣",(H225-H224)*G225,(H224-H225)*G225)))</f>
        <v/>
      </c>
      <c r="O225" s="226">
        <f>ABS(I225)</f>
        <v/>
      </c>
      <c r="P225" s="667" t="n"/>
      <c r="S225" s="739" t="n"/>
      <c r="T225" s="61" t="n"/>
      <c r="U225" s="61" t="n"/>
      <c r="V225" s="61" t="n"/>
      <c r="W225" s="61" t="n"/>
    </row>
    <row r="226" hidden="1" outlineLevel="2" collapsed="1" ht="17.25" customHeight="1" thickBot="1">
      <c r="A226" s="696" t="n">
        <v>43237</v>
      </c>
      <c r="B226" s="234" t="inlineStr">
        <is>
          <t>FIMTX</t>
        </is>
      </c>
      <c r="C226" s="229" t="inlineStr">
        <is>
          <t>小指06</t>
        </is>
      </c>
      <c r="D226" s="229" t="inlineStr">
        <is>
          <t>平倉</t>
        </is>
      </c>
      <c r="E226" s="257" t="inlineStr">
        <is>
          <t>買</t>
        </is>
      </c>
      <c r="F226" s="229" t="inlineStr">
        <is>
          <t>-</t>
        </is>
      </c>
      <c r="G226" s="697" t="n">
        <v>1</v>
      </c>
      <c r="H226" s="697" t="n">
        <v>10820</v>
      </c>
      <c r="I226" s="697" t="n">
        <v>0</v>
      </c>
      <c r="J226" s="585" t="n">
        <v>23</v>
      </c>
      <c r="K226" s="585" t="n">
        <v>11</v>
      </c>
      <c r="L226" s="585">
        <f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/>
      </c>
      <c r="M226" s="699">
        <f>L226</f>
        <v/>
      </c>
      <c r="N226" s="686">
        <f>IF(B226="TXO","",IF(D226="新倉","",IF(E226="賣",(H226-H225)*G226,(H225-H226)*G226)))</f>
        <v/>
      </c>
      <c r="O226" s="226">
        <f>ABS(I226)</f>
        <v/>
      </c>
      <c r="P226" s="667" t="n"/>
      <c r="S226" s="739" t="n"/>
      <c r="T226" s="61" t="n"/>
      <c r="U226" s="61" t="n"/>
      <c r="V226" s="61" t="n"/>
      <c r="W226" s="61" t="n"/>
    </row>
    <row r="227" hidden="1" outlineLevel="2" collapsed="1" ht="17.25" customHeight="1" thickBot="1">
      <c r="A227" s="696" t="n">
        <v>43237</v>
      </c>
      <c r="B227" s="234" t="inlineStr">
        <is>
          <t>FIMTX</t>
        </is>
      </c>
      <c r="C227" s="229" t="inlineStr">
        <is>
          <t>小指06</t>
        </is>
      </c>
      <c r="D227" s="229" t="inlineStr">
        <is>
          <t>新倉</t>
        </is>
      </c>
      <c r="E227" s="257" t="inlineStr">
        <is>
          <t>賣</t>
        </is>
      </c>
      <c r="F227" s="229" t="inlineStr">
        <is>
          <t>-</t>
        </is>
      </c>
      <c r="G227" s="697" t="n">
        <v>1</v>
      </c>
      <c r="H227" s="697" t="n">
        <v>10824</v>
      </c>
      <c r="I227" s="697" t="n">
        <v>0</v>
      </c>
      <c r="J227" s="585" t="n">
        <v>23</v>
      </c>
      <c r="K227" s="585" t="n">
        <v>11</v>
      </c>
      <c r="L227" s="585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/>
      </c>
      <c r="M227" s="699">
        <f>L227</f>
        <v/>
      </c>
      <c r="N227" s="686">
        <f>IF(B227="TXO","",IF(D227="新倉","",IF(E227="賣",(H227-H226)*G227,(H226-H227)*G227)))</f>
        <v/>
      </c>
      <c r="O227" s="226">
        <f>ABS(I227)</f>
        <v/>
      </c>
      <c r="P227" s="667" t="n"/>
      <c r="S227" s="739" t="n"/>
      <c r="T227" s="61" t="n"/>
      <c r="U227" s="61" t="n"/>
      <c r="V227" s="61" t="n"/>
      <c r="W227" s="61" t="n"/>
    </row>
    <row r="228" hidden="1" outlineLevel="2" ht="17.25" customHeight="1" thickBot="1">
      <c r="A228" s="696" t="n">
        <v>43237</v>
      </c>
      <c r="B228" s="234" t="inlineStr">
        <is>
          <t>FIMTX</t>
        </is>
      </c>
      <c r="C228" s="229" t="inlineStr">
        <is>
          <t>小指06</t>
        </is>
      </c>
      <c r="D228" s="229" t="inlineStr">
        <is>
          <t>平倉</t>
        </is>
      </c>
      <c r="E228" s="257" t="inlineStr">
        <is>
          <t>買</t>
        </is>
      </c>
      <c r="F228" s="229" t="inlineStr">
        <is>
          <t>-</t>
        </is>
      </c>
      <c r="G228" s="697" t="n">
        <v>1</v>
      </c>
      <c r="H228" s="697" t="n">
        <v>10820</v>
      </c>
      <c r="I228" s="697" t="n">
        <v>0</v>
      </c>
      <c r="J228" s="585" t="n">
        <v>23</v>
      </c>
      <c r="K228" s="585" t="n">
        <v>11</v>
      </c>
      <c r="L228" s="585">
        <f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/>
      </c>
      <c r="M228" s="699">
        <f>L228</f>
        <v/>
      </c>
      <c r="N228" s="686">
        <f>IF(B228="TXO","",IF(D228="新倉","",IF(E228="賣",(H228-H227)*G228,(H227-H228)*G228)))</f>
        <v/>
      </c>
      <c r="O228" s="226">
        <f>ABS(I228)</f>
        <v/>
      </c>
      <c r="P228" s="667" t="n"/>
      <c r="S228" s="739" t="n"/>
      <c r="T228" s="61" t="n"/>
      <c r="U228" s="61" t="n"/>
      <c r="V228" s="61" t="n"/>
      <c r="W228" s="61" t="n"/>
    </row>
    <row r="229" hidden="1" outlineLevel="1" ht="17.25" customHeight="1" thickBot="1">
      <c r="A229" s="740" t="n">
        <v>43238</v>
      </c>
      <c r="B229" s="299" t="inlineStr">
        <is>
          <t>FIMTX</t>
        </is>
      </c>
      <c r="C229" s="300" t="inlineStr">
        <is>
          <t>小指06</t>
        </is>
      </c>
      <c r="D229" s="300" t="inlineStr">
        <is>
          <t>新倉</t>
        </is>
      </c>
      <c r="E229" s="301" t="inlineStr">
        <is>
          <t>賣</t>
        </is>
      </c>
      <c r="F229" s="300" t="inlineStr">
        <is>
          <t>-</t>
        </is>
      </c>
      <c r="G229" s="741" t="n">
        <v>1</v>
      </c>
      <c r="H229" s="741" t="n">
        <v>10837</v>
      </c>
      <c r="I229" s="741" t="n">
        <v>0</v>
      </c>
      <c r="J229" s="742" t="n">
        <v>23</v>
      </c>
      <c r="K229" s="742" t="n">
        <v>11</v>
      </c>
      <c r="L229" s="742">
        <f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/>
      </c>
      <c r="M229" s="743">
        <f>L229</f>
        <v/>
      </c>
      <c r="N229" s="686">
        <f>IF(B229="TXO","",IF(D229="新倉","",IF(E229="賣",(H229-H228)*G229,(H228-H229)*G229)))</f>
        <v/>
      </c>
      <c r="O229" s="226">
        <f>ABS(I229)</f>
        <v/>
      </c>
      <c r="P229" s="667">
        <f>SUM(L229:L236)</f>
        <v/>
      </c>
      <c r="S229" s="739" t="n"/>
      <c r="T229" s="61" t="n"/>
      <c r="U229" s="61" t="n"/>
      <c r="V229" s="61" t="n"/>
      <c r="W229" s="61" t="n"/>
    </row>
    <row r="230" hidden="1" outlineLevel="2" ht="17.25" customHeight="1" thickBot="1">
      <c r="A230" s="740" t="n">
        <v>43238</v>
      </c>
      <c r="B230" s="299" t="inlineStr">
        <is>
          <t>FIMTX</t>
        </is>
      </c>
      <c r="C230" s="300" t="inlineStr">
        <is>
          <t>小指06</t>
        </is>
      </c>
      <c r="D230" s="300" t="inlineStr">
        <is>
          <t>平倉</t>
        </is>
      </c>
      <c r="E230" s="301" t="inlineStr">
        <is>
          <t>買</t>
        </is>
      </c>
      <c r="F230" s="300" t="inlineStr">
        <is>
          <t>-</t>
        </is>
      </c>
      <c r="G230" s="741" t="n">
        <v>1</v>
      </c>
      <c r="H230" s="741" t="n">
        <v>10835</v>
      </c>
      <c r="I230" s="741" t="n">
        <v>0</v>
      </c>
      <c r="J230" s="742" t="n">
        <v>23</v>
      </c>
      <c r="K230" s="742" t="n">
        <v>11</v>
      </c>
      <c r="L230" s="742">
        <f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/>
      </c>
      <c r="M230" s="743">
        <f>L230</f>
        <v/>
      </c>
      <c r="N230" s="686">
        <f>IF(B230="TXO","",IF(D230="新倉","",IF(E230="賣",(H230-H229)*G230,(H229-H230)*G230)))</f>
        <v/>
      </c>
      <c r="O230" s="226">
        <f>ABS(I230)</f>
        <v/>
      </c>
      <c r="P230" s="667" t="n"/>
      <c r="S230" s="739" t="n"/>
      <c r="T230" s="61" t="n"/>
      <c r="U230" s="61" t="n"/>
      <c r="V230" s="61" t="n"/>
      <c r="W230" s="61" t="n"/>
    </row>
    <row r="231" hidden="1" outlineLevel="2" ht="17.25" customHeight="1" thickBot="1">
      <c r="A231" s="740" t="n">
        <v>43238</v>
      </c>
      <c r="B231" s="299" t="inlineStr">
        <is>
          <t>FIMTX</t>
        </is>
      </c>
      <c r="C231" s="300" t="inlineStr">
        <is>
          <t>小指06</t>
        </is>
      </c>
      <c r="D231" s="300" t="inlineStr">
        <is>
          <t>新倉</t>
        </is>
      </c>
      <c r="E231" s="301" t="inlineStr">
        <is>
          <t>賣</t>
        </is>
      </c>
      <c r="F231" s="300" t="inlineStr">
        <is>
          <t>-</t>
        </is>
      </c>
      <c r="G231" s="741" t="n">
        <v>1</v>
      </c>
      <c r="H231" s="741" t="n">
        <v>10837</v>
      </c>
      <c r="I231" s="741" t="n">
        <v>0</v>
      </c>
      <c r="J231" s="742" t="n">
        <v>23</v>
      </c>
      <c r="K231" s="742" t="n">
        <v>11</v>
      </c>
      <c r="L231" s="742">
        <f>IF(B231="TXO",I231-SUM(J231:K231),IF(B231="FITX",IF(D231="新倉",-SUM(J231:K231),IF(E231="賣",(H231-H230)*G231*200-SUM(J231:K231),(H230-H231)*G231*200-SUM(J231:K231))),IF(D231="新倉",-SUM(J231:K231),IF(E231="賣",(H231-H230)*G231*50-SUM(J231:K231),(H230-H231)*G231*50-SUM(J231:K231)))))</f>
        <v/>
      </c>
      <c r="M231" s="743">
        <f>L231</f>
        <v/>
      </c>
      <c r="N231" s="686">
        <f>IF(B231="TXO","",IF(D231="新倉","",IF(E231="賣",(H231-H230)*G231,(H230-H231)*G231)))</f>
        <v/>
      </c>
      <c r="O231" s="226">
        <f>ABS(I231)</f>
        <v/>
      </c>
      <c r="P231" s="667" t="n"/>
      <c r="S231" s="739" t="n"/>
      <c r="T231" s="61" t="n"/>
      <c r="U231" s="61" t="n"/>
      <c r="V231" s="61" t="n"/>
      <c r="W231" s="61" t="n"/>
    </row>
    <row r="232" hidden="1" outlineLevel="2" ht="17.25" customHeight="1" thickBot="1">
      <c r="A232" s="740" t="n">
        <v>43238</v>
      </c>
      <c r="B232" s="299" t="inlineStr">
        <is>
          <t>FIMTX</t>
        </is>
      </c>
      <c r="C232" s="300" t="inlineStr">
        <is>
          <t>小指06</t>
        </is>
      </c>
      <c r="D232" s="300" t="inlineStr">
        <is>
          <t>平倉</t>
        </is>
      </c>
      <c r="E232" s="301" t="inlineStr">
        <is>
          <t>買</t>
        </is>
      </c>
      <c r="F232" s="300" t="inlineStr">
        <is>
          <t>-</t>
        </is>
      </c>
      <c r="G232" s="741" t="n">
        <v>1</v>
      </c>
      <c r="H232" s="741" t="n">
        <v>10836</v>
      </c>
      <c r="I232" s="741" t="n">
        <v>0</v>
      </c>
      <c r="J232" s="742" t="n">
        <v>23</v>
      </c>
      <c r="K232" s="742" t="n">
        <v>11</v>
      </c>
      <c r="L232" s="742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/>
      </c>
      <c r="M232" s="743">
        <f>L232</f>
        <v/>
      </c>
      <c r="N232" s="686">
        <f>IF(B232="TXO","",IF(D232="新倉","",IF(E232="賣",(H232-H231)*G232,(H231-H232)*G232)))</f>
        <v/>
      </c>
      <c r="O232" s="226">
        <f>ABS(I232)</f>
        <v/>
      </c>
      <c r="P232" s="667" t="n"/>
      <c r="S232" s="739" t="n"/>
      <c r="T232" s="61" t="n"/>
      <c r="U232" s="61" t="n"/>
      <c r="V232" s="61" t="n"/>
      <c r="W232" s="61" t="n"/>
    </row>
    <row r="233" hidden="1" outlineLevel="2" ht="17.25" customHeight="1" thickBot="1">
      <c r="A233" s="740" t="n">
        <v>43238</v>
      </c>
      <c r="B233" s="299" t="inlineStr">
        <is>
          <t>FIMTX</t>
        </is>
      </c>
      <c r="C233" s="300" t="inlineStr">
        <is>
          <t>小指06</t>
        </is>
      </c>
      <c r="D233" s="300" t="inlineStr">
        <is>
          <t>新倉</t>
        </is>
      </c>
      <c r="E233" s="301" t="inlineStr">
        <is>
          <t>賣</t>
        </is>
      </c>
      <c r="F233" s="300" t="inlineStr">
        <is>
          <t>-</t>
        </is>
      </c>
      <c r="G233" s="741" t="n">
        <v>1</v>
      </c>
      <c r="H233" s="741" t="n">
        <v>10838</v>
      </c>
      <c r="I233" s="741" t="n">
        <v>0</v>
      </c>
      <c r="J233" s="742" t="n">
        <v>23</v>
      </c>
      <c r="K233" s="742" t="n">
        <v>11</v>
      </c>
      <c r="L233" s="742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/>
      </c>
      <c r="M233" s="743">
        <f>L233</f>
        <v/>
      </c>
      <c r="N233" s="686">
        <f>IF(B233="TXO","",IF(D233="新倉","",IF(E233="賣",(H233-H232)*G233,(H232-H233)*G233)))</f>
        <v/>
      </c>
      <c r="O233" s="226">
        <f>ABS(I233)</f>
        <v/>
      </c>
      <c r="P233" s="667" t="n"/>
      <c r="S233" s="739" t="n"/>
      <c r="T233" s="61" t="n"/>
      <c r="U233" s="61" t="n"/>
      <c r="V233" s="61" t="n"/>
      <c r="W233" s="61" t="n"/>
    </row>
    <row r="234" hidden="1" outlineLevel="2" ht="17.25" customHeight="1" thickBot="1">
      <c r="A234" s="740" t="n">
        <v>43238</v>
      </c>
      <c r="B234" s="299" t="inlineStr">
        <is>
          <t>FIMTX</t>
        </is>
      </c>
      <c r="C234" s="300" t="inlineStr">
        <is>
          <t>小指06</t>
        </is>
      </c>
      <c r="D234" s="300" t="inlineStr">
        <is>
          <t>平倉</t>
        </is>
      </c>
      <c r="E234" s="301" t="inlineStr">
        <is>
          <t>買</t>
        </is>
      </c>
      <c r="F234" s="300" t="inlineStr">
        <is>
          <t>-</t>
        </is>
      </c>
      <c r="G234" s="741" t="n">
        <v>1</v>
      </c>
      <c r="H234" s="741" t="n">
        <v>10835</v>
      </c>
      <c r="I234" s="741" t="n">
        <v>0</v>
      </c>
      <c r="J234" s="742" t="n">
        <v>23</v>
      </c>
      <c r="K234" s="742" t="n">
        <v>11</v>
      </c>
      <c r="L234" s="742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/>
      </c>
      <c r="M234" s="743">
        <f>L234</f>
        <v/>
      </c>
      <c r="N234" s="686">
        <f>IF(B234="TXO","",IF(D234="新倉","",IF(E234="賣",(H234-H233)*G234,(H233-H234)*G234)))</f>
        <v/>
      </c>
      <c r="O234" s="226">
        <f>ABS(I234)</f>
        <v/>
      </c>
      <c r="P234" s="667" t="n"/>
      <c r="S234" s="739" t="n"/>
      <c r="T234" s="61" t="n"/>
      <c r="U234" s="61" t="n"/>
      <c r="V234" s="61" t="n"/>
      <c r="W234" s="61" t="n"/>
    </row>
    <row r="235" hidden="1" outlineLevel="2" ht="17.25" customHeight="1" thickBot="1">
      <c r="A235" s="740" t="n">
        <v>43238</v>
      </c>
      <c r="B235" s="299" t="inlineStr">
        <is>
          <t>FIMTX</t>
        </is>
      </c>
      <c r="C235" s="300" t="inlineStr">
        <is>
          <t>小指06</t>
        </is>
      </c>
      <c r="D235" s="300" t="inlineStr">
        <is>
          <t>新倉</t>
        </is>
      </c>
      <c r="E235" s="301" t="inlineStr">
        <is>
          <t>賣</t>
        </is>
      </c>
      <c r="F235" s="300" t="inlineStr">
        <is>
          <t>-</t>
        </is>
      </c>
      <c r="G235" s="741" t="n">
        <v>1</v>
      </c>
      <c r="H235" s="741" t="n">
        <v>10838</v>
      </c>
      <c r="I235" s="741" t="n">
        <v>0</v>
      </c>
      <c r="J235" s="742" t="n">
        <v>23</v>
      </c>
      <c r="K235" s="742" t="n">
        <v>11</v>
      </c>
      <c r="L235" s="742">
        <f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/>
      </c>
      <c r="M235" s="743">
        <f>L235</f>
        <v/>
      </c>
      <c r="N235" s="686">
        <f>IF(B235="TXO","",IF(D235="新倉","",IF(E235="賣",(H235-H234)*G235,(H234-H235)*G235)))</f>
        <v/>
      </c>
      <c r="O235" s="226">
        <f>ABS(I235)</f>
        <v/>
      </c>
      <c r="P235" s="667" t="n"/>
      <c r="S235" s="739" t="n"/>
      <c r="T235" s="61" t="n"/>
      <c r="U235" s="61" t="n"/>
      <c r="V235" s="61" t="n"/>
      <c r="W235" s="61" t="n"/>
    </row>
    <row r="236" hidden="1" outlineLevel="2" ht="17.25" customHeight="1" thickBot="1">
      <c r="A236" s="740" t="n">
        <v>43238</v>
      </c>
      <c r="B236" s="299" t="inlineStr">
        <is>
          <t>FIMTX</t>
        </is>
      </c>
      <c r="C236" s="300" t="inlineStr">
        <is>
          <t>小指06</t>
        </is>
      </c>
      <c r="D236" s="300" t="inlineStr">
        <is>
          <t>平倉</t>
        </is>
      </c>
      <c r="E236" s="301" t="inlineStr">
        <is>
          <t>買</t>
        </is>
      </c>
      <c r="F236" s="300" t="inlineStr">
        <is>
          <t>-</t>
        </is>
      </c>
      <c r="G236" s="741" t="n">
        <v>1</v>
      </c>
      <c r="H236" s="741" t="n">
        <v>10836</v>
      </c>
      <c r="I236" s="741" t="n">
        <v>0</v>
      </c>
      <c r="J236" s="742" t="n">
        <v>23</v>
      </c>
      <c r="K236" s="742" t="n">
        <v>11</v>
      </c>
      <c r="L236" s="742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/>
      </c>
      <c r="M236" s="743">
        <f>L236</f>
        <v/>
      </c>
      <c r="N236" s="686">
        <f>IF(B236="TXO","",IF(D236="新倉","",IF(E236="賣",(H236-H235)*G236,(H235-H236)*G236)))</f>
        <v/>
      </c>
      <c r="O236" s="226">
        <f>ABS(I236)</f>
        <v/>
      </c>
      <c r="P236" s="667" t="n"/>
      <c r="S236" s="739" t="n"/>
      <c r="T236" s="61" t="n"/>
      <c r="U236" s="61" t="n"/>
      <c r="V236" s="61" t="n"/>
      <c r="W236" s="61" t="n"/>
    </row>
    <row r="237" hidden="1" outlineLevel="1" ht="17.25" customHeight="1" thickBot="1">
      <c r="A237" s="696" t="n">
        <v>43242</v>
      </c>
      <c r="B237" s="234" t="inlineStr">
        <is>
          <t>FIMTX</t>
        </is>
      </c>
      <c r="C237" s="229" t="inlineStr">
        <is>
          <t>小指06</t>
        </is>
      </c>
      <c r="D237" s="229" t="inlineStr">
        <is>
          <t>新倉</t>
        </is>
      </c>
      <c r="E237" s="257" t="inlineStr">
        <is>
          <t>買</t>
        </is>
      </c>
      <c r="F237" s="229" t="inlineStr">
        <is>
          <t>-</t>
        </is>
      </c>
      <c r="G237" s="697" t="n">
        <v>1</v>
      </c>
      <c r="H237" s="697" t="n">
        <v>10918</v>
      </c>
      <c r="I237" s="697" t="n">
        <v>0</v>
      </c>
      <c r="J237" s="585" t="n">
        <v>23</v>
      </c>
      <c r="K237" s="585" t="n">
        <v>11</v>
      </c>
      <c r="L237" s="585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/>
      </c>
      <c r="M237" s="699">
        <f>L237</f>
        <v/>
      </c>
      <c r="N237" s="686">
        <f>IF(B237="TXO","",IF(D237="新倉","",IF(E237="賣",(H237-H236)*G237,(H236-H237)*G237)))</f>
        <v/>
      </c>
      <c r="O237" s="226">
        <f>ABS(I237)</f>
        <v/>
      </c>
      <c r="P237" s="667">
        <f>SUM(L237:L252)</f>
        <v/>
      </c>
      <c r="S237" s="739" t="n"/>
      <c r="T237" s="61" t="n"/>
      <c r="U237" s="61" t="n"/>
      <c r="V237" s="61" t="n"/>
      <c r="W237" s="61" t="n"/>
    </row>
    <row r="238" hidden="1" outlineLevel="2" collapsed="1" ht="17.25" customHeight="1" thickBot="1">
      <c r="A238" s="696" t="n">
        <v>43242</v>
      </c>
      <c r="B238" s="234" t="inlineStr">
        <is>
          <t>FIMTX</t>
        </is>
      </c>
      <c r="C238" s="229" t="inlineStr">
        <is>
          <t>小指06</t>
        </is>
      </c>
      <c r="D238" s="229" t="inlineStr">
        <is>
          <t>平倉</t>
        </is>
      </c>
      <c r="E238" s="257" t="inlineStr">
        <is>
          <t>賣</t>
        </is>
      </c>
      <c r="F238" s="229" t="inlineStr">
        <is>
          <t>-</t>
        </is>
      </c>
      <c r="G238" s="697" t="n">
        <v>1</v>
      </c>
      <c r="H238" s="697" t="n">
        <v>10919</v>
      </c>
      <c r="I238" s="697" t="n">
        <v>0</v>
      </c>
      <c r="J238" s="585" t="n">
        <v>23</v>
      </c>
      <c r="K238" s="585" t="n">
        <v>11</v>
      </c>
      <c r="L238" s="585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/>
      </c>
      <c r="M238" s="699">
        <f>L238</f>
        <v/>
      </c>
      <c r="N238" s="686">
        <f>IF(B238="TXO","",IF(D238="新倉","",IF(E238="賣",(H238-H237)*G238,(H237-H238)*G238)))</f>
        <v/>
      </c>
      <c r="O238" s="226">
        <f>ABS(I238)</f>
        <v/>
      </c>
      <c r="P238" s="667" t="n"/>
      <c r="S238" s="739" t="n"/>
      <c r="T238" s="61" t="n"/>
      <c r="U238" s="61" t="n"/>
      <c r="V238" s="61" t="n"/>
      <c r="W238" s="61" t="n"/>
    </row>
    <row r="239" hidden="1" outlineLevel="2" collapsed="1" ht="17.25" customHeight="1" thickBot="1">
      <c r="A239" s="696" t="n">
        <v>43242</v>
      </c>
      <c r="B239" s="234" t="inlineStr">
        <is>
          <t>FIMTX</t>
        </is>
      </c>
      <c r="C239" s="229" t="inlineStr">
        <is>
          <t>小指06</t>
        </is>
      </c>
      <c r="D239" s="229" t="inlineStr">
        <is>
          <t>新倉</t>
        </is>
      </c>
      <c r="E239" s="257" t="inlineStr">
        <is>
          <t>買</t>
        </is>
      </c>
      <c r="F239" s="229" t="inlineStr">
        <is>
          <t>-</t>
        </is>
      </c>
      <c r="G239" s="697" t="n">
        <v>1</v>
      </c>
      <c r="H239" s="697" t="n">
        <v>10917</v>
      </c>
      <c r="I239" s="697" t="n">
        <v>0</v>
      </c>
      <c r="J239" s="585" t="n">
        <v>23</v>
      </c>
      <c r="K239" s="585" t="n">
        <v>11</v>
      </c>
      <c r="L239" s="585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/>
      </c>
      <c r="M239" s="699">
        <f>L239</f>
        <v/>
      </c>
      <c r="N239" s="686">
        <f>IF(B239="TXO","",IF(D239="新倉","",IF(E239="賣",(H239-H238)*G239,(H238-H239)*G239)))</f>
        <v/>
      </c>
      <c r="O239" s="226">
        <f>ABS(I239)</f>
        <v/>
      </c>
      <c r="P239" s="667" t="n"/>
      <c r="S239" s="739" t="n"/>
      <c r="T239" s="61" t="n"/>
      <c r="U239" s="61" t="n"/>
      <c r="V239" s="61" t="n"/>
      <c r="W239" s="61" t="n"/>
    </row>
    <row r="240" hidden="1" outlineLevel="2" collapsed="1" ht="17.25" customHeight="1" thickBot="1">
      <c r="A240" s="696" t="n">
        <v>43242</v>
      </c>
      <c r="B240" s="234" t="inlineStr">
        <is>
          <t>FIMTX</t>
        </is>
      </c>
      <c r="C240" s="229" t="inlineStr">
        <is>
          <t>小指06</t>
        </is>
      </c>
      <c r="D240" s="229" t="inlineStr">
        <is>
          <t>平倉</t>
        </is>
      </c>
      <c r="E240" s="257" t="inlineStr">
        <is>
          <t>賣</t>
        </is>
      </c>
      <c r="F240" s="229" t="inlineStr">
        <is>
          <t>-</t>
        </is>
      </c>
      <c r="G240" s="697" t="n">
        <v>1</v>
      </c>
      <c r="H240" s="697" t="n">
        <v>10919</v>
      </c>
      <c r="I240" s="697" t="n">
        <v>0</v>
      </c>
      <c r="J240" s="585" t="n">
        <v>23</v>
      </c>
      <c r="K240" s="585" t="n">
        <v>11</v>
      </c>
      <c r="L240" s="585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/>
      </c>
      <c r="M240" s="699">
        <f>L240</f>
        <v/>
      </c>
      <c r="N240" s="686">
        <f>IF(B240="TXO","",IF(D240="新倉","",IF(E240="賣",(H240-H239)*G240,(H239-H240)*G240)))</f>
        <v/>
      </c>
      <c r="O240" s="226">
        <f>ABS(I240)</f>
        <v/>
      </c>
      <c r="P240" s="667" t="n"/>
      <c r="S240" s="739" t="n"/>
      <c r="T240" s="61" t="n"/>
      <c r="U240" s="61" t="n"/>
      <c r="V240" s="61" t="n"/>
      <c r="W240" s="61" t="n"/>
    </row>
    <row r="241" hidden="1" outlineLevel="2" collapsed="1" ht="17.25" customHeight="1" thickBot="1">
      <c r="A241" s="696" t="n">
        <v>43242</v>
      </c>
      <c r="B241" s="234" t="inlineStr">
        <is>
          <t>FIMTX</t>
        </is>
      </c>
      <c r="C241" s="229" t="inlineStr">
        <is>
          <t>小指06</t>
        </is>
      </c>
      <c r="D241" s="229" t="inlineStr">
        <is>
          <t>新倉</t>
        </is>
      </c>
      <c r="E241" s="257" t="inlineStr">
        <is>
          <t>買</t>
        </is>
      </c>
      <c r="F241" s="229" t="inlineStr">
        <is>
          <t>-</t>
        </is>
      </c>
      <c r="G241" s="697" t="n">
        <v>1</v>
      </c>
      <c r="H241" s="697" t="n">
        <v>10917</v>
      </c>
      <c r="I241" s="697" t="n">
        <v>0</v>
      </c>
      <c r="J241" s="585" t="n">
        <v>23</v>
      </c>
      <c r="K241" s="585" t="n">
        <v>11</v>
      </c>
      <c r="L241" s="585">
        <f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/>
      </c>
      <c r="M241" s="699">
        <f>L241</f>
        <v/>
      </c>
      <c r="N241" s="686">
        <f>IF(B241="TXO","",IF(D241="新倉","",IF(E241="賣",(H241-H240)*G241,(H240-H241)*G241)))</f>
        <v/>
      </c>
      <c r="O241" s="226">
        <f>ABS(I241)</f>
        <v/>
      </c>
      <c r="P241" s="667" t="n"/>
      <c r="S241" s="739" t="n"/>
      <c r="T241" s="61" t="n"/>
      <c r="U241" s="61" t="n"/>
      <c r="V241" s="61" t="n"/>
      <c r="W241" s="61" t="n"/>
    </row>
    <row r="242" hidden="1" outlineLevel="2" collapsed="1" ht="17.25" customHeight="1" thickBot="1">
      <c r="A242" s="696" t="n">
        <v>43242</v>
      </c>
      <c r="B242" s="234" t="inlineStr">
        <is>
          <t>FIMTX</t>
        </is>
      </c>
      <c r="C242" s="229" t="inlineStr">
        <is>
          <t>小指06</t>
        </is>
      </c>
      <c r="D242" s="229" t="inlineStr">
        <is>
          <t>平倉</t>
        </is>
      </c>
      <c r="E242" s="257" t="inlineStr">
        <is>
          <t>賣</t>
        </is>
      </c>
      <c r="F242" s="229" t="inlineStr">
        <is>
          <t>-</t>
        </is>
      </c>
      <c r="G242" s="697" t="n">
        <v>1</v>
      </c>
      <c r="H242" s="697" t="n">
        <v>10919</v>
      </c>
      <c r="I242" s="697" t="n">
        <v>0</v>
      </c>
      <c r="J242" s="585" t="n">
        <v>23</v>
      </c>
      <c r="K242" s="585" t="n">
        <v>11</v>
      </c>
      <c r="L242" s="585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/>
      </c>
      <c r="M242" s="699">
        <f>L242</f>
        <v/>
      </c>
      <c r="N242" s="686">
        <f>IF(B242="TXO","",IF(D242="新倉","",IF(E242="賣",(H242-H241)*G242,(H241-H242)*G242)))</f>
        <v/>
      </c>
      <c r="O242" s="226">
        <f>ABS(I242)</f>
        <v/>
      </c>
      <c r="P242" s="667" t="n"/>
      <c r="S242" s="739" t="n"/>
      <c r="T242" s="61" t="n"/>
      <c r="U242" s="61" t="n"/>
      <c r="V242" s="61" t="n"/>
      <c r="W242" s="61" t="n"/>
    </row>
    <row r="243" hidden="1" outlineLevel="2" ht="17.25" customHeight="1" thickBot="1">
      <c r="A243" s="696" t="n">
        <v>43242</v>
      </c>
      <c r="B243" s="234" t="inlineStr">
        <is>
          <t>FITX</t>
        </is>
      </c>
      <c r="C243" s="229" t="inlineStr">
        <is>
          <t>台指06</t>
        </is>
      </c>
      <c r="D243" s="229" t="inlineStr">
        <is>
          <t>新倉</t>
        </is>
      </c>
      <c r="E243" s="257" t="inlineStr">
        <is>
          <t>買</t>
        </is>
      </c>
      <c r="F243" s="229" t="inlineStr">
        <is>
          <t>-</t>
        </is>
      </c>
      <c r="G243" s="697" t="n">
        <v>1</v>
      </c>
      <c r="H243" s="697" t="n">
        <v>10980</v>
      </c>
      <c r="I243" s="697" t="n">
        <v>0</v>
      </c>
      <c r="J243" s="585" t="n">
        <v>45</v>
      </c>
      <c r="K243" s="585" t="n">
        <v>44</v>
      </c>
      <c r="L243" s="585">
        <f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/>
      </c>
      <c r="M243" s="699">
        <f>L243</f>
        <v/>
      </c>
      <c r="N243" s="686">
        <f>IF(B243="TXO","",IF(D243="新倉","",IF(E243="賣",(H243-H242)*G243,(H242-H243)*G243)))</f>
        <v/>
      </c>
      <c r="O243" s="226">
        <f>ABS(I243)</f>
        <v/>
      </c>
      <c r="P243" s="667" t="n"/>
      <c r="S243" s="739" t="n"/>
      <c r="T243" s="61" t="n"/>
      <c r="U243" s="61" t="n"/>
      <c r="V243" s="61" t="n"/>
      <c r="W243" s="61" t="n"/>
    </row>
    <row r="244" hidden="1" outlineLevel="2" collapsed="1" ht="17.25" customHeight="1" thickBot="1">
      <c r="A244" s="696" t="n">
        <v>43242</v>
      </c>
      <c r="B244" s="234" t="inlineStr">
        <is>
          <t>FITX</t>
        </is>
      </c>
      <c r="C244" s="229" t="inlineStr">
        <is>
          <t>台指06</t>
        </is>
      </c>
      <c r="D244" s="229" t="inlineStr">
        <is>
          <t>平倉</t>
        </is>
      </c>
      <c r="E244" s="257" t="inlineStr">
        <is>
          <t>賣</t>
        </is>
      </c>
      <c r="F244" s="229" t="inlineStr">
        <is>
          <t>-</t>
        </is>
      </c>
      <c r="G244" s="697" t="n">
        <v>1</v>
      </c>
      <c r="H244" s="697" t="n">
        <v>10967</v>
      </c>
      <c r="I244" s="697" t="n">
        <v>0</v>
      </c>
      <c r="J244" s="585" t="n">
        <v>45</v>
      </c>
      <c r="K244" s="585" t="n">
        <v>44</v>
      </c>
      <c r="L244" s="585">
        <f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/>
      </c>
      <c r="M244" s="699">
        <f>L244</f>
        <v/>
      </c>
      <c r="N244" s="686">
        <f>IF(B244="TXO","",IF(D244="新倉","",IF(E244="賣",(H244-H243)*G244,(H243-H244)*G244)))</f>
        <v/>
      </c>
      <c r="O244" s="226">
        <f>ABS(I244)</f>
        <v/>
      </c>
      <c r="P244" s="667" t="n"/>
      <c r="S244" s="739" t="n"/>
      <c r="T244" s="61" t="n"/>
      <c r="U244" s="61" t="n"/>
      <c r="V244" s="61" t="n"/>
      <c r="W244" s="61" t="n"/>
    </row>
    <row r="245" hidden="1" outlineLevel="2" collapsed="1" ht="17.25" customHeight="1" thickBot="1">
      <c r="A245" s="696" t="n">
        <v>43242</v>
      </c>
      <c r="B245" s="234" t="inlineStr">
        <is>
          <t>FIMTX</t>
        </is>
      </c>
      <c r="C245" s="229" t="inlineStr">
        <is>
          <t>小指06</t>
        </is>
      </c>
      <c r="D245" s="229" t="inlineStr">
        <is>
          <t>新倉</t>
        </is>
      </c>
      <c r="E245" s="257" t="inlineStr">
        <is>
          <t>賣</t>
        </is>
      </c>
      <c r="F245" s="229" t="inlineStr">
        <is>
          <t>-</t>
        </is>
      </c>
      <c r="G245" s="697" t="n">
        <v>1</v>
      </c>
      <c r="H245" s="697" t="n">
        <v>10961</v>
      </c>
      <c r="I245" s="697" t="n">
        <v>0</v>
      </c>
      <c r="J245" s="585" t="n">
        <v>23</v>
      </c>
      <c r="K245" s="585" t="n">
        <v>11</v>
      </c>
      <c r="L245" s="585">
        <f>IF(B245="TXO",I245-SUM(J245:K245),IF(B245="FITX",IF(D245="新倉",-SUM(J245:K245),IF(E245="賣",(H245-H244)*G245*200-SUM(J245:K245),(H244-H245)*G245*200-SUM(J245:K245))),IF(D245="新倉",-SUM(J245:K245),IF(E245="賣",(H245-H244)*G245*50-SUM(J245:K245),(H244-H245)*G245*50-SUM(J245:K245)))))</f>
        <v/>
      </c>
      <c r="M245" s="699">
        <f>L245</f>
        <v/>
      </c>
      <c r="N245" s="686">
        <f>IF(B245="TXO","",IF(D245="新倉","",IF(E245="賣",(H245-H244)*G245,(H244-H245)*G245)))</f>
        <v/>
      </c>
      <c r="O245" s="226">
        <f>ABS(I245)</f>
        <v/>
      </c>
      <c r="P245" s="667" t="n"/>
      <c r="S245" s="739" t="n"/>
      <c r="T245" s="61" t="n"/>
      <c r="U245" s="61" t="n"/>
      <c r="V245" s="61" t="n"/>
      <c r="W245" s="61" t="n"/>
    </row>
    <row r="246" hidden="1" outlineLevel="2" collapsed="1" ht="17.25" customHeight="1" thickBot="1">
      <c r="A246" s="696" t="n">
        <v>43242</v>
      </c>
      <c r="B246" s="234" t="inlineStr">
        <is>
          <t>FIMTX</t>
        </is>
      </c>
      <c r="C246" s="229" t="inlineStr">
        <is>
          <t>小指06</t>
        </is>
      </c>
      <c r="D246" s="229" t="inlineStr">
        <is>
          <t>平倉</t>
        </is>
      </c>
      <c r="E246" s="257" t="inlineStr">
        <is>
          <t>買</t>
        </is>
      </c>
      <c r="F246" s="229" t="inlineStr">
        <is>
          <t>-</t>
        </is>
      </c>
      <c r="G246" s="697" t="n">
        <v>1</v>
      </c>
      <c r="H246" s="697" t="n">
        <v>10974</v>
      </c>
      <c r="I246" s="697" t="n">
        <v>0</v>
      </c>
      <c r="J246" s="585" t="n">
        <v>23</v>
      </c>
      <c r="K246" s="585" t="n">
        <v>11</v>
      </c>
      <c r="L246" s="585">
        <f>IF(B246="TXO",I246-SUM(J246:K246),IF(B246="FITX",IF(D246="新倉",-SUM(J246:K246),IF(E246="賣",(H246-H245)*G246*200-SUM(J246:K246),(H245-H246)*G246*200-SUM(J246:K246))),IF(D246="新倉",-SUM(J246:K246),IF(E246="賣",(H246-H245)*G246*50-SUM(J246:K246),(H245-H246)*G246*50-SUM(J246:K246)))))</f>
        <v/>
      </c>
      <c r="M246" s="699">
        <f>L246</f>
        <v/>
      </c>
      <c r="N246" s="686">
        <f>IF(B246="TXO","",IF(D246="新倉","",IF(E246="賣",(H246-H245)*G246,(H245-H246)*G246)))</f>
        <v/>
      </c>
      <c r="O246" s="226">
        <f>ABS(I246)</f>
        <v/>
      </c>
      <c r="P246" s="667" t="n"/>
      <c r="S246" s="739" t="n"/>
      <c r="T246" s="61" t="n"/>
      <c r="U246" s="61" t="n"/>
      <c r="V246" s="61" t="n"/>
      <c r="W246" s="61" t="n"/>
    </row>
    <row r="247" hidden="1" outlineLevel="2" collapsed="1" ht="17.25" customHeight="1" thickBot="1">
      <c r="A247" s="696" t="n">
        <v>43242</v>
      </c>
      <c r="B247" s="234" t="inlineStr">
        <is>
          <t>FIMTX</t>
        </is>
      </c>
      <c r="C247" s="229" t="inlineStr">
        <is>
          <t>小指06</t>
        </is>
      </c>
      <c r="D247" s="229" t="inlineStr">
        <is>
          <t>新倉</t>
        </is>
      </c>
      <c r="E247" s="257" t="inlineStr">
        <is>
          <t>賣</t>
        </is>
      </c>
      <c r="F247" s="229" t="inlineStr">
        <is>
          <t>-</t>
        </is>
      </c>
      <c r="G247" s="697" t="n">
        <v>1</v>
      </c>
      <c r="H247" s="697" t="n">
        <v>10960</v>
      </c>
      <c r="I247" s="697" t="n">
        <v>0</v>
      </c>
      <c r="J247" s="585" t="n">
        <v>23</v>
      </c>
      <c r="K247" s="585" t="n">
        <v>11</v>
      </c>
      <c r="L247" s="585">
        <f>IF(B247="TXO",I247-SUM(J247:K247),IF(B247="FITX",IF(D247="新倉",-SUM(J247:K247),IF(E247="賣",(H247-H246)*G247*200-SUM(J247:K247),(H246-H247)*G247*200-SUM(J247:K247))),IF(D247="新倉",-SUM(J247:K247),IF(E247="賣",(H247-H246)*G247*50-SUM(J247:K247),(H246-H247)*G247*50-SUM(J247:K247)))))</f>
        <v/>
      </c>
      <c r="M247" s="699">
        <f>L247</f>
        <v/>
      </c>
      <c r="N247" s="686">
        <f>IF(B247="TXO","",IF(D247="新倉","",IF(E247="賣",(H247-H246)*G247,(H246-H247)*G247)))</f>
        <v/>
      </c>
      <c r="O247" s="226">
        <f>ABS(I247)</f>
        <v/>
      </c>
      <c r="P247" s="667" t="n"/>
      <c r="S247" s="739" t="n"/>
      <c r="T247" s="61" t="n"/>
      <c r="U247" s="61" t="n"/>
      <c r="V247" s="61" t="n"/>
      <c r="W247" s="61" t="n"/>
    </row>
    <row r="248" hidden="1" outlineLevel="2" collapsed="1" ht="17.25" customHeight="1" thickBot="1">
      <c r="A248" s="696" t="n">
        <v>43242</v>
      </c>
      <c r="B248" s="234" t="inlineStr">
        <is>
          <t>FIMTX</t>
        </is>
      </c>
      <c r="C248" s="229" t="inlineStr">
        <is>
          <t>小指06</t>
        </is>
      </c>
      <c r="D248" s="229" t="inlineStr">
        <is>
          <t>平倉</t>
        </is>
      </c>
      <c r="E248" s="257" t="inlineStr">
        <is>
          <t>買</t>
        </is>
      </c>
      <c r="F248" s="229" t="inlineStr">
        <is>
          <t>-</t>
        </is>
      </c>
      <c r="G248" s="697" t="n">
        <v>1</v>
      </c>
      <c r="H248" s="697" t="n">
        <v>10974</v>
      </c>
      <c r="I248" s="697" t="n">
        <v>0</v>
      </c>
      <c r="J248" s="585" t="n">
        <v>23</v>
      </c>
      <c r="K248" s="585" t="n">
        <v>11</v>
      </c>
      <c r="L248" s="585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/>
      </c>
      <c r="M248" s="699">
        <f>L248</f>
        <v/>
      </c>
      <c r="N248" s="686">
        <f>IF(B248="TXO","",IF(D248="新倉","",IF(E248="賣",(H248-H247)*G248,(H247-H248)*G248)))</f>
        <v/>
      </c>
      <c r="O248" s="226">
        <f>ABS(I248)</f>
        <v/>
      </c>
      <c r="P248" s="667" t="n"/>
      <c r="S248" s="739" t="n"/>
      <c r="T248" s="61" t="n"/>
      <c r="U248" s="61" t="n"/>
      <c r="V248" s="61" t="n"/>
      <c r="W248" s="61" t="n"/>
    </row>
    <row r="249" hidden="1" outlineLevel="2" ht="17.25" customHeight="1" thickBot="1">
      <c r="A249" s="696" t="n">
        <v>43242</v>
      </c>
      <c r="B249" s="234" t="inlineStr">
        <is>
          <t>FIMTX</t>
        </is>
      </c>
      <c r="C249" s="229" t="inlineStr">
        <is>
          <t>小指06</t>
        </is>
      </c>
      <c r="D249" s="229" t="inlineStr">
        <is>
          <t>新倉</t>
        </is>
      </c>
      <c r="E249" s="257" t="inlineStr">
        <is>
          <t>買</t>
        </is>
      </c>
      <c r="F249" s="229" t="inlineStr">
        <is>
          <t>-</t>
        </is>
      </c>
      <c r="G249" s="697" t="n">
        <v>1</v>
      </c>
      <c r="H249" s="697" t="n">
        <v>10918</v>
      </c>
      <c r="I249" s="697" t="n">
        <v>0</v>
      </c>
      <c r="J249" s="585" t="n">
        <v>23</v>
      </c>
      <c r="K249" s="585" t="n">
        <v>11</v>
      </c>
      <c r="L249" s="585">
        <f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/>
      </c>
      <c r="M249" s="699">
        <f>L249</f>
        <v/>
      </c>
      <c r="N249" s="686">
        <f>IF(B249="TXO","",IF(D249="新倉","",IF(E249="賣",(H249-H248)*G249,(H248-H249)*G249)))</f>
        <v/>
      </c>
      <c r="O249" s="226">
        <f>ABS(I249)</f>
        <v/>
      </c>
      <c r="P249" s="667" t="n"/>
      <c r="S249" s="739" t="n"/>
      <c r="T249" s="61" t="n"/>
      <c r="U249" s="61" t="n"/>
      <c r="V249" s="61" t="n"/>
      <c r="W249" s="61" t="n"/>
    </row>
    <row r="250" hidden="1" outlineLevel="2" collapsed="1" ht="17.25" customHeight="1" thickBot="1">
      <c r="A250" s="696" t="n">
        <v>43242</v>
      </c>
      <c r="B250" s="234" t="inlineStr">
        <is>
          <t>FIMTX</t>
        </is>
      </c>
      <c r="C250" s="229" t="inlineStr">
        <is>
          <t>小指06</t>
        </is>
      </c>
      <c r="D250" s="229" t="inlineStr">
        <is>
          <t>平倉</t>
        </is>
      </c>
      <c r="E250" s="257" t="inlineStr">
        <is>
          <t>賣</t>
        </is>
      </c>
      <c r="F250" s="229" t="inlineStr">
        <is>
          <t>-</t>
        </is>
      </c>
      <c r="G250" s="697" t="n">
        <v>1</v>
      </c>
      <c r="H250" s="697" t="n">
        <v>10918</v>
      </c>
      <c r="I250" s="697" t="n">
        <v>0</v>
      </c>
      <c r="J250" s="585" t="n">
        <v>23</v>
      </c>
      <c r="K250" s="585" t="n">
        <v>11</v>
      </c>
      <c r="L250" s="585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/>
      </c>
      <c r="M250" s="699">
        <f>L250</f>
        <v/>
      </c>
      <c r="N250" s="686">
        <f>IF(B250="TXO","",IF(D250="新倉","",IF(E250="賣",(H250-H249)*G250,(H249-H250)*G250)))</f>
        <v/>
      </c>
      <c r="O250" s="226">
        <f>ABS(I250)</f>
        <v/>
      </c>
      <c r="P250" s="667" t="n"/>
      <c r="S250" s="739" t="n"/>
      <c r="T250" s="61" t="n"/>
      <c r="U250" s="61" t="n"/>
      <c r="V250" s="61" t="n"/>
      <c r="W250" s="61" t="n"/>
    </row>
    <row r="251" hidden="1" outlineLevel="2" collapsed="1" ht="17.25" customHeight="1" thickBot="1">
      <c r="A251" s="696" t="n">
        <v>43242</v>
      </c>
      <c r="B251" s="234" t="inlineStr">
        <is>
          <t>FIMTX</t>
        </is>
      </c>
      <c r="C251" s="229" t="inlineStr">
        <is>
          <t>小指06</t>
        </is>
      </c>
      <c r="D251" s="229" t="inlineStr">
        <is>
          <t>新倉</t>
        </is>
      </c>
      <c r="E251" s="257" t="inlineStr">
        <is>
          <t>買</t>
        </is>
      </c>
      <c r="F251" s="229" t="inlineStr">
        <is>
          <t>-</t>
        </is>
      </c>
      <c r="G251" s="697" t="n">
        <v>1</v>
      </c>
      <c r="H251" s="697" t="n">
        <v>10918</v>
      </c>
      <c r="I251" s="697" t="n">
        <v>0</v>
      </c>
      <c r="J251" s="585" t="n">
        <v>23</v>
      </c>
      <c r="K251" s="585" t="n">
        <v>11</v>
      </c>
      <c r="L251" s="585">
        <f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/>
      </c>
      <c r="M251" s="699">
        <f>L251</f>
        <v/>
      </c>
      <c r="N251" s="686">
        <f>IF(B251="TXO","",IF(D251="新倉","",IF(E251="賣",(H251-H250)*G251,(H250-H251)*G251)))</f>
        <v/>
      </c>
      <c r="O251" s="226">
        <f>ABS(I251)</f>
        <v/>
      </c>
      <c r="P251" s="667" t="n"/>
      <c r="S251" s="739" t="n"/>
      <c r="T251" s="61" t="n"/>
      <c r="U251" s="61" t="n"/>
      <c r="V251" s="61" t="n"/>
      <c r="W251" s="61" t="n"/>
    </row>
    <row r="252" hidden="1" outlineLevel="2" collapsed="1" ht="17.25" customHeight="1" thickBot="1">
      <c r="A252" s="696" t="n">
        <v>43242</v>
      </c>
      <c r="B252" s="234" t="inlineStr">
        <is>
          <t>FIMTX</t>
        </is>
      </c>
      <c r="C252" s="229" t="inlineStr">
        <is>
          <t>小指06</t>
        </is>
      </c>
      <c r="D252" s="229" t="inlineStr">
        <is>
          <t>平倉</t>
        </is>
      </c>
      <c r="E252" s="257" t="inlineStr">
        <is>
          <t>賣</t>
        </is>
      </c>
      <c r="F252" s="229" t="inlineStr">
        <is>
          <t>-</t>
        </is>
      </c>
      <c r="G252" s="697" t="n">
        <v>1</v>
      </c>
      <c r="H252" s="697" t="n">
        <v>10918</v>
      </c>
      <c r="I252" s="697" t="n">
        <v>0</v>
      </c>
      <c r="J252" s="585" t="n">
        <v>23</v>
      </c>
      <c r="K252" s="585" t="n">
        <v>11</v>
      </c>
      <c r="L252" s="585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/>
      </c>
      <c r="M252" s="699">
        <f>L252</f>
        <v/>
      </c>
      <c r="N252" s="686">
        <f>IF(B252="TXO","",IF(D252="新倉","",IF(E252="賣",(H252-H251)*G252,(H251-H252)*G252)))</f>
        <v/>
      </c>
      <c r="O252" s="226">
        <f>ABS(I252)</f>
        <v/>
      </c>
      <c r="P252" s="667" t="n"/>
      <c r="S252" s="739" t="n"/>
      <c r="T252" s="61" t="n"/>
      <c r="U252" s="61" t="n"/>
      <c r="V252" s="61" t="n"/>
      <c r="W252" s="61" t="n"/>
    </row>
    <row r="253" hidden="1" outlineLevel="1" collapsed="1" ht="17.25" customHeight="1" thickBot="1">
      <c r="A253" s="740" t="n">
        <v>43243</v>
      </c>
      <c r="B253" s="299" t="inlineStr">
        <is>
          <t>FIMTX</t>
        </is>
      </c>
      <c r="C253" s="300" t="inlineStr">
        <is>
          <t>小指06</t>
        </is>
      </c>
      <c r="D253" s="300" t="inlineStr">
        <is>
          <t>新倉</t>
        </is>
      </c>
      <c r="E253" s="301" t="inlineStr">
        <is>
          <t>買</t>
        </is>
      </c>
      <c r="F253" s="300" t="inlineStr">
        <is>
          <t>-</t>
        </is>
      </c>
      <c r="G253" s="741" t="n">
        <v>1</v>
      </c>
      <c r="H253" s="741" t="n">
        <v>10843</v>
      </c>
      <c r="I253" s="741" t="n">
        <v>0</v>
      </c>
      <c r="J253" s="742" t="n">
        <v>23</v>
      </c>
      <c r="K253" s="742" t="n">
        <v>11</v>
      </c>
      <c r="L253" s="742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/>
      </c>
      <c r="M253" s="743">
        <f>L253</f>
        <v/>
      </c>
      <c r="N253" s="686">
        <f>IF(B253="TXO","",IF(D253="新倉","",IF(E253="賣",(H253-H252)*G253,(H252-H253)*G253)))</f>
        <v/>
      </c>
      <c r="O253" s="226">
        <f>ABS(I253)</f>
        <v/>
      </c>
      <c r="P253" s="667">
        <f>SUM(L253:L254)</f>
        <v/>
      </c>
      <c r="S253" s="739" t="n"/>
      <c r="T253" s="61" t="n"/>
      <c r="U253" s="61" t="n"/>
      <c r="V253" s="61" t="n"/>
      <c r="W253" s="61" t="n"/>
    </row>
    <row r="254" hidden="1" outlineLevel="1" ht="17.25" customHeight="1" thickBot="1">
      <c r="A254" s="740" t="n">
        <v>43243</v>
      </c>
      <c r="B254" s="299" t="inlineStr">
        <is>
          <t>FIMTX</t>
        </is>
      </c>
      <c r="C254" s="300" t="inlineStr">
        <is>
          <t>小指06</t>
        </is>
      </c>
      <c r="D254" s="300" t="inlineStr">
        <is>
          <t>平倉</t>
        </is>
      </c>
      <c r="E254" s="301" t="inlineStr">
        <is>
          <t>賣</t>
        </is>
      </c>
      <c r="F254" s="300" t="inlineStr">
        <is>
          <t>-</t>
        </is>
      </c>
      <c r="G254" s="741" t="n">
        <v>1</v>
      </c>
      <c r="H254" s="741" t="n">
        <v>10846</v>
      </c>
      <c r="I254" s="741" t="n">
        <v>0</v>
      </c>
      <c r="J254" s="742" t="n">
        <v>23</v>
      </c>
      <c r="K254" s="742" t="n">
        <v>11</v>
      </c>
      <c r="L254" s="742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/>
      </c>
      <c r="M254" s="743">
        <f>L254</f>
        <v/>
      </c>
      <c r="N254" s="686">
        <f>IF(B254="TXO","",IF(D254="新倉","",IF(E254="賣",(H254-H253)*G254,(H253-H254)*G254)))</f>
        <v/>
      </c>
      <c r="O254" s="226">
        <f>ABS(I254)</f>
        <v/>
      </c>
      <c r="P254" s="667" t="n"/>
      <c r="S254" s="739" t="n"/>
      <c r="T254" s="61" t="n"/>
      <c r="U254" s="61" t="n"/>
      <c r="V254" s="61" t="n"/>
      <c r="W254" s="61" t="n"/>
    </row>
    <row r="255" hidden="1" outlineLevel="1" ht="17.25" customHeight="1" thickBot="1">
      <c r="A255" s="696" t="n">
        <v>43244</v>
      </c>
      <c r="B255" s="234" t="inlineStr">
        <is>
          <t>FIMTX</t>
        </is>
      </c>
      <c r="C255" s="229" t="inlineStr">
        <is>
          <t>小指06</t>
        </is>
      </c>
      <c r="D255" s="229" t="inlineStr">
        <is>
          <t>新倉</t>
        </is>
      </c>
      <c r="E255" s="257" t="inlineStr">
        <is>
          <t>賣</t>
        </is>
      </c>
      <c r="F255" s="229" t="inlineStr">
        <is>
          <t>-</t>
        </is>
      </c>
      <c r="G255" s="697" t="n">
        <v>1</v>
      </c>
      <c r="H255" s="697" t="n">
        <v>10869</v>
      </c>
      <c r="I255" s="697" t="n">
        <v>0</v>
      </c>
      <c r="J255" s="585" t="n">
        <v>23</v>
      </c>
      <c r="K255" s="585" t="n">
        <v>11</v>
      </c>
      <c r="L255" s="585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/>
      </c>
      <c r="M255" s="699">
        <f>L255</f>
        <v/>
      </c>
      <c r="N255" s="686">
        <f>IF(B255="TXO","",IF(D255="新倉","",IF(E255="賣",(H255-H254)*G255,(H254-H255)*G255)))</f>
        <v/>
      </c>
      <c r="O255" s="226">
        <f>ABS(I255)</f>
        <v/>
      </c>
      <c r="P255" s="667">
        <f>SUM(L255:L262)</f>
        <v/>
      </c>
      <c r="S255" s="739" t="n"/>
      <c r="T255" s="61" t="n"/>
      <c r="U255" s="61" t="n"/>
      <c r="V255" s="61" t="n"/>
      <c r="W255" s="61" t="n"/>
    </row>
    <row r="256" hidden="1" outlineLevel="2" collapsed="1" ht="17.25" customHeight="1" thickBot="1">
      <c r="A256" s="696" t="n">
        <v>43244</v>
      </c>
      <c r="B256" s="234" t="inlineStr">
        <is>
          <t>FIMTX</t>
        </is>
      </c>
      <c r="C256" s="229" t="inlineStr">
        <is>
          <t>小指06</t>
        </is>
      </c>
      <c r="D256" s="229" t="inlineStr">
        <is>
          <t>平倉</t>
        </is>
      </c>
      <c r="E256" s="257" t="inlineStr">
        <is>
          <t>買</t>
        </is>
      </c>
      <c r="F256" s="229" t="inlineStr">
        <is>
          <t>-</t>
        </is>
      </c>
      <c r="G256" s="697" t="n">
        <v>1</v>
      </c>
      <c r="H256" s="697" t="n">
        <v>10875</v>
      </c>
      <c r="I256" s="697" t="n">
        <v>0</v>
      </c>
      <c r="J256" s="585" t="n">
        <v>23</v>
      </c>
      <c r="K256" s="585" t="n">
        <v>11</v>
      </c>
      <c r="L256" s="585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/>
      </c>
      <c r="M256" s="699">
        <f>L256</f>
        <v/>
      </c>
      <c r="N256" s="686">
        <f>IF(B256="TXO","",IF(D256="新倉","",IF(E256="賣",(H256-H255)*G256,(H255-H256)*G256)))</f>
        <v/>
      </c>
      <c r="O256" s="226">
        <f>ABS(I256)</f>
        <v/>
      </c>
      <c r="P256" s="667" t="n"/>
      <c r="S256" s="739" t="n"/>
      <c r="T256" s="61" t="n"/>
      <c r="U256" s="61" t="n"/>
      <c r="V256" s="61" t="n"/>
      <c r="W256" s="61" t="n"/>
    </row>
    <row r="257" hidden="1" outlineLevel="2" collapsed="1" ht="17.25" customHeight="1" thickBot="1">
      <c r="A257" s="696" t="n">
        <v>43244</v>
      </c>
      <c r="B257" s="234" t="inlineStr">
        <is>
          <t>FIMTX</t>
        </is>
      </c>
      <c r="C257" s="229" t="inlineStr">
        <is>
          <t>小指06</t>
        </is>
      </c>
      <c r="D257" s="229" t="inlineStr">
        <is>
          <t>新倉</t>
        </is>
      </c>
      <c r="E257" s="257" t="inlineStr">
        <is>
          <t>賣</t>
        </is>
      </c>
      <c r="F257" s="229" t="inlineStr">
        <is>
          <t>-</t>
        </is>
      </c>
      <c r="G257" s="697" t="n">
        <v>1</v>
      </c>
      <c r="H257" s="697" t="n">
        <v>10870</v>
      </c>
      <c r="I257" s="697" t="n">
        <v>0</v>
      </c>
      <c r="J257" s="585" t="n">
        <v>23</v>
      </c>
      <c r="K257" s="585" t="n">
        <v>11</v>
      </c>
      <c r="L257" s="585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/>
      </c>
      <c r="M257" s="699">
        <f>L257</f>
        <v/>
      </c>
      <c r="N257" s="686">
        <f>IF(B257="TXO","",IF(D257="新倉","",IF(E257="賣",(H257-H256)*G257,(H256-H257)*G257)))</f>
        <v/>
      </c>
      <c r="O257" s="226">
        <f>ABS(I257)</f>
        <v/>
      </c>
      <c r="P257" s="667" t="n"/>
      <c r="S257" s="739" t="n"/>
      <c r="T257" s="61" t="n"/>
      <c r="U257" s="61" t="n"/>
      <c r="V257" s="61" t="n"/>
      <c r="W257" s="61" t="n"/>
    </row>
    <row r="258" hidden="1" outlineLevel="2" collapsed="1" ht="17.25" customHeight="1" thickBot="1">
      <c r="A258" s="696" t="n">
        <v>43244</v>
      </c>
      <c r="B258" s="234" t="inlineStr">
        <is>
          <t>FIMTX</t>
        </is>
      </c>
      <c r="C258" s="229" t="inlineStr">
        <is>
          <t>小指06</t>
        </is>
      </c>
      <c r="D258" s="229" t="inlineStr">
        <is>
          <t>平倉</t>
        </is>
      </c>
      <c r="E258" s="257" t="inlineStr">
        <is>
          <t>買</t>
        </is>
      </c>
      <c r="F258" s="229" t="inlineStr">
        <is>
          <t>-</t>
        </is>
      </c>
      <c r="G258" s="697" t="n">
        <v>1</v>
      </c>
      <c r="H258" s="697" t="n">
        <v>10875</v>
      </c>
      <c r="I258" s="697" t="n">
        <v>0</v>
      </c>
      <c r="J258" s="585" t="n">
        <v>23</v>
      </c>
      <c r="K258" s="585" t="n">
        <v>11</v>
      </c>
      <c r="L258" s="585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/>
      </c>
      <c r="M258" s="699">
        <f>L258</f>
        <v/>
      </c>
      <c r="N258" s="686">
        <f>IF(B258="TXO","",IF(D258="新倉","",IF(E258="賣",(H258-H257)*G258,(H257-H258)*G258)))</f>
        <v/>
      </c>
      <c r="O258" s="226">
        <f>ABS(I258)</f>
        <v/>
      </c>
      <c r="P258" s="667" t="n"/>
      <c r="S258" s="739" t="n"/>
      <c r="T258" s="61" t="n"/>
      <c r="U258" s="61" t="n"/>
      <c r="V258" s="61" t="n"/>
      <c r="W258" s="61" t="n"/>
    </row>
    <row r="259" hidden="1" outlineLevel="2" collapsed="1" ht="17.25" customHeight="1" thickBot="1">
      <c r="A259" s="696" t="n">
        <v>43244</v>
      </c>
      <c r="B259" s="234" t="inlineStr">
        <is>
          <t>FIMTX</t>
        </is>
      </c>
      <c r="C259" s="229" t="inlineStr">
        <is>
          <t>小指06</t>
        </is>
      </c>
      <c r="D259" s="229" t="inlineStr">
        <is>
          <t>新倉</t>
        </is>
      </c>
      <c r="E259" s="257" t="inlineStr">
        <is>
          <t>賣</t>
        </is>
      </c>
      <c r="F259" s="229" t="inlineStr">
        <is>
          <t>-</t>
        </is>
      </c>
      <c r="G259" s="697" t="n">
        <v>1</v>
      </c>
      <c r="H259" s="697" t="n">
        <v>10870</v>
      </c>
      <c r="I259" s="697" t="n">
        <v>0</v>
      </c>
      <c r="J259" s="585" t="n">
        <v>23</v>
      </c>
      <c r="K259" s="585" t="n">
        <v>11</v>
      </c>
      <c r="L259" s="585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/>
      </c>
      <c r="M259" s="699">
        <f>L259</f>
        <v/>
      </c>
      <c r="N259" s="686">
        <f>IF(B259="TXO","",IF(D259="新倉","",IF(E259="賣",(H259-H258)*G259,(H258-H259)*G259)))</f>
        <v/>
      </c>
      <c r="O259" s="226">
        <f>ABS(I259)</f>
        <v/>
      </c>
      <c r="P259" s="667" t="n"/>
      <c r="S259" s="739" t="n"/>
      <c r="T259" s="61" t="n"/>
      <c r="U259" s="61" t="n"/>
      <c r="V259" s="61" t="n"/>
      <c r="W259" s="61" t="n"/>
    </row>
    <row r="260" hidden="1" outlineLevel="2" collapsed="1" ht="17.25" customHeight="1" thickBot="1">
      <c r="A260" s="696" t="n">
        <v>43244</v>
      </c>
      <c r="B260" s="234" t="inlineStr">
        <is>
          <t>FIMTX</t>
        </is>
      </c>
      <c r="C260" s="229" t="inlineStr">
        <is>
          <t>小指06</t>
        </is>
      </c>
      <c r="D260" s="229" t="inlineStr">
        <is>
          <t>平倉</t>
        </is>
      </c>
      <c r="E260" s="257" t="inlineStr">
        <is>
          <t>買</t>
        </is>
      </c>
      <c r="F260" s="229" t="inlineStr">
        <is>
          <t>-</t>
        </is>
      </c>
      <c r="G260" s="697" t="n">
        <v>1</v>
      </c>
      <c r="H260" s="697" t="n">
        <v>10875</v>
      </c>
      <c r="I260" s="697" t="n">
        <v>0</v>
      </c>
      <c r="J260" s="585" t="n">
        <v>23</v>
      </c>
      <c r="K260" s="585" t="n">
        <v>11</v>
      </c>
      <c r="L260" s="585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/>
      </c>
      <c r="M260" s="699">
        <f>L260</f>
        <v/>
      </c>
      <c r="N260" s="686">
        <f>IF(B260="TXO","",IF(D260="新倉","",IF(E260="賣",(H260-H259)*G260,(H259-H260)*G260)))</f>
        <v/>
      </c>
      <c r="O260" s="226">
        <f>ABS(I260)</f>
        <v/>
      </c>
      <c r="P260" s="667" t="n"/>
      <c r="S260" s="739" t="n"/>
      <c r="T260" s="61" t="n"/>
      <c r="U260" s="61" t="n"/>
      <c r="V260" s="61" t="n"/>
      <c r="W260" s="61" t="n"/>
    </row>
    <row r="261" hidden="1" outlineLevel="2" ht="17.25" customHeight="1" thickBot="1">
      <c r="A261" s="696" t="n">
        <v>43244</v>
      </c>
      <c r="B261" s="234" t="inlineStr">
        <is>
          <t>FIMTX</t>
        </is>
      </c>
      <c r="C261" s="229" t="inlineStr">
        <is>
          <t>小指06</t>
        </is>
      </c>
      <c r="D261" s="229" t="inlineStr">
        <is>
          <t>新倉</t>
        </is>
      </c>
      <c r="E261" s="257" t="inlineStr">
        <is>
          <t>賣</t>
        </is>
      </c>
      <c r="F261" s="229" t="inlineStr">
        <is>
          <t>-</t>
        </is>
      </c>
      <c r="G261" s="697" t="n">
        <v>1</v>
      </c>
      <c r="H261" s="697" t="n">
        <v>10860</v>
      </c>
      <c r="I261" s="697" t="n">
        <v>0</v>
      </c>
      <c r="J261" s="585" t="n">
        <v>23</v>
      </c>
      <c r="K261" s="585" t="n">
        <v>11</v>
      </c>
      <c r="L261" s="585">
        <f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/>
      </c>
      <c r="M261" s="699">
        <f>L261</f>
        <v/>
      </c>
      <c r="N261" s="686">
        <f>IF(B261="TXO","",IF(D261="新倉","",IF(E261="賣",(H261-H260)*G261,(H260-H261)*G261)))</f>
        <v/>
      </c>
      <c r="O261" s="226">
        <f>ABS(I261)</f>
        <v/>
      </c>
      <c r="P261" s="667" t="n"/>
      <c r="S261" s="739" t="n"/>
      <c r="T261" s="61" t="n"/>
      <c r="U261" s="61" t="n"/>
      <c r="V261" s="61" t="n"/>
      <c r="W261" s="61" t="n"/>
    </row>
    <row r="262" hidden="1" outlineLevel="2" collapsed="1" ht="17.25" customHeight="1" thickBot="1">
      <c r="A262" s="696" t="n">
        <v>43244</v>
      </c>
      <c r="B262" s="234" t="inlineStr">
        <is>
          <t>FIMTX</t>
        </is>
      </c>
      <c r="C262" s="229" t="inlineStr">
        <is>
          <t>小指06</t>
        </is>
      </c>
      <c r="D262" s="229" t="inlineStr">
        <is>
          <t>平倉</t>
        </is>
      </c>
      <c r="E262" s="257" t="inlineStr">
        <is>
          <t>買</t>
        </is>
      </c>
      <c r="F262" s="229" t="inlineStr">
        <is>
          <t>-</t>
        </is>
      </c>
      <c r="G262" s="697" t="n">
        <v>1</v>
      </c>
      <c r="H262" s="697" t="n">
        <v>10873</v>
      </c>
      <c r="I262" s="697" t="n">
        <v>0</v>
      </c>
      <c r="J262" s="585" t="n">
        <v>23</v>
      </c>
      <c r="K262" s="585" t="n">
        <v>11</v>
      </c>
      <c r="L262" s="585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/>
      </c>
      <c r="M262" s="699">
        <f>L262</f>
        <v/>
      </c>
      <c r="N262" s="686">
        <f>IF(B262="TXO","",IF(D262="新倉","",IF(E262="賣",(H262-H261)*G262,(H261-H262)*G262)))</f>
        <v/>
      </c>
      <c r="O262" s="226">
        <f>ABS(I262)</f>
        <v/>
      </c>
      <c r="P262" s="667" t="n"/>
      <c r="S262" s="739" t="n"/>
      <c r="T262" s="61" t="n"/>
      <c r="U262" s="61" t="n"/>
      <c r="V262" s="61" t="n"/>
      <c r="W262" s="61" t="n"/>
    </row>
    <row r="263" hidden="1" outlineLevel="1" ht="17.25" customHeight="1" thickBot="1">
      <c r="A263" s="740" t="n">
        <v>43248</v>
      </c>
      <c r="B263" s="299" t="inlineStr">
        <is>
          <t>FIMTX</t>
        </is>
      </c>
      <c r="C263" s="300" t="inlineStr">
        <is>
          <t>小指06</t>
        </is>
      </c>
      <c r="D263" s="300" t="inlineStr">
        <is>
          <t>新倉</t>
        </is>
      </c>
      <c r="E263" s="301" t="inlineStr">
        <is>
          <t>賣</t>
        </is>
      </c>
      <c r="F263" s="300" t="inlineStr">
        <is>
          <t>-</t>
        </is>
      </c>
      <c r="G263" s="741" t="n">
        <v>1</v>
      </c>
      <c r="H263" s="741" t="n">
        <v>10976</v>
      </c>
      <c r="I263" s="741" t="n">
        <v>0</v>
      </c>
      <c r="J263" s="742" t="n">
        <v>23</v>
      </c>
      <c r="K263" s="742" t="n">
        <v>11</v>
      </c>
      <c r="L263" s="742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/>
      </c>
      <c r="M263" s="743">
        <f>L263</f>
        <v/>
      </c>
      <c r="N263" s="686">
        <f>IF(B263="TXO","",IF(D263="新倉","",IF(E263="賣",(H263-H262)*G263,(H262-H263)*G263)))</f>
        <v/>
      </c>
      <c r="O263" s="226">
        <f>ABS(I263)</f>
        <v/>
      </c>
      <c r="P263" s="667">
        <f>SUM(L263:L270)</f>
        <v/>
      </c>
      <c r="S263" s="739" t="n"/>
      <c r="T263" s="61" t="n"/>
      <c r="U263" s="61" t="n"/>
      <c r="V263" s="61" t="n"/>
      <c r="W263" s="61" t="n"/>
    </row>
    <row r="264" hidden="1" outlineLevel="2" ht="17.25" customHeight="1" thickBot="1">
      <c r="A264" s="740" t="n">
        <v>43248</v>
      </c>
      <c r="B264" s="299" t="inlineStr">
        <is>
          <t>FIMTX</t>
        </is>
      </c>
      <c r="C264" s="300" t="inlineStr">
        <is>
          <t>小指06</t>
        </is>
      </c>
      <c r="D264" s="300" t="inlineStr">
        <is>
          <t>平倉</t>
        </is>
      </c>
      <c r="E264" s="301" t="inlineStr">
        <is>
          <t>買</t>
        </is>
      </c>
      <c r="F264" s="300" t="inlineStr">
        <is>
          <t>-</t>
        </is>
      </c>
      <c r="G264" s="741" t="n">
        <v>1</v>
      </c>
      <c r="H264" s="741" t="n">
        <v>10981</v>
      </c>
      <c r="I264" s="741" t="n">
        <v>0</v>
      </c>
      <c r="J264" s="742" t="n">
        <v>23</v>
      </c>
      <c r="K264" s="742" t="n">
        <v>11</v>
      </c>
      <c r="L264" s="742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/>
      </c>
      <c r="M264" s="743">
        <f>L264</f>
        <v/>
      </c>
      <c r="N264" s="686">
        <f>IF(B264="TXO","",IF(D264="新倉","",IF(E264="賣",(H264-H263)*G264,(H263-H264)*G264)))</f>
        <v/>
      </c>
      <c r="O264" s="226">
        <f>ABS(I264)</f>
        <v/>
      </c>
      <c r="P264" s="667" t="n"/>
      <c r="S264" s="739" t="n"/>
      <c r="T264" s="61" t="n"/>
      <c r="U264" s="61" t="n"/>
      <c r="V264" s="61" t="n"/>
      <c r="W264" s="61" t="n"/>
    </row>
    <row r="265" hidden="1" outlineLevel="2" ht="17.25" customHeight="1" thickBot="1">
      <c r="A265" s="740" t="n">
        <v>43248</v>
      </c>
      <c r="B265" s="299" t="inlineStr">
        <is>
          <t>FIMTX</t>
        </is>
      </c>
      <c r="C265" s="300" t="inlineStr">
        <is>
          <t>小指06</t>
        </is>
      </c>
      <c r="D265" s="300" t="inlineStr">
        <is>
          <t>新倉</t>
        </is>
      </c>
      <c r="E265" s="301" t="inlineStr">
        <is>
          <t>賣</t>
        </is>
      </c>
      <c r="F265" s="300" t="inlineStr">
        <is>
          <t>-</t>
        </is>
      </c>
      <c r="G265" s="741" t="n">
        <v>1</v>
      </c>
      <c r="H265" s="741" t="n">
        <v>10976</v>
      </c>
      <c r="I265" s="741" t="n">
        <v>0</v>
      </c>
      <c r="J265" s="742" t="n">
        <v>23</v>
      </c>
      <c r="K265" s="742" t="n">
        <v>11</v>
      </c>
      <c r="L265" s="742">
        <f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/>
      </c>
      <c r="M265" s="743">
        <f>L265</f>
        <v/>
      </c>
      <c r="N265" s="686">
        <f>IF(B265="TXO","",IF(D265="新倉","",IF(E265="賣",(H265-H264)*G265,(H264-H265)*G265)))</f>
        <v/>
      </c>
      <c r="O265" s="226">
        <f>ABS(I265)</f>
        <v/>
      </c>
      <c r="P265" s="667" t="n"/>
      <c r="S265" s="739" t="n"/>
      <c r="T265" s="61" t="n"/>
      <c r="U265" s="61" t="n"/>
      <c r="V265" s="61" t="n"/>
      <c r="W265" s="61" t="n"/>
    </row>
    <row r="266" hidden="1" outlineLevel="2" ht="17.25" customHeight="1" thickBot="1">
      <c r="A266" s="740" t="n">
        <v>43248</v>
      </c>
      <c r="B266" s="299" t="inlineStr">
        <is>
          <t>FIMTX</t>
        </is>
      </c>
      <c r="C266" s="300" t="inlineStr">
        <is>
          <t>小指06</t>
        </is>
      </c>
      <c r="D266" s="300" t="inlineStr">
        <is>
          <t>平倉</t>
        </is>
      </c>
      <c r="E266" s="301" t="inlineStr">
        <is>
          <t>買</t>
        </is>
      </c>
      <c r="F266" s="300" t="inlineStr">
        <is>
          <t>-</t>
        </is>
      </c>
      <c r="G266" s="741" t="n">
        <v>1</v>
      </c>
      <c r="H266" s="741" t="n">
        <v>10981</v>
      </c>
      <c r="I266" s="741" t="n">
        <v>0</v>
      </c>
      <c r="J266" s="742" t="n">
        <v>23</v>
      </c>
      <c r="K266" s="742" t="n">
        <v>11</v>
      </c>
      <c r="L266" s="742">
        <f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/>
      </c>
      <c r="M266" s="743">
        <f>L266</f>
        <v/>
      </c>
      <c r="N266" s="686">
        <f>IF(B266="TXO","",IF(D266="新倉","",IF(E266="賣",(H266-H265)*G266,(H265-H266)*G266)))</f>
        <v/>
      </c>
      <c r="O266" s="226">
        <f>ABS(I266)</f>
        <v/>
      </c>
      <c r="P266" s="667" t="n"/>
      <c r="S266" s="739" t="n"/>
      <c r="T266" s="61" t="n"/>
      <c r="U266" s="61" t="n"/>
      <c r="V266" s="61" t="n"/>
      <c r="W266" s="61" t="n"/>
    </row>
    <row r="267" hidden="1" outlineLevel="2" ht="17.25" customHeight="1" thickBot="1">
      <c r="A267" s="740" t="n">
        <v>43248</v>
      </c>
      <c r="B267" s="299" t="inlineStr">
        <is>
          <t>FIMTX</t>
        </is>
      </c>
      <c r="C267" s="300" t="inlineStr">
        <is>
          <t>小指06</t>
        </is>
      </c>
      <c r="D267" s="300" t="inlineStr">
        <is>
          <t>新倉</t>
        </is>
      </c>
      <c r="E267" s="301" t="inlineStr">
        <is>
          <t>賣</t>
        </is>
      </c>
      <c r="F267" s="300" t="inlineStr">
        <is>
          <t>-</t>
        </is>
      </c>
      <c r="G267" s="741" t="n">
        <v>1</v>
      </c>
      <c r="H267" s="741" t="n">
        <v>10964</v>
      </c>
      <c r="I267" s="741" t="n">
        <v>0</v>
      </c>
      <c r="J267" s="742" t="n">
        <v>23</v>
      </c>
      <c r="K267" s="742" t="n">
        <v>11</v>
      </c>
      <c r="L267" s="742">
        <f>IF(B267="TXO",I267-SUM(J267:K267),IF(B267="FITX",IF(D267="新倉",-SUM(J267:K267),IF(E267="賣",(H267-H266)*G267*200-SUM(J267:K267),(H266-H267)*G267*200-SUM(J267:K267))),IF(D267="新倉",-SUM(J267:K267),IF(E267="賣",(H267-H266)*G267*50-SUM(J267:K267),(H266-H267)*G267*50-SUM(J267:K267)))))</f>
        <v/>
      </c>
      <c r="M267" s="743">
        <f>L267</f>
        <v/>
      </c>
      <c r="N267" s="686">
        <f>IF(B267="TXO","",IF(D267="新倉","",IF(E267="賣",(H267-H266)*G267,(H266-H267)*G267)))</f>
        <v/>
      </c>
      <c r="O267" s="226">
        <f>ABS(I267)</f>
        <v/>
      </c>
      <c r="P267" s="667" t="n"/>
      <c r="S267" s="739" t="n"/>
      <c r="T267" s="61" t="n"/>
      <c r="U267" s="61" t="n"/>
      <c r="V267" s="61" t="n"/>
      <c r="W267" s="61" t="n"/>
    </row>
    <row r="268" hidden="1" outlineLevel="2" ht="17.25" customHeight="1" thickBot="1">
      <c r="A268" s="740" t="n">
        <v>43248</v>
      </c>
      <c r="B268" s="299" t="inlineStr">
        <is>
          <t>FIMTX</t>
        </is>
      </c>
      <c r="C268" s="300" t="inlineStr">
        <is>
          <t>小指06</t>
        </is>
      </c>
      <c r="D268" s="300" t="inlineStr">
        <is>
          <t>平倉</t>
        </is>
      </c>
      <c r="E268" s="301" t="inlineStr">
        <is>
          <t>買</t>
        </is>
      </c>
      <c r="F268" s="300" t="inlineStr">
        <is>
          <t>-</t>
        </is>
      </c>
      <c r="G268" s="741" t="n">
        <v>1</v>
      </c>
      <c r="H268" s="741" t="n">
        <v>10970</v>
      </c>
      <c r="I268" s="741" t="n">
        <v>0</v>
      </c>
      <c r="J268" s="742" t="n">
        <v>23</v>
      </c>
      <c r="K268" s="742" t="n">
        <v>11</v>
      </c>
      <c r="L268" s="742">
        <f>IF(B268="TXO",I268-SUM(J268:K268),IF(B268="FITX",IF(D268="新倉",-SUM(J268:K268),IF(E268="賣",(H268-H267)*G268*200-SUM(J268:K268),(H267-H268)*G268*200-SUM(J268:K268))),IF(D268="新倉",-SUM(J268:K268),IF(E268="賣",(H268-H267)*G268*50-SUM(J268:K268),(H267-H268)*G268*50-SUM(J268:K268)))))</f>
        <v/>
      </c>
      <c r="M268" s="743">
        <f>L268</f>
        <v/>
      </c>
      <c r="N268" s="686">
        <f>IF(B268="TXO","",IF(D268="新倉","",IF(E268="賣",(H268-H267)*G268,(H267-H268)*G268)))</f>
        <v/>
      </c>
      <c r="O268" s="226">
        <f>ABS(I268)</f>
        <v/>
      </c>
      <c r="P268" s="667" t="n"/>
      <c r="S268" s="739" t="n"/>
      <c r="T268" s="61" t="n"/>
      <c r="U268" s="61" t="n"/>
      <c r="V268" s="61" t="n"/>
      <c r="W268" s="61" t="n"/>
    </row>
    <row r="269" hidden="1" outlineLevel="2" ht="17.25" customHeight="1" thickBot="1">
      <c r="A269" s="740" t="n">
        <v>43248</v>
      </c>
      <c r="B269" s="299" t="inlineStr">
        <is>
          <t>FIMTX</t>
        </is>
      </c>
      <c r="C269" s="300" t="inlineStr">
        <is>
          <t>小指06</t>
        </is>
      </c>
      <c r="D269" s="300" t="inlineStr">
        <is>
          <t>新倉</t>
        </is>
      </c>
      <c r="E269" s="301" t="inlineStr">
        <is>
          <t>賣</t>
        </is>
      </c>
      <c r="F269" s="300" t="inlineStr">
        <is>
          <t>-</t>
        </is>
      </c>
      <c r="G269" s="741" t="n">
        <v>1</v>
      </c>
      <c r="H269" s="741" t="n">
        <v>10963</v>
      </c>
      <c r="I269" s="741" t="n">
        <v>0</v>
      </c>
      <c r="J269" s="742" t="n">
        <v>23</v>
      </c>
      <c r="K269" s="742" t="n">
        <v>11</v>
      </c>
      <c r="L269" s="742">
        <f>IF(B269="TXO",I269-SUM(J269:K269),IF(B269="FITX",IF(D269="新倉",-SUM(J269:K269),IF(E269="賣",(H269-H268)*G269*200-SUM(J269:K269),(H268-H269)*G269*200-SUM(J269:K269))),IF(D269="新倉",-SUM(J269:K269),IF(E269="賣",(H269-H268)*G269*50-SUM(J269:K269),(H268-H269)*G269*50-SUM(J269:K269)))))</f>
        <v/>
      </c>
      <c r="M269" s="743">
        <f>L269</f>
        <v/>
      </c>
      <c r="N269" s="686">
        <f>IF(B269="TXO","",IF(D269="新倉","",IF(E269="賣",(H269-H268)*G269,(H268-H269)*G269)))</f>
        <v/>
      </c>
      <c r="O269" s="226">
        <f>ABS(I269)</f>
        <v/>
      </c>
      <c r="P269" s="667" t="n"/>
      <c r="S269" s="739" t="n"/>
      <c r="T269" s="61" t="n"/>
      <c r="U269" s="61" t="n"/>
      <c r="V269" s="61" t="n"/>
      <c r="W269" s="61" t="n"/>
    </row>
    <row r="270" hidden="1" outlineLevel="2" ht="17.25" customHeight="1" thickBot="1">
      <c r="A270" s="740" t="n">
        <v>43248</v>
      </c>
      <c r="B270" s="299" t="inlineStr">
        <is>
          <t>FIMTX</t>
        </is>
      </c>
      <c r="C270" s="300" t="inlineStr">
        <is>
          <t>小指06</t>
        </is>
      </c>
      <c r="D270" s="300" t="inlineStr">
        <is>
          <t>平倉</t>
        </is>
      </c>
      <c r="E270" s="301" t="inlineStr">
        <is>
          <t>買</t>
        </is>
      </c>
      <c r="F270" s="300" t="inlineStr">
        <is>
          <t>-</t>
        </is>
      </c>
      <c r="G270" s="741" t="n">
        <v>1</v>
      </c>
      <c r="H270" s="741" t="n">
        <v>10970</v>
      </c>
      <c r="I270" s="741" t="n">
        <v>0</v>
      </c>
      <c r="J270" s="742" t="n">
        <v>23</v>
      </c>
      <c r="K270" s="742" t="n">
        <v>11</v>
      </c>
      <c r="L270" s="742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/>
      </c>
      <c r="M270" s="743">
        <f>L270</f>
        <v/>
      </c>
      <c r="N270" s="686">
        <f>IF(B270="TXO","",IF(D270="新倉","",IF(E270="賣",(H270-H269)*G270,(H269-H270)*G270)))</f>
        <v/>
      </c>
      <c r="O270" s="226">
        <f>ABS(I270)</f>
        <v/>
      </c>
      <c r="P270" s="667" t="n"/>
      <c r="S270" s="739" t="n"/>
      <c r="T270" s="61" t="n"/>
      <c r="U270" s="61" t="n"/>
      <c r="V270" s="61" t="n"/>
      <c r="W270" s="61" t="n"/>
    </row>
    <row r="271" hidden="1" outlineLevel="1" collapsed="1" ht="17.25" customHeight="1" thickBot="1">
      <c r="A271" s="696" t="n">
        <v>43249</v>
      </c>
      <c r="B271" s="234" t="inlineStr">
        <is>
          <t>FIMTX</t>
        </is>
      </c>
      <c r="C271" s="229" t="inlineStr">
        <is>
          <t>小指06</t>
        </is>
      </c>
      <c r="D271" s="229" t="inlineStr">
        <is>
          <t>新倉</t>
        </is>
      </c>
      <c r="E271" s="257" t="inlineStr">
        <is>
          <t>買</t>
        </is>
      </c>
      <c r="F271" s="229" t="inlineStr">
        <is>
          <t>-</t>
        </is>
      </c>
      <c r="G271" s="697" t="n">
        <v>1</v>
      </c>
      <c r="H271" s="697" t="n">
        <v>10930</v>
      </c>
      <c r="I271" s="697" t="n">
        <v>0</v>
      </c>
      <c r="J271" s="585" t="n">
        <v>23</v>
      </c>
      <c r="K271" s="585" t="n">
        <v>11</v>
      </c>
      <c r="L271" s="585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/>
      </c>
      <c r="M271" s="699">
        <f>L271</f>
        <v/>
      </c>
      <c r="N271" s="686">
        <f>IF(B271="TXO","",IF(D271="新倉","",IF(E271="賣",(H271-H154)*G271,(H154-H271)*G271)))</f>
        <v/>
      </c>
      <c r="O271" s="226">
        <f>ABS(I271)</f>
        <v/>
      </c>
      <c r="P271" s="667">
        <f>SUM(L271:L272)</f>
        <v/>
      </c>
      <c r="S271" s="739" t="n"/>
      <c r="T271" s="61" t="n"/>
      <c r="U271" s="61" t="n"/>
      <c r="V271" s="61" t="n"/>
      <c r="W271" s="61" t="n"/>
    </row>
    <row r="272" hidden="1" outlineLevel="1" collapsed="1" ht="17.25" customHeight="1" thickBot="1">
      <c r="A272" s="696" t="n">
        <v>43249</v>
      </c>
      <c r="B272" s="234" t="inlineStr">
        <is>
          <t>FIMTX</t>
        </is>
      </c>
      <c r="C272" s="229" t="inlineStr">
        <is>
          <t>小指06</t>
        </is>
      </c>
      <c r="D272" s="229" t="inlineStr">
        <is>
          <t>平倉</t>
        </is>
      </c>
      <c r="E272" s="257" t="inlineStr">
        <is>
          <t>賣</t>
        </is>
      </c>
      <c r="F272" s="229" t="inlineStr">
        <is>
          <t>-</t>
        </is>
      </c>
      <c r="G272" s="697" t="n">
        <v>1</v>
      </c>
      <c r="H272" s="697" t="n">
        <v>10929</v>
      </c>
      <c r="I272" s="697" t="n">
        <v>0</v>
      </c>
      <c r="J272" s="585" t="n">
        <v>23</v>
      </c>
      <c r="K272" s="585" t="n">
        <v>11</v>
      </c>
      <c r="L272" s="585">
        <f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/>
      </c>
      <c r="M272" s="699">
        <f>L272</f>
        <v/>
      </c>
      <c r="N272" s="686">
        <f>IF(B272="TXO","",IF(D272="新倉","",IF(E272="賣",(H272-H271)*G272,(H271-H272)*G272)))</f>
        <v/>
      </c>
      <c r="O272" s="226">
        <f>ABS(I272)</f>
        <v/>
      </c>
      <c r="P272" s="667" t="n"/>
      <c r="S272" s="739" t="n"/>
      <c r="T272" s="61" t="n"/>
      <c r="U272" s="61" t="n"/>
      <c r="V272" s="61" t="n"/>
      <c r="W272" s="61" t="n"/>
    </row>
    <row r="273" hidden="1" outlineLevel="1" ht="17.25" customHeight="1" thickBot="1">
      <c r="A273" s="740" t="n">
        <v>43250</v>
      </c>
      <c r="B273" s="299" t="inlineStr">
        <is>
          <t>TXO</t>
        </is>
      </c>
      <c r="C273" s="300" t="inlineStr">
        <is>
          <t>台選W1 06 10700 P</t>
        </is>
      </c>
      <c r="D273" s="300" t="inlineStr">
        <is>
          <t>新倉</t>
        </is>
      </c>
      <c r="E273" s="301" t="inlineStr">
        <is>
          <t>買</t>
        </is>
      </c>
      <c r="F273" s="300" t="inlineStr">
        <is>
          <t>-</t>
        </is>
      </c>
      <c r="G273" s="741" t="n">
        <v>2</v>
      </c>
      <c r="H273" s="741" t="n">
        <v>30</v>
      </c>
      <c r="I273" s="741" t="n">
        <v>-3000</v>
      </c>
      <c r="J273" s="742" t="n">
        <v>36</v>
      </c>
      <c r="K273" s="742" t="n">
        <v>4</v>
      </c>
      <c r="L273" s="742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/>
      </c>
      <c r="M273" s="743">
        <f>L273</f>
        <v/>
      </c>
      <c r="N273" s="686">
        <f>IF(B273="TXO","",IF(D273="新倉","",IF(E273="賣",(H273-H272)*G273,(H272-H273)*G273)))</f>
        <v/>
      </c>
      <c r="O273" s="226">
        <f>ABS(I273)</f>
        <v/>
      </c>
      <c r="P273" s="667">
        <f>SUM(L273:L289)</f>
        <v/>
      </c>
      <c r="S273" s="739" t="n"/>
      <c r="T273" s="61" t="n"/>
      <c r="U273" s="61" t="n"/>
      <c r="V273" s="61" t="n"/>
      <c r="W273" s="61" t="n"/>
    </row>
    <row r="274" hidden="1" outlineLevel="2" ht="17.25" customHeight="1" thickBot="1">
      <c r="A274" s="740" t="n">
        <v>43250</v>
      </c>
      <c r="B274" s="299" t="inlineStr">
        <is>
          <t>TXO</t>
        </is>
      </c>
      <c r="C274" s="300" t="inlineStr">
        <is>
          <t>台選W1 06 10800 P</t>
        </is>
      </c>
      <c r="D274" s="300" t="inlineStr">
        <is>
          <t>新倉</t>
        </is>
      </c>
      <c r="E274" s="301" t="inlineStr">
        <is>
          <t>買</t>
        </is>
      </c>
      <c r="F274" s="300" t="inlineStr">
        <is>
          <t>-</t>
        </is>
      </c>
      <c r="G274" s="741" t="n">
        <v>1</v>
      </c>
      <c r="H274" s="741" t="n">
        <v>50</v>
      </c>
      <c r="I274" s="741" t="n">
        <v>-2500</v>
      </c>
      <c r="J274" s="742" t="n">
        <v>18</v>
      </c>
      <c r="K274" s="742" t="n">
        <v>3</v>
      </c>
      <c r="L274" s="742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/>
      </c>
      <c r="M274" s="743">
        <f>L274</f>
        <v/>
      </c>
      <c r="N274" s="686">
        <f>IF(B274="TXO","",IF(D274="新倉","",IF(E274="賣",(H274-H273)*G274,(H273-H274)*G274)))</f>
        <v/>
      </c>
      <c r="O274" s="226">
        <f>ABS(I274)</f>
        <v/>
      </c>
      <c r="P274" s="667" t="n"/>
      <c r="S274" s="739" t="n"/>
      <c r="T274" s="61" t="n"/>
      <c r="U274" s="61" t="n"/>
      <c r="V274" s="61" t="n"/>
      <c r="W274" s="61" t="n"/>
    </row>
    <row r="275" hidden="1" outlineLevel="2" ht="17.25" customHeight="1" thickBot="1">
      <c r="A275" s="740" t="n">
        <v>43250</v>
      </c>
      <c r="B275" s="299" t="inlineStr">
        <is>
          <t>TXO</t>
        </is>
      </c>
      <c r="C275" s="300" t="inlineStr">
        <is>
          <t>台選W1 06 10600 P</t>
        </is>
      </c>
      <c r="D275" s="300" t="inlineStr">
        <is>
          <t>新倉</t>
        </is>
      </c>
      <c r="E275" s="301" t="inlineStr">
        <is>
          <t>買</t>
        </is>
      </c>
      <c r="F275" s="300" t="inlineStr">
        <is>
          <t>-</t>
        </is>
      </c>
      <c r="G275" s="741" t="n">
        <v>2</v>
      </c>
      <c r="H275" s="741" t="n">
        <v>20</v>
      </c>
      <c r="I275" s="741" t="n">
        <v>-2000</v>
      </c>
      <c r="J275" s="742" t="n">
        <v>36</v>
      </c>
      <c r="K275" s="742" t="n">
        <v>2</v>
      </c>
      <c r="L275" s="742">
        <f>IF(B275="TXO",I275-SUM(J275:K275),IF(B275="FITX",IF(D275="新倉",-SUM(J275:K275),IF(E275="賣",(H275-H274)*G275*200-SUM(J275:K275),(H274-H275)*G275*200-SUM(J275:K275))),IF(D275="新倉",-SUM(J275:K275),IF(E275="賣",(H275-H274)*G275*50-SUM(J275:K275),(H274-H275)*G275*50-SUM(J275:K275)))))</f>
        <v/>
      </c>
      <c r="M275" s="743">
        <f>L275</f>
        <v/>
      </c>
      <c r="N275" s="686">
        <f>IF(B275="TXO","",IF(D275="新倉","",IF(E275="賣",(H275-H274)*G275,(H274-H275)*G275)))</f>
        <v/>
      </c>
      <c r="O275" s="226">
        <f>ABS(I275)</f>
        <v/>
      </c>
      <c r="P275" s="667" t="n"/>
      <c r="S275" s="739" t="n"/>
      <c r="T275" s="61" t="n"/>
      <c r="U275" s="61" t="n"/>
      <c r="V275" s="61" t="n"/>
      <c r="W275" s="61" t="n"/>
    </row>
    <row r="276" hidden="1" outlineLevel="2" ht="17.25" customHeight="1" thickBot="1">
      <c r="A276" s="740" t="n">
        <v>43250</v>
      </c>
      <c r="B276" s="299" t="inlineStr">
        <is>
          <t>TXO</t>
        </is>
      </c>
      <c r="C276" s="300" t="inlineStr">
        <is>
          <t>台選W1 06 10500 P</t>
        </is>
      </c>
      <c r="D276" s="300" t="inlineStr">
        <is>
          <t>新倉</t>
        </is>
      </c>
      <c r="E276" s="301" t="inlineStr">
        <is>
          <t>買</t>
        </is>
      </c>
      <c r="F276" s="300" t="inlineStr">
        <is>
          <t>-</t>
        </is>
      </c>
      <c r="G276" s="741" t="n">
        <v>2</v>
      </c>
      <c r="H276" s="741" t="n">
        <v>12</v>
      </c>
      <c r="I276" s="741" t="n">
        <v>-1200</v>
      </c>
      <c r="J276" s="742" t="n">
        <v>36</v>
      </c>
      <c r="K276" s="742" t="n">
        <v>2</v>
      </c>
      <c r="L276" s="742">
        <f>IF(B276="TXO",I276-SUM(J276:K276),IF(B276="FITX",IF(D276="新倉",-SUM(J276:K276),IF(E276="賣",(H276-H275)*G276*200-SUM(J276:K276),(H275-H276)*G276*200-SUM(J276:K276))),IF(D276="新倉",-SUM(J276:K276),IF(E276="賣",(H276-H275)*G276*50-SUM(J276:K276),(H275-H276)*G276*50-SUM(J276:K276)))))</f>
        <v/>
      </c>
      <c r="M276" s="743">
        <f>L276</f>
        <v/>
      </c>
      <c r="N276" s="686">
        <f>IF(B276="TXO","",IF(D276="新倉","",IF(E276="賣",(H276-H275)*G276,(H275-H276)*G276)))</f>
        <v/>
      </c>
      <c r="O276" s="226">
        <f>ABS(I276)</f>
        <v/>
      </c>
      <c r="P276" s="667" t="n"/>
      <c r="S276" s="739" t="n"/>
      <c r="T276" s="61" t="n"/>
      <c r="U276" s="61" t="n"/>
      <c r="V276" s="61" t="n"/>
      <c r="W276" s="61" t="n"/>
    </row>
    <row r="277" hidden="1" outlineLevel="2" ht="17.25" customHeight="1" thickBot="1">
      <c r="A277" s="740" t="n">
        <v>43250</v>
      </c>
      <c r="B277" s="299" t="inlineStr">
        <is>
          <t>TXO</t>
        </is>
      </c>
      <c r="C277" s="300" t="inlineStr">
        <is>
          <t>台選W1 06 10650 P</t>
        </is>
      </c>
      <c r="D277" s="300" t="inlineStr">
        <is>
          <t>新倉</t>
        </is>
      </c>
      <c r="E277" s="301" t="inlineStr">
        <is>
          <t>買</t>
        </is>
      </c>
      <c r="F277" s="300" t="inlineStr">
        <is>
          <t>-</t>
        </is>
      </c>
      <c r="G277" s="741" t="n">
        <v>1</v>
      </c>
      <c r="H277" s="741" t="n">
        <v>39</v>
      </c>
      <c r="I277" s="741" t="n">
        <v>-1950</v>
      </c>
      <c r="J277" s="742" t="n">
        <v>18</v>
      </c>
      <c r="K277" s="742" t="n">
        <v>2</v>
      </c>
      <c r="L277" s="742">
        <f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/>
      </c>
      <c r="M277" s="743">
        <f>L277</f>
        <v/>
      </c>
      <c r="N277" s="686">
        <f>IF(B277="TXO","",IF(D277="新倉","",IF(E277="賣",(H277-H276)*G277,(H276-H277)*G277)))</f>
        <v/>
      </c>
      <c r="O277" s="226">
        <f>ABS(I277)</f>
        <v/>
      </c>
      <c r="P277" s="667" t="n"/>
      <c r="S277" s="739" t="n"/>
      <c r="T277" s="61" t="n"/>
      <c r="U277" s="61" t="n"/>
      <c r="V277" s="61" t="n"/>
      <c r="W277" s="61" t="n"/>
    </row>
    <row r="278" hidden="1" outlineLevel="2" ht="17.25" customHeight="1" thickBot="1">
      <c r="A278" s="740" t="n">
        <v>43250</v>
      </c>
      <c r="B278" s="299" t="inlineStr">
        <is>
          <t>TXO</t>
        </is>
      </c>
      <c r="C278" s="300" t="inlineStr">
        <is>
          <t>台選W1 06 10500 P</t>
        </is>
      </c>
      <c r="D278" s="300" t="inlineStr">
        <is>
          <t>新倉</t>
        </is>
      </c>
      <c r="E278" s="301" t="inlineStr">
        <is>
          <t>買</t>
        </is>
      </c>
      <c r="F278" s="300" t="inlineStr">
        <is>
          <t>-</t>
        </is>
      </c>
      <c r="G278" s="741" t="n">
        <v>3</v>
      </c>
      <c r="H278" s="741" t="n">
        <v>18</v>
      </c>
      <c r="I278" s="741" t="n">
        <v>-2700</v>
      </c>
      <c r="J278" s="742" t="n">
        <v>54</v>
      </c>
      <c r="K278" s="742" t="n">
        <v>3</v>
      </c>
      <c r="L278" s="742">
        <f>IF(B278="TXO",I278-SUM(J278:K278),IF(B278="FITX",IF(D278="新倉",-SUM(J278:K278),IF(E278="賣",(H278-H277)*G278*200-SUM(J278:K278),(H277-H278)*G278*200-SUM(J278:K278))),IF(D278="新倉",-SUM(J278:K278),IF(E278="賣",(H278-H277)*G278*50-SUM(J278:K278),(H277-H278)*G278*50-SUM(J278:K278)))))</f>
        <v/>
      </c>
      <c r="M278" s="743">
        <f>L278</f>
        <v/>
      </c>
      <c r="N278" s="686">
        <f>IF(B278="TXO","",IF(D278="新倉","",IF(E278="賣",(H278-H277)*G278,(H277-H278)*G278)))</f>
        <v/>
      </c>
      <c r="O278" s="226">
        <f>ABS(I278)</f>
        <v/>
      </c>
      <c r="P278" s="667" t="n"/>
      <c r="S278" s="739" t="n"/>
      <c r="T278" s="61" t="n"/>
      <c r="U278" s="61" t="n"/>
      <c r="V278" s="61" t="n"/>
      <c r="W278" s="61" t="n"/>
    </row>
    <row r="279" hidden="1" outlineLevel="2" ht="17.25" customHeight="1" thickBot="1">
      <c r="A279" s="740" t="n">
        <v>43250</v>
      </c>
      <c r="B279" s="299" t="inlineStr">
        <is>
          <t>TXO</t>
        </is>
      </c>
      <c r="C279" s="300" t="inlineStr">
        <is>
          <t>台選W1 06 10600 P</t>
        </is>
      </c>
      <c r="D279" s="300" t="inlineStr">
        <is>
          <t>新倉</t>
        </is>
      </c>
      <c r="E279" s="301" t="inlineStr">
        <is>
          <t>買</t>
        </is>
      </c>
      <c r="F279" s="300" t="inlineStr">
        <is>
          <t>-</t>
        </is>
      </c>
      <c r="G279" s="741" t="n">
        <v>2</v>
      </c>
      <c r="H279" s="741" t="n">
        <v>29</v>
      </c>
      <c r="I279" s="741" t="n">
        <v>-2900</v>
      </c>
      <c r="J279" s="742" t="n">
        <v>36</v>
      </c>
      <c r="K279" s="742" t="n">
        <v>2</v>
      </c>
      <c r="L279" s="742">
        <f>IF(B279="TXO",I279-SUM(J279:K279),IF(B279="FITX",IF(D279="新倉",-SUM(J279:K279),IF(E279="賣",(H279-H278)*G279*200-SUM(J279:K279),(H278-H279)*G279*200-SUM(J279:K279))),IF(D279="新倉",-SUM(J279:K279),IF(E279="賣",(H279-H278)*G279*50-SUM(J279:K279),(H278-H279)*G279*50-SUM(J279:K279)))))</f>
        <v/>
      </c>
      <c r="M279" s="743">
        <f>L279</f>
        <v/>
      </c>
      <c r="N279" s="686">
        <f>IF(B279="TXO","",IF(D279="新倉","",IF(E279="賣",(H279-H278)*G279,(H278-H279)*G279)))</f>
        <v/>
      </c>
      <c r="O279" s="226">
        <f>ABS(I279)</f>
        <v/>
      </c>
      <c r="P279" s="667" t="n"/>
      <c r="S279" s="739" t="n"/>
      <c r="T279" s="61" t="n"/>
      <c r="U279" s="61" t="n"/>
      <c r="V279" s="61" t="n"/>
      <c r="W279" s="61" t="n"/>
    </row>
    <row r="280" hidden="1" outlineLevel="2" ht="17.25" customHeight="1" thickBot="1">
      <c r="A280" s="740" t="n">
        <v>43250</v>
      </c>
      <c r="B280" s="299" t="inlineStr">
        <is>
          <t>TXO</t>
        </is>
      </c>
      <c r="C280" s="300" t="inlineStr">
        <is>
          <t>台選W1 06 10650 P</t>
        </is>
      </c>
      <c r="D280" s="300" t="inlineStr">
        <is>
          <t>新倉</t>
        </is>
      </c>
      <c r="E280" s="301" t="inlineStr">
        <is>
          <t>買</t>
        </is>
      </c>
      <c r="F280" s="300" t="inlineStr">
        <is>
          <t>-</t>
        </is>
      </c>
      <c r="G280" s="741" t="n">
        <v>1</v>
      </c>
      <c r="H280" s="741" t="n">
        <v>38</v>
      </c>
      <c r="I280" s="741" t="n">
        <v>-1900</v>
      </c>
      <c r="J280" s="742" t="n">
        <v>18</v>
      </c>
      <c r="K280" s="742" t="n">
        <v>2</v>
      </c>
      <c r="L280" s="742">
        <f>IF(B280="TXO",I280-SUM(J280:K280),IF(B280="FITX",IF(D280="新倉",-SUM(J280:K280),IF(E280="賣",(H280-H279)*G280*200-SUM(J280:K280),(H279-H280)*G280*200-SUM(J280:K280))),IF(D280="新倉",-SUM(J280:K280),IF(E280="賣",(H280-H279)*G280*50-SUM(J280:K280),(H279-H280)*G280*50-SUM(J280:K280)))))</f>
        <v/>
      </c>
      <c r="M280" s="743">
        <f>L280</f>
        <v/>
      </c>
      <c r="N280" s="686">
        <f>IF(B280="TXO","",IF(D280="新倉","",IF(E280="賣",(H280-H279)*G280,(H279-H280)*G280)))</f>
        <v/>
      </c>
      <c r="O280" s="226">
        <f>ABS(I280)</f>
        <v/>
      </c>
      <c r="P280" s="667" t="n"/>
      <c r="S280" s="739" t="n"/>
      <c r="T280" s="61" t="n"/>
      <c r="U280" s="61" t="n"/>
      <c r="V280" s="61" t="n"/>
      <c r="W280" s="61" t="n"/>
    </row>
    <row r="281" hidden="1" outlineLevel="2" ht="17.25" customHeight="1" thickBot="1">
      <c r="A281" s="740" t="n">
        <v>43250</v>
      </c>
      <c r="B281" s="299" t="inlineStr">
        <is>
          <t>TXO</t>
        </is>
      </c>
      <c r="C281" s="300" t="inlineStr">
        <is>
          <t>台選W1 06 10750 P</t>
        </is>
      </c>
      <c r="D281" s="300" t="inlineStr">
        <is>
          <t>新倉</t>
        </is>
      </c>
      <c r="E281" s="301" t="inlineStr">
        <is>
          <t>買</t>
        </is>
      </c>
      <c r="F281" s="300" t="inlineStr">
        <is>
          <t>-</t>
        </is>
      </c>
      <c r="G281" s="741" t="n">
        <v>1</v>
      </c>
      <c r="H281" s="741" t="n">
        <v>62</v>
      </c>
      <c r="I281" s="741" t="n">
        <v>-3100</v>
      </c>
      <c r="J281" s="742" t="n">
        <v>18</v>
      </c>
      <c r="K281" s="742" t="n">
        <v>3</v>
      </c>
      <c r="L281" s="742">
        <f>IF(B281="TXO",I281-SUM(J281:K281),IF(B281="FITX",IF(D281="新倉",-SUM(J281:K281),IF(E281="賣",(H281-H280)*G281*200-SUM(J281:K281),(H280-H281)*G281*200-SUM(J281:K281))),IF(D281="新倉",-SUM(J281:K281),IF(E281="賣",(H281-H280)*G281*50-SUM(J281:K281),(H280-H281)*G281*50-SUM(J281:K281)))))</f>
        <v/>
      </c>
      <c r="M281" s="743">
        <f>L281</f>
        <v/>
      </c>
      <c r="N281" s="686">
        <f>IF(B281="TXO","",IF(D281="新倉","",IF(E281="賣",(H281-H280)*G281,(H280-H281)*G281)))</f>
        <v/>
      </c>
      <c r="O281" s="226">
        <f>ABS(I281)</f>
        <v/>
      </c>
      <c r="P281" s="667" t="n"/>
      <c r="S281" s="739" t="n"/>
      <c r="T281" s="61" t="n"/>
      <c r="U281" s="61" t="n"/>
      <c r="V281" s="61" t="n"/>
      <c r="W281" s="61" t="n"/>
    </row>
    <row r="282" hidden="1" outlineLevel="2" ht="17.25" customHeight="1" thickBot="1">
      <c r="A282" s="740" t="n">
        <v>43250</v>
      </c>
      <c r="B282" s="299" t="inlineStr">
        <is>
          <t>TXO</t>
        </is>
      </c>
      <c r="C282" s="300" t="inlineStr">
        <is>
          <t>台選W5 05 10850 C</t>
        </is>
      </c>
      <c r="D282" s="300" t="inlineStr">
        <is>
          <t>新倉</t>
        </is>
      </c>
      <c r="E282" s="301" t="inlineStr">
        <is>
          <t>買</t>
        </is>
      </c>
      <c r="F282" s="300" t="inlineStr">
        <is>
          <t>-</t>
        </is>
      </c>
      <c r="G282" s="741" t="n">
        <v>1</v>
      </c>
      <c r="H282" s="741" t="n">
        <v>20</v>
      </c>
      <c r="I282" s="741" t="n">
        <v>-1000</v>
      </c>
      <c r="J282" s="742" t="n">
        <v>18</v>
      </c>
      <c r="K282" s="742" t="n">
        <v>1</v>
      </c>
      <c r="L282" s="742">
        <f>IF(B282="TXO",I282-SUM(J282:K282),IF(B282="FITX",IF(D282="新倉",-SUM(J282:K282),IF(E282="賣",(H282-H281)*G282*200-SUM(J282:K282),(H281-H282)*G282*200-SUM(J282:K282))),IF(D282="新倉",-SUM(J282:K282),IF(E282="賣",(H282-H281)*G282*50-SUM(J282:K282),(H281-H282)*G282*50-SUM(J282:K282)))))</f>
        <v/>
      </c>
      <c r="M282" s="743">
        <f>L282</f>
        <v/>
      </c>
      <c r="N282" s="686">
        <f>IF(B282="TXO","",IF(D282="新倉","",IF(E282="賣",(H282-H281)*G282,(H281-H282)*G282)))</f>
        <v/>
      </c>
      <c r="O282" s="226">
        <f>ABS(I282)</f>
        <v/>
      </c>
      <c r="P282" s="667" t="n"/>
      <c r="S282" s="739" t="n"/>
      <c r="T282" s="61" t="n"/>
      <c r="U282" s="61" t="n"/>
      <c r="V282" s="61" t="n"/>
      <c r="W282" s="61" t="n"/>
    </row>
    <row r="283" hidden="1" outlineLevel="2" ht="17.25" customHeight="1" thickBot="1">
      <c r="A283" s="740" t="n">
        <v>43250</v>
      </c>
      <c r="B283" s="299" t="inlineStr">
        <is>
          <t>FIMTX</t>
        </is>
      </c>
      <c r="C283" s="300" t="inlineStr">
        <is>
          <t>小指06</t>
        </is>
      </c>
      <c r="D283" s="300" t="inlineStr">
        <is>
          <t>新倉</t>
        </is>
      </c>
      <c r="E283" s="301" t="inlineStr">
        <is>
          <t>買</t>
        </is>
      </c>
      <c r="F283" s="300" t="inlineStr">
        <is>
          <t>-</t>
        </is>
      </c>
      <c r="G283" s="741" t="n">
        <v>1</v>
      </c>
      <c r="H283" s="741" t="n">
        <v>10845</v>
      </c>
      <c r="I283" s="741" t="n">
        <v>0</v>
      </c>
      <c r="J283" s="742" t="n">
        <v>23</v>
      </c>
      <c r="K283" s="742" t="n">
        <v>11</v>
      </c>
      <c r="L283" s="742">
        <f>IF(B283="TXO",I283-SUM(J283:K283),IF(B283="FITX",IF(D283="新倉",-SUM(J283:K283),IF(E283="賣",(H283-H282)*G283*200-SUM(J283:K283),(H282-H283)*G283*200-SUM(J283:K283))),IF(D283="新倉",-SUM(J283:K283),IF(E283="賣",(H283-H282)*G283*50-SUM(J283:K283),(H282-H283)*G283*50-SUM(J283:K283)))))</f>
        <v/>
      </c>
      <c r="M283" s="743">
        <f>L283</f>
        <v/>
      </c>
      <c r="N283" s="686">
        <f>IF(B283="TXO","",IF(D283="新倉","",IF(E283="賣",(H283-H282)*G283,(H282-H283)*G283)))</f>
        <v/>
      </c>
      <c r="O283" s="226">
        <f>ABS(I283)</f>
        <v/>
      </c>
      <c r="P283" s="667" t="n"/>
      <c r="S283" s="739" t="n"/>
      <c r="T283" s="61" t="n"/>
      <c r="U283" s="61" t="n"/>
      <c r="V283" s="61" t="n"/>
      <c r="W283" s="61" t="n"/>
    </row>
    <row r="284" hidden="1" outlineLevel="2" ht="17.25" customHeight="1" thickBot="1">
      <c r="A284" s="740" t="n">
        <v>43250</v>
      </c>
      <c r="B284" s="299" t="inlineStr">
        <is>
          <t>FIMTX</t>
        </is>
      </c>
      <c r="C284" s="300" t="inlineStr">
        <is>
          <t>小指06</t>
        </is>
      </c>
      <c r="D284" s="300" t="inlineStr">
        <is>
          <t>平倉</t>
        </is>
      </c>
      <c r="E284" s="301" t="inlineStr">
        <is>
          <t>賣</t>
        </is>
      </c>
      <c r="F284" s="300" t="inlineStr">
        <is>
          <t>-</t>
        </is>
      </c>
      <c r="G284" s="741" t="n">
        <v>1</v>
      </c>
      <c r="H284" s="741" t="n">
        <v>10832</v>
      </c>
      <c r="I284" s="741" t="n">
        <v>0</v>
      </c>
      <c r="J284" s="742" t="n">
        <v>23</v>
      </c>
      <c r="K284" s="742" t="n">
        <v>11</v>
      </c>
      <c r="L284" s="742">
        <f>IF(B284="TXO",I284-SUM(J284:K284),IF(B284="FITX",IF(D284="新倉",-SUM(J284:K284),IF(E284="賣",(H284-H283)*G284*200-SUM(J284:K284),(H283-H284)*G284*200-SUM(J284:K284))),IF(D284="新倉",-SUM(J284:K284),IF(E284="賣",(H284-H283)*G284*50-SUM(J284:K284),(H283-H284)*G284*50-SUM(J284:K284)))))</f>
        <v/>
      </c>
      <c r="M284" s="743">
        <f>L284</f>
        <v/>
      </c>
      <c r="N284" s="686">
        <f>IF(B284="TXO","",IF(D284="新倉","",IF(E284="賣",(H284-H283)*G284,(H283-H284)*G284)))</f>
        <v/>
      </c>
      <c r="O284" s="226">
        <f>ABS(I284)</f>
        <v/>
      </c>
      <c r="P284" s="667" t="n"/>
      <c r="S284" s="739" t="n"/>
      <c r="T284" s="61" t="n"/>
      <c r="U284" s="61" t="n"/>
      <c r="V284" s="61" t="n"/>
      <c r="W284" s="61" t="n"/>
    </row>
    <row r="285" hidden="1" outlineLevel="2" ht="17.25" customHeight="1" thickBot="1">
      <c r="A285" s="740" t="n">
        <v>43250</v>
      </c>
      <c r="B285" s="299" t="inlineStr">
        <is>
          <t>TXO</t>
        </is>
      </c>
      <c r="C285" s="300" t="inlineStr">
        <is>
          <t>台選W1 06 10500 P</t>
        </is>
      </c>
      <c r="D285" s="300" t="inlineStr">
        <is>
          <t>新倉</t>
        </is>
      </c>
      <c r="E285" s="301" t="inlineStr">
        <is>
          <t>買</t>
        </is>
      </c>
      <c r="F285" s="300" t="inlineStr">
        <is>
          <t>-</t>
        </is>
      </c>
      <c r="G285" s="741" t="n">
        <v>3</v>
      </c>
      <c r="H285" s="741" t="n">
        <v>8.6</v>
      </c>
      <c r="I285" s="741" t="n">
        <v>-1290</v>
      </c>
      <c r="J285" s="742" t="n">
        <v>54</v>
      </c>
      <c r="K285" s="742" t="n">
        <v>0</v>
      </c>
      <c r="L285" s="742">
        <f>IF(B285="TXO",I285-SUM(J285:K285),IF(B285="FITX",IF(D285="新倉",-SUM(J285:K285),IF(E285="賣",(H285-H284)*G285*200-SUM(J285:K285),(H284-H285)*G285*200-SUM(J285:K285))),IF(D285="新倉",-SUM(J285:K285),IF(E285="賣",(H285-H284)*G285*50-SUM(J285:K285),(H284-H285)*G285*50-SUM(J285:K285)))))</f>
        <v/>
      </c>
      <c r="M285" s="743">
        <f>L285</f>
        <v/>
      </c>
      <c r="N285" s="686">
        <f>IF(B285="TXO","",IF(D285="新倉","",IF(E285="賣",(H285-H284)*G285,(H284-H285)*G285)))</f>
        <v/>
      </c>
      <c r="O285" s="226">
        <f>ABS(I285)</f>
        <v/>
      </c>
      <c r="P285" s="667" t="n"/>
      <c r="S285" s="739" t="n"/>
      <c r="T285" s="61" t="n"/>
      <c r="U285" s="61" t="n"/>
      <c r="V285" s="61" t="n"/>
      <c r="W285" s="61" t="n"/>
    </row>
    <row r="286" hidden="1" outlineLevel="2" ht="17.25" customHeight="1" thickBot="1">
      <c r="A286" s="740" t="n">
        <v>43250</v>
      </c>
      <c r="B286" s="299" t="inlineStr">
        <is>
          <t>TXO</t>
        </is>
      </c>
      <c r="C286" s="300" t="inlineStr">
        <is>
          <t>台選W1 06 10600 P</t>
        </is>
      </c>
      <c r="D286" s="300" t="inlineStr">
        <is>
          <t>新倉</t>
        </is>
      </c>
      <c r="E286" s="301" t="inlineStr">
        <is>
          <t>買</t>
        </is>
      </c>
      <c r="F286" s="300" t="inlineStr">
        <is>
          <t>-</t>
        </is>
      </c>
      <c r="G286" s="741" t="n">
        <v>2</v>
      </c>
      <c r="H286" s="741" t="n">
        <v>14</v>
      </c>
      <c r="I286" s="741" t="n">
        <v>-1400</v>
      </c>
      <c r="J286" s="742" t="n">
        <v>36</v>
      </c>
      <c r="K286" s="742" t="n">
        <v>2</v>
      </c>
      <c r="L286" s="742">
        <f>IF(B286="TXO",I286-SUM(J286:K286),IF(B286="FITX",IF(D286="新倉",-SUM(J286:K286),IF(E286="賣",(H286-H285)*G286*200-SUM(J286:K286),(H285-H286)*G286*200-SUM(J286:K286))),IF(D286="新倉",-SUM(J286:K286),IF(E286="賣",(H286-H285)*G286*50-SUM(J286:K286),(H285-H286)*G286*50-SUM(J286:K286)))))</f>
        <v/>
      </c>
      <c r="M286" s="743">
        <f>L286</f>
        <v/>
      </c>
      <c r="N286" s="686">
        <f>IF(B286="TXO","",IF(D286="新倉","",IF(E286="賣",(H286-H285)*G286,(H285-H286)*G286)))</f>
        <v/>
      </c>
      <c r="O286" s="226">
        <f>ABS(I286)</f>
        <v/>
      </c>
      <c r="P286" s="667" t="n"/>
      <c r="S286" s="739" t="n"/>
      <c r="T286" s="61" t="n"/>
      <c r="U286" s="61" t="n"/>
      <c r="V286" s="61" t="n"/>
      <c r="W286" s="61" t="n"/>
    </row>
    <row r="287" hidden="1" outlineLevel="2" ht="17.25" customHeight="1" thickBot="1">
      <c r="A287" s="740" t="n">
        <v>43250</v>
      </c>
      <c r="B287" s="299" t="inlineStr">
        <is>
          <t>TXO</t>
        </is>
      </c>
      <c r="C287" s="300" t="inlineStr">
        <is>
          <t>台選W1 06 10650 P</t>
        </is>
      </c>
      <c r="D287" s="300" t="inlineStr">
        <is>
          <t>新倉</t>
        </is>
      </c>
      <c r="E287" s="301" t="inlineStr">
        <is>
          <t>買</t>
        </is>
      </c>
      <c r="F287" s="300" t="inlineStr">
        <is>
          <t>-</t>
        </is>
      </c>
      <c r="G287" s="741" t="n">
        <v>1</v>
      </c>
      <c r="H287" s="741" t="n">
        <v>19</v>
      </c>
      <c r="I287" s="741" t="n">
        <v>-950</v>
      </c>
      <c r="J287" s="742" t="n">
        <v>18</v>
      </c>
      <c r="K287" s="742" t="n">
        <v>1</v>
      </c>
      <c r="L287" s="742">
        <f>IF(B287="TXO",I287-SUM(J287:K287),IF(B287="FITX",IF(D287="新倉",-SUM(J287:K287),IF(E287="賣",(H287-H286)*G287*200-SUM(J287:K287),(H286-H287)*G287*200-SUM(J287:K287))),IF(D287="新倉",-SUM(J287:K287),IF(E287="賣",(H287-H286)*G287*50-SUM(J287:K287),(H286-H287)*G287*50-SUM(J287:K287)))))</f>
        <v/>
      </c>
      <c r="M287" s="743">
        <f>L287</f>
        <v/>
      </c>
      <c r="N287" s="686">
        <f>IF(B287="TXO","",IF(D287="新倉","",IF(E287="賣",(H287-H286)*G287,(H286-H287)*G287)))</f>
        <v/>
      </c>
      <c r="O287" s="226">
        <f>ABS(I287)</f>
        <v/>
      </c>
      <c r="P287" s="667" t="n"/>
      <c r="S287" s="739" t="n"/>
      <c r="T287" s="61" t="n"/>
      <c r="U287" s="61" t="n"/>
      <c r="V287" s="61" t="n"/>
      <c r="W287" s="61" t="n"/>
    </row>
    <row r="288" hidden="1" outlineLevel="2" ht="17.25" customHeight="1" thickBot="1">
      <c r="A288" s="740" t="n">
        <v>43250</v>
      </c>
      <c r="B288" s="299" t="inlineStr">
        <is>
          <t>FIMTX</t>
        </is>
      </c>
      <c r="C288" s="300" t="inlineStr">
        <is>
          <t>小指06</t>
        </is>
      </c>
      <c r="D288" s="300" t="inlineStr">
        <is>
          <t>新倉</t>
        </is>
      </c>
      <c r="E288" s="301" t="inlineStr">
        <is>
          <t>買</t>
        </is>
      </c>
      <c r="F288" s="300" t="inlineStr">
        <is>
          <t>-</t>
        </is>
      </c>
      <c r="G288" s="741" t="n">
        <v>1</v>
      </c>
      <c r="H288" s="741" t="n">
        <v>10841</v>
      </c>
      <c r="I288" s="741" t="n">
        <v>0</v>
      </c>
      <c r="J288" s="742" t="n">
        <v>23</v>
      </c>
      <c r="K288" s="742" t="n">
        <v>11</v>
      </c>
      <c r="L288" s="742">
        <f>IF(B288="TXO",I288-SUM(J288:K288),IF(B288="FITX",IF(D288="新倉",-SUM(J288:K288),IF(E288="賣",(H288-H287)*G288*200-SUM(J288:K288),(H287-H288)*G288*200-SUM(J288:K288))),IF(D288="新倉",-SUM(J288:K288),IF(E288="賣",(H288-H287)*G288*50-SUM(J288:K288),(H287-H288)*G288*50-SUM(J288:K288)))))</f>
        <v/>
      </c>
      <c r="M288" s="743">
        <f>L288</f>
        <v/>
      </c>
      <c r="N288" s="686">
        <f>IF(B288="TXO","",IF(D288="新倉","",IF(E288="賣",(H288-H287)*G288,(H287-H288)*G288)))</f>
        <v/>
      </c>
      <c r="O288" s="226">
        <f>ABS(I288)</f>
        <v/>
      </c>
      <c r="P288" s="667" t="n"/>
      <c r="S288" s="739" t="n"/>
      <c r="T288" s="61" t="n"/>
      <c r="U288" s="61" t="n"/>
      <c r="V288" s="61" t="n"/>
      <c r="W288" s="61" t="n"/>
    </row>
    <row r="289" hidden="1" outlineLevel="2" ht="17.25" customHeight="1" thickBot="1">
      <c r="A289" s="740" t="n">
        <v>43250</v>
      </c>
      <c r="B289" s="299" t="inlineStr">
        <is>
          <t>FIMTX</t>
        </is>
      </c>
      <c r="C289" s="300" t="inlineStr">
        <is>
          <t>小指06</t>
        </is>
      </c>
      <c r="D289" s="300" t="inlineStr">
        <is>
          <t>平倉</t>
        </is>
      </c>
      <c r="E289" s="301" t="inlineStr">
        <is>
          <t>賣</t>
        </is>
      </c>
      <c r="F289" s="300" t="inlineStr">
        <is>
          <t>-</t>
        </is>
      </c>
      <c r="G289" s="741" t="n">
        <v>1</v>
      </c>
      <c r="H289" s="741" t="n">
        <v>10847</v>
      </c>
      <c r="I289" s="741" t="n">
        <v>0</v>
      </c>
      <c r="J289" s="742" t="n">
        <v>23</v>
      </c>
      <c r="K289" s="742" t="n">
        <v>11</v>
      </c>
      <c r="L289" s="742">
        <f>IF(B289="TXO",I289-SUM(J289:K289),IF(B289="FITX",IF(D289="新倉",-SUM(J289:K289),IF(E289="賣",(H289-H288)*G289*200-SUM(J289:K289),(H288-H289)*G289*200-SUM(J289:K289))),IF(D289="新倉",-SUM(J289:K289),IF(E289="賣",(H289-H288)*G289*50-SUM(J289:K289),(H288-H289)*G289*50-SUM(J289:K289)))))</f>
        <v/>
      </c>
      <c r="M289" s="743">
        <f>L289</f>
        <v/>
      </c>
      <c r="N289" s="686">
        <f>IF(B289="TXO","",IF(D289="新倉","",IF(E289="賣",(H289-H288)*G289,(H288-H289)*G289)))</f>
        <v/>
      </c>
      <c r="O289" s="226">
        <f>ABS(I289)</f>
        <v/>
      </c>
      <c r="P289" s="667" t="n"/>
      <c r="S289" s="739" t="n"/>
      <c r="T289" s="61" t="n"/>
      <c r="U289" s="61" t="n"/>
      <c r="V289" s="61" t="n"/>
      <c r="W289" s="61" t="n"/>
    </row>
    <row r="290" hidden="1" outlineLevel="1" collapsed="1" ht="17.25" customHeight="1" thickBot="1">
      <c r="A290" s="696" t="n">
        <v>43251</v>
      </c>
      <c r="B290" s="234" t="inlineStr">
        <is>
          <t>TXO</t>
        </is>
      </c>
      <c r="C290" s="229" t="inlineStr">
        <is>
          <t>台選W1 06 10550 P</t>
        </is>
      </c>
      <c r="D290" s="229" t="inlineStr">
        <is>
          <t>新倉</t>
        </is>
      </c>
      <c r="E290" s="257" t="inlineStr">
        <is>
          <t>買</t>
        </is>
      </c>
      <c r="F290" s="229" t="inlineStr">
        <is>
          <t>-</t>
        </is>
      </c>
      <c r="G290" s="697" t="n">
        <v>1</v>
      </c>
      <c r="H290" s="697" t="n">
        <v>8</v>
      </c>
      <c r="I290" s="697" t="n">
        <v>-400</v>
      </c>
      <c r="J290" s="585" t="n">
        <v>18</v>
      </c>
      <c r="K290" s="585" t="n">
        <v>0</v>
      </c>
      <c r="L290" s="585">
        <f>IF(B290="TXO",I290-SUM(J290:K290),IF(B290="FITX",IF(D290="新倉",-SUM(J290:K290),IF(E290="賣",(H290-H289)*G290*200-SUM(J290:K290),(H289-H290)*G290*200-SUM(J290:K290))),IF(D290="新倉",-SUM(J290:K290),IF(E290="賣",(H290-H289)*G290*50-SUM(J290:K290),(H289-H290)*G290*50-SUM(J290:K290)))))</f>
        <v/>
      </c>
      <c r="M290" s="699">
        <f>L290</f>
        <v/>
      </c>
      <c r="N290" s="686">
        <f>IF(B290="TXO","",IF(D290="新倉","",IF(E290="賣",(H290-H289)*G290,(H289-H290)*G290)))</f>
        <v/>
      </c>
      <c r="O290" s="226">
        <f>ABS(I290)</f>
        <v/>
      </c>
      <c r="P290" s="667">
        <f>SUM(L290)</f>
        <v/>
      </c>
      <c r="S290" s="739" t="n"/>
      <c r="T290" s="61" t="n"/>
      <c r="U290" s="61" t="n"/>
      <c r="V290" s="61" t="n"/>
      <c r="W290" s="61" t="n"/>
    </row>
    <row r="291" ht="17.25" customHeight="1" thickBot="1">
      <c r="A291" s="273" t="inlineStr">
        <is>
          <t>5月總計</t>
        </is>
      </c>
      <c r="B291" s="274" t="n"/>
      <c r="C291" s="274" t="n"/>
      <c r="D291" s="274" t="n"/>
      <c r="E291" s="274" t="n"/>
      <c r="F291" s="274" t="n"/>
      <c r="G291" s="715" t="n"/>
      <c r="H291" s="715" t="n"/>
      <c r="I291" s="715" t="n"/>
      <c r="J291" s="716" t="n"/>
      <c r="K291" s="715" t="n"/>
      <c r="L291" s="717">
        <f>SUM(L151:L290)</f>
        <v/>
      </c>
      <c r="M291" s="751">
        <f>SUM(M151:M290)</f>
        <v/>
      </c>
      <c r="N291" s="666" t="n"/>
      <c r="P291" s="744" t="n"/>
      <c r="S291" s="739" t="n"/>
      <c r="T291" s="61" t="n"/>
      <c r="U291" s="61" t="n"/>
      <c r="V291" s="61" t="n"/>
      <c r="W291" s="61" t="n"/>
    </row>
    <row r="292" ht="17.25" customHeight="1" thickBot="1">
      <c r="A292" s="718" t="n">
        <v>43257</v>
      </c>
      <c r="B292" s="292" t="n"/>
      <c r="C292" s="292" t="inlineStr">
        <is>
          <t>富邦個人信貸</t>
        </is>
      </c>
      <c r="D292" s="292" t="n"/>
      <c r="E292" s="292" t="n"/>
      <c r="F292" s="292" t="n"/>
      <c r="G292" s="719" t="n"/>
      <c r="H292" s="719" t="n"/>
      <c r="I292" s="719" t="n"/>
      <c r="J292" s="720" t="n"/>
      <c r="K292" s="719" t="n"/>
      <c r="L292" s="720" t="n"/>
      <c r="M292" s="721" t="n">
        <v>-1146</v>
      </c>
      <c r="N292" s="666" t="n"/>
      <c r="P292" s="722" t="n"/>
      <c r="Q292" s="249" t="inlineStr">
        <is>
          <t>利息</t>
        </is>
      </c>
      <c r="S292" s="739" t="n"/>
      <c r="T292" s="61" t="n"/>
      <c r="U292" s="61" t="n"/>
      <c r="V292" s="61" t="n"/>
      <c r="W292" s="61" t="n"/>
    </row>
    <row r="293" ht="17.25" customHeight="1" thickBot="1">
      <c r="A293" s="718" t="n">
        <v>43265</v>
      </c>
      <c r="B293" s="292" t="n"/>
      <c r="C293" s="292" t="inlineStr">
        <is>
          <t>XQ 學院版</t>
        </is>
      </c>
      <c r="D293" s="292" t="n"/>
      <c r="E293" s="292" t="n"/>
      <c r="F293" s="292" t="n"/>
      <c r="G293" s="719" t="n"/>
      <c r="H293" s="719" t="n"/>
      <c r="I293" s="719" t="n"/>
      <c r="J293" s="720" t="n"/>
      <c r="K293" s="719" t="n"/>
      <c r="L293" s="720" t="n"/>
      <c r="M293" s="721">
        <f>-4457*0.965</f>
        <v/>
      </c>
      <c r="N293" s="666" t="n"/>
      <c r="P293" s="722" t="n"/>
      <c r="Q293" s="249" t="inlineStr">
        <is>
          <t>49888分12期, 每期4457</t>
        </is>
      </c>
      <c r="S293" s="739" t="n"/>
      <c r="T293" s="61" t="n"/>
      <c r="U293" s="61" t="n"/>
      <c r="V293" s="61" t="n"/>
      <c r="W293" s="61" t="n"/>
    </row>
    <row r="294" ht="17.25" customHeight="1" thickBot="1">
      <c r="A294" s="718" t="n">
        <v>43270</v>
      </c>
      <c r="B294" s="292" t="n"/>
      <c r="C294" s="292" t="inlineStr">
        <is>
          <t>阿水制霸班</t>
        </is>
      </c>
      <c r="D294" s="292" t="n"/>
      <c r="E294" s="292" t="n"/>
      <c r="F294" s="292" t="n"/>
      <c r="G294" s="719" t="n"/>
      <c r="H294" s="719" t="n"/>
      <c r="I294" s="719" t="n"/>
      <c r="J294" s="720" t="n"/>
      <c r="K294" s="719" t="n"/>
      <c r="L294" s="720" t="n"/>
      <c r="M294" s="721" t="n">
        <v>-4490</v>
      </c>
      <c r="N294" s="666" t="n"/>
      <c r="P294" s="722" t="n"/>
      <c r="Q294" s="249" t="inlineStr">
        <is>
          <t>53888分12期, 每期4490, 12-07</t>
        </is>
      </c>
      <c r="S294" s="739" t="n"/>
      <c r="T294" s="61" t="n"/>
      <c r="U294" s="61" t="n"/>
      <c r="V294" s="61" t="n"/>
      <c r="W294" s="61" t="n"/>
    </row>
    <row r="295" collapsed="1" ht="17.25" customHeight="1" thickBot="1">
      <c r="A295" s="718" t="n">
        <v>43279</v>
      </c>
      <c r="B295" s="292" t="n"/>
      <c r="C295" s="292" t="inlineStr">
        <is>
          <t>阿水財經四班</t>
        </is>
      </c>
      <c r="D295" s="292" t="n"/>
      <c r="E295" s="292" t="n"/>
      <c r="F295" s="292" t="n"/>
      <c r="G295" s="719" t="n"/>
      <c r="H295" s="719" t="n"/>
      <c r="I295" s="719" t="n"/>
      <c r="J295" s="720" t="n"/>
      <c r="K295" s="719" t="n"/>
      <c r="L295" s="720" t="n"/>
      <c r="M295" s="721">
        <f>-5000*0.965</f>
        <v/>
      </c>
      <c r="N295" s="666" t="n"/>
      <c r="P295" s="722" t="n"/>
      <c r="Q295" s="249" t="inlineStr">
        <is>
          <t>60000分12期, 每期5000</t>
        </is>
      </c>
      <c r="S295" s="739" t="n"/>
      <c r="T295" s="61" t="n"/>
      <c r="U295" s="61" t="n"/>
      <c r="V295" s="61" t="n"/>
      <c r="W295" s="61" t="n"/>
    </row>
    <row r="296" hidden="1" outlineLevel="1" ht="17.25" customHeight="1" thickBot="1">
      <c r="A296" s="696" t="n">
        <v>43257</v>
      </c>
      <c r="B296" s="234" t="inlineStr">
        <is>
          <t>TXO</t>
        </is>
      </c>
      <c r="C296" s="229" t="inlineStr">
        <is>
          <t>台選W1 06 11150 P</t>
        </is>
      </c>
      <c r="D296" s="229" t="inlineStr">
        <is>
          <t>新倉</t>
        </is>
      </c>
      <c r="E296" s="257" t="inlineStr">
        <is>
          <t>買</t>
        </is>
      </c>
      <c r="F296" s="229" t="inlineStr">
        <is>
          <t>-</t>
        </is>
      </c>
      <c r="G296" s="697" t="n">
        <v>1</v>
      </c>
      <c r="H296" s="697" t="n">
        <v>10</v>
      </c>
      <c r="I296" s="697" t="n">
        <v>-500</v>
      </c>
      <c r="J296" s="585" t="n">
        <v>18</v>
      </c>
      <c r="K296" s="585" t="n">
        <v>1</v>
      </c>
      <c r="L296" s="585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/>
      </c>
      <c r="M296" s="699">
        <f>L296</f>
        <v/>
      </c>
      <c r="N296" s="686">
        <f>IF(B296="TXO","",IF(D296="新倉","",IF(E296="賣",(H296-#REF!)*G296,(#REF!-H296)*G296)))</f>
        <v/>
      </c>
      <c r="O296" s="226">
        <f>ABS(I296)</f>
        <v/>
      </c>
      <c r="P296" s="667">
        <f>SUM(L296:L299)</f>
        <v/>
      </c>
      <c r="S296" s="739" t="n"/>
      <c r="T296" s="61" t="n"/>
      <c r="U296" s="61" t="n"/>
      <c r="V296" s="61" t="n"/>
      <c r="W296" s="61" t="n"/>
    </row>
    <row r="297" hidden="1" outlineLevel="2" collapsed="1" ht="17.25" customHeight="1" thickBot="1">
      <c r="A297" s="696" t="n">
        <v>43257</v>
      </c>
      <c r="B297" s="234" t="inlineStr">
        <is>
          <t>TXO</t>
        </is>
      </c>
      <c r="C297" s="229" t="inlineStr">
        <is>
          <t>台選W1 06 11150 P</t>
        </is>
      </c>
      <c r="D297" s="229" t="inlineStr">
        <is>
          <t>新倉</t>
        </is>
      </c>
      <c r="E297" s="257" t="inlineStr">
        <is>
          <t>買</t>
        </is>
      </c>
      <c r="F297" s="229" t="inlineStr">
        <is>
          <t>-</t>
        </is>
      </c>
      <c r="G297" s="697" t="n">
        <v>1</v>
      </c>
      <c r="H297" s="697" t="n">
        <v>15</v>
      </c>
      <c r="I297" s="697" t="n">
        <v>-750</v>
      </c>
      <c r="J297" s="585" t="n">
        <v>18</v>
      </c>
      <c r="K297" s="585" t="n">
        <v>1</v>
      </c>
      <c r="L297" s="585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/>
      </c>
      <c r="M297" s="699">
        <f>L297</f>
        <v/>
      </c>
      <c r="N297" s="686">
        <f>IF(B297="TXO","",IF(D297="新倉","",IF(E297="賣",(H297-H296)*G297,(H296-H297)*G297)))</f>
        <v/>
      </c>
      <c r="O297" s="226">
        <f>ABS(I297)</f>
        <v/>
      </c>
      <c r="P297" s="667" t="n"/>
      <c r="S297" s="739" t="n"/>
      <c r="T297" s="61" t="n"/>
      <c r="U297" s="61" t="n"/>
      <c r="V297" s="61" t="n"/>
      <c r="W297" s="61" t="n"/>
    </row>
    <row r="298" hidden="1" outlineLevel="2" collapsed="1" ht="17.25" customHeight="1" thickBot="1">
      <c r="A298" s="696" t="n">
        <v>43257</v>
      </c>
      <c r="B298" s="234" t="inlineStr">
        <is>
          <t>TXO</t>
        </is>
      </c>
      <c r="C298" s="229" t="inlineStr">
        <is>
          <t>台選W1 06 11150 P</t>
        </is>
      </c>
      <c r="D298" s="229" t="inlineStr">
        <is>
          <t>新倉</t>
        </is>
      </c>
      <c r="E298" s="257" t="inlineStr">
        <is>
          <t>買</t>
        </is>
      </c>
      <c r="F298" s="229" t="inlineStr">
        <is>
          <t>-</t>
        </is>
      </c>
      <c r="G298" s="697" t="n">
        <v>1</v>
      </c>
      <c r="H298" s="697" t="n">
        <v>20</v>
      </c>
      <c r="I298" s="697" t="n">
        <v>-1000</v>
      </c>
      <c r="J298" s="585" t="n">
        <v>18</v>
      </c>
      <c r="K298" s="585" t="n">
        <v>1</v>
      </c>
      <c r="L298" s="585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/>
      </c>
      <c r="M298" s="699">
        <f>L298</f>
        <v/>
      </c>
      <c r="N298" s="686">
        <f>IF(B298="TXO","",IF(D298="新倉","",IF(E298="賣",(H298-H297)*G298,(H297-H298)*G298)))</f>
        <v/>
      </c>
      <c r="O298" s="226">
        <f>ABS(I298)</f>
        <v/>
      </c>
      <c r="P298" s="667" t="n"/>
      <c r="S298" s="739" t="n"/>
      <c r="T298" s="61" t="n"/>
      <c r="U298" s="61" t="n"/>
      <c r="V298" s="61" t="n"/>
      <c r="W298" s="61" t="n"/>
    </row>
    <row r="299" hidden="1" outlineLevel="2" collapsed="1" ht="17.25" customHeight="1" thickBot="1">
      <c r="A299" s="696" t="n">
        <v>43257</v>
      </c>
      <c r="B299" s="234" t="inlineStr">
        <is>
          <t>TXO</t>
        </is>
      </c>
      <c r="C299" s="229" t="inlineStr">
        <is>
          <t>台選W1 06 11150 P</t>
        </is>
      </c>
      <c r="D299" s="229" t="inlineStr">
        <is>
          <t>新倉</t>
        </is>
      </c>
      <c r="E299" s="257" t="inlineStr">
        <is>
          <t>買</t>
        </is>
      </c>
      <c r="F299" s="229" t="inlineStr">
        <is>
          <t>-</t>
        </is>
      </c>
      <c r="G299" s="697" t="n">
        <v>1</v>
      </c>
      <c r="H299" s="697" t="n">
        <v>20</v>
      </c>
      <c r="I299" s="697" t="n">
        <v>-1000</v>
      </c>
      <c r="J299" s="585" t="n">
        <v>18</v>
      </c>
      <c r="K299" s="585" t="n">
        <v>1</v>
      </c>
      <c r="L299" s="585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/>
      </c>
      <c r="M299" s="699">
        <f>L299</f>
        <v/>
      </c>
      <c r="N299" s="686">
        <f>IF(B299="TXO","",IF(D299="新倉","",IF(E299="賣",(H299-H298)*G299,(H298-H299)*G299)))</f>
        <v/>
      </c>
      <c r="O299" s="226">
        <f>ABS(I299)</f>
        <v/>
      </c>
      <c r="P299" s="667" t="n"/>
      <c r="S299" s="739" t="n"/>
      <c r="T299" s="61" t="n"/>
      <c r="U299" s="61" t="n"/>
      <c r="V299" s="61" t="n"/>
      <c r="W299" s="61" t="n"/>
    </row>
    <row r="300" hidden="1" outlineLevel="1" ht="17.25" customHeight="1" thickBot="1">
      <c r="A300" s="740" t="n">
        <v>43258</v>
      </c>
      <c r="B300" s="299" t="inlineStr">
        <is>
          <t>FIMTX</t>
        </is>
      </c>
      <c r="C300" s="300" t="inlineStr">
        <is>
          <t>小指06</t>
        </is>
      </c>
      <c r="D300" s="300" t="inlineStr">
        <is>
          <t>新倉</t>
        </is>
      </c>
      <c r="E300" s="301" t="inlineStr">
        <is>
          <t>買</t>
        </is>
      </c>
      <c r="F300" s="300" t="inlineStr">
        <is>
          <t>-</t>
        </is>
      </c>
      <c r="G300" s="741" t="n">
        <v>1</v>
      </c>
      <c r="H300" s="741" t="n">
        <v>11230</v>
      </c>
      <c r="I300" s="741" t="n">
        <v>0</v>
      </c>
      <c r="J300" s="742" t="n">
        <v>23</v>
      </c>
      <c r="K300" s="742" t="n">
        <v>11</v>
      </c>
      <c r="L300" s="742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/>
      </c>
      <c r="M300" s="743">
        <f>L300</f>
        <v/>
      </c>
      <c r="N300" s="686">
        <f>IF(B300="TXO","",IF(D300="新倉","",IF(E300="賣",(H300-H299)*G300,(H299-H300)*G300)))</f>
        <v/>
      </c>
      <c r="O300" s="226">
        <f>ABS(I300)</f>
        <v/>
      </c>
      <c r="P300" s="667">
        <f>SUM(L300:L301)</f>
        <v/>
      </c>
      <c r="S300" s="739" t="n"/>
      <c r="T300" s="61" t="n"/>
      <c r="U300" s="61" t="n"/>
      <c r="V300" s="61" t="n"/>
      <c r="W300" s="61" t="n"/>
    </row>
    <row r="301" hidden="1" outlineLevel="2" ht="17.25" customHeight="1" thickBot="1">
      <c r="A301" s="740" t="n">
        <v>43258</v>
      </c>
      <c r="B301" s="299" t="inlineStr">
        <is>
          <t>FIMTX</t>
        </is>
      </c>
      <c r="C301" s="300" t="inlineStr">
        <is>
          <t>小指06</t>
        </is>
      </c>
      <c r="D301" s="300" t="inlineStr">
        <is>
          <t>平倉</t>
        </is>
      </c>
      <c r="E301" s="301" t="inlineStr">
        <is>
          <t>賣</t>
        </is>
      </c>
      <c r="F301" s="300" t="inlineStr">
        <is>
          <t>-</t>
        </is>
      </c>
      <c r="G301" s="741" t="n">
        <v>1</v>
      </c>
      <c r="H301" s="741" t="n">
        <v>11215</v>
      </c>
      <c r="I301" s="741" t="n">
        <v>0</v>
      </c>
      <c r="J301" s="742" t="n">
        <v>23</v>
      </c>
      <c r="K301" s="742" t="n">
        <v>11</v>
      </c>
      <c r="L301" s="742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/>
      </c>
      <c r="M301" s="743">
        <f>L301</f>
        <v/>
      </c>
      <c r="N301" s="686">
        <f>IF(B301="TXO","",IF(D301="新倉","",IF(E301="賣",(H301-H300)*G301,(H300-H301)*G301)))</f>
        <v/>
      </c>
      <c r="O301" s="226">
        <f>ABS(I301)</f>
        <v/>
      </c>
      <c r="P301" s="667" t="n"/>
      <c r="S301" s="739" t="n"/>
      <c r="T301" s="61" t="n"/>
      <c r="U301" s="61" t="n"/>
      <c r="V301" s="61" t="n"/>
      <c r="W301" s="61" t="n"/>
    </row>
    <row r="302" hidden="1" outlineLevel="1" ht="17.25" customHeight="1" thickBot="1">
      <c r="A302" s="696" t="n">
        <v>43262</v>
      </c>
      <c r="B302" s="234" t="inlineStr">
        <is>
          <t>FIMTX</t>
        </is>
      </c>
      <c r="C302" s="229" t="inlineStr">
        <is>
          <t>小指06</t>
        </is>
      </c>
      <c r="D302" s="229" t="inlineStr">
        <is>
          <t>新倉</t>
        </is>
      </c>
      <c r="E302" s="257" t="inlineStr">
        <is>
          <t>買</t>
        </is>
      </c>
      <c r="F302" s="229" t="inlineStr">
        <is>
          <t>-</t>
        </is>
      </c>
      <c r="G302" s="697" t="n">
        <v>1</v>
      </c>
      <c r="H302" s="697" t="n">
        <v>11119</v>
      </c>
      <c r="I302" s="697" t="n">
        <v>0</v>
      </c>
      <c r="J302" s="585" t="n">
        <v>23</v>
      </c>
      <c r="K302" s="585" t="n">
        <v>11</v>
      </c>
      <c r="L302" s="585">
        <f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/>
      </c>
      <c r="M302" s="699">
        <f>L302</f>
        <v/>
      </c>
      <c r="N302" s="686">
        <f>IF(B302="TXO","",IF(D302="新倉","",IF(E302="賣",(H302-H301)*G302,(H301-H302)*G302)))</f>
        <v/>
      </c>
      <c r="O302" s="226">
        <f>ABS(I302)</f>
        <v/>
      </c>
      <c r="P302" s="667">
        <f>SUM(L302:L305)</f>
        <v/>
      </c>
      <c r="S302" s="739" t="n"/>
      <c r="T302" s="61" t="n"/>
      <c r="U302" s="61" t="n"/>
      <c r="V302" s="61" t="n"/>
      <c r="W302" s="61" t="n"/>
    </row>
    <row r="303" hidden="1" outlineLevel="2" collapsed="1" ht="17.25" customHeight="1" thickBot="1">
      <c r="A303" s="696" t="n">
        <v>43262</v>
      </c>
      <c r="B303" s="234" t="inlineStr">
        <is>
          <t>FIMTX</t>
        </is>
      </c>
      <c r="C303" s="229" t="inlineStr">
        <is>
          <t>小指06</t>
        </is>
      </c>
      <c r="D303" s="229" t="inlineStr">
        <is>
          <t>平倉</t>
        </is>
      </c>
      <c r="E303" s="257" t="inlineStr">
        <is>
          <t>賣</t>
        </is>
      </c>
      <c r="F303" s="229" t="inlineStr">
        <is>
          <t>-</t>
        </is>
      </c>
      <c r="G303" s="697" t="n">
        <v>1</v>
      </c>
      <c r="H303" s="697" t="n">
        <v>11117</v>
      </c>
      <c r="I303" s="697" t="n">
        <v>0</v>
      </c>
      <c r="J303" s="585" t="n">
        <v>23</v>
      </c>
      <c r="K303" s="585" t="n">
        <v>11</v>
      </c>
      <c r="L303" s="585">
        <f>IF(B303="TXO",I303-SUM(J303:K303),IF(B303="FITX",IF(D303="新倉",-SUM(J303:K303),IF(E303="賣",(H303-H302)*G303*200-SUM(J303:K303),(H302-H303)*G303*200-SUM(J303:K303))),IF(D303="新倉",-SUM(J303:K303),IF(E303="賣",(H303-H302)*G303*50-SUM(J303:K303),(H302-H303)*G303*50-SUM(J303:K303)))))</f>
        <v/>
      </c>
      <c r="M303" s="699">
        <f>L303</f>
        <v/>
      </c>
      <c r="N303" s="686">
        <f>IF(B303="TXO","",IF(D303="新倉","",IF(E303="賣",(H303-H302)*G303,(H302-H303)*G303)))</f>
        <v/>
      </c>
      <c r="O303" s="226">
        <f>ABS(I303)</f>
        <v/>
      </c>
      <c r="P303" s="667" t="n"/>
      <c r="S303" s="739" t="n"/>
      <c r="T303" s="61" t="n"/>
      <c r="U303" s="61" t="n"/>
      <c r="V303" s="61" t="n"/>
      <c r="W303" s="61" t="n"/>
    </row>
    <row r="304" hidden="1" outlineLevel="2" collapsed="1" ht="17.25" customHeight="1" thickBot="1">
      <c r="A304" s="696" t="n">
        <v>43262</v>
      </c>
      <c r="B304" s="234" t="inlineStr">
        <is>
          <t>TXO</t>
        </is>
      </c>
      <c r="C304" s="229" t="inlineStr">
        <is>
          <t>台選W2 06 11100 P</t>
        </is>
      </c>
      <c r="D304" s="229" t="inlineStr">
        <is>
          <t>新倉</t>
        </is>
      </c>
      <c r="E304" s="257" t="inlineStr">
        <is>
          <t>買</t>
        </is>
      </c>
      <c r="F304" s="229" t="inlineStr">
        <is>
          <t>-</t>
        </is>
      </c>
      <c r="G304" s="697" t="n">
        <v>1</v>
      </c>
      <c r="H304" s="697" t="n">
        <v>22</v>
      </c>
      <c r="I304" s="697" t="n">
        <v>-1100</v>
      </c>
      <c r="J304" s="585" t="n">
        <v>18</v>
      </c>
      <c r="K304" s="585" t="n">
        <v>1</v>
      </c>
      <c r="L304" s="585">
        <f>IF(B304="TXO",I304-SUM(J304:K304),IF(B304="FITX",IF(D304="新倉",-SUM(J304:K304),IF(E304="賣",(H304-H303)*G304*200-SUM(J304:K304),(H303-H304)*G304*200-SUM(J304:K304))),IF(D304="新倉",-SUM(J304:K304),IF(E304="賣",(H304-H303)*G304*50-SUM(J304:K304),(H303-H304)*G304*50-SUM(J304:K304)))))</f>
        <v/>
      </c>
      <c r="M304" s="699">
        <f>L304</f>
        <v/>
      </c>
      <c r="N304" s="686">
        <f>IF(B304="TXO","",IF(D304="新倉","",IF(E304="賣",(H304-H303)*G304,(H303-H304)*G304)))</f>
        <v/>
      </c>
      <c r="O304" s="226">
        <f>ABS(I304)</f>
        <v/>
      </c>
      <c r="P304" s="667" t="n"/>
      <c r="S304" s="739" t="n"/>
      <c r="T304" s="61" t="n"/>
      <c r="U304" s="61" t="n"/>
      <c r="V304" s="61" t="n"/>
      <c r="W304" s="61" t="n"/>
    </row>
    <row r="305" hidden="1" outlineLevel="2" collapsed="1" ht="17.25" customHeight="1" thickBot="1">
      <c r="A305" s="696" t="n">
        <v>43262</v>
      </c>
      <c r="B305" s="234" t="inlineStr">
        <is>
          <t>TXO</t>
        </is>
      </c>
      <c r="C305" s="229" t="inlineStr">
        <is>
          <t>台選W2 06 11150 P</t>
        </is>
      </c>
      <c r="D305" s="229" t="inlineStr">
        <is>
          <t>新倉</t>
        </is>
      </c>
      <c r="E305" s="257" t="inlineStr">
        <is>
          <t>買</t>
        </is>
      </c>
      <c r="F305" s="229" t="inlineStr">
        <is>
          <t>-</t>
        </is>
      </c>
      <c r="G305" s="697" t="n">
        <v>1</v>
      </c>
      <c r="H305" s="697" t="n">
        <v>36</v>
      </c>
      <c r="I305" s="697" t="n">
        <v>-1800</v>
      </c>
      <c r="J305" s="585" t="n">
        <v>18</v>
      </c>
      <c r="K305" s="585" t="n">
        <v>2</v>
      </c>
      <c r="L305" s="585">
        <f>IF(B305="TXO",I305-SUM(J305:K305),IF(B305="FITX",IF(D305="新倉",-SUM(J305:K305),IF(E305="賣",(H305-H304)*G305*200-SUM(J305:K305),(H304-H305)*G305*200-SUM(J305:K305))),IF(D305="新倉",-SUM(J305:K305),IF(E305="賣",(H305-H304)*G305*50-SUM(J305:K305),(H304-H305)*G305*50-SUM(J305:K305)))))</f>
        <v/>
      </c>
      <c r="M305" s="699">
        <f>L305</f>
        <v/>
      </c>
      <c r="N305" s="686">
        <f>IF(B305="TXO","",IF(D305="新倉","",IF(E305="賣",(H305-H304)*G305,(H304-H305)*G305)))</f>
        <v/>
      </c>
      <c r="O305" s="226">
        <f>ABS(I305)</f>
        <v/>
      </c>
      <c r="P305" s="667" t="n"/>
      <c r="S305" s="739" t="n"/>
      <c r="T305" s="61" t="n"/>
      <c r="U305" s="61" t="n"/>
      <c r="V305" s="61" t="n"/>
      <c r="W305" s="61" t="n"/>
    </row>
    <row r="306" hidden="1" outlineLevel="1" ht="17.25" customHeight="1" thickBot="1">
      <c r="A306" s="740" t="n">
        <v>43264</v>
      </c>
      <c r="B306" s="299" t="inlineStr">
        <is>
          <t>FIMTX</t>
        </is>
      </c>
      <c r="C306" s="300" t="inlineStr">
        <is>
          <t>小指06</t>
        </is>
      </c>
      <c r="D306" s="300" t="inlineStr">
        <is>
          <t>新倉</t>
        </is>
      </c>
      <c r="E306" s="301" t="inlineStr">
        <is>
          <t>賣</t>
        </is>
      </c>
      <c r="F306" s="300" t="inlineStr">
        <is>
          <t>-</t>
        </is>
      </c>
      <c r="G306" s="741" t="n">
        <v>1</v>
      </c>
      <c r="H306" s="741" t="n">
        <v>11142</v>
      </c>
      <c r="I306" s="741" t="n">
        <v>0</v>
      </c>
      <c r="J306" s="742" t="n">
        <v>23</v>
      </c>
      <c r="K306" s="742" t="n">
        <v>11</v>
      </c>
      <c r="L306" s="742">
        <f>IF(B306="TXO",I306-SUM(J306:K306),IF(B306="FITX",IF(D306="新倉",-SUM(J306:K306),IF(E306="賣",(H306-H305)*G306*200-SUM(J306:K306),(H305-H306)*G306*200-SUM(J306:K306))),IF(D306="新倉",-SUM(J306:K306),IF(E306="賣",(H306-H305)*G306*50-SUM(J306:K306),(H305-H306)*G306*50-SUM(J306:K306)))))</f>
        <v/>
      </c>
      <c r="M306" s="743">
        <f>L306</f>
        <v/>
      </c>
      <c r="N306" s="686">
        <f>IF(B306="TXO","",IF(D306="新倉","",IF(E306="賣",(H306-H305)*G306,(H305-H306)*G306)))</f>
        <v/>
      </c>
      <c r="O306" s="226">
        <f>ABS(I306)</f>
        <v/>
      </c>
      <c r="P306" s="667">
        <f>SUM(L306:L307)</f>
        <v/>
      </c>
      <c r="S306" s="739" t="n"/>
      <c r="T306" s="61" t="n"/>
      <c r="U306" s="61" t="n"/>
      <c r="V306" s="61" t="n"/>
      <c r="W306" s="61" t="n"/>
    </row>
    <row r="307" hidden="1" outlineLevel="2" ht="17.25" customHeight="1" thickBot="1">
      <c r="A307" s="740" t="n">
        <v>43264</v>
      </c>
      <c r="B307" s="299" t="inlineStr">
        <is>
          <t>FIMTX</t>
        </is>
      </c>
      <c r="C307" s="300" t="inlineStr">
        <is>
          <t>小指06</t>
        </is>
      </c>
      <c r="D307" s="300" t="inlineStr">
        <is>
          <t>平倉</t>
        </is>
      </c>
      <c r="E307" s="301" t="inlineStr">
        <is>
          <t>買</t>
        </is>
      </c>
      <c r="F307" s="300" t="inlineStr">
        <is>
          <t>-</t>
        </is>
      </c>
      <c r="G307" s="741" t="n">
        <v>1</v>
      </c>
      <c r="H307" s="741" t="n">
        <v>11148</v>
      </c>
      <c r="I307" s="741" t="n">
        <v>0</v>
      </c>
      <c r="J307" s="742" t="n">
        <v>23</v>
      </c>
      <c r="K307" s="742" t="n">
        <v>11</v>
      </c>
      <c r="L307" s="742">
        <f>IF(B307="TXO",I307-SUM(J307:K307),IF(B307="FITX",IF(D307="新倉",-SUM(J307:K307),IF(E307="賣",(H307-H306)*G307*200-SUM(J307:K307),(H306-H307)*G307*200-SUM(J307:K307))),IF(D307="新倉",-SUM(J307:K307),IF(E307="賣",(H307-H306)*G307*50-SUM(J307:K307),(H306-H307)*G307*50-SUM(J307:K307)))))</f>
        <v/>
      </c>
      <c r="M307" s="743">
        <f>L307</f>
        <v/>
      </c>
      <c r="N307" s="686">
        <f>IF(B307="TXO","",IF(D307="新倉","",IF(E307="賣",(H307-H306)*G307,(H306-H307)*G307)))</f>
        <v/>
      </c>
      <c r="O307" s="226">
        <f>ABS(I307)</f>
        <v/>
      </c>
      <c r="P307" s="667" t="n"/>
      <c r="S307" s="739" t="n"/>
      <c r="T307" s="61" t="n"/>
      <c r="U307" s="61" t="n"/>
      <c r="V307" s="61" t="n"/>
      <c r="W307" s="61" t="n"/>
    </row>
    <row r="308" hidden="1" outlineLevel="1" ht="17.25" customHeight="1" thickBot="1">
      <c r="A308" s="696" t="n">
        <v>43265</v>
      </c>
      <c r="B308" s="234" t="inlineStr">
        <is>
          <t>FIMTX</t>
        </is>
      </c>
      <c r="C308" s="229" t="inlineStr">
        <is>
          <t>小指06</t>
        </is>
      </c>
      <c r="D308" s="229" t="inlineStr">
        <is>
          <t>新倉</t>
        </is>
      </c>
      <c r="E308" s="257" t="inlineStr">
        <is>
          <t>買</t>
        </is>
      </c>
      <c r="F308" s="229" t="inlineStr">
        <is>
          <t>-</t>
        </is>
      </c>
      <c r="G308" s="697" t="n">
        <v>1</v>
      </c>
      <c r="H308" s="697" t="n">
        <v>11010</v>
      </c>
      <c r="I308" s="697" t="n">
        <v>0</v>
      </c>
      <c r="J308" s="585" t="n">
        <v>23</v>
      </c>
      <c r="K308" s="585" t="n">
        <v>11</v>
      </c>
      <c r="L308" s="585">
        <f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/>
      </c>
      <c r="M308" s="699">
        <f>L308</f>
        <v/>
      </c>
      <c r="N308" s="686">
        <f>IF(B308="TXO","",IF(D308="新倉","",IF(E308="賣",(H308-H307)*G308,(H307-H308)*G308)))</f>
        <v/>
      </c>
      <c r="O308" s="226">
        <f>ABS(I308)</f>
        <v/>
      </c>
      <c r="P308" s="667">
        <f>SUM(L308:L311)</f>
        <v/>
      </c>
      <c r="S308" s="739" t="n"/>
      <c r="T308" s="61" t="n"/>
      <c r="U308" s="61" t="n"/>
      <c r="V308" s="61" t="n"/>
      <c r="W308" s="61" t="n"/>
    </row>
    <row r="309" hidden="1" outlineLevel="2" collapsed="1" ht="17.25" customHeight="1" thickBot="1">
      <c r="A309" s="696" t="n">
        <v>43265</v>
      </c>
      <c r="B309" s="234" t="inlineStr">
        <is>
          <t>FIMTX</t>
        </is>
      </c>
      <c r="C309" s="229" t="inlineStr">
        <is>
          <t>小指06</t>
        </is>
      </c>
      <c r="D309" s="229" t="inlineStr">
        <is>
          <t>平倉</t>
        </is>
      </c>
      <c r="E309" s="257" t="inlineStr">
        <is>
          <t>買</t>
        </is>
      </c>
      <c r="F309" s="229" t="inlineStr">
        <is>
          <t>-</t>
        </is>
      </c>
      <c r="G309" s="697" t="n">
        <v>1</v>
      </c>
      <c r="H309" s="697" t="n">
        <v>11012</v>
      </c>
      <c r="I309" s="697" t="n">
        <v>0</v>
      </c>
      <c r="J309" s="585" t="n">
        <v>23</v>
      </c>
      <c r="K309" s="585" t="n">
        <v>11</v>
      </c>
      <c r="L309" s="585">
        <f>IF(B309="TXO",I309-SUM(J309:K309),IF(B309="FITX",IF(D309="新倉",-SUM(J309:K309),IF(E309="賣",(H309-H308)*G309*200-SUM(J309:K309),(H308-H309)*G309*200-SUM(J309:K309))),IF(D309="新倉",-SUM(J309:K309),IF(E309="賣",(H309-H308)*G309*50-SUM(J309:K309),(H308-H309)*G309*50-SUM(J309:K309)))))</f>
        <v/>
      </c>
      <c r="M309" s="699">
        <f>L309</f>
        <v/>
      </c>
      <c r="N309" s="686">
        <f>IF(B309="TXO","",IF(D309="新倉","",IF(E309="賣",(H309-H308)*G309,(H308-H309)*G309)))</f>
        <v/>
      </c>
      <c r="O309" s="226">
        <f>ABS(I309)</f>
        <v/>
      </c>
      <c r="P309" s="667" t="n"/>
      <c r="S309" s="739" t="n"/>
      <c r="T309" s="61" t="n"/>
      <c r="U309" s="61" t="n"/>
      <c r="V309" s="61" t="n"/>
      <c r="W309" s="61" t="n"/>
    </row>
    <row r="310" hidden="1" outlineLevel="2" collapsed="1" ht="17.25" customHeight="1" thickBot="1">
      <c r="A310" s="696" t="n">
        <v>43265</v>
      </c>
      <c r="B310" s="234" t="inlineStr">
        <is>
          <t>FIMTX</t>
        </is>
      </c>
      <c r="C310" s="229" t="inlineStr">
        <is>
          <t>小指06</t>
        </is>
      </c>
      <c r="D310" s="229" t="inlineStr">
        <is>
          <t>新倉</t>
        </is>
      </c>
      <c r="E310" s="257" t="inlineStr">
        <is>
          <t>賣</t>
        </is>
      </c>
      <c r="F310" s="229" t="inlineStr">
        <is>
          <t>-</t>
        </is>
      </c>
      <c r="G310" s="697" t="n">
        <v>1</v>
      </c>
      <c r="H310" s="697" t="n">
        <v>11010</v>
      </c>
      <c r="I310" s="697" t="n">
        <v>0</v>
      </c>
      <c r="J310" s="585" t="n">
        <v>23</v>
      </c>
      <c r="K310" s="585" t="n">
        <v>11</v>
      </c>
      <c r="L310" s="585">
        <f>IF(B310="TXO",I310-SUM(J310:K310),IF(B310="FITX",IF(D310="新倉",-SUM(J310:K310),IF(E310="賣",(H310-H309)*G310*200-SUM(J310:K310),(H309-H310)*G310*200-SUM(J310:K310))),IF(D310="新倉",-SUM(J310:K310),IF(E310="賣",(H310-H309)*G310*50-SUM(J310:K310),(H309-H310)*G310*50-SUM(J310:K310)))))</f>
        <v/>
      </c>
      <c r="M310" s="699">
        <f>L310</f>
        <v/>
      </c>
      <c r="N310" s="686">
        <f>IF(B310="TXO","",IF(D310="新倉","",IF(E310="賣",(H310-H309)*G310,(H309-H310)*G310)))</f>
        <v/>
      </c>
      <c r="O310" s="226">
        <f>ABS(I310)</f>
        <v/>
      </c>
      <c r="P310" s="667" t="n"/>
      <c r="S310" s="739" t="n"/>
      <c r="T310" s="61" t="n"/>
      <c r="U310" s="61" t="n"/>
      <c r="V310" s="61" t="n"/>
      <c r="W310" s="61" t="n"/>
    </row>
    <row r="311" hidden="1" outlineLevel="2" collapsed="1" ht="17.25" customHeight="1" thickBot="1">
      <c r="A311" s="696" t="n">
        <v>43265</v>
      </c>
      <c r="B311" s="234" t="inlineStr">
        <is>
          <t>FIMTX</t>
        </is>
      </c>
      <c r="C311" s="229" t="inlineStr">
        <is>
          <t>小指06</t>
        </is>
      </c>
      <c r="D311" s="229" t="inlineStr">
        <is>
          <t>平倉</t>
        </is>
      </c>
      <c r="E311" s="257" t="inlineStr">
        <is>
          <t>賣</t>
        </is>
      </c>
      <c r="F311" s="229" t="inlineStr">
        <is>
          <t>-</t>
        </is>
      </c>
      <c r="G311" s="697" t="n">
        <v>1</v>
      </c>
      <c r="H311" s="697" t="n">
        <v>11010</v>
      </c>
      <c r="I311" s="697" t="n">
        <v>0</v>
      </c>
      <c r="J311" s="585" t="n">
        <v>23</v>
      </c>
      <c r="K311" s="585" t="n">
        <v>11</v>
      </c>
      <c r="L311" s="585">
        <f>IF(B311="TXO",I311-SUM(J311:K311),IF(B311="FITX",IF(D311="新倉",-SUM(J311:K311),IF(E311="賣",(H311-H310)*G311*200-SUM(J311:K311),(H310-H311)*G311*200-SUM(J311:K311))),IF(D311="新倉",-SUM(J311:K311),IF(E311="賣",(H311-H310)*G311*50-SUM(J311:K311),(H310-H311)*G311*50-SUM(J311:K311)))))</f>
        <v/>
      </c>
      <c r="M311" s="699">
        <f>L311</f>
        <v/>
      </c>
      <c r="N311" s="686">
        <f>IF(B311="TXO","",IF(D311="新倉","",IF(E311="賣",(H311-H310)*G311,(H310-H311)*G311)))</f>
        <v/>
      </c>
      <c r="O311" s="226">
        <f>ABS(I311)</f>
        <v/>
      </c>
      <c r="P311" s="667" t="n"/>
      <c r="S311" s="739" t="n"/>
      <c r="T311" s="61" t="n"/>
      <c r="U311" s="61" t="n"/>
      <c r="V311" s="61" t="n"/>
      <c r="W311" s="61" t="n"/>
    </row>
    <row r="312" hidden="1" outlineLevel="1" ht="17.25" customHeight="1" thickBot="1">
      <c r="A312" s="740" t="n">
        <v>43266</v>
      </c>
      <c r="B312" s="299" t="inlineStr">
        <is>
          <t>FIMTX</t>
        </is>
      </c>
      <c r="C312" s="300" t="inlineStr">
        <is>
          <t>小指06</t>
        </is>
      </c>
      <c r="D312" s="300" t="inlineStr">
        <is>
          <t>新倉</t>
        </is>
      </c>
      <c r="E312" s="301" t="inlineStr">
        <is>
          <t>賣</t>
        </is>
      </c>
      <c r="F312" s="300" t="inlineStr">
        <is>
          <t>-</t>
        </is>
      </c>
      <c r="G312" s="741" t="n">
        <v>1</v>
      </c>
      <c r="H312" s="741" t="n">
        <v>11000</v>
      </c>
      <c r="I312" s="741" t="n">
        <v>0</v>
      </c>
      <c r="J312" s="742" t="n">
        <v>23</v>
      </c>
      <c r="K312" s="742" t="n">
        <v>11</v>
      </c>
      <c r="L312" s="742">
        <f>IF(B312="TXO",I312-SUM(J312:K312),IF(B312="FITX",IF(D312="新倉",-SUM(J312:K312),IF(E312="賣",(H312-H311)*G312*200-SUM(J312:K312),(H311-H312)*G312*200-SUM(J312:K312))),IF(D312="新倉",-SUM(J312:K312),IF(E312="賣",(H312-H311)*G312*50-SUM(J312:K312),(H311-H312)*G312*50-SUM(J312:K312)))))</f>
        <v/>
      </c>
      <c r="M312" s="743">
        <f>L312</f>
        <v/>
      </c>
      <c r="N312" s="686">
        <f>IF(B312="TXO","",IF(D312="新倉","",IF(E312="賣",(H312-H311)*G312,(H311-H312)*G312)))</f>
        <v/>
      </c>
      <c r="O312" s="226">
        <f>ABS(I312)</f>
        <v/>
      </c>
      <c r="P312" s="667">
        <f>SUM(L312:L313)</f>
        <v/>
      </c>
      <c r="S312" s="739" t="n"/>
      <c r="T312" s="61" t="n"/>
      <c r="U312" s="61" t="n"/>
      <c r="V312" s="61" t="n"/>
      <c r="W312" s="61" t="n"/>
    </row>
    <row r="313" hidden="1" outlineLevel="2" ht="17.25" customHeight="1" thickBot="1">
      <c r="A313" s="740" t="n">
        <v>43266</v>
      </c>
      <c r="B313" s="299" t="inlineStr">
        <is>
          <t>FIMTX</t>
        </is>
      </c>
      <c r="C313" s="300" t="inlineStr">
        <is>
          <t>小指06</t>
        </is>
      </c>
      <c r="D313" s="300" t="inlineStr">
        <is>
          <t>平倉</t>
        </is>
      </c>
      <c r="E313" s="301" t="inlineStr">
        <is>
          <t>買</t>
        </is>
      </c>
      <c r="F313" s="300" t="inlineStr">
        <is>
          <t>-</t>
        </is>
      </c>
      <c r="G313" s="741" t="n">
        <v>1</v>
      </c>
      <c r="H313" s="741" t="n">
        <v>10988</v>
      </c>
      <c r="I313" s="741" t="n">
        <v>0</v>
      </c>
      <c r="J313" s="742" t="n">
        <v>23</v>
      </c>
      <c r="K313" s="742" t="n">
        <v>11</v>
      </c>
      <c r="L313" s="742">
        <f>IF(B313="TXO",I313-SUM(J313:K313),IF(B313="FITX",IF(D313="新倉",-SUM(J313:K313),IF(E313="賣",(H313-H312)*G313*200-SUM(J313:K313),(H312-H313)*G313*200-SUM(J313:K313))),IF(D313="新倉",-SUM(J313:K313),IF(E313="賣",(H313-H312)*G313*50-SUM(J313:K313),(H312-H313)*G313*50-SUM(J313:K313)))))</f>
        <v/>
      </c>
      <c r="M313" s="743">
        <f>L313</f>
        <v/>
      </c>
      <c r="N313" s="686">
        <f>IF(B313="TXO","",IF(D313="新倉","",IF(E313="賣",(H313-H312)*G313,(H312-H313)*G313)))</f>
        <v/>
      </c>
      <c r="O313" s="226">
        <f>ABS(I313)</f>
        <v/>
      </c>
      <c r="P313" s="667" t="n"/>
      <c r="S313" s="739" t="n"/>
      <c r="T313" s="61" t="n"/>
      <c r="U313" s="61" t="n"/>
      <c r="V313" s="61" t="n"/>
      <c r="W313" s="61" t="n"/>
    </row>
    <row r="314" hidden="1" outlineLevel="1" ht="17.25" customHeight="1" thickBot="1">
      <c r="A314" s="696" t="n">
        <v>43271</v>
      </c>
      <c r="B314" s="234" t="inlineStr">
        <is>
          <t>TXO</t>
        </is>
      </c>
      <c r="C314" s="229" t="inlineStr">
        <is>
          <t>台指選 06 10900 P</t>
        </is>
      </c>
      <c r="D314" s="229" t="inlineStr">
        <is>
          <t>平倉</t>
        </is>
      </c>
      <c r="E314" s="257" t="inlineStr">
        <is>
          <t>賣</t>
        </is>
      </c>
      <c r="F314" s="229" t="inlineStr">
        <is>
          <t>-</t>
        </is>
      </c>
      <c r="G314" s="697" t="n">
        <v>1</v>
      </c>
      <c r="H314" s="697" t="n">
        <v>41.5</v>
      </c>
      <c r="I314" s="697" t="n">
        <v>2075</v>
      </c>
      <c r="J314" s="585" t="n">
        <v>18</v>
      </c>
      <c r="K314" s="585" t="n">
        <v>2</v>
      </c>
      <c r="L314" s="585">
        <f>IF(B314="TXO",I314-SUM(J314:K314),IF(B314="FITX",IF(D314="新倉",-SUM(J314:K314),IF(E314="賣",(H314-H313)*G314*200-SUM(J314:K314),(H313-H314)*G314*200-SUM(J314:K314))),IF(D314="新倉",-SUM(J314:K314),IF(E314="賣",(H314-H313)*G314*50-SUM(J314:K314),(H313-H314)*G314*50-SUM(J314:K314)))))</f>
        <v/>
      </c>
      <c r="M314" s="699">
        <f>L314</f>
        <v/>
      </c>
      <c r="N314" s="686">
        <f>IF(B314="TXO","",IF(D314="新倉","",IF(E314="賣",(H314-H313)*G314,(H313-H314)*G314)))</f>
        <v/>
      </c>
      <c r="O314" s="226">
        <f>ABS(I314)</f>
        <v/>
      </c>
      <c r="P314" s="667">
        <f>SUM(L314:L321)</f>
        <v/>
      </c>
      <c r="S314" s="739" t="n"/>
      <c r="T314" s="61" t="n"/>
      <c r="U314" s="61" t="n"/>
      <c r="V314" s="61" t="n"/>
      <c r="W314" s="61" t="n"/>
    </row>
    <row r="315" hidden="1" outlineLevel="2" collapsed="1" ht="17.25" customHeight="1" thickBot="1">
      <c r="A315" s="696" t="n">
        <v>43271</v>
      </c>
      <c r="B315" s="234" t="inlineStr">
        <is>
          <t>TXO</t>
        </is>
      </c>
      <c r="C315" s="229" t="inlineStr">
        <is>
          <t>台指選 06 10900 P</t>
        </is>
      </c>
      <c r="D315" s="229" t="inlineStr">
        <is>
          <t>平倉</t>
        </is>
      </c>
      <c r="E315" s="257" t="inlineStr">
        <is>
          <t>賣</t>
        </is>
      </c>
      <c r="F315" s="229" t="inlineStr">
        <is>
          <t>-</t>
        </is>
      </c>
      <c r="G315" s="697" t="n">
        <v>1</v>
      </c>
      <c r="H315" s="697" t="n">
        <v>41.5</v>
      </c>
      <c r="I315" s="697" t="n">
        <v>2075</v>
      </c>
      <c r="J315" s="585" t="n">
        <v>18</v>
      </c>
      <c r="K315" s="585" t="n">
        <v>2</v>
      </c>
      <c r="L315" s="585">
        <f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/>
      </c>
      <c r="M315" s="699">
        <f>L315</f>
        <v/>
      </c>
      <c r="N315" s="686">
        <f>IF(B315="TXO","",IF(D315="新倉","",IF(E315="賣",(H315-H314)*G315,(H314-H315)*G315)))</f>
        <v/>
      </c>
      <c r="O315" s="226">
        <f>ABS(I315)</f>
        <v/>
      </c>
      <c r="P315" s="667" t="n"/>
      <c r="S315" s="739" t="n"/>
      <c r="T315" s="61" t="n"/>
      <c r="U315" s="61" t="n"/>
      <c r="V315" s="61" t="n"/>
      <c r="W315" s="61" t="n"/>
    </row>
    <row r="316" hidden="1" outlineLevel="2" collapsed="1" ht="17.25" customHeight="1" thickBot="1">
      <c r="A316" s="696" t="n">
        <v>43271</v>
      </c>
      <c r="B316" s="234" t="inlineStr">
        <is>
          <t>TXO</t>
        </is>
      </c>
      <c r="C316" s="229" t="inlineStr">
        <is>
          <t>台指選 06 10900 P</t>
        </is>
      </c>
      <c r="D316" s="229" t="inlineStr">
        <is>
          <t>平倉</t>
        </is>
      </c>
      <c r="E316" s="257" t="inlineStr">
        <is>
          <t>賣</t>
        </is>
      </c>
      <c r="F316" s="229" t="inlineStr">
        <is>
          <t>-</t>
        </is>
      </c>
      <c r="G316" s="697" t="n">
        <v>1</v>
      </c>
      <c r="H316" s="697" t="n">
        <v>41.5</v>
      </c>
      <c r="I316" s="697" t="n">
        <v>2075</v>
      </c>
      <c r="J316" s="585" t="n">
        <v>18</v>
      </c>
      <c r="K316" s="585" t="n">
        <v>2</v>
      </c>
      <c r="L316" s="585">
        <f>IF(B316="TXO",I316-SUM(J316:K316),IF(B316="FITX",IF(D316="新倉",-SUM(J316:K316),IF(E316="賣",(H316-H315)*G316*200-SUM(J316:K316),(H315-H316)*G316*200-SUM(J316:K316))),IF(D316="新倉",-SUM(J316:K316),IF(E316="賣",(H316-H315)*G316*50-SUM(J316:K316),(H315-H316)*G316*50-SUM(J316:K316)))))</f>
        <v/>
      </c>
      <c r="M316" s="699">
        <f>L316</f>
        <v/>
      </c>
      <c r="N316" s="686">
        <f>IF(B316="TXO","",IF(D316="新倉","",IF(E316="賣",(H316-H315)*G316,(H315-H316)*G316)))</f>
        <v/>
      </c>
      <c r="O316" s="226">
        <f>ABS(I316)</f>
        <v/>
      </c>
      <c r="P316" s="667" t="n"/>
      <c r="S316" s="739" t="n"/>
      <c r="T316" s="61" t="n"/>
      <c r="U316" s="61" t="n"/>
      <c r="V316" s="61" t="n"/>
      <c r="W316" s="61" t="n"/>
    </row>
    <row r="317" hidden="1" outlineLevel="2" collapsed="1" ht="17.25" customHeight="1" thickBot="1">
      <c r="A317" s="696" t="n">
        <v>43271</v>
      </c>
      <c r="B317" s="234" t="inlineStr">
        <is>
          <t>TXO</t>
        </is>
      </c>
      <c r="C317" s="229" t="inlineStr">
        <is>
          <t>台指選 06 10900 P</t>
        </is>
      </c>
      <c r="D317" s="229" t="inlineStr">
        <is>
          <t>平倉</t>
        </is>
      </c>
      <c r="E317" s="257" t="inlineStr">
        <is>
          <t>賣</t>
        </is>
      </c>
      <c r="F317" s="229" t="inlineStr">
        <is>
          <t>-</t>
        </is>
      </c>
      <c r="G317" s="697" t="n">
        <v>1</v>
      </c>
      <c r="H317" s="697" t="n">
        <v>41.5</v>
      </c>
      <c r="I317" s="697" t="n">
        <v>2075</v>
      </c>
      <c r="J317" s="585" t="n">
        <v>18</v>
      </c>
      <c r="K317" s="585" t="n">
        <v>2</v>
      </c>
      <c r="L317" s="585">
        <f>IF(B317="TXO",I317-SUM(J317:K317),IF(B317="FITX",IF(D317="新倉",-SUM(J317:K317),IF(E317="賣",(H317-H316)*G317*200-SUM(J317:K317),(H316-H317)*G317*200-SUM(J317:K317))),IF(D317="新倉",-SUM(J317:K317),IF(E317="賣",(H317-H316)*G317*50-SUM(J317:K317),(H316-H317)*G317*50-SUM(J317:K317)))))</f>
        <v/>
      </c>
      <c r="M317" s="699">
        <f>L317</f>
        <v/>
      </c>
      <c r="N317" s="686">
        <f>IF(B317="TXO","",IF(D317="新倉","",IF(E317="賣",(H317-H316)*G317,(H316-H317)*G317)))</f>
        <v/>
      </c>
      <c r="O317" s="226">
        <f>ABS(I317)</f>
        <v/>
      </c>
      <c r="P317" s="667" t="n"/>
      <c r="S317" s="739" t="n"/>
      <c r="T317" s="61" t="n"/>
      <c r="U317" s="61" t="n"/>
      <c r="V317" s="61" t="n"/>
      <c r="W317" s="61" t="n"/>
    </row>
    <row r="318" hidden="1" outlineLevel="2" collapsed="1" ht="17.25" customHeight="1" thickBot="1">
      <c r="A318" s="696" t="n">
        <v>43271</v>
      </c>
      <c r="B318" s="234" t="inlineStr">
        <is>
          <t>TXO</t>
        </is>
      </c>
      <c r="C318" s="229" t="inlineStr">
        <is>
          <t>台指選 06 10950 P</t>
        </is>
      </c>
      <c r="D318" s="229" t="inlineStr">
        <is>
          <t>平倉</t>
        </is>
      </c>
      <c r="E318" s="257" t="inlineStr">
        <is>
          <t>賣</t>
        </is>
      </c>
      <c r="F318" s="229" t="inlineStr">
        <is>
          <t>-</t>
        </is>
      </c>
      <c r="G318" s="697" t="n">
        <v>1</v>
      </c>
      <c r="H318" s="697" t="n">
        <v>88</v>
      </c>
      <c r="I318" s="697" t="n">
        <v>4400</v>
      </c>
      <c r="J318" s="585" t="n">
        <v>18</v>
      </c>
      <c r="K318" s="585" t="n">
        <v>4</v>
      </c>
      <c r="L318" s="585">
        <f>IF(B318="TXO",I318-SUM(J318:K318),IF(B318="FITX",IF(D318="新倉",-SUM(J318:K318),IF(E318="賣",(H318-H317)*G318*200-SUM(J318:K318),(H317-H318)*G318*200-SUM(J318:K318))),IF(D318="新倉",-SUM(J318:K318),IF(E318="賣",(H318-H317)*G318*50-SUM(J318:K318),(H317-H318)*G318*50-SUM(J318:K318)))))</f>
        <v/>
      </c>
      <c r="M318" s="699">
        <f>L318</f>
        <v/>
      </c>
      <c r="N318" s="686">
        <f>IF(B318="TXO","",IF(D318="新倉","",IF(E318="賣",(H318-H317)*G318,(H317-H318)*G318)))</f>
        <v/>
      </c>
      <c r="O318" s="226">
        <f>ABS(I318)</f>
        <v/>
      </c>
      <c r="P318" s="667" t="n"/>
      <c r="S318" s="739" t="n"/>
      <c r="T318" s="61" t="n"/>
      <c r="U318" s="61" t="n"/>
      <c r="V318" s="61" t="n"/>
      <c r="W318" s="61" t="n"/>
    </row>
    <row r="319" hidden="1" outlineLevel="2" collapsed="1" ht="17.25" customHeight="1" thickBot="1">
      <c r="A319" s="696" t="n">
        <v>43271</v>
      </c>
      <c r="B319" s="234" t="inlineStr">
        <is>
          <t>TXO</t>
        </is>
      </c>
      <c r="C319" s="229" t="inlineStr">
        <is>
          <t>台指選 06 10950 P</t>
        </is>
      </c>
      <c r="D319" s="229" t="inlineStr">
        <is>
          <t>新倉</t>
        </is>
      </c>
      <c r="E319" s="257" t="inlineStr">
        <is>
          <t>買</t>
        </is>
      </c>
      <c r="F319" s="229" t="inlineStr">
        <is>
          <t>-</t>
        </is>
      </c>
      <c r="G319" s="697" t="n">
        <v>1</v>
      </c>
      <c r="H319" s="697" t="n">
        <v>45.5</v>
      </c>
      <c r="I319" s="697" t="n">
        <v>-2275</v>
      </c>
      <c r="J319" s="585" t="n">
        <v>18</v>
      </c>
      <c r="K319" s="585" t="n">
        <v>2</v>
      </c>
      <c r="L319" s="585">
        <f>IF(B319="TXO",I319-SUM(J319:K319),IF(B319="FITX",IF(D319="新倉",-SUM(J319:K319),IF(E319="賣",(H319-H318)*G319*200-SUM(J319:K319),(H318-H319)*G319*200-SUM(J319:K319))),IF(D319="新倉",-SUM(J319:K319),IF(E319="賣",(H319-H318)*G319*50-SUM(J319:K319),(H318-H319)*G319*50-SUM(J319:K319)))))</f>
        <v/>
      </c>
      <c r="M319" s="699">
        <f>L319</f>
        <v/>
      </c>
      <c r="N319" s="686">
        <f>IF(B319="TXO","",IF(D319="新倉","",IF(E319="賣",(H319-H318)*G319,(H318-H319)*G319)))</f>
        <v/>
      </c>
      <c r="O319" s="226">
        <f>ABS(I319)</f>
        <v/>
      </c>
      <c r="P319" s="667" t="n"/>
      <c r="S319" s="739" t="n"/>
      <c r="T319" s="61" t="n"/>
      <c r="U319" s="61" t="n"/>
      <c r="V319" s="61" t="n"/>
      <c r="W319" s="61" t="n"/>
    </row>
    <row r="320" hidden="1" outlineLevel="2" ht="17.25" customHeight="1" thickBot="1">
      <c r="A320" s="696" t="n">
        <v>43271</v>
      </c>
      <c r="B320" s="234" t="inlineStr">
        <is>
          <t>TXO</t>
        </is>
      </c>
      <c r="C320" s="229" t="inlineStr">
        <is>
          <t>台指選 06 10900 P</t>
        </is>
      </c>
      <c r="D320" s="229" t="inlineStr">
        <is>
          <t>新倉</t>
        </is>
      </c>
      <c r="E320" s="257" t="inlineStr">
        <is>
          <t>買</t>
        </is>
      </c>
      <c r="F320" s="229" t="inlineStr">
        <is>
          <t>-</t>
        </is>
      </c>
      <c r="G320" s="697" t="n">
        <v>2</v>
      </c>
      <c r="H320" s="697" t="n">
        <v>9</v>
      </c>
      <c r="I320" s="697" t="n">
        <v>-900</v>
      </c>
      <c r="J320" s="585" t="n">
        <v>36</v>
      </c>
      <c r="K320" s="585" t="n">
        <v>0</v>
      </c>
      <c r="L320" s="585">
        <f>IF(B320="TXO",I320-SUM(J320:K320),IF(B320="FITX",IF(D320="新倉",-SUM(J320:K320),IF(E320="賣",(H320-H319)*G320*200-SUM(J320:K320),(H319-H320)*G320*200-SUM(J320:K320))),IF(D320="新倉",-SUM(J320:K320),IF(E320="賣",(H320-H319)*G320*50-SUM(J320:K320),(H319-H320)*G320*50-SUM(J320:K320)))))</f>
        <v/>
      </c>
      <c r="M320" s="699">
        <f>L320</f>
        <v/>
      </c>
      <c r="N320" s="686">
        <f>IF(B320="TXO","",IF(D320="新倉","",IF(E320="賣",(H320-H319)*G320,(H319-H320)*G320)))</f>
        <v/>
      </c>
      <c r="O320" s="226">
        <f>ABS(I320)</f>
        <v/>
      </c>
      <c r="P320" s="667" t="n"/>
      <c r="S320" s="739" t="n"/>
      <c r="T320" s="61" t="n"/>
      <c r="U320" s="61" t="n"/>
      <c r="V320" s="61" t="n"/>
      <c r="W320" s="61" t="n"/>
    </row>
    <row r="321" hidden="1" outlineLevel="2" collapsed="1" ht="17.25" customHeight="1" thickBot="1">
      <c r="A321" s="696" t="n">
        <v>43271</v>
      </c>
      <c r="B321" s="234" t="inlineStr">
        <is>
          <t>TXO</t>
        </is>
      </c>
      <c r="C321" s="229" t="inlineStr">
        <is>
          <t>台指選 06 10900 P</t>
        </is>
      </c>
      <c r="D321" s="229" t="inlineStr">
        <is>
          <t>新倉</t>
        </is>
      </c>
      <c r="E321" s="257" t="inlineStr">
        <is>
          <t>買</t>
        </is>
      </c>
      <c r="F321" s="229" t="inlineStr">
        <is>
          <t>-</t>
        </is>
      </c>
      <c r="G321" s="697" t="n">
        <v>2</v>
      </c>
      <c r="H321" s="697" t="n">
        <v>12.5</v>
      </c>
      <c r="I321" s="697" t="n">
        <v>-1250</v>
      </c>
      <c r="J321" s="585" t="n">
        <v>36</v>
      </c>
      <c r="K321" s="585" t="n">
        <v>2</v>
      </c>
      <c r="L321" s="585">
        <f>IF(B321="TXO",I321-SUM(J321:K321),IF(B321="FITX",IF(D321="新倉",-SUM(J321:K321),IF(E321="賣",(H321-H320)*G321*200-SUM(J321:K321),(H320-H321)*G321*200-SUM(J321:K321))),IF(D321="新倉",-SUM(J321:K321),IF(E321="賣",(H321-H320)*G321*50-SUM(J321:K321),(H320-H321)*G321*50-SUM(J321:K321)))))</f>
        <v/>
      </c>
      <c r="M321" s="699">
        <f>L321</f>
        <v/>
      </c>
      <c r="N321" s="686">
        <f>IF(B321="TXO","",IF(D321="新倉","",IF(E321="賣",(H321-H320)*G321,(H320-H321)*G321)))</f>
        <v/>
      </c>
      <c r="O321" s="226">
        <f>ABS(I321)</f>
        <v/>
      </c>
      <c r="P321" s="667" t="n"/>
      <c r="S321" s="739" t="n"/>
      <c r="T321" s="61" t="n"/>
      <c r="U321" s="61" t="n"/>
      <c r="V321" s="61" t="n"/>
      <c r="W321" s="61" t="n"/>
    </row>
    <row r="322" hidden="1" outlineLevel="1" ht="17.25" customHeight="1" thickBot="1">
      <c r="A322" s="740" t="n">
        <v>43276</v>
      </c>
      <c r="B322" s="299" t="inlineStr">
        <is>
          <t>FIMTX</t>
        </is>
      </c>
      <c r="C322" s="300" t="inlineStr">
        <is>
          <t>小指07</t>
        </is>
      </c>
      <c r="D322" s="300" t="inlineStr">
        <is>
          <t>新倉</t>
        </is>
      </c>
      <c r="E322" s="301" t="inlineStr">
        <is>
          <t>賣</t>
        </is>
      </c>
      <c r="F322" s="300" t="inlineStr">
        <is>
          <t>-</t>
        </is>
      </c>
      <c r="G322" s="741" t="n">
        <v>1</v>
      </c>
      <c r="H322" s="741" t="n">
        <v>10618</v>
      </c>
      <c r="I322" s="741" t="n">
        <v>0</v>
      </c>
      <c r="J322" s="742" t="n">
        <v>23</v>
      </c>
      <c r="K322" s="742" t="n">
        <v>11</v>
      </c>
      <c r="L322" s="742">
        <f>IF(B322="TXO",I322-SUM(J322:K322),IF(B322="FITX",IF(D322="新倉",-SUM(J322:K322),IF(E322="賣",(H322-H321)*G322*200-SUM(J322:K322),(H321-H322)*G322*200-SUM(J322:K322))),IF(D322="新倉",-SUM(J322:K322),IF(E322="賣",(H322-H321)*G322*50-SUM(J322:K322),(H321-H322)*G322*50-SUM(J322:K322)))))</f>
        <v/>
      </c>
      <c r="M322" s="743">
        <f>L322</f>
        <v/>
      </c>
      <c r="N322" s="686">
        <f>IF(B322="TXO","",IF(D322="新倉","",IF(E322="賣",(H322-H321)*G322,(H321-H322)*G322)))</f>
        <v/>
      </c>
      <c r="O322" s="226">
        <f>ABS(I322)</f>
        <v/>
      </c>
      <c r="P322" s="667">
        <f>SUM(L322:L327)</f>
        <v/>
      </c>
      <c r="S322" s="739" t="n"/>
      <c r="T322" s="61" t="n"/>
      <c r="U322" s="61" t="n"/>
      <c r="V322" s="61" t="n"/>
      <c r="W322" s="61" t="n"/>
    </row>
    <row r="323" hidden="1" outlineLevel="2" ht="17.25" customHeight="1" thickBot="1">
      <c r="A323" s="740" t="n">
        <v>43276</v>
      </c>
      <c r="B323" s="299" t="inlineStr">
        <is>
          <t>FIMTX</t>
        </is>
      </c>
      <c r="C323" s="300" t="inlineStr">
        <is>
          <t>小指07</t>
        </is>
      </c>
      <c r="D323" s="300" t="inlineStr">
        <is>
          <t>平倉</t>
        </is>
      </c>
      <c r="E323" s="301" t="inlineStr">
        <is>
          <t>買</t>
        </is>
      </c>
      <c r="F323" s="300" t="inlineStr">
        <is>
          <t>-</t>
        </is>
      </c>
      <c r="G323" s="741" t="n">
        <v>1</v>
      </c>
      <c r="H323" s="741" t="n">
        <v>10628</v>
      </c>
      <c r="I323" s="741" t="n">
        <v>0</v>
      </c>
      <c r="J323" s="742" t="n">
        <v>23</v>
      </c>
      <c r="K323" s="742" t="n">
        <v>11</v>
      </c>
      <c r="L323" s="742">
        <f>IF(B323="TXO",I323-SUM(J323:K323),IF(B323="FITX",IF(D323="新倉",-SUM(J323:K323),IF(E323="賣",(H323-H322)*G323*200-SUM(J323:K323),(H322-H323)*G323*200-SUM(J323:K323))),IF(D323="新倉",-SUM(J323:K323),IF(E323="賣",(H323-H322)*G323*50-SUM(J323:K323),(H322-H323)*G323*50-SUM(J323:K323)))))</f>
        <v/>
      </c>
      <c r="M323" s="743">
        <f>L323</f>
        <v/>
      </c>
      <c r="N323" s="686">
        <f>IF(B323="TXO","",IF(D323="新倉","",IF(E323="賣",(H323-H322)*G323,(H322-H323)*G323)))</f>
        <v/>
      </c>
      <c r="O323" s="226">
        <f>ABS(I323)</f>
        <v/>
      </c>
      <c r="P323" s="667" t="n"/>
      <c r="S323" s="739" t="n"/>
      <c r="T323" s="61" t="n"/>
      <c r="U323" s="61" t="n"/>
      <c r="V323" s="61" t="n"/>
      <c r="W323" s="61" t="n"/>
    </row>
    <row r="324" hidden="1" outlineLevel="2" ht="17.25" customHeight="1" thickBot="1">
      <c r="A324" s="740" t="n">
        <v>43276</v>
      </c>
      <c r="B324" s="299" t="inlineStr">
        <is>
          <t>FIMTX</t>
        </is>
      </c>
      <c r="C324" s="300" t="inlineStr">
        <is>
          <t>小指07</t>
        </is>
      </c>
      <c r="D324" s="300" t="inlineStr">
        <is>
          <t>新倉</t>
        </is>
      </c>
      <c r="E324" s="301" t="inlineStr">
        <is>
          <t>賣</t>
        </is>
      </c>
      <c r="F324" s="300" t="inlineStr">
        <is>
          <t>-</t>
        </is>
      </c>
      <c r="G324" s="741" t="n">
        <v>1</v>
      </c>
      <c r="H324" s="741" t="n">
        <v>10618</v>
      </c>
      <c r="I324" s="741" t="n">
        <v>0</v>
      </c>
      <c r="J324" s="742" t="n">
        <v>23</v>
      </c>
      <c r="K324" s="742" t="n">
        <v>11</v>
      </c>
      <c r="L324" s="742">
        <f>IF(B324="TXO",I324-SUM(J324:K324),IF(B324="FITX",IF(D324="新倉",-SUM(J324:K324),IF(E324="賣",(H324-H323)*G324*200-SUM(J324:K324),(H323-H324)*G324*200-SUM(J324:K324))),IF(D324="新倉",-SUM(J324:K324),IF(E324="賣",(H324-H323)*G324*50-SUM(J324:K324),(H323-H324)*G324*50-SUM(J324:K324)))))</f>
        <v/>
      </c>
      <c r="M324" s="743">
        <f>L324</f>
        <v/>
      </c>
      <c r="N324" s="686">
        <f>IF(B324="TXO","",IF(D324="新倉","",IF(E324="賣",(H324-H323)*G324,(H323-H324)*G324)))</f>
        <v/>
      </c>
      <c r="O324" s="226">
        <f>ABS(I324)</f>
        <v/>
      </c>
      <c r="P324" s="667" t="n"/>
      <c r="S324" s="739" t="n"/>
      <c r="T324" s="61" t="n"/>
      <c r="U324" s="61" t="n"/>
      <c r="V324" s="61" t="n"/>
      <c r="W324" s="61" t="n"/>
    </row>
    <row r="325" hidden="1" outlineLevel="2" ht="17.25" customHeight="1" thickBot="1">
      <c r="A325" s="740" t="n">
        <v>43276</v>
      </c>
      <c r="B325" s="299" t="inlineStr">
        <is>
          <t>FIMTX</t>
        </is>
      </c>
      <c r="C325" s="300" t="inlineStr">
        <is>
          <t>小指07</t>
        </is>
      </c>
      <c r="D325" s="300" t="inlineStr">
        <is>
          <t>平倉</t>
        </is>
      </c>
      <c r="E325" s="301" t="inlineStr">
        <is>
          <t>買</t>
        </is>
      </c>
      <c r="F325" s="300" t="inlineStr">
        <is>
          <t>-</t>
        </is>
      </c>
      <c r="G325" s="741" t="n">
        <v>1</v>
      </c>
      <c r="H325" s="741" t="n">
        <v>10612</v>
      </c>
      <c r="I325" s="741" t="n">
        <v>0</v>
      </c>
      <c r="J325" s="742" t="n">
        <v>23</v>
      </c>
      <c r="K325" s="742" t="n">
        <v>11</v>
      </c>
      <c r="L325" s="742">
        <f>IF(B325="TXO",I325-SUM(J325:K325),IF(B325="FITX",IF(D325="新倉",-SUM(J325:K325),IF(E325="賣",(H325-H324)*G325*200-SUM(J325:K325),(H324-H325)*G325*200-SUM(J325:K325))),IF(D325="新倉",-SUM(J325:K325),IF(E325="賣",(H325-H324)*G325*50-SUM(J325:K325),(H324-H325)*G325*50-SUM(J325:K325)))))</f>
        <v/>
      </c>
      <c r="M325" s="743">
        <f>L325</f>
        <v/>
      </c>
      <c r="N325" s="686">
        <f>IF(B325="TXO","",IF(D325="新倉","",IF(E325="賣",(H325-H324)*G325,(H324-H325)*G325)))</f>
        <v/>
      </c>
      <c r="O325" s="226">
        <f>ABS(I325)</f>
        <v/>
      </c>
      <c r="P325" s="667" t="n"/>
      <c r="S325" s="739" t="n"/>
      <c r="T325" s="61" t="n"/>
      <c r="U325" s="61" t="n"/>
      <c r="V325" s="61" t="n"/>
      <c r="W325" s="61" t="n"/>
    </row>
    <row r="326" hidden="1" outlineLevel="2" ht="17.25" customHeight="1" thickBot="1">
      <c r="A326" s="740" t="n">
        <v>43276</v>
      </c>
      <c r="B326" s="299" t="inlineStr">
        <is>
          <t>FIMTX</t>
        </is>
      </c>
      <c r="C326" s="300" t="inlineStr">
        <is>
          <t>小指07</t>
        </is>
      </c>
      <c r="D326" s="300" t="inlineStr">
        <is>
          <t>新倉</t>
        </is>
      </c>
      <c r="E326" s="301" t="inlineStr">
        <is>
          <t>賣</t>
        </is>
      </c>
      <c r="F326" s="300" t="inlineStr">
        <is>
          <t>-</t>
        </is>
      </c>
      <c r="G326" s="741" t="n">
        <v>1</v>
      </c>
      <c r="H326" s="741" t="n">
        <v>10502</v>
      </c>
      <c r="I326" s="741" t="n">
        <v>0</v>
      </c>
      <c r="J326" s="742" t="n">
        <v>23</v>
      </c>
      <c r="K326" s="742" t="n">
        <v>11</v>
      </c>
      <c r="L326" s="742">
        <f>IF(B326="TXO",I326-SUM(J326:K326),IF(B326="FITX",IF(D326="新倉",-SUM(J326:K326),IF(E326="賣",(H326-H325)*G326*200-SUM(J326:K326),(H325-H326)*G326*200-SUM(J326:K326))),IF(D326="新倉",-SUM(J326:K326),IF(E326="賣",(H326-H325)*G326*50-SUM(J326:K326),(H325-H326)*G326*50-SUM(J326:K326)))))</f>
        <v/>
      </c>
      <c r="M326" s="743">
        <f>L326</f>
        <v/>
      </c>
      <c r="N326" s="686">
        <f>IF(B326="TXO","",IF(D326="新倉","",IF(E326="賣",(H326-H325)*G326,(H325-H326)*G326)))</f>
        <v/>
      </c>
      <c r="O326" s="226">
        <f>ABS(I326)</f>
        <v/>
      </c>
      <c r="P326" s="667" t="n"/>
      <c r="S326" s="739" t="n"/>
      <c r="T326" s="61" t="n"/>
      <c r="U326" s="61" t="n"/>
      <c r="V326" s="61" t="n"/>
      <c r="W326" s="61" t="n"/>
    </row>
    <row r="327" hidden="1" outlineLevel="2" ht="17.25" customHeight="1" thickBot="1">
      <c r="A327" s="740" t="n">
        <v>43276</v>
      </c>
      <c r="B327" s="299" t="inlineStr">
        <is>
          <t>FIMTX</t>
        </is>
      </c>
      <c r="C327" s="300" t="inlineStr">
        <is>
          <t>小指07</t>
        </is>
      </c>
      <c r="D327" s="300" t="inlineStr">
        <is>
          <t>平倉</t>
        </is>
      </c>
      <c r="E327" s="301" t="inlineStr">
        <is>
          <t>買</t>
        </is>
      </c>
      <c r="F327" s="300" t="inlineStr">
        <is>
          <t>-</t>
        </is>
      </c>
      <c r="G327" s="741" t="n">
        <v>1</v>
      </c>
      <c r="H327" s="741" t="n">
        <v>10510</v>
      </c>
      <c r="I327" s="741" t="n">
        <v>0</v>
      </c>
      <c r="J327" s="742" t="n">
        <v>23</v>
      </c>
      <c r="K327" s="742" t="n">
        <v>11</v>
      </c>
      <c r="L327" s="742">
        <f>IF(B327="TXO",I327-SUM(J327:K327),IF(B327="FITX",IF(D327="新倉",-SUM(J327:K327),IF(E327="賣",(H327-H326)*G327*200-SUM(J327:K327),(H326-H327)*G327*200-SUM(J327:K327))),IF(D327="新倉",-SUM(J327:K327),IF(E327="賣",(H327-H326)*G327*50-SUM(J327:K327),(H326-H327)*G327*50-SUM(J327:K327)))))</f>
        <v/>
      </c>
      <c r="M327" s="743">
        <f>L327</f>
        <v/>
      </c>
      <c r="N327" s="686">
        <f>IF(B327="TXO","",IF(D327="新倉","",IF(E327="賣",(H327-H326)*G327,(H326-H327)*G327)))</f>
        <v/>
      </c>
      <c r="O327" s="226">
        <f>ABS(I327)</f>
        <v/>
      </c>
      <c r="P327" s="667" t="n"/>
      <c r="S327" s="739" t="n"/>
      <c r="T327" s="61" t="n"/>
      <c r="U327" s="61" t="n"/>
      <c r="V327" s="61" t="n"/>
      <c r="W327" s="61" t="n"/>
    </row>
    <row r="328" hidden="1" outlineLevel="1" ht="17.25" customHeight="1" thickBot="1">
      <c r="A328" s="696" t="n">
        <v>43277</v>
      </c>
      <c r="B328" s="234" t="inlineStr">
        <is>
          <t>TXO</t>
        </is>
      </c>
      <c r="C328" s="229" t="inlineStr">
        <is>
          <t>台選W4 06 10650 P</t>
        </is>
      </c>
      <c r="D328" s="229" t="inlineStr">
        <is>
          <t>新倉</t>
        </is>
      </c>
      <c r="E328" s="257" t="inlineStr">
        <is>
          <t>買</t>
        </is>
      </c>
      <c r="F328" s="229" t="inlineStr">
        <is>
          <t>-</t>
        </is>
      </c>
      <c r="G328" s="697" t="n">
        <v>1</v>
      </c>
      <c r="H328" s="697" t="n">
        <v>14</v>
      </c>
      <c r="I328" s="697" t="n">
        <v>-700</v>
      </c>
      <c r="J328" s="585" t="n">
        <v>18</v>
      </c>
      <c r="K328" s="585" t="n">
        <v>1</v>
      </c>
      <c r="L328" s="585">
        <f>IF(B328="TXO",I328-SUM(J328:K328),IF(B328="FITX",IF(D328="新倉",-SUM(J328:K328),IF(E328="賣",(H328-H327)*G328*200-SUM(J328:K328),(H327-H328)*G328*200-SUM(J328:K328))),IF(D328="新倉",-SUM(J328:K328),IF(E328="賣",(H328-H327)*G328*50-SUM(J328:K328),(H327-H328)*G328*50-SUM(J328:K328)))))</f>
        <v/>
      </c>
      <c r="M328" s="699">
        <f>L328</f>
        <v/>
      </c>
      <c r="N328" s="686">
        <f>IF(B328="TXO","",IF(D328="新倉","",IF(E328="賣",(H328-H327)*G328,(H327-H328)*G328)))</f>
        <v/>
      </c>
      <c r="O328" s="226">
        <f>ABS(I328)</f>
        <v/>
      </c>
      <c r="P328" s="667">
        <f>SUM(L328:L333)</f>
        <v/>
      </c>
      <c r="S328" s="739" t="n"/>
      <c r="T328" s="61" t="n"/>
      <c r="U328" s="61" t="n"/>
      <c r="V328" s="61" t="n"/>
      <c r="W328" s="61" t="n"/>
    </row>
    <row r="329" hidden="1" outlineLevel="2" collapsed="1" ht="17.25" customHeight="1" thickBot="1">
      <c r="A329" s="696" t="n">
        <v>43277</v>
      </c>
      <c r="B329" s="234" t="inlineStr">
        <is>
          <t>TXO</t>
        </is>
      </c>
      <c r="C329" s="229" t="inlineStr">
        <is>
          <t>台選W4 06 10700 P</t>
        </is>
      </c>
      <c r="D329" s="229" t="inlineStr">
        <is>
          <t>平倉</t>
        </is>
      </c>
      <c r="E329" s="257" t="inlineStr">
        <is>
          <t>賣</t>
        </is>
      </c>
      <c r="F329" s="229" t="inlineStr">
        <is>
          <t>-</t>
        </is>
      </c>
      <c r="G329" s="697" t="n">
        <v>1</v>
      </c>
      <c r="H329" s="697" t="n">
        <v>51</v>
      </c>
      <c r="I329" s="697" t="n">
        <v>2550</v>
      </c>
      <c r="J329" s="585" t="n">
        <v>18</v>
      </c>
      <c r="K329" s="585" t="n">
        <v>3</v>
      </c>
      <c r="L329" s="585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/>
      </c>
      <c r="M329" s="699">
        <f>L329</f>
        <v/>
      </c>
      <c r="N329" s="686">
        <f>IF(B329="TXO","",IF(D329="新倉","",IF(E329="賣",(H329-H328)*G329,(H328-H329)*G329)))</f>
        <v/>
      </c>
      <c r="O329" s="226">
        <f>ABS(I329)</f>
        <v/>
      </c>
      <c r="P329" s="667" t="n"/>
      <c r="S329" s="739" t="n"/>
      <c r="T329" s="61" t="n"/>
      <c r="U329" s="61" t="n"/>
      <c r="V329" s="61" t="n"/>
      <c r="W329" s="61" t="n"/>
    </row>
    <row r="330" hidden="1" outlineLevel="2" collapsed="1" ht="17.25" customHeight="1" thickBot="1">
      <c r="A330" s="696" t="n">
        <v>43277</v>
      </c>
      <c r="B330" s="234" t="inlineStr">
        <is>
          <t>TXO</t>
        </is>
      </c>
      <c r="C330" s="229" t="inlineStr">
        <is>
          <t>台選W4 06 10700 P</t>
        </is>
      </c>
      <c r="D330" s="229" t="inlineStr">
        <is>
          <t>平倉</t>
        </is>
      </c>
      <c r="E330" s="257" t="inlineStr">
        <is>
          <t>賣</t>
        </is>
      </c>
      <c r="F330" s="229" t="inlineStr">
        <is>
          <t>-</t>
        </is>
      </c>
      <c r="G330" s="697" t="n">
        <v>1</v>
      </c>
      <c r="H330" s="697" t="n">
        <v>51</v>
      </c>
      <c r="I330" s="697" t="n">
        <v>2550</v>
      </c>
      <c r="J330" s="585" t="n">
        <v>18</v>
      </c>
      <c r="K330" s="585" t="n">
        <v>3</v>
      </c>
      <c r="L330" s="585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/>
      </c>
      <c r="M330" s="699">
        <f>L330</f>
        <v/>
      </c>
      <c r="N330" s="686">
        <f>IF(B330="TXO","",IF(D330="新倉","",IF(E330="賣",(H330-H329)*G330,(H329-H330)*G330)))</f>
        <v/>
      </c>
      <c r="O330" s="226">
        <f>ABS(I330)</f>
        <v/>
      </c>
      <c r="P330" s="667" t="n"/>
      <c r="S330" s="739" t="n"/>
      <c r="T330" s="61" t="n"/>
      <c r="U330" s="61" t="n"/>
      <c r="V330" s="61" t="n"/>
      <c r="W330" s="61" t="n"/>
    </row>
    <row r="331" hidden="1" outlineLevel="2" collapsed="1" ht="17.25" customHeight="1" thickBot="1">
      <c r="A331" s="696" t="n">
        <v>43277</v>
      </c>
      <c r="B331" s="234" t="inlineStr">
        <is>
          <t>TXO</t>
        </is>
      </c>
      <c r="C331" s="229" t="inlineStr">
        <is>
          <t>台選W4 06 10700 P</t>
        </is>
      </c>
      <c r="D331" s="229" t="inlineStr">
        <is>
          <t>新倉</t>
        </is>
      </c>
      <c r="E331" s="257" t="inlineStr">
        <is>
          <t>買</t>
        </is>
      </c>
      <c r="F331" s="229" t="inlineStr">
        <is>
          <t>-</t>
        </is>
      </c>
      <c r="G331" s="697" t="n">
        <v>1</v>
      </c>
      <c r="H331" s="697" t="n">
        <v>28</v>
      </c>
      <c r="I331" s="697" t="n">
        <v>-1400</v>
      </c>
      <c r="J331" s="585" t="n">
        <v>18</v>
      </c>
      <c r="K331" s="585" t="n">
        <v>1</v>
      </c>
      <c r="L331" s="585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/>
      </c>
      <c r="M331" s="699">
        <f>L331</f>
        <v/>
      </c>
      <c r="N331" s="686">
        <f>IF(B331="TXO","",IF(D331="新倉","",IF(E331="賣",(H331-H330)*G331,(H330-H331)*G331)))</f>
        <v/>
      </c>
      <c r="O331" s="226">
        <f>ABS(I331)</f>
        <v/>
      </c>
      <c r="P331" s="667" t="n"/>
      <c r="S331" s="739" t="n"/>
      <c r="T331" s="61" t="n"/>
      <c r="U331" s="61" t="n"/>
      <c r="V331" s="61" t="n"/>
      <c r="W331" s="61" t="n"/>
    </row>
    <row r="332" hidden="1" outlineLevel="2" collapsed="1" ht="17.25" customHeight="1" thickBot="1">
      <c r="A332" s="696" t="n">
        <v>43277</v>
      </c>
      <c r="B332" s="234" t="inlineStr">
        <is>
          <t>TXO</t>
        </is>
      </c>
      <c r="C332" s="229" t="inlineStr">
        <is>
          <t>台選W4 06 10650 P</t>
        </is>
      </c>
      <c r="D332" s="229" t="inlineStr">
        <is>
          <t>新倉</t>
        </is>
      </c>
      <c r="E332" s="257" t="inlineStr">
        <is>
          <t>買</t>
        </is>
      </c>
      <c r="F332" s="229" t="inlineStr">
        <is>
          <t>-</t>
        </is>
      </c>
      <c r="G332" s="697" t="n">
        <v>1</v>
      </c>
      <c r="H332" s="697" t="n">
        <v>25.5</v>
      </c>
      <c r="I332" s="697" t="n">
        <v>-1275</v>
      </c>
      <c r="J332" s="585" t="n">
        <v>18</v>
      </c>
      <c r="K332" s="585" t="n">
        <v>1</v>
      </c>
      <c r="L332" s="585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/>
      </c>
      <c r="M332" s="699">
        <f>L332</f>
        <v/>
      </c>
      <c r="N332" s="686">
        <f>IF(B332="TXO","",IF(D332="新倉","",IF(E332="賣",(H332-H331)*G332,(H331-H332)*G332)))</f>
        <v/>
      </c>
      <c r="O332" s="226">
        <f>ABS(I332)</f>
        <v/>
      </c>
      <c r="P332" s="667" t="n"/>
      <c r="S332" s="739" t="n"/>
      <c r="T332" s="61" t="n"/>
      <c r="U332" s="61" t="n"/>
      <c r="V332" s="61" t="n"/>
      <c r="W332" s="61" t="n"/>
    </row>
    <row r="333" hidden="1" outlineLevel="2" collapsed="1" ht="17.25" customHeight="1" thickBot="1">
      <c r="A333" s="696" t="n">
        <v>43277</v>
      </c>
      <c r="B333" s="234" t="inlineStr">
        <is>
          <t>TXO</t>
        </is>
      </c>
      <c r="C333" s="229" t="inlineStr">
        <is>
          <t>台選W4 06 10700 P</t>
        </is>
      </c>
      <c r="D333" s="229" t="inlineStr">
        <is>
          <t>新倉</t>
        </is>
      </c>
      <c r="E333" s="257" t="inlineStr">
        <is>
          <t>買</t>
        </is>
      </c>
      <c r="F333" s="229" t="inlineStr">
        <is>
          <t>-</t>
        </is>
      </c>
      <c r="G333" s="697" t="n">
        <v>1</v>
      </c>
      <c r="H333" s="697" t="n">
        <v>44</v>
      </c>
      <c r="I333" s="697" t="n">
        <v>-2200</v>
      </c>
      <c r="J333" s="585" t="n">
        <v>18</v>
      </c>
      <c r="K333" s="585" t="n">
        <v>2</v>
      </c>
      <c r="L333" s="585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/>
      </c>
      <c r="M333" s="699">
        <f>L333</f>
        <v/>
      </c>
      <c r="N333" s="686">
        <f>IF(B333="TXO","",IF(D333="新倉","",IF(E333="賣",(H333-H332)*G333,(H332-H333)*G333)))</f>
        <v/>
      </c>
      <c r="O333" s="226">
        <f>ABS(I333)</f>
        <v/>
      </c>
      <c r="P333" s="667" t="n"/>
      <c r="S333" s="739" t="n"/>
      <c r="T333" s="61" t="n"/>
      <c r="U333" s="61" t="n"/>
      <c r="V333" s="61" t="n"/>
      <c r="W333" s="61" t="n"/>
    </row>
    <row r="334" hidden="1" outlineLevel="1" ht="17.25" customHeight="1" thickBot="1">
      <c r="A334" s="740" t="n">
        <v>43280</v>
      </c>
      <c r="B334" s="299" t="inlineStr">
        <is>
          <t>FIMTX</t>
        </is>
      </c>
      <c r="C334" s="300" t="inlineStr">
        <is>
          <t>小指07</t>
        </is>
      </c>
      <c r="D334" s="300" t="inlineStr">
        <is>
          <t>新倉</t>
        </is>
      </c>
      <c r="E334" s="301" t="inlineStr">
        <is>
          <t>賣</t>
        </is>
      </c>
      <c r="F334" s="300" t="inlineStr">
        <is>
          <t>-</t>
        </is>
      </c>
      <c r="G334" s="741" t="n">
        <v>1</v>
      </c>
      <c r="H334" s="741" t="n">
        <v>10690</v>
      </c>
      <c r="I334" s="741" t="n">
        <v>0</v>
      </c>
      <c r="J334" s="742" t="n">
        <v>23</v>
      </c>
      <c r="K334" s="742" t="n">
        <v>11</v>
      </c>
      <c r="L334" s="742">
        <f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/>
      </c>
      <c r="M334" s="743">
        <f>L334</f>
        <v/>
      </c>
      <c r="N334" s="686">
        <f>IF(B334="TXO","",IF(D334="新倉","",IF(E334="賣",(H334-H333)*G334,(H333-H334)*G334)))</f>
        <v/>
      </c>
      <c r="O334" s="226">
        <f>ABS(I334)</f>
        <v/>
      </c>
      <c r="P334" s="667">
        <f>SUM(L334:L338)</f>
        <v/>
      </c>
      <c r="S334" s="739" t="n"/>
      <c r="T334" s="61" t="n"/>
      <c r="U334" s="61" t="n"/>
      <c r="V334" s="61" t="n"/>
      <c r="W334" s="61" t="n"/>
    </row>
    <row r="335" hidden="1" outlineLevel="2" ht="17.25" customHeight="1" thickBot="1">
      <c r="A335" s="740" t="n">
        <v>43280</v>
      </c>
      <c r="B335" s="299" t="inlineStr">
        <is>
          <t>FIMTX</t>
        </is>
      </c>
      <c r="C335" s="300" t="inlineStr">
        <is>
          <t>小指07</t>
        </is>
      </c>
      <c r="D335" s="300" t="inlineStr">
        <is>
          <t>平倉</t>
        </is>
      </c>
      <c r="E335" s="301" t="inlineStr">
        <is>
          <t>買</t>
        </is>
      </c>
      <c r="F335" s="300" t="inlineStr">
        <is>
          <t>-</t>
        </is>
      </c>
      <c r="G335" s="741" t="n">
        <v>1</v>
      </c>
      <c r="H335" s="741" t="n">
        <v>10695</v>
      </c>
      <c r="I335" s="741" t="n">
        <v>0</v>
      </c>
      <c r="J335" s="742" t="n">
        <v>23</v>
      </c>
      <c r="K335" s="742" t="n">
        <v>11</v>
      </c>
      <c r="L335" s="742">
        <f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/>
      </c>
      <c r="M335" s="743">
        <f>L335</f>
        <v/>
      </c>
      <c r="N335" s="686">
        <f>IF(B335="TXO","",IF(D335="新倉","",IF(E335="賣",(H335-H334)*G335,(H334-H335)*G335)))</f>
        <v/>
      </c>
      <c r="O335" s="226">
        <f>ABS(I335)</f>
        <v/>
      </c>
      <c r="P335" s="667" t="n"/>
      <c r="S335" s="739" t="n"/>
      <c r="T335" s="61" t="n"/>
      <c r="U335" s="61" t="n"/>
      <c r="V335" s="61" t="n"/>
      <c r="W335" s="61" t="n"/>
    </row>
    <row r="336" hidden="1" outlineLevel="2" ht="17.25" customHeight="1" thickBot="1">
      <c r="A336" s="740" t="n">
        <v>43280</v>
      </c>
      <c r="B336" s="299" t="inlineStr">
        <is>
          <t>TXO</t>
        </is>
      </c>
      <c r="C336" s="300" t="inlineStr">
        <is>
          <t>TXOW1 07 10850 C</t>
        </is>
      </c>
      <c r="D336" s="300" t="inlineStr">
        <is>
          <t>新倉</t>
        </is>
      </c>
      <c r="E336" s="301" t="inlineStr">
        <is>
          <t>買</t>
        </is>
      </c>
      <c r="F336" s="300" t="inlineStr">
        <is>
          <t>-</t>
        </is>
      </c>
      <c r="G336" s="741" t="n">
        <v>1</v>
      </c>
      <c r="H336" s="741" t="n">
        <v>35</v>
      </c>
      <c r="I336" s="741" t="n">
        <v>-1750</v>
      </c>
      <c r="J336" s="742" t="n">
        <v>18</v>
      </c>
      <c r="K336" s="742" t="n">
        <v>2</v>
      </c>
      <c r="L336" s="742">
        <f>IF(B336="TXO",I336-SUM(J336:K336),IF(B336="FITX",IF(D336="新倉",-SUM(J336:K336),IF(E336="賣",(H336-H335)*G336*200-SUM(J336:K336),(H335-H336)*G336*200-SUM(J336:K336))),IF(D336="新倉",-SUM(J336:K336),IF(E336="賣",(H336-H335)*G336*50-SUM(J336:K336),(H335-H336)*G336*50-SUM(J336:K336)))))</f>
        <v/>
      </c>
      <c r="M336" s="743">
        <f>L336</f>
        <v/>
      </c>
      <c r="N336" s="686">
        <f>IF(B336="TXO","",IF(D336="新倉","",IF(E336="賣",(H336-H335)*G336,(H335-H336)*G336)))</f>
        <v/>
      </c>
      <c r="O336" s="226">
        <f>ABS(I336)</f>
        <v/>
      </c>
      <c r="P336" s="667" t="n"/>
      <c r="S336" s="739" t="n"/>
      <c r="T336" s="61" t="n"/>
      <c r="U336" s="61" t="n"/>
      <c r="V336" s="61" t="n"/>
      <c r="W336" s="61" t="n"/>
    </row>
    <row r="337" hidden="1" outlineLevel="2" ht="17.25" customHeight="1" thickBot="1">
      <c r="A337" s="740" t="n">
        <v>43280</v>
      </c>
      <c r="B337" s="299" t="inlineStr">
        <is>
          <t>TXO</t>
        </is>
      </c>
      <c r="C337" s="300" t="inlineStr">
        <is>
          <t>TXOW1 07 10900 C</t>
        </is>
      </c>
      <c r="D337" s="300" t="inlineStr">
        <is>
          <t>新倉</t>
        </is>
      </c>
      <c r="E337" s="301" t="inlineStr">
        <is>
          <t>買</t>
        </is>
      </c>
      <c r="F337" s="300" t="inlineStr">
        <is>
          <t>-</t>
        </is>
      </c>
      <c r="G337" s="741" t="n">
        <v>1</v>
      </c>
      <c r="H337" s="741" t="n">
        <v>19</v>
      </c>
      <c r="I337" s="741" t="n">
        <v>-950</v>
      </c>
      <c r="J337" s="742" t="n">
        <v>18</v>
      </c>
      <c r="K337" s="742" t="n">
        <v>1</v>
      </c>
      <c r="L337" s="742">
        <f>IF(B337="TXO",I337-SUM(J337:K337),IF(B337="FITX",IF(D337="新倉",-SUM(J337:K337),IF(E337="賣",(H337-H336)*G337*200-SUM(J337:K337),(H336-H337)*G337*200-SUM(J337:K337))),IF(D337="新倉",-SUM(J337:K337),IF(E337="賣",(H337-H336)*G337*50-SUM(J337:K337),(H336-H337)*G337*50-SUM(J337:K337)))))</f>
        <v/>
      </c>
      <c r="M337" s="743">
        <f>L337</f>
        <v/>
      </c>
      <c r="N337" s="686">
        <f>IF(B337="TXO","",IF(D337="新倉","",IF(E337="賣",(H337-H336)*G337,(H336-H337)*G337)))</f>
        <v/>
      </c>
      <c r="O337" s="226">
        <f>ABS(I337)</f>
        <v/>
      </c>
      <c r="P337" s="667" t="n"/>
      <c r="S337" s="739" t="n"/>
      <c r="T337" s="61" t="n"/>
      <c r="U337" s="61" t="n"/>
      <c r="V337" s="61" t="n"/>
      <c r="W337" s="61" t="n"/>
    </row>
    <row r="338" hidden="1" outlineLevel="2" ht="17.25" customHeight="1" thickBot="1">
      <c r="A338" s="740" t="n">
        <v>43280</v>
      </c>
      <c r="B338" s="299" t="inlineStr">
        <is>
          <t>TXO</t>
        </is>
      </c>
      <c r="C338" s="300" t="inlineStr">
        <is>
          <t>TXOW1 07 10950 C</t>
        </is>
      </c>
      <c r="D338" s="300" t="inlineStr">
        <is>
          <t>新倉</t>
        </is>
      </c>
      <c r="E338" s="301" t="inlineStr">
        <is>
          <t>買</t>
        </is>
      </c>
      <c r="F338" s="300" t="inlineStr">
        <is>
          <t>-</t>
        </is>
      </c>
      <c r="G338" s="741" t="n">
        <v>2</v>
      </c>
      <c r="H338" s="741" t="n">
        <v>9</v>
      </c>
      <c r="I338" s="741" t="n">
        <v>-900</v>
      </c>
      <c r="J338" s="742" t="n">
        <v>36</v>
      </c>
      <c r="K338" s="742" t="n">
        <v>0</v>
      </c>
      <c r="L338" s="742">
        <f>IF(B338="TXO",I338-SUM(J338:K338),IF(B338="FITX",IF(D338="新倉",-SUM(J338:K338),IF(E338="賣",(H338-H337)*G338*200-SUM(J338:K338),(H337-H338)*G338*200-SUM(J338:K338))),IF(D338="新倉",-SUM(J338:K338),IF(E338="賣",(H338-H337)*G338*50-SUM(J338:K338),(H337-H338)*G338*50-SUM(J338:K338)))))</f>
        <v/>
      </c>
      <c r="M338" s="743">
        <f>L338</f>
        <v/>
      </c>
      <c r="N338" s="686">
        <f>IF(B338="TXO","",IF(D338="新倉","",IF(E338="賣",(H338-H337)*G338,(H337-H338)*G338)))</f>
        <v/>
      </c>
      <c r="O338" s="226">
        <f>ABS(I338)</f>
        <v/>
      </c>
      <c r="P338" s="667" t="n"/>
      <c r="S338" s="739" t="n"/>
      <c r="T338" s="61" t="n"/>
      <c r="U338" s="61" t="n"/>
      <c r="V338" s="61" t="n"/>
      <c r="W338" s="61" t="n"/>
    </row>
    <row r="339" ht="17.25" customHeight="1" thickBot="1">
      <c r="A339" s="273" t="inlineStr">
        <is>
          <t>6月總計</t>
        </is>
      </c>
      <c r="B339" s="274" t="n"/>
      <c r="C339" s="274" t="n"/>
      <c r="D339" s="274" t="n"/>
      <c r="E339" s="274" t="n"/>
      <c r="F339" s="274" t="n"/>
      <c r="G339" s="715" t="n"/>
      <c r="H339" s="715" t="n"/>
      <c r="I339" s="715" t="n"/>
      <c r="J339" s="716" t="n"/>
      <c r="K339" s="715" t="n"/>
      <c r="L339" s="717">
        <f>SUM(L292:L338)</f>
        <v/>
      </c>
      <c r="M339" s="751">
        <f>SUM(M292:M338)</f>
        <v/>
      </c>
      <c r="N339" s="666" t="n"/>
      <c r="P339" s="744" t="n"/>
      <c r="S339" s="739" t="n"/>
      <c r="T339" s="61" t="n"/>
      <c r="U339" s="61" t="n"/>
      <c r="V339" s="61" t="n"/>
      <c r="W339" s="61" t="n"/>
    </row>
    <row r="340" ht="17.25" customHeight="1" thickBot="1">
      <c r="A340" s="718" t="n">
        <v>43287</v>
      </c>
      <c r="B340" s="292" t="n"/>
      <c r="C340" s="292" t="inlineStr">
        <is>
          <t>富邦個人信貸</t>
        </is>
      </c>
      <c r="D340" s="292" t="n"/>
      <c r="E340" s="292" t="n"/>
      <c r="F340" s="292" t="n"/>
      <c r="G340" s="719" t="n"/>
      <c r="H340" s="719" t="n"/>
      <c r="I340" s="719" t="n"/>
      <c r="J340" s="720" t="n"/>
      <c r="K340" s="719" t="n"/>
      <c r="L340" s="720" t="n"/>
      <c r="M340" s="721" t="n">
        <v>-1132</v>
      </c>
      <c r="N340" s="666" t="n"/>
      <c r="P340" s="722" t="n"/>
      <c r="Q340" s="249" t="inlineStr">
        <is>
          <t>利息</t>
        </is>
      </c>
      <c r="S340" s="739" t="n"/>
      <c r="T340" s="61" t="n"/>
      <c r="U340" s="61" t="n"/>
      <c r="V340" s="61" t="n"/>
      <c r="W340" s="61" t="n"/>
    </row>
    <row r="341" ht="17.25" customHeight="1" thickBot="1">
      <c r="A341" s="718" t="n">
        <v>43295</v>
      </c>
      <c r="B341" s="292" t="n"/>
      <c r="C341" s="292" t="inlineStr">
        <is>
          <t>XQ 學院版</t>
        </is>
      </c>
      <c r="D341" s="292" t="n"/>
      <c r="E341" s="292" t="n"/>
      <c r="F341" s="292" t="n"/>
      <c r="G341" s="719" t="n"/>
      <c r="H341" s="719" t="n"/>
      <c r="I341" s="719" t="n"/>
      <c r="J341" s="720" t="n"/>
      <c r="K341" s="719" t="n"/>
      <c r="L341" s="720" t="n"/>
      <c r="M341" s="721">
        <f>-4457*0.965</f>
        <v/>
      </c>
      <c r="N341" s="666" t="n"/>
      <c r="P341" s="722" t="n"/>
      <c r="Q341" s="249" t="inlineStr">
        <is>
          <t>49888分12期, 每期4457</t>
        </is>
      </c>
      <c r="S341" s="739" t="n"/>
      <c r="T341" s="61" t="n"/>
      <c r="U341" s="61" t="n"/>
      <c r="V341" s="61" t="n"/>
      <c r="W341" s="61" t="n"/>
    </row>
    <row r="342" ht="17.25" customHeight="1" thickBot="1">
      <c r="A342" s="718" t="n">
        <v>43300</v>
      </c>
      <c r="B342" s="292" t="n"/>
      <c r="C342" s="292" t="inlineStr">
        <is>
          <t>阿水制霸班</t>
        </is>
      </c>
      <c r="D342" s="292" t="n"/>
      <c r="E342" s="292" t="n"/>
      <c r="F342" s="292" t="n"/>
      <c r="G342" s="719" t="n"/>
      <c r="H342" s="719" t="n"/>
      <c r="I342" s="719" t="n"/>
      <c r="J342" s="720" t="n"/>
      <c r="K342" s="719" t="n"/>
      <c r="L342" s="720" t="n"/>
      <c r="M342" s="721" t="n">
        <v>-4490</v>
      </c>
      <c r="N342" s="666" t="n"/>
      <c r="P342" s="722" t="n"/>
      <c r="Q342" s="249" t="inlineStr">
        <is>
          <t>53888分12期, 每期4490, 12-08</t>
        </is>
      </c>
      <c r="S342" s="739" t="n"/>
      <c r="T342" s="61" t="n"/>
      <c r="U342" s="61" t="n"/>
      <c r="V342" s="61" t="n"/>
      <c r="W342" s="61" t="n"/>
    </row>
    <row r="343" collapsed="1" ht="17.25" customHeight="1" thickBot="1">
      <c r="A343" s="718" t="n">
        <v>43309</v>
      </c>
      <c r="B343" s="292" t="n"/>
      <c r="C343" s="292" t="inlineStr">
        <is>
          <t>阿水財經四班</t>
        </is>
      </c>
      <c r="D343" s="292" t="n"/>
      <c r="E343" s="292" t="n"/>
      <c r="F343" s="292" t="n"/>
      <c r="G343" s="719" t="n"/>
      <c r="H343" s="719" t="n"/>
      <c r="I343" s="719" t="n"/>
      <c r="J343" s="720" t="n"/>
      <c r="K343" s="719" t="n"/>
      <c r="L343" s="720" t="n"/>
      <c r="M343" s="721">
        <f>-5000*0.965</f>
        <v/>
      </c>
      <c r="N343" s="666" t="n"/>
      <c r="P343" s="722" t="n"/>
      <c r="Q343" s="249" t="inlineStr">
        <is>
          <t>60000分12期, 每期5000</t>
        </is>
      </c>
      <c r="S343" s="739" t="n"/>
      <c r="T343" s="61" t="n"/>
      <c r="U343" s="61" t="n"/>
      <c r="V343" s="61" t="n"/>
      <c r="W343" s="61" t="n"/>
    </row>
    <row r="344" hidden="1" outlineLevel="1" ht="17.25" customHeight="1" thickBot="1">
      <c r="A344" s="740" t="n">
        <v>43283</v>
      </c>
      <c r="B344" s="299" t="inlineStr">
        <is>
          <t>FIMTX</t>
        </is>
      </c>
      <c r="C344" s="300" t="inlineStr">
        <is>
          <t>小指07</t>
        </is>
      </c>
      <c r="D344" s="300" t="inlineStr">
        <is>
          <t>新倉</t>
        </is>
      </c>
      <c r="E344" s="301" t="inlineStr">
        <is>
          <t>賣</t>
        </is>
      </c>
      <c r="F344" s="300" t="inlineStr">
        <is>
          <t>-</t>
        </is>
      </c>
      <c r="G344" s="741" t="n">
        <v>1</v>
      </c>
      <c r="H344" s="741" t="n">
        <v>10691</v>
      </c>
      <c r="I344" s="741" t="n">
        <v>0</v>
      </c>
      <c r="J344" s="742" t="n">
        <v>23</v>
      </c>
      <c r="K344" s="742" t="n">
        <v>11</v>
      </c>
      <c r="L344" s="742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/>
      </c>
      <c r="M344" s="743">
        <f>L344</f>
        <v/>
      </c>
      <c r="N344" s="686">
        <f>IF(B344="TXO","",IF(D344="新倉","",IF(E344="賣",(H344-#REF!)*G344,(#REF!-H344)*G344)))</f>
        <v/>
      </c>
      <c r="O344" s="226">
        <f>ABS(I344)</f>
        <v/>
      </c>
      <c r="P344" s="667">
        <f>SUM(L344:L345)</f>
        <v/>
      </c>
      <c r="S344" s="739" t="n"/>
      <c r="T344" s="61" t="n"/>
      <c r="U344" s="61" t="n"/>
      <c r="V344" s="61" t="n"/>
      <c r="W344" s="61" t="n"/>
    </row>
    <row r="345" hidden="1" outlineLevel="1" ht="17.25" customHeight="1" thickBot="1">
      <c r="A345" s="740" t="n">
        <v>43283</v>
      </c>
      <c r="B345" s="299" t="inlineStr">
        <is>
          <t>FIMTX</t>
        </is>
      </c>
      <c r="C345" s="300" t="inlineStr">
        <is>
          <t>小指07</t>
        </is>
      </c>
      <c r="D345" s="300" t="inlineStr">
        <is>
          <t>平倉</t>
        </is>
      </c>
      <c r="E345" s="301" t="inlineStr">
        <is>
          <t>買</t>
        </is>
      </c>
      <c r="F345" s="300" t="inlineStr">
        <is>
          <t>-</t>
        </is>
      </c>
      <c r="G345" s="741" t="n">
        <v>1</v>
      </c>
      <c r="H345" s="741" t="n">
        <v>10689</v>
      </c>
      <c r="I345" s="741" t="n">
        <v>0</v>
      </c>
      <c r="J345" s="742" t="n">
        <v>23</v>
      </c>
      <c r="K345" s="742" t="n">
        <v>11</v>
      </c>
      <c r="L345" s="742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/>
      </c>
      <c r="M345" s="743">
        <f>L345</f>
        <v/>
      </c>
      <c r="N345" s="686">
        <f>IF(B345="TXO","",IF(D345="新倉","",IF(E345="賣",(H345-H344)*G345,(H344-H345)*G345)))</f>
        <v/>
      </c>
      <c r="O345" s="226">
        <f>ABS(I345)</f>
        <v/>
      </c>
      <c r="P345" s="667" t="n"/>
      <c r="S345" s="739" t="n"/>
      <c r="T345" s="61" t="n"/>
      <c r="U345" s="61" t="n"/>
      <c r="V345" s="61" t="n"/>
      <c r="W345" s="61" t="n"/>
    </row>
    <row r="346" hidden="1" outlineLevel="1" ht="17.25" customHeight="1" thickBot="1">
      <c r="A346" s="696" t="n">
        <v>43284</v>
      </c>
      <c r="B346" s="234" t="inlineStr">
        <is>
          <t>FIMTX</t>
        </is>
      </c>
      <c r="C346" s="229" t="inlineStr">
        <is>
          <t>小指07</t>
        </is>
      </c>
      <c r="D346" s="229" t="inlineStr">
        <is>
          <t>新倉</t>
        </is>
      </c>
      <c r="E346" s="257" t="inlineStr">
        <is>
          <t>買</t>
        </is>
      </c>
      <c r="F346" s="229" t="inlineStr">
        <is>
          <t>-</t>
        </is>
      </c>
      <c r="G346" s="697" t="n">
        <v>1</v>
      </c>
      <c r="H346" s="697" t="n">
        <v>10595</v>
      </c>
      <c r="I346" s="697" t="n">
        <v>0</v>
      </c>
      <c r="J346" s="585" t="n">
        <v>23</v>
      </c>
      <c r="K346" s="585" t="n">
        <v>11</v>
      </c>
      <c r="L346" s="585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/>
      </c>
      <c r="M346" s="699">
        <f>L346</f>
        <v/>
      </c>
      <c r="N346" s="686">
        <f>IF(B346="TXO","",IF(D346="新倉","",IF(E346="賣",(H346-H345)*G346,(H345-H346)*G346)))</f>
        <v/>
      </c>
      <c r="O346" s="226">
        <f>ABS(I346)</f>
        <v/>
      </c>
      <c r="P346" s="667">
        <f>SUM(L346:L354)</f>
        <v/>
      </c>
      <c r="S346" s="739" t="n"/>
      <c r="T346" s="61" t="n"/>
      <c r="U346" s="61" t="n"/>
      <c r="V346" s="61" t="n"/>
      <c r="W346" s="61" t="n"/>
    </row>
    <row r="347" hidden="1" outlineLevel="2" collapsed="1" ht="17.25" customHeight="1" thickBot="1">
      <c r="A347" s="696" t="n">
        <v>43284</v>
      </c>
      <c r="B347" s="234" t="inlineStr">
        <is>
          <t>FIMTX</t>
        </is>
      </c>
      <c r="C347" s="229" t="inlineStr">
        <is>
          <t>小指07</t>
        </is>
      </c>
      <c r="D347" s="229" t="inlineStr">
        <is>
          <t>平倉</t>
        </is>
      </c>
      <c r="E347" s="257" t="inlineStr">
        <is>
          <t>賣</t>
        </is>
      </c>
      <c r="F347" s="229" t="inlineStr">
        <is>
          <t>-</t>
        </is>
      </c>
      <c r="G347" s="697" t="n">
        <v>1</v>
      </c>
      <c r="H347" s="697" t="n">
        <v>10607</v>
      </c>
      <c r="I347" s="697" t="n">
        <v>0</v>
      </c>
      <c r="J347" s="585" t="n">
        <v>23</v>
      </c>
      <c r="K347" s="585" t="n">
        <v>11</v>
      </c>
      <c r="L347" s="585">
        <f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/>
      </c>
      <c r="M347" s="699">
        <f>L347</f>
        <v/>
      </c>
      <c r="N347" s="686">
        <f>IF(B347="TXO","",IF(D347="新倉","",IF(E347="賣",(H347-H346)*G347,(H346-H347)*G347)))</f>
        <v/>
      </c>
      <c r="O347" s="226">
        <f>ABS(I347)</f>
        <v/>
      </c>
      <c r="P347" s="667" t="n"/>
      <c r="S347" s="739" t="n"/>
      <c r="T347" s="61" t="n"/>
      <c r="U347" s="61" t="n"/>
      <c r="V347" s="61" t="n"/>
      <c r="W347" s="61" t="n"/>
    </row>
    <row r="348" hidden="1" outlineLevel="2" collapsed="1" ht="17.25" customHeight="1" thickBot="1">
      <c r="A348" s="696" t="n">
        <v>43284</v>
      </c>
      <c r="B348" s="234" t="inlineStr">
        <is>
          <t>TXO</t>
        </is>
      </c>
      <c r="C348" s="229" t="inlineStr">
        <is>
          <t>台選W1 07 10500 P</t>
        </is>
      </c>
      <c r="D348" s="229" t="inlineStr">
        <is>
          <t>新倉</t>
        </is>
      </c>
      <c r="E348" s="257" t="inlineStr">
        <is>
          <t>買</t>
        </is>
      </c>
      <c r="F348" s="229" t="inlineStr">
        <is>
          <t>-</t>
        </is>
      </c>
      <c r="G348" s="697" t="n">
        <v>5</v>
      </c>
      <c r="H348" s="697" t="n">
        <v>3</v>
      </c>
      <c r="I348" s="697" t="n">
        <v>-750</v>
      </c>
      <c r="J348" s="585" t="n">
        <v>90</v>
      </c>
      <c r="K348" s="585" t="n">
        <v>0</v>
      </c>
      <c r="L348" s="585">
        <f>IF(B348="TXO",I348-SUM(J348:K348),IF(B348="FITX",IF(D348="新倉",-SUM(J348:K348),IF(E348="賣",(H348-H347)*G348*200-SUM(J348:K348),(H347-H348)*G348*200-SUM(J348:K348))),IF(D348="新倉",-SUM(J348:K348),IF(E348="賣",(H348-H347)*G348*50-SUM(J348:K348),(H347-H348)*G348*50-SUM(J348:K348)))))</f>
        <v/>
      </c>
      <c r="M348" s="699">
        <f>L348</f>
        <v/>
      </c>
      <c r="N348" s="686">
        <f>IF(B348="TXO","",IF(D348="新倉","",IF(E348="賣",(H348-H347)*G348,(H347-H348)*G348)))</f>
        <v/>
      </c>
      <c r="O348" s="226">
        <f>ABS(I348)</f>
        <v/>
      </c>
      <c r="P348" s="667" t="n"/>
      <c r="S348" s="739" t="n"/>
      <c r="T348" s="61" t="n"/>
      <c r="U348" s="61" t="n"/>
      <c r="V348" s="61" t="n"/>
      <c r="W348" s="61" t="n"/>
    </row>
    <row r="349" hidden="1" outlineLevel="2" collapsed="1" ht="17.25" customHeight="1" thickBot="1">
      <c r="A349" s="696" t="n">
        <v>43284</v>
      </c>
      <c r="B349" s="234" t="inlineStr">
        <is>
          <t>TXO</t>
        </is>
      </c>
      <c r="C349" s="229" t="inlineStr">
        <is>
          <t>台選W1 07 10500 P</t>
        </is>
      </c>
      <c r="D349" s="229" t="inlineStr">
        <is>
          <t>新倉</t>
        </is>
      </c>
      <c r="E349" s="257" t="inlineStr">
        <is>
          <t>買</t>
        </is>
      </c>
      <c r="F349" s="229" t="inlineStr">
        <is>
          <t>-</t>
        </is>
      </c>
      <c r="G349" s="697" t="n">
        <v>10</v>
      </c>
      <c r="H349" s="697" t="n">
        <v>5.7</v>
      </c>
      <c r="I349" s="697" t="n">
        <v>-2850</v>
      </c>
      <c r="J349" s="585" t="n">
        <v>180</v>
      </c>
      <c r="K349" s="585" t="n">
        <v>0</v>
      </c>
      <c r="L349" s="585">
        <f>IF(B349="TXO",I349-SUM(J349:K349),IF(B349="FITX",IF(D349="新倉",-SUM(J349:K349),IF(E349="賣",(H349-H348)*G349*200-SUM(J349:K349),(H348-H349)*G349*200-SUM(J349:K349))),IF(D349="新倉",-SUM(J349:K349),IF(E349="賣",(H349-H348)*G349*50-SUM(J349:K349),(H348-H349)*G349*50-SUM(J349:K349)))))</f>
        <v/>
      </c>
      <c r="M349" s="699">
        <f>L349</f>
        <v/>
      </c>
      <c r="N349" s="686">
        <f>IF(B349="TXO","",IF(D349="新倉","",IF(E349="賣",(H349-H348)*G349,(H348-H349)*G349)))</f>
        <v/>
      </c>
      <c r="O349" s="226">
        <f>ABS(I349)</f>
        <v/>
      </c>
      <c r="P349" s="667" t="n"/>
      <c r="S349" s="739" t="n"/>
      <c r="T349" s="61" t="n"/>
      <c r="U349" s="61" t="n"/>
      <c r="V349" s="61" t="n"/>
      <c r="W349" s="61" t="n"/>
    </row>
    <row r="350" hidden="1" outlineLevel="2" collapsed="1" ht="17.25" customHeight="1" thickBot="1">
      <c r="A350" s="696" t="n">
        <v>43284</v>
      </c>
      <c r="B350" s="234" t="inlineStr">
        <is>
          <t>TXO</t>
        </is>
      </c>
      <c r="C350" s="229" t="inlineStr">
        <is>
          <t>台選W1 07 10500 P</t>
        </is>
      </c>
      <c r="D350" s="229" t="inlineStr">
        <is>
          <t>新倉</t>
        </is>
      </c>
      <c r="E350" s="257" t="inlineStr">
        <is>
          <t>買</t>
        </is>
      </c>
      <c r="F350" s="229" t="inlineStr">
        <is>
          <t>-</t>
        </is>
      </c>
      <c r="G350" s="697" t="n">
        <v>1</v>
      </c>
      <c r="H350" s="697" t="n">
        <v>5.8</v>
      </c>
      <c r="I350" s="697" t="n">
        <v>-290</v>
      </c>
      <c r="J350" s="585" t="n">
        <v>18</v>
      </c>
      <c r="K350" s="585" t="n">
        <v>0</v>
      </c>
      <c r="L350" s="585">
        <f>IF(B350="TXO",I350-SUM(J350:K350),IF(B350="FITX",IF(D350="新倉",-SUM(J350:K350),IF(E350="賣",(H350-H349)*G350*200-SUM(J350:K350),(H349-H350)*G350*200-SUM(J350:K350))),IF(D350="新倉",-SUM(J350:K350),IF(E350="賣",(H350-H349)*G350*50-SUM(J350:K350),(H349-H350)*G350*50-SUM(J350:K350)))))</f>
        <v/>
      </c>
      <c r="M350" s="699">
        <f>L350</f>
        <v/>
      </c>
      <c r="N350" s="686">
        <f>IF(B350="TXO","",IF(D350="新倉","",IF(E350="賣",(H350-H349)*G350,(H349-H350)*G350)))</f>
        <v/>
      </c>
      <c r="O350" s="226">
        <f>ABS(I350)</f>
        <v/>
      </c>
      <c r="P350" s="667" t="n"/>
      <c r="S350" s="739" t="n"/>
      <c r="T350" s="61" t="n"/>
      <c r="U350" s="61" t="n"/>
      <c r="V350" s="61" t="n"/>
      <c r="W350" s="61" t="n"/>
    </row>
    <row r="351" hidden="1" outlineLevel="2" collapsed="1" ht="17.25" customHeight="1" thickBot="1">
      <c r="A351" s="696" t="n">
        <v>43284</v>
      </c>
      <c r="B351" s="234" t="inlineStr">
        <is>
          <t>FIMTX</t>
        </is>
      </c>
      <c r="C351" s="229" t="inlineStr">
        <is>
          <t>小指07</t>
        </is>
      </c>
      <c r="D351" s="229" t="inlineStr">
        <is>
          <t>新倉</t>
        </is>
      </c>
      <c r="E351" s="257" t="inlineStr">
        <is>
          <t>賣</t>
        </is>
      </c>
      <c r="F351" s="229" t="inlineStr">
        <is>
          <t>-</t>
        </is>
      </c>
      <c r="G351" s="697" t="n">
        <v>1</v>
      </c>
      <c r="H351" s="697" t="n">
        <v>10631</v>
      </c>
      <c r="I351" s="697" t="n">
        <v>0</v>
      </c>
      <c r="J351" s="585" t="n">
        <v>23</v>
      </c>
      <c r="K351" s="585" t="n">
        <v>11</v>
      </c>
      <c r="L351" s="585">
        <f>IF(B351="TXO",I351-SUM(J351:K351),IF(B351="FITX",IF(D351="新倉",-SUM(J351:K351),IF(E351="賣",(H351-H350)*G351*200-SUM(J351:K351),(H350-H351)*G351*200-SUM(J351:K351))),IF(D351="新倉",-SUM(J351:K351),IF(E351="賣",(H351-H350)*G351*50-SUM(J351:K351),(H350-H351)*G351*50-SUM(J351:K351)))))</f>
        <v/>
      </c>
      <c r="M351" s="699">
        <f>L351</f>
        <v/>
      </c>
      <c r="N351" s="686">
        <f>IF(B351="TXO","",IF(D351="新倉","",IF(E351="賣",(H351-H350)*G351,(H350-H351)*G351)))</f>
        <v/>
      </c>
      <c r="O351" s="226">
        <f>ABS(I351)</f>
        <v/>
      </c>
      <c r="P351" s="667" t="n"/>
      <c r="S351" s="739" t="n"/>
      <c r="T351" s="61" t="n"/>
      <c r="U351" s="61" t="n"/>
      <c r="V351" s="61" t="n"/>
      <c r="W351" s="61" t="n"/>
    </row>
    <row r="352" hidden="1" outlineLevel="2" collapsed="1" ht="17.25" customHeight="1" thickBot="1">
      <c r="A352" s="696" t="n">
        <v>43284</v>
      </c>
      <c r="B352" s="234" t="inlineStr">
        <is>
          <t>FIMTX</t>
        </is>
      </c>
      <c r="C352" s="229" t="inlineStr">
        <is>
          <t>小指07</t>
        </is>
      </c>
      <c r="D352" s="229" t="inlineStr">
        <is>
          <t>平倉</t>
        </is>
      </c>
      <c r="E352" s="257" t="inlineStr">
        <is>
          <t>買</t>
        </is>
      </c>
      <c r="F352" s="229" t="inlineStr">
        <is>
          <t>-</t>
        </is>
      </c>
      <c r="G352" s="697" t="n">
        <v>1</v>
      </c>
      <c r="H352" s="697" t="n">
        <v>10619</v>
      </c>
      <c r="I352" s="697" t="n">
        <v>0</v>
      </c>
      <c r="J352" s="585" t="n">
        <v>23</v>
      </c>
      <c r="K352" s="585" t="n">
        <v>11</v>
      </c>
      <c r="L352" s="585">
        <f>IF(B352="TXO",I352-SUM(J352:K352),IF(B352="FITX",IF(D352="新倉",-SUM(J352:K352),IF(E352="賣",(H352-H351)*G352*200-SUM(J352:K352),(H351-H352)*G352*200-SUM(J352:K352))),IF(D352="新倉",-SUM(J352:K352),IF(E352="賣",(H352-H351)*G352*50-SUM(J352:K352),(H351-H352)*G352*50-SUM(J352:K352)))))</f>
        <v/>
      </c>
      <c r="M352" s="699">
        <f>L352</f>
        <v/>
      </c>
      <c r="N352" s="686">
        <f>IF(B352="TXO","",IF(D352="新倉","",IF(E352="賣",(H352-H351)*G352,(H351-H352)*G352)))</f>
        <v/>
      </c>
      <c r="O352" s="226">
        <f>ABS(I352)</f>
        <v/>
      </c>
      <c r="P352" s="667" t="n"/>
      <c r="S352" s="739" t="n"/>
      <c r="T352" s="61" t="n"/>
      <c r="U352" s="61" t="n"/>
      <c r="V352" s="61" t="n"/>
      <c r="W352" s="61" t="n"/>
    </row>
    <row r="353" hidden="1" outlineLevel="2" collapsed="1" ht="17.25" customHeight="1" thickBot="1">
      <c r="A353" s="696" t="n">
        <v>43284</v>
      </c>
      <c r="B353" s="234" t="inlineStr">
        <is>
          <t>FIMTX</t>
        </is>
      </c>
      <c r="C353" s="229" t="inlineStr">
        <is>
          <t>小指07</t>
        </is>
      </c>
      <c r="D353" s="229" t="inlineStr">
        <is>
          <t>新倉</t>
        </is>
      </c>
      <c r="E353" s="257" t="inlineStr">
        <is>
          <t>賣</t>
        </is>
      </c>
      <c r="F353" s="229" t="inlineStr">
        <is>
          <t>-</t>
        </is>
      </c>
      <c r="G353" s="697" t="n">
        <v>1</v>
      </c>
      <c r="H353" s="697" t="n">
        <v>10632</v>
      </c>
      <c r="I353" s="697" t="n">
        <v>0</v>
      </c>
      <c r="J353" s="585" t="n">
        <v>23</v>
      </c>
      <c r="K353" s="585" t="n">
        <v>11</v>
      </c>
      <c r="L353" s="585">
        <f>IF(B353="TXO",I353-SUM(J353:K353),IF(B353="FITX",IF(D353="新倉",-SUM(J353:K353),IF(E353="賣",(H353-H352)*G353*200-SUM(J353:K353),(H352-H353)*G353*200-SUM(J353:K353))),IF(D353="新倉",-SUM(J353:K353),IF(E353="賣",(H353-H352)*G353*50-SUM(J353:K353),(H352-H353)*G353*50-SUM(J353:K353)))))</f>
        <v/>
      </c>
      <c r="M353" s="699">
        <f>L353</f>
        <v/>
      </c>
      <c r="N353" s="686">
        <f>IF(B353="TXO","",IF(D353="新倉","",IF(E353="賣",(H353-H352)*G353,(H352-H353)*G353)))</f>
        <v/>
      </c>
      <c r="O353" s="226">
        <f>ABS(I353)</f>
        <v/>
      </c>
      <c r="P353" s="667" t="n"/>
      <c r="S353" s="739" t="n"/>
      <c r="T353" s="61" t="n"/>
      <c r="U353" s="61" t="n"/>
      <c r="V353" s="61" t="n"/>
      <c r="W353" s="61" t="n"/>
    </row>
    <row r="354" hidden="1" outlineLevel="2" ht="17.25" customHeight="1" thickBot="1">
      <c r="A354" s="696" t="n">
        <v>43284</v>
      </c>
      <c r="B354" s="234" t="inlineStr">
        <is>
          <t>FIMTX</t>
        </is>
      </c>
      <c r="C354" s="229" t="inlineStr">
        <is>
          <t>小指07</t>
        </is>
      </c>
      <c r="D354" s="229" t="inlineStr">
        <is>
          <t>平倉</t>
        </is>
      </c>
      <c r="E354" s="257" t="inlineStr">
        <is>
          <t>買</t>
        </is>
      </c>
      <c r="F354" s="229" t="inlineStr">
        <is>
          <t>-</t>
        </is>
      </c>
      <c r="G354" s="697" t="n">
        <v>1</v>
      </c>
      <c r="H354" s="697" t="n">
        <v>10619</v>
      </c>
      <c r="I354" s="697" t="n">
        <v>0</v>
      </c>
      <c r="J354" s="585" t="n">
        <v>23</v>
      </c>
      <c r="K354" s="585" t="n">
        <v>11</v>
      </c>
      <c r="L354" s="585">
        <f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/>
      </c>
      <c r="M354" s="699">
        <f>L354</f>
        <v/>
      </c>
      <c r="N354" s="686">
        <f>IF(B354="TXO","",IF(D354="新倉","",IF(E354="賣",(H354-H353)*G354,(H353-H354)*G354)))</f>
        <v/>
      </c>
      <c r="O354" s="226">
        <f>ABS(I354)</f>
        <v/>
      </c>
      <c r="P354" s="667" t="n"/>
      <c r="S354" s="739" t="n"/>
      <c r="T354" s="61" t="n"/>
      <c r="U354" s="61" t="n"/>
      <c r="V354" s="61" t="n"/>
      <c r="W354" s="61" t="n"/>
    </row>
    <row r="355" hidden="1" outlineLevel="1" ht="17.25" customHeight="1" thickBot="1">
      <c r="A355" s="740" t="n">
        <v>43286</v>
      </c>
      <c r="B355" s="299" t="inlineStr">
        <is>
          <t>TXO</t>
        </is>
      </c>
      <c r="C355" s="300" t="inlineStr">
        <is>
          <t>TXOW2 07 10450 P</t>
        </is>
      </c>
      <c r="D355" s="300" t="inlineStr">
        <is>
          <t>新倉</t>
        </is>
      </c>
      <c r="E355" s="301" t="inlineStr">
        <is>
          <t>買</t>
        </is>
      </c>
      <c r="F355" s="300" t="inlineStr">
        <is>
          <t>-</t>
        </is>
      </c>
      <c r="G355" s="741" t="n">
        <v>1</v>
      </c>
      <c r="H355" s="741" t="n">
        <v>32</v>
      </c>
      <c r="I355" s="741" t="n">
        <v>-1600</v>
      </c>
      <c r="J355" s="742" t="n">
        <v>18</v>
      </c>
      <c r="K355" s="742" t="n">
        <v>2</v>
      </c>
      <c r="L355" s="742">
        <f>IF(B355="TXO",I355-SUM(J355:K355),IF(B355="FITX",IF(D355="新倉",-SUM(J355:K355),IF(E355="賣",(H355-H354)*G355*200-SUM(J355:K355),(H354-H355)*G355*200-SUM(J355:K355))),IF(D355="新倉",-SUM(J355:K355),IF(E355="賣",(H355-H354)*G355*50-SUM(J355:K355),(H354-H355)*G355*50-SUM(J355:K355)))))</f>
        <v/>
      </c>
      <c r="M355" s="743">
        <f>L355</f>
        <v/>
      </c>
      <c r="N355" s="686">
        <f>IF(B355="TXO","",IF(D355="新倉","",IF(E355="賣",(H355-H354)*G355,(H354-H355)*G355)))</f>
        <v/>
      </c>
      <c r="O355" s="226">
        <f>ABS(I355)</f>
        <v/>
      </c>
      <c r="P355" s="667">
        <f>SUM(L355)</f>
        <v/>
      </c>
      <c r="S355" s="739" t="n"/>
      <c r="T355" s="61" t="n"/>
      <c r="U355" s="61" t="n"/>
      <c r="V355" s="61" t="n"/>
      <c r="W355" s="61" t="n"/>
    </row>
    <row r="356" hidden="1" outlineLevel="1" ht="17.25" customHeight="1" thickBot="1">
      <c r="A356" s="696" t="n">
        <v>43287</v>
      </c>
      <c r="B356" s="234" t="inlineStr">
        <is>
          <t>FIMTX</t>
        </is>
      </c>
      <c r="C356" s="229" t="inlineStr">
        <is>
          <t>小指07</t>
        </is>
      </c>
      <c r="D356" s="229" t="inlineStr">
        <is>
          <t>新倉</t>
        </is>
      </c>
      <c r="E356" s="257" t="inlineStr">
        <is>
          <t>買</t>
        </is>
      </c>
      <c r="F356" s="229" t="inlineStr">
        <is>
          <t>-</t>
        </is>
      </c>
      <c r="G356" s="697" t="n">
        <v>1</v>
      </c>
      <c r="H356" s="697" t="n">
        <v>10526</v>
      </c>
      <c r="I356" s="697" t="n">
        <v>0</v>
      </c>
      <c r="J356" s="585" t="n">
        <v>23</v>
      </c>
      <c r="K356" s="585" t="n">
        <v>11</v>
      </c>
      <c r="L356" s="585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/>
      </c>
      <c r="M356" s="699">
        <f>L356</f>
        <v/>
      </c>
      <c r="N356" s="686">
        <f>IF(B356="TXO","",IF(D356="新倉","",IF(E356="賣",(H356-H355)*G356,(H355-H356)*G356)))</f>
        <v/>
      </c>
      <c r="O356" s="226">
        <f>ABS(I356)</f>
        <v/>
      </c>
      <c r="P356" s="667">
        <f>SUM(L356:L360)</f>
        <v/>
      </c>
      <c r="S356" s="739" t="n"/>
      <c r="T356" s="61" t="n"/>
      <c r="U356" s="61" t="n"/>
      <c r="V356" s="61" t="n"/>
      <c r="W356" s="61" t="n"/>
    </row>
    <row r="357" hidden="1" outlineLevel="2" collapsed="1" ht="17.25" customHeight="1" thickBot="1">
      <c r="A357" s="696" t="n">
        <v>43287</v>
      </c>
      <c r="B357" s="234" t="inlineStr">
        <is>
          <t>FIMTX</t>
        </is>
      </c>
      <c r="C357" s="229" t="inlineStr">
        <is>
          <t>小指07</t>
        </is>
      </c>
      <c r="D357" s="229" t="inlineStr">
        <is>
          <t>平倉</t>
        </is>
      </c>
      <c r="E357" s="257" t="inlineStr">
        <is>
          <t>賣</t>
        </is>
      </c>
      <c r="F357" s="229" t="inlineStr">
        <is>
          <t>-</t>
        </is>
      </c>
      <c r="G357" s="697" t="n">
        <v>1</v>
      </c>
      <c r="H357" s="697" t="n">
        <v>10533</v>
      </c>
      <c r="I357" s="697" t="n">
        <v>0</v>
      </c>
      <c r="J357" s="585" t="n">
        <v>23</v>
      </c>
      <c r="K357" s="585" t="n">
        <v>11</v>
      </c>
      <c r="L357" s="585">
        <f>IF(B357="TXO",I357-SUM(J357:K357),IF(B357="FITX",IF(D357="新倉",-SUM(J357:K357),IF(E357="賣",(H357-H356)*G357*200-SUM(J357:K357),(H356-H357)*G357*200-SUM(J357:K357))),IF(D357="新倉",-SUM(J357:K357),IF(E357="賣",(H357-H356)*G357*50-SUM(J357:K357),(H356-H357)*G357*50-SUM(J357:K357)))))</f>
        <v/>
      </c>
      <c r="M357" s="699">
        <f>L357</f>
        <v/>
      </c>
      <c r="N357" s="686">
        <f>IF(B357="TXO","",IF(D357="新倉","",IF(E357="賣",(H357-H356)*G357,(H356-H357)*G357)))</f>
        <v/>
      </c>
      <c r="O357" s="226">
        <f>ABS(I357)</f>
        <v/>
      </c>
      <c r="P357" s="667" t="n"/>
      <c r="S357" s="739" t="n"/>
      <c r="T357" s="61" t="n"/>
      <c r="U357" s="61" t="n"/>
      <c r="V357" s="61" t="n"/>
      <c r="W357" s="61" t="n"/>
    </row>
    <row r="358" hidden="1" outlineLevel="2" collapsed="1" ht="17.25" customHeight="1" thickBot="1">
      <c r="A358" s="696" t="n">
        <v>43287</v>
      </c>
      <c r="B358" s="234" t="inlineStr">
        <is>
          <t>TXO</t>
        </is>
      </c>
      <c r="C358" s="229" t="inlineStr">
        <is>
          <t>TXOW2 07 10450 P</t>
        </is>
      </c>
      <c r="D358" s="229" t="inlineStr">
        <is>
          <t>平倉</t>
        </is>
      </c>
      <c r="E358" s="257" t="inlineStr">
        <is>
          <t>賣</t>
        </is>
      </c>
      <c r="F358" s="229" t="inlineStr">
        <is>
          <t>-</t>
        </is>
      </c>
      <c r="G358" s="697" t="n">
        <v>1</v>
      </c>
      <c r="H358" s="697" t="n">
        <v>46</v>
      </c>
      <c r="I358" s="697" t="n">
        <v>2300</v>
      </c>
      <c r="J358" s="585" t="n">
        <v>18</v>
      </c>
      <c r="K358" s="585" t="n">
        <v>2</v>
      </c>
      <c r="L358" s="585">
        <f>IF(B358="TXO",I358-SUM(J358:K358),IF(B358="FITX",IF(D358="新倉",-SUM(J358:K358),IF(E358="賣",(H358-H357)*G358*200-SUM(J358:K358),(H357-H358)*G358*200-SUM(J358:K358))),IF(D358="新倉",-SUM(J358:K358),IF(E358="賣",(H358-H357)*G358*50-SUM(J358:K358),(H357-H358)*G358*50-SUM(J358:K358)))))</f>
        <v/>
      </c>
      <c r="M358" s="699">
        <f>L358</f>
        <v/>
      </c>
      <c r="N358" s="686">
        <f>IF(B358="TXO","",IF(D358="新倉","",IF(E358="賣",(H358-H357)*G358,(H357-H358)*G358)))</f>
        <v/>
      </c>
      <c r="O358" s="226">
        <f>ABS(I358)</f>
        <v/>
      </c>
      <c r="P358" s="667" t="n"/>
      <c r="S358" s="739" t="n"/>
      <c r="T358" s="61" t="n"/>
      <c r="U358" s="61" t="n"/>
      <c r="V358" s="61" t="n"/>
      <c r="W358" s="61" t="n"/>
    </row>
    <row r="359" hidden="1" outlineLevel="2" collapsed="1" ht="17.25" customHeight="1" thickBot="1">
      <c r="A359" s="696" t="n">
        <v>43287</v>
      </c>
      <c r="B359" s="234" t="inlineStr">
        <is>
          <t>FIMTX</t>
        </is>
      </c>
      <c r="C359" s="229" t="inlineStr">
        <is>
          <t>小指07</t>
        </is>
      </c>
      <c r="D359" s="229" t="inlineStr">
        <is>
          <t>新倉</t>
        </is>
      </c>
      <c r="E359" s="257" t="inlineStr">
        <is>
          <t>賣</t>
        </is>
      </c>
      <c r="F359" s="229" t="inlineStr">
        <is>
          <t>-</t>
        </is>
      </c>
      <c r="G359" s="697" t="n">
        <v>1</v>
      </c>
      <c r="H359" s="697" t="n">
        <v>10551</v>
      </c>
      <c r="I359" s="697" t="n">
        <v>0</v>
      </c>
      <c r="J359" s="585" t="n">
        <v>23</v>
      </c>
      <c r="K359" s="585" t="n">
        <v>11</v>
      </c>
      <c r="L359" s="585">
        <f>IF(B359="TXO",I359-SUM(J359:K359),IF(B359="FITX",IF(D359="新倉",-SUM(J359:K359),IF(E359="賣",(H359-H358)*G359*200-SUM(J359:K359),(H358-H359)*G359*200-SUM(J359:K359))),IF(D359="新倉",-SUM(J359:K359),IF(E359="賣",(H359-H358)*G359*50-SUM(J359:K359),(H358-H359)*G359*50-SUM(J359:K359)))))</f>
        <v/>
      </c>
      <c r="M359" s="699">
        <f>L359</f>
        <v/>
      </c>
      <c r="N359" s="686">
        <f>IF(B359="TXO","",IF(D359="新倉","",IF(E359="賣",(H359-H358)*G359,(H358-H359)*G359)))</f>
        <v/>
      </c>
      <c r="O359" s="226">
        <f>ABS(I359)</f>
        <v/>
      </c>
      <c r="P359" s="667" t="n"/>
      <c r="S359" s="739" t="n"/>
      <c r="T359" s="61" t="n"/>
      <c r="U359" s="61" t="n"/>
      <c r="V359" s="61" t="n"/>
      <c r="W359" s="61" t="n"/>
    </row>
    <row r="360" hidden="1" outlineLevel="2" ht="17.25" customHeight="1" thickBot="1">
      <c r="A360" s="696" t="n">
        <v>43287</v>
      </c>
      <c r="B360" s="234" t="inlineStr">
        <is>
          <t>FIMTX</t>
        </is>
      </c>
      <c r="C360" s="229" t="inlineStr">
        <is>
          <t>小指07</t>
        </is>
      </c>
      <c r="D360" s="229" t="inlineStr">
        <is>
          <t>平倉</t>
        </is>
      </c>
      <c r="E360" s="257" t="inlineStr">
        <is>
          <t>買</t>
        </is>
      </c>
      <c r="F360" s="229" t="inlineStr">
        <is>
          <t>-</t>
        </is>
      </c>
      <c r="G360" s="697" t="n">
        <v>1</v>
      </c>
      <c r="H360" s="697" t="n">
        <v>10557</v>
      </c>
      <c r="I360" s="697" t="n">
        <v>0</v>
      </c>
      <c r="J360" s="585" t="n">
        <v>23</v>
      </c>
      <c r="K360" s="585" t="n">
        <v>11</v>
      </c>
      <c r="L360" s="585">
        <f>IF(B360="TXO",I360-SUM(J360:K360),IF(B360="FITX",IF(D360="新倉",-SUM(J360:K360),IF(E360="賣",(H360-H359)*G360*200-SUM(J360:K360),(H359-H360)*G360*200-SUM(J360:K360))),IF(D360="新倉",-SUM(J360:K360),IF(E360="賣",(H360-H359)*G360*50-SUM(J360:K360),(H359-H360)*G360*50-SUM(J360:K360)))))</f>
        <v/>
      </c>
      <c r="M360" s="699">
        <f>L360</f>
        <v/>
      </c>
      <c r="N360" s="686">
        <f>IF(B360="TXO","",IF(D360="新倉","",IF(E360="賣",(H360-H359)*G360,(H359-H360)*G360)))</f>
        <v/>
      </c>
      <c r="O360" s="226">
        <f>ABS(I360)</f>
        <v/>
      </c>
      <c r="P360" s="667" t="n"/>
      <c r="S360" s="739" t="n"/>
      <c r="T360" s="61" t="n"/>
      <c r="U360" s="61" t="n"/>
      <c r="V360" s="61" t="n"/>
      <c r="W360" s="61" t="n"/>
    </row>
    <row r="361" hidden="1" outlineLevel="1" ht="17.25" customHeight="1" thickBot="1">
      <c r="A361" s="740" t="n">
        <v>43290</v>
      </c>
      <c r="B361" s="299" t="inlineStr">
        <is>
          <t>TXO</t>
        </is>
      </c>
      <c r="C361" s="300" t="inlineStr">
        <is>
          <t>TXOW2 07 10650 P</t>
        </is>
      </c>
      <c r="D361" s="300" t="inlineStr">
        <is>
          <t>新倉</t>
        </is>
      </c>
      <c r="E361" s="301" t="inlineStr">
        <is>
          <t>買</t>
        </is>
      </c>
      <c r="F361" s="300" t="inlineStr">
        <is>
          <t>-</t>
        </is>
      </c>
      <c r="G361" s="741" t="n">
        <v>1</v>
      </c>
      <c r="H361" s="741" t="n">
        <v>35</v>
      </c>
      <c r="I361" s="741" t="n">
        <v>-1750</v>
      </c>
      <c r="J361" s="742" t="n">
        <v>18</v>
      </c>
      <c r="K361" s="742" t="n">
        <v>2</v>
      </c>
      <c r="L361" s="742">
        <f>IF(B361="TXO",I361-SUM(J361:K361),IF(B361="FITX",IF(D361="新倉",-SUM(J361:K361),IF(E361="賣",(H361-H360)*G361*200-SUM(J361:K361),(H360-H361)*G361*200-SUM(J361:K361))),IF(D361="新倉",-SUM(J361:K361),IF(E361="賣",(H361-H360)*G361*50-SUM(J361:K361),(H360-H361)*G361*50-SUM(J361:K361)))))</f>
        <v/>
      </c>
      <c r="M361" s="743">
        <f>L361</f>
        <v/>
      </c>
      <c r="N361" s="686">
        <f>IF(B361="TXO","",IF(D361="新倉","",IF(E361="賣",(H361-H360)*G361,(H360-H361)*G361)))</f>
        <v/>
      </c>
      <c r="O361" s="226">
        <f>ABS(I361)</f>
        <v/>
      </c>
      <c r="P361" s="667">
        <f>SUM(L361:L367)</f>
        <v/>
      </c>
      <c r="S361" s="739" t="n"/>
      <c r="T361" s="61" t="n"/>
      <c r="U361" s="61" t="n"/>
      <c r="V361" s="61" t="n"/>
      <c r="W361" s="61" t="n"/>
    </row>
    <row r="362" hidden="1" outlineLevel="2" ht="17.25" customHeight="1" thickBot="1">
      <c r="A362" s="740" t="n">
        <v>43290</v>
      </c>
      <c r="B362" s="299" t="inlineStr">
        <is>
          <t>FIMTX</t>
        </is>
      </c>
      <c r="C362" s="300" t="inlineStr">
        <is>
          <t>小指07</t>
        </is>
      </c>
      <c r="D362" s="300" t="inlineStr">
        <is>
          <t>新倉</t>
        </is>
      </c>
      <c r="E362" s="301" t="inlineStr">
        <is>
          <t>賣</t>
        </is>
      </c>
      <c r="F362" s="300" t="inlineStr">
        <is>
          <t>-</t>
        </is>
      </c>
      <c r="G362" s="741" t="n">
        <v>1</v>
      </c>
      <c r="H362" s="741" t="n">
        <v>10646</v>
      </c>
      <c r="I362" s="741" t="n">
        <v>0</v>
      </c>
      <c r="J362" s="742" t="n">
        <v>23</v>
      </c>
      <c r="K362" s="742" t="n">
        <v>11</v>
      </c>
      <c r="L362" s="742">
        <f>IF(B362="TXO",I362-SUM(J362:K362),IF(B362="FITX",IF(D362="新倉",-SUM(J362:K362),IF(E362="賣",(H362-H361)*G362*200-SUM(J362:K362),(H361-H362)*G362*200-SUM(J362:K362))),IF(D362="新倉",-SUM(J362:K362),IF(E362="賣",(H362-H361)*G362*50-SUM(J362:K362),(H361-H362)*G362*50-SUM(J362:K362)))))</f>
        <v/>
      </c>
      <c r="M362" s="743">
        <f>L362</f>
        <v/>
      </c>
      <c r="N362" s="686">
        <f>IF(B362="TXO","",IF(D362="新倉","",IF(E362="賣",(H362-H361)*G362,(H361-H362)*G362)))</f>
        <v/>
      </c>
      <c r="O362" s="226">
        <f>ABS(I362)</f>
        <v/>
      </c>
      <c r="P362" s="667" t="n"/>
      <c r="S362" s="739" t="n"/>
      <c r="T362" s="61" t="n"/>
      <c r="U362" s="61" t="n"/>
      <c r="V362" s="61" t="n"/>
      <c r="W362" s="61" t="n"/>
    </row>
    <row r="363" hidden="1" outlineLevel="2" ht="17.25" customHeight="1" thickBot="1">
      <c r="A363" s="740" t="n">
        <v>43290</v>
      </c>
      <c r="B363" s="299" t="inlineStr">
        <is>
          <t>FIMTX</t>
        </is>
      </c>
      <c r="C363" s="300" t="inlineStr">
        <is>
          <t>小指07</t>
        </is>
      </c>
      <c r="D363" s="300" t="inlineStr">
        <is>
          <t>平倉</t>
        </is>
      </c>
      <c r="E363" s="301" t="inlineStr">
        <is>
          <t>買</t>
        </is>
      </c>
      <c r="F363" s="300" t="inlineStr">
        <is>
          <t>-</t>
        </is>
      </c>
      <c r="G363" s="741" t="n">
        <v>1</v>
      </c>
      <c r="H363" s="741" t="n">
        <v>10658</v>
      </c>
      <c r="I363" s="741" t="n">
        <v>0</v>
      </c>
      <c r="J363" s="742" t="n">
        <v>23</v>
      </c>
      <c r="K363" s="742" t="n">
        <v>11</v>
      </c>
      <c r="L363" s="742">
        <f>IF(B363="TXO",I363-SUM(J363:K363),IF(B363="FITX",IF(D363="新倉",-SUM(J363:K363),IF(E363="賣",(H363-H362)*G363*200-SUM(J363:K363),(H362-H363)*G363*200-SUM(J363:K363))),IF(D363="新倉",-SUM(J363:K363),IF(E363="賣",(H363-H362)*G363*50-SUM(J363:K363),(H362-H363)*G363*50-SUM(J363:K363)))))</f>
        <v/>
      </c>
      <c r="M363" s="743">
        <f>L363</f>
        <v/>
      </c>
      <c r="N363" s="686">
        <f>IF(B363="TXO","",IF(D363="新倉","",IF(E363="賣",(H363-H362)*G363,(H362-H363)*G363)))</f>
        <v/>
      </c>
      <c r="O363" s="226">
        <f>ABS(I363)</f>
        <v/>
      </c>
      <c r="P363" s="667" t="n"/>
      <c r="S363" s="739" t="n"/>
      <c r="T363" s="61" t="n"/>
      <c r="U363" s="61" t="n"/>
      <c r="V363" s="61" t="n"/>
      <c r="W363" s="61" t="n"/>
    </row>
    <row r="364" hidden="1" outlineLevel="2" ht="17.25" customHeight="1" thickBot="1">
      <c r="A364" s="740" t="n">
        <v>43290</v>
      </c>
      <c r="B364" s="299" t="inlineStr">
        <is>
          <t>FIMTX</t>
        </is>
      </c>
      <c r="C364" s="300" t="inlineStr">
        <is>
          <t>小指07</t>
        </is>
      </c>
      <c r="D364" s="300" t="inlineStr">
        <is>
          <t>新倉</t>
        </is>
      </c>
      <c r="E364" s="301" t="inlineStr">
        <is>
          <t>買</t>
        </is>
      </c>
      <c r="F364" s="300" t="inlineStr">
        <is>
          <t>-</t>
        </is>
      </c>
      <c r="G364" s="741" t="n">
        <v>1</v>
      </c>
      <c r="H364" s="741" t="n">
        <v>10656</v>
      </c>
      <c r="I364" s="741" t="n">
        <v>0</v>
      </c>
      <c r="J364" s="742" t="n">
        <v>23</v>
      </c>
      <c r="K364" s="742" t="n">
        <v>11</v>
      </c>
      <c r="L364" s="742">
        <f>IF(B364="TXO",I364-SUM(J364:K364),IF(B364="FITX",IF(D364="新倉",-SUM(J364:K364),IF(E364="賣",(H364-H363)*G364*200-SUM(J364:K364),(H363-H364)*G364*200-SUM(J364:K364))),IF(D364="新倉",-SUM(J364:K364),IF(E364="賣",(H364-H363)*G364*50-SUM(J364:K364),(H363-H364)*G364*50-SUM(J364:K364)))))</f>
        <v/>
      </c>
      <c r="M364" s="743">
        <f>L364</f>
        <v/>
      </c>
      <c r="N364" s="686">
        <f>IF(B364="TXO","",IF(D364="新倉","",IF(E364="賣",(H364-H363)*G364,(H363-H364)*G364)))</f>
        <v/>
      </c>
      <c r="O364" s="226">
        <f>ABS(I364)</f>
        <v/>
      </c>
      <c r="P364" s="667" t="n"/>
      <c r="S364" s="739" t="n"/>
      <c r="T364" s="61" t="n"/>
      <c r="U364" s="61" t="n"/>
      <c r="V364" s="61" t="n"/>
      <c r="W364" s="61" t="n"/>
    </row>
    <row r="365" hidden="1" outlineLevel="2" ht="17.25" customHeight="1" thickBot="1">
      <c r="A365" s="740" t="n">
        <v>43290</v>
      </c>
      <c r="B365" s="299" t="inlineStr">
        <is>
          <t>FIMTX</t>
        </is>
      </c>
      <c r="C365" s="300" t="inlineStr">
        <is>
          <t>小指07</t>
        </is>
      </c>
      <c r="D365" s="300" t="inlineStr">
        <is>
          <t>平倉</t>
        </is>
      </c>
      <c r="E365" s="301" t="inlineStr">
        <is>
          <t>賣</t>
        </is>
      </c>
      <c r="F365" s="300" t="inlineStr">
        <is>
          <t>-</t>
        </is>
      </c>
      <c r="G365" s="741" t="n">
        <v>1</v>
      </c>
      <c r="H365" s="741" t="n">
        <v>10653</v>
      </c>
      <c r="I365" s="741" t="n">
        <v>0</v>
      </c>
      <c r="J365" s="742" t="n">
        <v>23</v>
      </c>
      <c r="K365" s="742" t="n">
        <v>11</v>
      </c>
      <c r="L365" s="742">
        <f>IF(B365="TXO",I365-SUM(J365:K365),IF(B365="FITX",IF(D365="新倉",-SUM(J365:K365),IF(E365="賣",(H365-H364)*G365*200-SUM(J365:K365),(H364-H365)*G365*200-SUM(J365:K365))),IF(D365="新倉",-SUM(J365:K365),IF(E365="賣",(H365-H364)*G365*50-SUM(J365:K365),(H364-H365)*G365*50-SUM(J365:K365)))))</f>
        <v/>
      </c>
      <c r="M365" s="743">
        <f>L365</f>
        <v/>
      </c>
      <c r="N365" s="686">
        <f>IF(B365="TXO","",IF(D365="新倉","",IF(E365="賣",(H365-H364)*G365,(H364-H365)*G365)))</f>
        <v/>
      </c>
      <c r="O365" s="226">
        <f>ABS(I365)</f>
        <v/>
      </c>
      <c r="P365" s="667" t="n"/>
      <c r="S365" s="739" t="n"/>
      <c r="T365" s="61" t="n"/>
      <c r="U365" s="61" t="n"/>
      <c r="V365" s="61" t="n"/>
      <c r="W365" s="61" t="n"/>
    </row>
    <row r="366" hidden="1" outlineLevel="2" ht="17.25" customHeight="1" thickBot="1">
      <c r="A366" s="740" t="n">
        <v>43290</v>
      </c>
      <c r="B366" s="299" t="inlineStr">
        <is>
          <t>TXO</t>
        </is>
      </c>
      <c r="C366" s="300" t="inlineStr">
        <is>
          <t>TXOW2 07 10650 P</t>
        </is>
      </c>
      <c r="D366" s="300" t="inlineStr">
        <is>
          <t>新倉</t>
        </is>
      </c>
      <c r="E366" s="301" t="inlineStr">
        <is>
          <t>買</t>
        </is>
      </c>
      <c r="F366" s="300" t="inlineStr">
        <is>
          <t>-</t>
        </is>
      </c>
      <c r="G366" s="741" t="n">
        <v>1</v>
      </c>
      <c r="H366" s="741" t="n">
        <v>40</v>
      </c>
      <c r="I366" s="741" t="n">
        <v>-2000</v>
      </c>
      <c r="J366" s="742" t="n">
        <v>18</v>
      </c>
      <c r="K366" s="742" t="n">
        <v>2</v>
      </c>
      <c r="L366" s="742">
        <f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/>
      </c>
      <c r="M366" s="743">
        <f>L366</f>
        <v/>
      </c>
      <c r="N366" s="686">
        <f>IF(B366="TXO","",IF(D366="新倉","",IF(E366="賣",(H366-H365)*G366,(H365-H366)*G366)))</f>
        <v/>
      </c>
      <c r="O366" s="226">
        <f>ABS(I366)</f>
        <v/>
      </c>
      <c r="P366" s="667" t="n"/>
      <c r="S366" s="739" t="n"/>
      <c r="T366" s="61" t="n"/>
      <c r="U366" s="61" t="n"/>
      <c r="V366" s="61" t="n"/>
      <c r="W366" s="61" t="n"/>
    </row>
    <row r="367" hidden="1" outlineLevel="2" ht="17.25" customHeight="1" thickBot="1">
      <c r="A367" s="740" t="n">
        <v>43290</v>
      </c>
      <c r="B367" s="299" t="inlineStr">
        <is>
          <t>TXO</t>
        </is>
      </c>
      <c r="C367" s="300" t="inlineStr">
        <is>
          <t>TXOW2 07 10600 P</t>
        </is>
      </c>
      <c r="D367" s="300" t="inlineStr">
        <is>
          <t>新倉</t>
        </is>
      </c>
      <c r="E367" s="301" t="inlineStr">
        <is>
          <t>買</t>
        </is>
      </c>
      <c r="F367" s="300" t="inlineStr">
        <is>
          <t>-</t>
        </is>
      </c>
      <c r="G367" s="741" t="n">
        <v>1</v>
      </c>
      <c r="H367" s="741" t="n">
        <v>45</v>
      </c>
      <c r="I367" s="741" t="n">
        <v>-2250</v>
      </c>
      <c r="J367" s="742" t="n">
        <v>18</v>
      </c>
      <c r="K367" s="742" t="n">
        <v>2</v>
      </c>
      <c r="L367" s="742">
        <f>IF(B367="TXO",I367-SUM(J367:K367),IF(B367="FITX",IF(D367="新倉",-SUM(J367:K367),IF(E367="賣",(H367-H366)*G367*200-SUM(J367:K367),(H366-H367)*G367*200-SUM(J367:K367))),IF(D367="新倉",-SUM(J367:K367),IF(E367="賣",(H367-H366)*G367*50-SUM(J367:K367),(H366-H367)*G367*50-SUM(J367:K367)))))</f>
        <v/>
      </c>
      <c r="M367" s="743">
        <f>L367</f>
        <v/>
      </c>
      <c r="N367" s="686">
        <f>IF(B367="TXO","",IF(D367="新倉","",IF(E367="賣",(H367-H366)*G367,(H366-H367)*G367)))</f>
        <v/>
      </c>
      <c r="O367" s="226">
        <f>ABS(I367)</f>
        <v/>
      </c>
      <c r="P367" s="667" t="n"/>
      <c r="S367" s="739" t="n"/>
      <c r="T367" s="61" t="n"/>
      <c r="U367" s="61" t="n"/>
      <c r="V367" s="61" t="n"/>
      <c r="W367" s="61" t="n"/>
    </row>
    <row r="368" hidden="1" outlineLevel="1" ht="17.25" customHeight="1" thickBot="1">
      <c r="A368" s="696" t="n">
        <v>43294</v>
      </c>
      <c r="B368" s="234" t="inlineStr">
        <is>
          <t>TXO</t>
        </is>
      </c>
      <c r="C368" s="229" t="inlineStr">
        <is>
          <t>台指選 07 10950 C</t>
        </is>
      </c>
      <c r="D368" s="229" t="inlineStr">
        <is>
          <t>新倉</t>
        </is>
      </c>
      <c r="E368" s="257" t="inlineStr">
        <is>
          <t>買</t>
        </is>
      </c>
      <c r="F368" s="229" t="inlineStr">
        <is>
          <t>-</t>
        </is>
      </c>
      <c r="G368" s="697" t="n">
        <v>1</v>
      </c>
      <c r="H368" s="697" t="n">
        <v>12</v>
      </c>
      <c r="I368" s="697" t="n">
        <v>-600</v>
      </c>
      <c r="J368" s="585" t="n">
        <v>18</v>
      </c>
      <c r="K368" s="585" t="n">
        <v>1</v>
      </c>
      <c r="L368" s="585">
        <f>IF(B368="TXO",I368-SUM(J368:K368),IF(B368="FITX",IF(D368="新倉",-SUM(J368:K368),IF(E368="賣",(H368-H367)*G368*200-SUM(J368:K368),(H367-H368)*G368*200-SUM(J368:K368))),IF(D368="新倉",-SUM(J368:K368),IF(E368="賣",(H368-H367)*G368*50-SUM(J368:K368),(H367-H368)*G368*50-SUM(J368:K368)))))</f>
        <v/>
      </c>
      <c r="M368" s="699">
        <f>L368</f>
        <v/>
      </c>
      <c r="N368" s="686">
        <f>IF(B368="TXO","",IF(D368="新倉","",IF(E368="賣",(H368-H367)*G368,(H367-H368)*G368)))</f>
        <v/>
      </c>
      <c r="O368" s="226">
        <f>ABS(I368)</f>
        <v/>
      </c>
      <c r="P368" s="667">
        <f>SUM(L368:L371)</f>
        <v/>
      </c>
      <c r="S368" s="739" t="n"/>
      <c r="T368" s="61" t="n"/>
      <c r="U368" s="61" t="n"/>
      <c r="V368" s="61" t="n"/>
      <c r="W368" s="61" t="n"/>
    </row>
    <row r="369" hidden="1" outlineLevel="2" collapsed="1" ht="17.25" customHeight="1" thickBot="1">
      <c r="A369" s="696" t="n">
        <v>43294</v>
      </c>
      <c r="B369" s="234" t="inlineStr">
        <is>
          <t>TXO</t>
        </is>
      </c>
      <c r="C369" s="229" t="inlineStr">
        <is>
          <t>台指選 07 10900 C</t>
        </is>
      </c>
      <c r="D369" s="229" t="inlineStr">
        <is>
          <t>新倉</t>
        </is>
      </c>
      <c r="E369" s="257" t="inlineStr">
        <is>
          <t>買</t>
        </is>
      </c>
      <c r="F369" s="229" t="inlineStr">
        <is>
          <t>-</t>
        </is>
      </c>
      <c r="G369" s="697" t="n">
        <v>1</v>
      </c>
      <c r="H369" s="697" t="n">
        <v>24.5</v>
      </c>
      <c r="I369" s="697" t="n">
        <v>-1225</v>
      </c>
      <c r="J369" s="585" t="n">
        <v>18</v>
      </c>
      <c r="K369" s="585" t="n">
        <v>1</v>
      </c>
      <c r="L369" s="585">
        <f>IF(B369="TXO",I369-SUM(J369:K369),IF(B369="FITX",IF(D369="新倉",-SUM(J369:K369),IF(E369="賣",(H369-H368)*G369*200-SUM(J369:K369),(H368-H369)*G369*200-SUM(J369:K369))),IF(D369="新倉",-SUM(J369:K369),IF(E369="賣",(H369-H368)*G369*50-SUM(J369:K369),(H368-H369)*G369*50-SUM(J369:K369)))))</f>
        <v/>
      </c>
      <c r="M369" s="699">
        <f>L369</f>
        <v/>
      </c>
      <c r="N369" s="686">
        <f>IF(B369="TXO","",IF(D369="新倉","",IF(E369="賣",(H369-H368)*G369,(H368-H369)*G369)))</f>
        <v/>
      </c>
      <c r="O369" s="226">
        <f>ABS(I369)</f>
        <v/>
      </c>
      <c r="P369" s="667" t="n"/>
      <c r="S369" s="739" t="n"/>
      <c r="T369" s="61" t="n"/>
      <c r="U369" s="61" t="n"/>
      <c r="V369" s="61" t="n"/>
      <c r="W369" s="61" t="n"/>
    </row>
    <row r="370" hidden="1" outlineLevel="2" collapsed="1" ht="17.25" customHeight="1" thickBot="1">
      <c r="A370" s="696" t="n">
        <v>43294</v>
      </c>
      <c r="B370" s="234" t="inlineStr">
        <is>
          <t>FIMTX</t>
        </is>
      </c>
      <c r="C370" s="229" t="inlineStr">
        <is>
          <t>小指07</t>
        </is>
      </c>
      <c r="D370" s="229" t="inlineStr">
        <is>
          <t>新倉</t>
        </is>
      </c>
      <c r="E370" s="257" t="inlineStr">
        <is>
          <t>買</t>
        </is>
      </c>
      <c r="F370" s="229" t="inlineStr">
        <is>
          <t>-</t>
        </is>
      </c>
      <c r="G370" s="697" t="n">
        <v>1</v>
      </c>
      <c r="H370" s="697" t="n">
        <v>10843</v>
      </c>
      <c r="I370" s="697" t="n">
        <v>0</v>
      </c>
      <c r="J370" s="585" t="n">
        <v>23</v>
      </c>
      <c r="K370" s="585" t="n">
        <v>11</v>
      </c>
      <c r="L370" s="585">
        <f>IF(B370="TXO",I370-SUM(J370:K370),IF(B370="FITX",IF(D370="新倉",-SUM(J370:K370),IF(E370="賣",(H370-H369)*G370*200-SUM(J370:K370),(H369-H370)*G370*200-SUM(J370:K370))),IF(D370="新倉",-SUM(J370:K370),IF(E370="賣",(H370-H369)*G370*50-SUM(J370:K370),(H369-H370)*G370*50-SUM(J370:K370)))))</f>
        <v/>
      </c>
      <c r="M370" s="699">
        <f>L370</f>
        <v/>
      </c>
      <c r="N370" s="686">
        <f>IF(B370="TXO","",IF(D370="新倉","",IF(E370="賣",(H370-H369)*G370,(H369-H370)*G370)))</f>
        <v/>
      </c>
      <c r="O370" s="226">
        <f>ABS(I370)</f>
        <v/>
      </c>
      <c r="P370" s="667" t="n"/>
      <c r="S370" s="739" t="n"/>
      <c r="T370" s="61" t="n"/>
      <c r="U370" s="61" t="n"/>
      <c r="V370" s="61" t="n"/>
      <c r="W370" s="61" t="n"/>
    </row>
    <row r="371" hidden="1" outlineLevel="2" collapsed="1" ht="17.25" customHeight="1" thickBot="1">
      <c r="A371" s="696" t="n">
        <v>43294</v>
      </c>
      <c r="B371" s="234" t="inlineStr">
        <is>
          <t>FIMTX</t>
        </is>
      </c>
      <c r="C371" s="229" t="inlineStr">
        <is>
          <t>小指07</t>
        </is>
      </c>
      <c r="D371" s="229" t="inlineStr">
        <is>
          <t>平倉</t>
        </is>
      </c>
      <c r="E371" s="257" t="inlineStr">
        <is>
          <t>賣</t>
        </is>
      </c>
      <c r="F371" s="229" t="inlineStr">
        <is>
          <t>-</t>
        </is>
      </c>
      <c r="G371" s="697" t="n">
        <v>1</v>
      </c>
      <c r="H371" s="697" t="n">
        <v>10839</v>
      </c>
      <c r="I371" s="697" t="n">
        <v>0</v>
      </c>
      <c r="J371" s="585" t="n">
        <v>23</v>
      </c>
      <c r="K371" s="585" t="n">
        <v>11</v>
      </c>
      <c r="L371" s="585">
        <f>IF(B371="TXO",I371-SUM(J371:K371),IF(B371="FITX",IF(D371="新倉",-SUM(J371:K371),IF(E371="賣",(H371-H370)*G371*200-SUM(J371:K371),(H370-H371)*G371*200-SUM(J371:K371))),IF(D371="新倉",-SUM(J371:K371),IF(E371="賣",(H371-H370)*G371*50-SUM(J371:K371),(H370-H371)*G371*50-SUM(J371:K371)))))</f>
        <v/>
      </c>
      <c r="M371" s="699">
        <f>L371</f>
        <v/>
      </c>
      <c r="N371" s="686">
        <f>IF(B371="TXO","",IF(D371="新倉","",IF(E371="賣",(H371-H370)*G371,(H370-H371)*G371)))</f>
        <v/>
      </c>
      <c r="O371" s="226">
        <f>ABS(I371)</f>
        <v/>
      </c>
      <c r="P371" s="667" t="n"/>
      <c r="S371" s="739" t="n"/>
      <c r="T371" s="61" t="n"/>
      <c r="U371" s="61" t="n"/>
      <c r="V371" s="61" t="n"/>
      <c r="W371" s="61" t="n"/>
    </row>
    <row r="372" ht="17.25" customHeight="1" thickBot="1">
      <c r="A372" s="273" t="inlineStr">
        <is>
          <t>7月總計</t>
        </is>
      </c>
      <c r="B372" s="274" t="n"/>
      <c r="C372" s="274" t="n"/>
      <c r="D372" s="274" t="n"/>
      <c r="E372" s="274" t="n"/>
      <c r="F372" s="274" t="n"/>
      <c r="G372" s="715" t="n"/>
      <c r="H372" s="715" t="n"/>
      <c r="I372" s="715" t="n"/>
      <c r="J372" s="716" t="n"/>
      <c r="K372" s="715" t="n"/>
      <c r="L372" s="717">
        <f>SUM(L340:L371)</f>
        <v/>
      </c>
      <c r="M372" s="751">
        <f>SUM(M340:M371)</f>
        <v/>
      </c>
      <c r="N372" s="666" t="n"/>
      <c r="P372" s="744" t="n"/>
      <c r="S372" s="739" t="n"/>
      <c r="T372" s="61" t="n"/>
      <c r="U372" s="61" t="n"/>
      <c r="V372" s="61" t="n"/>
      <c r="W372" s="61" t="n"/>
    </row>
    <row r="373" ht="17.25" customHeight="1" thickBot="1">
      <c r="A373" s="718" t="n">
        <v>43322</v>
      </c>
      <c r="B373" s="292" t="n"/>
      <c r="C373" s="292" t="inlineStr">
        <is>
          <t>富邦個人信貸</t>
        </is>
      </c>
      <c r="D373" s="292" t="n"/>
      <c r="E373" s="292" t="n"/>
      <c r="F373" s="292" t="n"/>
      <c r="G373" s="719" t="n"/>
      <c r="H373" s="719" t="n"/>
      <c r="I373" s="719" t="n"/>
      <c r="J373" s="720" t="n"/>
      <c r="K373" s="719" t="n"/>
      <c r="L373" s="720" t="n"/>
      <c r="M373" s="721" t="n">
        <v>-1119</v>
      </c>
      <c r="N373" s="666" t="n"/>
      <c r="P373" s="722" t="n"/>
      <c r="Q373" s="249" t="inlineStr">
        <is>
          <t>利息</t>
        </is>
      </c>
      <c r="S373" s="739" t="n"/>
      <c r="T373" s="61" t="n"/>
      <c r="U373" s="61" t="n"/>
      <c r="V373" s="61" t="n"/>
      <c r="W373" s="61" t="n"/>
    </row>
    <row r="374" ht="17.25" customHeight="1" thickBot="1">
      <c r="A374" s="718" t="n">
        <v>43326</v>
      </c>
      <c r="B374" s="292" t="n"/>
      <c r="C374" s="292" t="inlineStr">
        <is>
          <t>XQ 學院版</t>
        </is>
      </c>
      <c r="D374" s="292" t="n"/>
      <c r="E374" s="292" t="n"/>
      <c r="F374" s="292" t="n"/>
      <c r="G374" s="719" t="n"/>
      <c r="H374" s="719" t="n"/>
      <c r="I374" s="719" t="n"/>
      <c r="J374" s="720" t="n"/>
      <c r="K374" s="719" t="n"/>
      <c r="L374" s="720" t="n"/>
      <c r="M374" s="721">
        <f>-4457*0.965</f>
        <v/>
      </c>
      <c r="N374" s="666" t="n"/>
      <c r="P374" s="722" t="n"/>
      <c r="Q374" s="249" t="inlineStr">
        <is>
          <t>49888分12期, 每期4457</t>
        </is>
      </c>
      <c r="S374" s="739" t="n"/>
      <c r="T374" s="61" t="n"/>
      <c r="U374" s="61" t="n"/>
      <c r="V374" s="61" t="n"/>
      <c r="W374" s="61" t="n"/>
    </row>
    <row r="375" ht="17.25" customHeight="1" thickBot="1">
      <c r="A375" s="718" t="n">
        <v>43331</v>
      </c>
      <c r="B375" s="292" t="n"/>
      <c r="C375" s="292" t="inlineStr">
        <is>
          <t>阿水制霸班</t>
        </is>
      </c>
      <c r="D375" s="292" t="n"/>
      <c r="E375" s="292" t="n"/>
      <c r="F375" s="292" t="n"/>
      <c r="G375" s="719" t="n"/>
      <c r="H375" s="719" t="n"/>
      <c r="I375" s="719" t="n"/>
      <c r="J375" s="720" t="n"/>
      <c r="K375" s="719" t="n"/>
      <c r="L375" s="720" t="n"/>
      <c r="M375" s="721" t="n">
        <v>-4490</v>
      </c>
      <c r="N375" s="666" t="n"/>
      <c r="P375" s="722" t="n"/>
      <c r="Q375" s="249" t="inlineStr">
        <is>
          <t>53888分12期, 每期4490, 12-09</t>
        </is>
      </c>
      <c r="S375" s="739" t="n"/>
      <c r="T375" s="61" t="n"/>
      <c r="U375" s="61" t="n"/>
      <c r="V375" s="61" t="n"/>
      <c r="W375" s="61" t="n"/>
    </row>
    <row r="376" collapsed="1" ht="17.25" customHeight="1" thickBot="1">
      <c r="A376" s="718" t="n">
        <v>43340</v>
      </c>
      <c r="B376" s="292" t="n"/>
      <c r="C376" s="292" t="inlineStr">
        <is>
          <t>阿水財經四班</t>
        </is>
      </c>
      <c r="D376" s="292" t="n"/>
      <c r="E376" s="292" t="n"/>
      <c r="F376" s="292" t="n"/>
      <c r="G376" s="719" t="n"/>
      <c r="H376" s="719" t="n"/>
      <c r="I376" s="719" t="n"/>
      <c r="J376" s="720" t="n"/>
      <c r="K376" s="719" t="n"/>
      <c r="L376" s="720" t="n"/>
      <c r="M376" s="721">
        <f>-5000*0.965</f>
        <v/>
      </c>
      <c r="N376" s="666" t="n"/>
      <c r="P376" s="722" t="n"/>
      <c r="Q376" s="249" t="inlineStr">
        <is>
          <t>60000分12期, 每期5000</t>
        </is>
      </c>
      <c r="S376" s="739" t="n"/>
      <c r="T376" s="61">
        <f>IF(AND(R376="Yes",S376&lt;&gt;"Yes",L376&gt;0,B376&lt;&gt;"TXO"),L376,"")</f>
        <v/>
      </c>
      <c r="U376" s="61">
        <f>IF(AND(R376="Yes",S376&lt;&gt;"Yes",L376&lt;0,B376&lt;&gt;"TXO"),L376,"")</f>
        <v/>
      </c>
      <c r="V376" s="61">
        <f>IF(AND(R376="",S376&lt;&gt;"Yes",L376&gt;0,B376&lt;&gt;"TXO"),L376,"")</f>
        <v/>
      </c>
      <c r="W376" s="61">
        <f>IF(AND(R376="",S376&lt;&gt;"Yes",L376&lt;0,B376&lt;&gt;"TXO"),L376,"")</f>
        <v/>
      </c>
      <c r="X376" s="226">
        <f>IF(AND(R376="Yes",S376="Yes",L376&gt;0,B376&lt;&gt;"TXO"),L376,"")</f>
        <v/>
      </c>
      <c r="Y376" s="226">
        <f>IF(AND(R376="Yes",S376="Yes",L376&lt;0,B376&lt;&gt;"TXO"),L376,"")</f>
        <v/>
      </c>
      <c r="Z376" s="226">
        <f>IF(AND(R376="",S376="Yes",L376&gt;0,B376&lt;&gt;"TXO"),L376,"")</f>
        <v/>
      </c>
      <c r="AA376" s="226">
        <f>IF(AND(R376="",S376="Yes",L376&lt;0,B376&lt;&gt;"TXO"),L376,"")</f>
        <v/>
      </c>
    </row>
    <row r="377" hidden="1" outlineLevel="1" ht="17.25" customHeight="1" thickBot="1">
      <c r="A377" s="696" t="n">
        <v>43318</v>
      </c>
      <c r="B377" s="234" t="inlineStr">
        <is>
          <t>FIMTX</t>
        </is>
      </c>
      <c r="C377" s="229" t="inlineStr">
        <is>
          <t>小指08</t>
        </is>
      </c>
      <c r="D377" s="229" t="inlineStr">
        <is>
          <t>新倉</t>
        </is>
      </c>
      <c r="E377" s="257" t="inlineStr">
        <is>
          <t>買</t>
        </is>
      </c>
      <c r="F377" s="229" t="inlineStr">
        <is>
          <t>-</t>
        </is>
      </c>
      <c r="G377" s="697" t="n">
        <v>1</v>
      </c>
      <c r="H377" s="697" t="n">
        <v>10989</v>
      </c>
      <c r="I377" s="697" t="n">
        <v>0</v>
      </c>
      <c r="J377" s="585" t="n">
        <v>23</v>
      </c>
      <c r="K377" s="585" t="n">
        <v>11</v>
      </c>
      <c r="L377" s="585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/>
      </c>
      <c r="M377" s="699">
        <f>L377</f>
        <v/>
      </c>
      <c r="N377" s="686">
        <f>IF(B377="TXO","",IF(D377="新倉","",IF(E377="賣",(H377-#REF!)*G377,(#REF!-H377)*G377)))</f>
        <v/>
      </c>
      <c r="O377" s="226">
        <f>ABS(I377)</f>
        <v/>
      </c>
      <c r="P377" s="667">
        <f>SUM(L377:L390)</f>
        <v/>
      </c>
      <c r="S377" s="739" t="n"/>
      <c r="T377" s="61" t="n"/>
      <c r="U377" s="61" t="n"/>
      <c r="V377" s="61" t="n"/>
      <c r="W377" s="61" t="n"/>
    </row>
    <row r="378" hidden="1" outlineLevel="2" ht="17.25" customHeight="1" thickBot="1">
      <c r="A378" s="696" t="n">
        <v>43318</v>
      </c>
      <c r="B378" s="234" t="inlineStr">
        <is>
          <t>FIMTX</t>
        </is>
      </c>
      <c r="C378" s="229" t="inlineStr">
        <is>
          <t>小指08</t>
        </is>
      </c>
      <c r="D378" s="229" t="inlineStr">
        <is>
          <t>平倉</t>
        </is>
      </c>
      <c r="E378" s="257" t="inlineStr">
        <is>
          <t>賣</t>
        </is>
      </c>
      <c r="F378" s="229" t="inlineStr">
        <is>
          <t>-</t>
        </is>
      </c>
      <c r="G378" s="697" t="n">
        <v>1</v>
      </c>
      <c r="H378" s="697" t="n">
        <v>10998</v>
      </c>
      <c r="I378" s="697" t="n">
        <v>0</v>
      </c>
      <c r="J378" s="585" t="n">
        <v>23</v>
      </c>
      <c r="K378" s="585" t="n">
        <v>11</v>
      </c>
      <c r="L378" s="585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/>
      </c>
      <c r="M378" s="699">
        <f>L378</f>
        <v/>
      </c>
      <c r="N378" s="686">
        <f>IF(B378="TXO","",IF(D378="新倉","",IF(E378="賣",(H378-H377)*G378,(H377-H378)*G378)))</f>
        <v/>
      </c>
      <c r="O378" s="226">
        <f>ABS(I378)</f>
        <v/>
      </c>
      <c r="P378" s="667" t="n"/>
      <c r="S378" s="739" t="n"/>
      <c r="T378" s="61" t="n"/>
      <c r="U378" s="61" t="n"/>
      <c r="V378" s="61" t="n"/>
      <c r="W378" s="61" t="n"/>
    </row>
    <row r="379" hidden="1" outlineLevel="2" ht="17.25" customHeight="1" thickBot="1">
      <c r="A379" s="696" t="n">
        <v>43318</v>
      </c>
      <c r="B379" s="234" t="inlineStr">
        <is>
          <t>FIMTX</t>
        </is>
      </c>
      <c r="C379" s="229" t="inlineStr">
        <is>
          <t>小指08</t>
        </is>
      </c>
      <c r="D379" s="229" t="inlineStr">
        <is>
          <t>新倉</t>
        </is>
      </c>
      <c r="E379" s="257" t="inlineStr">
        <is>
          <t>買</t>
        </is>
      </c>
      <c r="F379" s="229" t="inlineStr">
        <is>
          <t>-</t>
        </is>
      </c>
      <c r="G379" s="697" t="n">
        <v>1</v>
      </c>
      <c r="H379" s="697" t="n">
        <v>10988</v>
      </c>
      <c r="I379" s="697" t="n">
        <v>0</v>
      </c>
      <c r="J379" s="585" t="n">
        <v>23</v>
      </c>
      <c r="K379" s="585" t="n">
        <v>11</v>
      </c>
      <c r="L379" s="585">
        <f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/>
      </c>
      <c r="M379" s="699">
        <f>L379</f>
        <v/>
      </c>
      <c r="N379" s="686">
        <f>IF(B379="TXO","",IF(D379="新倉","",IF(E379="賣",(H379-H378)*G379,(H378-H379)*G379)))</f>
        <v/>
      </c>
      <c r="O379" s="226">
        <f>ABS(I379)</f>
        <v/>
      </c>
      <c r="P379" s="667" t="n"/>
      <c r="S379" s="739" t="n"/>
      <c r="T379" s="61" t="n"/>
      <c r="U379" s="61" t="n"/>
      <c r="V379" s="61" t="n"/>
      <c r="W379" s="61" t="n"/>
    </row>
    <row r="380" hidden="1" outlineLevel="2" ht="17.25" customHeight="1" thickBot="1">
      <c r="A380" s="696" t="n">
        <v>43318</v>
      </c>
      <c r="B380" s="234" t="inlineStr">
        <is>
          <t>FIMTX</t>
        </is>
      </c>
      <c r="C380" s="229" t="inlineStr">
        <is>
          <t>小指08</t>
        </is>
      </c>
      <c r="D380" s="229" t="inlineStr">
        <is>
          <t>平倉</t>
        </is>
      </c>
      <c r="E380" s="257" t="inlineStr">
        <is>
          <t>賣</t>
        </is>
      </c>
      <c r="F380" s="229" t="inlineStr">
        <is>
          <t>-</t>
        </is>
      </c>
      <c r="G380" s="697" t="n">
        <v>1</v>
      </c>
      <c r="H380" s="697" t="n">
        <v>10998</v>
      </c>
      <c r="I380" s="697" t="n">
        <v>0</v>
      </c>
      <c r="J380" s="585" t="n">
        <v>23</v>
      </c>
      <c r="K380" s="585" t="n">
        <v>11</v>
      </c>
      <c r="L380" s="585">
        <f>IF(B380="TXO",I380-SUM(J380:K380),IF(B380="FITX",IF(D380="新倉",-SUM(J380:K380),IF(E380="賣",(H380-H379)*G380*200-SUM(J380:K380),(H379-H380)*G380*200-SUM(J380:K380))),IF(D380="新倉",-SUM(J380:K380),IF(E380="賣",(H380-H379)*G380*50-SUM(J380:K380),(H379-H380)*G380*50-SUM(J380:K380)))))</f>
        <v/>
      </c>
      <c r="M380" s="699">
        <f>L380</f>
        <v/>
      </c>
      <c r="N380" s="686">
        <f>IF(B380="TXO","",IF(D380="新倉","",IF(E380="賣",(H380-H379)*G380,(H379-H380)*G380)))</f>
        <v/>
      </c>
      <c r="O380" s="226">
        <f>ABS(I380)</f>
        <v/>
      </c>
      <c r="P380" s="667" t="n"/>
      <c r="S380" s="739" t="n"/>
      <c r="T380" s="61" t="n"/>
      <c r="U380" s="61" t="n"/>
      <c r="V380" s="61" t="n"/>
      <c r="W380" s="61" t="n"/>
    </row>
    <row r="381" hidden="1" outlineLevel="2" ht="17.25" customHeight="1" thickBot="1">
      <c r="A381" s="696" t="n">
        <v>43318</v>
      </c>
      <c r="B381" s="234" t="inlineStr">
        <is>
          <t>FIMTX</t>
        </is>
      </c>
      <c r="C381" s="229" t="inlineStr">
        <is>
          <t>小指08</t>
        </is>
      </c>
      <c r="D381" s="229" t="inlineStr">
        <is>
          <t>新倉</t>
        </is>
      </c>
      <c r="E381" s="257" t="inlineStr">
        <is>
          <t>買</t>
        </is>
      </c>
      <c r="F381" s="229" t="inlineStr">
        <is>
          <t>-</t>
        </is>
      </c>
      <c r="G381" s="697" t="n">
        <v>1</v>
      </c>
      <c r="H381" s="697" t="n">
        <v>10987</v>
      </c>
      <c r="I381" s="697" t="n">
        <v>0</v>
      </c>
      <c r="J381" s="585" t="n">
        <v>23</v>
      </c>
      <c r="K381" s="585" t="n">
        <v>11</v>
      </c>
      <c r="L381" s="585">
        <f>IF(B381="TXO",I381-SUM(J381:K381),IF(B381="FITX",IF(D381="新倉",-SUM(J381:K381),IF(E381="賣",(H381-H380)*G381*200-SUM(J381:K381),(H380-H381)*G381*200-SUM(J381:K381))),IF(D381="新倉",-SUM(J381:K381),IF(E381="賣",(H381-H380)*G381*50-SUM(J381:K381),(H380-H381)*G381*50-SUM(J381:K381)))))</f>
        <v/>
      </c>
      <c r="M381" s="699">
        <f>L381</f>
        <v/>
      </c>
      <c r="N381" s="686">
        <f>IF(B381="TXO","",IF(D381="新倉","",IF(E381="賣",(H381-H380)*G381,(H380-H381)*G381)))</f>
        <v/>
      </c>
      <c r="O381" s="226">
        <f>ABS(I381)</f>
        <v/>
      </c>
      <c r="P381" s="667" t="n"/>
      <c r="S381" s="739" t="n"/>
      <c r="T381" s="61" t="n"/>
      <c r="U381" s="61" t="n"/>
      <c r="V381" s="61" t="n"/>
      <c r="W381" s="61" t="n"/>
    </row>
    <row r="382" hidden="1" outlineLevel="2" ht="17.25" customHeight="1" thickBot="1">
      <c r="A382" s="696" t="n">
        <v>43318</v>
      </c>
      <c r="B382" s="234" t="inlineStr">
        <is>
          <t>FIMTX</t>
        </is>
      </c>
      <c r="C382" s="229" t="inlineStr">
        <is>
          <t>小指08</t>
        </is>
      </c>
      <c r="D382" s="229" t="inlineStr">
        <is>
          <t>平倉</t>
        </is>
      </c>
      <c r="E382" s="257" t="inlineStr">
        <is>
          <t>賣</t>
        </is>
      </c>
      <c r="F382" s="229" t="inlineStr">
        <is>
          <t>-</t>
        </is>
      </c>
      <c r="G382" s="697" t="n">
        <v>1</v>
      </c>
      <c r="H382" s="697" t="n">
        <v>10993</v>
      </c>
      <c r="I382" s="697" t="n">
        <v>0</v>
      </c>
      <c r="J382" s="585" t="n">
        <v>23</v>
      </c>
      <c r="K382" s="585" t="n">
        <v>11</v>
      </c>
      <c r="L382" s="585">
        <f>IF(B382="TXO",I382-SUM(J382:K382),IF(B382="FITX",IF(D382="新倉",-SUM(J382:K382),IF(E382="賣",(H382-H381)*G382*200-SUM(J382:K382),(H381-H382)*G382*200-SUM(J382:K382))),IF(D382="新倉",-SUM(J382:K382),IF(E382="賣",(H382-H381)*G382*50-SUM(J382:K382),(H381-H382)*G382*50-SUM(J382:K382)))))</f>
        <v/>
      </c>
      <c r="M382" s="699">
        <f>L382</f>
        <v/>
      </c>
      <c r="N382" s="686">
        <f>IF(B382="TXO","",IF(D382="新倉","",IF(E382="賣",(H382-H381)*G382,(H381-H382)*G382)))</f>
        <v/>
      </c>
      <c r="O382" s="226">
        <f>ABS(I382)</f>
        <v/>
      </c>
      <c r="P382" s="667" t="n"/>
      <c r="S382" s="739" t="n"/>
      <c r="T382" s="61" t="n"/>
      <c r="U382" s="61" t="n"/>
      <c r="V382" s="61" t="n"/>
      <c r="W382" s="61" t="n"/>
    </row>
    <row r="383" hidden="1" outlineLevel="2" ht="17.25" customHeight="1" thickBot="1">
      <c r="A383" s="696" t="n">
        <v>43318</v>
      </c>
      <c r="B383" s="234" t="inlineStr">
        <is>
          <t>FIMTX</t>
        </is>
      </c>
      <c r="C383" s="229" t="inlineStr">
        <is>
          <t>小指08</t>
        </is>
      </c>
      <c r="D383" s="229" t="inlineStr">
        <is>
          <t>新倉</t>
        </is>
      </c>
      <c r="E383" s="257" t="inlineStr">
        <is>
          <t>賣</t>
        </is>
      </c>
      <c r="F383" s="229" t="inlineStr">
        <is>
          <t>-</t>
        </is>
      </c>
      <c r="G383" s="697" t="n">
        <v>1</v>
      </c>
      <c r="H383" s="697" t="n">
        <v>10983</v>
      </c>
      <c r="I383" s="697" t="n">
        <v>0</v>
      </c>
      <c r="J383" s="585" t="n">
        <v>23</v>
      </c>
      <c r="K383" s="585" t="n">
        <v>11</v>
      </c>
      <c r="L383" s="585">
        <f>IF(B383="TXO",I383-SUM(J383:K383),IF(B383="FITX",IF(D383="新倉",-SUM(J383:K383),IF(E383="賣",(H383-H382)*G383*200-SUM(J383:K383),(H382-H383)*G383*200-SUM(J383:K383))),IF(D383="新倉",-SUM(J383:K383),IF(E383="賣",(H383-H382)*G383*50-SUM(J383:K383),(H382-H383)*G383*50-SUM(J383:K383)))))</f>
        <v/>
      </c>
      <c r="M383" s="699">
        <f>L383</f>
        <v/>
      </c>
      <c r="N383" s="686">
        <f>IF(B383="TXO","",IF(D383="新倉","",IF(E383="賣",(H383-H382)*G383,(H382-H383)*G383)))</f>
        <v/>
      </c>
      <c r="O383" s="226">
        <f>ABS(I383)</f>
        <v/>
      </c>
      <c r="P383" s="667" t="n"/>
      <c r="S383" s="739" t="n"/>
      <c r="T383" s="61" t="n"/>
      <c r="U383" s="61" t="n"/>
      <c r="V383" s="61" t="n"/>
      <c r="W383" s="61" t="n"/>
    </row>
    <row r="384" hidden="1" outlineLevel="2" ht="17.25" customHeight="1" thickBot="1">
      <c r="A384" s="696" t="n">
        <v>43318</v>
      </c>
      <c r="B384" s="234" t="inlineStr">
        <is>
          <t>FIMTX</t>
        </is>
      </c>
      <c r="C384" s="229" t="inlineStr">
        <is>
          <t>小指08</t>
        </is>
      </c>
      <c r="D384" s="229" t="inlineStr">
        <is>
          <t>平倉</t>
        </is>
      </c>
      <c r="E384" s="257" t="inlineStr">
        <is>
          <t>買</t>
        </is>
      </c>
      <c r="F384" s="229" t="inlineStr">
        <is>
          <t>-</t>
        </is>
      </c>
      <c r="G384" s="697" t="n">
        <v>1</v>
      </c>
      <c r="H384" s="697" t="n">
        <v>10993</v>
      </c>
      <c r="I384" s="697" t="n">
        <v>0</v>
      </c>
      <c r="J384" s="585" t="n">
        <v>23</v>
      </c>
      <c r="K384" s="585" t="n">
        <v>11</v>
      </c>
      <c r="L384" s="585">
        <f>IF(B384="TXO",I384-SUM(J384:K384),IF(B384="FITX",IF(D384="新倉",-SUM(J384:K384),IF(E384="賣",(H384-H383)*G384*200-SUM(J384:K384),(H383-H384)*G384*200-SUM(J384:K384))),IF(D384="新倉",-SUM(J384:K384),IF(E384="賣",(H384-H383)*G384*50-SUM(J384:K384),(H383-H384)*G384*50-SUM(J384:K384)))))</f>
        <v/>
      </c>
      <c r="M384" s="699">
        <f>L384</f>
        <v/>
      </c>
      <c r="N384" s="686">
        <f>IF(B384="TXO","",IF(D384="新倉","",IF(E384="賣",(H384-H383)*G384,(H383-H384)*G384)))</f>
        <v/>
      </c>
      <c r="O384" s="226">
        <f>ABS(I384)</f>
        <v/>
      </c>
      <c r="P384" s="667" t="n"/>
      <c r="S384" s="739" t="n"/>
      <c r="T384" s="61" t="n"/>
      <c r="U384" s="61" t="n"/>
      <c r="V384" s="61" t="n"/>
      <c r="W384" s="61" t="n"/>
    </row>
    <row r="385" hidden="1" outlineLevel="2" ht="17.25" customHeight="1" thickBot="1">
      <c r="A385" s="696" t="n">
        <v>43318</v>
      </c>
      <c r="B385" s="234" t="inlineStr">
        <is>
          <t>FIMTX</t>
        </is>
      </c>
      <c r="C385" s="229" t="inlineStr">
        <is>
          <t>小指08</t>
        </is>
      </c>
      <c r="D385" s="229" t="inlineStr">
        <is>
          <t>新倉</t>
        </is>
      </c>
      <c r="E385" s="257" t="inlineStr">
        <is>
          <t>賣</t>
        </is>
      </c>
      <c r="F385" s="229" t="inlineStr">
        <is>
          <t>-</t>
        </is>
      </c>
      <c r="G385" s="697" t="n">
        <v>1</v>
      </c>
      <c r="H385" s="697" t="n">
        <v>10981</v>
      </c>
      <c r="I385" s="697" t="n">
        <v>0</v>
      </c>
      <c r="J385" s="585" t="n">
        <v>23</v>
      </c>
      <c r="K385" s="585" t="n">
        <v>11</v>
      </c>
      <c r="L385" s="585">
        <f>IF(B385="TXO",I385-SUM(J385:K385),IF(B385="FITX",IF(D385="新倉",-SUM(J385:K385),IF(E385="賣",(H385-H384)*G385*200-SUM(J385:K385),(H384-H385)*G385*200-SUM(J385:K385))),IF(D385="新倉",-SUM(J385:K385),IF(E385="賣",(H385-H384)*G385*50-SUM(J385:K385),(H384-H385)*G385*50-SUM(J385:K385)))))</f>
        <v/>
      </c>
      <c r="M385" s="699">
        <f>L385</f>
        <v/>
      </c>
      <c r="N385" s="686">
        <f>IF(B385="TXO","",IF(D385="新倉","",IF(E385="賣",(H385-H384)*G385,(H384-H385)*G385)))</f>
        <v/>
      </c>
      <c r="O385" s="226">
        <f>ABS(I385)</f>
        <v/>
      </c>
      <c r="P385" s="667" t="n"/>
      <c r="S385" s="739" t="n"/>
      <c r="T385" s="61" t="n"/>
      <c r="U385" s="61" t="n"/>
      <c r="V385" s="61" t="n"/>
      <c r="W385" s="61" t="n"/>
    </row>
    <row r="386" hidden="1" outlineLevel="2" ht="17.25" customHeight="1" thickBot="1">
      <c r="A386" s="696" t="n">
        <v>43318</v>
      </c>
      <c r="B386" s="234" t="inlineStr">
        <is>
          <t>FIMTX</t>
        </is>
      </c>
      <c r="C386" s="229" t="inlineStr">
        <is>
          <t>小指08</t>
        </is>
      </c>
      <c r="D386" s="229" t="inlineStr">
        <is>
          <t>平倉</t>
        </is>
      </c>
      <c r="E386" s="257" t="inlineStr">
        <is>
          <t>買</t>
        </is>
      </c>
      <c r="F386" s="229" t="inlineStr">
        <is>
          <t>-</t>
        </is>
      </c>
      <c r="G386" s="697" t="n">
        <v>1</v>
      </c>
      <c r="H386" s="697" t="n">
        <v>10993</v>
      </c>
      <c r="I386" s="697" t="n">
        <v>0</v>
      </c>
      <c r="J386" s="585" t="n">
        <v>23</v>
      </c>
      <c r="K386" s="585" t="n">
        <v>11</v>
      </c>
      <c r="L386" s="585">
        <f>IF(B386="TXO",I386-SUM(J386:K386),IF(B386="FITX",IF(D386="新倉",-SUM(J386:K386),IF(E386="賣",(H386-H385)*G386*200-SUM(J386:K386),(H385-H386)*G386*200-SUM(J386:K386))),IF(D386="新倉",-SUM(J386:K386),IF(E386="賣",(H386-H385)*G386*50-SUM(J386:K386),(H385-H386)*G386*50-SUM(J386:K386)))))</f>
        <v/>
      </c>
      <c r="M386" s="699">
        <f>L386</f>
        <v/>
      </c>
      <c r="N386" s="686">
        <f>IF(B386="TXO","",IF(D386="新倉","",IF(E386="賣",(H386-H385)*G386,(H385-H386)*G386)))</f>
        <v/>
      </c>
      <c r="O386" s="226">
        <f>ABS(I386)</f>
        <v/>
      </c>
      <c r="P386" s="667" t="n"/>
      <c r="S386" s="739" t="n"/>
      <c r="T386" s="61" t="n"/>
      <c r="U386" s="61" t="n"/>
      <c r="V386" s="61" t="n"/>
      <c r="W386" s="61" t="n"/>
    </row>
    <row r="387" hidden="1" outlineLevel="2" ht="17.25" customHeight="1" thickBot="1">
      <c r="A387" s="696" t="n">
        <v>43318</v>
      </c>
      <c r="B387" s="234" t="inlineStr">
        <is>
          <t>FIMTX</t>
        </is>
      </c>
      <c r="C387" s="229" t="inlineStr">
        <is>
          <t>小指08</t>
        </is>
      </c>
      <c r="D387" s="229" t="inlineStr">
        <is>
          <t>新倉</t>
        </is>
      </c>
      <c r="E387" s="257" t="inlineStr">
        <is>
          <t>賣</t>
        </is>
      </c>
      <c r="F387" s="229" t="inlineStr">
        <is>
          <t>-</t>
        </is>
      </c>
      <c r="G387" s="697" t="n">
        <v>1</v>
      </c>
      <c r="H387" s="697" t="n">
        <v>10982</v>
      </c>
      <c r="I387" s="697" t="n">
        <v>0</v>
      </c>
      <c r="J387" s="585" t="n">
        <v>23</v>
      </c>
      <c r="K387" s="585" t="n">
        <v>11</v>
      </c>
      <c r="L387" s="585">
        <f>IF(B387="TXO",I387-SUM(J387:K387),IF(B387="FITX",IF(D387="新倉",-SUM(J387:K387),IF(E387="賣",(H387-H386)*G387*200-SUM(J387:K387),(H386-H387)*G387*200-SUM(J387:K387))),IF(D387="新倉",-SUM(J387:K387),IF(E387="賣",(H387-H386)*G387*50-SUM(J387:K387),(H386-H387)*G387*50-SUM(J387:K387)))))</f>
        <v/>
      </c>
      <c r="M387" s="699">
        <f>L387</f>
        <v/>
      </c>
      <c r="N387" s="686">
        <f>IF(B387="TXO","",IF(D387="新倉","",IF(E387="賣",(H387-H386)*G387,(H386-H387)*G387)))</f>
        <v/>
      </c>
      <c r="O387" s="226">
        <f>ABS(I387)</f>
        <v/>
      </c>
      <c r="P387" s="667" t="n"/>
      <c r="S387" s="739" t="n"/>
      <c r="T387" s="61" t="n"/>
      <c r="U387" s="61" t="n"/>
      <c r="V387" s="61" t="n"/>
      <c r="W387" s="61" t="n"/>
    </row>
    <row r="388" hidden="1" outlineLevel="2" ht="17.25" customHeight="1" thickBot="1">
      <c r="A388" s="696" t="n">
        <v>43318</v>
      </c>
      <c r="B388" s="234" t="inlineStr">
        <is>
          <t>FIMTX</t>
        </is>
      </c>
      <c r="C388" s="229" t="inlineStr">
        <is>
          <t>小指08</t>
        </is>
      </c>
      <c r="D388" s="229" t="inlineStr">
        <is>
          <t>平倉</t>
        </is>
      </c>
      <c r="E388" s="257" t="inlineStr">
        <is>
          <t>買</t>
        </is>
      </c>
      <c r="F388" s="229" t="inlineStr">
        <is>
          <t>-</t>
        </is>
      </c>
      <c r="G388" s="697" t="n">
        <v>1</v>
      </c>
      <c r="H388" s="697" t="n">
        <v>10989</v>
      </c>
      <c r="I388" s="697" t="n">
        <v>0</v>
      </c>
      <c r="J388" s="585" t="n">
        <v>23</v>
      </c>
      <c r="K388" s="585" t="n">
        <v>11</v>
      </c>
      <c r="L388" s="585">
        <f>IF(B388="TXO",I388-SUM(J388:K388),IF(B388="FITX",IF(D388="新倉",-SUM(J388:K388),IF(E388="賣",(H388-H387)*G388*200-SUM(J388:K388),(H387-H388)*G388*200-SUM(J388:K388))),IF(D388="新倉",-SUM(J388:K388),IF(E388="賣",(H388-H387)*G388*50-SUM(J388:K388),(H387-H388)*G388*50-SUM(J388:K388)))))</f>
        <v/>
      </c>
      <c r="M388" s="699">
        <f>L388</f>
        <v/>
      </c>
      <c r="N388" s="686">
        <f>IF(B388="TXO","",IF(D388="新倉","",IF(E388="賣",(H388-H387)*G388,(H387-H388)*G388)))</f>
        <v/>
      </c>
      <c r="O388" s="226">
        <f>ABS(I388)</f>
        <v/>
      </c>
      <c r="P388" s="667" t="n"/>
      <c r="S388" s="739" t="n"/>
      <c r="T388" s="61" t="n"/>
      <c r="U388" s="61" t="n"/>
      <c r="V388" s="61" t="n"/>
      <c r="W388" s="61" t="n"/>
    </row>
    <row r="389" hidden="1" outlineLevel="2" ht="17.25" customHeight="1" thickBot="1">
      <c r="A389" s="696" t="n">
        <v>43318</v>
      </c>
      <c r="B389" s="234" t="inlineStr">
        <is>
          <t>FIMTX</t>
        </is>
      </c>
      <c r="C389" s="229" t="inlineStr">
        <is>
          <t>小指08</t>
        </is>
      </c>
      <c r="D389" s="229" t="inlineStr">
        <is>
          <t>新倉</t>
        </is>
      </c>
      <c r="E389" s="257" t="inlineStr">
        <is>
          <t>賣</t>
        </is>
      </c>
      <c r="F389" s="229" t="inlineStr">
        <is>
          <t>-</t>
        </is>
      </c>
      <c r="G389" s="697" t="n">
        <v>1</v>
      </c>
      <c r="H389" s="697" t="n">
        <v>10981</v>
      </c>
      <c r="I389" s="697" t="n">
        <v>0</v>
      </c>
      <c r="J389" s="585" t="n">
        <v>23</v>
      </c>
      <c r="K389" s="585" t="n">
        <v>11</v>
      </c>
      <c r="L389" s="585">
        <f>IF(B389="TXO",I389-SUM(J389:K389),IF(B389="FITX",IF(D389="新倉",-SUM(J389:K389),IF(E389="賣",(H389-H388)*G389*200-SUM(J389:K389),(H388-H389)*G389*200-SUM(J389:K389))),IF(D389="新倉",-SUM(J389:K389),IF(E389="賣",(H389-H388)*G389*50-SUM(J389:K389),(H388-H389)*G389*50-SUM(J389:K389)))))</f>
        <v/>
      </c>
      <c r="M389" s="699">
        <f>L389</f>
        <v/>
      </c>
      <c r="N389" s="686">
        <f>IF(B389="TXO","",IF(D389="新倉","",IF(E389="賣",(H389-H388)*G389,(H388-H389)*G389)))</f>
        <v/>
      </c>
      <c r="O389" s="226">
        <f>ABS(I389)</f>
        <v/>
      </c>
      <c r="P389" s="667" t="n"/>
      <c r="S389" s="739" t="n"/>
      <c r="T389" s="61" t="n"/>
      <c r="U389" s="61" t="n"/>
      <c r="V389" s="61" t="n"/>
      <c r="W389" s="61" t="n"/>
    </row>
    <row r="390" hidden="1" outlineLevel="2" ht="17.25" customHeight="1" thickBot="1">
      <c r="A390" s="696" t="n">
        <v>43318</v>
      </c>
      <c r="B390" s="234" t="inlineStr">
        <is>
          <t>FIMTX</t>
        </is>
      </c>
      <c r="C390" s="229" t="inlineStr">
        <is>
          <t>小指08</t>
        </is>
      </c>
      <c r="D390" s="229" t="inlineStr">
        <is>
          <t>平倉</t>
        </is>
      </c>
      <c r="E390" s="257" t="inlineStr">
        <is>
          <t>買</t>
        </is>
      </c>
      <c r="F390" s="229" t="inlineStr">
        <is>
          <t>-</t>
        </is>
      </c>
      <c r="G390" s="697" t="n">
        <v>1</v>
      </c>
      <c r="H390" s="697" t="n">
        <v>10989</v>
      </c>
      <c r="I390" s="697" t="n">
        <v>0</v>
      </c>
      <c r="J390" s="585" t="n">
        <v>23</v>
      </c>
      <c r="K390" s="585" t="n">
        <v>11</v>
      </c>
      <c r="L390" s="585">
        <f>IF(B390="TXO",I390-SUM(J390:K390),IF(B390="FITX",IF(D390="新倉",-SUM(J390:K390),IF(E390="賣",(H390-H389)*G390*200-SUM(J390:K390),(H389-H390)*G390*200-SUM(J390:K390))),IF(D390="新倉",-SUM(J390:K390),IF(E390="賣",(H390-H389)*G390*50-SUM(J390:K390),(H389-H390)*G390*50-SUM(J390:K390)))))</f>
        <v/>
      </c>
      <c r="M390" s="699">
        <f>L390</f>
        <v/>
      </c>
      <c r="N390" s="686">
        <f>IF(B390="TXO","",IF(D390="新倉","",IF(E390="賣",(H390-H389)*G390,(H389-H390)*G390)))</f>
        <v/>
      </c>
      <c r="O390" s="226">
        <f>ABS(I390)</f>
        <v/>
      </c>
      <c r="P390" s="667" t="n"/>
      <c r="S390" s="739" t="n"/>
      <c r="T390" s="61" t="n"/>
      <c r="U390" s="61" t="n"/>
      <c r="V390" s="61" t="n"/>
      <c r="W390" s="61" t="n"/>
    </row>
    <row r="391" hidden="1" outlineLevel="1" ht="17.25" customHeight="1" thickBot="1">
      <c r="A391" s="740" t="n">
        <v>43319</v>
      </c>
      <c r="B391" s="299" t="inlineStr">
        <is>
          <t>FIMTX</t>
        </is>
      </c>
      <c r="C391" s="300" t="inlineStr">
        <is>
          <t>小指08</t>
        </is>
      </c>
      <c r="D391" s="300" t="inlineStr">
        <is>
          <t>新倉</t>
        </is>
      </c>
      <c r="E391" s="301" t="inlineStr">
        <is>
          <t>賣</t>
        </is>
      </c>
      <c r="F391" s="300" t="inlineStr">
        <is>
          <t>-</t>
        </is>
      </c>
      <c r="G391" s="741" t="n">
        <v>1</v>
      </c>
      <c r="H391" s="741" t="n">
        <v>10985</v>
      </c>
      <c r="I391" s="741" t="n">
        <v>0</v>
      </c>
      <c r="J391" s="742" t="n">
        <v>23</v>
      </c>
      <c r="K391" s="742" t="n">
        <v>11</v>
      </c>
      <c r="L391" s="742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/>
      </c>
      <c r="M391" s="743">
        <f>L391</f>
        <v/>
      </c>
      <c r="N391" s="686">
        <f>IF(B391="TXO","",IF(D391="新倉","",IF(E391="賣",(H391-H390)*G391,(H390-H391)*G391)))</f>
        <v/>
      </c>
      <c r="O391" s="226">
        <f>ABS(I391)</f>
        <v/>
      </c>
      <c r="P391" s="667">
        <f>SUM(L391:L398)</f>
        <v/>
      </c>
      <c r="S391" s="739" t="n"/>
      <c r="T391" s="61" t="n"/>
      <c r="U391" s="61" t="n"/>
      <c r="V391" s="61" t="n"/>
      <c r="W391" s="61" t="n"/>
    </row>
    <row r="392" hidden="1" outlineLevel="2" ht="17.25" customHeight="1" thickBot="1">
      <c r="A392" s="740" t="n">
        <v>43319</v>
      </c>
      <c r="B392" s="299" t="inlineStr">
        <is>
          <t>FIMTX</t>
        </is>
      </c>
      <c r="C392" s="300" t="inlineStr">
        <is>
          <t>小指08</t>
        </is>
      </c>
      <c r="D392" s="300" t="inlineStr">
        <is>
          <t>平倉</t>
        </is>
      </c>
      <c r="E392" s="301" t="inlineStr">
        <is>
          <t>買</t>
        </is>
      </c>
      <c r="F392" s="300" t="inlineStr">
        <is>
          <t>-</t>
        </is>
      </c>
      <c r="G392" s="741" t="n">
        <v>1</v>
      </c>
      <c r="H392" s="741" t="n">
        <v>10980</v>
      </c>
      <c r="I392" s="741" t="n">
        <v>0</v>
      </c>
      <c r="J392" s="742" t="n">
        <v>23</v>
      </c>
      <c r="K392" s="742" t="n">
        <v>11</v>
      </c>
      <c r="L392" s="742">
        <f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/>
      </c>
      <c r="M392" s="743">
        <f>L392</f>
        <v/>
      </c>
      <c r="N392" s="686">
        <f>IF(B392="TXO","",IF(D392="新倉","",IF(E392="賣",(H392-H391)*G392,(H391-H392)*G392)))</f>
        <v/>
      </c>
      <c r="O392" s="226">
        <f>ABS(I392)</f>
        <v/>
      </c>
      <c r="P392" s="667" t="n"/>
      <c r="S392" s="739" t="n"/>
      <c r="T392" s="61" t="n"/>
      <c r="U392" s="61" t="n"/>
      <c r="V392" s="61" t="n"/>
      <c r="W392" s="61" t="n"/>
    </row>
    <row r="393" hidden="1" outlineLevel="2" ht="17.25" customHeight="1" thickBot="1">
      <c r="A393" s="740" t="n">
        <v>43319</v>
      </c>
      <c r="B393" s="299" t="inlineStr">
        <is>
          <t>FIMTX</t>
        </is>
      </c>
      <c r="C393" s="300" t="inlineStr">
        <is>
          <t>小指08</t>
        </is>
      </c>
      <c r="D393" s="300" t="inlineStr">
        <is>
          <t>新倉</t>
        </is>
      </c>
      <c r="E393" s="301" t="inlineStr">
        <is>
          <t>賣</t>
        </is>
      </c>
      <c r="F393" s="300" t="inlineStr">
        <is>
          <t>-</t>
        </is>
      </c>
      <c r="G393" s="741" t="n">
        <v>1</v>
      </c>
      <c r="H393" s="741" t="n">
        <v>10984</v>
      </c>
      <c r="I393" s="741" t="n">
        <v>0</v>
      </c>
      <c r="J393" s="742" t="n">
        <v>23</v>
      </c>
      <c r="K393" s="742" t="n">
        <v>11</v>
      </c>
      <c r="L393" s="742">
        <f>IF(B393="TXO",I393-SUM(J393:K393),IF(B393="FITX",IF(D393="新倉",-SUM(J393:K393),IF(E393="賣",(H393-H392)*G393*200-SUM(J393:K393),(H392-H393)*G393*200-SUM(J393:K393))),IF(D393="新倉",-SUM(J393:K393),IF(E393="賣",(H393-H392)*G393*50-SUM(J393:K393),(H392-H393)*G393*50-SUM(J393:K393)))))</f>
        <v/>
      </c>
      <c r="M393" s="743">
        <f>L393</f>
        <v/>
      </c>
      <c r="N393" s="686">
        <f>IF(B393="TXO","",IF(D393="新倉","",IF(E393="賣",(H393-H392)*G393,(H392-H393)*G393)))</f>
        <v/>
      </c>
      <c r="O393" s="226">
        <f>ABS(I393)</f>
        <v/>
      </c>
      <c r="P393" s="667" t="n"/>
      <c r="S393" s="739" t="n"/>
      <c r="T393" s="61" t="n"/>
      <c r="U393" s="61" t="n"/>
      <c r="V393" s="61" t="n"/>
      <c r="W393" s="61" t="n"/>
    </row>
    <row r="394" hidden="1" outlineLevel="2" ht="17.25" customHeight="1" thickBot="1">
      <c r="A394" s="740" t="n">
        <v>43319</v>
      </c>
      <c r="B394" s="299" t="inlineStr">
        <is>
          <t>FIMTX</t>
        </is>
      </c>
      <c r="C394" s="300" t="inlineStr">
        <is>
          <t>小指08</t>
        </is>
      </c>
      <c r="D394" s="300" t="inlineStr">
        <is>
          <t>平倉</t>
        </is>
      </c>
      <c r="E394" s="301" t="inlineStr">
        <is>
          <t>買</t>
        </is>
      </c>
      <c r="F394" s="300" t="inlineStr">
        <is>
          <t>-</t>
        </is>
      </c>
      <c r="G394" s="741" t="n">
        <v>1</v>
      </c>
      <c r="H394" s="741" t="n">
        <v>10980</v>
      </c>
      <c r="I394" s="741" t="n">
        <v>0</v>
      </c>
      <c r="J394" s="742" t="n">
        <v>23</v>
      </c>
      <c r="K394" s="742" t="n">
        <v>11</v>
      </c>
      <c r="L394" s="742">
        <f>IF(B394="TXO",I394-SUM(J394:K394),IF(B394="FITX",IF(D394="新倉",-SUM(J394:K394),IF(E394="賣",(H394-H393)*G394*200-SUM(J394:K394),(H393-H394)*G394*200-SUM(J394:K394))),IF(D394="新倉",-SUM(J394:K394),IF(E394="賣",(H394-H393)*G394*50-SUM(J394:K394),(H393-H394)*G394*50-SUM(J394:K394)))))</f>
        <v/>
      </c>
      <c r="M394" s="743">
        <f>L394</f>
        <v/>
      </c>
      <c r="N394" s="686">
        <f>IF(B394="TXO","",IF(D394="新倉","",IF(E394="賣",(H394-H393)*G394,(H393-H394)*G394)))</f>
        <v/>
      </c>
      <c r="O394" s="226">
        <f>ABS(I394)</f>
        <v/>
      </c>
      <c r="P394" s="667" t="n"/>
      <c r="S394" s="739" t="n"/>
      <c r="T394" s="61" t="n"/>
      <c r="U394" s="61" t="n"/>
      <c r="V394" s="61" t="n"/>
      <c r="W394" s="61" t="n"/>
    </row>
    <row r="395" hidden="1" outlineLevel="2" ht="17.25" customHeight="1" thickBot="1">
      <c r="A395" s="740" t="n">
        <v>43319</v>
      </c>
      <c r="B395" s="299" t="inlineStr">
        <is>
          <t>FIMTX</t>
        </is>
      </c>
      <c r="C395" s="300" t="inlineStr">
        <is>
          <t>小指08</t>
        </is>
      </c>
      <c r="D395" s="300" t="inlineStr">
        <is>
          <t>新倉</t>
        </is>
      </c>
      <c r="E395" s="301" t="inlineStr">
        <is>
          <t>買</t>
        </is>
      </c>
      <c r="F395" s="300" t="inlineStr">
        <is>
          <t>-</t>
        </is>
      </c>
      <c r="G395" s="741" t="n">
        <v>1</v>
      </c>
      <c r="H395" s="741" t="n">
        <v>10982</v>
      </c>
      <c r="I395" s="741" t="n">
        <v>0</v>
      </c>
      <c r="J395" s="742" t="n">
        <v>23</v>
      </c>
      <c r="K395" s="742" t="n">
        <v>11</v>
      </c>
      <c r="L395" s="742">
        <f>IF(B395="TXO",I395-SUM(J395:K395),IF(B395="FITX",IF(D395="新倉",-SUM(J395:K395),IF(E395="賣",(H395-H394)*G395*200-SUM(J395:K395),(H394-H395)*G395*200-SUM(J395:K395))),IF(D395="新倉",-SUM(J395:K395),IF(E395="賣",(H395-H394)*G395*50-SUM(J395:K395),(H394-H395)*G395*50-SUM(J395:K395)))))</f>
        <v/>
      </c>
      <c r="M395" s="743">
        <f>L395</f>
        <v/>
      </c>
      <c r="N395" s="686">
        <f>IF(B395="TXO","",IF(D395="新倉","",IF(E395="賣",(H395-H394)*G395,(H394-H395)*G395)))</f>
        <v/>
      </c>
      <c r="O395" s="226">
        <f>ABS(I395)</f>
        <v/>
      </c>
      <c r="P395" s="667" t="n"/>
      <c r="S395" s="739" t="n"/>
      <c r="T395" s="61" t="n"/>
      <c r="U395" s="61" t="n"/>
      <c r="V395" s="61" t="n"/>
      <c r="W395" s="61" t="n"/>
    </row>
    <row r="396" hidden="1" outlineLevel="2" ht="17.25" customHeight="1" thickBot="1">
      <c r="A396" s="740" t="n">
        <v>43319</v>
      </c>
      <c r="B396" s="299" t="inlineStr">
        <is>
          <t>FIMTX</t>
        </is>
      </c>
      <c r="C396" s="300" t="inlineStr">
        <is>
          <t>小指08</t>
        </is>
      </c>
      <c r="D396" s="300" t="inlineStr">
        <is>
          <t>平倉</t>
        </is>
      </c>
      <c r="E396" s="301" t="inlineStr">
        <is>
          <t>賣</t>
        </is>
      </c>
      <c r="F396" s="300" t="inlineStr">
        <is>
          <t>-</t>
        </is>
      </c>
      <c r="G396" s="741" t="n">
        <v>1</v>
      </c>
      <c r="H396" s="741" t="n">
        <v>10979</v>
      </c>
      <c r="I396" s="741" t="n">
        <v>0</v>
      </c>
      <c r="J396" s="742" t="n">
        <v>23</v>
      </c>
      <c r="K396" s="742" t="n">
        <v>11</v>
      </c>
      <c r="L396" s="742">
        <f>IF(B396="TXO",I396-SUM(J396:K396),IF(B396="FITX",IF(D396="新倉",-SUM(J396:K396),IF(E396="賣",(H396-H395)*G396*200-SUM(J396:K396),(H395-H396)*G396*200-SUM(J396:K396))),IF(D396="新倉",-SUM(J396:K396),IF(E396="賣",(H396-H395)*G396*50-SUM(J396:K396),(H395-H396)*G396*50-SUM(J396:K396)))))</f>
        <v/>
      </c>
      <c r="M396" s="743">
        <f>L396</f>
        <v/>
      </c>
      <c r="N396" s="686">
        <f>IF(B396="TXO","",IF(D396="新倉","",IF(E396="賣",(H396-H395)*G396,(H395-H396)*G396)))</f>
        <v/>
      </c>
      <c r="O396" s="226">
        <f>ABS(I396)</f>
        <v/>
      </c>
      <c r="P396" s="667" t="n"/>
      <c r="S396" s="739" t="n"/>
      <c r="T396" s="61" t="n"/>
      <c r="U396" s="61" t="n"/>
      <c r="V396" s="61" t="n"/>
      <c r="W396" s="61" t="n"/>
    </row>
    <row r="397" hidden="1" outlineLevel="2" ht="17.25" customHeight="1" thickBot="1">
      <c r="A397" s="740" t="n">
        <v>43319</v>
      </c>
      <c r="B397" s="299" t="inlineStr">
        <is>
          <t>FIMTX</t>
        </is>
      </c>
      <c r="C397" s="300" t="inlineStr">
        <is>
          <t>小指08</t>
        </is>
      </c>
      <c r="D397" s="300" t="inlineStr">
        <is>
          <t>新倉</t>
        </is>
      </c>
      <c r="E397" s="301" t="inlineStr">
        <is>
          <t>買</t>
        </is>
      </c>
      <c r="F397" s="300" t="inlineStr">
        <is>
          <t>-</t>
        </is>
      </c>
      <c r="G397" s="741" t="n">
        <v>1</v>
      </c>
      <c r="H397" s="741" t="n">
        <v>10982</v>
      </c>
      <c r="I397" s="741" t="n">
        <v>0</v>
      </c>
      <c r="J397" s="742" t="n">
        <v>23</v>
      </c>
      <c r="K397" s="742" t="n">
        <v>11</v>
      </c>
      <c r="L397" s="742">
        <f>IF(B397="TXO",I397-SUM(J397:K397),IF(B397="FITX",IF(D397="新倉",-SUM(J397:K397),IF(E397="賣",(H397-H396)*G397*200-SUM(J397:K397),(H396-H397)*G397*200-SUM(J397:K397))),IF(D397="新倉",-SUM(J397:K397),IF(E397="賣",(H397-H396)*G397*50-SUM(J397:K397),(H396-H397)*G397*50-SUM(J397:K397)))))</f>
        <v/>
      </c>
      <c r="M397" s="743">
        <f>L397</f>
        <v/>
      </c>
      <c r="N397" s="686">
        <f>IF(B397="TXO","",IF(D397="新倉","",IF(E397="賣",(H397-H396)*G397,(H396-H397)*G397)))</f>
        <v/>
      </c>
      <c r="O397" s="226">
        <f>ABS(I397)</f>
        <v/>
      </c>
      <c r="P397" s="667" t="n"/>
      <c r="S397" s="739" t="n"/>
      <c r="T397" s="61" t="n"/>
      <c r="U397" s="61" t="n"/>
      <c r="V397" s="61" t="n"/>
      <c r="W397" s="61" t="n"/>
    </row>
    <row r="398" hidden="1" outlineLevel="2" ht="17.25" customHeight="1" thickBot="1">
      <c r="A398" s="740" t="n">
        <v>43319</v>
      </c>
      <c r="B398" s="299" t="inlineStr">
        <is>
          <t>FIMTX</t>
        </is>
      </c>
      <c r="C398" s="300" t="inlineStr">
        <is>
          <t>小指08</t>
        </is>
      </c>
      <c r="D398" s="300" t="inlineStr">
        <is>
          <t>平倉</t>
        </is>
      </c>
      <c r="E398" s="301" t="inlineStr">
        <is>
          <t>賣</t>
        </is>
      </c>
      <c r="F398" s="300" t="inlineStr">
        <is>
          <t>-</t>
        </is>
      </c>
      <c r="G398" s="741" t="n">
        <v>1</v>
      </c>
      <c r="H398" s="741" t="n">
        <v>10979</v>
      </c>
      <c r="I398" s="741" t="n">
        <v>0</v>
      </c>
      <c r="J398" s="742" t="n">
        <v>23</v>
      </c>
      <c r="K398" s="742" t="n">
        <v>11</v>
      </c>
      <c r="L398" s="742">
        <f>IF(B398="TXO",I398-SUM(J398:K398),IF(B398="FITX",IF(D398="新倉",-SUM(J398:K398),IF(E398="賣",(H398-H397)*G398*200-SUM(J398:K398),(H397-H398)*G398*200-SUM(J398:K398))),IF(D398="新倉",-SUM(J398:K398),IF(E398="賣",(H398-H397)*G398*50-SUM(J398:K398),(H397-H398)*G398*50-SUM(J398:K398)))))</f>
        <v/>
      </c>
      <c r="M398" s="743">
        <f>L398</f>
        <v/>
      </c>
      <c r="N398" s="686">
        <f>IF(B398="TXO","",IF(D398="新倉","",IF(E398="賣",(H398-H397)*G398,(H397-H398)*G398)))</f>
        <v/>
      </c>
      <c r="O398" s="226">
        <f>ABS(I398)</f>
        <v/>
      </c>
      <c r="P398" s="667" t="n"/>
      <c r="S398" s="739" t="n"/>
      <c r="T398" s="61" t="n"/>
      <c r="U398" s="61" t="n"/>
      <c r="V398" s="61" t="n"/>
      <c r="W398" s="61" t="n"/>
    </row>
    <row r="399" hidden="1" outlineLevel="1" ht="17.25" customHeight="1" thickBot="1">
      <c r="A399" s="696" t="n">
        <v>43320</v>
      </c>
      <c r="B399" s="234" t="inlineStr">
        <is>
          <t>TXO</t>
        </is>
      </c>
      <c r="C399" s="229" t="inlineStr">
        <is>
          <t>台選W2 08 11050 P</t>
        </is>
      </c>
      <c r="D399" s="229" t="inlineStr">
        <is>
          <t>新倉</t>
        </is>
      </c>
      <c r="E399" s="257" t="inlineStr">
        <is>
          <t>買</t>
        </is>
      </c>
      <c r="F399" s="229" t="inlineStr">
        <is>
          <t>-</t>
        </is>
      </c>
      <c r="G399" s="697" t="n">
        <v>1</v>
      </c>
      <c r="H399" s="697" t="n">
        <v>6.8</v>
      </c>
      <c r="I399" s="697" t="n">
        <v>-340</v>
      </c>
      <c r="J399" s="585" t="n">
        <v>18</v>
      </c>
      <c r="K399" s="585" t="n">
        <v>0</v>
      </c>
      <c r="L399" s="585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/>
      </c>
      <c r="M399" s="699">
        <f>L399</f>
        <v/>
      </c>
      <c r="N399" s="686">
        <f>IF(B399="TXO","",IF(D399="新倉","",IF(E399="賣",(H399-H398)*G399,(H398-H399)*G399)))</f>
        <v/>
      </c>
      <c r="O399" s="226">
        <f>ABS(I399)</f>
        <v/>
      </c>
      <c r="P399" s="667">
        <f>SUM(L399)</f>
        <v/>
      </c>
      <c r="S399" s="739" t="n"/>
      <c r="T399" s="61" t="n"/>
      <c r="U399" s="61" t="n"/>
      <c r="V399" s="61" t="n"/>
      <c r="W399" s="61" t="n"/>
    </row>
    <row r="400" hidden="1" outlineLevel="1" ht="17.25" customHeight="1" thickBot="1">
      <c r="A400" s="740" t="n">
        <v>43321</v>
      </c>
      <c r="B400" s="299" t="inlineStr">
        <is>
          <t>FIMTX</t>
        </is>
      </c>
      <c r="C400" s="300" t="inlineStr">
        <is>
          <t>小指08</t>
        </is>
      </c>
      <c r="D400" s="300" t="inlineStr">
        <is>
          <t>新倉</t>
        </is>
      </c>
      <c r="E400" s="301" t="inlineStr">
        <is>
          <t>賣</t>
        </is>
      </c>
      <c r="F400" s="300" t="inlineStr">
        <is>
          <t>-</t>
        </is>
      </c>
      <c r="G400" s="741" t="n">
        <v>1</v>
      </c>
      <c r="H400" s="741" t="n">
        <v>11004</v>
      </c>
      <c r="I400" s="741" t="n">
        <v>0</v>
      </c>
      <c r="J400" s="742" t="n">
        <v>23</v>
      </c>
      <c r="K400" s="742" t="n">
        <v>11</v>
      </c>
      <c r="L400" s="742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/>
      </c>
      <c r="M400" s="743">
        <f>L400</f>
        <v/>
      </c>
      <c r="N400" s="686">
        <f>IF(B400="TXO","",IF(D400="新倉","",IF(E400="賣",(H400-H399)*G400,(H399-H400)*G400)))</f>
        <v/>
      </c>
      <c r="O400" s="226">
        <f>ABS(I400)</f>
        <v/>
      </c>
      <c r="P400" s="667">
        <f>SUM(L400:L407)</f>
        <v/>
      </c>
      <c r="S400" s="739" t="n"/>
      <c r="T400" s="61" t="n"/>
      <c r="U400" s="61" t="n"/>
      <c r="V400" s="61" t="n"/>
      <c r="W400" s="61" t="n"/>
    </row>
    <row r="401" hidden="1" outlineLevel="2" ht="17.25" customHeight="1" thickBot="1">
      <c r="A401" s="740" t="n">
        <v>43321</v>
      </c>
      <c r="B401" s="299" t="inlineStr">
        <is>
          <t>FIMTX</t>
        </is>
      </c>
      <c r="C401" s="300" t="inlineStr">
        <is>
          <t>小指08</t>
        </is>
      </c>
      <c r="D401" s="300" t="inlineStr">
        <is>
          <t>平倉</t>
        </is>
      </c>
      <c r="E401" s="301" t="inlineStr">
        <is>
          <t>買</t>
        </is>
      </c>
      <c r="F401" s="300" t="inlineStr">
        <is>
          <t>-</t>
        </is>
      </c>
      <c r="G401" s="741" t="n">
        <v>1</v>
      </c>
      <c r="H401" s="741" t="n">
        <v>10995</v>
      </c>
      <c r="I401" s="741" t="n">
        <v>0</v>
      </c>
      <c r="J401" s="742" t="n">
        <v>23</v>
      </c>
      <c r="K401" s="742" t="n">
        <v>11</v>
      </c>
      <c r="L401" s="742">
        <f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/>
      </c>
      <c r="M401" s="743">
        <f>L401</f>
        <v/>
      </c>
      <c r="N401" s="686">
        <f>IF(B401="TXO","",IF(D401="新倉","",IF(E401="賣",(H401-H400)*G401,(H400-H401)*G401)))</f>
        <v/>
      </c>
      <c r="O401" s="226">
        <f>ABS(I401)</f>
        <v/>
      </c>
      <c r="P401" s="667" t="n"/>
      <c r="S401" s="739" t="n"/>
      <c r="T401" s="61" t="n"/>
      <c r="U401" s="61" t="n"/>
      <c r="V401" s="61" t="n"/>
      <c r="W401" s="61" t="n"/>
    </row>
    <row r="402" hidden="1" outlineLevel="2" ht="17.25" customHeight="1" thickBot="1">
      <c r="A402" s="740" t="n">
        <v>43321</v>
      </c>
      <c r="B402" s="299" t="inlineStr">
        <is>
          <t>FIMTX</t>
        </is>
      </c>
      <c r="C402" s="300" t="inlineStr">
        <is>
          <t>小指08</t>
        </is>
      </c>
      <c r="D402" s="300" t="inlineStr">
        <is>
          <t>新倉</t>
        </is>
      </c>
      <c r="E402" s="301" t="inlineStr">
        <is>
          <t>賣</t>
        </is>
      </c>
      <c r="F402" s="300" t="inlineStr">
        <is>
          <t>-</t>
        </is>
      </c>
      <c r="G402" s="741" t="n">
        <v>1</v>
      </c>
      <c r="H402" s="741" t="n">
        <v>10978</v>
      </c>
      <c r="I402" s="741" t="n">
        <v>0</v>
      </c>
      <c r="J402" s="742" t="n">
        <v>23</v>
      </c>
      <c r="K402" s="742" t="n">
        <v>11</v>
      </c>
      <c r="L402" s="742">
        <f>IF(B402="TXO",I402-SUM(J402:K402),IF(B402="FITX",IF(D402="新倉",-SUM(J402:K402),IF(E402="賣",(H402-H401)*G402*200-SUM(J402:K402),(H401-H402)*G402*200-SUM(J402:K402))),IF(D402="新倉",-SUM(J402:K402),IF(E402="賣",(H402-H401)*G402*50-SUM(J402:K402),(H401-H402)*G402*50-SUM(J402:K402)))))</f>
        <v/>
      </c>
      <c r="M402" s="743">
        <f>L402</f>
        <v/>
      </c>
      <c r="N402" s="686">
        <f>IF(B402="TXO","",IF(D402="新倉","",IF(E402="賣",(H402-H401)*G402,(H401-H402)*G402)))</f>
        <v/>
      </c>
      <c r="O402" s="226">
        <f>ABS(I402)</f>
        <v/>
      </c>
      <c r="P402" s="667" t="n"/>
      <c r="S402" s="739" t="n"/>
      <c r="T402" s="61" t="n"/>
      <c r="U402" s="61" t="n"/>
      <c r="V402" s="61" t="n"/>
      <c r="W402" s="61" t="n"/>
    </row>
    <row r="403" hidden="1" outlineLevel="2" ht="17.25" customHeight="1" thickBot="1">
      <c r="A403" s="740" t="n">
        <v>43321</v>
      </c>
      <c r="B403" s="299" t="inlineStr">
        <is>
          <t>FIMTX</t>
        </is>
      </c>
      <c r="C403" s="300" t="inlineStr">
        <is>
          <t>小指08</t>
        </is>
      </c>
      <c r="D403" s="300" t="inlineStr">
        <is>
          <t>平倉</t>
        </is>
      </c>
      <c r="E403" s="301" t="inlineStr">
        <is>
          <t>買</t>
        </is>
      </c>
      <c r="F403" s="300" t="inlineStr">
        <is>
          <t>-</t>
        </is>
      </c>
      <c r="G403" s="741" t="n">
        <v>1</v>
      </c>
      <c r="H403" s="741" t="n">
        <v>10992</v>
      </c>
      <c r="I403" s="741" t="n">
        <v>0</v>
      </c>
      <c r="J403" s="742" t="n">
        <v>23</v>
      </c>
      <c r="K403" s="742" t="n">
        <v>11</v>
      </c>
      <c r="L403" s="742">
        <f>IF(B403="TXO",I403-SUM(J403:K403),IF(B403="FITX",IF(D403="新倉",-SUM(J403:K403),IF(E403="賣",(H403-H402)*G403*200-SUM(J403:K403),(H402-H403)*G403*200-SUM(J403:K403))),IF(D403="新倉",-SUM(J403:K403),IF(E403="賣",(H403-H402)*G403*50-SUM(J403:K403),(H402-H403)*G403*50-SUM(J403:K403)))))</f>
        <v/>
      </c>
      <c r="M403" s="743">
        <f>L403</f>
        <v/>
      </c>
      <c r="N403" s="686">
        <f>IF(B403="TXO","",IF(D403="新倉","",IF(E403="賣",(H403-H402)*G403,(H402-H403)*G403)))</f>
        <v/>
      </c>
      <c r="O403" s="226">
        <f>ABS(I403)</f>
        <v/>
      </c>
      <c r="P403" s="667" t="n"/>
      <c r="S403" s="739" t="n"/>
      <c r="T403" s="61" t="n"/>
      <c r="U403" s="61" t="n"/>
      <c r="V403" s="61" t="n"/>
      <c r="W403" s="61" t="n"/>
    </row>
    <row r="404" hidden="1" outlineLevel="2" ht="17.25" customHeight="1" thickBot="1">
      <c r="A404" s="740" t="n">
        <v>43321</v>
      </c>
      <c r="B404" s="299" t="inlineStr">
        <is>
          <t>FIMTX</t>
        </is>
      </c>
      <c r="C404" s="300" t="inlineStr">
        <is>
          <t>小指08</t>
        </is>
      </c>
      <c r="D404" s="300" t="inlineStr">
        <is>
          <t>新倉</t>
        </is>
      </c>
      <c r="E404" s="301" t="inlineStr">
        <is>
          <t>買</t>
        </is>
      </c>
      <c r="F404" s="300" t="inlineStr">
        <is>
          <t>-</t>
        </is>
      </c>
      <c r="G404" s="741" t="n">
        <v>1</v>
      </c>
      <c r="H404" s="741" t="n">
        <v>11022</v>
      </c>
      <c r="I404" s="741" t="n">
        <v>0</v>
      </c>
      <c r="J404" s="742" t="n">
        <v>23</v>
      </c>
      <c r="K404" s="742" t="n">
        <v>11</v>
      </c>
      <c r="L404" s="742">
        <f>IF(B404="TXO",I404-SUM(J404:K404),IF(B404="FITX",IF(D404="新倉",-SUM(J404:K404),IF(E404="賣",(H404-H403)*G404*200-SUM(J404:K404),(H403-H404)*G404*200-SUM(J404:K404))),IF(D404="新倉",-SUM(J404:K404),IF(E404="賣",(H404-H403)*G404*50-SUM(J404:K404),(H403-H404)*G404*50-SUM(J404:K404)))))</f>
        <v/>
      </c>
      <c r="M404" s="743">
        <f>L404</f>
        <v/>
      </c>
      <c r="N404" s="686">
        <f>IF(B404="TXO","",IF(D404="新倉","",IF(E404="賣",(H404-H403)*G404,(H403-H404)*G404)))</f>
        <v/>
      </c>
      <c r="O404" s="226">
        <f>ABS(I404)</f>
        <v/>
      </c>
      <c r="P404" s="667" t="n"/>
      <c r="S404" s="739" t="n"/>
      <c r="T404" s="61" t="n"/>
      <c r="U404" s="61" t="n"/>
      <c r="V404" s="61" t="n"/>
      <c r="W404" s="61" t="n"/>
    </row>
    <row r="405" hidden="1" outlineLevel="2" ht="17.25" customHeight="1" thickBot="1">
      <c r="A405" s="740" t="n">
        <v>43321</v>
      </c>
      <c r="B405" s="299" t="inlineStr">
        <is>
          <t>FIMTX</t>
        </is>
      </c>
      <c r="C405" s="300" t="inlineStr">
        <is>
          <t>小指08</t>
        </is>
      </c>
      <c r="D405" s="300" t="inlineStr">
        <is>
          <t>平倉</t>
        </is>
      </c>
      <c r="E405" s="301" t="inlineStr">
        <is>
          <t>賣</t>
        </is>
      </c>
      <c r="F405" s="300" t="inlineStr">
        <is>
          <t>-</t>
        </is>
      </c>
      <c r="G405" s="741" t="n">
        <v>1</v>
      </c>
      <c r="H405" s="741" t="n">
        <v>11018</v>
      </c>
      <c r="I405" s="741" t="n">
        <v>0</v>
      </c>
      <c r="J405" s="742" t="n">
        <v>23</v>
      </c>
      <c r="K405" s="742" t="n">
        <v>11</v>
      </c>
      <c r="L405" s="742">
        <f>IF(B405="TXO",I405-SUM(J405:K405),IF(B405="FITX",IF(D405="新倉",-SUM(J405:K405),IF(E405="賣",(H405-H404)*G405*200-SUM(J405:K405),(H404-H405)*G405*200-SUM(J405:K405))),IF(D405="新倉",-SUM(J405:K405),IF(E405="賣",(H405-H404)*G405*50-SUM(J405:K405),(H404-H405)*G405*50-SUM(J405:K405)))))</f>
        <v/>
      </c>
      <c r="M405" s="743">
        <f>L405</f>
        <v/>
      </c>
      <c r="N405" s="686">
        <f>IF(B405="TXO","",IF(D405="新倉","",IF(E405="賣",(H405-H404)*G405,(H404-H405)*G405)))</f>
        <v/>
      </c>
      <c r="O405" s="226">
        <f>ABS(I405)</f>
        <v/>
      </c>
      <c r="P405" s="667" t="n"/>
      <c r="S405" s="739" t="n"/>
      <c r="T405" s="61" t="n"/>
      <c r="U405" s="61" t="n"/>
      <c r="V405" s="61" t="n"/>
      <c r="W405" s="61" t="n"/>
    </row>
    <row r="406" hidden="1" outlineLevel="2" ht="17.25" customHeight="1" thickBot="1">
      <c r="A406" s="740" t="n">
        <v>43321</v>
      </c>
      <c r="B406" s="299" t="inlineStr">
        <is>
          <t>FIMTX</t>
        </is>
      </c>
      <c r="C406" s="300" t="inlineStr">
        <is>
          <t>小指08</t>
        </is>
      </c>
      <c r="D406" s="300" t="inlineStr">
        <is>
          <t>新倉</t>
        </is>
      </c>
      <c r="E406" s="301" t="inlineStr">
        <is>
          <t>買</t>
        </is>
      </c>
      <c r="F406" s="300" t="inlineStr">
        <is>
          <t>-</t>
        </is>
      </c>
      <c r="G406" s="741" t="n">
        <v>1</v>
      </c>
      <c r="H406" s="741" t="n">
        <v>11022</v>
      </c>
      <c r="I406" s="741" t="n">
        <v>0</v>
      </c>
      <c r="J406" s="742" t="n">
        <v>23</v>
      </c>
      <c r="K406" s="742" t="n">
        <v>11</v>
      </c>
      <c r="L406" s="742">
        <f>IF(B406="TXO",I406-SUM(J406:K406),IF(B406="FITX",IF(D406="新倉",-SUM(J406:K406),IF(E406="賣",(H406-H405)*G406*200-SUM(J406:K406),(H405-H406)*G406*200-SUM(J406:K406))),IF(D406="新倉",-SUM(J406:K406),IF(E406="賣",(H406-H405)*G406*50-SUM(J406:K406),(H405-H406)*G406*50-SUM(J406:K406)))))</f>
        <v/>
      </c>
      <c r="M406" s="743">
        <f>L406</f>
        <v/>
      </c>
      <c r="N406" s="686">
        <f>IF(B406="TXO","",IF(D406="新倉","",IF(E406="賣",(H406-H405)*G406,(H405-H406)*G406)))</f>
        <v/>
      </c>
      <c r="O406" s="226">
        <f>ABS(I406)</f>
        <v/>
      </c>
      <c r="P406" s="667" t="n"/>
      <c r="S406" s="739" t="n"/>
      <c r="T406" s="61" t="n"/>
      <c r="U406" s="61" t="n"/>
      <c r="V406" s="61" t="n"/>
      <c r="W406" s="61" t="n"/>
    </row>
    <row r="407" hidden="1" outlineLevel="2" ht="17.25" customHeight="1" thickBot="1">
      <c r="A407" s="740" t="n">
        <v>43321</v>
      </c>
      <c r="B407" s="299" t="inlineStr">
        <is>
          <t>FIMTX</t>
        </is>
      </c>
      <c r="C407" s="300" t="inlineStr">
        <is>
          <t>小指08</t>
        </is>
      </c>
      <c r="D407" s="300" t="inlineStr">
        <is>
          <t>平倉</t>
        </is>
      </c>
      <c r="E407" s="301" t="inlineStr">
        <is>
          <t>賣</t>
        </is>
      </c>
      <c r="F407" s="300" t="inlineStr">
        <is>
          <t>-</t>
        </is>
      </c>
      <c r="G407" s="741" t="n">
        <v>1</v>
      </c>
      <c r="H407" s="741" t="n">
        <v>11018</v>
      </c>
      <c r="I407" s="741" t="n">
        <v>0</v>
      </c>
      <c r="J407" s="742" t="n">
        <v>23</v>
      </c>
      <c r="K407" s="742" t="n">
        <v>11</v>
      </c>
      <c r="L407" s="742">
        <f>IF(B407="TXO",I407-SUM(J407:K407),IF(B407="FITX",IF(D407="新倉",-SUM(J407:K407),IF(E407="賣",(H407-H406)*G407*200-SUM(J407:K407),(H406-H407)*G407*200-SUM(J407:K407))),IF(D407="新倉",-SUM(J407:K407),IF(E407="賣",(H407-H406)*G407*50-SUM(J407:K407),(H406-H407)*G407*50-SUM(J407:K407)))))</f>
        <v/>
      </c>
      <c r="M407" s="743">
        <f>L407</f>
        <v/>
      </c>
      <c r="N407" s="686">
        <f>IF(B407="TXO","",IF(D407="新倉","",IF(E407="賣",(H407-H406)*G407,(H406-H407)*G407)))</f>
        <v/>
      </c>
      <c r="O407" s="226">
        <f>ABS(I407)</f>
        <v/>
      </c>
      <c r="P407" s="667" t="n"/>
      <c r="S407" s="739" t="n"/>
      <c r="T407" s="61" t="n"/>
      <c r="U407" s="61" t="n"/>
      <c r="V407" s="61" t="n"/>
      <c r="W407" s="61" t="n"/>
    </row>
    <row r="408" hidden="1" outlineLevel="1" ht="17.25" customHeight="1" thickBot="1">
      <c r="A408" s="696" t="n">
        <v>43325</v>
      </c>
      <c r="B408" s="234" t="inlineStr">
        <is>
          <t>TXO</t>
        </is>
      </c>
      <c r="C408" s="229" t="inlineStr">
        <is>
          <t>台指選 08 10600 P</t>
        </is>
      </c>
      <c r="D408" s="229" t="inlineStr">
        <is>
          <t>新倉</t>
        </is>
      </c>
      <c r="E408" s="257" t="inlineStr">
        <is>
          <t>買</t>
        </is>
      </c>
      <c r="F408" s="229" t="inlineStr">
        <is>
          <t>-</t>
        </is>
      </c>
      <c r="G408" s="697" t="n">
        <v>2</v>
      </c>
      <c r="H408" s="697" t="n">
        <v>8</v>
      </c>
      <c r="I408" s="697" t="n">
        <v>-800</v>
      </c>
      <c r="J408" s="585" t="n">
        <v>36</v>
      </c>
      <c r="K408" s="585" t="n">
        <v>0</v>
      </c>
      <c r="L408" s="585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/>
      </c>
      <c r="M408" s="699">
        <f>L408</f>
        <v/>
      </c>
      <c r="N408" s="686">
        <f>IF(B408="TXO","",IF(D408="新倉","",IF(E408="賣",(H408-H407)*G408,(H407-H408)*G408)))</f>
        <v/>
      </c>
      <c r="O408" s="226">
        <f>ABS(I408)</f>
        <v/>
      </c>
      <c r="P408" s="667">
        <f>SUM(L408:L418)</f>
        <v/>
      </c>
      <c r="S408" s="739" t="n"/>
      <c r="T408" s="61" t="n"/>
      <c r="U408" s="61" t="n"/>
      <c r="V408" s="61" t="n"/>
      <c r="W408" s="61" t="n"/>
    </row>
    <row r="409" hidden="1" outlineLevel="2" ht="17.25" customHeight="1" thickBot="1">
      <c r="A409" s="696" t="n">
        <v>43325</v>
      </c>
      <c r="B409" s="234" t="inlineStr">
        <is>
          <t>TXO</t>
        </is>
      </c>
      <c r="C409" s="229" t="inlineStr">
        <is>
          <t>台指選 08 10600 P</t>
        </is>
      </c>
      <c r="D409" s="229" t="inlineStr">
        <is>
          <t>新倉</t>
        </is>
      </c>
      <c r="E409" s="257" t="inlineStr">
        <is>
          <t>買</t>
        </is>
      </c>
      <c r="F409" s="229" t="inlineStr">
        <is>
          <t>-</t>
        </is>
      </c>
      <c r="G409" s="697" t="n">
        <v>1</v>
      </c>
      <c r="H409" s="697" t="n">
        <v>8</v>
      </c>
      <c r="I409" s="697" t="n">
        <v>-400</v>
      </c>
      <c r="J409" s="585" t="n">
        <v>18</v>
      </c>
      <c r="K409" s="585" t="n">
        <v>0</v>
      </c>
      <c r="L409" s="585">
        <f>IF(B409="TXO",I409-SUM(J409:K409),IF(B409="FITX",IF(D409="新倉",-SUM(J409:K409),IF(E409="賣",(H409-H408)*G409*200-SUM(J409:K409),(H408-H409)*G409*200-SUM(J409:K409))),IF(D409="新倉",-SUM(J409:K409),IF(E409="賣",(H409-H408)*G409*50-SUM(J409:K409),(H408-H409)*G409*50-SUM(J409:K409)))))</f>
        <v/>
      </c>
      <c r="M409" s="699">
        <f>L409</f>
        <v/>
      </c>
      <c r="N409" s="686">
        <f>IF(B409="TXO","",IF(D409="新倉","",IF(E409="賣",(H409-H408)*G409,(H408-H409)*G409)))</f>
        <v/>
      </c>
      <c r="O409" s="226">
        <f>ABS(I409)</f>
        <v/>
      </c>
      <c r="P409" s="667" t="n"/>
      <c r="S409" s="739" t="n"/>
      <c r="T409" s="61" t="n"/>
      <c r="U409" s="61" t="n"/>
      <c r="V409" s="61" t="n"/>
      <c r="W409" s="61" t="n"/>
    </row>
    <row r="410" hidden="1" outlineLevel="2" ht="17.25" customHeight="1" thickBot="1">
      <c r="A410" s="696" t="n">
        <v>43325</v>
      </c>
      <c r="B410" s="234" t="inlineStr">
        <is>
          <t>TXO</t>
        </is>
      </c>
      <c r="C410" s="229" t="inlineStr">
        <is>
          <t>台指選 08 10700 P</t>
        </is>
      </c>
      <c r="D410" s="229" t="inlineStr">
        <is>
          <t>新倉</t>
        </is>
      </c>
      <c r="E410" s="257" t="inlineStr">
        <is>
          <t>買</t>
        </is>
      </c>
      <c r="F410" s="229" t="inlineStr">
        <is>
          <t>-</t>
        </is>
      </c>
      <c r="G410" s="697" t="n">
        <v>2</v>
      </c>
      <c r="H410" s="697" t="n">
        <v>20</v>
      </c>
      <c r="I410" s="697" t="n">
        <v>-2000</v>
      </c>
      <c r="J410" s="585" t="n">
        <v>36</v>
      </c>
      <c r="K410" s="585" t="n">
        <v>2</v>
      </c>
      <c r="L410" s="585">
        <f>IF(B410="TXO",I410-SUM(J410:K410),IF(B410="FITX",IF(D410="新倉",-SUM(J410:K410),IF(E410="賣",(H410-H409)*G410*200-SUM(J410:K410),(H409-H410)*G410*200-SUM(J410:K410))),IF(D410="新倉",-SUM(J410:K410),IF(E410="賣",(H410-H409)*G410*50-SUM(J410:K410),(H409-H410)*G410*50-SUM(J410:K410)))))</f>
        <v/>
      </c>
      <c r="M410" s="699">
        <f>L410</f>
        <v/>
      </c>
      <c r="N410" s="686">
        <f>IF(B410="TXO","",IF(D410="新倉","",IF(E410="賣",(H410-H409)*G410,(H409-H410)*G410)))</f>
        <v/>
      </c>
      <c r="O410" s="226">
        <f>ABS(I410)</f>
        <v/>
      </c>
      <c r="P410" s="667" t="n"/>
      <c r="S410" s="739" t="n"/>
      <c r="T410" s="61" t="n"/>
      <c r="U410" s="61" t="n"/>
      <c r="V410" s="61" t="n"/>
      <c r="W410" s="61" t="n"/>
    </row>
    <row r="411" hidden="1" outlineLevel="2" ht="17.25" customHeight="1" thickBot="1">
      <c r="A411" s="696" t="n">
        <v>43325</v>
      </c>
      <c r="B411" s="234" t="inlineStr">
        <is>
          <t>FIMTX</t>
        </is>
      </c>
      <c r="C411" s="229" t="inlineStr">
        <is>
          <t>小指08</t>
        </is>
      </c>
      <c r="D411" s="229" t="inlineStr">
        <is>
          <t>新倉</t>
        </is>
      </c>
      <c r="E411" s="257" t="inlineStr">
        <is>
          <t>賣</t>
        </is>
      </c>
      <c r="F411" s="229" t="inlineStr">
        <is>
          <t>-</t>
        </is>
      </c>
      <c r="G411" s="697" t="n">
        <v>1</v>
      </c>
      <c r="H411" s="697" t="n">
        <v>10735</v>
      </c>
      <c r="I411" s="697" t="n">
        <v>0</v>
      </c>
      <c r="J411" s="585" t="n">
        <v>23</v>
      </c>
      <c r="K411" s="585" t="n">
        <v>11</v>
      </c>
      <c r="L411" s="585">
        <f>IF(B411="TXO",I411-SUM(J411:K411),IF(B411="FITX",IF(D411="新倉",-SUM(J411:K411),IF(E411="賣",(H411-H410)*G411*200-SUM(J411:K411),(H410-H411)*G411*200-SUM(J411:K411))),IF(D411="新倉",-SUM(J411:K411),IF(E411="賣",(H411-H410)*G411*50-SUM(J411:K411),(H410-H411)*G411*50-SUM(J411:K411)))))</f>
        <v/>
      </c>
      <c r="M411" s="699">
        <f>L411</f>
        <v/>
      </c>
      <c r="N411" s="686">
        <f>IF(B411="TXO","",IF(D411="新倉","",IF(E411="賣",(H411-H410)*G411,(H410-H411)*G411)))</f>
        <v/>
      </c>
      <c r="O411" s="226">
        <f>ABS(I411)</f>
        <v/>
      </c>
      <c r="P411" s="667" t="n"/>
      <c r="S411" s="739" t="n"/>
      <c r="T411" s="61" t="n"/>
      <c r="U411" s="61" t="n"/>
      <c r="V411" s="61" t="n"/>
      <c r="W411" s="61" t="n"/>
    </row>
    <row r="412" hidden="1" outlineLevel="2" ht="17.25" customHeight="1" thickBot="1">
      <c r="A412" s="696" t="n">
        <v>43325</v>
      </c>
      <c r="B412" s="234" t="inlineStr">
        <is>
          <t>FIMTX</t>
        </is>
      </c>
      <c r="C412" s="229" t="inlineStr">
        <is>
          <t>小指08</t>
        </is>
      </c>
      <c r="D412" s="229" t="inlineStr">
        <is>
          <t>平倉</t>
        </is>
      </c>
      <c r="E412" s="257" t="inlineStr">
        <is>
          <t>買</t>
        </is>
      </c>
      <c r="F412" s="229" t="inlineStr">
        <is>
          <t>-</t>
        </is>
      </c>
      <c r="G412" s="697" t="n">
        <v>1</v>
      </c>
      <c r="H412" s="697" t="n">
        <v>10748</v>
      </c>
      <c r="I412" s="697" t="n">
        <v>0</v>
      </c>
      <c r="J412" s="585" t="n">
        <v>23</v>
      </c>
      <c r="K412" s="585" t="n">
        <v>11</v>
      </c>
      <c r="L412" s="585">
        <f>IF(B412="TXO",I412-SUM(J412:K412),IF(B412="FITX",IF(D412="新倉",-SUM(J412:K412),IF(E412="賣",(H412-H411)*G412*200-SUM(J412:K412),(H411-H412)*G412*200-SUM(J412:K412))),IF(D412="新倉",-SUM(J412:K412),IF(E412="賣",(H412-H411)*G412*50-SUM(J412:K412),(H411-H412)*G412*50-SUM(J412:K412)))))</f>
        <v/>
      </c>
      <c r="M412" s="699">
        <f>L412</f>
        <v/>
      </c>
      <c r="N412" s="686">
        <f>IF(B412="TXO","",IF(D412="新倉","",IF(E412="賣",(H412-H411)*G412,(H411-H412)*G412)))</f>
        <v/>
      </c>
      <c r="O412" s="226">
        <f>ABS(I412)</f>
        <v/>
      </c>
      <c r="P412" s="667" t="n"/>
      <c r="S412" s="739" t="n"/>
      <c r="T412" s="61" t="n"/>
      <c r="U412" s="61" t="n"/>
      <c r="V412" s="61" t="n"/>
      <c r="W412" s="61" t="n"/>
    </row>
    <row r="413" hidden="1" outlineLevel="2" ht="17.25" customHeight="1" thickBot="1">
      <c r="A413" s="696" t="n">
        <v>43325</v>
      </c>
      <c r="B413" s="234" t="inlineStr">
        <is>
          <t>FIMTX</t>
        </is>
      </c>
      <c r="C413" s="229" t="inlineStr">
        <is>
          <t>小指08</t>
        </is>
      </c>
      <c r="D413" s="229" t="inlineStr">
        <is>
          <t>新倉</t>
        </is>
      </c>
      <c r="E413" s="257" t="inlineStr">
        <is>
          <t>賣</t>
        </is>
      </c>
      <c r="F413" s="229" t="inlineStr">
        <is>
          <t>-</t>
        </is>
      </c>
      <c r="G413" s="697" t="n">
        <v>1</v>
      </c>
      <c r="H413" s="697" t="n">
        <v>10739</v>
      </c>
      <c r="I413" s="697" t="n">
        <v>0</v>
      </c>
      <c r="J413" s="585" t="n">
        <v>23</v>
      </c>
      <c r="K413" s="585" t="n">
        <v>11</v>
      </c>
      <c r="L413" s="585">
        <f>IF(B413="TXO",I413-SUM(J413:K413),IF(B413="FITX",IF(D413="新倉",-SUM(J413:K413),IF(E413="賣",(H413-H412)*G413*200-SUM(J413:K413),(H412-H413)*G413*200-SUM(J413:K413))),IF(D413="新倉",-SUM(J413:K413),IF(E413="賣",(H413-H412)*G413*50-SUM(J413:K413),(H412-H413)*G413*50-SUM(J413:K413)))))</f>
        <v/>
      </c>
      <c r="M413" s="699">
        <f>L413</f>
        <v/>
      </c>
      <c r="N413" s="686">
        <f>IF(B413="TXO","",IF(D413="新倉","",IF(E413="賣",(H413-H412)*G413,(H412-H413)*G413)))</f>
        <v/>
      </c>
      <c r="O413" s="226">
        <f>ABS(I413)</f>
        <v/>
      </c>
      <c r="P413" s="667" t="n"/>
      <c r="S413" s="739" t="n"/>
      <c r="T413" s="61" t="n"/>
      <c r="U413" s="61" t="n"/>
      <c r="V413" s="61" t="n"/>
      <c r="W413" s="61" t="n"/>
    </row>
    <row r="414" hidden="1" outlineLevel="2" ht="17.25" customHeight="1" thickBot="1">
      <c r="A414" s="696" t="n">
        <v>43325</v>
      </c>
      <c r="B414" s="234" t="inlineStr">
        <is>
          <t>FIMTX</t>
        </is>
      </c>
      <c r="C414" s="229" t="inlineStr">
        <is>
          <t>小指08</t>
        </is>
      </c>
      <c r="D414" s="229" t="inlineStr">
        <is>
          <t>平倉</t>
        </is>
      </c>
      <c r="E414" s="257" t="inlineStr">
        <is>
          <t>買</t>
        </is>
      </c>
      <c r="F414" s="229" t="inlineStr">
        <is>
          <t>-</t>
        </is>
      </c>
      <c r="G414" s="697" t="n">
        <v>1</v>
      </c>
      <c r="H414" s="697" t="n">
        <v>10759</v>
      </c>
      <c r="I414" s="697" t="n">
        <v>0</v>
      </c>
      <c r="J414" s="585" t="n">
        <v>23</v>
      </c>
      <c r="K414" s="585" t="n">
        <v>11</v>
      </c>
      <c r="L414" s="585">
        <f>IF(B414="TXO",I414-SUM(J414:K414),IF(B414="FITX",IF(D414="新倉",-SUM(J414:K414),IF(E414="賣",(H414-H413)*G414*200-SUM(J414:K414),(H413-H414)*G414*200-SUM(J414:K414))),IF(D414="新倉",-SUM(J414:K414),IF(E414="賣",(H414-H413)*G414*50-SUM(J414:K414),(H413-H414)*G414*50-SUM(J414:K414)))))</f>
        <v/>
      </c>
      <c r="M414" s="699">
        <f>L414</f>
        <v/>
      </c>
      <c r="N414" s="686">
        <f>IF(B414="TXO","",IF(D414="新倉","",IF(E414="賣",(H414-H413)*G414,(H413-H414)*G414)))</f>
        <v/>
      </c>
      <c r="O414" s="226">
        <f>ABS(I414)</f>
        <v/>
      </c>
      <c r="P414" s="667" t="n"/>
      <c r="S414" s="739" t="n"/>
      <c r="T414" s="61" t="n"/>
      <c r="U414" s="61" t="n"/>
      <c r="V414" s="61" t="n"/>
      <c r="W414" s="61" t="n"/>
    </row>
    <row r="415" hidden="1" outlineLevel="2" ht="17.25" customHeight="1" thickBot="1">
      <c r="A415" s="696" t="n">
        <v>43325</v>
      </c>
      <c r="B415" s="234" t="inlineStr">
        <is>
          <t>FIMTX</t>
        </is>
      </c>
      <c r="C415" s="229" t="inlineStr">
        <is>
          <t>小指08</t>
        </is>
      </c>
      <c r="D415" s="229" t="inlineStr">
        <is>
          <t>新倉</t>
        </is>
      </c>
      <c r="E415" s="257" t="inlineStr">
        <is>
          <t>買</t>
        </is>
      </c>
      <c r="F415" s="229" t="inlineStr">
        <is>
          <t>-</t>
        </is>
      </c>
      <c r="G415" s="697" t="n">
        <v>1</v>
      </c>
      <c r="H415" s="697" t="n">
        <v>10775</v>
      </c>
      <c r="I415" s="697" t="n">
        <v>0</v>
      </c>
      <c r="J415" s="585" t="n">
        <v>23</v>
      </c>
      <c r="K415" s="585" t="n">
        <v>11</v>
      </c>
      <c r="L415" s="585">
        <f>IF(B415="TXO",I415-SUM(J415:K415),IF(B415="FITX",IF(D415="新倉",-SUM(J415:K415),IF(E415="賣",(H415-H414)*G415*200-SUM(J415:K415),(H414-H415)*G415*200-SUM(J415:K415))),IF(D415="新倉",-SUM(J415:K415),IF(E415="賣",(H415-H414)*G415*50-SUM(J415:K415),(H414-H415)*G415*50-SUM(J415:K415)))))</f>
        <v/>
      </c>
      <c r="M415" s="699">
        <f>L415</f>
        <v/>
      </c>
      <c r="N415" s="686">
        <f>IF(B415="TXO","",IF(D415="新倉","",IF(E415="賣",(H415-H414)*G415,(H414-H415)*G415)))</f>
        <v/>
      </c>
      <c r="O415" s="226">
        <f>ABS(I415)</f>
        <v/>
      </c>
      <c r="P415" s="667" t="n"/>
      <c r="S415" s="739" t="n"/>
      <c r="T415" s="61" t="n"/>
      <c r="U415" s="61" t="n"/>
      <c r="V415" s="61" t="n"/>
      <c r="W415" s="61" t="n"/>
    </row>
    <row r="416" hidden="1" outlineLevel="2" ht="17.25" customHeight="1" thickBot="1">
      <c r="A416" s="696" t="n">
        <v>43325</v>
      </c>
      <c r="B416" s="234" t="inlineStr">
        <is>
          <t>FIMTX</t>
        </is>
      </c>
      <c r="C416" s="229" t="inlineStr">
        <is>
          <t>小指08</t>
        </is>
      </c>
      <c r="D416" s="229" t="inlineStr">
        <is>
          <t>平倉</t>
        </is>
      </c>
      <c r="E416" s="257" t="inlineStr">
        <is>
          <t>賣</t>
        </is>
      </c>
      <c r="F416" s="229" t="inlineStr">
        <is>
          <t>-</t>
        </is>
      </c>
      <c r="G416" s="697" t="n">
        <v>1</v>
      </c>
      <c r="H416" s="697" t="n">
        <v>10784</v>
      </c>
      <c r="I416" s="697" t="n">
        <v>0</v>
      </c>
      <c r="J416" s="585" t="n">
        <v>23</v>
      </c>
      <c r="K416" s="585" t="n">
        <v>11</v>
      </c>
      <c r="L416" s="585">
        <f>IF(B416="TXO",I416-SUM(J416:K416),IF(B416="FITX",IF(D416="新倉",-SUM(J416:K416),IF(E416="賣",(H416-H415)*G416*200-SUM(J416:K416),(H415-H416)*G416*200-SUM(J416:K416))),IF(D416="新倉",-SUM(J416:K416),IF(E416="賣",(H416-H415)*G416*50-SUM(J416:K416),(H415-H416)*G416*50-SUM(J416:K416)))))</f>
        <v/>
      </c>
      <c r="M416" s="699">
        <f>L416</f>
        <v/>
      </c>
      <c r="N416" s="686">
        <f>IF(B416="TXO","",IF(D416="新倉","",IF(E416="賣",(H416-H415)*G416,(H415-H416)*G416)))</f>
        <v/>
      </c>
      <c r="O416" s="226">
        <f>ABS(I416)</f>
        <v/>
      </c>
      <c r="P416" s="667" t="n"/>
      <c r="S416" s="739" t="n"/>
      <c r="T416" s="61" t="n"/>
      <c r="U416" s="61" t="n"/>
      <c r="V416" s="61" t="n"/>
      <c r="W416" s="61" t="n"/>
    </row>
    <row r="417" hidden="1" outlineLevel="2" ht="17.25" customHeight="1" thickBot="1">
      <c r="A417" s="696" t="n">
        <v>43325</v>
      </c>
      <c r="B417" s="234" t="inlineStr">
        <is>
          <t>FIMTX</t>
        </is>
      </c>
      <c r="C417" s="229" t="inlineStr">
        <is>
          <t>小指08</t>
        </is>
      </c>
      <c r="D417" s="229" t="inlineStr">
        <is>
          <t>新倉</t>
        </is>
      </c>
      <c r="E417" s="257" t="inlineStr">
        <is>
          <t>賣</t>
        </is>
      </c>
      <c r="F417" s="229" t="inlineStr">
        <is>
          <t>-</t>
        </is>
      </c>
      <c r="G417" s="697" t="n">
        <v>1</v>
      </c>
      <c r="H417" s="697" t="n">
        <v>10752</v>
      </c>
      <c r="I417" s="697" t="n">
        <v>0</v>
      </c>
      <c r="J417" s="585" t="n">
        <v>23</v>
      </c>
      <c r="K417" s="585" t="n">
        <v>11</v>
      </c>
      <c r="L417" s="585">
        <f>IF(B417="TXO",I417-SUM(J417:K417),IF(B417="FITX",IF(D417="新倉",-SUM(J417:K417),IF(E417="賣",(H417-H416)*G417*200-SUM(J417:K417),(H416-H417)*G417*200-SUM(J417:K417))),IF(D417="新倉",-SUM(J417:K417),IF(E417="賣",(H417-H416)*G417*50-SUM(J417:K417),(H416-H417)*G417*50-SUM(J417:K417)))))</f>
        <v/>
      </c>
      <c r="M417" s="699">
        <f>L417</f>
        <v/>
      </c>
      <c r="N417" s="686">
        <f>IF(B417="TXO","",IF(D417="新倉","",IF(E417="賣",(H417-H416)*G417,(H416-H417)*G417)))</f>
        <v/>
      </c>
      <c r="O417" s="226">
        <f>ABS(I417)</f>
        <v/>
      </c>
      <c r="P417" s="667" t="n"/>
      <c r="S417" s="739" t="n"/>
      <c r="T417" s="61" t="n"/>
      <c r="U417" s="61" t="n"/>
      <c r="V417" s="61" t="n"/>
      <c r="W417" s="61" t="n"/>
    </row>
    <row r="418" hidden="1" outlineLevel="2" ht="17.25" customHeight="1" thickBot="1">
      <c r="A418" s="696" t="n">
        <v>43325</v>
      </c>
      <c r="B418" s="234" t="inlineStr">
        <is>
          <t>FIMTX</t>
        </is>
      </c>
      <c r="C418" s="229" t="inlineStr">
        <is>
          <t>小指08</t>
        </is>
      </c>
      <c r="D418" s="229" t="inlineStr">
        <is>
          <t>平倉</t>
        </is>
      </c>
      <c r="E418" s="257" t="inlineStr">
        <is>
          <t>買</t>
        </is>
      </c>
      <c r="F418" s="229" t="inlineStr">
        <is>
          <t>-</t>
        </is>
      </c>
      <c r="G418" s="697" t="n">
        <v>1</v>
      </c>
      <c r="H418" s="697" t="n">
        <v>10748</v>
      </c>
      <c r="I418" s="697" t="n">
        <v>0</v>
      </c>
      <c r="J418" s="585" t="n">
        <v>23</v>
      </c>
      <c r="K418" s="585" t="n">
        <v>11</v>
      </c>
      <c r="L418" s="585">
        <f>IF(B418="TXO",I418-SUM(J418:K418),IF(B418="FITX",IF(D418="新倉",-SUM(J418:K418),IF(E418="賣",(H418-H417)*G418*200-SUM(J418:K418),(H417-H418)*G418*200-SUM(J418:K418))),IF(D418="新倉",-SUM(J418:K418),IF(E418="賣",(H418-H417)*G418*50-SUM(J418:K418),(H417-H418)*G418*50-SUM(J418:K418)))))</f>
        <v/>
      </c>
      <c r="M418" s="699">
        <f>L418</f>
        <v/>
      </c>
      <c r="N418" s="686">
        <f>IF(B418="TXO","",IF(D418="新倉","",IF(E418="賣",(H418-H417)*G418,(H417-H418)*G418)))</f>
        <v/>
      </c>
      <c r="O418" s="226">
        <f>ABS(I418)</f>
        <v/>
      </c>
      <c r="P418" s="667" t="n"/>
      <c r="S418" s="739" t="n"/>
      <c r="T418" s="61" t="n"/>
      <c r="U418" s="61" t="n"/>
      <c r="V418" s="61" t="n"/>
      <c r="W418" s="61" t="n"/>
    </row>
    <row r="419" hidden="1" outlineLevel="1" ht="17.25" customHeight="1" thickBot="1">
      <c r="A419" s="740" t="n">
        <v>43326</v>
      </c>
      <c r="B419" s="299" t="inlineStr">
        <is>
          <t>FIMTX</t>
        </is>
      </c>
      <c r="C419" s="300" t="inlineStr">
        <is>
          <t>小指08</t>
        </is>
      </c>
      <c r="D419" s="300" t="inlineStr">
        <is>
          <t>新倉</t>
        </is>
      </c>
      <c r="E419" s="301" t="inlineStr">
        <is>
          <t>賣</t>
        </is>
      </c>
      <c r="F419" s="300" t="inlineStr">
        <is>
          <t>-</t>
        </is>
      </c>
      <c r="G419" s="741" t="n">
        <v>1</v>
      </c>
      <c r="H419" s="741" t="n">
        <v>10775</v>
      </c>
      <c r="I419" s="741" t="n">
        <v>0</v>
      </c>
      <c r="J419" s="742" t="n">
        <v>23</v>
      </c>
      <c r="K419" s="742" t="n">
        <v>11</v>
      </c>
      <c r="L419" s="742">
        <f>IF(B419="TXO",I419-SUM(J419:K419),IF(B419="FITX",IF(D419="新倉",-SUM(J419:K419),IF(E419="賣",(H419-H418)*G419*200-SUM(J419:K419),(H418-H419)*G419*200-SUM(J419:K419))),IF(D419="新倉",-SUM(J419:K419),IF(E419="賣",(H419-H418)*G419*50-SUM(J419:K419),(H418-H419)*G419*50-SUM(J419:K419)))))</f>
        <v/>
      </c>
      <c r="M419" s="743">
        <f>L419</f>
        <v/>
      </c>
      <c r="N419" s="686">
        <f>IF(B419="TXO","",IF(D419="新倉","",IF(E419="賣",(H419-H418)*G419,(H418-H419)*G419)))</f>
        <v/>
      </c>
      <c r="O419" s="226">
        <f>ABS(I419)</f>
        <v/>
      </c>
      <c r="P419" s="667">
        <f>SUM(L419:L422)</f>
        <v/>
      </c>
      <c r="S419" s="739" t="n"/>
      <c r="T419" s="61" t="n"/>
      <c r="U419" s="61" t="n"/>
      <c r="V419" s="61" t="n"/>
      <c r="W419" s="61" t="n"/>
    </row>
    <row r="420" hidden="1" outlineLevel="2" collapsed="1" ht="17.25" customHeight="1" thickBot="1">
      <c r="A420" s="740" t="n">
        <v>43326</v>
      </c>
      <c r="B420" s="299" t="inlineStr">
        <is>
          <t>FIMTX</t>
        </is>
      </c>
      <c r="C420" s="300" t="inlineStr">
        <is>
          <t>小指08</t>
        </is>
      </c>
      <c r="D420" s="300" t="inlineStr">
        <is>
          <t>平倉</t>
        </is>
      </c>
      <c r="E420" s="301" t="inlineStr">
        <is>
          <t>買</t>
        </is>
      </c>
      <c r="F420" s="300" t="inlineStr">
        <is>
          <t>-</t>
        </is>
      </c>
      <c r="G420" s="741" t="n">
        <v>1</v>
      </c>
      <c r="H420" s="741" t="n">
        <v>10761</v>
      </c>
      <c r="I420" s="741" t="n">
        <v>0</v>
      </c>
      <c r="J420" s="742" t="n">
        <v>23</v>
      </c>
      <c r="K420" s="742" t="n">
        <v>11</v>
      </c>
      <c r="L420" s="742">
        <f>IF(B420="TXO",I420-SUM(J420:K420),IF(B420="FITX",IF(D420="新倉",-SUM(J420:K420),IF(E420="賣",(H420-H419)*G420*200-SUM(J420:K420),(H419-H420)*G420*200-SUM(J420:K420))),IF(D420="新倉",-SUM(J420:K420),IF(E420="賣",(H420-H419)*G420*50-SUM(J420:K420),(H419-H420)*G420*50-SUM(J420:K420)))))</f>
        <v/>
      </c>
      <c r="M420" s="743">
        <f>L420</f>
        <v/>
      </c>
      <c r="N420" s="686">
        <f>IF(B420="TXO","",IF(D420="新倉","",IF(E420="賣",(H420-H419)*G420,(H419-H420)*G420)))</f>
        <v/>
      </c>
      <c r="O420" s="226">
        <f>ABS(I420)</f>
        <v/>
      </c>
      <c r="P420" s="667" t="n"/>
      <c r="S420" s="739" t="n"/>
      <c r="T420" s="61" t="n"/>
      <c r="U420" s="61" t="n"/>
      <c r="V420" s="61" t="n"/>
      <c r="W420" s="61" t="n"/>
    </row>
    <row r="421" hidden="1" outlineLevel="2" collapsed="1" ht="17.25" customHeight="1" thickBot="1">
      <c r="A421" s="740" t="n">
        <v>43326</v>
      </c>
      <c r="B421" s="299" t="inlineStr">
        <is>
          <t>FIMTX</t>
        </is>
      </c>
      <c r="C421" s="300" t="inlineStr">
        <is>
          <t>小指08</t>
        </is>
      </c>
      <c r="D421" s="300" t="inlineStr">
        <is>
          <t>新倉</t>
        </is>
      </c>
      <c r="E421" s="301" t="inlineStr">
        <is>
          <t>賣</t>
        </is>
      </c>
      <c r="F421" s="300" t="inlineStr">
        <is>
          <t>-</t>
        </is>
      </c>
      <c r="G421" s="741" t="n">
        <v>1</v>
      </c>
      <c r="H421" s="741" t="n">
        <v>10772</v>
      </c>
      <c r="I421" s="741" t="n">
        <v>0</v>
      </c>
      <c r="J421" s="742" t="n">
        <v>23</v>
      </c>
      <c r="K421" s="742" t="n">
        <v>11</v>
      </c>
      <c r="L421" s="742">
        <f>IF(B421="TXO",I421-SUM(J421:K421),IF(B421="FITX",IF(D421="新倉",-SUM(J421:K421),IF(E421="賣",(H421-H420)*G421*200-SUM(J421:K421),(H420-H421)*G421*200-SUM(J421:K421))),IF(D421="新倉",-SUM(J421:K421),IF(E421="賣",(H421-H420)*G421*50-SUM(J421:K421),(H420-H421)*G421*50-SUM(J421:K421)))))</f>
        <v/>
      </c>
      <c r="M421" s="743">
        <f>L421</f>
        <v/>
      </c>
      <c r="N421" s="686">
        <f>IF(B421="TXO","",IF(D421="新倉","",IF(E421="賣",(H421-H420)*G421,(H420-H421)*G421)))</f>
        <v/>
      </c>
      <c r="O421" s="226">
        <f>ABS(I421)</f>
        <v/>
      </c>
      <c r="P421" s="667" t="n"/>
      <c r="S421" s="739" t="n"/>
      <c r="T421" s="61" t="n"/>
      <c r="U421" s="61" t="n"/>
      <c r="V421" s="61" t="n"/>
      <c r="W421" s="61" t="n"/>
    </row>
    <row r="422" hidden="1" outlineLevel="2" collapsed="1" ht="17.25" customHeight="1" thickBot="1">
      <c r="A422" s="740" t="n">
        <v>43326</v>
      </c>
      <c r="B422" s="299" t="inlineStr">
        <is>
          <t>FIMTX</t>
        </is>
      </c>
      <c r="C422" s="300" t="inlineStr">
        <is>
          <t>小指08</t>
        </is>
      </c>
      <c r="D422" s="300" t="inlineStr">
        <is>
          <t>平倉</t>
        </is>
      </c>
      <c r="E422" s="301" t="inlineStr">
        <is>
          <t>買</t>
        </is>
      </c>
      <c r="F422" s="300" t="inlineStr">
        <is>
          <t>-</t>
        </is>
      </c>
      <c r="G422" s="741" t="n">
        <v>1</v>
      </c>
      <c r="H422" s="741" t="n">
        <v>10776</v>
      </c>
      <c r="I422" s="741" t="n">
        <v>0</v>
      </c>
      <c r="J422" s="742" t="n">
        <v>23</v>
      </c>
      <c r="K422" s="742" t="n">
        <v>11</v>
      </c>
      <c r="L422" s="742">
        <f>IF(B422="TXO",I422-SUM(J422:K422),IF(B422="FITX",IF(D422="新倉",-SUM(J422:K422),IF(E422="賣",(H422-H421)*G422*200-SUM(J422:K422),(H421-H422)*G422*200-SUM(J422:K422))),IF(D422="新倉",-SUM(J422:K422),IF(E422="賣",(H422-H421)*G422*50-SUM(J422:K422),(H421-H422)*G422*50-SUM(J422:K422)))))</f>
        <v/>
      </c>
      <c r="M422" s="743">
        <f>L422</f>
        <v/>
      </c>
      <c r="N422" s="686">
        <f>IF(B422="TXO","",IF(D422="新倉","",IF(E422="賣",(H422-H421)*G422,(H421-H422)*G422)))</f>
        <v/>
      </c>
      <c r="O422" s="226">
        <f>ABS(I422)</f>
        <v/>
      </c>
      <c r="P422" s="667" t="n"/>
      <c r="S422" s="739" t="n"/>
      <c r="T422" s="61" t="n"/>
      <c r="U422" s="61" t="n"/>
      <c r="V422" s="61" t="n"/>
      <c r="W422" s="61" t="n"/>
    </row>
    <row r="423" hidden="1" outlineLevel="1" ht="17.25" customHeight="1" thickBot="1">
      <c r="A423" s="696" t="n">
        <v>43326</v>
      </c>
      <c r="B423" s="234" t="inlineStr">
        <is>
          <t>FIMTX</t>
        </is>
      </c>
      <c r="C423" s="229" t="inlineStr">
        <is>
          <t>小指08</t>
        </is>
      </c>
      <c r="D423" s="229" t="inlineStr">
        <is>
          <t>新倉</t>
        </is>
      </c>
      <c r="E423" s="257" t="inlineStr">
        <is>
          <t>賣</t>
        </is>
      </c>
      <c r="F423" s="229" t="inlineStr">
        <is>
          <t>-</t>
        </is>
      </c>
      <c r="G423" s="697" t="n">
        <v>1</v>
      </c>
      <c r="H423" s="697" t="n">
        <v>10816</v>
      </c>
      <c r="I423" s="697" t="n">
        <v>0</v>
      </c>
      <c r="J423" s="585" t="n">
        <v>23</v>
      </c>
      <c r="K423" s="585" t="n">
        <v>11</v>
      </c>
      <c r="L423" s="585">
        <f>IF(B423="TXO",I423-SUM(J423:K423),IF(B423="FITX",IF(D423="新倉",-SUM(J423:K423),IF(E423="賣",(H423-H422)*G423*200-SUM(J423:K423),(H422-H423)*G423*200-SUM(J423:K423))),IF(D423="新倉",-SUM(J423:K423),IF(E423="賣",(H423-H422)*G423*50-SUM(J423:K423),(H422-H423)*G423*50-SUM(J423:K423)))))</f>
        <v/>
      </c>
      <c r="M423" s="699">
        <f>L423</f>
        <v/>
      </c>
      <c r="N423" s="686">
        <f>IF(B423="TXO","",IF(D423="新倉","",IF(E423="賣",(H423-H422)*G423,(H422-H423)*G423)))</f>
        <v/>
      </c>
      <c r="O423" s="226">
        <f>ABS(I423)</f>
        <v/>
      </c>
      <c r="P423" s="667">
        <f>SUM(L423:L430)</f>
        <v/>
      </c>
      <c r="S423" s="739" t="n"/>
      <c r="T423" s="61" t="n"/>
      <c r="U423" s="61" t="n"/>
      <c r="V423" s="61" t="n"/>
      <c r="W423" s="61" t="n"/>
    </row>
    <row r="424" hidden="1" outlineLevel="2" ht="17.25" customHeight="1" thickBot="1">
      <c r="A424" s="696" t="n">
        <v>43327</v>
      </c>
      <c r="B424" s="234" t="inlineStr">
        <is>
          <t>FIMTX</t>
        </is>
      </c>
      <c r="C424" s="229" t="inlineStr">
        <is>
          <t>小指08</t>
        </is>
      </c>
      <c r="D424" s="229" t="inlineStr">
        <is>
          <t>平倉</t>
        </is>
      </c>
      <c r="E424" s="257" t="inlineStr">
        <is>
          <t>買</t>
        </is>
      </c>
      <c r="F424" s="229" t="inlineStr">
        <is>
          <t>-</t>
        </is>
      </c>
      <c r="G424" s="697" t="n">
        <v>1</v>
      </c>
      <c r="H424" s="697" t="n">
        <v>10792</v>
      </c>
      <c r="I424" s="697" t="n">
        <v>0</v>
      </c>
      <c r="J424" s="585" t="n">
        <v>23</v>
      </c>
      <c r="K424" s="585" t="n">
        <v>11</v>
      </c>
      <c r="L424" s="585">
        <f>IF(B424="TXO",I424-SUM(J424:K424),IF(B424="FITX",IF(D424="新倉",-SUM(J424:K424),IF(E424="賣",(H424-H423)*G424*200-SUM(J424:K424),(H423-H424)*G424*200-SUM(J424:K424))),IF(D424="新倉",-SUM(J424:K424),IF(E424="賣",(H424-H423)*G424*50-SUM(J424:K424),(H423-H424)*G424*50-SUM(J424:K424)))))</f>
        <v/>
      </c>
      <c r="M424" s="699">
        <f>L424</f>
        <v/>
      </c>
      <c r="N424" s="686">
        <f>IF(B424="TXO","",IF(D424="新倉","",IF(E424="賣",(H424-H423)*G424,(H423-H424)*G424)))</f>
        <v/>
      </c>
      <c r="O424" s="226">
        <f>ABS(I424)</f>
        <v/>
      </c>
      <c r="P424" s="667" t="n"/>
      <c r="S424" s="739" t="n"/>
      <c r="T424" s="61" t="n"/>
      <c r="U424" s="61" t="n"/>
      <c r="V424" s="61" t="n"/>
      <c r="W424" s="61" t="n"/>
    </row>
    <row r="425" hidden="1" outlineLevel="2" ht="17.25" customHeight="1" thickBot="1">
      <c r="A425" s="696" t="n">
        <v>43327</v>
      </c>
      <c r="B425" s="234" t="inlineStr">
        <is>
          <t>FIMTX</t>
        </is>
      </c>
      <c r="C425" s="229" t="inlineStr">
        <is>
          <t>小指09</t>
        </is>
      </c>
      <c r="D425" s="229" t="inlineStr">
        <is>
          <t>新倉</t>
        </is>
      </c>
      <c r="E425" s="257" t="inlineStr">
        <is>
          <t>賣</t>
        </is>
      </c>
      <c r="F425" s="229" t="inlineStr">
        <is>
          <t>-</t>
        </is>
      </c>
      <c r="G425" s="697" t="n">
        <v>1</v>
      </c>
      <c r="H425" s="697" t="n">
        <v>10596</v>
      </c>
      <c r="I425" s="697" t="n">
        <v>0</v>
      </c>
      <c r="J425" s="585" t="n">
        <v>23</v>
      </c>
      <c r="K425" s="585" t="n">
        <v>11</v>
      </c>
      <c r="L425" s="585">
        <f>IF(B425="TXO",I425-SUM(J425:K425),IF(B425="FITX",IF(D425="新倉",-SUM(J425:K425),IF(E425="賣",(H425-H424)*G425*200-SUM(J425:K425),(H424-H425)*G425*200-SUM(J425:K425))),IF(D425="新倉",-SUM(J425:K425),IF(E425="賣",(H425-H424)*G425*50-SUM(J425:K425),(H424-H425)*G425*50-SUM(J425:K425)))))</f>
        <v/>
      </c>
      <c r="M425" s="699">
        <f>L425</f>
        <v/>
      </c>
      <c r="N425" s="686">
        <f>IF(B425="TXO","",IF(D425="新倉","",IF(E425="賣",(H425-H424)*G425,(H424-H425)*G425)))</f>
        <v/>
      </c>
      <c r="O425" s="226">
        <f>ABS(I425)</f>
        <v/>
      </c>
      <c r="P425" s="667" t="n"/>
      <c r="S425" s="739" t="n"/>
      <c r="T425" s="61" t="n"/>
      <c r="U425" s="61" t="n"/>
      <c r="V425" s="61" t="n"/>
      <c r="W425" s="61" t="n"/>
    </row>
    <row r="426" hidden="1" outlineLevel="2" ht="17.25" customHeight="1" thickBot="1">
      <c r="A426" s="696" t="n">
        <v>43327</v>
      </c>
      <c r="B426" s="234" t="inlineStr">
        <is>
          <t>FIMTX</t>
        </is>
      </c>
      <c r="C426" s="229" t="inlineStr">
        <is>
          <t>小指09</t>
        </is>
      </c>
      <c r="D426" s="229" t="inlineStr">
        <is>
          <t>平倉</t>
        </is>
      </c>
      <c r="E426" s="257" t="inlineStr">
        <is>
          <t>買</t>
        </is>
      </c>
      <c r="F426" s="229" t="inlineStr">
        <is>
          <t>-</t>
        </is>
      </c>
      <c r="G426" s="697" t="n">
        <v>1</v>
      </c>
      <c r="H426" s="697" t="n">
        <v>10604</v>
      </c>
      <c r="I426" s="697" t="n">
        <v>0</v>
      </c>
      <c r="J426" s="585" t="n">
        <v>23</v>
      </c>
      <c r="K426" s="585" t="n">
        <v>11</v>
      </c>
      <c r="L426" s="585">
        <f>IF(B426="TXO",I426-SUM(J426:K426),IF(B426="FITX",IF(D426="新倉",-SUM(J426:K426),IF(E426="賣",(H426-H425)*G426*200-SUM(J426:K426),(H425-H426)*G426*200-SUM(J426:K426))),IF(D426="新倉",-SUM(J426:K426),IF(E426="賣",(H426-H425)*G426*50-SUM(J426:K426),(H425-H426)*G426*50-SUM(J426:K426)))))</f>
        <v/>
      </c>
      <c r="M426" s="699">
        <f>L426</f>
        <v/>
      </c>
      <c r="N426" s="686">
        <f>IF(B426="TXO","",IF(D426="新倉","",IF(E426="賣",(H426-H425)*G426,(H425-H426)*G426)))</f>
        <v/>
      </c>
      <c r="O426" s="226">
        <f>ABS(I426)</f>
        <v/>
      </c>
      <c r="P426" s="667" t="n"/>
      <c r="S426" s="739" t="n"/>
      <c r="T426" s="61" t="n"/>
      <c r="U426" s="61" t="n"/>
      <c r="V426" s="61" t="n"/>
      <c r="W426" s="61" t="n"/>
    </row>
    <row r="427" hidden="1" outlineLevel="2" ht="17.25" customHeight="1" thickBot="1">
      <c r="A427" s="696" t="n">
        <v>43327</v>
      </c>
      <c r="B427" s="234" t="inlineStr">
        <is>
          <t>FIMTX</t>
        </is>
      </c>
      <c r="C427" s="229" t="inlineStr">
        <is>
          <t>小指09</t>
        </is>
      </c>
      <c r="D427" s="229" t="inlineStr">
        <is>
          <t>新倉</t>
        </is>
      </c>
      <c r="E427" s="257" t="inlineStr">
        <is>
          <t>賣</t>
        </is>
      </c>
      <c r="F427" s="229" t="inlineStr">
        <is>
          <t>-</t>
        </is>
      </c>
      <c r="G427" s="697" t="n">
        <v>1</v>
      </c>
      <c r="H427" s="697" t="n">
        <v>10609</v>
      </c>
      <c r="I427" s="697" t="n">
        <v>0</v>
      </c>
      <c r="J427" s="585" t="n">
        <v>23</v>
      </c>
      <c r="K427" s="585" t="n">
        <v>11</v>
      </c>
      <c r="L427" s="585">
        <f>IF(B427="TXO",I427-SUM(J427:K427),IF(B427="FITX",IF(D427="新倉",-SUM(J427:K427),IF(E427="賣",(H427-H426)*G427*200-SUM(J427:K427),(H426-H427)*G427*200-SUM(J427:K427))),IF(D427="新倉",-SUM(J427:K427),IF(E427="賣",(H427-H426)*G427*50-SUM(J427:K427),(H426-H427)*G427*50-SUM(J427:K427)))))</f>
        <v/>
      </c>
      <c r="M427" s="699">
        <f>L427</f>
        <v/>
      </c>
      <c r="N427" s="686">
        <f>IF(B427="TXO","",IF(D427="新倉","",IF(E427="賣",(H427-H426)*G427,(H426-H427)*G427)))</f>
        <v/>
      </c>
      <c r="O427" s="226">
        <f>ABS(I427)</f>
        <v/>
      </c>
      <c r="P427" s="667" t="n"/>
      <c r="S427" s="739" t="n"/>
      <c r="T427" s="61" t="n"/>
      <c r="U427" s="61" t="n"/>
      <c r="V427" s="61" t="n"/>
      <c r="W427" s="61" t="n"/>
    </row>
    <row r="428" hidden="1" outlineLevel="2" ht="17.25" customHeight="1" thickBot="1">
      <c r="A428" s="696" t="n">
        <v>43327</v>
      </c>
      <c r="B428" s="234" t="inlineStr">
        <is>
          <t>FIMTX</t>
        </is>
      </c>
      <c r="C428" s="229" t="inlineStr">
        <is>
          <t>小指09</t>
        </is>
      </c>
      <c r="D428" s="229" t="inlineStr">
        <is>
          <t>平倉</t>
        </is>
      </c>
      <c r="E428" s="257" t="inlineStr">
        <is>
          <t>買</t>
        </is>
      </c>
      <c r="F428" s="229" t="inlineStr">
        <is>
          <t>-</t>
        </is>
      </c>
      <c r="G428" s="697" t="n">
        <v>1</v>
      </c>
      <c r="H428" s="697" t="n">
        <v>10606</v>
      </c>
      <c r="I428" s="697" t="n">
        <v>0</v>
      </c>
      <c r="J428" s="585" t="n">
        <v>23</v>
      </c>
      <c r="K428" s="585" t="n">
        <v>11</v>
      </c>
      <c r="L428" s="585">
        <f>IF(B428="TXO",I428-SUM(J428:K428),IF(B428="FITX",IF(D428="新倉",-SUM(J428:K428),IF(E428="賣",(H428-H427)*G428*200-SUM(J428:K428),(H427-H428)*G428*200-SUM(J428:K428))),IF(D428="新倉",-SUM(J428:K428),IF(E428="賣",(H428-H427)*G428*50-SUM(J428:K428),(H427-H428)*G428*50-SUM(J428:K428)))))</f>
        <v/>
      </c>
      <c r="M428" s="699">
        <f>L428</f>
        <v/>
      </c>
      <c r="N428" s="686">
        <f>IF(B428="TXO","",IF(D428="新倉","",IF(E428="賣",(H428-H427)*G428,(H427-H428)*G428)))</f>
        <v/>
      </c>
      <c r="O428" s="226">
        <f>ABS(I428)</f>
        <v/>
      </c>
      <c r="P428" s="667" t="n"/>
      <c r="S428" s="739" t="n"/>
      <c r="T428" s="61" t="n"/>
      <c r="U428" s="61" t="n"/>
      <c r="V428" s="61" t="n"/>
      <c r="W428" s="61" t="n"/>
    </row>
    <row r="429" hidden="1" outlineLevel="2" ht="17.25" customHeight="1" thickBot="1">
      <c r="A429" s="696" t="n">
        <v>43327</v>
      </c>
      <c r="B429" s="234" t="inlineStr">
        <is>
          <t>FIMTX</t>
        </is>
      </c>
      <c r="C429" s="229" t="inlineStr">
        <is>
          <t>小指09</t>
        </is>
      </c>
      <c r="D429" s="229" t="inlineStr">
        <is>
          <t>新倉</t>
        </is>
      </c>
      <c r="E429" s="257" t="inlineStr">
        <is>
          <t>買</t>
        </is>
      </c>
      <c r="F429" s="229" t="inlineStr">
        <is>
          <t>-</t>
        </is>
      </c>
      <c r="G429" s="697" t="n">
        <v>1</v>
      </c>
      <c r="H429" s="697" t="n">
        <v>10599</v>
      </c>
      <c r="I429" s="697" t="n">
        <v>0</v>
      </c>
      <c r="J429" s="585" t="n">
        <v>23</v>
      </c>
      <c r="K429" s="585" t="n">
        <v>11</v>
      </c>
      <c r="L429" s="585">
        <f>IF(B429="TXO",I429-SUM(J429:K429),IF(B429="FITX",IF(D429="新倉",-SUM(J429:K429),IF(E429="賣",(H429-H428)*G429*200-SUM(J429:K429),(H428-H429)*G429*200-SUM(J429:K429))),IF(D429="新倉",-SUM(J429:K429),IF(E429="賣",(H429-H428)*G429*50-SUM(J429:K429),(H428-H429)*G429*50-SUM(J429:K429)))))</f>
        <v/>
      </c>
      <c r="M429" s="699">
        <f>L429</f>
        <v/>
      </c>
      <c r="N429" s="686">
        <f>IF(B429="TXO","",IF(D429="新倉","",IF(E429="賣",(H429-H428)*G429,(H428-H429)*G429)))</f>
        <v/>
      </c>
      <c r="O429" s="226">
        <f>ABS(I429)</f>
        <v/>
      </c>
      <c r="P429" s="667" t="n"/>
      <c r="S429" s="739" t="n"/>
      <c r="T429" s="61" t="n"/>
      <c r="U429" s="61" t="n"/>
      <c r="V429" s="61" t="n"/>
      <c r="W429" s="61" t="n"/>
    </row>
    <row r="430" hidden="1" outlineLevel="2" ht="17.25" customHeight="1" thickBot="1">
      <c r="A430" s="696" t="n">
        <v>43327</v>
      </c>
      <c r="B430" s="234" t="inlineStr">
        <is>
          <t>FIMTX</t>
        </is>
      </c>
      <c r="C430" s="229" t="inlineStr">
        <is>
          <t>小指09</t>
        </is>
      </c>
      <c r="D430" s="229" t="inlineStr">
        <is>
          <t>平倉</t>
        </is>
      </c>
      <c r="E430" s="257" t="inlineStr">
        <is>
          <t>賣</t>
        </is>
      </c>
      <c r="F430" s="229" t="inlineStr">
        <is>
          <t>-</t>
        </is>
      </c>
      <c r="G430" s="697" t="n">
        <v>1</v>
      </c>
      <c r="H430" s="697" t="n">
        <v>10608</v>
      </c>
      <c r="I430" s="697" t="n">
        <v>0</v>
      </c>
      <c r="J430" s="585" t="n">
        <v>23</v>
      </c>
      <c r="K430" s="585" t="n">
        <v>11</v>
      </c>
      <c r="L430" s="585">
        <f>IF(B430="TXO",I430-SUM(J430:K430),IF(B430="FITX",IF(D430="新倉",-SUM(J430:K430),IF(E430="賣",(H430-H429)*G430*200-SUM(J430:K430),(H429-H430)*G430*200-SUM(J430:K430))),IF(D430="新倉",-SUM(J430:K430),IF(E430="賣",(H430-H429)*G430*50-SUM(J430:K430),(H429-H430)*G430*50-SUM(J430:K430)))))</f>
        <v/>
      </c>
      <c r="M430" s="699">
        <f>L430</f>
        <v/>
      </c>
      <c r="N430" s="686">
        <f>IF(B430="TXO","",IF(D430="新倉","",IF(E430="賣",(H430-H429)*G430,(H429-H430)*G430)))</f>
        <v/>
      </c>
      <c r="O430" s="226">
        <f>ABS(I430)</f>
        <v/>
      </c>
      <c r="P430" s="667" t="n"/>
      <c r="S430" s="739" t="n"/>
      <c r="T430" s="61" t="n"/>
      <c r="U430" s="61" t="n"/>
      <c r="V430" s="61" t="n"/>
      <c r="W430" s="61" t="n"/>
    </row>
    <row r="431" hidden="1" outlineLevel="1" ht="17.25" customHeight="1" thickBot="1">
      <c r="A431" s="740" t="n">
        <v>43328</v>
      </c>
      <c r="B431" s="299" t="inlineStr">
        <is>
          <t>FIMTX</t>
        </is>
      </c>
      <c r="C431" s="300" t="inlineStr">
        <is>
          <t>小指09</t>
        </is>
      </c>
      <c r="D431" s="300" t="inlineStr">
        <is>
          <t>新倉</t>
        </is>
      </c>
      <c r="E431" s="301" t="inlineStr">
        <is>
          <t>賣</t>
        </is>
      </c>
      <c r="F431" s="300" t="inlineStr">
        <is>
          <t>-</t>
        </is>
      </c>
      <c r="G431" s="741" t="n">
        <v>1</v>
      </c>
      <c r="H431" s="741" t="n">
        <v>10608</v>
      </c>
      <c r="I431" s="741" t="n">
        <v>0</v>
      </c>
      <c r="J431" s="742" t="n">
        <v>23</v>
      </c>
      <c r="K431" s="742" t="n">
        <v>11</v>
      </c>
      <c r="L431" s="742">
        <f>IF(B431="TXO",I431-SUM(J431:K431),IF(B431="FITX",IF(D431="新倉",-SUM(J431:K431),IF(E431="賣",(H431-H430)*G431*200-SUM(J431:K431),(H430-H431)*G431*200-SUM(J431:K431))),IF(D431="新倉",-SUM(J431:K431),IF(E431="賣",(H431-H430)*G431*50-SUM(J431:K431),(H430-H431)*G431*50-SUM(J431:K431)))))</f>
        <v/>
      </c>
      <c r="M431" s="743">
        <f>L431</f>
        <v/>
      </c>
      <c r="N431" s="686">
        <f>IF(B431="TXO","",IF(D431="新倉","",IF(E431="賣",(H431-H430)*G431,(H430-H431)*G431)))</f>
        <v/>
      </c>
      <c r="O431" s="226">
        <f>ABS(I431)</f>
        <v/>
      </c>
      <c r="P431" s="667">
        <f>SUM(L431:L448)</f>
        <v/>
      </c>
      <c r="S431" s="739" t="n"/>
      <c r="T431" s="61" t="n"/>
      <c r="U431" s="61" t="n"/>
      <c r="V431" s="61" t="n"/>
      <c r="W431" s="61" t="n"/>
    </row>
    <row r="432" hidden="1" outlineLevel="2" collapsed="1" ht="17.25" customHeight="1" thickBot="1">
      <c r="A432" s="740" t="n">
        <v>43328</v>
      </c>
      <c r="B432" s="299" t="inlineStr">
        <is>
          <t>FIMTX</t>
        </is>
      </c>
      <c r="C432" s="300" t="inlineStr">
        <is>
          <t>小指09</t>
        </is>
      </c>
      <c r="D432" s="300" t="inlineStr">
        <is>
          <t>平倉</t>
        </is>
      </c>
      <c r="E432" s="301" t="inlineStr">
        <is>
          <t>買</t>
        </is>
      </c>
      <c r="F432" s="300" t="inlineStr">
        <is>
          <t>-</t>
        </is>
      </c>
      <c r="G432" s="741" t="n">
        <v>1</v>
      </c>
      <c r="H432" s="741" t="n">
        <v>10621</v>
      </c>
      <c r="I432" s="741" t="n">
        <v>0</v>
      </c>
      <c r="J432" s="742" t="n">
        <v>23</v>
      </c>
      <c r="K432" s="742" t="n">
        <v>11</v>
      </c>
      <c r="L432" s="742">
        <f>IF(B432="TXO",I432-SUM(J432:K432),IF(B432="FITX",IF(D432="新倉",-SUM(J432:K432),IF(E432="賣",(H432-H431)*G432*200-SUM(J432:K432),(H431-H432)*G432*200-SUM(J432:K432))),IF(D432="新倉",-SUM(J432:K432),IF(E432="賣",(H432-H431)*G432*50-SUM(J432:K432),(H431-H432)*G432*50-SUM(J432:K432)))))</f>
        <v/>
      </c>
      <c r="M432" s="743">
        <f>L432</f>
        <v/>
      </c>
      <c r="N432" s="686">
        <f>IF(B432="TXO","",IF(D432="新倉","",IF(E432="賣",(H432-H431)*G432,(H431-H432)*G432)))</f>
        <v/>
      </c>
      <c r="O432" s="226">
        <f>ABS(I432)</f>
        <v/>
      </c>
      <c r="P432" s="667" t="n"/>
      <c r="S432" s="739" t="n"/>
      <c r="T432" s="61" t="n"/>
      <c r="U432" s="61" t="n"/>
      <c r="V432" s="61" t="n"/>
      <c r="W432" s="61" t="n"/>
    </row>
    <row r="433" hidden="1" outlineLevel="2" collapsed="1" ht="17.25" customHeight="1" thickBot="1">
      <c r="A433" s="740" t="n">
        <v>43328</v>
      </c>
      <c r="B433" s="299" t="inlineStr">
        <is>
          <t>FIMTX</t>
        </is>
      </c>
      <c r="C433" s="300" t="inlineStr">
        <is>
          <t>小指09</t>
        </is>
      </c>
      <c r="D433" s="300" t="inlineStr">
        <is>
          <t>新倉</t>
        </is>
      </c>
      <c r="E433" s="301" t="inlineStr">
        <is>
          <t>賣</t>
        </is>
      </c>
      <c r="F433" s="300" t="inlineStr">
        <is>
          <t>-</t>
        </is>
      </c>
      <c r="G433" s="741" t="n">
        <v>1</v>
      </c>
      <c r="H433" s="741" t="n">
        <v>10608</v>
      </c>
      <c r="I433" s="741" t="n">
        <v>0</v>
      </c>
      <c r="J433" s="742" t="n">
        <v>23</v>
      </c>
      <c r="K433" s="742" t="n">
        <v>11</v>
      </c>
      <c r="L433" s="742">
        <f>IF(B433="TXO",I433-SUM(J433:K433),IF(B433="FITX",IF(D433="新倉",-SUM(J433:K433),IF(E433="賣",(H433-H432)*G433*200-SUM(J433:K433),(H432-H433)*G433*200-SUM(J433:K433))),IF(D433="新倉",-SUM(J433:K433),IF(E433="賣",(H433-H432)*G433*50-SUM(J433:K433),(H432-H433)*G433*50-SUM(J433:K433)))))</f>
        <v/>
      </c>
      <c r="M433" s="743">
        <f>L433</f>
        <v/>
      </c>
      <c r="N433" s="686">
        <f>IF(B433="TXO","",IF(D433="新倉","",IF(E433="賣",(H433-H432)*G433,(H432-H433)*G433)))</f>
        <v/>
      </c>
      <c r="O433" s="226">
        <f>ABS(I433)</f>
        <v/>
      </c>
      <c r="P433" s="667" t="n"/>
      <c r="S433" s="739" t="n"/>
      <c r="T433" s="61" t="n"/>
      <c r="U433" s="61" t="n"/>
      <c r="V433" s="61" t="n"/>
      <c r="W433" s="61" t="n"/>
    </row>
    <row r="434" hidden="1" outlineLevel="2" collapsed="1" ht="17.25" customHeight="1" thickBot="1">
      <c r="A434" s="740" t="n">
        <v>43328</v>
      </c>
      <c r="B434" s="299" t="inlineStr">
        <is>
          <t>FIMTX</t>
        </is>
      </c>
      <c r="C434" s="300" t="inlineStr">
        <is>
          <t>小指09</t>
        </is>
      </c>
      <c r="D434" s="300" t="inlineStr">
        <is>
          <t>平倉</t>
        </is>
      </c>
      <c r="E434" s="301" t="inlineStr">
        <is>
          <t>買</t>
        </is>
      </c>
      <c r="F434" s="300" t="inlineStr">
        <is>
          <t>-</t>
        </is>
      </c>
      <c r="G434" s="741" t="n">
        <v>1</v>
      </c>
      <c r="H434" s="741" t="n">
        <v>10621</v>
      </c>
      <c r="I434" s="741" t="n">
        <v>0</v>
      </c>
      <c r="J434" s="742" t="n">
        <v>23</v>
      </c>
      <c r="K434" s="742" t="n">
        <v>11</v>
      </c>
      <c r="L434" s="742">
        <f>IF(B434="TXO",I434-SUM(J434:K434),IF(B434="FITX",IF(D434="新倉",-SUM(J434:K434),IF(E434="賣",(H434-H433)*G434*200-SUM(J434:K434),(H433-H434)*G434*200-SUM(J434:K434))),IF(D434="新倉",-SUM(J434:K434),IF(E434="賣",(H434-H433)*G434*50-SUM(J434:K434),(H433-H434)*G434*50-SUM(J434:K434)))))</f>
        <v/>
      </c>
      <c r="M434" s="743">
        <f>L434</f>
        <v/>
      </c>
      <c r="N434" s="686">
        <f>IF(B434="TXO","",IF(D434="新倉","",IF(E434="賣",(H434-H433)*G434,(H433-H434)*G434)))</f>
        <v/>
      </c>
      <c r="O434" s="226">
        <f>ABS(I434)</f>
        <v/>
      </c>
      <c r="P434" s="667" t="n"/>
      <c r="S434" s="739" t="n"/>
      <c r="T434" s="61" t="n"/>
      <c r="U434" s="61" t="n"/>
      <c r="V434" s="61" t="n"/>
      <c r="W434" s="61" t="n"/>
    </row>
    <row r="435" hidden="1" outlineLevel="2" collapsed="1" ht="17.25" customHeight="1" thickBot="1">
      <c r="A435" s="740" t="n">
        <v>43328</v>
      </c>
      <c r="B435" s="299" t="inlineStr">
        <is>
          <t>FIMTX</t>
        </is>
      </c>
      <c r="C435" s="300" t="inlineStr">
        <is>
          <t>小指09</t>
        </is>
      </c>
      <c r="D435" s="300" t="inlineStr">
        <is>
          <t>新倉</t>
        </is>
      </c>
      <c r="E435" s="301" t="inlineStr">
        <is>
          <t>賣</t>
        </is>
      </c>
      <c r="F435" s="300" t="inlineStr">
        <is>
          <t>-</t>
        </is>
      </c>
      <c r="G435" s="741" t="n">
        <v>1</v>
      </c>
      <c r="H435" s="741" t="n">
        <v>10607</v>
      </c>
      <c r="I435" s="741" t="n">
        <v>0</v>
      </c>
      <c r="J435" s="742" t="n">
        <v>23</v>
      </c>
      <c r="K435" s="742" t="n">
        <v>11</v>
      </c>
      <c r="L435" s="742">
        <f>IF(B435="TXO",I435-SUM(J435:K435),IF(B435="FITX",IF(D435="新倉",-SUM(J435:K435),IF(E435="賣",(H435-H434)*G435*200-SUM(J435:K435),(H434-H435)*G435*200-SUM(J435:K435))),IF(D435="新倉",-SUM(J435:K435),IF(E435="賣",(H435-H434)*G435*50-SUM(J435:K435),(H434-H435)*G435*50-SUM(J435:K435)))))</f>
        <v/>
      </c>
      <c r="M435" s="743">
        <f>L435</f>
        <v/>
      </c>
      <c r="N435" s="686">
        <f>IF(B435="TXO","",IF(D435="新倉","",IF(E435="賣",(H435-H434)*G435,(H434-H435)*G435)))</f>
        <v/>
      </c>
      <c r="O435" s="226">
        <f>ABS(I435)</f>
        <v/>
      </c>
      <c r="P435" s="667" t="n"/>
      <c r="S435" s="739" t="n"/>
      <c r="T435" s="61" t="n"/>
      <c r="U435" s="61" t="n"/>
      <c r="V435" s="61" t="n"/>
      <c r="W435" s="61" t="n"/>
    </row>
    <row r="436" hidden="1" outlineLevel="2" collapsed="1" ht="17.25" customHeight="1" thickBot="1">
      <c r="A436" s="740" t="n">
        <v>43328</v>
      </c>
      <c r="B436" s="299" t="inlineStr">
        <is>
          <t>FIMTX</t>
        </is>
      </c>
      <c r="C436" s="300" t="inlineStr">
        <is>
          <t>小指09</t>
        </is>
      </c>
      <c r="D436" s="300" t="inlineStr">
        <is>
          <t>平倉</t>
        </is>
      </c>
      <c r="E436" s="301" t="inlineStr">
        <is>
          <t>買</t>
        </is>
      </c>
      <c r="F436" s="300" t="inlineStr">
        <is>
          <t>-</t>
        </is>
      </c>
      <c r="G436" s="741" t="n">
        <v>1</v>
      </c>
      <c r="H436" s="741" t="n">
        <v>10595</v>
      </c>
      <c r="I436" s="741" t="n">
        <v>0</v>
      </c>
      <c r="J436" s="742" t="n">
        <v>23</v>
      </c>
      <c r="K436" s="742" t="n">
        <v>11</v>
      </c>
      <c r="L436" s="742">
        <f>IF(B436="TXO",I436-SUM(J436:K436),IF(B436="FITX",IF(D436="新倉",-SUM(J436:K436),IF(E436="賣",(H436-H435)*G436*200-SUM(J436:K436),(H435-H436)*G436*200-SUM(J436:K436))),IF(D436="新倉",-SUM(J436:K436),IF(E436="賣",(H436-H435)*G436*50-SUM(J436:K436),(H435-H436)*G436*50-SUM(J436:K436)))))</f>
        <v/>
      </c>
      <c r="M436" s="743">
        <f>L436</f>
        <v/>
      </c>
      <c r="N436" s="686">
        <f>IF(B436="TXO","",IF(D436="新倉","",IF(E436="賣",(H436-H435)*G436,(H435-H436)*G436)))</f>
        <v/>
      </c>
      <c r="O436" s="226">
        <f>ABS(I436)</f>
        <v/>
      </c>
      <c r="P436" s="667" t="n"/>
      <c r="S436" s="739" t="n"/>
      <c r="T436" s="61" t="n"/>
      <c r="U436" s="61" t="n"/>
      <c r="V436" s="61" t="n"/>
      <c r="W436" s="61" t="n"/>
    </row>
    <row r="437" hidden="1" outlineLevel="2" collapsed="1" ht="17.25" customHeight="1" thickBot="1">
      <c r="A437" s="740" t="n">
        <v>43328</v>
      </c>
      <c r="B437" s="299" t="inlineStr">
        <is>
          <t>FIMTX</t>
        </is>
      </c>
      <c r="C437" s="300" t="inlineStr">
        <is>
          <t>小指09</t>
        </is>
      </c>
      <c r="D437" s="300" t="inlineStr">
        <is>
          <t>新倉</t>
        </is>
      </c>
      <c r="E437" s="301" t="inlineStr">
        <is>
          <t>賣</t>
        </is>
      </c>
      <c r="F437" s="300" t="inlineStr">
        <is>
          <t>-</t>
        </is>
      </c>
      <c r="G437" s="741" t="n">
        <v>1</v>
      </c>
      <c r="H437" s="741" t="n">
        <v>10607</v>
      </c>
      <c r="I437" s="741" t="n">
        <v>0</v>
      </c>
      <c r="J437" s="742" t="n">
        <v>23</v>
      </c>
      <c r="K437" s="742" t="n">
        <v>11</v>
      </c>
      <c r="L437" s="742">
        <f>IF(B437="TXO",I437-SUM(J437:K437),IF(B437="FITX",IF(D437="新倉",-SUM(J437:K437),IF(E437="賣",(H437-H436)*G437*200-SUM(J437:K437),(H436-H437)*G437*200-SUM(J437:K437))),IF(D437="新倉",-SUM(J437:K437),IF(E437="賣",(H437-H436)*G437*50-SUM(J437:K437),(H436-H437)*G437*50-SUM(J437:K437)))))</f>
        <v/>
      </c>
      <c r="M437" s="743">
        <f>L437</f>
        <v/>
      </c>
      <c r="N437" s="686">
        <f>IF(B437="TXO","",IF(D437="新倉","",IF(E437="賣",(H437-H436)*G437,(H436-H437)*G437)))</f>
        <v/>
      </c>
      <c r="O437" s="226">
        <f>ABS(I437)</f>
        <v/>
      </c>
      <c r="P437" s="667" t="n"/>
      <c r="S437" s="739" t="n"/>
      <c r="T437" s="61" t="n"/>
      <c r="U437" s="61" t="n"/>
      <c r="V437" s="61" t="n"/>
      <c r="W437" s="61" t="n"/>
    </row>
    <row r="438" hidden="1" outlineLevel="2" collapsed="1" ht="17.25" customHeight="1" thickBot="1">
      <c r="A438" s="740" t="n">
        <v>43328</v>
      </c>
      <c r="B438" s="299" t="inlineStr">
        <is>
          <t>FIMTX</t>
        </is>
      </c>
      <c r="C438" s="300" t="inlineStr">
        <is>
          <t>小指09</t>
        </is>
      </c>
      <c r="D438" s="300" t="inlineStr">
        <is>
          <t>平倉</t>
        </is>
      </c>
      <c r="E438" s="301" t="inlineStr">
        <is>
          <t>買</t>
        </is>
      </c>
      <c r="F438" s="300" t="inlineStr">
        <is>
          <t>-</t>
        </is>
      </c>
      <c r="G438" s="741" t="n">
        <v>1</v>
      </c>
      <c r="H438" s="741" t="n">
        <v>10595</v>
      </c>
      <c r="I438" s="741" t="n">
        <v>0</v>
      </c>
      <c r="J438" s="742" t="n">
        <v>23</v>
      </c>
      <c r="K438" s="742" t="n">
        <v>11</v>
      </c>
      <c r="L438" s="742">
        <f>IF(B438="TXO",I438-SUM(J438:K438),IF(B438="FITX",IF(D438="新倉",-SUM(J438:K438),IF(E438="賣",(H438-H437)*G438*200-SUM(J438:K438),(H437-H438)*G438*200-SUM(J438:K438))),IF(D438="新倉",-SUM(J438:K438),IF(E438="賣",(H438-H437)*G438*50-SUM(J438:K438),(H437-H438)*G438*50-SUM(J438:K438)))))</f>
        <v/>
      </c>
      <c r="M438" s="743">
        <f>L438</f>
        <v/>
      </c>
      <c r="N438" s="686">
        <f>IF(B438="TXO","",IF(D438="新倉","",IF(E438="賣",(H438-H437)*G438,(H437-H438)*G438)))</f>
        <v/>
      </c>
      <c r="O438" s="226">
        <f>ABS(I438)</f>
        <v/>
      </c>
      <c r="P438" s="667" t="n"/>
      <c r="S438" s="739" t="n"/>
      <c r="T438" s="61" t="n"/>
      <c r="U438" s="61" t="n"/>
      <c r="V438" s="61" t="n"/>
      <c r="W438" s="61" t="n"/>
    </row>
    <row r="439" hidden="1" outlineLevel="2" collapsed="1" ht="17.25" customHeight="1" thickBot="1">
      <c r="A439" s="740" t="n">
        <v>43328</v>
      </c>
      <c r="B439" s="299" t="inlineStr">
        <is>
          <t>FIMTX</t>
        </is>
      </c>
      <c r="C439" s="300" t="inlineStr">
        <is>
          <t>小指09</t>
        </is>
      </c>
      <c r="D439" s="300" t="inlineStr">
        <is>
          <t>新倉</t>
        </is>
      </c>
      <c r="E439" s="301" t="inlineStr">
        <is>
          <t>買</t>
        </is>
      </c>
      <c r="F439" s="300" t="inlineStr">
        <is>
          <t>-</t>
        </is>
      </c>
      <c r="G439" s="741" t="n">
        <v>1</v>
      </c>
      <c r="H439" s="741" t="n">
        <v>10679</v>
      </c>
      <c r="I439" s="741" t="n">
        <v>0</v>
      </c>
      <c r="J439" s="742" t="n">
        <v>23</v>
      </c>
      <c r="K439" s="742" t="n">
        <v>11</v>
      </c>
      <c r="L439" s="742">
        <f>IF(B439="TXO",I439-SUM(J439:K439),IF(B439="FITX",IF(D439="新倉",-SUM(J439:K439),IF(E439="賣",(H439-H438)*G439*200-SUM(J439:K439),(H438-H439)*G439*200-SUM(J439:K439))),IF(D439="新倉",-SUM(J439:K439),IF(E439="賣",(H439-H438)*G439*50-SUM(J439:K439),(H438-H439)*G439*50-SUM(J439:K439)))))</f>
        <v/>
      </c>
      <c r="M439" s="743">
        <f>L439</f>
        <v/>
      </c>
      <c r="N439" s="686">
        <f>IF(B439="TXO","",IF(D439="新倉","",IF(E439="賣",(H439-H438)*G439,(H438-H439)*G439)))</f>
        <v/>
      </c>
      <c r="O439" s="226">
        <f>ABS(I439)</f>
        <v/>
      </c>
      <c r="P439" s="667" t="n"/>
      <c r="S439" s="739" t="n"/>
      <c r="T439" s="61" t="n"/>
      <c r="U439" s="61" t="n"/>
      <c r="V439" s="61" t="n"/>
      <c r="W439" s="61" t="n"/>
    </row>
    <row r="440" hidden="1" outlineLevel="2" collapsed="1" ht="17.25" customHeight="1" thickBot="1">
      <c r="A440" s="740" t="n">
        <v>43328</v>
      </c>
      <c r="B440" s="299" t="inlineStr">
        <is>
          <t>FIMTX</t>
        </is>
      </c>
      <c r="C440" s="300" t="inlineStr">
        <is>
          <t>小指09</t>
        </is>
      </c>
      <c r="D440" s="300" t="inlineStr">
        <is>
          <t>平倉</t>
        </is>
      </c>
      <c r="E440" s="301" t="inlineStr">
        <is>
          <t>賣</t>
        </is>
      </c>
      <c r="F440" s="300" t="inlineStr">
        <is>
          <t>-</t>
        </is>
      </c>
      <c r="G440" s="741" t="n">
        <v>1</v>
      </c>
      <c r="H440" s="741" t="n">
        <v>10683</v>
      </c>
      <c r="I440" s="741" t="n">
        <v>0</v>
      </c>
      <c r="J440" s="742" t="n">
        <v>23</v>
      </c>
      <c r="K440" s="742" t="n">
        <v>11</v>
      </c>
      <c r="L440" s="742">
        <f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/>
      </c>
      <c r="M440" s="743">
        <f>L440</f>
        <v/>
      </c>
      <c r="N440" s="686">
        <f>IF(B440="TXO","",IF(D440="新倉","",IF(E440="賣",(H440-H439)*G440,(H439-H440)*G440)))</f>
        <v/>
      </c>
      <c r="O440" s="226">
        <f>ABS(I440)</f>
        <v/>
      </c>
      <c r="P440" s="667" t="n"/>
      <c r="S440" s="739" t="n"/>
      <c r="T440" s="61" t="n"/>
      <c r="U440" s="61" t="n"/>
      <c r="V440" s="61" t="n"/>
      <c r="W440" s="61" t="n"/>
    </row>
    <row r="441" hidden="1" outlineLevel="2" collapsed="1" ht="17.25" customHeight="1" thickBot="1">
      <c r="A441" s="740" t="n">
        <v>43328</v>
      </c>
      <c r="B441" s="299" t="inlineStr">
        <is>
          <t>FIMTX</t>
        </is>
      </c>
      <c r="C441" s="300" t="inlineStr">
        <is>
          <t>小指09</t>
        </is>
      </c>
      <c r="D441" s="300" t="inlineStr">
        <is>
          <t>新倉</t>
        </is>
      </c>
      <c r="E441" s="301" t="inlineStr">
        <is>
          <t>買</t>
        </is>
      </c>
      <c r="F441" s="300" t="inlineStr">
        <is>
          <t>-</t>
        </is>
      </c>
      <c r="G441" s="741" t="n">
        <v>1</v>
      </c>
      <c r="H441" s="741" t="n">
        <v>10679</v>
      </c>
      <c r="I441" s="741" t="n">
        <v>0</v>
      </c>
      <c r="J441" s="742" t="n">
        <v>23</v>
      </c>
      <c r="K441" s="742" t="n">
        <v>11</v>
      </c>
      <c r="L441" s="742">
        <f>IF(B441="TXO",I441-SUM(J441:K441),IF(B441="FITX",IF(D441="新倉",-SUM(J441:K441),IF(E441="賣",(H441-H440)*G441*200-SUM(J441:K441),(H440-H441)*G441*200-SUM(J441:K441))),IF(D441="新倉",-SUM(J441:K441),IF(E441="賣",(H441-H440)*G441*50-SUM(J441:K441),(H440-H441)*G441*50-SUM(J441:K441)))))</f>
        <v/>
      </c>
      <c r="M441" s="743">
        <f>L441</f>
        <v/>
      </c>
      <c r="N441" s="686">
        <f>IF(B441="TXO","",IF(D441="新倉","",IF(E441="賣",(H441-H440)*G441,(H440-H441)*G441)))</f>
        <v/>
      </c>
      <c r="O441" s="226">
        <f>ABS(I441)</f>
        <v/>
      </c>
      <c r="P441" s="667" t="n"/>
      <c r="S441" s="739" t="n"/>
      <c r="T441" s="61" t="n"/>
      <c r="U441" s="61" t="n"/>
      <c r="V441" s="61" t="n"/>
      <c r="W441" s="61" t="n"/>
    </row>
    <row r="442" hidden="1" outlineLevel="2" collapsed="1" ht="17.25" customHeight="1" thickBot="1">
      <c r="A442" s="740" t="n">
        <v>43328</v>
      </c>
      <c r="B442" s="299" t="inlineStr">
        <is>
          <t>FIMTX</t>
        </is>
      </c>
      <c r="C442" s="300" t="inlineStr">
        <is>
          <t>小指09</t>
        </is>
      </c>
      <c r="D442" s="300" t="inlineStr">
        <is>
          <t>平倉</t>
        </is>
      </c>
      <c r="E442" s="301" t="inlineStr">
        <is>
          <t>賣</t>
        </is>
      </c>
      <c r="F442" s="300" t="inlineStr">
        <is>
          <t>-</t>
        </is>
      </c>
      <c r="G442" s="741" t="n">
        <v>1</v>
      </c>
      <c r="H442" s="741" t="n">
        <v>10683</v>
      </c>
      <c r="I442" s="741" t="n">
        <v>0</v>
      </c>
      <c r="J442" s="742" t="n">
        <v>23</v>
      </c>
      <c r="K442" s="742" t="n">
        <v>11</v>
      </c>
      <c r="L442" s="742">
        <f>IF(B442="TXO",I442-SUM(J442:K442),IF(B442="FITX",IF(D442="新倉",-SUM(J442:K442),IF(E442="賣",(H442-H441)*G442*200-SUM(J442:K442),(H441-H442)*G442*200-SUM(J442:K442))),IF(D442="新倉",-SUM(J442:K442),IF(E442="賣",(H442-H441)*G442*50-SUM(J442:K442),(H441-H442)*G442*50-SUM(J442:K442)))))</f>
        <v/>
      </c>
      <c r="M442" s="743">
        <f>L442</f>
        <v/>
      </c>
      <c r="N442" s="686">
        <f>IF(B442="TXO","",IF(D442="新倉","",IF(E442="賣",(H442-H441)*G442,(H441-H442)*G442)))</f>
        <v/>
      </c>
      <c r="O442" s="226">
        <f>ABS(I442)</f>
        <v/>
      </c>
      <c r="P442" s="667" t="n"/>
      <c r="S442" s="739" t="n"/>
      <c r="T442" s="61" t="n"/>
      <c r="U442" s="61" t="n"/>
      <c r="V442" s="61" t="n"/>
      <c r="W442" s="61" t="n"/>
    </row>
    <row r="443" hidden="1" outlineLevel="2" collapsed="1" ht="17.25" customHeight="1" thickBot="1">
      <c r="A443" s="740" t="n">
        <v>43328</v>
      </c>
      <c r="B443" s="299" t="inlineStr">
        <is>
          <t>FIMTX</t>
        </is>
      </c>
      <c r="C443" s="300" t="inlineStr">
        <is>
          <t>小指09</t>
        </is>
      </c>
      <c r="D443" s="300" t="inlineStr">
        <is>
          <t>新倉</t>
        </is>
      </c>
      <c r="E443" s="301" t="inlineStr">
        <is>
          <t>買</t>
        </is>
      </c>
      <c r="F443" s="300" t="inlineStr">
        <is>
          <t>-</t>
        </is>
      </c>
      <c r="G443" s="741" t="n">
        <v>2</v>
      </c>
      <c r="H443" s="741" t="n">
        <v>10684</v>
      </c>
      <c r="I443" s="741" t="n">
        <v>0</v>
      </c>
      <c r="J443" s="742" t="n">
        <v>46</v>
      </c>
      <c r="K443" s="742" t="n">
        <v>22</v>
      </c>
      <c r="L443" s="742">
        <f>IF(B443="TXO",I443-SUM(J443:K443),IF(B443="FITX",IF(D443="新倉",-SUM(J443:K443),IF(E443="賣",(H443-H442)*G443*200-SUM(J443:K443),(H442-H443)*G443*200-SUM(J443:K443))),IF(D443="新倉",-SUM(J443:K443),IF(E443="賣",(H443-H442)*G443*50-SUM(J443:K443),(H442-H443)*G443*50-SUM(J443:K443)))))</f>
        <v/>
      </c>
      <c r="M443" s="743">
        <f>L443</f>
        <v/>
      </c>
      <c r="N443" s="686">
        <f>IF(B443="TXO","",IF(D443="新倉","",IF(E443="賣",(H443-H442)*G443,(H442-H443)*G443)))</f>
        <v/>
      </c>
      <c r="O443" s="226">
        <f>ABS(I443)</f>
        <v/>
      </c>
      <c r="P443" s="667" t="n"/>
      <c r="S443" s="739" t="n"/>
      <c r="T443" s="61" t="n"/>
      <c r="U443" s="61" t="n"/>
      <c r="V443" s="61" t="n"/>
      <c r="W443" s="61" t="n"/>
    </row>
    <row r="444" hidden="1" outlineLevel="2" collapsed="1" ht="17.25" customHeight="1" thickBot="1">
      <c r="A444" s="740" t="n">
        <v>43328</v>
      </c>
      <c r="B444" s="299" t="inlineStr">
        <is>
          <t>FIMTX</t>
        </is>
      </c>
      <c r="C444" s="300" t="inlineStr">
        <is>
          <t>小指09</t>
        </is>
      </c>
      <c r="D444" s="300" t="inlineStr">
        <is>
          <t>平倉</t>
        </is>
      </c>
      <c r="E444" s="301" t="inlineStr">
        <is>
          <t>賣</t>
        </is>
      </c>
      <c r="F444" s="300" t="inlineStr">
        <is>
          <t>-</t>
        </is>
      </c>
      <c r="G444" s="741" t="n">
        <v>2</v>
      </c>
      <c r="H444" s="741" t="n">
        <v>10683</v>
      </c>
      <c r="I444" s="741" t="n">
        <v>0</v>
      </c>
      <c r="J444" s="742" t="n">
        <v>46</v>
      </c>
      <c r="K444" s="742" t="n">
        <v>22</v>
      </c>
      <c r="L444" s="742">
        <f>IF(B444="TXO",I444-SUM(J444:K444),IF(B444="FITX",IF(D444="新倉",-SUM(J444:K444),IF(E444="賣",(H444-H443)*G444*200-SUM(J444:K444),(H443-H444)*G444*200-SUM(J444:K444))),IF(D444="新倉",-SUM(J444:K444),IF(E444="賣",(H444-H443)*G444*50-SUM(J444:K444),(H443-H444)*G444*50-SUM(J444:K444)))))</f>
        <v/>
      </c>
      <c r="M444" s="743">
        <f>L444</f>
        <v/>
      </c>
      <c r="N444" s="686">
        <f>IF(B444="TXO","",IF(D444="新倉","",IF(E444="賣",(H444-H443)*G444,(H443-H444)*G444)))</f>
        <v/>
      </c>
      <c r="O444" s="226">
        <f>ABS(I444)</f>
        <v/>
      </c>
      <c r="P444" s="667" t="n"/>
      <c r="S444" s="739" t="n"/>
      <c r="T444" s="61" t="n"/>
      <c r="U444" s="61" t="n"/>
      <c r="V444" s="61" t="n"/>
      <c r="W444" s="61" t="n"/>
    </row>
    <row r="445" hidden="1" outlineLevel="2" collapsed="1" ht="17.25" customHeight="1" thickBot="1">
      <c r="A445" s="740" t="n">
        <v>43328</v>
      </c>
      <c r="B445" s="299" t="inlineStr">
        <is>
          <t>FIMTX</t>
        </is>
      </c>
      <c r="C445" s="300" t="inlineStr">
        <is>
          <t>小指09</t>
        </is>
      </c>
      <c r="D445" s="300" t="inlineStr">
        <is>
          <t>新倉</t>
        </is>
      </c>
      <c r="E445" s="301" t="inlineStr">
        <is>
          <t>買</t>
        </is>
      </c>
      <c r="F445" s="300" t="inlineStr">
        <is>
          <t>-</t>
        </is>
      </c>
      <c r="G445" s="741" t="n">
        <v>1</v>
      </c>
      <c r="H445" s="741" t="n">
        <v>10712</v>
      </c>
      <c r="I445" s="741" t="n">
        <v>0</v>
      </c>
      <c r="J445" s="742" t="n">
        <v>23</v>
      </c>
      <c r="K445" s="742" t="n">
        <v>11</v>
      </c>
      <c r="L445" s="742">
        <f>IF(B445="TXO",I445-SUM(J445:K445),IF(B445="FITX",IF(D445="新倉",-SUM(J445:K445),IF(E445="賣",(H445-H444)*G445*200-SUM(J445:K445),(H444-H445)*G445*200-SUM(J445:K445))),IF(D445="新倉",-SUM(J445:K445),IF(E445="賣",(H445-H444)*G445*50-SUM(J445:K445),(H444-H445)*G445*50-SUM(J445:K445)))))</f>
        <v/>
      </c>
      <c r="M445" s="743">
        <f>L445</f>
        <v/>
      </c>
      <c r="N445" s="686">
        <f>IF(B445="TXO","",IF(D445="新倉","",IF(E445="賣",(H445-H444)*G445,(H444-H445)*G445)))</f>
        <v/>
      </c>
      <c r="O445" s="226">
        <f>ABS(I445)</f>
        <v/>
      </c>
      <c r="P445" s="667" t="n"/>
      <c r="S445" s="739" t="n"/>
      <c r="T445" s="61" t="n"/>
      <c r="U445" s="61" t="n"/>
      <c r="V445" s="61" t="n"/>
      <c r="W445" s="61" t="n"/>
    </row>
    <row r="446" hidden="1" outlineLevel="2" collapsed="1" ht="17.25" customHeight="1" thickBot="1">
      <c r="A446" s="740" t="n">
        <v>43328</v>
      </c>
      <c r="B446" s="299" t="inlineStr">
        <is>
          <t>FIMTX</t>
        </is>
      </c>
      <c r="C446" s="300" t="inlineStr">
        <is>
          <t>小指09</t>
        </is>
      </c>
      <c r="D446" s="300" t="inlineStr">
        <is>
          <t>平倉</t>
        </is>
      </c>
      <c r="E446" s="301" t="inlineStr">
        <is>
          <t>賣</t>
        </is>
      </c>
      <c r="F446" s="300" t="inlineStr">
        <is>
          <t>-</t>
        </is>
      </c>
      <c r="G446" s="741" t="n">
        <v>1</v>
      </c>
      <c r="H446" s="741" t="n">
        <v>10717</v>
      </c>
      <c r="I446" s="741" t="n">
        <v>0</v>
      </c>
      <c r="J446" s="742" t="n">
        <v>23</v>
      </c>
      <c r="K446" s="742" t="n">
        <v>11</v>
      </c>
      <c r="L446" s="742">
        <f>IF(B446="TXO",I446-SUM(J446:K446),IF(B446="FITX",IF(D446="新倉",-SUM(J446:K446),IF(E446="賣",(H446-H445)*G446*200-SUM(J446:K446),(H445-H446)*G446*200-SUM(J446:K446))),IF(D446="新倉",-SUM(J446:K446),IF(E446="賣",(H446-H445)*G446*50-SUM(J446:K446),(H445-H446)*G446*50-SUM(J446:K446)))))</f>
        <v/>
      </c>
      <c r="M446" s="743">
        <f>L446</f>
        <v/>
      </c>
      <c r="N446" s="686">
        <f>IF(B446="TXO","",IF(D446="新倉","",IF(E446="賣",(H446-H445)*G446,(H445-H446)*G446)))</f>
        <v/>
      </c>
      <c r="O446" s="226">
        <f>ABS(I446)</f>
        <v/>
      </c>
      <c r="P446" s="667" t="n"/>
      <c r="S446" s="739" t="n"/>
      <c r="T446" s="61" t="n"/>
      <c r="U446" s="61" t="n"/>
      <c r="V446" s="61" t="n"/>
      <c r="W446" s="61" t="n"/>
    </row>
    <row r="447" hidden="1" outlineLevel="2" collapsed="1" ht="17.25" customHeight="1" thickBot="1">
      <c r="A447" s="740" t="n">
        <v>43328</v>
      </c>
      <c r="B447" s="299" t="inlineStr">
        <is>
          <t>FIMTX</t>
        </is>
      </c>
      <c r="C447" s="300" t="inlineStr">
        <is>
          <t>小指09</t>
        </is>
      </c>
      <c r="D447" s="300" t="inlineStr">
        <is>
          <t>新倉</t>
        </is>
      </c>
      <c r="E447" s="301" t="inlineStr">
        <is>
          <t>買</t>
        </is>
      </c>
      <c r="F447" s="300" t="inlineStr">
        <is>
          <t>-</t>
        </is>
      </c>
      <c r="G447" s="741" t="n">
        <v>1</v>
      </c>
      <c r="H447" s="741" t="n">
        <v>10712</v>
      </c>
      <c r="I447" s="741" t="n">
        <v>0</v>
      </c>
      <c r="J447" s="742" t="n">
        <v>23</v>
      </c>
      <c r="K447" s="742" t="n">
        <v>11</v>
      </c>
      <c r="L447" s="742">
        <f>IF(B447="TXO",I447-SUM(J447:K447),IF(B447="FITX",IF(D447="新倉",-SUM(J447:K447),IF(E447="賣",(H447-H446)*G447*200-SUM(J447:K447),(H446-H447)*G447*200-SUM(J447:K447))),IF(D447="新倉",-SUM(J447:K447),IF(E447="賣",(H447-H446)*G447*50-SUM(J447:K447),(H446-H447)*G447*50-SUM(J447:K447)))))</f>
        <v/>
      </c>
      <c r="M447" s="743">
        <f>L447</f>
        <v/>
      </c>
      <c r="N447" s="686">
        <f>IF(B447="TXO","",IF(D447="新倉","",IF(E447="賣",(H447-H446)*G447,(H446-H447)*G447)))</f>
        <v/>
      </c>
      <c r="O447" s="226">
        <f>ABS(I447)</f>
        <v/>
      </c>
      <c r="P447" s="667" t="n"/>
      <c r="S447" s="739" t="n"/>
      <c r="T447" s="61" t="n"/>
      <c r="U447" s="61" t="n"/>
      <c r="V447" s="61" t="n"/>
      <c r="W447" s="61" t="n"/>
    </row>
    <row r="448" hidden="1" outlineLevel="2" collapsed="1" ht="17.25" customHeight="1" thickBot="1">
      <c r="A448" s="740" t="n">
        <v>43328</v>
      </c>
      <c r="B448" s="299" t="inlineStr">
        <is>
          <t>FIMTX</t>
        </is>
      </c>
      <c r="C448" s="300" t="inlineStr">
        <is>
          <t>小指09</t>
        </is>
      </c>
      <c r="D448" s="300" t="inlineStr">
        <is>
          <t>平倉</t>
        </is>
      </c>
      <c r="E448" s="301" t="inlineStr">
        <is>
          <t>賣</t>
        </is>
      </c>
      <c r="F448" s="300" t="inlineStr">
        <is>
          <t>-</t>
        </is>
      </c>
      <c r="G448" s="741" t="n">
        <v>1</v>
      </c>
      <c r="H448" s="741" t="n">
        <v>10721</v>
      </c>
      <c r="I448" s="741" t="n">
        <v>0</v>
      </c>
      <c r="J448" s="742" t="n">
        <v>23</v>
      </c>
      <c r="K448" s="742" t="n">
        <v>11</v>
      </c>
      <c r="L448" s="742">
        <f>IF(B448="TXO",I448-SUM(J448:K448),IF(B448="FITX",IF(D448="新倉",-SUM(J448:K448),IF(E448="賣",(H448-H447)*G448*200-SUM(J448:K448),(H447-H448)*G448*200-SUM(J448:K448))),IF(D448="新倉",-SUM(J448:K448),IF(E448="賣",(H448-H447)*G448*50-SUM(J448:K448),(H447-H448)*G448*50-SUM(J448:K448)))))</f>
        <v/>
      </c>
      <c r="M448" s="743">
        <f>L448</f>
        <v/>
      </c>
      <c r="N448" s="686">
        <f>IF(B448="TXO","",IF(D448="新倉","",IF(E448="賣",(H448-H447)*G448,(H447-H448)*G448)))</f>
        <v/>
      </c>
      <c r="O448" s="226">
        <f>ABS(I448)</f>
        <v/>
      </c>
      <c r="P448" s="667" t="n"/>
      <c r="S448" s="739" t="n"/>
      <c r="T448" s="61" t="n"/>
      <c r="U448" s="61" t="n"/>
      <c r="V448" s="61" t="n"/>
      <c r="W448" s="61" t="n"/>
    </row>
    <row r="449" hidden="1" outlineLevel="1" ht="17.25" customHeight="1" thickBot="1">
      <c r="A449" s="696" t="n">
        <v>43329</v>
      </c>
      <c r="B449" s="234" t="inlineStr">
        <is>
          <t>FIMTX</t>
        </is>
      </c>
      <c r="C449" s="229" t="inlineStr">
        <is>
          <t>小指09</t>
        </is>
      </c>
      <c r="D449" s="229" t="inlineStr">
        <is>
          <t>新倉</t>
        </is>
      </c>
      <c r="E449" s="257" t="inlineStr">
        <is>
          <t>賣</t>
        </is>
      </c>
      <c r="F449" s="229" t="inlineStr">
        <is>
          <t>-</t>
        </is>
      </c>
      <c r="G449" s="697" t="n">
        <v>1</v>
      </c>
      <c r="H449" s="697" t="n">
        <v>10712</v>
      </c>
      <c r="I449" s="697" t="n">
        <v>0</v>
      </c>
      <c r="J449" s="585" t="n">
        <v>23</v>
      </c>
      <c r="K449" s="585" t="n">
        <v>11</v>
      </c>
      <c r="L449" s="585">
        <f>IF(B449="TXO",I449-SUM(J449:K449),IF(B449="FITX",IF(D449="新倉",-SUM(J449:K449),IF(E449="賣",(H449-H448)*G449*200-SUM(J449:K449),(H448-H449)*G449*200-SUM(J449:K449))),IF(D449="新倉",-SUM(J449:K449),IF(E449="賣",(H449-H448)*G449*50-SUM(J449:K449),(H448-H449)*G449*50-SUM(J449:K449)))))</f>
        <v/>
      </c>
      <c r="M449" s="699">
        <f>L449</f>
        <v/>
      </c>
      <c r="N449" s="686">
        <f>IF(B449="TXO","",IF(D449="新倉","",IF(E449="賣",(H449-H448)*G449,(H448-H449)*G449)))</f>
        <v/>
      </c>
      <c r="O449" s="226">
        <f>ABS(I449)</f>
        <v/>
      </c>
      <c r="P449" s="667">
        <f>SUM(L449:L456)</f>
        <v/>
      </c>
      <c r="S449" s="739" t="n"/>
      <c r="T449" s="61" t="n"/>
      <c r="U449" s="61" t="n"/>
      <c r="V449" s="61" t="n"/>
      <c r="W449" s="61" t="n"/>
    </row>
    <row r="450" hidden="1" outlineLevel="2" ht="17.25" customHeight="1" thickBot="1">
      <c r="A450" s="696" t="n">
        <v>43329</v>
      </c>
      <c r="B450" s="234" t="inlineStr">
        <is>
          <t>FIMTX</t>
        </is>
      </c>
      <c r="C450" s="229" t="inlineStr">
        <is>
          <t>小指09</t>
        </is>
      </c>
      <c r="D450" s="229" t="inlineStr">
        <is>
          <t>平倉</t>
        </is>
      </c>
      <c r="E450" s="257" t="inlineStr">
        <is>
          <t>買</t>
        </is>
      </c>
      <c r="F450" s="229" t="inlineStr">
        <is>
          <t>-</t>
        </is>
      </c>
      <c r="G450" s="697" t="n">
        <v>1</v>
      </c>
      <c r="H450" s="697" t="n">
        <v>10702</v>
      </c>
      <c r="I450" s="697" t="n">
        <v>0</v>
      </c>
      <c r="J450" s="585" t="n">
        <v>23</v>
      </c>
      <c r="K450" s="585" t="n">
        <v>11</v>
      </c>
      <c r="L450" s="585">
        <f>IF(B450="TXO",I450-SUM(J450:K450),IF(B450="FITX",IF(D450="新倉",-SUM(J450:K450),IF(E450="賣",(H450-H449)*G450*200-SUM(J450:K450),(H449-H450)*G450*200-SUM(J450:K450))),IF(D450="新倉",-SUM(J450:K450),IF(E450="賣",(H450-H449)*G450*50-SUM(J450:K450),(H449-H450)*G450*50-SUM(J450:K450)))))</f>
        <v/>
      </c>
      <c r="M450" s="699">
        <f>L450</f>
        <v/>
      </c>
      <c r="N450" s="686">
        <f>IF(B450="TXO","",IF(D450="新倉","",IF(E450="賣",(H450-H449)*G450,(H449-H450)*G450)))</f>
        <v/>
      </c>
      <c r="O450" s="226">
        <f>ABS(I450)</f>
        <v/>
      </c>
      <c r="P450" s="667" t="n"/>
      <c r="S450" s="739" t="n"/>
      <c r="T450" s="61" t="n"/>
      <c r="U450" s="61" t="n"/>
      <c r="V450" s="61" t="n"/>
      <c r="W450" s="61" t="n"/>
    </row>
    <row r="451" hidden="1" outlineLevel="2" ht="17.25" customHeight="1" thickBot="1">
      <c r="A451" s="696" t="n">
        <v>43329</v>
      </c>
      <c r="B451" s="234" t="inlineStr">
        <is>
          <t>FIMTX</t>
        </is>
      </c>
      <c r="C451" s="229" t="inlineStr">
        <is>
          <t>小指09</t>
        </is>
      </c>
      <c r="D451" s="229" t="inlineStr">
        <is>
          <t>新倉</t>
        </is>
      </c>
      <c r="E451" s="257" t="inlineStr">
        <is>
          <t>賣</t>
        </is>
      </c>
      <c r="F451" s="229" t="inlineStr">
        <is>
          <t>-</t>
        </is>
      </c>
      <c r="G451" s="697" t="n">
        <v>1</v>
      </c>
      <c r="H451" s="697" t="n">
        <v>10710</v>
      </c>
      <c r="I451" s="697" t="n">
        <v>0</v>
      </c>
      <c r="J451" s="585" t="n">
        <v>23</v>
      </c>
      <c r="K451" s="585" t="n">
        <v>11</v>
      </c>
      <c r="L451" s="585">
        <f>IF(B451="TXO",I451-SUM(J451:K451),IF(B451="FITX",IF(D451="新倉",-SUM(J451:K451),IF(E451="賣",(H451-H450)*G451*200-SUM(J451:K451),(H450-H451)*G451*200-SUM(J451:K451))),IF(D451="新倉",-SUM(J451:K451),IF(E451="賣",(H451-H450)*G451*50-SUM(J451:K451),(H450-H451)*G451*50-SUM(J451:K451)))))</f>
        <v/>
      </c>
      <c r="M451" s="699">
        <f>L451</f>
        <v/>
      </c>
      <c r="N451" s="686">
        <f>IF(B451="TXO","",IF(D451="新倉","",IF(E451="賣",(H451-H450)*G451,(H450-H451)*G451)))</f>
        <v/>
      </c>
      <c r="O451" s="226">
        <f>ABS(I451)</f>
        <v/>
      </c>
      <c r="P451" s="667" t="n"/>
      <c r="S451" s="739" t="n"/>
      <c r="T451" s="61" t="n"/>
      <c r="U451" s="61" t="n"/>
      <c r="V451" s="61" t="n"/>
      <c r="W451" s="61" t="n"/>
    </row>
    <row r="452" hidden="1" outlineLevel="2" ht="17.25" customHeight="1" thickBot="1">
      <c r="A452" s="696" t="n">
        <v>43329</v>
      </c>
      <c r="B452" s="234" t="inlineStr">
        <is>
          <t>FIMTX</t>
        </is>
      </c>
      <c r="C452" s="229" t="inlineStr">
        <is>
          <t>小指09</t>
        </is>
      </c>
      <c r="D452" s="229" t="inlineStr">
        <is>
          <t>平倉</t>
        </is>
      </c>
      <c r="E452" s="257" t="inlineStr">
        <is>
          <t>買</t>
        </is>
      </c>
      <c r="F452" s="229" t="inlineStr">
        <is>
          <t>-</t>
        </is>
      </c>
      <c r="G452" s="697" t="n">
        <v>1</v>
      </c>
      <c r="H452" s="697" t="n">
        <v>10702</v>
      </c>
      <c r="I452" s="697" t="n">
        <v>0</v>
      </c>
      <c r="J452" s="585" t="n">
        <v>23</v>
      </c>
      <c r="K452" s="585" t="n">
        <v>11</v>
      </c>
      <c r="L452" s="585">
        <f>IF(B452="TXO",I452-SUM(J452:K452),IF(B452="FITX",IF(D452="新倉",-SUM(J452:K452),IF(E452="賣",(H452-H451)*G452*200-SUM(J452:K452),(H451-H452)*G452*200-SUM(J452:K452))),IF(D452="新倉",-SUM(J452:K452),IF(E452="賣",(H452-H451)*G452*50-SUM(J452:K452),(H451-H452)*G452*50-SUM(J452:K452)))))</f>
        <v/>
      </c>
      <c r="M452" s="699">
        <f>L452</f>
        <v/>
      </c>
      <c r="N452" s="686">
        <f>IF(B452="TXO","",IF(D452="新倉","",IF(E452="賣",(H452-H451)*G452,(H451-H452)*G452)))</f>
        <v/>
      </c>
      <c r="O452" s="226">
        <f>ABS(I452)</f>
        <v/>
      </c>
      <c r="P452" s="667" t="n"/>
      <c r="S452" s="739" t="n"/>
      <c r="T452" s="61" t="n"/>
      <c r="U452" s="61" t="n"/>
      <c r="V452" s="61" t="n"/>
      <c r="W452" s="61" t="n"/>
    </row>
    <row r="453" hidden="1" outlineLevel="2" ht="17.25" customHeight="1" thickBot="1">
      <c r="A453" s="696" t="n">
        <v>43329</v>
      </c>
      <c r="B453" s="234" t="inlineStr">
        <is>
          <t>FIMTX</t>
        </is>
      </c>
      <c r="C453" s="229" t="inlineStr">
        <is>
          <t>小指09</t>
        </is>
      </c>
      <c r="D453" s="229" t="inlineStr">
        <is>
          <t>新倉</t>
        </is>
      </c>
      <c r="E453" s="257" t="inlineStr">
        <is>
          <t>賣</t>
        </is>
      </c>
      <c r="F453" s="229" t="inlineStr">
        <is>
          <t>-</t>
        </is>
      </c>
      <c r="G453" s="697" t="n">
        <v>1</v>
      </c>
      <c r="H453" s="697" t="n">
        <v>10705</v>
      </c>
      <c r="I453" s="697" t="n">
        <v>0</v>
      </c>
      <c r="J453" s="585" t="n">
        <v>23</v>
      </c>
      <c r="K453" s="585" t="n">
        <v>11</v>
      </c>
      <c r="L453" s="585">
        <f>IF(B453="TXO",I453-SUM(J453:K453),IF(B453="FITX",IF(D453="新倉",-SUM(J453:K453),IF(E453="賣",(H453-H452)*G453*200-SUM(J453:K453),(H452-H453)*G453*200-SUM(J453:K453))),IF(D453="新倉",-SUM(J453:K453),IF(E453="賣",(H453-H452)*G453*50-SUM(J453:K453),(H452-H453)*G453*50-SUM(J453:K453)))))</f>
        <v/>
      </c>
      <c r="M453" s="699">
        <f>L453</f>
        <v/>
      </c>
      <c r="N453" s="686">
        <f>IF(B453="TXO","",IF(D453="新倉","",IF(E453="賣",(H453-H452)*G453,(H452-H453)*G453)))</f>
        <v/>
      </c>
      <c r="O453" s="226">
        <f>ABS(I453)</f>
        <v/>
      </c>
      <c r="P453" s="667" t="n"/>
      <c r="S453" s="739" t="n"/>
      <c r="T453" s="61" t="n"/>
      <c r="U453" s="61" t="n"/>
      <c r="V453" s="61" t="n"/>
      <c r="W453" s="61" t="n"/>
    </row>
    <row r="454" hidden="1" outlineLevel="2" ht="17.25" customHeight="1" thickBot="1">
      <c r="A454" s="696" t="n">
        <v>43329</v>
      </c>
      <c r="B454" s="234" t="inlineStr">
        <is>
          <t>FIMTX</t>
        </is>
      </c>
      <c r="C454" s="229" t="inlineStr">
        <is>
          <t>小指09</t>
        </is>
      </c>
      <c r="D454" s="229" t="inlineStr">
        <is>
          <t>平倉</t>
        </is>
      </c>
      <c r="E454" s="257" t="inlineStr">
        <is>
          <t>買</t>
        </is>
      </c>
      <c r="F454" s="229" t="inlineStr">
        <is>
          <t>-</t>
        </is>
      </c>
      <c r="G454" s="697" t="n">
        <v>1</v>
      </c>
      <c r="H454" s="697" t="n">
        <v>10698</v>
      </c>
      <c r="I454" s="697" t="n">
        <v>0</v>
      </c>
      <c r="J454" s="585" t="n">
        <v>23</v>
      </c>
      <c r="K454" s="585" t="n">
        <v>11</v>
      </c>
      <c r="L454" s="585">
        <f>IF(B454="TXO",I454-SUM(J454:K454),IF(B454="FITX",IF(D454="新倉",-SUM(J454:K454),IF(E454="賣",(H454-H453)*G454*200-SUM(J454:K454),(H453-H454)*G454*200-SUM(J454:K454))),IF(D454="新倉",-SUM(J454:K454),IF(E454="賣",(H454-H453)*G454*50-SUM(J454:K454),(H453-H454)*G454*50-SUM(J454:K454)))))</f>
        <v/>
      </c>
      <c r="M454" s="699">
        <f>L454</f>
        <v/>
      </c>
      <c r="N454" s="686">
        <f>IF(B454="TXO","",IF(D454="新倉","",IF(E454="賣",(H454-H453)*G454,(H453-H454)*G454)))</f>
        <v/>
      </c>
      <c r="O454" s="226">
        <f>ABS(I454)</f>
        <v/>
      </c>
      <c r="P454" s="667" t="n"/>
      <c r="S454" s="739" t="n"/>
      <c r="T454" s="61" t="n"/>
      <c r="U454" s="61" t="n"/>
      <c r="V454" s="61" t="n"/>
      <c r="W454" s="61" t="n"/>
    </row>
    <row r="455" hidden="1" outlineLevel="2" ht="17.25" customHeight="1" thickBot="1">
      <c r="A455" s="696" t="n">
        <v>43329</v>
      </c>
      <c r="B455" s="234" t="inlineStr">
        <is>
          <t>FIMTX</t>
        </is>
      </c>
      <c r="C455" s="229" t="inlineStr">
        <is>
          <t>小指09</t>
        </is>
      </c>
      <c r="D455" s="229" t="inlineStr">
        <is>
          <t>新倉</t>
        </is>
      </c>
      <c r="E455" s="257" t="inlineStr">
        <is>
          <t>賣</t>
        </is>
      </c>
      <c r="F455" s="229" t="inlineStr">
        <is>
          <t>-</t>
        </is>
      </c>
      <c r="G455" s="697" t="n">
        <v>1</v>
      </c>
      <c r="H455" s="697" t="n">
        <v>10705</v>
      </c>
      <c r="I455" s="697" t="n">
        <v>0</v>
      </c>
      <c r="J455" s="585" t="n">
        <v>23</v>
      </c>
      <c r="K455" s="585" t="n">
        <v>11</v>
      </c>
      <c r="L455" s="585">
        <f>IF(B455="TXO",I455-SUM(J455:K455),IF(B455="FITX",IF(D455="新倉",-SUM(J455:K455),IF(E455="賣",(H455-H454)*G455*200-SUM(J455:K455),(H454-H455)*G455*200-SUM(J455:K455))),IF(D455="新倉",-SUM(J455:K455),IF(E455="賣",(H455-H454)*G455*50-SUM(J455:K455),(H454-H455)*G455*50-SUM(J455:K455)))))</f>
        <v/>
      </c>
      <c r="M455" s="699">
        <f>L455</f>
        <v/>
      </c>
      <c r="N455" s="686">
        <f>IF(B455="TXO","",IF(D455="新倉","",IF(E455="賣",(H455-H454)*G455,(H454-H455)*G455)))</f>
        <v/>
      </c>
      <c r="O455" s="226">
        <f>ABS(I455)</f>
        <v/>
      </c>
      <c r="P455" s="667" t="n"/>
      <c r="S455" s="739" t="n"/>
      <c r="T455" s="61" t="n"/>
      <c r="U455" s="61" t="n"/>
      <c r="V455" s="61" t="n"/>
      <c r="W455" s="61" t="n"/>
    </row>
    <row r="456" hidden="1" outlineLevel="2" ht="17.25" customHeight="1" thickBot="1">
      <c r="A456" s="696" t="n">
        <v>43329</v>
      </c>
      <c r="B456" s="234" t="inlineStr">
        <is>
          <t>FIMTX</t>
        </is>
      </c>
      <c r="C456" s="229" t="inlineStr">
        <is>
          <t>小指09</t>
        </is>
      </c>
      <c r="D456" s="229" t="inlineStr">
        <is>
          <t>平倉</t>
        </is>
      </c>
      <c r="E456" s="257" t="inlineStr">
        <is>
          <t>買</t>
        </is>
      </c>
      <c r="F456" s="229" t="inlineStr">
        <is>
          <t>-</t>
        </is>
      </c>
      <c r="G456" s="697" t="n">
        <v>1</v>
      </c>
      <c r="H456" s="697" t="n">
        <v>10698</v>
      </c>
      <c r="I456" s="697" t="n">
        <v>0</v>
      </c>
      <c r="J456" s="585" t="n">
        <v>23</v>
      </c>
      <c r="K456" s="585" t="n">
        <v>11</v>
      </c>
      <c r="L456" s="585">
        <f>IF(B456="TXO",I456-SUM(J456:K456),IF(B456="FITX",IF(D456="新倉",-SUM(J456:K456),IF(E456="賣",(H456-H455)*G456*200-SUM(J456:K456),(H455-H456)*G456*200-SUM(J456:K456))),IF(D456="新倉",-SUM(J456:K456),IF(E456="賣",(H456-H455)*G456*50-SUM(J456:K456),(H455-H456)*G456*50-SUM(J456:K456)))))</f>
        <v/>
      </c>
      <c r="M456" s="699">
        <f>L456</f>
        <v/>
      </c>
      <c r="N456" s="686">
        <f>IF(B456="TXO","",IF(D456="新倉","",IF(E456="賣",(H456-H455)*G456,(H455-H456)*G456)))</f>
        <v/>
      </c>
      <c r="O456" s="226">
        <f>ABS(I456)</f>
        <v/>
      </c>
      <c r="P456" s="667" t="n"/>
      <c r="S456" s="739" t="n"/>
      <c r="T456" s="61" t="n"/>
      <c r="U456" s="61" t="n"/>
      <c r="V456" s="61" t="n"/>
      <c r="W456" s="61" t="n"/>
    </row>
    <row r="457" hidden="1" outlineLevel="1" ht="17.25" customHeight="1" thickBot="1">
      <c r="A457" s="740" t="n">
        <v>43332</v>
      </c>
      <c r="B457" s="299" t="inlineStr">
        <is>
          <t>FIMTX</t>
        </is>
      </c>
      <c r="C457" s="300" t="inlineStr">
        <is>
          <t>小指09</t>
        </is>
      </c>
      <c r="D457" s="300" t="inlineStr">
        <is>
          <t>新倉</t>
        </is>
      </c>
      <c r="E457" s="301" t="inlineStr">
        <is>
          <t>買</t>
        </is>
      </c>
      <c r="F457" s="300" t="inlineStr">
        <is>
          <t>-</t>
        </is>
      </c>
      <c r="G457" s="741" t="n">
        <v>1</v>
      </c>
      <c r="H457" s="741" t="n">
        <v>10688</v>
      </c>
      <c r="I457" s="741" t="n">
        <v>0</v>
      </c>
      <c r="J457" s="742" t="n">
        <v>23</v>
      </c>
      <c r="K457" s="742" t="n">
        <v>11</v>
      </c>
      <c r="L457" s="742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/>
      </c>
      <c r="M457" s="743">
        <f>L457</f>
        <v/>
      </c>
      <c r="N457" s="686">
        <f>IF(B457="TXO","",IF(D457="新倉","",IF(E457="賣",(H457-H456)*G457,(H456-H457)*G457)))</f>
        <v/>
      </c>
      <c r="O457" s="226">
        <f>ABS(I457)</f>
        <v/>
      </c>
      <c r="P457" s="667">
        <f>SUM(L457:L460)</f>
        <v/>
      </c>
      <c r="S457" s="739" t="n"/>
      <c r="T457" s="61" t="n"/>
      <c r="U457" s="61" t="n"/>
      <c r="V457" s="61" t="n"/>
      <c r="W457" s="61" t="n"/>
    </row>
    <row r="458" hidden="1" outlineLevel="2" collapsed="1" ht="17.25" customHeight="1" thickBot="1">
      <c r="A458" s="740" t="n">
        <v>43332</v>
      </c>
      <c r="B458" s="299" t="inlineStr">
        <is>
          <t>FIMTX</t>
        </is>
      </c>
      <c r="C458" s="300" t="inlineStr">
        <is>
          <t>小指09</t>
        </is>
      </c>
      <c r="D458" s="300" t="inlineStr">
        <is>
          <t>平倉</t>
        </is>
      </c>
      <c r="E458" s="301" t="inlineStr">
        <is>
          <t>賣</t>
        </is>
      </c>
      <c r="F458" s="300" t="inlineStr">
        <is>
          <t>-</t>
        </is>
      </c>
      <c r="G458" s="741" t="n">
        <v>1</v>
      </c>
      <c r="H458" s="741" t="n">
        <v>10693</v>
      </c>
      <c r="I458" s="741" t="n">
        <v>0</v>
      </c>
      <c r="J458" s="742" t="n">
        <v>23</v>
      </c>
      <c r="K458" s="742" t="n">
        <v>11</v>
      </c>
      <c r="L458" s="742">
        <f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/>
      </c>
      <c r="M458" s="743">
        <f>L458</f>
        <v/>
      </c>
      <c r="N458" s="686">
        <f>IF(B458="TXO","",IF(D458="新倉","",IF(E458="賣",(H458-H457)*G458,(H457-H458)*G458)))</f>
        <v/>
      </c>
      <c r="O458" s="226">
        <f>ABS(I458)</f>
        <v/>
      </c>
      <c r="P458" s="667" t="n"/>
      <c r="S458" s="739" t="n"/>
      <c r="T458" s="61" t="n"/>
      <c r="U458" s="61" t="n"/>
      <c r="V458" s="61" t="n"/>
      <c r="W458" s="61" t="n"/>
    </row>
    <row r="459" hidden="1" outlineLevel="2" collapsed="1" ht="17.25" customHeight="1" thickBot="1">
      <c r="A459" s="740" t="n">
        <v>43332</v>
      </c>
      <c r="B459" s="299" t="inlineStr">
        <is>
          <t>FIMTX</t>
        </is>
      </c>
      <c r="C459" s="300" t="inlineStr">
        <is>
          <t>小指09</t>
        </is>
      </c>
      <c r="D459" s="300" t="inlineStr">
        <is>
          <t>新倉</t>
        </is>
      </c>
      <c r="E459" s="301" t="inlineStr">
        <is>
          <t>買</t>
        </is>
      </c>
      <c r="F459" s="300" t="inlineStr">
        <is>
          <t>-</t>
        </is>
      </c>
      <c r="G459" s="741" t="n">
        <v>1</v>
      </c>
      <c r="H459" s="741" t="n">
        <v>10688</v>
      </c>
      <c r="I459" s="741" t="n">
        <v>0</v>
      </c>
      <c r="J459" s="742" t="n">
        <v>23</v>
      </c>
      <c r="K459" s="742" t="n">
        <v>11</v>
      </c>
      <c r="L459" s="742">
        <f>IF(B459="TXO",I459-SUM(J459:K459),IF(B459="FITX",IF(D459="新倉",-SUM(J459:K459),IF(E459="賣",(H459-H458)*G459*200-SUM(J459:K459),(H458-H459)*G459*200-SUM(J459:K459))),IF(D459="新倉",-SUM(J459:K459),IF(E459="賣",(H459-H458)*G459*50-SUM(J459:K459),(H458-H459)*G459*50-SUM(J459:K459)))))</f>
        <v/>
      </c>
      <c r="M459" s="743">
        <f>L459</f>
        <v/>
      </c>
      <c r="N459" s="686">
        <f>IF(B459="TXO","",IF(D459="新倉","",IF(E459="賣",(H459-H458)*G459,(H458-H459)*G459)))</f>
        <v/>
      </c>
      <c r="O459" s="226">
        <f>ABS(I459)</f>
        <v/>
      </c>
      <c r="P459" s="667" t="n"/>
      <c r="S459" s="739" t="n"/>
      <c r="T459" s="61" t="n"/>
      <c r="U459" s="61" t="n"/>
      <c r="V459" s="61" t="n"/>
      <c r="W459" s="61" t="n"/>
    </row>
    <row r="460" hidden="1" outlineLevel="2" collapsed="1" ht="17.25" customHeight="1" thickBot="1">
      <c r="A460" s="740" t="n">
        <v>43332</v>
      </c>
      <c r="B460" s="299" t="inlineStr">
        <is>
          <t>FIMTX</t>
        </is>
      </c>
      <c r="C460" s="300" t="inlineStr">
        <is>
          <t>小指09</t>
        </is>
      </c>
      <c r="D460" s="300" t="inlineStr">
        <is>
          <t>平倉</t>
        </is>
      </c>
      <c r="E460" s="301" t="inlineStr">
        <is>
          <t>賣</t>
        </is>
      </c>
      <c r="F460" s="300" t="inlineStr">
        <is>
          <t>-</t>
        </is>
      </c>
      <c r="G460" s="741" t="n">
        <v>1</v>
      </c>
      <c r="H460" s="741" t="n">
        <v>10694</v>
      </c>
      <c r="I460" s="741" t="n">
        <v>0</v>
      </c>
      <c r="J460" s="742" t="n">
        <v>23</v>
      </c>
      <c r="K460" s="742" t="n">
        <v>11</v>
      </c>
      <c r="L460" s="742">
        <f>IF(B460="TXO",I460-SUM(J460:K460),IF(B460="FITX",IF(D460="新倉",-SUM(J460:K460),IF(E460="賣",(H460-H459)*G460*200-SUM(J460:K460),(H459-H460)*G460*200-SUM(J460:K460))),IF(D460="新倉",-SUM(J460:K460),IF(E460="賣",(H460-H459)*G460*50-SUM(J460:K460),(H459-H460)*G460*50-SUM(J460:K460)))))</f>
        <v/>
      </c>
      <c r="M460" s="743">
        <f>L460</f>
        <v/>
      </c>
      <c r="N460" s="686">
        <f>IF(B460="TXO","",IF(D460="新倉","",IF(E460="賣",(H460-H459)*G460,(H459-H460)*G460)))</f>
        <v/>
      </c>
      <c r="O460" s="226">
        <f>ABS(I460)</f>
        <v/>
      </c>
      <c r="P460" s="667" t="n"/>
      <c r="S460" s="739" t="n"/>
      <c r="T460" s="61" t="n"/>
      <c r="U460" s="61" t="n"/>
      <c r="V460" s="61" t="n"/>
      <c r="W460" s="61" t="n"/>
    </row>
    <row r="461" hidden="1" outlineLevel="1" ht="17.25" customHeight="1" thickBot="1">
      <c r="A461" s="696" t="n">
        <v>43333</v>
      </c>
      <c r="B461" s="234" t="inlineStr">
        <is>
          <t>FIMTX</t>
        </is>
      </c>
      <c r="C461" s="229" t="inlineStr">
        <is>
          <t>小指09</t>
        </is>
      </c>
      <c r="D461" s="229" t="inlineStr">
        <is>
          <t>新倉</t>
        </is>
      </c>
      <c r="E461" s="257" t="inlineStr">
        <is>
          <t>買</t>
        </is>
      </c>
      <c r="F461" s="229" t="inlineStr">
        <is>
          <t>-</t>
        </is>
      </c>
      <c r="G461" s="697" t="n">
        <v>1</v>
      </c>
      <c r="H461" s="697" t="n">
        <v>10710</v>
      </c>
      <c r="I461" s="697" t="n">
        <v>0</v>
      </c>
      <c r="J461" s="585" t="n">
        <v>23</v>
      </c>
      <c r="K461" s="585" t="n">
        <v>11</v>
      </c>
      <c r="L461" s="585">
        <f>IF(B461="TXO",I461-SUM(J461:K461),IF(B461="FITX",IF(D461="新倉",-SUM(J461:K461),IF(E461="賣",(H461-H460)*G461*200-SUM(J461:K461),(H460-H461)*G461*200-SUM(J461:K461))),IF(D461="新倉",-SUM(J461:K461),IF(E461="賣",(H461-H460)*G461*50-SUM(J461:K461),(H460-H461)*G461*50-SUM(J461:K461)))))</f>
        <v/>
      </c>
      <c r="M461" s="699">
        <f>L461</f>
        <v/>
      </c>
      <c r="N461" s="686">
        <f>IF(B461="TXO","",IF(D461="新倉","",IF(E461="賣",(H461-H460)*G461,(H460-H461)*G461)))</f>
        <v/>
      </c>
      <c r="O461" s="226">
        <f>ABS(I461)</f>
        <v/>
      </c>
      <c r="P461" s="667">
        <f>SUM(L461:L472)</f>
        <v/>
      </c>
      <c r="S461" s="739" t="n"/>
      <c r="T461" s="61" t="n"/>
      <c r="U461" s="61" t="n"/>
      <c r="V461" s="61" t="n"/>
      <c r="W461" s="61" t="n"/>
    </row>
    <row r="462" hidden="1" outlineLevel="2" collapsed="1" ht="17.25" customHeight="1" thickBot="1">
      <c r="A462" s="696" t="n">
        <v>43333</v>
      </c>
      <c r="B462" s="234" t="inlineStr">
        <is>
          <t>FIMTX</t>
        </is>
      </c>
      <c r="C462" s="229" t="inlineStr">
        <is>
          <t>小指09</t>
        </is>
      </c>
      <c r="D462" s="229" t="inlineStr">
        <is>
          <t>平倉</t>
        </is>
      </c>
      <c r="E462" s="257" t="inlineStr">
        <is>
          <t>賣</t>
        </is>
      </c>
      <c r="F462" s="229" t="inlineStr">
        <is>
          <t>-</t>
        </is>
      </c>
      <c r="G462" s="697" t="n">
        <v>1</v>
      </c>
      <c r="H462" s="697" t="n">
        <v>10719</v>
      </c>
      <c r="I462" s="697" t="n">
        <v>0</v>
      </c>
      <c r="J462" s="585" t="n">
        <v>23</v>
      </c>
      <c r="K462" s="585" t="n">
        <v>11</v>
      </c>
      <c r="L462" s="585">
        <f>IF(B462="TXO",I462-SUM(J462:K462),IF(B462="FITX",IF(D462="新倉",-SUM(J462:K462),IF(E462="賣",(H462-H461)*G462*200-SUM(J462:K462),(H461-H462)*G462*200-SUM(J462:K462))),IF(D462="新倉",-SUM(J462:K462),IF(E462="賣",(H462-H461)*G462*50-SUM(J462:K462),(H461-H462)*G462*50-SUM(J462:K462)))))</f>
        <v/>
      </c>
      <c r="M462" s="699">
        <f>L462</f>
        <v/>
      </c>
      <c r="N462" s="686">
        <f>IF(B462="TXO","",IF(D462="新倉","",IF(E462="賣",(H462-H461)*G462,(H461-H462)*G462)))</f>
        <v/>
      </c>
      <c r="O462" s="226">
        <f>ABS(I462)</f>
        <v/>
      </c>
      <c r="P462" s="667" t="n"/>
      <c r="S462" s="739" t="n"/>
      <c r="T462" s="61" t="n"/>
      <c r="U462" s="61" t="n"/>
      <c r="V462" s="61" t="n"/>
      <c r="W462" s="61" t="n"/>
    </row>
    <row r="463" hidden="1" outlineLevel="2" collapsed="1" ht="17.25" customHeight="1" thickBot="1">
      <c r="A463" s="696" t="n">
        <v>43333</v>
      </c>
      <c r="B463" s="234" t="inlineStr">
        <is>
          <t>FIMTX</t>
        </is>
      </c>
      <c r="C463" s="229" t="inlineStr">
        <is>
          <t>小指09</t>
        </is>
      </c>
      <c r="D463" s="229" t="inlineStr">
        <is>
          <t>新倉</t>
        </is>
      </c>
      <c r="E463" s="257" t="inlineStr">
        <is>
          <t>買</t>
        </is>
      </c>
      <c r="F463" s="229" t="inlineStr">
        <is>
          <t>-</t>
        </is>
      </c>
      <c r="G463" s="697" t="n">
        <v>1</v>
      </c>
      <c r="H463" s="697" t="n">
        <v>10710</v>
      </c>
      <c r="I463" s="697" t="n">
        <v>0</v>
      </c>
      <c r="J463" s="585" t="n">
        <v>23</v>
      </c>
      <c r="K463" s="585" t="n">
        <v>11</v>
      </c>
      <c r="L463" s="585">
        <f>IF(B463="TXO",I463-SUM(J463:K463),IF(B463="FITX",IF(D463="新倉",-SUM(J463:K463),IF(E463="賣",(H463-H462)*G463*200-SUM(J463:K463),(H462-H463)*G463*200-SUM(J463:K463))),IF(D463="新倉",-SUM(J463:K463),IF(E463="賣",(H463-H462)*G463*50-SUM(J463:K463),(H462-H463)*G463*50-SUM(J463:K463)))))</f>
        <v/>
      </c>
      <c r="M463" s="699">
        <f>L463</f>
        <v/>
      </c>
      <c r="N463" s="686">
        <f>IF(B463="TXO","",IF(D463="新倉","",IF(E463="賣",(H463-H462)*G463,(H462-H463)*G463)))</f>
        <v/>
      </c>
      <c r="O463" s="226">
        <f>ABS(I463)</f>
        <v/>
      </c>
      <c r="P463" s="667" t="n"/>
      <c r="S463" s="739" t="n"/>
      <c r="T463" s="61" t="n"/>
      <c r="U463" s="61" t="n"/>
      <c r="V463" s="61" t="n"/>
      <c r="W463" s="61" t="n"/>
    </row>
    <row r="464" hidden="1" outlineLevel="2" collapsed="1" ht="17.25" customHeight="1" thickBot="1">
      <c r="A464" s="696" t="n">
        <v>43333</v>
      </c>
      <c r="B464" s="234" t="inlineStr">
        <is>
          <t>FIMTX</t>
        </is>
      </c>
      <c r="C464" s="229" t="inlineStr">
        <is>
          <t>小指09</t>
        </is>
      </c>
      <c r="D464" s="229" t="inlineStr">
        <is>
          <t>平倉</t>
        </is>
      </c>
      <c r="E464" s="257" t="inlineStr">
        <is>
          <t>賣</t>
        </is>
      </c>
      <c r="F464" s="229" t="inlineStr">
        <is>
          <t>-</t>
        </is>
      </c>
      <c r="G464" s="697" t="n">
        <v>1</v>
      </c>
      <c r="H464" s="697" t="n">
        <v>10719</v>
      </c>
      <c r="I464" s="697" t="n">
        <v>0</v>
      </c>
      <c r="J464" s="585" t="n">
        <v>23</v>
      </c>
      <c r="K464" s="585" t="n">
        <v>11</v>
      </c>
      <c r="L464" s="585">
        <f>IF(B464="TXO",I464-SUM(J464:K464),IF(B464="FITX",IF(D464="新倉",-SUM(J464:K464),IF(E464="賣",(H464-H463)*G464*200-SUM(J464:K464),(H463-H464)*G464*200-SUM(J464:K464))),IF(D464="新倉",-SUM(J464:K464),IF(E464="賣",(H464-H463)*G464*50-SUM(J464:K464),(H463-H464)*G464*50-SUM(J464:K464)))))</f>
        <v/>
      </c>
      <c r="M464" s="699">
        <f>L464</f>
        <v/>
      </c>
      <c r="N464" s="686">
        <f>IF(B464="TXO","",IF(D464="新倉","",IF(E464="賣",(H464-H463)*G464,(H463-H464)*G464)))</f>
        <v/>
      </c>
      <c r="O464" s="226">
        <f>ABS(I464)</f>
        <v/>
      </c>
      <c r="P464" s="667" t="n"/>
      <c r="S464" s="739" t="n"/>
      <c r="T464" s="61" t="n"/>
      <c r="U464" s="61" t="n"/>
      <c r="V464" s="61" t="n"/>
      <c r="W464" s="61" t="n"/>
    </row>
    <row r="465" hidden="1" outlineLevel="2" collapsed="1" ht="17.25" customHeight="1" thickBot="1">
      <c r="A465" s="696" t="n">
        <v>43333</v>
      </c>
      <c r="B465" s="234" t="inlineStr">
        <is>
          <t>FIMTX</t>
        </is>
      </c>
      <c r="C465" s="229" t="inlineStr">
        <is>
          <t>小指09</t>
        </is>
      </c>
      <c r="D465" s="229" t="inlineStr">
        <is>
          <t>新倉</t>
        </is>
      </c>
      <c r="E465" s="257" t="inlineStr">
        <is>
          <t>買</t>
        </is>
      </c>
      <c r="F465" s="229" t="inlineStr">
        <is>
          <t>-</t>
        </is>
      </c>
      <c r="G465" s="697" t="n">
        <v>1</v>
      </c>
      <c r="H465" s="697" t="n">
        <v>10770</v>
      </c>
      <c r="I465" s="697" t="n">
        <v>0</v>
      </c>
      <c r="J465" s="585" t="n">
        <v>23</v>
      </c>
      <c r="K465" s="585" t="n">
        <v>11</v>
      </c>
      <c r="L465" s="585">
        <f>IF(B465="TXO",I465-SUM(J465:K465),IF(B465="FITX",IF(D465="新倉",-SUM(J465:K465),IF(E465="賣",(H465-H464)*G465*200-SUM(J465:K465),(H464-H465)*G465*200-SUM(J465:K465))),IF(D465="新倉",-SUM(J465:K465),IF(E465="賣",(H465-H464)*G465*50-SUM(J465:K465),(H464-H465)*G465*50-SUM(J465:K465)))))</f>
        <v/>
      </c>
      <c r="M465" s="699">
        <f>L465</f>
        <v/>
      </c>
      <c r="N465" s="686">
        <f>IF(B465="TXO","",IF(D465="新倉","",IF(E465="賣",(H465-H464)*G465,(H464-H465)*G465)))</f>
        <v/>
      </c>
      <c r="O465" s="226">
        <f>ABS(I465)</f>
        <v/>
      </c>
      <c r="P465" s="667" t="n"/>
      <c r="S465" s="739" t="n"/>
      <c r="T465" s="61" t="n"/>
      <c r="U465" s="61" t="n"/>
      <c r="V465" s="61" t="n"/>
      <c r="W465" s="61" t="n"/>
    </row>
    <row r="466" hidden="1" outlineLevel="2" collapsed="1" ht="17.25" customHeight="1" thickBot="1">
      <c r="A466" s="696" t="n">
        <v>43333</v>
      </c>
      <c r="B466" s="234" t="inlineStr">
        <is>
          <t>FIMTX</t>
        </is>
      </c>
      <c r="C466" s="229" t="inlineStr">
        <is>
          <t>小指09</t>
        </is>
      </c>
      <c r="D466" s="229" t="inlineStr">
        <is>
          <t>平倉</t>
        </is>
      </c>
      <c r="E466" s="257" t="inlineStr">
        <is>
          <t>賣</t>
        </is>
      </c>
      <c r="F466" s="229" t="inlineStr">
        <is>
          <t>-</t>
        </is>
      </c>
      <c r="G466" s="697" t="n">
        <v>1</v>
      </c>
      <c r="H466" s="697" t="n">
        <v>10770</v>
      </c>
      <c r="I466" s="697" t="n">
        <v>0</v>
      </c>
      <c r="J466" s="585" t="n">
        <v>23</v>
      </c>
      <c r="K466" s="585" t="n">
        <v>11</v>
      </c>
      <c r="L466" s="585">
        <f>IF(B466="TXO",I466-SUM(J466:K466),IF(B466="FITX",IF(D466="新倉",-SUM(J466:K466),IF(E466="賣",(H466-H465)*G466*200-SUM(J466:K466),(H465-H466)*G466*200-SUM(J466:K466))),IF(D466="新倉",-SUM(J466:K466),IF(E466="賣",(H466-H465)*G466*50-SUM(J466:K466),(H465-H466)*G466*50-SUM(J466:K466)))))</f>
        <v/>
      </c>
      <c r="M466" s="699">
        <f>L466</f>
        <v/>
      </c>
      <c r="N466" s="686">
        <f>IF(B466="TXO","",IF(D466="新倉","",IF(E466="賣",(H466-H465)*G466,(H465-H466)*G466)))</f>
        <v/>
      </c>
      <c r="O466" s="226">
        <f>ABS(I466)</f>
        <v/>
      </c>
      <c r="P466" s="667" t="n"/>
      <c r="S466" s="739" t="n"/>
      <c r="T466" s="61" t="n"/>
      <c r="U466" s="61" t="n"/>
      <c r="V466" s="61" t="n"/>
      <c r="W466" s="61" t="n"/>
    </row>
    <row r="467" hidden="1" outlineLevel="2" collapsed="1" ht="17.25" customHeight="1" thickBot="1">
      <c r="A467" s="696" t="n">
        <v>43333</v>
      </c>
      <c r="B467" s="234" t="inlineStr">
        <is>
          <t>FIMTX</t>
        </is>
      </c>
      <c r="C467" s="229" t="inlineStr">
        <is>
          <t>小指09</t>
        </is>
      </c>
      <c r="D467" s="229" t="inlineStr">
        <is>
          <t>新倉</t>
        </is>
      </c>
      <c r="E467" s="257" t="inlineStr">
        <is>
          <t>買</t>
        </is>
      </c>
      <c r="F467" s="229" t="inlineStr">
        <is>
          <t>-</t>
        </is>
      </c>
      <c r="G467" s="697" t="n">
        <v>1</v>
      </c>
      <c r="H467" s="697" t="n">
        <v>10770</v>
      </c>
      <c r="I467" s="697" t="n">
        <v>0</v>
      </c>
      <c r="J467" s="585" t="n">
        <v>23</v>
      </c>
      <c r="K467" s="585" t="n">
        <v>11</v>
      </c>
      <c r="L467" s="585">
        <f>IF(B467="TXO",I467-SUM(J467:K467),IF(B467="FITX",IF(D467="新倉",-SUM(J467:K467),IF(E467="賣",(H467-H466)*G467*200-SUM(J467:K467),(H466-H467)*G467*200-SUM(J467:K467))),IF(D467="新倉",-SUM(J467:K467),IF(E467="賣",(H467-H466)*G467*50-SUM(J467:K467),(H466-H467)*G467*50-SUM(J467:K467)))))</f>
        <v/>
      </c>
      <c r="M467" s="699">
        <f>L467</f>
        <v/>
      </c>
      <c r="N467" s="686">
        <f>IF(B467="TXO","",IF(D467="新倉","",IF(E467="賣",(H467-H466)*G467,(H466-H467)*G467)))</f>
        <v/>
      </c>
      <c r="O467" s="226">
        <f>ABS(I467)</f>
        <v/>
      </c>
      <c r="P467" s="667" t="n"/>
      <c r="S467" s="739" t="n"/>
      <c r="T467" s="61" t="n"/>
      <c r="U467" s="61" t="n"/>
      <c r="V467" s="61" t="n"/>
      <c r="W467" s="61" t="n"/>
    </row>
    <row r="468" hidden="1" outlineLevel="2" collapsed="1" ht="17.25" customHeight="1" thickBot="1">
      <c r="A468" s="696" t="n">
        <v>43333</v>
      </c>
      <c r="B468" s="234" t="inlineStr">
        <is>
          <t>FIMTX</t>
        </is>
      </c>
      <c r="C468" s="229" t="inlineStr">
        <is>
          <t>小指09</t>
        </is>
      </c>
      <c r="D468" s="229" t="inlineStr">
        <is>
          <t>平倉</t>
        </is>
      </c>
      <c r="E468" s="257" t="inlineStr">
        <is>
          <t>賣</t>
        </is>
      </c>
      <c r="F468" s="229" t="inlineStr">
        <is>
          <t>-</t>
        </is>
      </c>
      <c r="G468" s="697" t="n">
        <v>1</v>
      </c>
      <c r="H468" s="697" t="n">
        <v>10767</v>
      </c>
      <c r="I468" s="697" t="n">
        <v>0</v>
      </c>
      <c r="J468" s="585" t="n">
        <v>23</v>
      </c>
      <c r="K468" s="585" t="n">
        <v>11</v>
      </c>
      <c r="L468" s="585">
        <f>IF(B468="TXO",I468-SUM(J468:K468),IF(B468="FITX",IF(D468="新倉",-SUM(J468:K468),IF(E468="賣",(H468-H467)*G468*200-SUM(J468:K468),(H467-H468)*G468*200-SUM(J468:K468))),IF(D468="新倉",-SUM(J468:K468),IF(E468="賣",(H468-H467)*G468*50-SUM(J468:K468),(H467-H468)*G468*50-SUM(J468:K468)))))</f>
        <v/>
      </c>
      <c r="M468" s="699">
        <f>L468</f>
        <v/>
      </c>
      <c r="N468" s="686">
        <f>IF(B468="TXO","",IF(D468="新倉","",IF(E468="賣",(H468-H467)*G468,(H467-H468)*G468)))</f>
        <v/>
      </c>
      <c r="O468" s="226">
        <f>ABS(I468)</f>
        <v/>
      </c>
      <c r="P468" s="667" t="n"/>
      <c r="S468" s="739" t="n"/>
      <c r="T468" s="61" t="n"/>
      <c r="U468" s="61" t="n"/>
      <c r="V468" s="61" t="n"/>
      <c r="W468" s="61" t="n"/>
    </row>
    <row r="469" hidden="1" outlineLevel="2" collapsed="1" ht="17.25" customHeight="1" thickBot="1">
      <c r="A469" s="696" t="n">
        <v>43333</v>
      </c>
      <c r="B469" s="234" t="inlineStr">
        <is>
          <t>FIMTX</t>
        </is>
      </c>
      <c r="C469" s="229" t="inlineStr">
        <is>
          <t>小指09</t>
        </is>
      </c>
      <c r="D469" s="229" t="inlineStr">
        <is>
          <t>新倉</t>
        </is>
      </c>
      <c r="E469" s="257" t="inlineStr">
        <is>
          <t>賣</t>
        </is>
      </c>
      <c r="F469" s="229" t="inlineStr">
        <is>
          <t>-</t>
        </is>
      </c>
      <c r="G469" s="697" t="n">
        <v>1</v>
      </c>
      <c r="H469" s="697" t="n">
        <v>10761</v>
      </c>
      <c r="I469" s="697" t="n">
        <v>0</v>
      </c>
      <c r="J469" s="585" t="n">
        <v>23</v>
      </c>
      <c r="K469" s="585" t="n">
        <v>11</v>
      </c>
      <c r="L469" s="585">
        <f>IF(B469="TXO",I469-SUM(J469:K469),IF(B469="FITX",IF(D469="新倉",-SUM(J469:K469),IF(E469="賣",(H469-H468)*G469*200-SUM(J469:K469),(H468-H469)*G469*200-SUM(J469:K469))),IF(D469="新倉",-SUM(J469:K469),IF(E469="賣",(H469-H468)*G469*50-SUM(J469:K469),(H468-H469)*G469*50-SUM(J469:K469)))))</f>
        <v/>
      </c>
      <c r="M469" s="699">
        <f>L469</f>
        <v/>
      </c>
      <c r="N469" s="686">
        <f>IF(B469="TXO","",IF(D469="新倉","",IF(E469="賣",(H469-H468)*G469,(H468-H469)*G469)))</f>
        <v/>
      </c>
      <c r="O469" s="226">
        <f>ABS(I469)</f>
        <v/>
      </c>
      <c r="P469" s="667" t="n"/>
      <c r="S469" s="739" t="n"/>
      <c r="T469" s="61" t="n"/>
      <c r="U469" s="61" t="n"/>
      <c r="V469" s="61" t="n"/>
      <c r="W469" s="61" t="n"/>
    </row>
    <row r="470" hidden="1" outlineLevel="2" collapsed="1" ht="17.25" customHeight="1" thickBot="1">
      <c r="A470" s="696" t="n">
        <v>43333</v>
      </c>
      <c r="B470" s="234" t="inlineStr">
        <is>
          <t>FIMTX</t>
        </is>
      </c>
      <c r="C470" s="229" t="inlineStr">
        <is>
          <t>小指09</t>
        </is>
      </c>
      <c r="D470" s="229" t="inlineStr">
        <is>
          <t>平倉</t>
        </is>
      </c>
      <c r="E470" s="257" t="inlineStr">
        <is>
          <t>買</t>
        </is>
      </c>
      <c r="F470" s="229" t="inlineStr">
        <is>
          <t>-</t>
        </is>
      </c>
      <c r="G470" s="697" t="n">
        <v>1</v>
      </c>
      <c r="H470" s="697" t="n">
        <v>10764</v>
      </c>
      <c r="I470" s="697" t="n">
        <v>0</v>
      </c>
      <c r="J470" s="585" t="n">
        <v>23</v>
      </c>
      <c r="K470" s="585" t="n">
        <v>11</v>
      </c>
      <c r="L470" s="585">
        <f>IF(B470="TXO",I470-SUM(J470:K470),IF(B470="FITX",IF(D470="新倉",-SUM(J470:K470),IF(E470="賣",(H470-H469)*G470*200-SUM(J470:K470),(H469-H470)*G470*200-SUM(J470:K470))),IF(D470="新倉",-SUM(J470:K470),IF(E470="賣",(H470-H469)*G470*50-SUM(J470:K470),(H469-H470)*G470*50-SUM(J470:K470)))))</f>
        <v/>
      </c>
      <c r="M470" s="699">
        <f>L470</f>
        <v/>
      </c>
      <c r="N470" s="686">
        <f>IF(B470="TXO","",IF(D470="新倉","",IF(E470="賣",(H470-H469)*G470,(H469-H470)*G470)))</f>
        <v/>
      </c>
      <c r="O470" s="226">
        <f>ABS(I470)</f>
        <v/>
      </c>
      <c r="P470" s="667" t="n"/>
      <c r="S470" s="739" t="n"/>
      <c r="T470" s="61" t="n"/>
      <c r="U470" s="61" t="n"/>
      <c r="V470" s="61" t="n"/>
      <c r="W470" s="61" t="n"/>
    </row>
    <row r="471" hidden="1" outlineLevel="2" collapsed="1" ht="17.25" customHeight="1" thickBot="1">
      <c r="A471" s="696" t="n">
        <v>43333</v>
      </c>
      <c r="B471" s="234" t="inlineStr">
        <is>
          <t>FIMTX</t>
        </is>
      </c>
      <c r="C471" s="229" t="inlineStr">
        <is>
          <t>小指09</t>
        </is>
      </c>
      <c r="D471" s="229" t="inlineStr">
        <is>
          <t>新倉</t>
        </is>
      </c>
      <c r="E471" s="257" t="inlineStr">
        <is>
          <t>賣</t>
        </is>
      </c>
      <c r="F471" s="229" t="inlineStr">
        <is>
          <t>-</t>
        </is>
      </c>
      <c r="G471" s="697" t="n">
        <v>1</v>
      </c>
      <c r="H471" s="697" t="n">
        <v>10761</v>
      </c>
      <c r="I471" s="697" t="n">
        <v>0</v>
      </c>
      <c r="J471" s="585" t="n">
        <v>23</v>
      </c>
      <c r="K471" s="585" t="n">
        <v>11</v>
      </c>
      <c r="L471" s="585">
        <f>IF(B471="TXO",I471-SUM(J471:K471),IF(B471="FITX",IF(D471="新倉",-SUM(J471:K471),IF(E471="賣",(H471-H470)*G471*200-SUM(J471:K471),(H470-H471)*G471*200-SUM(J471:K471))),IF(D471="新倉",-SUM(J471:K471),IF(E471="賣",(H471-H470)*G471*50-SUM(J471:K471),(H470-H471)*G471*50-SUM(J471:K471)))))</f>
        <v/>
      </c>
      <c r="M471" s="699">
        <f>L471</f>
        <v/>
      </c>
      <c r="N471" s="686">
        <f>IF(B471="TXO","",IF(D471="新倉","",IF(E471="賣",(H471-H470)*G471,(H470-H471)*G471)))</f>
        <v/>
      </c>
      <c r="O471" s="226">
        <f>ABS(I471)</f>
        <v/>
      </c>
      <c r="P471" s="667" t="n"/>
      <c r="S471" s="739" t="n"/>
      <c r="T471" s="61" t="n"/>
      <c r="U471" s="61" t="n"/>
      <c r="V471" s="61" t="n"/>
      <c r="W471" s="61" t="n"/>
    </row>
    <row r="472" hidden="1" outlineLevel="2" collapsed="1" ht="17.25" customHeight="1" thickBot="1">
      <c r="A472" s="696" t="n">
        <v>43333</v>
      </c>
      <c r="B472" s="234" t="inlineStr">
        <is>
          <t>FIMTX</t>
        </is>
      </c>
      <c r="C472" s="229" t="inlineStr">
        <is>
          <t>小指09</t>
        </is>
      </c>
      <c r="D472" s="229" t="inlineStr">
        <is>
          <t>平倉</t>
        </is>
      </c>
      <c r="E472" s="257" t="inlineStr">
        <is>
          <t>買</t>
        </is>
      </c>
      <c r="F472" s="229" t="inlineStr">
        <is>
          <t>-</t>
        </is>
      </c>
      <c r="G472" s="697" t="n">
        <v>1</v>
      </c>
      <c r="H472" s="697" t="n">
        <v>10764</v>
      </c>
      <c r="I472" s="697" t="n">
        <v>0</v>
      </c>
      <c r="J472" s="585" t="n">
        <v>23</v>
      </c>
      <c r="K472" s="585" t="n">
        <v>11</v>
      </c>
      <c r="L472" s="585">
        <f>IF(B472="TXO",I472-SUM(J472:K472),IF(B472="FITX",IF(D472="新倉",-SUM(J472:K472),IF(E472="賣",(H472-H471)*G472*200-SUM(J472:K472),(H471-H472)*G472*200-SUM(J472:K472))),IF(D472="新倉",-SUM(J472:K472),IF(E472="賣",(H472-H471)*G472*50-SUM(J472:K472),(H471-H472)*G472*50-SUM(J472:K472)))))</f>
        <v/>
      </c>
      <c r="M472" s="699">
        <f>L472</f>
        <v/>
      </c>
      <c r="N472" s="686">
        <f>IF(B472="TXO","",IF(D472="新倉","",IF(E472="賣",(H472-H471)*G472,(H471-H472)*G472)))</f>
        <v/>
      </c>
      <c r="O472" s="226">
        <f>ABS(I472)</f>
        <v/>
      </c>
      <c r="P472" s="667" t="n"/>
      <c r="S472" s="739" t="n"/>
      <c r="T472" s="61" t="n"/>
      <c r="U472" s="61" t="n"/>
      <c r="V472" s="61" t="n"/>
      <c r="W472" s="61" t="n"/>
    </row>
    <row r="473" hidden="1" outlineLevel="1" ht="17.25" customHeight="1" thickBot="1">
      <c r="A473" s="740" t="n">
        <v>43334</v>
      </c>
      <c r="B473" s="299" t="inlineStr">
        <is>
          <t>FIMTX</t>
        </is>
      </c>
      <c r="C473" s="300" t="inlineStr">
        <is>
          <t>小指09</t>
        </is>
      </c>
      <c r="D473" s="300" t="inlineStr">
        <is>
          <t>新倉</t>
        </is>
      </c>
      <c r="E473" s="301" t="inlineStr">
        <is>
          <t>賣</t>
        </is>
      </c>
      <c r="F473" s="300" t="inlineStr">
        <is>
          <t>-</t>
        </is>
      </c>
      <c r="G473" s="741" t="n">
        <v>1</v>
      </c>
      <c r="H473" s="741" t="n">
        <v>10756</v>
      </c>
      <c r="I473" s="741" t="n">
        <v>0</v>
      </c>
      <c r="J473" s="742" t="n">
        <v>23</v>
      </c>
      <c r="K473" s="742" t="n">
        <v>11</v>
      </c>
      <c r="L473" s="742">
        <f>IF(B473="TXO",I473-SUM(J473:K473),IF(B473="FITX",IF(D473="新倉",-SUM(J473:K473),IF(E473="賣",(H473-H472)*G473*200-SUM(J473:K473),(H472-H473)*G473*200-SUM(J473:K473))),IF(D473="新倉",-SUM(J473:K473),IF(E473="賣",(H473-H472)*G473*50-SUM(J473:K473),(H472-H473)*G473*50-SUM(J473:K473)))))</f>
        <v/>
      </c>
      <c r="M473" s="743">
        <f>L473</f>
        <v/>
      </c>
      <c r="N473" s="686">
        <f>IF(B473="TXO","",IF(D473="新倉","",IF(E473="賣",(H473-H472)*G473,(H472-H473)*G473)))</f>
        <v/>
      </c>
      <c r="O473" s="226">
        <f>ABS(I473)</f>
        <v/>
      </c>
      <c r="P473" s="667">
        <f>SUM(L473:L490)</f>
        <v/>
      </c>
      <c r="S473" s="739" t="n"/>
      <c r="T473" s="61" t="n"/>
      <c r="U473" s="61" t="n"/>
      <c r="V473" s="61" t="n"/>
      <c r="W473" s="61" t="n"/>
    </row>
    <row r="474" hidden="1" outlineLevel="2" collapsed="1" ht="17.25" customHeight="1" thickBot="1">
      <c r="A474" s="740" t="n">
        <v>43334</v>
      </c>
      <c r="B474" s="299" t="inlineStr">
        <is>
          <t>FIMTX</t>
        </is>
      </c>
      <c r="C474" s="300" t="inlineStr">
        <is>
          <t>小指09</t>
        </is>
      </c>
      <c r="D474" s="300" t="inlineStr">
        <is>
          <t>平倉</t>
        </is>
      </c>
      <c r="E474" s="301" t="inlineStr">
        <is>
          <t>買</t>
        </is>
      </c>
      <c r="F474" s="300" t="inlineStr">
        <is>
          <t>-</t>
        </is>
      </c>
      <c r="G474" s="741" t="n">
        <v>1</v>
      </c>
      <c r="H474" s="741" t="n">
        <v>10765</v>
      </c>
      <c r="I474" s="741" t="n">
        <v>0</v>
      </c>
      <c r="J474" s="742" t="n">
        <v>23</v>
      </c>
      <c r="K474" s="742" t="n">
        <v>11</v>
      </c>
      <c r="L474" s="742">
        <f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/>
      </c>
      <c r="M474" s="743">
        <f>L474</f>
        <v/>
      </c>
      <c r="N474" s="686">
        <f>IF(B474="TXO","",IF(D474="新倉","",IF(E474="賣",(H474-H473)*G474,(H473-H474)*G474)))</f>
        <v/>
      </c>
      <c r="O474" s="226">
        <f>ABS(I474)</f>
        <v/>
      </c>
      <c r="P474" s="667" t="n"/>
      <c r="S474" s="739" t="n"/>
      <c r="T474" s="61" t="n"/>
      <c r="U474" s="61" t="n"/>
      <c r="V474" s="61" t="n"/>
      <c r="W474" s="61" t="n"/>
    </row>
    <row r="475" hidden="1" outlineLevel="2" collapsed="1" ht="17.25" customHeight="1" thickBot="1">
      <c r="A475" s="740" t="n">
        <v>43334</v>
      </c>
      <c r="B475" s="299" t="inlineStr">
        <is>
          <t>FIMTX</t>
        </is>
      </c>
      <c r="C475" s="300" t="inlineStr">
        <is>
          <t>小指09</t>
        </is>
      </c>
      <c r="D475" s="300" t="inlineStr">
        <is>
          <t>新倉</t>
        </is>
      </c>
      <c r="E475" s="301" t="inlineStr">
        <is>
          <t>賣</t>
        </is>
      </c>
      <c r="F475" s="300" t="inlineStr">
        <is>
          <t>-</t>
        </is>
      </c>
      <c r="G475" s="741" t="n">
        <v>1</v>
      </c>
      <c r="H475" s="741" t="n">
        <v>10756</v>
      </c>
      <c r="I475" s="741" t="n">
        <v>0</v>
      </c>
      <c r="J475" s="742" t="n">
        <v>23</v>
      </c>
      <c r="K475" s="742" t="n">
        <v>11</v>
      </c>
      <c r="L475" s="742">
        <f>IF(B475="TXO",I475-SUM(J475:K475),IF(B475="FITX",IF(D475="新倉",-SUM(J475:K475),IF(E475="賣",(H475-H474)*G475*200-SUM(J475:K475),(H474-H475)*G475*200-SUM(J475:K475))),IF(D475="新倉",-SUM(J475:K475),IF(E475="賣",(H475-H474)*G475*50-SUM(J475:K475),(H474-H475)*G475*50-SUM(J475:K475)))))</f>
        <v/>
      </c>
      <c r="M475" s="743">
        <f>L475</f>
        <v/>
      </c>
      <c r="N475" s="686">
        <f>IF(B475="TXO","",IF(D475="新倉","",IF(E475="賣",(H475-H474)*G475,(H474-H475)*G475)))</f>
        <v/>
      </c>
      <c r="O475" s="226">
        <f>ABS(I475)</f>
        <v/>
      </c>
      <c r="P475" s="667" t="n"/>
      <c r="S475" s="739" t="n"/>
      <c r="T475" s="61" t="n"/>
      <c r="U475" s="61" t="n"/>
      <c r="V475" s="61" t="n"/>
      <c r="W475" s="61" t="n"/>
    </row>
    <row r="476" hidden="1" outlineLevel="2" collapsed="1" ht="17.25" customHeight="1" thickBot="1">
      <c r="A476" s="740" t="n">
        <v>43334</v>
      </c>
      <c r="B476" s="299" t="inlineStr">
        <is>
          <t>FIMTX</t>
        </is>
      </c>
      <c r="C476" s="300" t="inlineStr">
        <is>
          <t>小指09</t>
        </is>
      </c>
      <c r="D476" s="300" t="inlineStr">
        <is>
          <t>平倉</t>
        </is>
      </c>
      <c r="E476" s="301" t="inlineStr">
        <is>
          <t>買</t>
        </is>
      </c>
      <c r="F476" s="300" t="inlineStr">
        <is>
          <t>-</t>
        </is>
      </c>
      <c r="G476" s="741" t="n">
        <v>1</v>
      </c>
      <c r="H476" s="741" t="n">
        <v>10765</v>
      </c>
      <c r="I476" s="741" t="n">
        <v>0</v>
      </c>
      <c r="J476" s="742" t="n">
        <v>23</v>
      </c>
      <c r="K476" s="742" t="n">
        <v>11</v>
      </c>
      <c r="L476" s="742">
        <f>IF(B476="TXO",I476-SUM(J476:K476),IF(B476="FITX",IF(D476="新倉",-SUM(J476:K476),IF(E476="賣",(H476-H475)*G476*200-SUM(J476:K476),(H475-H476)*G476*200-SUM(J476:K476))),IF(D476="新倉",-SUM(J476:K476),IF(E476="賣",(H476-H475)*G476*50-SUM(J476:K476),(H475-H476)*G476*50-SUM(J476:K476)))))</f>
        <v/>
      </c>
      <c r="M476" s="743">
        <f>L476</f>
        <v/>
      </c>
      <c r="N476" s="686">
        <f>IF(B476="TXO","",IF(D476="新倉","",IF(E476="賣",(H476-H475)*G476,(H475-H476)*G476)))</f>
        <v/>
      </c>
      <c r="O476" s="226">
        <f>ABS(I476)</f>
        <v/>
      </c>
      <c r="P476" s="667" t="n"/>
      <c r="S476" s="739" t="n"/>
      <c r="T476" s="61" t="n"/>
      <c r="U476" s="61" t="n"/>
      <c r="V476" s="61" t="n"/>
      <c r="W476" s="61" t="n"/>
    </row>
    <row r="477" hidden="1" outlineLevel="2" collapsed="1" ht="17.25" customHeight="1" thickBot="1">
      <c r="A477" s="740" t="n">
        <v>43334</v>
      </c>
      <c r="B477" s="299" t="inlineStr">
        <is>
          <t>FIMTX</t>
        </is>
      </c>
      <c r="C477" s="300" t="inlineStr">
        <is>
          <t>小指09</t>
        </is>
      </c>
      <c r="D477" s="300" t="inlineStr">
        <is>
          <t>新倉</t>
        </is>
      </c>
      <c r="E477" s="301" t="inlineStr">
        <is>
          <t>賣</t>
        </is>
      </c>
      <c r="F477" s="300" t="inlineStr">
        <is>
          <t>-</t>
        </is>
      </c>
      <c r="G477" s="741" t="n">
        <v>1</v>
      </c>
      <c r="H477" s="741" t="n">
        <v>10766</v>
      </c>
      <c r="I477" s="741" t="n">
        <v>0</v>
      </c>
      <c r="J477" s="742" t="n">
        <v>23</v>
      </c>
      <c r="K477" s="742" t="n">
        <v>11</v>
      </c>
      <c r="L477" s="742">
        <f>IF(B477="TXO",I477-SUM(J477:K477),IF(B477="FITX",IF(D477="新倉",-SUM(J477:K477),IF(E477="賣",(H477-H476)*G477*200-SUM(J477:K477),(H476-H477)*G477*200-SUM(J477:K477))),IF(D477="新倉",-SUM(J477:K477),IF(E477="賣",(H477-H476)*G477*50-SUM(J477:K477),(H476-H477)*G477*50-SUM(J477:K477)))))</f>
        <v/>
      </c>
      <c r="M477" s="743">
        <f>L477</f>
        <v/>
      </c>
      <c r="N477" s="686">
        <f>IF(B477="TXO","",IF(D477="新倉","",IF(E477="賣",(H477-H476)*G477,(H476-H477)*G477)))</f>
        <v/>
      </c>
      <c r="O477" s="226">
        <f>ABS(I477)</f>
        <v/>
      </c>
      <c r="P477" s="667" t="n"/>
      <c r="S477" s="739" t="n"/>
      <c r="T477" s="61" t="n"/>
      <c r="U477" s="61" t="n"/>
      <c r="V477" s="61" t="n"/>
      <c r="W477" s="61" t="n"/>
    </row>
    <row r="478" hidden="1" outlineLevel="2" collapsed="1" ht="17.25" customHeight="1" thickBot="1">
      <c r="A478" s="740" t="n">
        <v>43334</v>
      </c>
      <c r="B478" s="299" t="inlineStr">
        <is>
          <t>FIMTX</t>
        </is>
      </c>
      <c r="C478" s="300" t="inlineStr">
        <is>
          <t>小指09</t>
        </is>
      </c>
      <c r="D478" s="300" t="inlineStr">
        <is>
          <t>平倉</t>
        </is>
      </c>
      <c r="E478" s="301" t="inlineStr">
        <is>
          <t>買</t>
        </is>
      </c>
      <c r="F478" s="300" t="inlineStr">
        <is>
          <t>-</t>
        </is>
      </c>
      <c r="G478" s="741" t="n">
        <v>1</v>
      </c>
      <c r="H478" s="741" t="n">
        <v>10779</v>
      </c>
      <c r="I478" s="741" t="n">
        <v>0</v>
      </c>
      <c r="J478" s="742" t="n">
        <v>23</v>
      </c>
      <c r="K478" s="742" t="n">
        <v>11</v>
      </c>
      <c r="L478" s="742">
        <f>IF(B478="TXO",I478-SUM(J478:K478),IF(B478="FITX",IF(D478="新倉",-SUM(J478:K478),IF(E478="賣",(H478-H477)*G478*200-SUM(J478:K478),(H477-H478)*G478*200-SUM(J478:K478))),IF(D478="新倉",-SUM(J478:K478),IF(E478="賣",(H478-H477)*G478*50-SUM(J478:K478),(H477-H478)*G478*50-SUM(J478:K478)))))</f>
        <v/>
      </c>
      <c r="M478" s="743">
        <f>L478</f>
        <v/>
      </c>
      <c r="N478" s="686">
        <f>IF(B478="TXO","",IF(D478="新倉","",IF(E478="賣",(H478-H477)*G478,(H477-H478)*G478)))</f>
        <v/>
      </c>
      <c r="O478" s="226">
        <f>ABS(I478)</f>
        <v/>
      </c>
      <c r="P478" s="667" t="n"/>
      <c r="S478" s="739" t="n"/>
      <c r="T478" s="61" t="n"/>
      <c r="U478" s="61" t="n"/>
      <c r="V478" s="61" t="n"/>
      <c r="W478" s="61" t="n"/>
    </row>
    <row r="479" hidden="1" outlineLevel="2" collapsed="1" ht="17.25" customHeight="1" thickBot="1">
      <c r="A479" s="740" t="n">
        <v>43334</v>
      </c>
      <c r="B479" s="299" t="inlineStr">
        <is>
          <t>FIMTX</t>
        </is>
      </c>
      <c r="C479" s="300" t="inlineStr">
        <is>
          <t>小指09</t>
        </is>
      </c>
      <c r="D479" s="300" t="inlineStr">
        <is>
          <t>新倉</t>
        </is>
      </c>
      <c r="E479" s="301" t="inlineStr">
        <is>
          <t>賣</t>
        </is>
      </c>
      <c r="F479" s="300" t="inlineStr">
        <is>
          <t>-</t>
        </is>
      </c>
      <c r="G479" s="741" t="n">
        <v>1</v>
      </c>
      <c r="H479" s="741" t="n">
        <v>10766</v>
      </c>
      <c r="I479" s="741" t="n">
        <v>0</v>
      </c>
      <c r="J479" s="742" t="n">
        <v>23</v>
      </c>
      <c r="K479" s="742" t="n">
        <v>11</v>
      </c>
      <c r="L479" s="742">
        <f>IF(B479="TXO",I479-SUM(J479:K479),IF(B479="FITX",IF(D479="新倉",-SUM(J479:K479),IF(E479="賣",(H479-H478)*G479*200-SUM(J479:K479),(H478-H479)*G479*200-SUM(J479:K479))),IF(D479="新倉",-SUM(J479:K479),IF(E479="賣",(H479-H478)*G479*50-SUM(J479:K479),(H478-H479)*G479*50-SUM(J479:K479)))))</f>
        <v/>
      </c>
      <c r="M479" s="743">
        <f>L479</f>
        <v/>
      </c>
      <c r="N479" s="686">
        <f>IF(B479="TXO","",IF(D479="新倉","",IF(E479="賣",(H479-H478)*G479,(H478-H479)*G479)))</f>
        <v/>
      </c>
      <c r="O479" s="226">
        <f>ABS(I479)</f>
        <v/>
      </c>
      <c r="P479" s="667" t="n"/>
      <c r="S479" s="739" t="n"/>
      <c r="T479" s="61" t="n"/>
      <c r="U479" s="61" t="n"/>
      <c r="V479" s="61" t="n"/>
      <c r="W479" s="61" t="n"/>
    </row>
    <row r="480" hidden="1" outlineLevel="2" collapsed="1" ht="17.25" customHeight="1" thickBot="1">
      <c r="A480" s="740" t="n">
        <v>43334</v>
      </c>
      <c r="B480" s="299" t="inlineStr">
        <is>
          <t>FIMTX</t>
        </is>
      </c>
      <c r="C480" s="300" t="inlineStr">
        <is>
          <t>小指09</t>
        </is>
      </c>
      <c r="D480" s="300" t="inlineStr">
        <is>
          <t>平倉</t>
        </is>
      </c>
      <c r="E480" s="301" t="inlineStr">
        <is>
          <t>買</t>
        </is>
      </c>
      <c r="F480" s="300" t="inlineStr">
        <is>
          <t>-</t>
        </is>
      </c>
      <c r="G480" s="741" t="n">
        <v>1</v>
      </c>
      <c r="H480" s="741" t="n">
        <v>10779</v>
      </c>
      <c r="I480" s="741" t="n">
        <v>0</v>
      </c>
      <c r="J480" s="742" t="n">
        <v>23</v>
      </c>
      <c r="K480" s="742" t="n">
        <v>11</v>
      </c>
      <c r="L480" s="742">
        <f>IF(B480="TXO",I480-SUM(J480:K480),IF(B480="FITX",IF(D480="新倉",-SUM(J480:K480),IF(E480="賣",(H480-H479)*G480*200-SUM(J480:K480),(H479-H480)*G480*200-SUM(J480:K480))),IF(D480="新倉",-SUM(J480:K480),IF(E480="賣",(H480-H479)*G480*50-SUM(J480:K480),(H479-H480)*G480*50-SUM(J480:K480)))))</f>
        <v/>
      </c>
      <c r="M480" s="743">
        <f>L480</f>
        <v/>
      </c>
      <c r="N480" s="686">
        <f>IF(B480="TXO","",IF(D480="新倉","",IF(E480="賣",(H480-H479)*G480,(H479-H480)*G480)))</f>
        <v/>
      </c>
      <c r="O480" s="226">
        <f>ABS(I480)</f>
        <v/>
      </c>
      <c r="P480" s="667" t="n"/>
      <c r="S480" s="739" t="n"/>
      <c r="T480" s="61" t="n"/>
      <c r="U480" s="61" t="n"/>
      <c r="V480" s="61" t="n"/>
      <c r="W480" s="61" t="n"/>
    </row>
    <row r="481" hidden="1" outlineLevel="2" collapsed="1" ht="17.25" customHeight="1" thickBot="1">
      <c r="A481" s="740" t="n">
        <v>43334</v>
      </c>
      <c r="B481" s="299" t="inlineStr">
        <is>
          <t>FIMTX</t>
        </is>
      </c>
      <c r="C481" s="300" t="inlineStr">
        <is>
          <t>小指09</t>
        </is>
      </c>
      <c r="D481" s="300" t="inlineStr">
        <is>
          <t>新倉</t>
        </is>
      </c>
      <c r="E481" s="301" t="inlineStr">
        <is>
          <t>買</t>
        </is>
      </c>
      <c r="F481" s="300" t="inlineStr">
        <is>
          <t>-</t>
        </is>
      </c>
      <c r="G481" s="741" t="n">
        <v>1</v>
      </c>
      <c r="H481" s="741" t="n">
        <v>10789</v>
      </c>
      <c r="I481" s="741" t="n">
        <v>0</v>
      </c>
      <c r="J481" s="742" t="n">
        <v>23</v>
      </c>
      <c r="K481" s="742" t="n">
        <v>11</v>
      </c>
      <c r="L481" s="742">
        <f>IF(B481="TXO",I481-SUM(J481:K481),IF(B481="FITX",IF(D481="新倉",-SUM(J481:K481),IF(E481="賣",(H481-H480)*G481*200-SUM(J481:K481),(H480-H481)*G481*200-SUM(J481:K481))),IF(D481="新倉",-SUM(J481:K481),IF(E481="賣",(H481-H480)*G481*50-SUM(J481:K481),(H480-H481)*G481*50-SUM(J481:K481)))))</f>
        <v/>
      </c>
      <c r="M481" s="743">
        <f>L481</f>
        <v/>
      </c>
      <c r="N481" s="686">
        <f>IF(B481="TXO","",IF(D481="新倉","",IF(E481="賣",(H481-H480)*G481,(H480-H481)*G481)))</f>
        <v/>
      </c>
      <c r="O481" s="226">
        <f>ABS(I481)</f>
        <v/>
      </c>
      <c r="P481" s="667" t="n"/>
      <c r="S481" s="739" t="n"/>
      <c r="T481" s="61" t="n"/>
      <c r="U481" s="61" t="n"/>
      <c r="V481" s="61" t="n"/>
      <c r="W481" s="61" t="n"/>
    </row>
    <row r="482" hidden="1" outlineLevel="2" collapsed="1" ht="17.25" customHeight="1" thickBot="1">
      <c r="A482" s="740" t="n">
        <v>43334</v>
      </c>
      <c r="B482" s="299" t="inlineStr">
        <is>
          <t>FIMTX</t>
        </is>
      </c>
      <c r="C482" s="300" t="inlineStr">
        <is>
          <t>小指09</t>
        </is>
      </c>
      <c r="D482" s="300" t="inlineStr">
        <is>
          <t>平倉</t>
        </is>
      </c>
      <c r="E482" s="301" t="inlineStr">
        <is>
          <t>賣</t>
        </is>
      </c>
      <c r="F482" s="300" t="inlineStr">
        <is>
          <t>-</t>
        </is>
      </c>
      <c r="G482" s="741" t="n">
        <v>1</v>
      </c>
      <c r="H482" s="741" t="n">
        <v>10784</v>
      </c>
      <c r="I482" s="741" t="n">
        <v>0</v>
      </c>
      <c r="J482" s="742" t="n">
        <v>23</v>
      </c>
      <c r="K482" s="742" t="n">
        <v>11</v>
      </c>
      <c r="L482" s="742">
        <f>IF(B482="TXO",I482-SUM(J482:K482),IF(B482="FITX",IF(D482="新倉",-SUM(J482:K482),IF(E482="賣",(H482-H481)*G482*200-SUM(J482:K482),(H481-H482)*G482*200-SUM(J482:K482))),IF(D482="新倉",-SUM(J482:K482),IF(E482="賣",(H482-H481)*G482*50-SUM(J482:K482),(H481-H482)*G482*50-SUM(J482:K482)))))</f>
        <v/>
      </c>
      <c r="M482" s="743">
        <f>L482</f>
        <v/>
      </c>
      <c r="N482" s="686">
        <f>IF(B482="TXO","",IF(D482="新倉","",IF(E482="賣",(H482-H481)*G482,(H481-H482)*G482)))</f>
        <v/>
      </c>
      <c r="O482" s="226">
        <f>ABS(I482)</f>
        <v/>
      </c>
      <c r="P482" s="667" t="n"/>
      <c r="S482" s="739" t="n"/>
      <c r="T482" s="61" t="n"/>
      <c r="U482" s="61" t="n"/>
      <c r="V482" s="61" t="n"/>
      <c r="W482" s="61" t="n"/>
    </row>
    <row r="483" hidden="1" outlineLevel="2" collapsed="1" ht="17.25" customHeight="1" thickBot="1">
      <c r="A483" s="740" t="n">
        <v>43334</v>
      </c>
      <c r="B483" s="299" t="inlineStr">
        <is>
          <t>FIMTX</t>
        </is>
      </c>
      <c r="C483" s="300" t="inlineStr">
        <is>
          <t>小指09</t>
        </is>
      </c>
      <c r="D483" s="300" t="inlineStr">
        <is>
          <t>新倉</t>
        </is>
      </c>
      <c r="E483" s="301" t="inlineStr">
        <is>
          <t>買</t>
        </is>
      </c>
      <c r="F483" s="300" t="inlineStr">
        <is>
          <t>-</t>
        </is>
      </c>
      <c r="G483" s="741" t="n">
        <v>1</v>
      </c>
      <c r="H483" s="741" t="n">
        <v>10789</v>
      </c>
      <c r="I483" s="741" t="n">
        <v>0</v>
      </c>
      <c r="J483" s="742" t="n">
        <v>23</v>
      </c>
      <c r="K483" s="742" t="n">
        <v>11</v>
      </c>
      <c r="L483" s="742">
        <f>IF(B483="TXO",I483-SUM(J483:K483),IF(B483="FITX",IF(D483="新倉",-SUM(J483:K483),IF(E483="賣",(H483-H482)*G483*200-SUM(J483:K483),(H482-H483)*G483*200-SUM(J483:K483))),IF(D483="新倉",-SUM(J483:K483),IF(E483="賣",(H483-H482)*G483*50-SUM(J483:K483),(H482-H483)*G483*50-SUM(J483:K483)))))</f>
        <v/>
      </c>
      <c r="M483" s="743">
        <f>L483</f>
        <v/>
      </c>
      <c r="N483" s="686">
        <f>IF(B483="TXO","",IF(D483="新倉","",IF(E483="賣",(H483-H482)*G483,(H482-H483)*G483)))</f>
        <v/>
      </c>
      <c r="O483" s="226">
        <f>ABS(I483)</f>
        <v/>
      </c>
      <c r="P483" s="667" t="n"/>
      <c r="S483" s="739" t="n"/>
      <c r="T483" s="61" t="n"/>
      <c r="U483" s="61" t="n"/>
      <c r="V483" s="61" t="n"/>
      <c r="W483" s="61" t="n"/>
    </row>
    <row r="484" hidden="1" outlineLevel="2" collapsed="1" ht="17.25" customHeight="1" thickBot="1">
      <c r="A484" s="740" t="n">
        <v>43334</v>
      </c>
      <c r="B484" s="299" t="inlineStr">
        <is>
          <t>FIMTX</t>
        </is>
      </c>
      <c r="C484" s="300" t="inlineStr">
        <is>
          <t>小指09</t>
        </is>
      </c>
      <c r="D484" s="300" t="inlineStr">
        <is>
          <t>平倉</t>
        </is>
      </c>
      <c r="E484" s="301" t="inlineStr">
        <is>
          <t>賣</t>
        </is>
      </c>
      <c r="F484" s="300" t="inlineStr">
        <is>
          <t>-</t>
        </is>
      </c>
      <c r="G484" s="741" t="n">
        <v>1</v>
      </c>
      <c r="H484" s="741" t="n">
        <v>10784</v>
      </c>
      <c r="I484" s="741" t="n">
        <v>0</v>
      </c>
      <c r="J484" s="742" t="n">
        <v>23</v>
      </c>
      <c r="K484" s="742" t="n">
        <v>11</v>
      </c>
      <c r="L484" s="742">
        <f>IF(B484="TXO",I484-SUM(J484:K484),IF(B484="FITX",IF(D484="新倉",-SUM(J484:K484),IF(E484="賣",(H484-H483)*G484*200-SUM(J484:K484),(H483-H484)*G484*200-SUM(J484:K484))),IF(D484="新倉",-SUM(J484:K484),IF(E484="賣",(H484-H483)*G484*50-SUM(J484:K484),(H483-H484)*G484*50-SUM(J484:K484)))))</f>
        <v/>
      </c>
      <c r="M484" s="743">
        <f>L484</f>
        <v/>
      </c>
      <c r="N484" s="686">
        <f>IF(B484="TXO","",IF(D484="新倉","",IF(E484="賣",(H484-H483)*G484,(H483-H484)*G484)))</f>
        <v/>
      </c>
      <c r="O484" s="226">
        <f>ABS(I484)</f>
        <v/>
      </c>
      <c r="P484" s="667" t="n"/>
      <c r="S484" s="739" t="n"/>
      <c r="T484" s="61" t="n"/>
      <c r="U484" s="61" t="n"/>
      <c r="V484" s="61" t="n"/>
      <c r="W484" s="61" t="n"/>
    </row>
    <row r="485" hidden="1" outlineLevel="2" collapsed="1" ht="17.25" customHeight="1" thickBot="1">
      <c r="A485" s="740" t="n">
        <v>43334</v>
      </c>
      <c r="B485" s="299" t="inlineStr">
        <is>
          <t>FIMTX</t>
        </is>
      </c>
      <c r="C485" s="300" t="inlineStr">
        <is>
          <t>小指09</t>
        </is>
      </c>
      <c r="D485" s="300" t="inlineStr">
        <is>
          <t>新倉</t>
        </is>
      </c>
      <c r="E485" s="301" t="inlineStr">
        <is>
          <t>買</t>
        </is>
      </c>
      <c r="F485" s="300" t="inlineStr">
        <is>
          <t>-</t>
        </is>
      </c>
      <c r="G485" s="741" t="n">
        <v>1</v>
      </c>
      <c r="H485" s="741" t="n">
        <v>10775</v>
      </c>
      <c r="I485" s="741" t="n">
        <v>0</v>
      </c>
      <c r="J485" s="742" t="n">
        <v>23</v>
      </c>
      <c r="K485" s="742" t="n">
        <v>11</v>
      </c>
      <c r="L485" s="742">
        <f>IF(B485="TXO",I485-SUM(J485:K485),IF(B485="FITX",IF(D485="新倉",-SUM(J485:K485),IF(E485="賣",(H485-H484)*G485*200-SUM(J485:K485),(H484-H485)*G485*200-SUM(J485:K485))),IF(D485="新倉",-SUM(J485:K485),IF(E485="賣",(H485-H484)*G485*50-SUM(J485:K485),(H484-H485)*G485*50-SUM(J485:K485)))))</f>
        <v/>
      </c>
      <c r="M485" s="743">
        <f>L485</f>
        <v/>
      </c>
      <c r="N485" s="686">
        <f>IF(B485="TXO","",IF(D485="新倉","",IF(E485="賣",(H485-H484)*G485,(H484-H485)*G485)))</f>
        <v/>
      </c>
      <c r="O485" s="226">
        <f>ABS(I485)</f>
        <v/>
      </c>
      <c r="P485" s="667" t="n"/>
      <c r="S485" s="739" t="n"/>
      <c r="T485" s="61" t="n"/>
      <c r="U485" s="61" t="n"/>
      <c r="V485" s="61" t="n"/>
      <c r="W485" s="61" t="n"/>
    </row>
    <row r="486" hidden="1" outlineLevel="2" collapsed="1" ht="17.25" customHeight="1" thickBot="1">
      <c r="A486" s="740" t="n">
        <v>43334</v>
      </c>
      <c r="B486" s="299" t="inlineStr">
        <is>
          <t>FIMTX</t>
        </is>
      </c>
      <c r="C486" s="300" t="inlineStr">
        <is>
          <t>小指09</t>
        </is>
      </c>
      <c r="D486" s="300" t="inlineStr">
        <is>
          <t>平倉</t>
        </is>
      </c>
      <c r="E486" s="301" t="inlineStr">
        <is>
          <t>賣</t>
        </is>
      </c>
      <c r="F486" s="300" t="inlineStr">
        <is>
          <t>-</t>
        </is>
      </c>
      <c r="G486" s="741" t="n">
        <v>1</v>
      </c>
      <c r="H486" s="741" t="n">
        <v>10777</v>
      </c>
      <c r="I486" s="741" t="n">
        <v>0</v>
      </c>
      <c r="J486" s="742" t="n">
        <v>23</v>
      </c>
      <c r="K486" s="742" t="n">
        <v>11</v>
      </c>
      <c r="L486" s="742">
        <f>IF(B486="TXO",I486-SUM(J486:K486),IF(B486="FITX",IF(D486="新倉",-SUM(J486:K486),IF(E486="賣",(H486-H485)*G486*200-SUM(J486:K486),(H485-H486)*G486*200-SUM(J486:K486))),IF(D486="新倉",-SUM(J486:K486),IF(E486="賣",(H486-H485)*G486*50-SUM(J486:K486),(H485-H486)*G486*50-SUM(J486:K486)))))</f>
        <v/>
      </c>
      <c r="M486" s="743">
        <f>L486</f>
        <v/>
      </c>
      <c r="N486" s="686">
        <f>IF(B486="TXO","",IF(D486="新倉","",IF(E486="賣",(H486-H485)*G486,(H485-H486)*G486)))</f>
        <v/>
      </c>
      <c r="O486" s="226">
        <f>ABS(I486)</f>
        <v/>
      </c>
      <c r="P486" s="667" t="n"/>
      <c r="S486" s="739" t="n"/>
      <c r="T486" s="61" t="n"/>
      <c r="U486" s="61" t="n"/>
      <c r="V486" s="61" t="n"/>
      <c r="W486" s="61" t="n"/>
    </row>
    <row r="487" hidden="1" outlineLevel="2" collapsed="1" ht="17.25" customHeight="1" thickBot="1">
      <c r="A487" s="740" t="n">
        <v>43334</v>
      </c>
      <c r="B487" s="299" t="inlineStr">
        <is>
          <t>FIMTX</t>
        </is>
      </c>
      <c r="C487" s="300" t="inlineStr">
        <is>
          <t>小指09</t>
        </is>
      </c>
      <c r="D487" s="300" t="inlineStr">
        <is>
          <t>新倉</t>
        </is>
      </c>
      <c r="E487" s="301" t="inlineStr">
        <is>
          <t>買</t>
        </is>
      </c>
      <c r="F487" s="300" t="inlineStr">
        <is>
          <t>-</t>
        </is>
      </c>
      <c r="G487" s="741" t="n">
        <v>1</v>
      </c>
      <c r="H487" s="741" t="n">
        <v>10775</v>
      </c>
      <c r="I487" s="741" t="n">
        <v>0</v>
      </c>
      <c r="J487" s="742" t="n">
        <v>23</v>
      </c>
      <c r="K487" s="742" t="n">
        <v>11</v>
      </c>
      <c r="L487" s="742">
        <f>IF(B487="TXO",I487-SUM(J487:K487),IF(B487="FITX",IF(D487="新倉",-SUM(J487:K487),IF(E487="賣",(H487-H486)*G487*200-SUM(J487:K487),(H486-H487)*G487*200-SUM(J487:K487))),IF(D487="新倉",-SUM(J487:K487),IF(E487="賣",(H487-H486)*G487*50-SUM(J487:K487),(H486-H487)*G487*50-SUM(J487:K487)))))</f>
        <v/>
      </c>
      <c r="M487" s="743">
        <f>L487</f>
        <v/>
      </c>
      <c r="N487" s="686">
        <f>IF(B487="TXO","",IF(D487="新倉","",IF(E487="賣",(H487-H486)*G487,(H486-H487)*G487)))</f>
        <v/>
      </c>
      <c r="O487" s="226">
        <f>ABS(I487)</f>
        <v/>
      </c>
      <c r="P487" s="667" t="n"/>
      <c r="S487" s="739" t="n"/>
      <c r="T487" s="61" t="n"/>
      <c r="U487" s="61" t="n"/>
      <c r="V487" s="61" t="n"/>
      <c r="W487" s="61" t="n"/>
    </row>
    <row r="488" hidden="1" outlineLevel="2" collapsed="1" ht="17.25" customHeight="1" thickBot="1">
      <c r="A488" s="740" t="n">
        <v>43334</v>
      </c>
      <c r="B488" s="299" t="inlineStr">
        <is>
          <t>FIMTX</t>
        </is>
      </c>
      <c r="C488" s="300" t="inlineStr">
        <is>
          <t>小指09</t>
        </is>
      </c>
      <c r="D488" s="300" t="inlineStr">
        <is>
          <t>平倉</t>
        </is>
      </c>
      <c r="E488" s="301" t="inlineStr">
        <is>
          <t>賣</t>
        </is>
      </c>
      <c r="F488" s="300" t="inlineStr">
        <is>
          <t>-</t>
        </is>
      </c>
      <c r="G488" s="741" t="n">
        <v>1</v>
      </c>
      <c r="H488" s="741" t="n">
        <v>10779</v>
      </c>
      <c r="I488" s="741" t="n">
        <v>0</v>
      </c>
      <c r="J488" s="742" t="n">
        <v>23</v>
      </c>
      <c r="K488" s="742" t="n">
        <v>11</v>
      </c>
      <c r="L488" s="742">
        <f>IF(B488="TXO",I488-SUM(J488:K488),IF(B488="FITX",IF(D488="新倉",-SUM(J488:K488),IF(E488="賣",(H488-H487)*G488*200-SUM(J488:K488),(H487-H488)*G488*200-SUM(J488:K488))),IF(D488="新倉",-SUM(J488:K488),IF(E488="賣",(H488-H487)*G488*50-SUM(J488:K488),(H487-H488)*G488*50-SUM(J488:K488)))))</f>
        <v/>
      </c>
      <c r="M488" s="743">
        <f>L488</f>
        <v/>
      </c>
      <c r="N488" s="686">
        <f>IF(B488="TXO","",IF(D488="新倉","",IF(E488="賣",(H488-H487)*G488,(H487-H488)*G488)))</f>
        <v/>
      </c>
      <c r="O488" s="226">
        <f>ABS(I488)</f>
        <v/>
      </c>
      <c r="P488" s="667" t="n"/>
      <c r="S488" s="739" t="n"/>
      <c r="T488" s="61" t="n"/>
      <c r="U488" s="61" t="n"/>
      <c r="V488" s="61" t="n"/>
      <c r="W488" s="61" t="n"/>
    </row>
    <row r="489" hidden="1" outlineLevel="2" collapsed="1" ht="17.25" customHeight="1" thickBot="1">
      <c r="A489" s="740" t="n">
        <v>43334</v>
      </c>
      <c r="B489" s="299" t="inlineStr">
        <is>
          <t>FITX</t>
        </is>
      </c>
      <c r="C489" s="300" t="inlineStr">
        <is>
          <t>台指09</t>
        </is>
      </c>
      <c r="D489" s="300" t="inlineStr">
        <is>
          <t>新倉</t>
        </is>
      </c>
      <c r="E489" s="301" t="inlineStr">
        <is>
          <t>賣</t>
        </is>
      </c>
      <c r="F489" s="300" t="inlineStr">
        <is>
          <t>-</t>
        </is>
      </c>
      <c r="G489" s="741" t="n">
        <v>1</v>
      </c>
      <c r="H489" s="741" t="n">
        <v>10775</v>
      </c>
      <c r="I489" s="741" t="n">
        <v>0</v>
      </c>
      <c r="J489" s="742" t="n">
        <v>45</v>
      </c>
      <c r="K489" s="742" t="n">
        <v>43</v>
      </c>
      <c r="L489" s="742">
        <f>IF(B489="TXO",I489-SUM(J489:K489),IF(B489="FITX",IF(D489="新倉",-SUM(J489:K489),IF(E489="賣",(H489-H488)*G489*200-SUM(J489:K489),(H488-H489)*G489*200-SUM(J489:K489))),IF(D489="新倉",-SUM(J489:K489),IF(E489="賣",(H489-H488)*G489*50-SUM(J489:K489),(H488-H489)*G489*50-SUM(J489:K489)))))</f>
        <v/>
      </c>
      <c r="M489" s="743">
        <f>L489</f>
        <v/>
      </c>
      <c r="N489" s="686">
        <f>IF(B489="TXO","",IF(D489="新倉","",IF(E489="賣",(H489-H488)*G489,(H488-H489)*G489)))</f>
        <v/>
      </c>
      <c r="O489" s="226">
        <f>ABS(I489)</f>
        <v/>
      </c>
      <c r="P489" s="667" t="n"/>
      <c r="S489" s="739" t="n"/>
      <c r="T489" s="61" t="n"/>
      <c r="U489" s="61" t="n"/>
      <c r="V489" s="61" t="n"/>
      <c r="W489" s="61" t="n"/>
    </row>
    <row r="490" hidden="1" outlineLevel="2" collapsed="1" ht="17.25" customHeight="1" thickBot="1">
      <c r="A490" s="740" t="n">
        <v>43334</v>
      </c>
      <c r="B490" s="299" t="inlineStr">
        <is>
          <t>FITX</t>
        </is>
      </c>
      <c r="C490" s="300" t="inlineStr">
        <is>
          <t>台指09</t>
        </is>
      </c>
      <c r="D490" s="300" t="inlineStr">
        <is>
          <t>平倉</t>
        </is>
      </c>
      <c r="E490" s="301" t="inlineStr">
        <is>
          <t>買</t>
        </is>
      </c>
      <c r="F490" s="300" t="inlineStr">
        <is>
          <t>-</t>
        </is>
      </c>
      <c r="G490" s="741" t="n">
        <v>1</v>
      </c>
      <c r="H490" s="741" t="n">
        <v>10778</v>
      </c>
      <c r="I490" s="741" t="n">
        <v>0</v>
      </c>
      <c r="J490" s="742" t="n">
        <v>45</v>
      </c>
      <c r="K490" s="742" t="n">
        <v>43</v>
      </c>
      <c r="L490" s="742">
        <f>IF(B490="TXO",I490-SUM(J490:K490),IF(B490="FITX",IF(D490="新倉",-SUM(J490:K490),IF(E490="賣",(H490-H489)*G490*200-SUM(J490:K490),(H489-H490)*G490*200-SUM(J490:K490))),IF(D490="新倉",-SUM(J490:K490),IF(E490="賣",(H490-H489)*G490*50-SUM(J490:K490),(H489-H490)*G490*50-SUM(J490:K490)))))</f>
        <v/>
      </c>
      <c r="M490" s="743">
        <f>L490</f>
        <v/>
      </c>
      <c r="N490" s="686">
        <f>IF(B490="TXO","",IF(D490="新倉","",IF(E490="賣",(H490-H489)*G490,(H489-H490)*G490)))</f>
        <v/>
      </c>
      <c r="O490" s="226">
        <f>ABS(I490)</f>
        <v/>
      </c>
      <c r="P490" s="667" t="n"/>
      <c r="S490" s="739" t="n"/>
      <c r="T490" s="61" t="n"/>
      <c r="U490" s="61" t="n"/>
      <c r="V490" s="61" t="n"/>
      <c r="W490" s="61" t="n"/>
    </row>
    <row r="491" hidden="1" outlineLevel="1" ht="17.25" customHeight="1" thickBot="1">
      <c r="A491" s="696" t="n">
        <v>43335</v>
      </c>
      <c r="B491" s="234" t="inlineStr">
        <is>
          <t>FIMTX</t>
        </is>
      </c>
      <c r="C491" s="229" t="inlineStr">
        <is>
          <t>小指09</t>
        </is>
      </c>
      <c r="D491" s="229" t="inlineStr">
        <is>
          <t>新倉</t>
        </is>
      </c>
      <c r="E491" s="257" t="inlineStr">
        <is>
          <t>賣</t>
        </is>
      </c>
      <c r="F491" s="229" t="inlineStr">
        <is>
          <t>-</t>
        </is>
      </c>
      <c r="G491" s="697" t="n">
        <v>1</v>
      </c>
      <c r="H491" s="697" t="n">
        <v>10823</v>
      </c>
      <c r="I491" s="697" t="n">
        <v>0</v>
      </c>
      <c r="J491" s="585" t="n">
        <v>23</v>
      </c>
      <c r="K491" s="585" t="n">
        <v>11</v>
      </c>
      <c r="L491" s="585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/>
      </c>
      <c r="M491" s="699">
        <f>L491</f>
        <v/>
      </c>
      <c r="N491" s="686">
        <f>IF(B491="TXO","",IF(D491="新倉","",IF(E491="賣",(H491-H490)*G491,(H490-H491)*G491)))</f>
        <v/>
      </c>
      <c r="O491" s="226">
        <f>ABS(I491)</f>
        <v/>
      </c>
      <c r="P491" s="667">
        <f>SUM(L491:L506)</f>
        <v/>
      </c>
      <c r="S491" s="739" t="n"/>
      <c r="T491" s="61" t="n"/>
      <c r="U491" s="61" t="n"/>
      <c r="V491" s="61" t="n"/>
      <c r="W491" s="61" t="n"/>
    </row>
    <row r="492" hidden="1" outlineLevel="2" ht="17.25" customHeight="1" thickBot="1">
      <c r="A492" s="696" t="n">
        <v>43335</v>
      </c>
      <c r="B492" s="234" t="inlineStr">
        <is>
          <t>FIMTX</t>
        </is>
      </c>
      <c r="C492" s="229" t="inlineStr">
        <is>
          <t>小指09</t>
        </is>
      </c>
      <c r="D492" s="229" t="inlineStr">
        <is>
          <t>平倉</t>
        </is>
      </c>
      <c r="E492" s="257" t="inlineStr">
        <is>
          <t>買</t>
        </is>
      </c>
      <c r="F492" s="229" t="inlineStr">
        <is>
          <t>-</t>
        </is>
      </c>
      <c r="G492" s="697" t="n">
        <v>1</v>
      </c>
      <c r="H492" s="697" t="n">
        <v>10817</v>
      </c>
      <c r="I492" s="697" t="n">
        <v>0</v>
      </c>
      <c r="J492" s="585" t="n">
        <v>23</v>
      </c>
      <c r="K492" s="585" t="n">
        <v>11</v>
      </c>
      <c r="L492" s="585">
        <f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/>
      </c>
      <c r="M492" s="699">
        <f>L492</f>
        <v/>
      </c>
      <c r="N492" s="686">
        <f>IF(B492="TXO","",IF(D492="新倉","",IF(E492="賣",(H492-H491)*G492,(H491-H492)*G492)))</f>
        <v/>
      </c>
      <c r="O492" s="226">
        <f>ABS(I492)</f>
        <v/>
      </c>
      <c r="P492" s="667" t="n"/>
      <c r="S492" s="739" t="n"/>
      <c r="T492" s="61" t="n"/>
      <c r="U492" s="61" t="n"/>
      <c r="V492" s="61" t="n"/>
      <c r="W492" s="61" t="n"/>
    </row>
    <row r="493" hidden="1" outlineLevel="2" ht="17.25" customHeight="1" thickBot="1">
      <c r="A493" s="696" t="n">
        <v>43335</v>
      </c>
      <c r="B493" s="234" t="inlineStr">
        <is>
          <t>FIMTX</t>
        </is>
      </c>
      <c r="C493" s="229" t="inlineStr">
        <is>
          <t>小指09</t>
        </is>
      </c>
      <c r="D493" s="229" t="inlineStr">
        <is>
          <t>新倉</t>
        </is>
      </c>
      <c r="E493" s="257" t="inlineStr">
        <is>
          <t>賣</t>
        </is>
      </c>
      <c r="F493" s="229" t="inlineStr">
        <is>
          <t>-</t>
        </is>
      </c>
      <c r="G493" s="697" t="n">
        <v>1</v>
      </c>
      <c r="H493" s="697" t="n">
        <v>10823</v>
      </c>
      <c r="I493" s="697" t="n">
        <v>0</v>
      </c>
      <c r="J493" s="585" t="n">
        <v>23</v>
      </c>
      <c r="K493" s="585" t="n">
        <v>11</v>
      </c>
      <c r="L493" s="585">
        <f>IF(B493="TXO",I493-SUM(J493:K493),IF(B493="FITX",IF(D493="新倉",-SUM(J493:K493),IF(E493="賣",(H493-H492)*G493*200-SUM(J493:K493),(H492-H493)*G493*200-SUM(J493:K493))),IF(D493="新倉",-SUM(J493:K493),IF(E493="賣",(H493-H492)*G493*50-SUM(J493:K493),(H492-H493)*G493*50-SUM(J493:K493)))))</f>
        <v/>
      </c>
      <c r="M493" s="699">
        <f>L493</f>
        <v/>
      </c>
      <c r="N493" s="686">
        <f>IF(B493="TXO","",IF(D493="新倉","",IF(E493="賣",(H493-H492)*G493,(H492-H493)*G493)))</f>
        <v/>
      </c>
      <c r="O493" s="226">
        <f>ABS(I493)</f>
        <v/>
      </c>
      <c r="P493" s="667" t="n"/>
      <c r="S493" s="739" t="n"/>
      <c r="T493" s="61" t="n"/>
      <c r="U493" s="61" t="n"/>
      <c r="V493" s="61" t="n"/>
      <c r="W493" s="61" t="n"/>
    </row>
    <row r="494" hidden="1" outlineLevel="2" ht="17.25" customHeight="1" thickBot="1">
      <c r="A494" s="696" t="n">
        <v>43335</v>
      </c>
      <c r="B494" s="234" t="inlineStr">
        <is>
          <t>FIMTX</t>
        </is>
      </c>
      <c r="C494" s="229" t="inlineStr">
        <is>
          <t>小指09</t>
        </is>
      </c>
      <c r="D494" s="229" t="inlineStr">
        <is>
          <t>平倉</t>
        </is>
      </c>
      <c r="E494" s="257" t="inlineStr">
        <is>
          <t>買</t>
        </is>
      </c>
      <c r="F494" s="229" t="inlineStr">
        <is>
          <t>-</t>
        </is>
      </c>
      <c r="G494" s="697" t="n">
        <v>1</v>
      </c>
      <c r="H494" s="697" t="n">
        <v>10809</v>
      </c>
      <c r="I494" s="697" t="n">
        <v>0</v>
      </c>
      <c r="J494" s="585" t="n">
        <v>23</v>
      </c>
      <c r="K494" s="585" t="n">
        <v>11</v>
      </c>
      <c r="L494" s="585">
        <f>IF(B494="TXO",I494-SUM(J494:K494),IF(B494="FITX",IF(D494="新倉",-SUM(J494:K494),IF(E494="賣",(H494-H493)*G494*200-SUM(J494:K494),(H493-H494)*G494*200-SUM(J494:K494))),IF(D494="新倉",-SUM(J494:K494),IF(E494="賣",(H494-H493)*G494*50-SUM(J494:K494),(H493-H494)*G494*50-SUM(J494:K494)))))</f>
        <v/>
      </c>
      <c r="M494" s="699">
        <f>L494</f>
        <v/>
      </c>
      <c r="N494" s="686">
        <f>IF(B494="TXO","",IF(D494="新倉","",IF(E494="賣",(H494-H493)*G494,(H493-H494)*G494)))</f>
        <v/>
      </c>
      <c r="O494" s="226">
        <f>ABS(I494)</f>
        <v/>
      </c>
      <c r="P494" s="667" t="n"/>
      <c r="S494" s="739" t="n"/>
      <c r="T494" s="61" t="n"/>
      <c r="U494" s="61" t="n"/>
      <c r="V494" s="61" t="n"/>
      <c r="W494" s="61" t="n"/>
    </row>
    <row r="495" hidden="1" outlineLevel="2" ht="17.25" customHeight="1" thickBot="1">
      <c r="A495" s="696" t="n">
        <v>43335</v>
      </c>
      <c r="B495" s="234" t="inlineStr">
        <is>
          <t>FIMTX</t>
        </is>
      </c>
      <c r="C495" s="229" t="inlineStr">
        <is>
          <t>小指09</t>
        </is>
      </c>
      <c r="D495" s="229" t="inlineStr">
        <is>
          <t>新倉</t>
        </is>
      </c>
      <c r="E495" s="257" t="inlineStr">
        <is>
          <t>買</t>
        </is>
      </c>
      <c r="F495" s="229" t="inlineStr">
        <is>
          <t>-</t>
        </is>
      </c>
      <c r="G495" s="697" t="n">
        <v>2</v>
      </c>
      <c r="H495" s="697" t="n">
        <v>10815</v>
      </c>
      <c r="I495" s="697" t="n">
        <v>0</v>
      </c>
      <c r="J495" s="585" t="n">
        <v>46</v>
      </c>
      <c r="K495" s="585" t="n">
        <v>22</v>
      </c>
      <c r="L495" s="585">
        <f>IF(B495="TXO",I495-SUM(J495:K495),IF(B495="FITX",IF(D495="新倉",-SUM(J495:K495),IF(E495="賣",(H495-H494)*G495*200-SUM(J495:K495),(H494-H495)*G495*200-SUM(J495:K495))),IF(D495="新倉",-SUM(J495:K495),IF(E495="賣",(H495-H494)*G495*50-SUM(J495:K495),(H494-H495)*G495*50-SUM(J495:K495)))))</f>
        <v/>
      </c>
      <c r="M495" s="699">
        <f>L495</f>
        <v/>
      </c>
      <c r="N495" s="686">
        <f>IF(B495="TXO","",IF(D495="新倉","",IF(E495="賣",(H495-H494)*G495,(H494-H495)*G495)))</f>
        <v/>
      </c>
      <c r="O495" s="226">
        <f>ABS(I495)</f>
        <v/>
      </c>
      <c r="P495" s="667" t="n"/>
      <c r="S495" s="739" t="n"/>
      <c r="T495" s="61" t="n"/>
      <c r="U495" s="61" t="n"/>
      <c r="V495" s="61" t="n"/>
      <c r="W495" s="61" t="n"/>
    </row>
    <row r="496" hidden="1" outlineLevel="2" ht="17.25" customHeight="1" thickBot="1">
      <c r="A496" s="696" t="n">
        <v>43335</v>
      </c>
      <c r="B496" s="234" t="inlineStr">
        <is>
          <t>FIMTX</t>
        </is>
      </c>
      <c r="C496" s="229" t="inlineStr">
        <is>
          <t>小指09</t>
        </is>
      </c>
      <c r="D496" s="229" t="inlineStr">
        <is>
          <t>平倉</t>
        </is>
      </c>
      <c r="E496" s="257" t="inlineStr">
        <is>
          <t>賣</t>
        </is>
      </c>
      <c r="F496" s="229" t="inlineStr">
        <is>
          <t>-</t>
        </is>
      </c>
      <c r="G496" s="697" t="n">
        <v>2</v>
      </c>
      <c r="H496" s="697" t="n">
        <v>10817</v>
      </c>
      <c r="I496" s="697" t="n">
        <v>0</v>
      </c>
      <c r="J496" s="585" t="n">
        <v>46</v>
      </c>
      <c r="K496" s="585" t="n">
        <v>22</v>
      </c>
      <c r="L496" s="585">
        <f>IF(B496="TXO",I496-SUM(J496:K496),IF(B496="FITX",IF(D496="新倉",-SUM(J496:K496),IF(E496="賣",(H496-H495)*G496*200-SUM(J496:K496),(H495-H496)*G496*200-SUM(J496:K496))),IF(D496="新倉",-SUM(J496:K496),IF(E496="賣",(H496-H495)*G496*50-SUM(J496:K496),(H495-H496)*G496*50-SUM(J496:K496)))))</f>
        <v/>
      </c>
      <c r="M496" s="699">
        <f>L496</f>
        <v/>
      </c>
      <c r="N496" s="686">
        <f>IF(B496="TXO","",IF(D496="新倉","",IF(E496="賣",(H496-H495)*G496,(H495-H496)*G496)))</f>
        <v/>
      </c>
      <c r="O496" s="226">
        <f>ABS(I496)</f>
        <v/>
      </c>
      <c r="P496" s="667" t="n"/>
      <c r="S496" s="739" t="n"/>
      <c r="T496" s="61" t="n"/>
      <c r="U496" s="61" t="n"/>
      <c r="V496" s="61" t="n"/>
      <c r="W496" s="61" t="n"/>
    </row>
    <row r="497" hidden="1" outlineLevel="2" ht="17.25" customHeight="1" thickBot="1">
      <c r="A497" s="696" t="n">
        <v>43335</v>
      </c>
      <c r="B497" s="234" t="inlineStr">
        <is>
          <t>FIMTX</t>
        </is>
      </c>
      <c r="C497" s="229" t="inlineStr">
        <is>
          <t>小指09</t>
        </is>
      </c>
      <c r="D497" s="229" t="inlineStr">
        <is>
          <t>新倉</t>
        </is>
      </c>
      <c r="E497" s="257" t="inlineStr">
        <is>
          <t>買</t>
        </is>
      </c>
      <c r="F497" s="229" t="inlineStr">
        <is>
          <t>-</t>
        </is>
      </c>
      <c r="G497" s="697" t="n">
        <v>1</v>
      </c>
      <c r="H497" s="697" t="n">
        <v>10821</v>
      </c>
      <c r="I497" s="697" t="n">
        <v>0</v>
      </c>
      <c r="J497" s="585" t="n">
        <v>23</v>
      </c>
      <c r="K497" s="585" t="n">
        <v>11</v>
      </c>
      <c r="L497" s="585">
        <f>IF(B497="TXO",I497-SUM(J497:K497),IF(B497="FITX",IF(D497="新倉",-SUM(J497:K497),IF(E497="賣",(H497-H496)*G497*200-SUM(J497:K497),(H496-H497)*G497*200-SUM(J497:K497))),IF(D497="新倉",-SUM(J497:K497),IF(E497="賣",(H497-H496)*G497*50-SUM(J497:K497),(H496-H497)*G497*50-SUM(J497:K497)))))</f>
        <v/>
      </c>
      <c r="M497" s="699">
        <f>L497</f>
        <v/>
      </c>
      <c r="N497" s="686">
        <f>IF(B497="TXO","",IF(D497="新倉","",IF(E497="賣",(H497-H496)*G497,(H496-H497)*G497)))</f>
        <v/>
      </c>
      <c r="O497" s="226">
        <f>ABS(I497)</f>
        <v/>
      </c>
      <c r="P497" s="667" t="n"/>
      <c r="S497" s="739" t="n"/>
      <c r="T497" s="61" t="n"/>
      <c r="U497" s="61" t="n"/>
      <c r="V497" s="61" t="n"/>
      <c r="W497" s="61" t="n"/>
    </row>
    <row r="498" hidden="1" outlineLevel="2" ht="17.25" customHeight="1" thickBot="1">
      <c r="A498" s="696" t="n">
        <v>43335</v>
      </c>
      <c r="B498" s="234" t="inlineStr">
        <is>
          <t>FIMTX</t>
        </is>
      </c>
      <c r="C498" s="229" t="inlineStr">
        <is>
          <t>小指09</t>
        </is>
      </c>
      <c r="D498" s="229" t="inlineStr">
        <is>
          <t>平倉</t>
        </is>
      </c>
      <c r="E498" s="257" t="inlineStr">
        <is>
          <t>賣</t>
        </is>
      </c>
      <c r="F498" s="229" t="inlineStr">
        <is>
          <t>-</t>
        </is>
      </c>
      <c r="G498" s="697" t="n">
        <v>1</v>
      </c>
      <c r="H498" s="697" t="n">
        <v>10820</v>
      </c>
      <c r="I498" s="697" t="n">
        <v>0</v>
      </c>
      <c r="J498" s="585" t="n">
        <v>23</v>
      </c>
      <c r="K498" s="585" t="n">
        <v>11</v>
      </c>
      <c r="L498" s="585">
        <f>IF(B498="TXO",I498-SUM(J498:K498),IF(B498="FITX",IF(D498="新倉",-SUM(J498:K498),IF(E498="賣",(H498-H497)*G498*200-SUM(J498:K498),(H497-H498)*G498*200-SUM(J498:K498))),IF(D498="新倉",-SUM(J498:K498),IF(E498="賣",(H498-H497)*G498*50-SUM(J498:K498),(H497-H498)*G498*50-SUM(J498:K498)))))</f>
        <v/>
      </c>
      <c r="M498" s="699">
        <f>L498</f>
        <v/>
      </c>
      <c r="N498" s="686">
        <f>IF(B498="TXO","",IF(D498="新倉","",IF(E498="賣",(H498-H497)*G498,(H497-H498)*G498)))</f>
        <v/>
      </c>
      <c r="O498" s="226">
        <f>ABS(I498)</f>
        <v/>
      </c>
      <c r="P498" s="667" t="n"/>
      <c r="S498" s="739" t="n"/>
      <c r="T498" s="61" t="n"/>
      <c r="U498" s="61" t="n"/>
      <c r="V498" s="61" t="n"/>
      <c r="W498" s="61" t="n"/>
    </row>
    <row r="499" hidden="1" outlineLevel="2" ht="17.25" customHeight="1" thickBot="1">
      <c r="A499" s="696" t="n">
        <v>43335</v>
      </c>
      <c r="B499" s="234" t="inlineStr">
        <is>
          <t>FIMTX</t>
        </is>
      </c>
      <c r="C499" s="229" t="inlineStr">
        <is>
          <t>小指09</t>
        </is>
      </c>
      <c r="D499" s="229" t="inlineStr">
        <is>
          <t>新倉</t>
        </is>
      </c>
      <c r="E499" s="257" t="inlineStr">
        <is>
          <t>賣</t>
        </is>
      </c>
      <c r="F499" s="229" t="inlineStr">
        <is>
          <t>-</t>
        </is>
      </c>
      <c r="G499" s="697" t="n">
        <v>1</v>
      </c>
      <c r="H499" s="697" t="n">
        <v>10814</v>
      </c>
      <c r="I499" s="697" t="n">
        <v>0</v>
      </c>
      <c r="J499" s="585" t="n">
        <v>23</v>
      </c>
      <c r="K499" s="585" t="n">
        <v>11</v>
      </c>
      <c r="L499" s="585">
        <f>IF(B499="TXO",I499-SUM(J499:K499),IF(B499="FITX",IF(D499="新倉",-SUM(J499:K499),IF(E499="賣",(H499-H498)*G499*200-SUM(J499:K499),(H498-H499)*G499*200-SUM(J499:K499))),IF(D499="新倉",-SUM(J499:K499),IF(E499="賣",(H499-H498)*G499*50-SUM(J499:K499),(H498-H499)*G499*50-SUM(J499:K499)))))</f>
        <v/>
      </c>
      <c r="M499" s="699">
        <f>L499</f>
        <v/>
      </c>
      <c r="N499" s="686">
        <f>IF(B499="TXO","",IF(D499="新倉","",IF(E499="賣",(H499-H498)*G499,(H498-H499)*G499)))</f>
        <v/>
      </c>
      <c r="O499" s="226">
        <f>ABS(I499)</f>
        <v/>
      </c>
      <c r="P499" s="667" t="n"/>
      <c r="S499" s="739" t="n"/>
      <c r="T499" s="61" t="n"/>
      <c r="U499" s="61" t="n"/>
      <c r="V499" s="61" t="n"/>
      <c r="W499" s="61" t="n"/>
    </row>
    <row r="500" hidden="1" outlineLevel="2" ht="17.25" customHeight="1" thickBot="1">
      <c r="A500" s="696" t="n">
        <v>43335</v>
      </c>
      <c r="B500" s="234" t="inlineStr">
        <is>
          <t>FIMTX</t>
        </is>
      </c>
      <c r="C500" s="229" t="inlineStr">
        <is>
          <t>小指09</t>
        </is>
      </c>
      <c r="D500" s="229" t="inlineStr">
        <is>
          <t>平倉</t>
        </is>
      </c>
      <c r="E500" s="257" t="inlineStr">
        <is>
          <t>買</t>
        </is>
      </c>
      <c r="F500" s="229" t="inlineStr">
        <is>
          <t>-</t>
        </is>
      </c>
      <c r="G500" s="697" t="n">
        <v>1</v>
      </c>
      <c r="H500" s="697" t="n">
        <v>10822</v>
      </c>
      <c r="I500" s="697" t="n">
        <v>0</v>
      </c>
      <c r="J500" s="585" t="n">
        <v>23</v>
      </c>
      <c r="K500" s="585" t="n">
        <v>11</v>
      </c>
      <c r="L500" s="585">
        <f>IF(B500="TXO",I500-SUM(J500:K500),IF(B500="FITX",IF(D500="新倉",-SUM(J500:K500),IF(E500="賣",(H500-H499)*G500*200-SUM(J500:K500),(H499-H500)*G500*200-SUM(J500:K500))),IF(D500="新倉",-SUM(J500:K500),IF(E500="賣",(H500-H499)*G500*50-SUM(J500:K500),(H499-H500)*G500*50-SUM(J500:K500)))))</f>
        <v/>
      </c>
      <c r="M500" s="699">
        <f>L500</f>
        <v/>
      </c>
      <c r="N500" s="686">
        <f>IF(B500="TXO","",IF(D500="新倉","",IF(E500="賣",(H500-H499)*G500,(H499-H500)*G500)))</f>
        <v/>
      </c>
      <c r="O500" s="226">
        <f>ABS(I500)</f>
        <v/>
      </c>
      <c r="P500" s="667" t="n"/>
      <c r="S500" s="739" t="n"/>
      <c r="T500" s="61" t="n"/>
      <c r="U500" s="61" t="n"/>
      <c r="V500" s="61" t="n"/>
      <c r="W500" s="61" t="n"/>
    </row>
    <row r="501" hidden="1" outlineLevel="2" ht="17.25" customHeight="1" thickBot="1">
      <c r="A501" s="696" t="n">
        <v>43335</v>
      </c>
      <c r="B501" s="234" t="inlineStr">
        <is>
          <t>FIMTX</t>
        </is>
      </c>
      <c r="C501" s="229" t="inlineStr">
        <is>
          <t>小指09</t>
        </is>
      </c>
      <c r="D501" s="229" t="inlineStr">
        <is>
          <t>新倉</t>
        </is>
      </c>
      <c r="E501" s="257" t="inlineStr">
        <is>
          <t>賣</t>
        </is>
      </c>
      <c r="F501" s="229" t="inlineStr">
        <is>
          <t>-</t>
        </is>
      </c>
      <c r="G501" s="697" t="n">
        <v>1</v>
      </c>
      <c r="H501" s="697" t="n">
        <v>10814</v>
      </c>
      <c r="I501" s="697" t="n">
        <v>0</v>
      </c>
      <c r="J501" s="585" t="n">
        <v>23</v>
      </c>
      <c r="K501" s="585" t="n">
        <v>11</v>
      </c>
      <c r="L501" s="585">
        <f>IF(B501="TXO",I501-SUM(J501:K501),IF(B501="FITX",IF(D501="新倉",-SUM(J501:K501),IF(E501="賣",(H501-H500)*G501*200-SUM(J501:K501),(H500-H501)*G501*200-SUM(J501:K501))),IF(D501="新倉",-SUM(J501:K501),IF(E501="賣",(H501-H500)*G501*50-SUM(J501:K501),(H500-H501)*G501*50-SUM(J501:K501)))))</f>
        <v/>
      </c>
      <c r="M501" s="699">
        <f>L501</f>
        <v/>
      </c>
      <c r="N501" s="686">
        <f>IF(B501="TXO","",IF(D501="新倉","",IF(E501="賣",(H501-H500)*G501,(H500-H501)*G501)))</f>
        <v/>
      </c>
      <c r="O501" s="226">
        <f>ABS(I501)</f>
        <v/>
      </c>
      <c r="P501" s="667" t="n"/>
      <c r="S501" s="739" t="n"/>
      <c r="T501" s="61" t="n"/>
      <c r="U501" s="61" t="n"/>
      <c r="V501" s="61" t="n"/>
      <c r="W501" s="61" t="n"/>
    </row>
    <row r="502" hidden="1" outlineLevel="2" ht="17.25" customHeight="1" thickBot="1">
      <c r="A502" s="696" t="n">
        <v>43335</v>
      </c>
      <c r="B502" s="234" t="inlineStr">
        <is>
          <t>FIMTX</t>
        </is>
      </c>
      <c r="C502" s="229" t="inlineStr">
        <is>
          <t>小指09</t>
        </is>
      </c>
      <c r="D502" s="229" t="inlineStr">
        <is>
          <t>平倉</t>
        </is>
      </c>
      <c r="E502" s="257" t="inlineStr">
        <is>
          <t>買</t>
        </is>
      </c>
      <c r="F502" s="229" t="inlineStr">
        <is>
          <t>-</t>
        </is>
      </c>
      <c r="G502" s="697" t="n">
        <v>1</v>
      </c>
      <c r="H502" s="697" t="n">
        <v>10822</v>
      </c>
      <c r="I502" s="697" t="n">
        <v>0</v>
      </c>
      <c r="J502" s="585" t="n">
        <v>23</v>
      </c>
      <c r="K502" s="585" t="n">
        <v>11</v>
      </c>
      <c r="L502" s="585">
        <f>IF(B502="TXO",I502-SUM(J502:K502),IF(B502="FITX",IF(D502="新倉",-SUM(J502:K502),IF(E502="賣",(H502-H501)*G502*200-SUM(J502:K502),(H501-H502)*G502*200-SUM(J502:K502))),IF(D502="新倉",-SUM(J502:K502),IF(E502="賣",(H502-H501)*G502*50-SUM(J502:K502),(H501-H502)*G502*50-SUM(J502:K502)))))</f>
        <v/>
      </c>
      <c r="M502" s="699">
        <f>L502</f>
        <v/>
      </c>
      <c r="N502" s="686">
        <f>IF(B502="TXO","",IF(D502="新倉","",IF(E502="賣",(H502-H501)*G502,(H501-H502)*G502)))</f>
        <v/>
      </c>
      <c r="O502" s="226">
        <f>ABS(I502)</f>
        <v/>
      </c>
      <c r="P502" s="667" t="n"/>
      <c r="S502" s="739" t="n"/>
      <c r="T502" s="61" t="n"/>
      <c r="U502" s="61" t="n"/>
      <c r="V502" s="61" t="n"/>
      <c r="W502" s="61" t="n"/>
    </row>
    <row r="503" hidden="1" outlineLevel="2" ht="17.25" customHeight="1" thickBot="1">
      <c r="A503" s="696" t="n">
        <v>43335</v>
      </c>
      <c r="B503" s="234" t="inlineStr">
        <is>
          <t>FIMTX</t>
        </is>
      </c>
      <c r="C503" s="229" t="inlineStr">
        <is>
          <t>小指09</t>
        </is>
      </c>
      <c r="D503" s="229" t="inlineStr">
        <is>
          <t>新倉</t>
        </is>
      </c>
      <c r="E503" s="257" t="inlineStr">
        <is>
          <t>賣</t>
        </is>
      </c>
      <c r="F503" s="229" t="inlineStr">
        <is>
          <t>-</t>
        </is>
      </c>
      <c r="G503" s="697" t="n">
        <v>1</v>
      </c>
      <c r="H503" s="697" t="n">
        <v>10832</v>
      </c>
      <c r="I503" s="697" t="n">
        <v>0</v>
      </c>
      <c r="J503" s="585" t="n">
        <v>23</v>
      </c>
      <c r="K503" s="585" t="n">
        <v>11</v>
      </c>
      <c r="L503" s="585">
        <f>IF(B503="TXO",I503-SUM(J503:K503),IF(B503="FITX",IF(D503="新倉",-SUM(J503:K503),IF(E503="賣",(H503-H502)*G503*200-SUM(J503:K503),(H502-H503)*G503*200-SUM(J503:K503))),IF(D503="新倉",-SUM(J503:K503),IF(E503="賣",(H503-H502)*G503*50-SUM(J503:K503),(H502-H503)*G503*50-SUM(J503:K503)))))</f>
        <v/>
      </c>
      <c r="M503" s="699">
        <f>L503</f>
        <v/>
      </c>
      <c r="N503" s="686">
        <f>IF(B503="TXO","",IF(D503="新倉","",IF(E503="賣",(H503-H502)*G503,(H502-H503)*G503)))</f>
        <v/>
      </c>
      <c r="O503" s="226">
        <f>ABS(I503)</f>
        <v/>
      </c>
      <c r="P503" s="667" t="n"/>
      <c r="S503" s="739" t="n"/>
      <c r="T503" s="61" t="n"/>
      <c r="U503" s="61" t="n"/>
      <c r="V503" s="61" t="n"/>
      <c r="W503" s="61" t="n"/>
    </row>
    <row r="504" hidden="1" outlineLevel="2" ht="17.25" customHeight="1" thickBot="1">
      <c r="A504" s="696" t="n">
        <v>43335</v>
      </c>
      <c r="B504" s="234" t="inlineStr">
        <is>
          <t>FIMTX</t>
        </is>
      </c>
      <c r="C504" s="229" t="inlineStr">
        <is>
          <t>小指09</t>
        </is>
      </c>
      <c r="D504" s="229" t="inlineStr">
        <is>
          <t>平倉</t>
        </is>
      </c>
      <c r="E504" s="257" t="inlineStr">
        <is>
          <t>買</t>
        </is>
      </c>
      <c r="F504" s="229" t="inlineStr">
        <is>
          <t>-</t>
        </is>
      </c>
      <c r="G504" s="697" t="n">
        <v>1</v>
      </c>
      <c r="H504" s="697" t="n">
        <v>10830</v>
      </c>
      <c r="I504" s="697" t="n">
        <v>0</v>
      </c>
      <c r="J504" s="585" t="n">
        <v>23</v>
      </c>
      <c r="K504" s="585" t="n">
        <v>11</v>
      </c>
      <c r="L504" s="585">
        <f>IF(B504="TXO",I504-SUM(J504:K504),IF(B504="FITX",IF(D504="新倉",-SUM(J504:K504),IF(E504="賣",(H504-H503)*G504*200-SUM(J504:K504),(H503-H504)*G504*200-SUM(J504:K504))),IF(D504="新倉",-SUM(J504:K504),IF(E504="賣",(H504-H503)*G504*50-SUM(J504:K504),(H503-H504)*G504*50-SUM(J504:K504)))))</f>
        <v/>
      </c>
      <c r="M504" s="699">
        <f>L504</f>
        <v/>
      </c>
      <c r="N504" s="686">
        <f>IF(B504="TXO","",IF(D504="新倉","",IF(E504="賣",(H504-H503)*G504,(H503-H504)*G504)))</f>
        <v/>
      </c>
      <c r="O504" s="226">
        <f>ABS(I504)</f>
        <v/>
      </c>
      <c r="P504" s="667" t="n"/>
      <c r="S504" s="739" t="n"/>
      <c r="T504" s="61" t="n"/>
      <c r="U504" s="61" t="n"/>
      <c r="V504" s="61" t="n"/>
      <c r="W504" s="61" t="n"/>
    </row>
    <row r="505" hidden="1" outlineLevel="2" ht="17.25" customHeight="1" thickBot="1">
      <c r="A505" s="696" t="n">
        <v>43335</v>
      </c>
      <c r="B505" s="234" t="inlineStr">
        <is>
          <t>FIMTX</t>
        </is>
      </c>
      <c r="C505" s="229" t="inlineStr">
        <is>
          <t>小指09</t>
        </is>
      </c>
      <c r="D505" s="229" t="inlineStr">
        <is>
          <t>新倉</t>
        </is>
      </c>
      <c r="E505" s="257" t="inlineStr">
        <is>
          <t>賣</t>
        </is>
      </c>
      <c r="F505" s="229" t="inlineStr">
        <is>
          <t>-</t>
        </is>
      </c>
      <c r="G505" s="697" t="n">
        <v>1</v>
      </c>
      <c r="H505" s="697" t="n">
        <v>10832</v>
      </c>
      <c r="I505" s="697" t="n">
        <v>0</v>
      </c>
      <c r="J505" s="585" t="n">
        <v>23</v>
      </c>
      <c r="K505" s="585" t="n">
        <v>11</v>
      </c>
      <c r="L505" s="585">
        <f>IF(B505="TXO",I505-SUM(J505:K505),IF(B505="FITX",IF(D505="新倉",-SUM(J505:K505),IF(E505="賣",(H505-H504)*G505*200-SUM(J505:K505),(H504-H505)*G505*200-SUM(J505:K505))),IF(D505="新倉",-SUM(J505:K505),IF(E505="賣",(H505-H504)*G505*50-SUM(J505:K505),(H504-H505)*G505*50-SUM(J505:K505)))))</f>
        <v/>
      </c>
      <c r="M505" s="699">
        <f>L505</f>
        <v/>
      </c>
      <c r="N505" s="686">
        <f>IF(B505="TXO","",IF(D505="新倉","",IF(E505="賣",(H505-H504)*G505,(H504-H505)*G505)))</f>
        <v/>
      </c>
      <c r="O505" s="226">
        <f>ABS(I505)</f>
        <v/>
      </c>
      <c r="P505" s="667" t="n"/>
      <c r="S505" s="739" t="n"/>
      <c r="T505" s="61" t="n"/>
      <c r="U505" s="61" t="n"/>
      <c r="V505" s="61" t="n"/>
      <c r="W505" s="61" t="n"/>
    </row>
    <row r="506" hidden="1" outlineLevel="2" ht="17.25" customHeight="1" thickBot="1">
      <c r="A506" s="696" t="n">
        <v>43335</v>
      </c>
      <c r="B506" s="234" t="inlineStr">
        <is>
          <t>FIMTX</t>
        </is>
      </c>
      <c r="C506" s="229" t="inlineStr">
        <is>
          <t>小指09</t>
        </is>
      </c>
      <c r="D506" s="229" t="inlineStr">
        <is>
          <t>平倉</t>
        </is>
      </c>
      <c r="E506" s="257" t="inlineStr">
        <is>
          <t>買</t>
        </is>
      </c>
      <c r="F506" s="229" t="inlineStr">
        <is>
          <t>-</t>
        </is>
      </c>
      <c r="G506" s="697" t="n">
        <v>1</v>
      </c>
      <c r="H506" s="697" t="n">
        <v>10830</v>
      </c>
      <c r="I506" s="697" t="n">
        <v>0</v>
      </c>
      <c r="J506" s="585" t="n">
        <v>23</v>
      </c>
      <c r="K506" s="585" t="n">
        <v>11</v>
      </c>
      <c r="L506" s="585">
        <f>IF(B506="TXO",I506-SUM(J506:K506),IF(B506="FITX",IF(D506="新倉",-SUM(J506:K506),IF(E506="賣",(H506-H505)*G506*200-SUM(J506:K506),(H505-H506)*G506*200-SUM(J506:K506))),IF(D506="新倉",-SUM(J506:K506),IF(E506="賣",(H506-H505)*G506*50-SUM(J506:K506),(H505-H506)*G506*50-SUM(J506:K506)))))</f>
        <v/>
      </c>
      <c r="M506" s="699">
        <f>L506</f>
        <v/>
      </c>
      <c r="N506" s="686">
        <f>IF(B506="TXO","",IF(D506="新倉","",IF(E506="賣",(H506-H505)*G506,(H505-H506)*G506)))</f>
        <v/>
      </c>
      <c r="O506" s="226">
        <f>ABS(I506)</f>
        <v/>
      </c>
      <c r="P506" s="667" t="n"/>
      <c r="S506" s="739" t="n"/>
      <c r="T506" s="61" t="n"/>
      <c r="U506" s="61" t="n"/>
      <c r="V506" s="61" t="n"/>
      <c r="W506" s="61" t="n"/>
    </row>
    <row r="507" hidden="1" outlineLevel="1" ht="17.25" customHeight="1" thickBot="1">
      <c r="A507" s="740" t="n">
        <v>43336</v>
      </c>
      <c r="B507" s="299" t="inlineStr">
        <is>
          <t>FIMTX</t>
        </is>
      </c>
      <c r="C507" s="300" t="inlineStr">
        <is>
          <t>小指09</t>
        </is>
      </c>
      <c r="D507" s="300" t="inlineStr">
        <is>
          <t>新倉</t>
        </is>
      </c>
      <c r="E507" s="301" t="inlineStr">
        <is>
          <t>賣</t>
        </is>
      </c>
      <c r="F507" s="300" t="inlineStr">
        <is>
          <t>-</t>
        </is>
      </c>
      <c r="G507" s="741" t="n">
        <v>1</v>
      </c>
      <c r="H507" s="741" t="n">
        <v>10738</v>
      </c>
      <c r="I507" s="741" t="n">
        <v>0</v>
      </c>
      <c r="J507" s="742" t="n">
        <v>23</v>
      </c>
      <c r="K507" s="742" t="n">
        <v>11</v>
      </c>
      <c r="L507" s="742">
        <f>IF(B507="TXO",I507-SUM(J507:K507),IF(B507="FITX",IF(D507="新倉",-SUM(J507:K507),IF(E507="賣",(H507-H506)*G507*200-SUM(J507:K507),(H506-H507)*G507*200-SUM(J507:K507))),IF(D507="新倉",-SUM(J507:K507),IF(E507="賣",(H507-H506)*G507*50-SUM(J507:K507),(H506-H507)*G507*50-SUM(J507:K507)))))</f>
        <v/>
      </c>
      <c r="M507" s="743">
        <f>L507</f>
        <v/>
      </c>
      <c r="N507" s="686">
        <f>IF(B507="TXO","",IF(D507="新倉","",IF(E507="賣",(H507-H506)*G507,(H506-H507)*G507)))</f>
        <v/>
      </c>
      <c r="O507" s="226">
        <f>ABS(I507)</f>
        <v/>
      </c>
      <c r="P507" s="667">
        <f>SUM(L507:L512)</f>
        <v/>
      </c>
      <c r="S507" s="739" t="n"/>
      <c r="T507" s="61" t="n"/>
      <c r="U507" s="61" t="n"/>
      <c r="V507" s="61" t="n"/>
      <c r="W507" s="61" t="n"/>
    </row>
    <row r="508" hidden="1" outlineLevel="2" collapsed="1" ht="17.25" customHeight="1" thickBot="1">
      <c r="A508" s="740" t="n">
        <v>43336</v>
      </c>
      <c r="B508" s="299" t="inlineStr">
        <is>
          <t>FIMTX</t>
        </is>
      </c>
      <c r="C508" s="300" t="inlineStr">
        <is>
          <t>小指09</t>
        </is>
      </c>
      <c r="D508" s="300" t="inlineStr">
        <is>
          <t>平倉</t>
        </is>
      </c>
      <c r="E508" s="301" t="inlineStr">
        <is>
          <t>買</t>
        </is>
      </c>
      <c r="F508" s="300" t="inlineStr">
        <is>
          <t>-</t>
        </is>
      </c>
      <c r="G508" s="741" t="n">
        <v>1</v>
      </c>
      <c r="H508" s="741" t="n">
        <v>10748</v>
      </c>
      <c r="I508" s="741" t="n">
        <v>0</v>
      </c>
      <c r="J508" s="742" t="n">
        <v>23</v>
      </c>
      <c r="K508" s="742" t="n">
        <v>11</v>
      </c>
      <c r="L508" s="742">
        <f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/>
      </c>
      <c r="M508" s="743">
        <f>L508</f>
        <v/>
      </c>
      <c r="N508" s="686">
        <f>IF(B508="TXO","",IF(D508="新倉","",IF(E508="賣",(H508-H507)*G508,(H507-H508)*G508)))</f>
        <v/>
      </c>
      <c r="O508" s="226">
        <f>ABS(I508)</f>
        <v/>
      </c>
      <c r="P508" s="667" t="n"/>
      <c r="S508" s="739" t="n"/>
      <c r="T508" s="61" t="n"/>
      <c r="U508" s="61" t="n"/>
      <c r="V508" s="61" t="n"/>
      <c r="W508" s="61" t="n"/>
    </row>
    <row r="509" hidden="1" outlineLevel="2" collapsed="1" ht="17.25" customHeight="1" thickBot="1">
      <c r="A509" s="740" t="n">
        <v>43336</v>
      </c>
      <c r="B509" s="299" t="inlineStr">
        <is>
          <t>FIMTX</t>
        </is>
      </c>
      <c r="C509" s="300" t="inlineStr">
        <is>
          <t>小指09</t>
        </is>
      </c>
      <c r="D509" s="300" t="inlineStr">
        <is>
          <t>新倉</t>
        </is>
      </c>
      <c r="E509" s="301" t="inlineStr">
        <is>
          <t>賣</t>
        </is>
      </c>
      <c r="F509" s="300" t="inlineStr">
        <is>
          <t>-</t>
        </is>
      </c>
      <c r="G509" s="741" t="n">
        <v>1</v>
      </c>
      <c r="H509" s="741" t="n">
        <v>10732</v>
      </c>
      <c r="I509" s="741" t="n">
        <v>0</v>
      </c>
      <c r="J509" s="742" t="n">
        <v>23</v>
      </c>
      <c r="K509" s="742" t="n">
        <v>11</v>
      </c>
      <c r="L509" s="742">
        <f>IF(B509="TXO",I509-SUM(J509:K509),IF(B509="FITX",IF(D509="新倉",-SUM(J509:K509),IF(E509="賣",(H509-H508)*G509*200-SUM(J509:K509),(H508-H509)*G509*200-SUM(J509:K509))),IF(D509="新倉",-SUM(J509:K509),IF(E509="賣",(H509-H508)*G509*50-SUM(J509:K509),(H508-H509)*G509*50-SUM(J509:K509)))))</f>
        <v/>
      </c>
      <c r="M509" s="743">
        <f>L509</f>
        <v/>
      </c>
      <c r="N509" s="686">
        <f>IF(B509="TXO","",IF(D509="新倉","",IF(E509="賣",(H509-H508)*G509,(H508-H509)*G509)))</f>
        <v/>
      </c>
      <c r="O509" s="226">
        <f>ABS(I509)</f>
        <v/>
      </c>
      <c r="P509" s="667" t="n"/>
      <c r="S509" s="739" t="n"/>
      <c r="T509" s="61" t="n"/>
      <c r="U509" s="61" t="n"/>
      <c r="V509" s="61" t="n"/>
      <c r="W509" s="61" t="n"/>
    </row>
    <row r="510" hidden="1" outlineLevel="2" collapsed="1" ht="17.25" customHeight="1" thickBot="1">
      <c r="A510" s="740" t="n">
        <v>43336</v>
      </c>
      <c r="B510" s="299" t="inlineStr">
        <is>
          <t>FIMTX</t>
        </is>
      </c>
      <c r="C510" s="300" t="inlineStr">
        <is>
          <t>小指09</t>
        </is>
      </c>
      <c r="D510" s="300" t="inlineStr">
        <is>
          <t>平倉</t>
        </is>
      </c>
      <c r="E510" s="301" t="inlineStr">
        <is>
          <t>買</t>
        </is>
      </c>
      <c r="F510" s="300" t="inlineStr">
        <is>
          <t>-</t>
        </is>
      </c>
      <c r="G510" s="741" t="n">
        <v>1</v>
      </c>
      <c r="H510" s="741" t="n">
        <v>10748</v>
      </c>
      <c r="I510" s="741" t="n">
        <v>0</v>
      </c>
      <c r="J510" s="742" t="n">
        <v>23</v>
      </c>
      <c r="K510" s="742" t="n">
        <v>11</v>
      </c>
      <c r="L510" s="742">
        <f>IF(B510="TXO",I510-SUM(J510:K510),IF(B510="FITX",IF(D510="新倉",-SUM(J510:K510),IF(E510="賣",(H510-H509)*G510*200-SUM(J510:K510),(H509-H510)*G510*200-SUM(J510:K510))),IF(D510="新倉",-SUM(J510:K510),IF(E510="賣",(H510-H509)*G510*50-SUM(J510:K510),(H509-H510)*G510*50-SUM(J510:K510)))))</f>
        <v/>
      </c>
      <c r="M510" s="743">
        <f>L510</f>
        <v/>
      </c>
      <c r="N510" s="686">
        <f>IF(B510="TXO","",IF(D510="新倉","",IF(E510="賣",(H510-H509)*G510,(H509-H510)*G510)))</f>
        <v/>
      </c>
      <c r="O510" s="226">
        <f>ABS(I510)</f>
        <v/>
      </c>
      <c r="P510" s="667" t="n"/>
      <c r="S510" s="739" t="n"/>
      <c r="T510" s="61" t="n"/>
      <c r="U510" s="61" t="n"/>
      <c r="V510" s="61" t="n"/>
      <c r="W510" s="61" t="n"/>
    </row>
    <row r="511" hidden="1" outlineLevel="2" collapsed="1" ht="17.25" customHeight="1" thickBot="1">
      <c r="A511" s="740" t="n">
        <v>43336</v>
      </c>
      <c r="B511" s="299" t="inlineStr">
        <is>
          <t>FIMTX</t>
        </is>
      </c>
      <c r="C511" s="300" t="inlineStr">
        <is>
          <t>小指09</t>
        </is>
      </c>
      <c r="D511" s="300" t="inlineStr">
        <is>
          <t>新倉</t>
        </is>
      </c>
      <c r="E511" s="301" t="inlineStr">
        <is>
          <t>賣</t>
        </is>
      </c>
      <c r="F511" s="300" t="inlineStr">
        <is>
          <t>-</t>
        </is>
      </c>
      <c r="G511" s="741" t="n">
        <v>1</v>
      </c>
      <c r="H511" s="741" t="n">
        <v>10733</v>
      </c>
      <c r="I511" s="741" t="n">
        <v>0</v>
      </c>
      <c r="J511" s="742" t="n">
        <v>23</v>
      </c>
      <c r="K511" s="742" t="n">
        <v>11</v>
      </c>
      <c r="L511" s="742">
        <f>IF(B511="TXO",I511-SUM(J511:K511),IF(B511="FITX",IF(D511="新倉",-SUM(J511:K511),IF(E511="賣",(H511-H510)*G511*200-SUM(J511:K511),(H510-H511)*G511*200-SUM(J511:K511))),IF(D511="新倉",-SUM(J511:K511),IF(E511="賣",(H511-H510)*G511*50-SUM(J511:K511),(H510-H511)*G511*50-SUM(J511:K511)))))</f>
        <v/>
      </c>
      <c r="M511" s="743">
        <f>L511</f>
        <v/>
      </c>
      <c r="N511" s="686">
        <f>IF(B511="TXO","",IF(D511="新倉","",IF(E511="賣",(H511-H510)*G511,(H510-H511)*G511)))</f>
        <v/>
      </c>
      <c r="O511" s="226">
        <f>ABS(I511)</f>
        <v/>
      </c>
      <c r="P511" s="667" t="n"/>
      <c r="S511" s="739" t="n"/>
      <c r="T511" s="61" t="n"/>
      <c r="U511" s="61" t="n"/>
      <c r="V511" s="61" t="n"/>
      <c r="W511" s="61" t="n"/>
    </row>
    <row r="512" hidden="1" outlineLevel="2" collapsed="1" ht="17.25" customHeight="1" thickBot="1">
      <c r="A512" s="740" t="n">
        <v>43336</v>
      </c>
      <c r="B512" s="299" t="inlineStr">
        <is>
          <t>FIMTX</t>
        </is>
      </c>
      <c r="C512" s="300" t="inlineStr">
        <is>
          <t>小指09</t>
        </is>
      </c>
      <c r="D512" s="300" t="inlineStr">
        <is>
          <t>平倉</t>
        </is>
      </c>
      <c r="E512" s="301" t="inlineStr">
        <is>
          <t>買</t>
        </is>
      </c>
      <c r="F512" s="300" t="inlineStr">
        <is>
          <t>-</t>
        </is>
      </c>
      <c r="G512" s="741" t="n">
        <v>1</v>
      </c>
      <c r="H512" s="741" t="n">
        <v>10748</v>
      </c>
      <c r="I512" s="741" t="n">
        <v>0</v>
      </c>
      <c r="J512" s="742" t="n">
        <v>23</v>
      </c>
      <c r="K512" s="742" t="n">
        <v>11</v>
      </c>
      <c r="L512" s="742">
        <f>IF(B512="TXO",I512-SUM(J512:K512),IF(B512="FITX",IF(D512="新倉",-SUM(J512:K512),IF(E512="賣",(H512-H511)*G512*200-SUM(J512:K512),(H511-H512)*G512*200-SUM(J512:K512))),IF(D512="新倉",-SUM(J512:K512),IF(E512="賣",(H512-H511)*G512*50-SUM(J512:K512),(H511-H512)*G512*50-SUM(J512:K512)))))</f>
        <v/>
      </c>
      <c r="M512" s="743">
        <f>L512</f>
        <v/>
      </c>
      <c r="N512" s="686">
        <f>IF(B512="TXO","",IF(D512="新倉","",IF(E512="賣",(H512-H511)*G512,(H511-H512)*G512)))</f>
        <v/>
      </c>
      <c r="O512" s="226">
        <f>ABS(I512)</f>
        <v/>
      </c>
      <c r="P512" s="667" t="n"/>
      <c r="S512" s="739" t="n"/>
      <c r="T512" s="61" t="n"/>
      <c r="U512" s="61" t="n"/>
      <c r="V512" s="61" t="n"/>
      <c r="W512" s="61" t="n"/>
    </row>
    <row r="513" hidden="1" outlineLevel="1" ht="17.25" customHeight="1" thickBot="1">
      <c r="A513" s="696" t="n">
        <v>43339</v>
      </c>
      <c r="B513" s="234" t="inlineStr">
        <is>
          <t>FIMTX</t>
        </is>
      </c>
      <c r="C513" s="229" t="inlineStr">
        <is>
          <t>小指09</t>
        </is>
      </c>
      <c r="D513" s="229" t="inlineStr">
        <is>
          <t>新倉</t>
        </is>
      </c>
      <c r="E513" s="257" t="inlineStr">
        <is>
          <t>賣</t>
        </is>
      </c>
      <c r="F513" s="229" t="inlineStr">
        <is>
          <t>-</t>
        </is>
      </c>
      <c r="G513" s="697" t="n">
        <v>1</v>
      </c>
      <c r="H513" s="697" t="n">
        <v>10931</v>
      </c>
      <c r="I513" s="697" t="n">
        <v>0</v>
      </c>
      <c r="J513" s="585" t="n">
        <v>23</v>
      </c>
      <c r="K513" s="585" t="n">
        <v>11</v>
      </c>
      <c r="L513" s="585">
        <f>IF(B513="TXO",I513-SUM(J513:K513),IF(B513="FITX",IF(D513="新倉",-SUM(J513:K513),IF(E513="賣",(H513-H512)*G513*200-SUM(J513:K513),(H512-H513)*G513*200-SUM(J513:K513))),IF(D513="新倉",-SUM(J513:K513),IF(E513="賣",(H513-H512)*G513*50-SUM(J513:K513),(H512-H513)*G513*50-SUM(J513:K513)))))</f>
        <v/>
      </c>
      <c r="M513" s="699">
        <f>L513</f>
        <v/>
      </c>
      <c r="N513" s="686">
        <f>IF(B513="TXO","",IF(D513="新倉","",IF(E513="賣",(H513-H512)*G513,(H512-H513)*G513)))</f>
        <v/>
      </c>
      <c r="O513" s="226">
        <f>ABS(I513)</f>
        <v/>
      </c>
      <c r="P513" s="667">
        <f>SUM(L513:L530)</f>
        <v/>
      </c>
      <c r="S513" s="739" t="n"/>
      <c r="T513" s="61" t="n"/>
      <c r="U513" s="61" t="n"/>
      <c r="V513" s="61" t="n"/>
      <c r="W513" s="61" t="n"/>
    </row>
    <row r="514" hidden="1" outlineLevel="2" collapsed="1" ht="17.25" customHeight="1" thickBot="1">
      <c r="A514" s="696" t="n">
        <v>43339</v>
      </c>
      <c r="B514" s="234" t="inlineStr">
        <is>
          <t>FIMTX</t>
        </is>
      </c>
      <c r="C514" s="229" t="inlineStr">
        <is>
          <t>小指09</t>
        </is>
      </c>
      <c r="D514" s="229" t="inlineStr">
        <is>
          <t>平倉</t>
        </is>
      </c>
      <c r="E514" s="257" t="inlineStr">
        <is>
          <t>買</t>
        </is>
      </c>
      <c r="F514" s="229" t="inlineStr">
        <is>
          <t>-</t>
        </is>
      </c>
      <c r="G514" s="697" t="n">
        <v>1</v>
      </c>
      <c r="H514" s="697" t="n">
        <v>10933</v>
      </c>
      <c r="I514" s="697" t="n">
        <v>0</v>
      </c>
      <c r="J514" s="585" t="n">
        <v>23</v>
      </c>
      <c r="K514" s="585" t="n">
        <v>11</v>
      </c>
      <c r="L514" s="585">
        <f>IF(B514="TXO",I514-SUM(J514:K514),IF(B514="FITX",IF(D514="新倉",-SUM(J514:K514),IF(E514="賣",(H514-H513)*G514*200-SUM(J514:K514),(H513-H514)*G514*200-SUM(J514:K514))),IF(D514="新倉",-SUM(J514:K514),IF(E514="賣",(H514-H513)*G514*50-SUM(J514:K514),(H513-H514)*G514*50-SUM(J514:K514)))))</f>
        <v/>
      </c>
      <c r="M514" s="699">
        <f>L514</f>
        <v/>
      </c>
      <c r="N514" s="686">
        <f>IF(B514="TXO","",IF(D514="新倉","",IF(E514="賣",(H514-H513)*G514,(H513-H514)*G514)))</f>
        <v/>
      </c>
      <c r="O514" s="226">
        <f>ABS(I514)</f>
        <v/>
      </c>
      <c r="P514" s="667" t="n"/>
      <c r="S514" s="739" t="n"/>
      <c r="T514" s="61" t="n"/>
      <c r="U514" s="61" t="n"/>
      <c r="V514" s="61" t="n"/>
      <c r="W514" s="61" t="n"/>
    </row>
    <row r="515" hidden="1" outlineLevel="2" collapsed="1" ht="17.25" customHeight="1" thickBot="1">
      <c r="A515" s="696" t="n">
        <v>43339</v>
      </c>
      <c r="B515" s="234" t="inlineStr">
        <is>
          <t>FIMTX</t>
        </is>
      </c>
      <c r="C515" s="229" t="inlineStr">
        <is>
          <t>小指09</t>
        </is>
      </c>
      <c r="D515" s="229" t="inlineStr">
        <is>
          <t>新倉</t>
        </is>
      </c>
      <c r="E515" s="257" t="inlineStr">
        <is>
          <t>賣</t>
        </is>
      </c>
      <c r="F515" s="229" t="inlineStr">
        <is>
          <t>-</t>
        </is>
      </c>
      <c r="G515" s="697" t="n">
        <v>1</v>
      </c>
      <c r="H515" s="697" t="n">
        <v>10930</v>
      </c>
      <c r="I515" s="697" t="n">
        <v>0</v>
      </c>
      <c r="J515" s="585" t="n">
        <v>23</v>
      </c>
      <c r="K515" s="585" t="n">
        <v>11</v>
      </c>
      <c r="L515" s="585">
        <f>IF(B515="TXO",I515-SUM(J515:K515),IF(B515="FITX",IF(D515="新倉",-SUM(J515:K515),IF(E515="賣",(H515-H514)*G515*200-SUM(J515:K515),(H514-H515)*G515*200-SUM(J515:K515))),IF(D515="新倉",-SUM(J515:K515),IF(E515="賣",(H515-H514)*G515*50-SUM(J515:K515),(H514-H515)*G515*50-SUM(J515:K515)))))</f>
        <v/>
      </c>
      <c r="M515" s="699">
        <f>L515</f>
        <v/>
      </c>
      <c r="N515" s="686">
        <f>IF(B515="TXO","",IF(D515="新倉","",IF(E515="賣",(H515-H514)*G515,(H514-H515)*G515)))</f>
        <v/>
      </c>
      <c r="O515" s="226">
        <f>ABS(I515)</f>
        <v/>
      </c>
      <c r="P515" s="667" t="n"/>
      <c r="S515" s="739" t="n"/>
      <c r="T515" s="61" t="n"/>
      <c r="U515" s="61" t="n"/>
      <c r="V515" s="61" t="n"/>
      <c r="W515" s="61" t="n"/>
    </row>
    <row r="516" hidden="1" outlineLevel="2" collapsed="1" ht="17.25" customHeight="1" thickBot="1">
      <c r="A516" s="696" t="n">
        <v>43339</v>
      </c>
      <c r="B516" s="234" t="inlineStr">
        <is>
          <t>FIMTX</t>
        </is>
      </c>
      <c r="C516" s="229" t="inlineStr">
        <is>
          <t>小指09</t>
        </is>
      </c>
      <c r="D516" s="229" t="inlineStr">
        <is>
          <t>平倉</t>
        </is>
      </c>
      <c r="E516" s="257" t="inlineStr">
        <is>
          <t>買</t>
        </is>
      </c>
      <c r="F516" s="229" t="inlineStr">
        <is>
          <t>-</t>
        </is>
      </c>
      <c r="G516" s="697" t="n">
        <v>1</v>
      </c>
      <c r="H516" s="697" t="n">
        <v>10933</v>
      </c>
      <c r="I516" s="697" t="n">
        <v>0</v>
      </c>
      <c r="J516" s="585" t="n">
        <v>23</v>
      </c>
      <c r="K516" s="585" t="n">
        <v>11</v>
      </c>
      <c r="L516" s="585">
        <f>IF(B516="TXO",I516-SUM(J516:K516),IF(B516="FITX",IF(D516="新倉",-SUM(J516:K516),IF(E516="賣",(H516-H515)*G516*200-SUM(J516:K516),(H515-H516)*G516*200-SUM(J516:K516))),IF(D516="新倉",-SUM(J516:K516),IF(E516="賣",(H516-H515)*G516*50-SUM(J516:K516),(H515-H516)*G516*50-SUM(J516:K516)))))</f>
        <v/>
      </c>
      <c r="M516" s="699">
        <f>L516</f>
        <v/>
      </c>
      <c r="N516" s="686">
        <f>IF(B516="TXO","",IF(D516="新倉","",IF(E516="賣",(H516-H515)*G516,(H515-H516)*G516)))</f>
        <v/>
      </c>
      <c r="O516" s="226">
        <f>ABS(I516)</f>
        <v/>
      </c>
      <c r="P516" s="667" t="n"/>
      <c r="S516" s="739" t="n"/>
      <c r="T516" s="61" t="n"/>
      <c r="U516" s="61" t="n"/>
      <c r="V516" s="61" t="n"/>
      <c r="W516" s="61" t="n"/>
    </row>
    <row r="517" hidden="1" outlineLevel="2" collapsed="1" ht="17.25" customHeight="1" thickBot="1">
      <c r="A517" s="696" t="n">
        <v>43339</v>
      </c>
      <c r="B517" s="234" t="inlineStr">
        <is>
          <t>FIMTX</t>
        </is>
      </c>
      <c r="C517" s="229" t="inlineStr">
        <is>
          <t>小指09</t>
        </is>
      </c>
      <c r="D517" s="229" t="inlineStr">
        <is>
          <t>新倉</t>
        </is>
      </c>
      <c r="E517" s="257" t="inlineStr">
        <is>
          <t>賣</t>
        </is>
      </c>
      <c r="F517" s="229" t="inlineStr">
        <is>
          <t>-</t>
        </is>
      </c>
      <c r="G517" s="697" t="n">
        <v>1</v>
      </c>
      <c r="H517" s="697" t="n">
        <v>10919</v>
      </c>
      <c r="I517" s="697" t="n">
        <v>0</v>
      </c>
      <c r="J517" s="585" t="n">
        <v>23</v>
      </c>
      <c r="K517" s="585" t="n">
        <v>11</v>
      </c>
      <c r="L517" s="585">
        <f>IF(B517="TXO",I517-SUM(J517:K517),IF(B517="FITX",IF(D517="新倉",-SUM(J517:K517),IF(E517="賣",(H517-H516)*G517*200-SUM(J517:K517),(H516-H517)*G517*200-SUM(J517:K517))),IF(D517="新倉",-SUM(J517:K517),IF(E517="賣",(H517-H516)*G517*50-SUM(J517:K517),(H516-H517)*G517*50-SUM(J517:K517)))))</f>
        <v/>
      </c>
      <c r="M517" s="699">
        <f>L517</f>
        <v/>
      </c>
      <c r="N517" s="686">
        <f>IF(B517="TXO","",IF(D517="新倉","",IF(E517="賣",(H517-H516)*G517,(H516-H517)*G517)))</f>
        <v/>
      </c>
      <c r="O517" s="226">
        <f>ABS(I517)</f>
        <v/>
      </c>
      <c r="P517" s="667" t="n"/>
      <c r="S517" s="739" t="n"/>
      <c r="T517" s="61" t="n"/>
      <c r="U517" s="61" t="n"/>
      <c r="V517" s="61" t="n"/>
      <c r="W517" s="61" t="n"/>
    </row>
    <row r="518" hidden="1" outlineLevel="2" collapsed="1" ht="17.25" customHeight="1" thickBot="1">
      <c r="A518" s="696" t="n">
        <v>43339</v>
      </c>
      <c r="B518" s="234" t="inlineStr">
        <is>
          <t>FIMTX</t>
        </is>
      </c>
      <c r="C518" s="229" t="inlineStr">
        <is>
          <t>小指09</t>
        </is>
      </c>
      <c r="D518" s="229" t="inlineStr">
        <is>
          <t>平倉</t>
        </is>
      </c>
      <c r="E518" s="257" t="inlineStr">
        <is>
          <t>買</t>
        </is>
      </c>
      <c r="F518" s="229" t="inlineStr">
        <is>
          <t>-</t>
        </is>
      </c>
      <c r="G518" s="697" t="n">
        <v>1</v>
      </c>
      <c r="H518" s="697" t="n">
        <v>10918</v>
      </c>
      <c r="I518" s="697" t="n">
        <v>0</v>
      </c>
      <c r="J518" s="585" t="n">
        <v>23</v>
      </c>
      <c r="K518" s="585" t="n">
        <v>11</v>
      </c>
      <c r="L518" s="585">
        <f>IF(B518="TXO",I518-SUM(J518:K518),IF(B518="FITX",IF(D518="新倉",-SUM(J518:K518),IF(E518="賣",(H518-H517)*G518*200-SUM(J518:K518),(H517-H518)*G518*200-SUM(J518:K518))),IF(D518="新倉",-SUM(J518:K518),IF(E518="賣",(H518-H517)*G518*50-SUM(J518:K518),(H517-H518)*G518*50-SUM(J518:K518)))))</f>
        <v/>
      </c>
      <c r="M518" s="699">
        <f>L518</f>
        <v/>
      </c>
      <c r="N518" s="686">
        <f>IF(B518="TXO","",IF(D518="新倉","",IF(E518="賣",(H518-H517)*G518,(H517-H518)*G518)))</f>
        <v/>
      </c>
      <c r="O518" s="226">
        <f>ABS(I518)</f>
        <v/>
      </c>
      <c r="P518" s="667" t="n"/>
      <c r="S518" s="739" t="n"/>
      <c r="T518" s="61" t="n"/>
      <c r="U518" s="61" t="n"/>
      <c r="V518" s="61" t="n"/>
      <c r="W518" s="61" t="n"/>
    </row>
    <row r="519" hidden="1" outlineLevel="2" collapsed="1" ht="17.25" customHeight="1" thickBot="1">
      <c r="A519" s="696" t="n">
        <v>43339</v>
      </c>
      <c r="B519" s="234" t="inlineStr">
        <is>
          <t>FIMTX</t>
        </is>
      </c>
      <c r="C519" s="229" t="inlineStr">
        <is>
          <t>小指09</t>
        </is>
      </c>
      <c r="D519" s="229" t="inlineStr">
        <is>
          <t>新倉</t>
        </is>
      </c>
      <c r="E519" s="257" t="inlineStr">
        <is>
          <t>買</t>
        </is>
      </c>
      <c r="F519" s="229" t="inlineStr">
        <is>
          <t>-</t>
        </is>
      </c>
      <c r="G519" s="697" t="n">
        <v>1</v>
      </c>
      <c r="H519" s="697" t="n">
        <v>10918</v>
      </c>
      <c r="I519" s="697" t="n">
        <v>0</v>
      </c>
      <c r="J519" s="585" t="n">
        <v>23</v>
      </c>
      <c r="K519" s="585" t="n">
        <v>11</v>
      </c>
      <c r="L519" s="585">
        <f>IF(B519="TXO",I519-SUM(J519:K519),IF(B519="FITX",IF(D519="新倉",-SUM(J519:K519),IF(E519="賣",(H519-H518)*G519*200-SUM(J519:K519),(H518-H519)*G519*200-SUM(J519:K519))),IF(D519="新倉",-SUM(J519:K519),IF(E519="賣",(H519-H518)*G519*50-SUM(J519:K519),(H518-H519)*G519*50-SUM(J519:K519)))))</f>
        <v/>
      </c>
      <c r="M519" s="699">
        <f>L519</f>
        <v/>
      </c>
      <c r="N519" s="686">
        <f>IF(B519="TXO","",IF(D519="新倉","",IF(E519="賣",(H519-H518)*G519,(H518-H519)*G519)))</f>
        <v/>
      </c>
      <c r="O519" s="226">
        <f>ABS(I519)</f>
        <v/>
      </c>
      <c r="P519" s="667" t="n"/>
      <c r="S519" s="739" t="n"/>
      <c r="T519" s="61" t="n"/>
      <c r="U519" s="61" t="n"/>
      <c r="V519" s="61" t="n"/>
      <c r="W519" s="61" t="n"/>
    </row>
    <row r="520" hidden="1" outlineLevel="2" collapsed="1" ht="17.25" customHeight="1" thickBot="1">
      <c r="A520" s="696" t="n">
        <v>43339</v>
      </c>
      <c r="B520" s="234" t="inlineStr">
        <is>
          <t>FIMTX</t>
        </is>
      </c>
      <c r="C520" s="229" t="inlineStr">
        <is>
          <t>小指09</t>
        </is>
      </c>
      <c r="D520" s="229" t="inlineStr">
        <is>
          <t>平倉</t>
        </is>
      </c>
      <c r="E520" s="257" t="inlineStr">
        <is>
          <t>賣</t>
        </is>
      </c>
      <c r="F520" s="229" t="inlineStr">
        <is>
          <t>-</t>
        </is>
      </c>
      <c r="G520" s="697" t="n">
        <v>1</v>
      </c>
      <c r="H520" s="697" t="n">
        <v>10920</v>
      </c>
      <c r="I520" s="697" t="n">
        <v>0</v>
      </c>
      <c r="J520" s="585" t="n">
        <v>23</v>
      </c>
      <c r="K520" s="585" t="n">
        <v>11</v>
      </c>
      <c r="L520" s="585">
        <f>IF(B520="TXO",I520-SUM(J520:K520),IF(B520="FITX",IF(D520="新倉",-SUM(J520:K520),IF(E520="賣",(H520-H519)*G520*200-SUM(J520:K520),(H519-H520)*G520*200-SUM(J520:K520))),IF(D520="新倉",-SUM(J520:K520),IF(E520="賣",(H520-H519)*G520*50-SUM(J520:K520),(H519-H520)*G520*50-SUM(J520:K520)))))</f>
        <v/>
      </c>
      <c r="M520" s="699">
        <f>L520</f>
        <v/>
      </c>
      <c r="N520" s="686">
        <f>IF(B520="TXO","",IF(D520="新倉","",IF(E520="賣",(H520-H519)*G520,(H519-H520)*G520)))</f>
        <v/>
      </c>
      <c r="O520" s="226">
        <f>ABS(I520)</f>
        <v/>
      </c>
      <c r="P520" s="667" t="n"/>
      <c r="S520" s="739" t="n"/>
      <c r="T520" s="61" t="n"/>
      <c r="U520" s="61" t="n"/>
      <c r="V520" s="61" t="n"/>
      <c r="W520" s="61" t="n"/>
    </row>
    <row r="521" hidden="1" outlineLevel="2" collapsed="1" ht="50.25" customHeight="1" thickBot="1">
      <c r="A521" s="696" t="n">
        <v>43339</v>
      </c>
      <c r="B521" s="234" t="inlineStr">
        <is>
          <t>FIMTX</t>
        </is>
      </c>
      <c r="C521" s="229" t="inlineStr">
        <is>
          <t>小指09</t>
        </is>
      </c>
      <c r="D521" s="229" t="inlineStr">
        <is>
          <t>新倉</t>
        </is>
      </c>
      <c r="E521" s="257" t="inlineStr">
        <is>
          <t>買</t>
        </is>
      </c>
      <c r="F521" s="229" t="inlineStr">
        <is>
          <t>-</t>
        </is>
      </c>
      <c r="G521" s="697" t="n">
        <v>3</v>
      </c>
      <c r="H521" s="697" t="n">
        <v>10858</v>
      </c>
      <c r="I521" s="697" t="n">
        <v>0</v>
      </c>
      <c r="J521" s="585" t="n">
        <v>69</v>
      </c>
      <c r="K521" s="585" t="n">
        <v>33</v>
      </c>
      <c r="L521" s="585">
        <f>IF(B521="TXO",I521-SUM(J521:K521),IF(B521="FITX",IF(D521="新倉",-SUM(J521:K521),IF(E521="賣",(H521-H520)*G521*200-SUM(J521:K521),(H520-H521)*G521*200-SUM(J521:K521))),IF(D521="新倉",-SUM(J521:K521),IF(E521="賣",(H521-H520)*G521*50-SUM(J521:K521),(H520-H521)*G521*50-SUM(J521:K521)))))</f>
        <v/>
      </c>
      <c r="M521" s="699">
        <f>L521</f>
        <v/>
      </c>
      <c r="N521" s="686">
        <f>IF(B521="TXO","",IF(D521="新倉","",IF(E521="賣",(H521-H520)*G521,(H520-H521)*G521)))</f>
        <v/>
      </c>
      <c r="O521" s="226">
        <f>ABS(I521)</f>
        <v/>
      </c>
      <c r="P521" s="226" t="n"/>
      <c r="Q521" s="249" t="inlineStr">
        <is>
          <t>技法: 3/3 買進三口
進場太晚，連續出現第三次訊號才進場</t>
        </is>
      </c>
      <c r="R521" s="249" t="inlineStr">
        <is>
          <t>Yes</t>
        </is>
      </c>
      <c r="S521" s="739" t="n"/>
      <c r="T521" s="61">
        <f>IF(AND(R521="Yes",S521&lt;&gt;"Yes",L521&gt;0,B521&lt;&gt;"TXO"),L521,"")</f>
        <v/>
      </c>
      <c r="U521" s="61">
        <f>IF(AND(R521="Yes",S521&lt;&gt;"Yes",L521&lt;0,B521&lt;&gt;"TXO"),L521,"")</f>
        <v/>
      </c>
      <c r="V521" s="61">
        <f>IF(AND(R521="",S521&lt;&gt;"Yes",L521&gt;0,B521&lt;&gt;"TXO"),L521,"")</f>
        <v/>
      </c>
      <c r="W521" s="61">
        <f>IF(AND(R521="",S521&lt;&gt;"Yes",L521&lt;0,B521&lt;&gt;"TXO"),L521,"")</f>
        <v/>
      </c>
      <c r="X521" s="226">
        <f>IF(AND(R521="Yes",S521="Yes",L521&gt;0,B521&lt;&gt;"TXO"),L521,"")</f>
        <v/>
      </c>
      <c r="Y521" s="226">
        <f>IF(AND(R521="Yes",S521="Yes",L521&lt;0,B521&lt;&gt;"TXO"),L521,"")</f>
        <v/>
      </c>
      <c r="Z521" s="226">
        <f>IF(AND(R521="",S521="Yes",L521&gt;0,B521&lt;&gt;"TXO"),L521,"")</f>
        <v/>
      </c>
      <c r="AA521" s="226">
        <f>IF(AND(R521="",S521="Yes",L521&lt;0,B521&lt;&gt;"TXO"),L521,"")</f>
        <v/>
      </c>
    </row>
    <row r="522" hidden="1" outlineLevel="2" collapsed="1" ht="17.25" customHeight="1" thickBot="1">
      <c r="A522" s="696" t="n">
        <v>43339</v>
      </c>
      <c r="B522" s="234" t="inlineStr">
        <is>
          <t>FIMTX</t>
        </is>
      </c>
      <c r="C522" s="229" t="inlineStr">
        <is>
          <t>小指09</t>
        </is>
      </c>
      <c r="D522" s="229" t="inlineStr">
        <is>
          <t>平倉</t>
        </is>
      </c>
      <c r="E522" s="257" t="inlineStr">
        <is>
          <t>賣</t>
        </is>
      </c>
      <c r="F522" s="229" t="inlineStr">
        <is>
          <t>-</t>
        </is>
      </c>
      <c r="G522" s="697" t="n">
        <v>3</v>
      </c>
      <c r="H522" s="697" t="n">
        <v>10853</v>
      </c>
      <c r="I522" s="697" t="n">
        <v>0</v>
      </c>
      <c r="J522" s="585" t="n">
        <v>69</v>
      </c>
      <c r="K522" s="585" t="n">
        <v>33</v>
      </c>
      <c r="L522" s="585">
        <f>IF(B522="TXO",I522-SUM(J522:K522),IF(B522="FITX",IF(D522="新倉",-SUM(J522:K522),IF(E522="賣",(H522-H521)*G522*200-SUM(J522:K522),(H521-H522)*G522*200-SUM(J522:K522))),IF(D522="新倉",-SUM(J522:K522),IF(E522="賣",(H522-H521)*G522*50-SUM(J522:K522),(H521-H522)*G522*50-SUM(J522:K522)))))</f>
        <v/>
      </c>
      <c r="M522" s="699">
        <f>L522</f>
        <v/>
      </c>
      <c r="N522" s="686">
        <f>IF(B522="TXO","",IF(D522="新倉","",IF(E522="賣",(H522-H521)*G522,(H521-H522)*G522)))</f>
        <v/>
      </c>
      <c r="O522" s="226">
        <f>ABS(I522)</f>
        <v/>
      </c>
      <c r="P522" s="667" t="n"/>
      <c r="Q522" s="249" t="inlineStr">
        <is>
          <t>技法: 碰10MA出場</t>
        </is>
      </c>
      <c r="R522" s="249" t="inlineStr">
        <is>
          <t>Yes</t>
        </is>
      </c>
      <c r="S522" s="739" t="n"/>
      <c r="T522" s="61">
        <f>IF(AND(R522="Yes",S522&lt;&gt;"Yes",L522&gt;0,B522&lt;&gt;"TXO"),L522,"")</f>
        <v/>
      </c>
      <c r="U522" s="61">
        <f>IF(AND(R522="Yes",S522&lt;&gt;"Yes",L522&lt;0,B522&lt;&gt;"TXO"),L522,"")</f>
        <v/>
      </c>
      <c r="V522" s="61">
        <f>IF(AND(R522="",S522&lt;&gt;"Yes",L522&gt;0,B522&lt;&gt;"TXO"),L522,"")</f>
        <v/>
      </c>
      <c r="W522" s="61">
        <f>IF(AND(R522="",S522&lt;&gt;"Yes",L522&lt;0,B522&lt;&gt;"TXO"),L522,"")</f>
        <v/>
      </c>
      <c r="X522" s="226">
        <f>IF(AND(R522="Yes",S522="Yes",L522&gt;0,B522&lt;&gt;"TXO"),L522,"")</f>
        <v/>
      </c>
      <c r="Y522" s="226">
        <f>IF(AND(R522="Yes",S522="Yes",L522&lt;0,B522&lt;&gt;"TXO"),L522,"")</f>
        <v/>
      </c>
      <c r="Z522" s="226">
        <f>IF(AND(R522="",S522="Yes",L522&gt;0,B522&lt;&gt;"TXO"),L522,"")</f>
        <v/>
      </c>
      <c r="AA522" s="226">
        <f>IF(AND(R522="",S522="Yes",L522&lt;0,B522&lt;&gt;"TXO"),L522,"")</f>
        <v/>
      </c>
    </row>
    <row r="523" hidden="1" outlineLevel="2" collapsed="1" ht="17.25" customHeight="1" thickBot="1">
      <c r="A523" s="696" t="n">
        <v>43339</v>
      </c>
      <c r="B523" s="234" t="inlineStr">
        <is>
          <t>FIMTX</t>
        </is>
      </c>
      <c r="C523" s="229" t="inlineStr">
        <is>
          <t>小指09</t>
        </is>
      </c>
      <c r="D523" s="229" t="inlineStr">
        <is>
          <t>新倉</t>
        </is>
      </c>
      <c r="E523" s="257" t="inlineStr">
        <is>
          <t>賣</t>
        </is>
      </c>
      <c r="F523" s="229" t="inlineStr">
        <is>
          <t>-</t>
        </is>
      </c>
      <c r="G523" s="697" t="n">
        <v>1</v>
      </c>
      <c r="H523" s="697" t="n">
        <v>10845</v>
      </c>
      <c r="I523" s="697" t="n">
        <v>0</v>
      </c>
      <c r="J523" s="585" t="n">
        <v>23</v>
      </c>
      <c r="K523" s="585" t="n">
        <v>11</v>
      </c>
      <c r="L523" s="585">
        <f>IF(B523="TXO",I523-SUM(J523:K523),IF(B523="FITX",IF(D523="新倉",-SUM(J523:K523),IF(E523="賣",(H523-H522)*G523*200-SUM(J523:K523),(H522-H523)*G523*200-SUM(J523:K523))),IF(D523="新倉",-SUM(J523:K523),IF(E523="賣",(H523-H522)*G523*50-SUM(J523:K523),(H522-H523)*G523*50-SUM(J523:K523)))))</f>
        <v/>
      </c>
      <c r="M523" s="699">
        <f>L523</f>
        <v/>
      </c>
      <c r="N523" s="686">
        <f>IF(B523="TXO","",IF(D523="新倉","",IF(E523="賣",(H523-H522)*G523,(H522-H523)*G523)))</f>
        <v/>
      </c>
      <c r="O523" s="226">
        <f>ABS(I523)</f>
        <v/>
      </c>
      <c r="P523" s="667" t="n"/>
      <c r="Q523" s="249" t="inlineStr">
        <is>
          <t>技法: 3/3 買進四口</t>
        </is>
      </c>
      <c r="R523" s="249" t="inlineStr">
        <is>
          <t>Yes</t>
        </is>
      </c>
      <c r="S523" s="739" t="n"/>
      <c r="T523" s="61">
        <f>IF(AND(R523="Yes",S523&lt;&gt;"Yes",L523&gt;0,B523&lt;&gt;"TXO"),L523,"")</f>
        <v/>
      </c>
      <c r="U523" s="61">
        <f>IF(AND(R523="Yes",S523&lt;&gt;"Yes",L523&lt;0,B523&lt;&gt;"TXO"),L523,"")</f>
        <v/>
      </c>
      <c r="V523" s="61">
        <f>IF(AND(R523="",S523&lt;&gt;"Yes",L523&gt;0,B523&lt;&gt;"TXO"),L523,"")</f>
        <v/>
      </c>
      <c r="W523" s="61">
        <f>IF(AND(R523="",S523&lt;&gt;"Yes",L523&lt;0,B523&lt;&gt;"TXO"),L523,"")</f>
        <v/>
      </c>
      <c r="X523" s="226">
        <f>IF(AND(R523="Yes",S523="Yes",L523&gt;0,B523&lt;&gt;"TXO"),L523,"")</f>
        <v/>
      </c>
      <c r="Y523" s="226">
        <f>IF(AND(R523="Yes",S523="Yes",L523&lt;0,B523&lt;&gt;"TXO"),L523,"")</f>
        <v/>
      </c>
      <c r="Z523" s="226">
        <f>IF(AND(R523="",S523="Yes",L523&gt;0,B523&lt;&gt;"TXO"),L523,"")</f>
        <v/>
      </c>
      <c r="AA523" s="226">
        <f>IF(AND(R523="",S523="Yes",L523&lt;0,B523&lt;&gt;"TXO"),L523,"")</f>
        <v/>
      </c>
    </row>
    <row r="524" hidden="1" outlineLevel="2" collapsed="1" ht="17.25" customHeight="1" thickBot="1">
      <c r="A524" s="696" t="n">
        <v>43339</v>
      </c>
      <c r="B524" s="234" t="inlineStr">
        <is>
          <t>FIMTX</t>
        </is>
      </c>
      <c r="C524" s="229" t="inlineStr">
        <is>
          <t>小指09</t>
        </is>
      </c>
      <c r="D524" s="229" t="inlineStr">
        <is>
          <t>平倉</t>
        </is>
      </c>
      <c r="E524" s="257" t="inlineStr">
        <is>
          <t>買</t>
        </is>
      </c>
      <c r="F524" s="229" t="inlineStr">
        <is>
          <t>-</t>
        </is>
      </c>
      <c r="G524" s="697" t="n">
        <v>1</v>
      </c>
      <c r="H524" s="697" t="n">
        <v>10826</v>
      </c>
      <c r="I524" s="697" t="n">
        <v>0</v>
      </c>
      <c r="J524" s="585" t="n">
        <v>23</v>
      </c>
      <c r="K524" s="585" t="n">
        <v>11</v>
      </c>
      <c r="L524" s="585">
        <f>IF(B524="TXO",I524-SUM(J524:K524),IF(B524="FITX",IF(D524="新倉",-SUM(J524:K524),IF(E524="賣",(H524-H523)*G524*200-SUM(J524:K524),(H523-H524)*G524*200-SUM(J524:K524))),IF(D524="新倉",-SUM(J524:K524),IF(E524="賣",(H524-H523)*G524*50-SUM(J524:K524),(H523-H524)*G524*50-SUM(J524:K524)))))</f>
        <v/>
      </c>
      <c r="M524" s="699">
        <f>L524</f>
        <v/>
      </c>
      <c r="N524" s="686">
        <f>IF(B524="TXO","",IF(D524="新倉","",IF(E524="賣",(H524-H523)*G524,(H523-H524)*G524)))</f>
        <v/>
      </c>
      <c r="O524" s="226">
        <f>ABS(I524)</f>
        <v/>
      </c>
      <c r="P524" s="667" t="n"/>
      <c r="Q524" s="249" t="inlineStr">
        <is>
          <t>技法: 刺補</t>
        </is>
      </c>
      <c r="R524" s="249" t="inlineStr">
        <is>
          <t>Yes</t>
        </is>
      </c>
      <c r="S524" s="739" t="n"/>
      <c r="T524" s="61">
        <f>IF(AND(R524="Yes",S524&lt;&gt;"Yes",L524&gt;0,B524&lt;&gt;"TXO"),L524,"")</f>
        <v/>
      </c>
      <c r="U524" s="61">
        <f>IF(AND(R524="Yes",S524&lt;&gt;"Yes",L524&lt;0,B524&lt;&gt;"TXO"),L524,"")</f>
        <v/>
      </c>
      <c r="V524" s="61">
        <f>IF(AND(R524="",S524&lt;&gt;"Yes",L524&gt;0,B524&lt;&gt;"TXO"),L524,"")</f>
        <v/>
      </c>
      <c r="W524" s="61">
        <f>IF(AND(R524="",S524&lt;&gt;"Yes",L524&lt;0,B524&lt;&gt;"TXO"),L524,"")</f>
        <v/>
      </c>
      <c r="X524" s="226">
        <f>IF(AND(R524="Yes",S524="Yes",L524&gt;0,B524&lt;&gt;"TXO"),L524,"")</f>
        <v/>
      </c>
      <c r="Y524" s="226">
        <f>IF(AND(R524="Yes",S524="Yes",L524&lt;0,B524&lt;&gt;"TXO"),L524,"")</f>
        <v/>
      </c>
      <c r="Z524" s="226">
        <f>IF(AND(R524="",S524="Yes",L524&gt;0,B524&lt;&gt;"TXO"),L524,"")</f>
        <v/>
      </c>
      <c r="AA524" s="226">
        <f>IF(AND(R524="",S524="Yes",L524&lt;0,B524&lt;&gt;"TXO"),L524,"")</f>
        <v/>
      </c>
    </row>
    <row r="525" hidden="1" outlineLevel="2" collapsed="1" ht="17.25" customHeight="1" thickBot="1">
      <c r="A525" s="696" t="n">
        <v>43339</v>
      </c>
      <c r="B525" s="234" t="inlineStr">
        <is>
          <t>FIMTX</t>
        </is>
      </c>
      <c r="C525" s="229" t="inlineStr">
        <is>
          <t>小指09</t>
        </is>
      </c>
      <c r="D525" s="229" t="inlineStr">
        <is>
          <t>新倉</t>
        </is>
      </c>
      <c r="E525" s="257" t="inlineStr">
        <is>
          <t>賣</t>
        </is>
      </c>
      <c r="F525" s="229" t="inlineStr">
        <is>
          <t>-</t>
        </is>
      </c>
      <c r="G525" s="697" t="n">
        <v>1</v>
      </c>
      <c r="H525" s="697" t="n">
        <v>10845</v>
      </c>
      <c r="I525" s="697" t="n">
        <v>0</v>
      </c>
      <c r="J525" s="585" t="n">
        <v>23</v>
      </c>
      <c r="K525" s="585" t="n">
        <v>11</v>
      </c>
      <c r="L525" s="585">
        <f>IF(B525="TXO",I525-SUM(J525:K525),IF(B525="FITX",IF(D525="新倉",-SUM(J525:K525),IF(E525="賣",(H525-H524)*G525*200-SUM(J525:K525),(H524-H525)*G525*200-SUM(J525:K525))),IF(D525="新倉",-SUM(J525:K525),IF(E525="賣",(H525-H524)*G525*50-SUM(J525:K525),(H524-H525)*G525*50-SUM(J525:K525)))))</f>
        <v/>
      </c>
      <c r="M525" s="699">
        <f>L525</f>
        <v/>
      </c>
      <c r="N525" s="686">
        <f>IF(B525="TXO","",IF(D525="新倉","",IF(E525="賣",(H525-H524)*G525,(H524-H525)*G525)))</f>
        <v/>
      </c>
      <c r="O525" s="226">
        <f>ABS(I525)</f>
        <v/>
      </c>
      <c r="P525" s="667" t="n"/>
      <c r="R525" s="249" t="inlineStr">
        <is>
          <t>Yes</t>
        </is>
      </c>
      <c r="S525" s="739" t="n"/>
      <c r="T525" s="61">
        <f>IF(AND(R525="Yes",S525&lt;&gt;"Yes",L525&gt;0,B525&lt;&gt;"TXO"),L525,"")</f>
        <v/>
      </c>
      <c r="U525" s="61">
        <f>IF(AND(R525="Yes",S525&lt;&gt;"Yes",L525&lt;0,B525&lt;&gt;"TXO"),L525,"")</f>
        <v/>
      </c>
      <c r="V525" s="61">
        <f>IF(AND(R525="",S525&lt;&gt;"Yes",L525&gt;0,B525&lt;&gt;"TXO"),L525,"")</f>
        <v/>
      </c>
      <c r="W525" s="61">
        <f>IF(AND(R525="",S525&lt;&gt;"Yes",L525&lt;0,B525&lt;&gt;"TXO"),L525,"")</f>
        <v/>
      </c>
      <c r="X525" s="226">
        <f>IF(AND(R525="Yes",S525="Yes",L525&gt;0,B525&lt;&gt;"TXO"),L525,"")</f>
        <v/>
      </c>
      <c r="Y525" s="226">
        <f>IF(AND(R525="Yes",S525="Yes",L525&lt;0,B525&lt;&gt;"TXO"),L525,"")</f>
        <v/>
      </c>
      <c r="Z525" s="226">
        <f>IF(AND(R525="",S525="Yes",L525&gt;0,B525&lt;&gt;"TXO"),L525,"")</f>
        <v/>
      </c>
      <c r="AA525" s="226">
        <f>IF(AND(R525="",S525="Yes",L525&lt;0,B525&lt;&gt;"TXO"),L525,"")</f>
        <v/>
      </c>
    </row>
    <row r="526" hidden="1" outlineLevel="2" collapsed="1" ht="17.25" customHeight="1" thickBot="1">
      <c r="A526" s="696" t="n">
        <v>43339</v>
      </c>
      <c r="B526" s="234" t="inlineStr">
        <is>
          <t>FIMTX</t>
        </is>
      </c>
      <c r="C526" s="229" t="inlineStr">
        <is>
          <t>小指09</t>
        </is>
      </c>
      <c r="D526" s="229" t="inlineStr">
        <is>
          <t>平倉</t>
        </is>
      </c>
      <c r="E526" s="257" t="inlineStr">
        <is>
          <t>買</t>
        </is>
      </c>
      <c r="F526" s="229" t="inlineStr">
        <is>
          <t>-</t>
        </is>
      </c>
      <c r="G526" s="697" t="n">
        <v>1</v>
      </c>
      <c r="H526" s="697" t="n">
        <v>10826</v>
      </c>
      <c r="I526" s="697" t="n">
        <v>0</v>
      </c>
      <c r="J526" s="585" t="n">
        <v>23</v>
      </c>
      <c r="K526" s="585" t="n">
        <v>11</v>
      </c>
      <c r="L526" s="585">
        <f>IF(B526="TXO",I526-SUM(J526:K526),IF(B526="FITX",IF(D526="新倉",-SUM(J526:K526),IF(E526="賣",(H526-H525)*G526*200-SUM(J526:K526),(H525-H526)*G526*200-SUM(J526:K526))),IF(D526="新倉",-SUM(J526:K526),IF(E526="賣",(H526-H525)*G526*50-SUM(J526:K526),(H525-H526)*G526*50-SUM(J526:K526)))))</f>
        <v/>
      </c>
      <c r="M526" s="699">
        <f>L526</f>
        <v/>
      </c>
      <c r="N526" s="686">
        <f>IF(B526="TXO","",IF(D526="新倉","",IF(E526="賣",(H526-H525)*G526,(H525-H526)*G526)))</f>
        <v/>
      </c>
      <c r="O526" s="226">
        <f>ABS(I526)</f>
        <v/>
      </c>
      <c r="P526" s="667" t="n"/>
      <c r="Q526" s="249" t="inlineStr">
        <is>
          <t>元大移動式停利出場</t>
        </is>
      </c>
      <c r="R526" s="249" t="inlineStr">
        <is>
          <t>Yes</t>
        </is>
      </c>
      <c r="S526" s="739" t="n"/>
      <c r="T526" s="61">
        <f>IF(AND(R526="Yes",S526&lt;&gt;"Yes",L526&gt;0,B526&lt;&gt;"TXO"),L526,"")</f>
        <v/>
      </c>
      <c r="U526" s="61">
        <f>IF(AND(R526="Yes",S526&lt;&gt;"Yes",L526&lt;0,B526&lt;&gt;"TXO"),L526,"")</f>
        <v/>
      </c>
      <c r="V526" s="61">
        <f>IF(AND(R526="",S526&lt;&gt;"Yes",L526&gt;0,B526&lt;&gt;"TXO"),L526,"")</f>
        <v/>
      </c>
      <c r="W526" s="61">
        <f>IF(AND(R526="",S526&lt;&gt;"Yes",L526&lt;0,B526&lt;&gt;"TXO"),L526,"")</f>
        <v/>
      </c>
      <c r="X526" s="226">
        <f>IF(AND(R526="Yes",S526="Yes",L526&gt;0,B526&lt;&gt;"TXO"),L526,"")</f>
        <v/>
      </c>
      <c r="Y526" s="226">
        <f>IF(AND(R526="Yes",S526="Yes",L526&lt;0,B526&lt;&gt;"TXO"),L526,"")</f>
        <v/>
      </c>
      <c r="Z526" s="226">
        <f>IF(AND(R526="",S526="Yes",L526&gt;0,B526&lt;&gt;"TXO"),L526,"")</f>
        <v/>
      </c>
      <c r="AA526" s="226">
        <f>IF(AND(R526="",S526="Yes",L526&lt;0,B526&lt;&gt;"TXO"),L526,"")</f>
        <v/>
      </c>
    </row>
    <row r="527" hidden="1" outlineLevel="2" collapsed="1" ht="17.25" customHeight="1" thickBot="1">
      <c r="A527" s="696" t="n">
        <v>43339</v>
      </c>
      <c r="B527" s="234" t="inlineStr">
        <is>
          <t>FIMTX</t>
        </is>
      </c>
      <c r="C527" s="229" t="inlineStr">
        <is>
          <t>小指09</t>
        </is>
      </c>
      <c r="D527" s="229" t="inlineStr">
        <is>
          <t>新倉</t>
        </is>
      </c>
      <c r="E527" s="257" t="inlineStr">
        <is>
          <t>賣</t>
        </is>
      </c>
      <c r="F527" s="229" t="inlineStr">
        <is>
          <t>-</t>
        </is>
      </c>
      <c r="G527" s="697" t="n">
        <v>1</v>
      </c>
      <c r="H527" s="697" t="n">
        <v>10846</v>
      </c>
      <c r="I527" s="697" t="n">
        <v>0</v>
      </c>
      <c r="J527" s="585" t="n">
        <v>23</v>
      </c>
      <c r="K527" s="585" t="n">
        <v>11</v>
      </c>
      <c r="L527" s="585">
        <f>IF(B527="TXO",I527-SUM(J527:K527),IF(B527="FITX",IF(D527="新倉",-SUM(J527:K527),IF(E527="賣",(H527-H526)*G527*200-SUM(J527:K527),(H526-H527)*G527*200-SUM(J527:K527))),IF(D527="新倉",-SUM(J527:K527),IF(E527="賣",(H527-H526)*G527*50-SUM(J527:K527),(H526-H527)*G527*50-SUM(J527:K527)))))</f>
        <v/>
      </c>
      <c r="M527" s="699">
        <f>L527</f>
        <v/>
      </c>
      <c r="N527" s="686">
        <f>IF(B527="TXO","",IF(D527="新倉","",IF(E527="賣",(H527-H526)*G527,(H526-H527)*G527)))</f>
        <v/>
      </c>
      <c r="O527" s="226">
        <f>ABS(I527)</f>
        <v/>
      </c>
      <c r="P527" s="667" t="n"/>
      <c r="R527" s="249" t="inlineStr">
        <is>
          <t>Yes</t>
        </is>
      </c>
      <c r="S527" s="739" t="n"/>
      <c r="T527" s="61">
        <f>IF(AND(R527="Yes",S527&lt;&gt;"Yes",L527&gt;0,B527&lt;&gt;"TXO"),L527,"")</f>
        <v/>
      </c>
      <c r="U527" s="61">
        <f>IF(AND(R527="Yes",S527&lt;&gt;"Yes",L527&lt;0,B527&lt;&gt;"TXO"),L527,"")</f>
        <v/>
      </c>
      <c r="V527" s="61">
        <f>IF(AND(R527="",S527&lt;&gt;"Yes",L527&gt;0,B527&lt;&gt;"TXO"),L527,"")</f>
        <v/>
      </c>
      <c r="W527" s="61">
        <f>IF(AND(R527="",S527&lt;&gt;"Yes",L527&lt;0,B527&lt;&gt;"TXO"),L527,"")</f>
        <v/>
      </c>
      <c r="X527" s="226">
        <f>IF(AND(R527="Yes",S527="Yes",L527&gt;0,B527&lt;&gt;"TXO"),L527,"")</f>
        <v/>
      </c>
      <c r="Y527" s="226">
        <f>IF(AND(R527="Yes",S527="Yes",L527&lt;0,B527&lt;&gt;"TXO"),L527,"")</f>
        <v/>
      </c>
      <c r="Z527" s="226">
        <f>IF(AND(R527="",S527="Yes",L527&gt;0,B527&lt;&gt;"TXO"),L527,"")</f>
        <v/>
      </c>
      <c r="AA527" s="226">
        <f>IF(AND(R527="",S527="Yes",L527&lt;0,B527&lt;&gt;"TXO"),L527,"")</f>
        <v/>
      </c>
    </row>
    <row r="528" hidden="1" outlineLevel="2" collapsed="1" ht="17.25" customHeight="1" thickBot="1">
      <c r="A528" s="696" t="n">
        <v>43339</v>
      </c>
      <c r="B528" s="234" t="inlineStr">
        <is>
          <t>FIMTX</t>
        </is>
      </c>
      <c r="C528" s="229" t="inlineStr">
        <is>
          <t>小指09</t>
        </is>
      </c>
      <c r="D528" s="229" t="inlineStr">
        <is>
          <t>平倉</t>
        </is>
      </c>
      <c r="E528" s="257" t="inlineStr">
        <is>
          <t>買</t>
        </is>
      </c>
      <c r="F528" s="229" t="inlineStr">
        <is>
          <t>-</t>
        </is>
      </c>
      <c r="G528" s="697" t="n">
        <v>1</v>
      </c>
      <c r="H528" s="697" t="n">
        <v>10826</v>
      </c>
      <c r="I528" s="697" t="n">
        <v>0</v>
      </c>
      <c r="J528" s="585" t="n">
        <v>23</v>
      </c>
      <c r="K528" s="585" t="n">
        <v>11</v>
      </c>
      <c r="L528" s="585">
        <f>IF(B528="TXO",I528-SUM(J528:K528),IF(B528="FITX",IF(D528="新倉",-SUM(J528:K528),IF(E528="賣",(H528-H527)*G528*200-SUM(J528:K528),(H527-H528)*G528*200-SUM(J528:K528))),IF(D528="新倉",-SUM(J528:K528),IF(E528="賣",(H528-H527)*G528*50-SUM(J528:K528),(H527-H528)*G528*50-SUM(J528:K528)))))</f>
        <v/>
      </c>
      <c r="M528" s="699">
        <f>L528</f>
        <v/>
      </c>
      <c r="N528" s="686">
        <f>IF(B528="TXO","",IF(D528="新倉","",IF(E528="賣",(H528-H527)*G528,(H527-H528)*G528)))</f>
        <v/>
      </c>
      <c r="O528" s="226">
        <f>ABS(I528)</f>
        <v/>
      </c>
      <c r="P528" s="667" t="n"/>
      <c r="Q528" s="249" t="inlineStr">
        <is>
          <t>元大移動式停利出場</t>
        </is>
      </c>
      <c r="R528" s="249" t="inlineStr">
        <is>
          <t>Yes</t>
        </is>
      </c>
      <c r="S528" s="739" t="n"/>
      <c r="T528" s="61">
        <f>IF(AND(R528="Yes",S528&lt;&gt;"Yes",L528&gt;0,B528&lt;&gt;"TXO"),L528,"")</f>
        <v/>
      </c>
      <c r="U528" s="61">
        <f>IF(AND(R528="Yes",S528&lt;&gt;"Yes",L528&lt;0,B528&lt;&gt;"TXO"),L528,"")</f>
        <v/>
      </c>
      <c r="V528" s="61">
        <f>IF(AND(R528="",S528&lt;&gt;"Yes",L528&gt;0,B528&lt;&gt;"TXO"),L528,"")</f>
        <v/>
      </c>
      <c r="W528" s="61">
        <f>IF(AND(R528="",S528&lt;&gt;"Yes",L528&lt;0,B528&lt;&gt;"TXO"),L528,"")</f>
        <v/>
      </c>
      <c r="X528" s="226">
        <f>IF(AND(R528="Yes",S528="Yes",L528&gt;0,B528&lt;&gt;"TXO"),L528,"")</f>
        <v/>
      </c>
      <c r="Y528" s="226">
        <f>IF(AND(R528="Yes",S528="Yes",L528&lt;0,B528&lt;&gt;"TXO"),L528,"")</f>
        <v/>
      </c>
      <c r="Z528" s="226">
        <f>IF(AND(R528="",S528="Yes",L528&gt;0,B528&lt;&gt;"TXO"),L528,"")</f>
        <v/>
      </c>
      <c r="AA528" s="226">
        <f>IF(AND(R528="",S528="Yes",L528&lt;0,B528&lt;&gt;"TXO"),L528,"")</f>
        <v/>
      </c>
    </row>
    <row r="529" hidden="1" outlineLevel="2" collapsed="1" ht="17.25" customHeight="1" thickBot="1">
      <c r="A529" s="696" t="n">
        <v>43339</v>
      </c>
      <c r="B529" s="234" t="inlineStr">
        <is>
          <t>FIMTX</t>
        </is>
      </c>
      <c r="C529" s="229" t="inlineStr">
        <is>
          <t>小指09</t>
        </is>
      </c>
      <c r="D529" s="229" t="inlineStr">
        <is>
          <t>新倉</t>
        </is>
      </c>
      <c r="E529" s="257" t="inlineStr">
        <is>
          <t>賣</t>
        </is>
      </c>
      <c r="F529" s="229" t="inlineStr">
        <is>
          <t>-</t>
        </is>
      </c>
      <c r="G529" s="697" t="n">
        <v>1</v>
      </c>
      <c r="H529" s="697" t="n">
        <v>10846</v>
      </c>
      <c r="I529" s="697" t="n">
        <v>0</v>
      </c>
      <c r="J529" s="585" t="n">
        <v>23</v>
      </c>
      <c r="K529" s="585" t="n">
        <v>11</v>
      </c>
      <c r="L529" s="585">
        <f>IF(B529="TXO",I529-SUM(J529:K529),IF(B529="FITX",IF(D529="新倉",-SUM(J529:K529),IF(E529="賣",(H529-H528)*G529*200-SUM(J529:K529),(H528-H529)*G529*200-SUM(J529:K529))),IF(D529="新倉",-SUM(J529:K529),IF(E529="賣",(H529-H528)*G529*50-SUM(J529:K529),(H528-H529)*G529*50-SUM(J529:K529)))))</f>
        <v/>
      </c>
      <c r="M529" s="699">
        <f>L529</f>
        <v/>
      </c>
      <c r="N529" s="686">
        <f>IF(B529="TXO","",IF(D529="新倉","",IF(E529="賣",(H529-H528)*G529,(H528-H529)*G529)))</f>
        <v/>
      </c>
      <c r="O529" s="226">
        <f>ABS(I529)</f>
        <v/>
      </c>
      <c r="P529" s="667" t="n"/>
      <c r="R529" s="249" t="inlineStr">
        <is>
          <t>Yes</t>
        </is>
      </c>
      <c r="S529" s="739" t="n"/>
      <c r="T529" s="61">
        <f>IF(AND(R529="Yes",S529&lt;&gt;"Yes",L529&gt;0,B529&lt;&gt;"TXO"),L529,"")</f>
        <v/>
      </c>
      <c r="U529" s="61">
        <f>IF(AND(R529="Yes",S529&lt;&gt;"Yes",L529&lt;0,B529&lt;&gt;"TXO"),L529,"")</f>
        <v/>
      </c>
      <c r="V529" s="61">
        <f>IF(AND(R529="",S529&lt;&gt;"Yes",L529&gt;0,B529&lt;&gt;"TXO"),L529,"")</f>
        <v/>
      </c>
      <c r="W529" s="61">
        <f>IF(AND(R529="",S529&lt;&gt;"Yes",L529&lt;0,B529&lt;&gt;"TXO"),L529,"")</f>
        <v/>
      </c>
      <c r="X529" s="226">
        <f>IF(AND(R529="Yes",S529="Yes",L529&gt;0,B529&lt;&gt;"TXO"),L529,"")</f>
        <v/>
      </c>
      <c r="Y529" s="226">
        <f>IF(AND(R529="Yes",S529="Yes",L529&lt;0,B529&lt;&gt;"TXO"),L529,"")</f>
        <v/>
      </c>
      <c r="Z529" s="226">
        <f>IF(AND(R529="",S529="Yes",L529&gt;0,B529&lt;&gt;"TXO"),L529,"")</f>
        <v/>
      </c>
      <c r="AA529" s="226">
        <f>IF(AND(R529="",S529="Yes",L529&lt;0,B529&lt;&gt;"TXO"),L529,"")</f>
        <v/>
      </c>
    </row>
    <row r="530" hidden="1" outlineLevel="2" collapsed="1" ht="17.25" customHeight="1" thickBot="1">
      <c r="A530" s="696" t="n">
        <v>43339</v>
      </c>
      <c r="B530" s="234" t="inlineStr">
        <is>
          <t>FIMTX</t>
        </is>
      </c>
      <c r="C530" s="229" t="inlineStr">
        <is>
          <t>小指09</t>
        </is>
      </c>
      <c r="D530" s="229" t="inlineStr">
        <is>
          <t>平倉</t>
        </is>
      </c>
      <c r="E530" s="257" t="inlineStr">
        <is>
          <t>買</t>
        </is>
      </c>
      <c r="F530" s="229" t="inlineStr">
        <is>
          <t>-</t>
        </is>
      </c>
      <c r="G530" s="697" t="n">
        <v>1</v>
      </c>
      <c r="H530" s="697" t="n">
        <v>10826</v>
      </c>
      <c r="I530" s="697" t="n">
        <v>0</v>
      </c>
      <c r="J530" s="585" t="n">
        <v>23</v>
      </c>
      <c r="K530" s="585" t="n">
        <v>11</v>
      </c>
      <c r="L530" s="585">
        <f>IF(B530="TXO",I530-SUM(J530:K530),IF(B530="FITX",IF(D530="新倉",-SUM(J530:K530),IF(E530="賣",(H530-H529)*G530*200-SUM(J530:K530),(H529-H530)*G530*200-SUM(J530:K530))),IF(D530="新倉",-SUM(J530:K530),IF(E530="賣",(H530-H529)*G530*50-SUM(J530:K530),(H529-H530)*G530*50-SUM(J530:K530)))))</f>
        <v/>
      </c>
      <c r="M530" s="699">
        <f>L530</f>
        <v/>
      </c>
      <c r="N530" s="686">
        <f>IF(B530="TXO","",IF(D530="新倉","",IF(E530="賣",(H530-H529)*G530,(H529-H530)*G530)))</f>
        <v/>
      </c>
      <c r="O530" s="226">
        <f>ABS(I530)</f>
        <v/>
      </c>
      <c r="P530" s="667" t="n"/>
      <c r="Q530" s="249" t="inlineStr">
        <is>
          <t>元大移動式停利出場</t>
        </is>
      </c>
      <c r="R530" s="249" t="inlineStr">
        <is>
          <t>Yes</t>
        </is>
      </c>
      <c r="S530" s="739" t="n"/>
      <c r="T530" s="61">
        <f>IF(AND(R530="Yes",S530&lt;&gt;"Yes",L530&gt;0,B530&lt;&gt;"TXO"),L530,"")</f>
        <v/>
      </c>
      <c r="U530" s="61">
        <f>IF(AND(R530="Yes",S530&lt;&gt;"Yes",L530&lt;0,B530&lt;&gt;"TXO"),L530,"")</f>
        <v/>
      </c>
      <c r="V530" s="61">
        <f>IF(AND(R530="",S530&lt;&gt;"Yes",L530&gt;0,B530&lt;&gt;"TXO"),L530,"")</f>
        <v/>
      </c>
      <c r="W530" s="61">
        <f>IF(AND(R530="",S530&lt;&gt;"Yes",L530&lt;0,B530&lt;&gt;"TXO"),L530,"")</f>
        <v/>
      </c>
      <c r="X530" s="226">
        <f>IF(AND(R530="Yes",S530="Yes",L530&gt;0,B530&lt;&gt;"TXO"),L530,"")</f>
        <v/>
      </c>
      <c r="Y530" s="226">
        <f>IF(AND(R530="Yes",S530="Yes",L530&lt;0,B530&lt;&gt;"TXO"),L530,"")</f>
        <v/>
      </c>
      <c r="Z530" s="226">
        <f>IF(AND(R530="",S530="Yes",L530&gt;0,B530&lt;&gt;"TXO"),L530,"")</f>
        <v/>
      </c>
      <c r="AA530" s="226">
        <f>IF(AND(R530="",S530="Yes",L530&lt;0,B530&lt;&gt;"TXO"),L530,"")</f>
        <v/>
      </c>
    </row>
    <row r="531" hidden="1" outlineLevel="1" ht="33.75" customHeight="1" thickBot="1">
      <c r="A531" s="740" t="n">
        <v>43340</v>
      </c>
      <c r="B531" s="299" t="inlineStr">
        <is>
          <t>FIMTX</t>
        </is>
      </c>
      <c r="C531" s="300" t="inlineStr">
        <is>
          <t>小指09</t>
        </is>
      </c>
      <c r="D531" s="300" t="inlineStr">
        <is>
          <t>新倉</t>
        </is>
      </c>
      <c r="E531" s="301" t="inlineStr">
        <is>
          <t>買</t>
        </is>
      </c>
      <c r="F531" s="300" t="inlineStr">
        <is>
          <t>-</t>
        </is>
      </c>
      <c r="G531" s="741" t="n">
        <v>1</v>
      </c>
      <c r="H531" s="741" t="n">
        <v>10963</v>
      </c>
      <c r="I531" s="741" t="n">
        <v>0</v>
      </c>
      <c r="J531" s="742" t="n">
        <v>23</v>
      </c>
      <c r="K531" s="742" t="n">
        <v>11</v>
      </c>
      <c r="L531" s="742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/>
      </c>
      <c r="M531" s="743">
        <f>L531</f>
        <v/>
      </c>
      <c r="N531" s="686">
        <f>IF(B531="TXO","",IF(D531="新倉","",IF(E531="賣",(H531-H376)*G531,(H376-H531)*G531)))</f>
        <v/>
      </c>
      <c r="O531" s="226">
        <f>ABS(I531)</f>
        <v/>
      </c>
      <c r="P531" s="667">
        <f>SUM(L531:L540)</f>
        <v/>
      </c>
      <c r="Q531" s="249" t="inlineStr">
        <is>
          <t>技法: 3/3 買進三口
結算前一日，死魚盤</t>
        </is>
      </c>
      <c r="R531" s="249" t="inlineStr">
        <is>
          <t>Yes</t>
        </is>
      </c>
      <c r="S531" s="739" t="n"/>
      <c r="T531" s="61">
        <f>IF(AND(R531="Yes",S531&lt;&gt;"Yes",L531&gt;0,B531&lt;&gt;"TXO"),L531,"")</f>
        <v/>
      </c>
      <c r="U531" s="61">
        <f>IF(AND(R531="Yes",S531&lt;&gt;"Yes",L531&lt;0,B531&lt;&gt;"TXO"),L531,"")</f>
        <v/>
      </c>
      <c r="V531" s="61">
        <f>IF(AND(R531="",S531&lt;&gt;"Yes",L531&gt;0,B531&lt;&gt;"TXO"),L531,"")</f>
        <v/>
      </c>
      <c r="W531" s="61">
        <f>IF(AND(R531="",S531&lt;&gt;"Yes",L531&lt;0,B531&lt;&gt;"TXO"),L531,"")</f>
        <v/>
      </c>
      <c r="X531" s="226">
        <f>IF(AND(R531="Yes",S531="Yes",L531&gt;0,B531&lt;&gt;"TXO"),L531,"")</f>
        <v/>
      </c>
      <c r="Y531" s="226">
        <f>IF(AND(R531="Yes",S531="Yes",L531&lt;0,B531&lt;&gt;"TXO"),L531,"")</f>
        <v/>
      </c>
      <c r="Z531" s="226">
        <f>IF(AND(R531="",S531="Yes",L531&gt;0,B531&lt;&gt;"TXO"),L531,"")</f>
        <v/>
      </c>
      <c r="AA531" s="226">
        <f>IF(AND(R531="",S531="Yes",L531&lt;0,B531&lt;&gt;"TXO"),L531,"")</f>
        <v/>
      </c>
    </row>
    <row r="532" hidden="1" outlineLevel="2" collapsed="1" ht="17.25" customHeight="1" thickBot="1">
      <c r="A532" s="740" t="n">
        <v>43340</v>
      </c>
      <c r="B532" s="299" t="inlineStr">
        <is>
          <t>FIMTX</t>
        </is>
      </c>
      <c r="C532" s="300" t="inlineStr">
        <is>
          <t>小指09</t>
        </is>
      </c>
      <c r="D532" s="300" t="inlineStr">
        <is>
          <t>平倉</t>
        </is>
      </c>
      <c r="E532" s="301" t="inlineStr">
        <is>
          <t>賣</t>
        </is>
      </c>
      <c r="F532" s="300" t="inlineStr">
        <is>
          <t>-</t>
        </is>
      </c>
      <c r="G532" s="741" t="n">
        <v>1</v>
      </c>
      <c r="H532" s="741" t="n">
        <v>10951</v>
      </c>
      <c r="I532" s="741" t="n">
        <v>0</v>
      </c>
      <c r="J532" s="742" t="n">
        <v>23</v>
      </c>
      <c r="K532" s="742" t="n">
        <v>11</v>
      </c>
      <c r="L532" s="742">
        <f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/>
      </c>
      <c r="M532" s="743">
        <f>L532</f>
        <v/>
      </c>
      <c r="N532" s="686">
        <f>IF(B532="TXO","",IF(D532="新倉","",IF(E532="賣",(H532-H531)*G532,(H531-H532)*G532)))</f>
        <v/>
      </c>
      <c r="O532" s="226">
        <f>ABS(I532)</f>
        <v/>
      </c>
      <c r="P532" s="667" t="n"/>
      <c r="Q532" s="249" t="inlineStr">
        <is>
          <t>技法: 碰10MA出場</t>
        </is>
      </c>
      <c r="R532" s="249" t="inlineStr">
        <is>
          <t>Yes</t>
        </is>
      </c>
      <c r="S532" s="739" t="n"/>
      <c r="T532" s="61">
        <f>IF(AND(R532="Yes",S532&lt;&gt;"Yes",L532&gt;0,B532&lt;&gt;"TXO"),L532,"")</f>
        <v/>
      </c>
      <c r="U532" s="61">
        <f>IF(AND(R532="Yes",S532&lt;&gt;"Yes",L532&lt;0,B532&lt;&gt;"TXO"),L532,"")</f>
        <v/>
      </c>
      <c r="V532" s="61">
        <f>IF(AND(R532="",S532&lt;&gt;"Yes",L532&gt;0,B532&lt;&gt;"TXO"),L532,"")</f>
        <v/>
      </c>
      <c r="W532" s="61">
        <f>IF(AND(R532="",S532&lt;&gt;"Yes",L532&lt;0,B532&lt;&gt;"TXO"),L532,"")</f>
        <v/>
      </c>
      <c r="X532" s="226">
        <f>IF(AND(R532="Yes",S532="Yes",L532&gt;0,B532&lt;&gt;"TXO"),L532,"")</f>
        <v/>
      </c>
      <c r="Y532" s="226">
        <f>IF(AND(R532="Yes",S532="Yes",L532&lt;0,B532&lt;&gt;"TXO"),L532,"")</f>
        <v/>
      </c>
      <c r="Z532" s="226">
        <f>IF(AND(R532="",S532="Yes",L532&gt;0,B532&lt;&gt;"TXO"),L532,"")</f>
        <v/>
      </c>
      <c r="AA532" s="226">
        <f>IF(AND(R532="",S532="Yes",L532&lt;0,B532&lt;&gt;"TXO"),L532,"")</f>
        <v/>
      </c>
    </row>
    <row r="533" hidden="1" outlineLevel="2" collapsed="1" ht="17.25" customHeight="1" thickBot="1">
      <c r="A533" s="740" t="n">
        <v>43340</v>
      </c>
      <c r="B533" s="299" t="inlineStr">
        <is>
          <t>FIMTX</t>
        </is>
      </c>
      <c r="C533" s="300" t="inlineStr">
        <is>
          <t>小指09</t>
        </is>
      </c>
      <c r="D533" s="300" t="inlineStr">
        <is>
          <t>新倉</t>
        </is>
      </c>
      <c r="E533" s="301" t="inlineStr">
        <is>
          <t>買</t>
        </is>
      </c>
      <c r="F533" s="300" t="inlineStr">
        <is>
          <t>-</t>
        </is>
      </c>
      <c r="G533" s="741" t="n">
        <v>1</v>
      </c>
      <c r="H533" s="741" t="n">
        <v>10963</v>
      </c>
      <c r="I533" s="741" t="n">
        <v>0</v>
      </c>
      <c r="J533" s="742" t="n">
        <v>23</v>
      </c>
      <c r="K533" s="742" t="n">
        <v>11</v>
      </c>
      <c r="L533" s="742">
        <f>IF(B533="TXO",I533-SUM(J533:K533),IF(B533="FITX",IF(D533="新倉",-SUM(J533:K533),IF(E533="賣",(H533-H532)*G533*200-SUM(J533:K533),(H532-H533)*G533*200-SUM(J533:K533))),IF(D533="新倉",-SUM(J533:K533),IF(E533="賣",(H533-H532)*G533*50-SUM(J533:K533),(H532-H533)*G533*50-SUM(J533:K533)))))</f>
        <v/>
      </c>
      <c r="M533" s="743">
        <f>L533</f>
        <v/>
      </c>
      <c r="N533" s="686">
        <f>IF(B533="TXO","",IF(D533="新倉","",IF(E533="賣",(H533-H532)*G533,(H532-H533)*G533)))</f>
        <v/>
      </c>
      <c r="O533" s="226">
        <f>ABS(I533)</f>
        <v/>
      </c>
      <c r="P533" s="667" t="n"/>
      <c r="R533" s="249" t="inlineStr">
        <is>
          <t>Yes</t>
        </is>
      </c>
      <c r="S533" s="739" t="n"/>
      <c r="T533" s="61">
        <f>IF(AND(R533="Yes",S533&lt;&gt;"Yes",L533&gt;0,B533&lt;&gt;"TXO"),L533,"")</f>
        <v/>
      </c>
      <c r="U533" s="61">
        <f>IF(AND(R533="Yes",S533&lt;&gt;"Yes",L533&lt;0,B533&lt;&gt;"TXO"),L533,"")</f>
        <v/>
      </c>
      <c r="V533" s="61">
        <f>IF(AND(R533="",S533&lt;&gt;"Yes",L533&gt;0,B533&lt;&gt;"TXO"),L533,"")</f>
        <v/>
      </c>
      <c r="W533" s="61">
        <f>IF(AND(R533="",S533&lt;&gt;"Yes",L533&lt;0,B533&lt;&gt;"TXO"),L533,"")</f>
        <v/>
      </c>
      <c r="X533" s="226">
        <f>IF(AND(R533="Yes",S533="Yes",L533&gt;0,B533&lt;&gt;"TXO"),L533,"")</f>
        <v/>
      </c>
      <c r="Y533" s="226">
        <f>IF(AND(R533="Yes",S533="Yes",L533&lt;0,B533&lt;&gt;"TXO"),L533,"")</f>
        <v/>
      </c>
      <c r="Z533" s="226">
        <f>IF(AND(R533="",S533="Yes",L533&gt;0,B533&lt;&gt;"TXO"),L533,"")</f>
        <v/>
      </c>
      <c r="AA533" s="226">
        <f>IF(AND(R533="",S533="Yes",L533&lt;0,B533&lt;&gt;"TXO"),L533,"")</f>
        <v/>
      </c>
    </row>
    <row r="534" hidden="1" outlineLevel="2" collapsed="1" ht="17.25" customHeight="1" thickBot="1">
      <c r="A534" s="740" t="n">
        <v>43340</v>
      </c>
      <c r="B534" s="299" t="inlineStr">
        <is>
          <t>FIMTX</t>
        </is>
      </c>
      <c r="C534" s="300" t="inlineStr">
        <is>
          <t>小指09</t>
        </is>
      </c>
      <c r="D534" s="300" t="inlineStr">
        <is>
          <t>平倉</t>
        </is>
      </c>
      <c r="E534" s="301" t="inlineStr">
        <is>
          <t>賣</t>
        </is>
      </c>
      <c r="F534" s="300" t="inlineStr">
        <is>
          <t>-</t>
        </is>
      </c>
      <c r="G534" s="741" t="n">
        <v>1</v>
      </c>
      <c r="H534" s="741" t="n">
        <v>10952</v>
      </c>
      <c r="I534" s="741" t="n">
        <v>0</v>
      </c>
      <c r="J534" s="742" t="n">
        <v>23</v>
      </c>
      <c r="K534" s="742" t="n">
        <v>11</v>
      </c>
      <c r="L534" s="742">
        <f>IF(B534="TXO",I534-SUM(J534:K534),IF(B534="FITX",IF(D534="新倉",-SUM(J534:K534),IF(E534="賣",(H534-H533)*G534*200-SUM(J534:K534),(H533-H534)*G534*200-SUM(J534:K534))),IF(D534="新倉",-SUM(J534:K534),IF(E534="賣",(H534-H533)*G534*50-SUM(J534:K534),(H533-H534)*G534*50-SUM(J534:K534)))))</f>
        <v/>
      </c>
      <c r="M534" s="743">
        <f>L534</f>
        <v/>
      </c>
      <c r="N534" s="686">
        <f>IF(B534="TXO","",IF(D534="新倉","",IF(E534="賣",(H534-H533)*G534,(H533-H534)*G534)))</f>
        <v/>
      </c>
      <c r="O534" s="226">
        <f>ABS(I534)</f>
        <v/>
      </c>
      <c r="P534" s="667" t="n"/>
      <c r="R534" s="249" t="inlineStr">
        <is>
          <t>Yes</t>
        </is>
      </c>
      <c r="S534" s="739" t="n"/>
      <c r="T534" s="61">
        <f>IF(AND(R534="Yes",S534&lt;&gt;"Yes",L534&gt;0,B534&lt;&gt;"TXO"),L534,"")</f>
        <v/>
      </c>
      <c r="U534" s="61">
        <f>IF(AND(R534="Yes",S534&lt;&gt;"Yes",L534&lt;0,B534&lt;&gt;"TXO"),L534,"")</f>
        <v/>
      </c>
      <c r="V534" s="61">
        <f>IF(AND(R534="",S534&lt;&gt;"Yes",L534&gt;0,B534&lt;&gt;"TXO"),L534,"")</f>
        <v/>
      </c>
      <c r="W534" s="61">
        <f>IF(AND(R534="",S534&lt;&gt;"Yes",L534&lt;0,B534&lt;&gt;"TXO"),L534,"")</f>
        <v/>
      </c>
      <c r="X534" s="226">
        <f>IF(AND(R534="Yes",S534="Yes",L534&gt;0,B534&lt;&gt;"TXO"),L534,"")</f>
        <v/>
      </c>
      <c r="Y534" s="226">
        <f>IF(AND(R534="Yes",S534="Yes",L534&lt;0,B534&lt;&gt;"TXO"),L534,"")</f>
        <v/>
      </c>
      <c r="Z534" s="226">
        <f>IF(AND(R534="",S534="Yes",L534&gt;0,B534&lt;&gt;"TXO"),L534,"")</f>
        <v/>
      </c>
      <c r="AA534" s="226">
        <f>IF(AND(R534="",S534="Yes",L534&lt;0,B534&lt;&gt;"TXO"),L534,"")</f>
        <v/>
      </c>
    </row>
    <row r="535" hidden="1" outlineLevel="2" collapsed="1" ht="17.25" customHeight="1" thickBot="1">
      <c r="A535" s="740" t="n">
        <v>43340</v>
      </c>
      <c r="B535" s="299" t="inlineStr">
        <is>
          <t>FIMTX</t>
        </is>
      </c>
      <c r="C535" s="300" t="inlineStr">
        <is>
          <t>小指09</t>
        </is>
      </c>
      <c r="D535" s="300" t="inlineStr">
        <is>
          <t>新倉</t>
        </is>
      </c>
      <c r="E535" s="301" t="inlineStr">
        <is>
          <t>買</t>
        </is>
      </c>
      <c r="F535" s="300" t="inlineStr">
        <is>
          <t>-</t>
        </is>
      </c>
      <c r="G535" s="741" t="n">
        <v>1</v>
      </c>
      <c r="H535" s="741" t="n">
        <v>10963</v>
      </c>
      <c r="I535" s="741" t="n">
        <v>0</v>
      </c>
      <c r="J535" s="742" t="n">
        <v>23</v>
      </c>
      <c r="K535" s="742" t="n">
        <v>11</v>
      </c>
      <c r="L535" s="742">
        <f>IF(B535="TXO",I535-SUM(J535:K535),IF(B535="FITX",IF(D535="新倉",-SUM(J535:K535),IF(E535="賣",(H535-H534)*G535*200-SUM(J535:K535),(H534-H535)*G535*200-SUM(J535:K535))),IF(D535="新倉",-SUM(J535:K535),IF(E535="賣",(H535-H534)*G535*50-SUM(J535:K535),(H534-H535)*G535*50-SUM(J535:K535)))))</f>
        <v/>
      </c>
      <c r="M535" s="743">
        <f>L535</f>
        <v/>
      </c>
      <c r="N535" s="686">
        <f>IF(B535="TXO","",IF(D535="新倉","",IF(E535="賣",(H535-H534)*G535,(H534-H535)*G535)))</f>
        <v/>
      </c>
      <c r="O535" s="226">
        <f>ABS(I535)</f>
        <v/>
      </c>
      <c r="P535" s="667" t="n"/>
      <c r="R535" s="249" t="inlineStr">
        <is>
          <t>Yes</t>
        </is>
      </c>
      <c r="S535" s="739" t="n"/>
      <c r="T535" s="61">
        <f>IF(AND(R535="Yes",S535&lt;&gt;"Yes",L535&gt;0,B535&lt;&gt;"TXO"),L535,"")</f>
        <v/>
      </c>
      <c r="U535" s="61">
        <f>IF(AND(R535="Yes",S535&lt;&gt;"Yes",L535&lt;0,B535&lt;&gt;"TXO"),L535,"")</f>
        <v/>
      </c>
      <c r="V535" s="61">
        <f>IF(AND(R535="",S535&lt;&gt;"Yes",L535&gt;0,B535&lt;&gt;"TXO"),L535,"")</f>
        <v/>
      </c>
      <c r="W535" s="61">
        <f>IF(AND(R535="",S535&lt;&gt;"Yes",L535&lt;0,B535&lt;&gt;"TXO"),L535,"")</f>
        <v/>
      </c>
      <c r="X535" s="226">
        <f>IF(AND(R535="Yes",S535="Yes",L535&gt;0,B535&lt;&gt;"TXO"),L535,"")</f>
        <v/>
      </c>
      <c r="Y535" s="226">
        <f>IF(AND(R535="Yes",S535="Yes",L535&lt;0,B535&lt;&gt;"TXO"),L535,"")</f>
        <v/>
      </c>
      <c r="Z535" s="226">
        <f>IF(AND(R535="",S535="Yes",L535&gt;0,B535&lt;&gt;"TXO"),L535,"")</f>
        <v/>
      </c>
      <c r="AA535" s="226">
        <f>IF(AND(R535="",S535="Yes",L535&lt;0,B535&lt;&gt;"TXO"),L535,"")</f>
        <v/>
      </c>
    </row>
    <row r="536" hidden="1" outlineLevel="2" collapsed="1" ht="17.25" customHeight="1" thickBot="1">
      <c r="A536" s="740" t="n">
        <v>43340</v>
      </c>
      <c r="B536" s="299" t="inlineStr">
        <is>
          <t>FIMTX</t>
        </is>
      </c>
      <c r="C536" s="300" t="inlineStr">
        <is>
          <t>小指09</t>
        </is>
      </c>
      <c r="D536" s="300" t="inlineStr">
        <is>
          <t>平倉</t>
        </is>
      </c>
      <c r="E536" s="301" t="inlineStr">
        <is>
          <t>賣</t>
        </is>
      </c>
      <c r="F536" s="300" t="inlineStr">
        <is>
          <t>-</t>
        </is>
      </c>
      <c r="G536" s="741" t="n">
        <v>1</v>
      </c>
      <c r="H536" s="741" t="n">
        <v>10951</v>
      </c>
      <c r="I536" s="741" t="n">
        <v>0</v>
      </c>
      <c r="J536" s="742" t="n">
        <v>23</v>
      </c>
      <c r="K536" s="742" t="n">
        <v>11</v>
      </c>
      <c r="L536" s="742">
        <f>IF(B536="TXO",I536-SUM(J536:K536),IF(B536="FITX",IF(D536="新倉",-SUM(J536:K536),IF(E536="賣",(H536-H535)*G536*200-SUM(J536:K536),(H535-H536)*G536*200-SUM(J536:K536))),IF(D536="新倉",-SUM(J536:K536),IF(E536="賣",(H536-H535)*G536*50-SUM(J536:K536),(H535-H536)*G536*50-SUM(J536:K536)))))</f>
        <v/>
      </c>
      <c r="M536" s="743">
        <f>L536</f>
        <v/>
      </c>
      <c r="N536" s="686">
        <f>IF(B536="TXO","",IF(D536="新倉","",IF(E536="賣",(H536-H535)*G536,(H535-H536)*G536)))</f>
        <v/>
      </c>
      <c r="O536" s="226">
        <f>ABS(I536)</f>
        <v/>
      </c>
      <c r="P536" s="667" t="n"/>
      <c r="R536" s="249" t="inlineStr">
        <is>
          <t>Yes</t>
        </is>
      </c>
      <c r="S536" s="739" t="n"/>
      <c r="T536" s="61">
        <f>IF(AND(R536="Yes",S536&lt;&gt;"Yes",L536&gt;0,B536&lt;&gt;"TXO"),L536,"")</f>
        <v/>
      </c>
      <c r="U536" s="61">
        <f>IF(AND(R536="Yes",S536&lt;&gt;"Yes",L536&lt;0,B536&lt;&gt;"TXO"),L536,"")</f>
        <v/>
      </c>
      <c r="V536" s="61">
        <f>IF(AND(R536="",S536&lt;&gt;"Yes",L536&gt;0,B536&lt;&gt;"TXO"),L536,"")</f>
        <v/>
      </c>
      <c r="W536" s="61">
        <f>IF(AND(R536="",S536&lt;&gt;"Yes",L536&lt;0,B536&lt;&gt;"TXO"),L536,"")</f>
        <v/>
      </c>
      <c r="X536" s="226">
        <f>IF(AND(R536="Yes",S536="Yes",L536&gt;0,B536&lt;&gt;"TXO"),L536,"")</f>
        <v/>
      </c>
      <c r="Y536" s="226">
        <f>IF(AND(R536="Yes",S536="Yes",L536&lt;0,B536&lt;&gt;"TXO"),L536,"")</f>
        <v/>
      </c>
      <c r="Z536" s="226">
        <f>IF(AND(R536="",S536="Yes",L536&gt;0,B536&lt;&gt;"TXO"),L536,"")</f>
        <v/>
      </c>
      <c r="AA536" s="226">
        <f>IF(AND(R536="",S536="Yes",L536&lt;0,B536&lt;&gt;"TXO"),L536,"")</f>
        <v/>
      </c>
    </row>
    <row r="537" hidden="1" outlineLevel="2" collapsed="1" ht="17.25" customHeight="1" thickBot="1">
      <c r="A537" s="740" t="n">
        <v>43340</v>
      </c>
      <c r="B537" s="299" t="inlineStr">
        <is>
          <t>FIMTX</t>
        </is>
      </c>
      <c r="C537" s="300" t="inlineStr">
        <is>
          <t>小指09</t>
        </is>
      </c>
      <c r="D537" s="300" t="inlineStr">
        <is>
          <t>新倉</t>
        </is>
      </c>
      <c r="E537" s="301" t="inlineStr">
        <is>
          <t>買</t>
        </is>
      </c>
      <c r="F537" s="300" t="inlineStr">
        <is>
          <t>-</t>
        </is>
      </c>
      <c r="G537" s="741" t="n">
        <v>1</v>
      </c>
      <c r="H537" s="741" t="n">
        <v>10976</v>
      </c>
      <c r="I537" s="741" t="n">
        <v>0</v>
      </c>
      <c r="J537" s="742" t="n">
        <v>23</v>
      </c>
      <c r="K537" s="742" t="n">
        <v>11</v>
      </c>
      <c r="L537" s="742">
        <f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/>
      </c>
      <c r="M537" s="743">
        <f>L537</f>
        <v/>
      </c>
      <c r="N537" s="686">
        <f>IF(B537="TXO","",IF(D537="新倉","",IF(E537="賣",(H537-H536)*G537,(H536-H537)*G537)))</f>
        <v/>
      </c>
      <c r="O537" s="226">
        <f>ABS(I537)</f>
        <v/>
      </c>
      <c r="P537" s="667" t="n"/>
      <c r="Q537" s="249" t="inlineStr">
        <is>
          <t>技法: 3/3 買進一口</t>
        </is>
      </c>
      <c r="R537" s="249" t="inlineStr">
        <is>
          <t>Yes</t>
        </is>
      </c>
      <c r="S537" s="739" t="n"/>
      <c r="T537" s="61">
        <f>IF(AND(R537="Yes",S537&lt;&gt;"Yes",L537&gt;0,B537&lt;&gt;"TXO"),L537,"")</f>
        <v/>
      </c>
      <c r="U537" s="61">
        <f>IF(AND(R537="Yes",S537&lt;&gt;"Yes",L537&lt;0,B537&lt;&gt;"TXO"),L537,"")</f>
        <v/>
      </c>
      <c r="V537" s="61">
        <f>IF(AND(R537="",S537&lt;&gt;"Yes",L537&gt;0,B537&lt;&gt;"TXO"),L537,"")</f>
        <v/>
      </c>
      <c r="W537" s="61">
        <f>IF(AND(R537="",S537&lt;&gt;"Yes",L537&lt;0,B537&lt;&gt;"TXO"),L537,"")</f>
        <v/>
      </c>
      <c r="X537" s="226">
        <f>IF(AND(R537="Yes",S537="Yes",L537&gt;0,B537&lt;&gt;"TXO"),L537,"")</f>
        <v/>
      </c>
      <c r="Y537" s="226">
        <f>IF(AND(R537="Yes",S537="Yes",L537&lt;0,B537&lt;&gt;"TXO"),L537,"")</f>
        <v/>
      </c>
      <c r="Z537" s="226">
        <f>IF(AND(R537="",S537="Yes",L537&gt;0,B537&lt;&gt;"TXO"),L537,"")</f>
        <v/>
      </c>
      <c r="AA537" s="226">
        <f>IF(AND(R537="",S537="Yes",L537&lt;0,B537&lt;&gt;"TXO"),L537,"")</f>
        <v/>
      </c>
    </row>
    <row r="538" hidden="1" outlineLevel="2" collapsed="1" ht="17.25" customHeight="1" thickBot="1">
      <c r="A538" s="740" t="n">
        <v>43340</v>
      </c>
      <c r="B538" s="299" t="inlineStr">
        <is>
          <t>FIMTX</t>
        </is>
      </c>
      <c r="C538" s="300" t="inlineStr">
        <is>
          <t>小指09</t>
        </is>
      </c>
      <c r="D538" s="300" t="inlineStr">
        <is>
          <t>平倉</t>
        </is>
      </c>
      <c r="E538" s="301" t="inlineStr">
        <is>
          <t>賣</t>
        </is>
      </c>
      <c r="F538" s="300" t="inlineStr">
        <is>
          <t>-</t>
        </is>
      </c>
      <c r="G538" s="741" t="n">
        <v>1</v>
      </c>
      <c r="H538" s="741" t="n">
        <v>10981</v>
      </c>
      <c r="I538" s="741" t="n">
        <v>0</v>
      </c>
      <c r="J538" s="742" t="n">
        <v>23</v>
      </c>
      <c r="K538" s="742" t="n">
        <v>11</v>
      </c>
      <c r="L538" s="742">
        <f>IF(B538="TXO",I538-SUM(J538:K538),IF(B538="FITX",IF(D538="新倉",-SUM(J538:K538),IF(E538="賣",(H538-H537)*G538*200-SUM(J538:K538),(H537-H538)*G538*200-SUM(J538:K538))),IF(D538="新倉",-SUM(J538:K538),IF(E538="賣",(H538-H537)*G538*50-SUM(J538:K538),(H537-H538)*G538*50-SUM(J538:K538)))))</f>
        <v/>
      </c>
      <c r="M538" s="743">
        <f>L538</f>
        <v/>
      </c>
      <c r="N538" s="686">
        <f>IF(B538="TXO","",IF(D538="新倉","",IF(E538="賣",(H538-H537)*G538,(H537-H538)*G538)))</f>
        <v/>
      </c>
      <c r="O538" s="226">
        <f>ABS(I538)</f>
        <v/>
      </c>
      <c r="P538" s="667" t="n"/>
      <c r="Q538" s="249" t="inlineStr">
        <is>
          <t>技法: 刺補</t>
        </is>
      </c>
      <c r="R538" s="249" t="inlineStr">
        <is>
          <t>Yes</t>
        </is>
      </c>
      <c r="S538" s="739" t="n"/>
      <c r="T538" s="61">
        <f>IF(AND(R538="Yes",S538&lt;&gt;"Yes",L538&gt;0,B538&lt;&gt;"TXO"),L538,"")</f>
        <v/>
      </c>
      <c r="U538" s="61">
        <f>IF(AND(R538="Yes",S538&lt;&gt;"Yes",L538&lt;0,B538&lt;&gt;"TXO"),L538,"")</f>
        <v/>
      </c>
      <c r="V538" s="61">
        <f>IF(AND(R538="",S538&lt;&gt;"Yes",L538&gt;0,B538&lt;&gt;"TXO"),L538,"")</f>
        <v/>
      </c>
      <c r="W538" s="61">
        <f>IF(AND(R538="",S538&lt;&gt;"Yes",L538&lt;0,B538&lt;&gt;"TXO"),L538,"")</f>
        <v/>
      </c>
      <c r="X538" s="226">
        <f>IF(AND(R538="Yes",S538="Yes",L538&gt;0,B538&lt;&gt;"TXO"),L538,"")</f>
        <v/>
      </c>
      <c r="Y538" s="226">
        <f>IF(AND(R538="Yes",S538="Yes",L538&lt;0,B538&lt;&gt;"TXO"),L538,"")</f>
        <v/>
      </c>
      <c r="Z538" s="226">
        <f>IF(AND(R538="",S538="Yes",L538&gt;0,B538&lt;&gt;"TXO"),L538,"")</f>
        <v/>
      </c>
      <c r="AA538" s="226">
        <f>IF(AND(R538="",S538="Yes",L538&lt;0,B538&lt;&gt;"TXO"),L538,"")</f>
        <v/>
      </c>
    </row>
    <row r="539" hidden="1" outlineLevel="2" collapsed="1" ht="17.25" customHeight="1" thickBot="1">
      <c r="A539" s="740" t="n">
        <v>43340</v>
      </c>
      <c r="B539" s="299" t="inlineStr">
        <is>
          <t>FIMTX</t>
        </is>
      </c>
      <c r="C539" s="300" t="inlineStr">
        <is>
          <t>小指09</t>
        </is>
      </c>
      <c r="D539" s="300" t="inlineStr">
        <is>
          <t>新倉</t>
        </is>
      </c>
      <c r="E539" s="301" t="inlineStr">
        <is>
          <t>買</t>
        </is>
      </c>
      <c r="F539" s="300" t="inlineStr">
        <is>
          <t>-</t>
        </is>
      </c>
      <c r="G539" s="741" t="n">
        <v>1</v>
      </c>
      <c r="H539" s="741" t="n">
        <v>10988</v>
      </c>
      <c r="I539" s="741" t="n">
        <v>0</v>
      </c>
      <c r="J539" s="742" t="n">
        <v>23</v>
      </c>
      <c r="K539" s="742" t="n">
        <v>11</v>
      </c>
      <c r="L539" s="742">
        <f>IF(B539="TXO",I539-SUM(J539:K539),IF(B539="FITX",IF(D539="新倉",-SUM(J539:K539),IF(E539="賣",(H539-H538)*G539*200-SUM(J539:K539),(H538-H539)*G539*200-SUM(J539:K539))),IF(D539="新倉",-SUM(J539:K539),IF(E539="賣",(H539-H538)*G539*50-SUM(J539:K539),(H538-H539)*G539*50-SUM(J539:K539)))))</f>
        <v/>
      </c>
      <c r="M539" s="743">
        <f>L539</f>
        <v/>
      </c>
      <c r="N539" s="686">
        <f>IF(B539="TXO","",IF(D539="新倉","",IF(E539="賣",(H539-H538)*G539,(H538-H539)*G539)))</f>
        <v/>
      </c>
      <c r="O539" s="226">
        <f>ABS(I539)</f>
        <v/>
      </c>
      <c r="P539" s="667" t="n"/>
      <c r="Q539" s="249" t="inlineStr">
        <is>
          <t>手養單</t>
        </is>
      </c>
      <c r="S539" s="739" t="n"/>
      <c r="T539" s="61">
        <f>IF(AND(R539="Yes",S539&lt;&gt;"Yes",L539&gt;0,B539&lt;&gt;"TXO"),L539,"")</f>
        <v/>
      </c>
      <c r="U539" s="61">
        <f>IF(AND(R539="Yes",S539&lt;&gt;"Yes",L539&lt;0,B539&lt;&gt;"TXO"),L539,"")</f>
        <v/>
      </c>
      <c r="V539" s="61">
        <f>IF(AND(R539="",S539&lt;&gt;"Yes",L539&gt;0,B539&lt;&gt;"TXO"),L539,"")</f>
        <v/>
      </c>
      <c r="W539" s="61">
        <f>IF(AND(R539="",S539&lt;&gt;"Yes",L539&lt;0,B539&lt;&gt;"TXO"),L539,"")</f>
        <v/>
      </c>
      <c r="X539" s="226">
        <f>IF(AND(R539="Yes",S539="Yes",L539&gt;0,B539&lt;&gt;"TXO"),L539,"")</f>
        <v/>
      </c>
      <c r="Y539" s="226">
        <f>IF(AND(R539="Yes",S539="Yes",L539&lt;0,B539&lt;&gt;"TXO"),L539,"")</f>
        <v/>
      </c>
      <c r="Z539" s="226">
        <f>IF(AND(R539="",S539="Yes",L539&gt;0,B539&lt;&gt;"TXO"),L539,"")</f>
        <v/>
      </c>
      <c r="AA539" s="226">
        <f>IF(AND(R539="",S539="Yes",L539&lt;0,B539&lt;&gt;"TXO"),L539,"")</f>
        <v/>
      </c>
    </row>
    <row r="540" hidden="1" outlineLevel="2" collapsed="1" ht="17.25" customHeight="1" thickBot="1">
      <c r="A540" s="740" t="n">
        <v>43340</v>
      </c>
      <c r="B540" s="299" t="inlineStr">
        <is>
          <t>FIMTX</t>
        </is>
      </c>
      <c r="C540" s="300" t="inlineStr">
        <is>
          <t>小指09</t>
        </is>
      </c>
      <c r="D540" s="300" t="inlineStr">
        <is>
          <t>平倉</t>
        </is>
      </c>
      <c r="E540" s="301" t="inlineStr">
        <is>
          <t>賣</t>
        </is>
      </c>
      <c r="F540" s="300" t="inlineStr">
        <is>
          <t>-</t>
        </is>
      </c>
      <c r="G540" s="741" t="n">
        <v>1</v>
      </c>
      <c r="H540" s="741" t="n">
        <v>10985</v>
      </c>
      <c r="I540" s="741" t="n">
        <v>0</v>
      </c>
      <c r="J540" s="742" t="n">
        <v>23</v>
      </c>
      <c r="K540" s="742" t="n">
        <v>11</v>
      </c>
      <c r="L540" s="742">
        <f>IF(B540="TXO",I540-SUM(J540:K540),IF(B540="FITX",IF(D540="新倉",-SUM(J540:K540),IF(E540="賣",(H540-H539)*G540*200-SUM(J540:K540),(H539-H540)*G540*200-SUM(J540:K540))),IF(D540="新倉",-SUM(J540:K540),IF(E540="賣",(H540-H539)*G540*50-SUM(J540:K540),(H539-H540)*G540*50-SUM(J540:K540)))))</f>
        <v/>
      </c>
      <c r="M540" s="743">
        <f>L540</f>
        <v/>
      </c>
      <c r="N540" s="686">
        <f>IF(B540="TXO","",IF(D540="新倉","",IF(E540="賣",(H540-H539)*G540,(H539-H540)*G540)))</f>
        <v/>
      </c>
      <c r="O540" s="226">
        <f>ABS(I540)</f>
        <v/>
      </c>
      <c r="P540" s="667" t="n"/>
      <c r="Q540" s="249" t="inlineStr">
        <is>
          <t>停損</t>
        </is>
      </c>
      <c r="S540" s="739" t="n"/>
      <c r="T540" s="61">
        <f>IF(AND(R540="Yes",S540&lt;&gt;"Yes",L540&gt;0,B540&lt;&gt;"TXO"),L540,"")</f>
        <v/>
      </c>
      <c r="U540" s="61">
        <f>IF(AND(R540="Yes",S540&lt;&gt;"Yes",L540&lt;0,B540&lt;&gt;"TXO"),L540,"")</f>
        <v/>
      </c>
      <c r="V540" s="61">
        <f>IF(AND(R540="",S540&lt;&gt;"Yes",L540&gt;0,B540&lt;&gt;"TXO"),L540,"")</f>
        <v/>
      </c>
      <c r="W540" s="61">
        <f>IF(AND(R540="",S540&lt;&gt;"Yes",L540&lt;0,B540&lt;&gt;"TXO"),L540,"")</f>
        <v/>
      </c>
      <c r="X540" s="226">
        <f>IF(AND(R540="Yes",S540="Yes",L540&gt;0,B540&lt;&gt;"TXO"),L540,"")</f>
        <v/>
      </c>
      <c r="Y540" s="226">
        <f>IF(AND(R540="Yes",S540="Yes",L540&lt;0,B540&lt;&gt;"TXO"),L540,"")</f>
        <v/>
      </c>
      <c r="Z540" s="226">
        <f>IF(AND(R540="",S540="Yes",L540&gt;0,B540&lt;&gt;"TXO"),L540,"")</f>
        <v/>
      </c>
      <c r="AA540" s="226">
        <f>IF(AND(R540="",S540="Yes",L540&lt;0,B540&lt;&gt;"TXO"),L540,"")</f>
        <v/>
      </c>
    </row>
    <row r="541" ht="17.25" customHeight="1" thickBot="1">
      <c r="A541" s="273" t="inlineStr">
        <is>
          <t>8月總計</t>
        </is>
      </c>
      <c r="B541" s="274" t="n"/>
      <c r="C541" s="274" t="n"/>
      <c r="D541" s="274" t="n"/>
      <c r="E541" s="274" t="n"/>
      <c r="F541" s="274" t="n"/>
      <c r="G541" s="715" t="n"/>
      <c r="H541" s="715" t="n"/>
      <c r="I541" s="715" t="n"/>
      <c r="J541" s="716" t="n"/>
      <c r="K541" s="715" t="n"/>
      <c r="L541" s="717">
        <f>SUM(L373:L540)</f>
        <v/>
      </c>
      <c r="M541" s="751">
        <f>SUM(M373:M540)</f>
        <v/>
      </c>
      <c r="N541" s="666" t="n"/>
      <c r="P541" s="744" t="n"/>
      <c r="R541" s="717">
        <f>SUMIF(R377:R540,"Yes",L377:L540)</f>
        <v/>
      </c>
      <c r="S541" s="739" t="n"/>
      <c r="T541" s="61">
        <f>IF(AND(R541="Yes",S541&lt;&gt;"Yes",L541&gt;0,B541&lt;&gt;"TXO"),L541,"")</f>
        <v/>
      </c>
      <c r="U541" s="61">
        <f>IF(AND(R541="Yes",S541&lt;&gt;"Yes",L541&lt;0,B541&lt;&gt;"TXO"),L541,"")</f>
        <v/>
      </c>
      <c r="V541" s="61">
        <f>IF(AND(R541="",S541&lt;&gt;"Yes",L541&gt;0,B541&lt;&gt;"TXO"),L541,"")</f>
        <v/>
      </c>
      <c r="W541" s="61">
        <f>IF(AND(R541="",S541&lt;&gt;"Yes",L541&lt;0,B541&lt;&gt;"TXO"),L541,"")</f>
        <v/>
      </c>
      <c r="X541" s="226">
        <f>IF(AND(R541="Yes",S541="Yes",L541&gt;0,B541&lt;&gt;"TXO"),L541,"")</f>
        <v/>
      </c>
      <c r="Y541" s="226">
        <f>IF(AND(R541="Yes",S541="Yes",L541&lt;0,B541&lt;&gt;"TXO"),L541,"")</f>
        <v/>
      </c>
      <c r="Z541" s="226">
        <f>IF(AND(R541="",S541="Yes",L541&gt;0,B541&lt;&gt;"TXO"),L541,"")</f>
        <v/>
      </c>
      <c r="AA541" s="226">
        <f>IF(AND(R541="",S541="Yes",L541&lt;0,B541&lt;&gt;"TXO"),L541,"")</f>
        <v/>
      </c>
    </row>
    <row r="542" ht="17.25" customHeight="1" thickBot="1">
      <c r="A542" s="718" t="n">
        <v>43349</v>
      </c>
      <c r="B542" s="292" t="n"/>
      <c r="C542" s="292" t="inlineStr">
        <is>
          <t>富邦個人信貸</t>
        </is>
      </c>
      <c r="D542" s="292" t="n"/>
      <c r="E542" s="292" t="n"/>
      <c r="F542" s="292" t="n"/>
      <c r="G542" s="719" t="n"/>
      <c r="H542" s="719" t="n"/>
      <c r="I542" s="719" t="n"/>
      <c r="J542" s="720" t="n"/>
      <c r="K542" s="719" t="n"/>
      <c r="L542" s="720" t="n"/>
      <c r="M542" s="721" t="n">
        <v>-1091</v>
      </c>
      <c r="N542" s="666" t="n"/>
      <c r="P542" s="722" t="n"/>
      <c r="Q542" s="249" t="inlineStr">
        <is>
          <t>利息</t>
        </is>
      </c>
      <c r="S542" s="739" t="n"/>
      <c r="T542" s="61">
        <f>IF(AND(R542="Yes",S542&lt;&gt;"Yes",L542&gt;0,B542&lt;&gt;"TXO"),L542,"")</f>
        <v/>
      </c>
      <c r="U542" s="61">
        <f>IF(AND(R542="Yes",S542&lt;&gt;"Yes",L542&lt;0,B542&lt;&gt;"TXO"),L542,"")</f>
        <v/>
      </c>
      <c r="V542" s="61">
        <f>IF(AND(R542="",S542&lt;&gt;"Yes",L542&gt;0,B542&lt;&gt;"TXO"),L542,"")</f>
        <v/>
      </c>
      <c r="W542" s="61">
        <f>IF(AND(R542="",S542&lt;&gt;"Yes",L542&lt;0,B542&lt;&gt;"TXO"),L542,"")</f>
        <v/>
      </c>
      <c r="X542" s="226">
        <f>IF(AND(R542="Yes",S542="Yes",L542&gt;0,B542&lt;&gt;"TXO"),L542,"")</f>
        <v/>
      </c>
      <c r="Y542" s="226">
        <f>IF(AND(R542="Yes",S542="Yes",L542&lt;0,B542&lt;&gt;"TXO"),L542,"")</f>
        <v/>
      </c>
      <c r="Z542" s="226">
        <f>IF(AND(R542="",S542="Yes",L542&gt;0,B542&lt;&gt;"TXO"),L542,"")</f>
        <v/>
      </c>
      <c r="AA542" s="226">
        <f>IF(AND(R542="",S542="Yes",L542&lt;0,B542&lt;&gt;"TXO"),L542,"")</f>
        <v/>
      </c>
    </row>
    <row r="543" ht="17.25" customHeight="1" thickBot="1">
      <c r="A543" s="718" t="n">
        <v>43357</v>
      </c>
      <c r="B543" s="292" t="n"/>
      <c r="C543" s="292" t="inlineStr">
        <is>
          <t>XQ 學院版</t>
        </is>
      </c>
      <c r="D543" s="292" t="n"/>
      <c r="E543" s="292" t="n"/>
      <c r="F543" s="292" t="n"/>
      <c r="G543" s="719" t="n"/>
      <c r="H543" s="719" t="n"/>
      <c r="I543" s="719" t="n"/>
      <c r="J543" s="720" t="n"/>
      <c r="K543" s="719" t="n"/>
      <c r="L543" s="720" t="n"/>
      <c r="M543" s="721">
        <f>-4457*0.965</f>
        <v/>
      </c>
      <c r="N543" s="666" t="n"/>
      <c r="P543" s="722" t="n"/>
      <c r="Q543" s="249" t="inlineStr">
        <is>
          <t>49888分12期, 每期4457</t>
        </is>
      </c>
      <c r="S543" s="739" t="n"/>
      <c r="T543" s="61" t="n"/>
      <c r="U543" s="61" t="n"/>
      <c r="V543" s="61" t="n"/>
      <c r="W543" s="61" t="n"/>
    </row>
    <row r="544" ht="17.25" customHeight="1" thickBot="1">
      <c r="A544" s="718" t="n">
        <v>43362</v>
      </c>
      <c r="B544" s="292" t="n"/>
      <c r="C544" s="292" t="inlineStr">
        <is>
          <t>阿水制霸班</t>
        </is>
      </c>
      <c r="D544" s="292" t="n"/>
      <c r="E544" s="292" t="n"/>
      <c r="F544" s="292" t="n"/>
      <c r="G544" s="719" t="n"/>
      <c r="H544" s="719" t="n"/>
      <c r="I544" s="719" t="n"/>
      <c r="J544" s="720" t="n"/>
      <c r="K544" s="719" t="n"/>
      <c r="L544" s="720" t="n"/>
      <c r="M544" s="721" t="n">
        <v>-4490</v>
      </c>
      <c r="N544" s="666" t="n"/>
      <c r="P544" s="722" t="n"/>
      <c r="Q544" s="249" t="inlineStr">
        <is>
          <t>53888分12期, 每期4490, 12-10</t>
        </is>
      </c>
      <c r="S544" s="739" t="n"/>
      <c r="T544" s="61">
        <f>IF(AND(R544="Yes",S544&lt;&gt;"Yes",L544&gt;0,B544&lt;&gt;"TXO"),L544,"")</f>
        <v/>
      </c>
      <c r="U544" s="61">
        <f>IF(AND(R544="Yes",S544&lt;&gt;"Yes",L544&lt;0,B544&lt;&gt;"TXO"),L544,"")</f>
        <v/>
      </c>
      <c r="V544" s="61">
        <f>IF(AND(R544="",S544&lt;&gt;"Yes",L544&gt;0,B544&lt;&gt;"TXO"),L544,"")</f>
        <v/>
      </c>
      <c r="W544" s="61">
        <f>IF(AND(R544="",S544&lt;&gt;"Yes",L544&lt;0,B544&lt;&gt;"TXO"),L544,"")</f>
        <v/>
      </c>
      <c r="X544" s="226">
        <f>IF(AND(R544="Yes",S544="Yes",L544&gt;0,B544&lt;&gt;"TXO"),L544,"")</f>
        <v/>
      </c>
      <c r="Y544" s="226">
        <f>IF(AND(R544="Yes",S544="Yes",L544&lt;0,B544&lt;&gt;"TXO"),L544,"")</f>
        <v/>
      </c>
      <c r="Z544" s="226">
        <f>IF(AND(R544="",S544="Yes",L544&gt;0,B544&lt;&gt;"TXO"),L544,"")</f>
        <v/>
      </c>
      <c r="AA544" s="226">
        <f>IF(AND(R544="",S544="Yes",L544&lt;0,B544&lt;&gt;"TXO"),L544,"")</f>
        <v/>
      </c>
    </row>
    <row r="545" collapsed="1" ht="17.25" customHeight="1" thickBot="1">
      <c r="A545" s="718" t="n">
        <v>43371</v>
      </c>
      <c r="B545" s="292" t="n"/>
      <c r="C545" s="292" t="inlineStr">
        <is>
          <t>阿水財經四班</t>
        </is>
      </c>
      <c r="D545" s="292" t="n"/>
      <c r="E545" s="292" t="n"/>
      <c r="F545" s="292" t="n"/>
      <c r="G545" s="719" t="n"/>
      <c r="H545" s="719" t="n"/>
      <c r="I545" s="719" t="n"/>
      <c r="J545" s="720" t="n"/>
      <c r="K545" s="719" t="n"/>
      <c r="L545" s="720" t="n"/>
      <c r="M545" s="721">
        <f>-5000*0.965</f>
        <v/>
      </c>
      <c r="N545" s="666" t="n"/>
      <c r="P545" s="722" t="n"/>
      <c r="Q545" s="249" t="inlineStr">
        <is>
          <t>60000分12期, 每期5000</t>
        </is>
      </c>
      <c r="S545" s="739" t="n"/>
      <c r="T545" s="61">
        <f>IF(AND(R545="Yes",S545&lt;&gt;"Yes",L545&gt;0,B545&lt;&gt;"TXO"),L545,"")</f>
        <v/>
      </c>
      <c r="U545" s="61">
        <f>IF(AND(R545="Yes",S545&lt;&gt;"Yes",L545&lt;0,B545&lt;&gt;"TXO"),L545,"")</f>
        <v/>
      </c>
      <c r="V545" s="61">
        <f>IF(AND(R545="",S545&lt;&gt;"Yes",L545&gt;0,B545&lt;&gt;"TXO"),L545,"")</f>
        <v/>
      </c>
      <c r="W545" s="61">
        <f>IF(AND(R545="",S545&lt;&gt;"Yes",L545&lt;0,B545&lt;&gt;"TXO"),L545,"")</f>
        <v/>
      </c>
      <c r="X545" s="226">
        <f>IF(AND(R545="Yes",S545="Yes",L545&gt;0,B545&lt;&gt;"TXO"),L545,"")</f>
        <v/>
      </c>
      <c r="Y545" s="226">
        <f>IF(AND(R545="Yes",S545="Yes",L545&lt;0,B545&lt;&gt;"TXO"),L545,"")</f>
        <v/>
      </c>
      <c r="Z545" s="226">
        <f>IF(AND(R545="",S545="Yes",L545&gt;0,B545&lt;&gt;"TXO"),L545,"")</f>
        <v/>
      </c>
      <c r="AA545" s="226">
        <f>IF(AND(R545="",S545="Yes",L545&lt;0,B545&lt;&gt;"TXO"),L545,"")</f>
        <v/>
      </c>
    </row>
    <row r="546" hidden="1" outlineLevel="1" collapsed="1" ht="17.25" customHeight="1" thickBot="1">
      <c r="A546" s="740" t="n">
        <v>43346</v>
      </c>
      <c r="B546" s="299" t="inlineStr">
        <is>
          <t>FIMTX</t>
        </is>
      </c>
      <c r="C546" s="300" t="inlineStr">
        <is>
          <t>小指09</t>
        </is>
      </c>
      <c r="D546" s="300" t="inlineStr">
        <is>
          <t>新倉</t>
        </is>
      </c>
      <c r="E546" s="301" t="inlineStr">
        <is>
          <t>買</t>
        </is>
      </c>
      <c r="F546" s="300" t="inlineStr">
        <is>
          <t>-</t>
        </is>
      </c>
      <c r="G546" s="741" t="n">
        <v>1</v>
      </c>
      <c r="H546" s="741" t="n">
        <v>10955</v>
      </c>
      <c r="I546" s="741" t="n">
        <v>0</v>
      </c>
      <c r="J546" s="742" t="n">
        <v>23</v>
      </c>
      <c r="K546" s="742" t="n">
        <v>11</v>
      </c>
      <c r="L546" s="742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/>
      </c>
      <c r="M546" s="743">
        <f>L546</f>
        <v/>
      </c>
      <c r="N546" s="686">
        <f>IF(B546="TXO","",IF(D546="新倉","",IF(E546="賣",(H546-#REF!)*G546,(#REF!-H546)*G546)))</f>
        <v/>
      </c>
      <c r="O546" s="226">
        <f>ABS(I546)</f>
        <v/>
      </c>
      <c r="P546" s="667">
        <f>SUM(L546:L547)</f>
        <v/>
      </c>
      <c r="Q546" s="249" t="inlineStr">
        <is>
          <t>技法: 3/3 買進一口</t>
        </is>
      </c>
      <c r="R546" s="249" t="inlineStr">
        <is>
          <t>Yes</t>
        </is>
      </c>
      <c r="S546" s="739" t="n"/>
      <c r="T546" s="61">
        <f>IF(AND(R546="Yes",S546&lt;&gt;"Yes",L546&gt;0,B546&lt;&gt;"TXO"),L546,"")</f>
        <v/>
      </c>
      <c r="U546" s="61">
        <f>IF(AND(R546="Yes",S546&lt;&gt;"Yes",L546&lt;0,B546&lt;&gt;"TXO"),L546,"")</f>
        <v/>
      </c>
      <c r="V546" s="61">
        <f>IF(AND(R546="",S546&lt;&gt;"Yes",L546&gt;0,B546&lt;&gt;"TXO"),L546,"")</f>
        <v/>
      </c>
      <c r="W546" s="61">
        <f>IF(AND(R546="",S546&lt;&gt;"Yes",L546&lt;0,B546&lt;&gt;"TXO"),L546,"")</f>
        <v/>
      </c>
      <c r="X546" s="226">
        <f>IF(AND(R546="Yes",S546="Yes",L546&gt;0,B546&lt;&gt;"TXO"),L546,"")</f>
        <v/>
      </c>
      <c r="Y546" s="226">
        <f>IF(AND(R546="Yes",S546="Yes",L546&lt;0,B546&lt;&gt;"TXO"),L546,"")</f>
        <v/>
      </c>
      <c r="Z546" s="226">
        <f>IF(AND(R546="",S546="Yes",L546&gt;0,B546&lt;&gt;"TXO"),L546,"")</f>
        <v/>
      </c>
      <c r="AA546" s="226">
        <f>IF(AND(R546="",S546="Yes",L546&lt;0,B546&lt;&gt;"TXO"),L546,"")</f>
        <v/>
      </c>
    </row>
    <row r="547" hidden="1" outlineLevel="1" collapsed="1" ht="17.25" customHeight="1" thickBot="1">
      <c r="A547" s="740" t="n">
        <v>43346</v>
      </c>
      <c r="B547" s="299" t="inlineStr">
        <is>
          <t>FIMTX</t>
        </is>
      </c>
      <c r="C547" s="300" t="inlineStr">
        <is>
          <t>小指09</t>
        </is>
      </c>
      <c r="D547" s="300" t="inlineStr">
        <is>
          <t>平倉</t>
        </is>
      </c>
      <c r="E547" s="301" t="inlineStr">
        <is>
          <t>賣</t>
        </is>
      </c>
      <c r="F547" s="300" t="inlineStr">
        <is>
          <t>-</t>
        </is>
      </c>
      <c r="G547" s="741" t="n">
        <v>1</v>
      </c>
      <c r="H547" s="741" t="n">
        <v>10953</v>
      </c>
      <c r="I547" s="741" t="n">
        <v>0</v>
      </c>
      <c r="J547" s="742" t="n">
        <v>23</v>
      </c>
      <c r="K547" s="742" t="n">
        <v>11</v>
      </c>
      <c r="L547" s="742">
        <f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/>
      </c>
      <c r="M547" s="743">
        <f>L547</f>
        <v/>
      </c>
      <c r="N547" s="686">
        <f>IF(B547="TXO","",IF(D547="新倉","",IF(E547="賣",(H547-H546)*G547,(H546-H547)*G547)))</f>
        <v/>
      </c>
      <c r="O547" s="226">
        <f>ABS(I547)</f>
        <v/>
      </c>
      <c r="P547" s="667" t="n"/>
      <c r="Q547" s="249" t="inlineStr">
        <is>
          <t>停損</t>
        </is>
      </c>
      <c r="R547" s="249" t="inlineStr">
        <is>
          <t>Yes</t>
        </is>
      </c>
      <c r="S547" s="739" t="n"/>
      <c r="T547" s="61">
        <f>IF(AND(R547="Yes",S547&lt;&gt;"Yes",L547&gt;0,B547&lt;&gt;"TXO"),L547,"")</f>
        <v/>
      </c>
      <c r="U547" s="61">
        <f>IF(AND(R547="Yes",S547&lt;&gt;"Yes",L547&lt;0,B547&lt;&gt;"TXO"),L547,"")</f>
        <v/>
      </c>
      <c r="V547" s="61">
        <f>IF(AND(R547="",S547&lt;&gt;"Yes",L547&gt;0,B547&lt;&gt;"TXO"),L547,"")</f>
        <v/>
      </c>
      <c r="W547" s="61">
        <f>IF(AND(R547="",S547&lt;&gt;"Yes",L547&lt;0,B547&lt;&gt;"TXO"),L547,"")</f>
        <v/>
      </c>
      <c r="X547" s="226">
        <f>IF(AND(R547="Yes",S547="Yes",L547&gt;0,B547&lt;&gt;"TXO"),L547,"")</f>
        <v/>
      </c>
      <c r="Y547" s="226">
        <f>IF(AND(R547="Yes",S547="Yes",L547&lt;0,B547&lt;&gt;"TXO"),L547,"")</f>
        <v/>
      </c>
      <c r="Z547" s="226">
        <f>IF(AND(R547="",S547="Yes",L547&gt;0,B547&lt;&gt;"TXO"),L547,"")</f>
        <v/>
      </c>
      <c r="AA547" s="226">
        <f>IF(AND(R547="",S547="Yes",L547&lt;0,B547&lt;&gt;"TXO"),L547,"")</f>
        <v/>
      </c>
    </row>
    <row r="548" hidden="1" outlineLevel="1" ht="17.25" customHeight="1" thickBot="1">
      <c r="A548" s="696" t="n">
        <v>43347</v>
      </c>
      <c r="B548" s="234" t="inlineStr">
        <is>
          <t>FIMTX</t>
        </is>
      </c>
      <c r="C548" s="229" t="inlineStr">
        <is>
          <t>小指09</t>
        </is>
      </c>
      <c r="D548" s="229" t="inlineStr">
        <is>
          <t>新倉</t>
        </is>
      </c>
      <c r="E548" s="257" t="inlineStr">
        <is>
          <t>買</t>
        </is>
      </c>
      <c r="F548" s="229" t="inlineStr">
        <is>
          <t>-</t>
        </is>
      </c>
      <c r="G548" s="697" t="n">
        <v>1</v>
      </c>
      <c r="H548" s="697" t="n">
        <v>10968</v>
      </c>
      <c r="I548" s="697" t="n">
        <v>0</v>
      </c>
      <c r="J548" s="585" t="n">
        <v>23</v>
      </c>
      <c r="K548" s="585" t="n">
        <v>11</v>
      </c>
      <c r="L548" s="585">
        <f>IF(B548="TXO",I548-SUM(J548:K548),IF(B548="FITX",IF(D548="新倉",-SUM(J548:K548),IF(E548="賣",(H548-H547)*G548*200-SUM(J548:K548),(H547-H548)*G548*200-SUM(J548:K548))),IF(D548="新倉",-SUM(J548:K548),IF(E548="賣",(H548-H547)*G548*50-SUM(J548:K548),(H547-H548)*G548*50-SUM(J548:K548)))))</f>
        <v/>
      </c>
      <c r="M548" s="699">
        <f>L548</f>
        <v/>
      </c>
      <c r="N548" s="686">
        <f>IF(B548="TXO","",IF(D548="新倉","",IF(E548="賣",(H548-H547)*G548,(H547-H548)*G548)))</f>
        <v/>
      </c>
      <c r="O548" s="226">
        <f>ABS(I548)</f>
        <v/>
      </c>
      <c r="P548" s="667">
        <f>SUM(L548:L553)</f>
        <v/>
      </c>
      <c r="Q548" s="249" t="inlineStr">
        <is>
          <t>技法: 3/3 買進三口</t>
        </is>
      </c>
      <c r="R548" s="249" t="inlineStr">
        <is>
          <t>Yes</t>
        </is>
      </c>
      <c r="S548" s="739" t="n"/>
      <c r="T548" s="61">
        <f>IF(AND(R548="Yes",S548&lt;&gt;"Yes",L548&gt;0,B548&lt;&gt;"TXO"),L548,"")</f>
        <v/>
      </c>
      <c r="U548" s="61">
        <f>IF(AND(R548="Yes",S548&lt;&gt;"Yes",L548&lt;0,B548&lt;&gt;"TXO"),L548,"")</f>
        <v/>
      </c>
      <c r="V548" s="61">
        <f>IF(AND(R548="",S548&lt;&gt;"Yes",L548&gt;0,B548&lt;&gt;"TXO"),L548,"")</f>
        <v/>
      </c>
      <c r="W548" s="61">
        <f>IF(AND(R548="",S548&lt;&gt;"Yes",L548&lt;0,B548&lt;&gt;"TXO"),L548,"")</f>
        <v/>
      </c>
      <c r="X548" s="226">
        <f>IF(AND(R548="Yes",S548="Yes",L548&gt;0,B548&lt;&gt;"TXO"),L548,"")</f>
        <v/>
      </c>
      <c r="Y548" s="226">
        <f>IF(AND(R548="Yes",S548="Yes",L548&lt;0,B548&lt;&gt;"TXO"),L548,"")</f>
        <v/>
      </c>
      <c r="Z548" s="226">
        <f>IF(AND(R548="",S548="Yes",L548&gt;0,B548&lt;&gt;"TXO"),L548,"")</f>
        <v/>
      </c>
      <c r="AA548" s="226">
        <f>IF(AND(R548="",S548="Yes",L548&lt;0,B548&lt;&gt;"TXO"),L548,"")</f>
        <v/>
      </c>
    </row>
    <row r="549" hidden="1" outlineLevel="2" ht="17.25" customHeight="1" thickBot="1">
      <c r="A549" s="696" t="n">
        <v>43347</v>
      </c>
      <c r="B549" s="234" t="inlineStr">
        <is>
          <t>FIMTX</t>
        </is>
      </c>
      <c r="C549" s="229" t="inlineStr">
        <is>
          <t>小指09</t>
        </is>
      </c>
      <c r="D549" s="229" t="inlineStr">
        <is>
          <t>平倉</t>
        </is>
      </c>
      <c r="E549" s="257" t="inlineStr">
        <is>
          <t>賣</t>
        </is>
      </c>
      <c r="F549" s="229" t="inlineStr">
        <is>
          <t>-</t>
        </is>
      </c>
      <c r="G549" s="697" t="n">
        <v>1</v>
      </c>
      <c r="H549" s="697" t="n">
        <v>10969</v>
      </c>
      <c r="I549" s="697" t="n">
        <v>0</v>
      </c>
      <c r="J549" s="585" t="n">
        <v>23</v>
      </c>
      <c r="K549" s="585" t="n">
        <v>11</v>
      </c>
      <c r="L549" s="585">
        <f>IF(B549="TXO",I549-SUM(J549:K549),IF(B549="FITX",IF(D549="新倉",-SUM(J549:K549),IF(E549="賣",(H549-H548)*G549*200-SUM(J549:K549),(H548-H549)*G549*200-SUM(J549:K549))),IF(D549="新倉",-SUM(J549:K549),IF(E549="賣",(H549-H548)*G549*50-SUM(J549:K549),(H548-H549)*G549*50-SUM(J549:K549)))))</f>
        <v/>
      </c>
      <c r="M549" s="699">
        <f>L549</f>
        <v/>
      </c>
      <c r="N549" s="686">
        <f>IF(B549="TXO","",IF(D549="新倉","",IF(E549="賣",(H549-H548)*G549,(H548-H549)*G549)))</f>
        <v/>
      </c>
      <c r="O549" s="226">
        <f>ABS(I549)</f>
        <v/>
      </c>
      <c r="P549" s="667" t="n"/>
      <c r="Q549" s="249" t="inlineStr">
        <is>
          <t>技法: 刺補</t>
        </is>
      </c>
      <c r="R549" s="249" t="inlineStr">
        <is>
          <t>Yes</t>
        </is>
      </c>
      <c r="S549" s="739" t="n"/>
      <c r="T549" s="61">
        <f>IF(AND(R549="Yes",S549&lt;&gt;"Yes",L549&gt;0,B549&lt;&gt;"TXO"),L549,"")</f>
        <v/>
      </c>
      <c r="U549" s="61">
        <f>IF(AND(R549="Yes",S549&lt;&gt;"Yes",L549&lt;0,B549&lt;&gt;"TXO"),L549,"")</f>
        <v/>
      </c>
      <c r="V549" s="61">
        <f>IF(AND(R549="",S549&lt;&gt;"Yes",L549&gt;0,B549&lt;&gt;"TXO"),L549,"")</f>
        <v/>
      </c>
      <c r="W549" s="61">
        <f>IF(AND(R549="",S549&lt;&gt;"Yes",L549&lt;0,B549&lt;&gt;"TXO"),L549,"")</f>
        <v/>
      </c>
      <c r="X549" s="226">
        <f>IF(AND(R549="Yes",S549="Yes",L549&gt;0,B549&lt;&gt;"TXO"),L549,"")</f>
        <v/>
      </c>
      <c r="Y549" s="226">
        <f>IF(AND(R549="Yes",S549="Yes",L549&lt;0,B549&lt;&gt;"TXO"),L549,"")</f>
        <v/>
      </c>
      <c r="Z549" s="226">
        <f>IF(AND(R549="",S549="Yes",L549&gt;0,B549&lt;&gt;"TXO"),L549,"")</f>
        <v/>
      </c>
      <c r="AA549" s="226">
        <f>IF(AND(R549="",S549="Yes",L549&lt;0,B549&lt;&gt;"TXO"),L549,"")</f>
        <v/>
      </c>
    </row>
    <row r="550" hidden="1" outlineLevel="2" ht="17.25" customHeight="1" thickBot="1">
      <c r="A550" s="696" t="n">
        <v>43347</v>
      </c>
      <c r="B550" s="234" t="inlineStr">
        <is>
          <t>FIMTX</t>
        </is>
      </c>
      <c r="C550" s="229" t="inlineStr">
        <is>
          <t>小指09</t>
        </is>
      </c>
      <c r="D550" s="229" t="inlineStr">
        <is>
          <t>新倉</t>
        </is>
      </c>
      <c r="E550" s="257" t="inlineStr">
        <is>
          <t>買</t>
        </is>
      </c>
      <c r="F550" s="229" t="inlineStr">
        <is>
          <t>-</t>
        </is>
      </c>
      <c r="G550" s="697" t="n">
        <v>1</v>
      </c>
      <c r="H550" s="697" t="n">
        <v>10968</v>
      </c>
      <c r="I550" s="697" t="n">
        <v>0</v>
      </c>
      <c r="J550" s="585" t="n">
        <v>23</v>
      </c>
      <c r="K550" s="585" t="n">
        <v>11</v>
      </c>
      <c r="L550" s="585">
        <f>IF(B550="TXO",I550-SUM(J550:K550),IF(B550="FITX",IF(D550="新倉",-SUM(J550:K550),IF(E550="賣",(H550-H549)*G550*200-SUM(J550:K550),(H549-H550)*G550*200-SUM(J550:K550))),IF(D550="新倉",-SUM(J550:K550),IF(E550="賣",(H550-H549)*G550*50-SUM(J550:K550),(H549-H550)*G550*50-SUM(J550:K550)))))</f>
        <v/>
      </c>
      <c r="M550" s="699">
        <f>L550</f>
        <v/>
      </c>
      <c r="N550" s="686">
        <f>IF(B550="TXO","",IF(D550="新倉","",IF(E550="賣",(H550-H549)*G550,(H549-H550)*G550)))</f>
        <v/>
      </c>
      <c r="O550" s="226">
        <f>ABS(I550)</f>
        <v/>
      </c>
      <c r="P550" s="667" t="n"/>
      <c r="R550" s="249" t="inlineStr">
        <is>
          <t>Yes</t>
        </is>
      </c>
      <c r="S550" s="739" t="n"/>
      <c r="T550" s="61">
        <f>IF(AND(R550="Yes",S550&lt;&gt;"Yes",L550&gt;0,B550&lt;&gt;"TXO"),L550,"")</f>
        <v/>
      </c>
      <c r="U550" s="61">
        <f>IF(AND(R550="Yes",S550&lt;&gt;"Yes",L550&lt;0,B550&lt;&gt;"TXO"),L550,"")</f>
        <v/>
      </c>
      <c r="V550" s="61">
        <f>IF(AND(R550="",S550&lt;&gt;"Yes",L550&gt;0,B550&lt;&gt;"TXO"),L550,"")</f>
        <v/>
      </c>
      <c r="W550" s="61">
        <f>IF(AND(R550="",S550&lt;&gt;"Yes",L550&lt;0,B550&lt;&gt;"TXO"),L550,"")</f>
        <v/>
      </c>
      <c r="X550" s="226">
        <f>IF(AND(R550="Yes",S550="Yes",L550&gt;0,B550&lt;&gt;"TXO"),L550,"")</f>
        <v/>
      </c>
      <c r="Y550" s="226">
        <f>IF(AND(R550="Yes",S550="Yes",L550&lt;0,B550&lt;&gt;"TXO"),L550,"")</f>
        <v/>
      </c>
      <c r="Z550" s="226">
        <f>IF(AND(R550="",S550="Yes",L550&gt;0,B550&lt;&gt;"TXO"),L550,"")</f>
        <v/>
      </c>
      <c r="AA550" s="226">
        <f>IF(AND(R550="",S550="Yes",L550&lt;0,B550&lt;&gt;"TXO"),L550,"")</f>
        <v/>
      </c>
    </row>
    <row r="551" hidden="1" outlineLevel="2" ht="17.25" customHeight="1" thickBot="1">
      <c r="A551" s="696" t="n">
        <v>43347</v>
      </c>
      <c r="B551" s="234" t="inlineStr">
        <is>
          <t>FIMTX</t>
        </is>
      </c>
      <c r="C551" s="229" t="inlineStr">
        <is>
          <t>小指09</t>
        </is>
      </c>
      <c r="D551" s="229" t="inlineStr">
        <is>
          <t>平倉</t>
        </is>
      </c>
      <c r="E551" s="257" t="inlineStr">
        <is>
          <t>賣</t>
        </is>
      </c>
      <c r="F551" s="229" t="inlineStr">
        <is>
          <t>-</t>
        </is>
      </c>
      <c r="G551" s="697" t="n">
        <v>1</v>
      </c>
      <c r="H551" s="697" t="n">
        <v>10973</v>
      </c>
      <c r="I551" s="697" t="n">
        <v>0</v>
      </c>
      <c r="J551" s="585" t="n">
        <v>23</v>
      </c>
      <c r="K551" s="585" t="n">
        <v>11</v>
      </c>
      <c r="L551" s="585">
        <f>IF(B551="TXO",I551-SUM(J551:K551),IF(B551="FITX",IF(D551="新倉",-SUM(J551:K551),IF(E551="賣",(H551-H550)*G551*200-SUM(J551:K551),(H550-H551)*G551*200-SUM(J551:K551))),IF(D551="新倉",-SUM(J551:K551),IF(E551="賣",(H551-H550)*G551*50-SUM(J551:K551),(H550-H551)*G551*50-SUM(J551:K551)))))</f>
        <v/>
      </c>
      <c r="M551" s="699">
        <f>L551</f>
        <v/>
      </c>
      <c r="N551" s="686">
        <f>IF(B551="TXO","",IF(D551="新倉","",IF(E551="賣",(H551-H550)*G551,(H550-H551)*G551)))</f>
        <v/>
      </c>
      <c r="O551" s="226">
        <f>ABS(I551)</f>
        <v/>
      </c>
      <c r="P551" s="667" t="n"/>
      <c r="Q551" s="249" t="inlineStr">
        <is>
          <t>技法: 刺補</t>
        </is>
      </c>
      <c r="R551" s="249" t="inlineStr">
        <is>
          <t>Yes</t>
        </is>
      </c>
      <c r="S551" s="739" t="n"/>
      <c r="T551" s="61">
        <f>IF(AND(R551="Yes",S551&lt;&gt;"Yes",L551&gt;0,B551&lt;&gt;"TXO"),L551,"")</f>
        <v/>
      </c>
      <c r="U551" s="61">
        <f>IF(AND(R551="Yes",S551&lt;&gt;"Yes",L551&lt;0,B551&lt;&gt;"TXO"),L551,"")</f>
        <v/>
      </c>
      <c r="V551" s="61">
        <f>IF(AND(R551="",S551&lt;&gt;"Yes",L551&gt;0,B551&lt;&gt;"TXO"),L551,"")</f>
        <v/>
      </c>
      <c r="W551" s="61">
        <f>IF(AND(R551="",S551&lt;&gt;"Yes",L551&lt;0,B551&lt;&gt;"TXO"),L551,"")</f>
        <v/>
      </c>
      <c r="X551" s="226">
        <f>IF(AND(R551="Yes",S551="Yes",L551&gt;0,B551&lt;&gt;"TXO"),L551,"")</f>
        <v/>
      </c>
      <c r="Y551" s="226">
        <f>IF(AND(R551="Yes",S551="Yes",L551&lt;0,B551&lt;&gt;"TXO"),L551,"")</f>
        <v/>
      </c>
      <c r="Z551" s="226">
        <f>IF(AND(R551="",S551="Yes",L551&gt;0,B551&lt;&gt;"TXO"),L551,"")</f>
        <v/>
      </c>
      <c r="AA551" s="226">
        <f>IF(AND(R551="",S551="Yes",L551&lt;0,B551&lt;&gt;"TXO"),L551,"")</f>
        <v/>
      </c>
    </row>
    <row r="552" hidden="1" outlineLevel="2" ht="17.25" customHeight="1" thickBot="1">
      <c r="A552" s="696" t="n">
        <v>43347</v>
      </c>
      <c r="B552" s="234" t="inlineStr">
        <is>
          <t>FIMTX</t>
        </is>
      </c>
      <c r="C552" s="229" t="inlineStr">
        <is>
          <t>小指09</t>
        </is>
      </c>
      <c r="D552" s="229" t="inlineStr">
        <is>
          <t>新倉</t>
        </is>
      </c>
      <c r="E552" s="257" t="inlineStr">
        <is>
          <t>買</t>
        </is>
      </c>
      <c r="F552" s="229" t="inlineStr">
        <is>
          <t>-</t>
        </is>
      </c>
      <c r="G552" s="697" t="n">
        <v>1</v>
      </c>
      <c r="H552" s="697" t="n">
        <v>10968</v>
      </c>
      <c r="I552" s="697" t="n">
        <v>0</v>
      </c>
      <c r="J552" s="585" t="n">
        <v>23</v>
      </c>
      <c r="K552" s="585" t="n">
        <v>11</v>
      </c>
      <c r="L552" s="585">
        <f>IF(B552="TXO",I552-SUM(J552:K552),IF(B552="FITX",IF(D552="新倉",-SUM(J552:K552),IF(E552="賣",(H552-H551)*G552*200-SUM(J552:K552),(H551-H552)*G552*200-SUM(J552:K552))),IF(D552="新倉",-SUM(J552:K552),IF(E552="賣",(H552-H551)*G552*50-SUM(J552:K552),(H551-H552)*G552*50-SUM(J552:K552)))))</f>
        <v/>
      </c>
      <c r="M552" s="699">
        <f>L552</f>
        <v/>
      </c>
      <c r="N552" s="686">
        <f>IF(B552="TXO","",IF(D552="新倉","",IF(E552="賣",(H552-H551)*G552,(H551-H552)*G552)))</f>
        <v/>
      </c>
      <c r="O552" s="226">
        <f>ABS(I552)</f>
        <v/>
      </c>
      <c r="P552" s="667" t="n"/>
      <c r="R552" s="249" t="inlineStr">
        <is>
          <t>Yes</t>
        </is>
      </c>
      <c r="S552" s="739" t="n"/>
      <c r="T552" s="61">
        <f>IF(AND(R552="Yes",S552&lt;&gt;"Yes",L552&gt;0,B552&lt;&gt;"TXO"),L552,"")</f>
        <v/>
      </c>
      <c r="U552" s="61">
        <f>IF(AND(R552="Yes",S552&lt;&gt;"Yes",L552&lt;0,B552&lt;&gt;"TXO"),L552,"")</f>
        <v/>
      </c>
      <c r="V552" s="61">
        <f>IF(AND(R552="",S552&lt;&gt;"Yes",L552&gt;0,B552&lt;&gt;"TXO"),L552,"")</f>
        <v/>
      </c>
      <c r="W552" s="61">
        <f>IF(AND(R552="",S552&lt;&gt;"Yes",L552&lt;0,B552&lt;&gt;"TXO"),L552,"")</f>
        <v/>
      </c>
      <c r="X552" s="226">
        <f>IF(AND(R552="Yes",S552="Yes",L552&gt;0,B552&lt;&gt;"TXO"),L552,"")</f>
        <v/>
      </c>
      <c r="Y552" s="226">
        <f>IF(AND(R552="Yes",S552="Yes",L552&lt;0,B552&lt;&gt;"TXO"),L552,"")</f>
        <v/>
      </c>
      <c r="Z552" s="226">
        <f>IF(AND(R552="",S552="Yes",L552&gt;0,B552&lt;&gt;"TXO"),L552,"")</f>
        <v/>
      </c>
      <c r="AA552" s="226">
        <f>IF(AND(R552="",S552="Yes",L552&lt;0,B552&lt;&gt;"TXO"),L552,"")</f>
        <v/>
      </c>
    </row>
    <row r="553" hidden="1" outlineLevel="2" ht="17.25" customHeight="1" thickBot="1">
      <c r="A553" s="696" t="n">
        <v>43347</v>
      </c>
      <c r="B553" s="234" t="inlineStr">
        <is>
          <t>FIMTX</t>
        </is>
      </c>
      <c r="C553" s="229" t="inlineStr">
        <is>
          <t>小指09</t>
        </is>
      </c>
      <c r="D553" s="229" t="inlineStr">
        <is>
          <t>平倉</t>
        </is>
      </c>
      <c r="E553" s="257" t="inlineStr">
        <is>
          <t>賣</t>
        </is>
      </c>
      <c r="F553" s="229" t="inlineStr">
        <is>
          <t>-</t>
        </is>
      </c>
      <c r="G553" s="697" t="n">
        <v>1</v>
      </c>
      <c r="H553" s="697" t="n">
        <v>10974</v>
      </c>
      <c r="I553" s="697" t="n">
        <v>0</v>
      </c>
      <c r="J553" s="585" t="n">
        <v>23</v>
      </c>
      <c r="K553" s="585" t="n">
        <v>11</v>
      </c>
      <c r="L553" s="585">
        <f>IF(B553="TXO",I553-SUM(J553:K553),IF(B553="FITX",IF(D553="新倉",-SUM(J553:K553),IF(E553="賣",(H553-H552)*G553*200-SUM(J553:K553),(H552-H553)*G553*200-SUM(J553:K553))),IF(D553="新倉",-SUM(J553:K553),IF(E553="賣",(H553-H552)*G553*50-SUM(J553:K553),(H552-H553)*G553*50-SUM(J553:K553)))))</f>
        <v/>
      </c>
      <c r="M553" s="699">
        <f>L553</f>
        <v/>
      </c>
      <c r="N553" s="686">
        <f>IF(B553="TXO","",IF(D553="新倉","",IF(E553="賣",(H553-H552)*G553,(H552-H553)*G553)))</f>
        <v/>
      </c>
      <c r="O553" s="226">
        <f>ABS(I553)</f>
        <v/>
      </c>
      <c r="P553" s="667" t="n"/>
      <c r="Q553" s="249" t="inlineStr">
        <is>
          <t>元大移動式停利出場</t>
        </is>
      </c>
      <c r="R553" s="249" t="inlineStr">
        <is>
          <t>Yes</t>
        </is>
      </c>
      <c r="S553" s="739" t="n"/>
      <c r="T553" s="61">
        <f>IF(AND(R553="Yes",S553&lt;&gt;"Yes",L553&gt;0,B553&lt;&gt;"TXO"),L553,"")</f>
        <v/>
      </c>
      <c r="U553" s="61">
        <f>IF(AND(R553="Yes",S553&lt;&gt;"Yes",L553&lt;0,B553&lt;&gt;"TXO"),L553,"")</f>
        <v/>
      </c>
      <c r="V553" s="61">
        <f>IF(AND(R553="",S553&lt;&gt;"Yes",L553&gt;0,B553&lt;&gt;"TXO"),L553,"")</f>
        <v/>
      </c>
      <c r="W553" s="61">
        <f>IF(AND(R553="",S553&lt;&gt;"Yes",L553&lt;0,B553&lt;&gt;"TXO"),L553,"")</f>
        <v/>
      </c>
      <c r="X553" s="226">
        <f>IF(AND(R553="Yes",S553="Yes",L553&gt;0,B553&lt;&gt;"TXO"),L553,"")</f>
        <v/>
      </c>
      <c r="Y553" s="226">
        <f>IF(AND(R553="Yes",S553="Yes",L553&lt;0,B553&lt;&gt;"TXO"),L553,"")</f>
        <v/>
      </c>
      <c r="Z553" s="226">
        <f>IF(AND(R553="",S553="Yes",L553&gt;0,B553&lt;&gt;"TXO"),L553,"")</f>
        <v/>
      </c>
      <c r="AA553" s="226">
        <f>IF(AND(R553="",S553="Yes",L553&lt;0,B553&lt;&gt;"TXO"),L553,"")</f>
        <v/>
      </c>
    </row>
    <row r="554" hidden="1" outlineLevel="1" ht="17.25" customHeight="1" thickBot="1">
      <c r="A554" s="740" t="n">
        <v>43348</v>
      </c>
      <c r="B554" s="299" t="inlineStr">
        <is>
          <t>FIMTX</t>
        </is>
      </c>
      <c r="C554" s="300" t="inlineStr">
        <is>
          <t>小指09</t>
        </is>
      </c>
      <c r="D554" s="300" t="inlineStr">
        <is>
          <t>新倉</t>
        </is>
      </c>
      <c r="E554" s="301" t="inlineStr">
        <is>
          <t>買</t>
        </is>
      </c>
      <c r="F554" s="300" t="inlineStr">
        <is>
          <t>-</t>
        </is>
      </c>
      <c r="G554" s="741" t="n">
        <v>1</v>
      </c>
      <c r="H554" s="741" t="n">
        <v>10990</v>
      </c>
      <c r="I554" s="741" t="n">
        <v>0</v>
      </c>
      <c r="J554" s="742" t="n">
        <v>23</v>
      </c>
      <c r="K554" s="742" t="n">
        <v>11</v>
      </c>
      <c r="L554" s="742">
        <f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/>
      </c>
      <c r="M554" s="743">
        <f>L554</f>
        <v/>
      </c>
      <c r="N554" s="686">
        <f>IF(B554="TXO","",IF(D554="新倉","",IF(E554="賣",(H554-H553)*G554,(H553-H554)*G554)))</f>
        <v/>
      </c>
      <c r="O554" s="226">
        <f>ABS(I554)</f>
        <v/>
      </c>
      <c r="P554" s="667">
        <f>SUM(L554:L569)</f>
        <v/>
      </c>
      <c r="Q554" s="249" t="inlineStr">
        <is>
          <t>離10MA超過10點</t>
        </is>
      </c>
      <c r="S554" s="739" t="n"/>
      <c r="T554" s="61">
        <f>IF(AND(R554="Yes",S554&lt;&gt;"Yes",L554&gt;0,B554&lt;&gt;"TXO"),L554,"")</f>
        <v/>
      </c>
      <c r="U554" s="61">
        <f>IF(AND(R554="Yes",S554&lt;&gt;"Yes",L554&lt;0,B554&lt;&gt;"TXO"),L554,"")</f>
        <v/>
      </c>
      <c r="V554" s="61">
        <f>IF(AND(R554="",S554&lt;&gt;"Yes",L554&gt;0,B554&lt;&gt;"TXO"),L554,"")</f>
        <v/>
      </c>
      <c r="W554" s="61">
        <f>IF(AND(R554="",S554&lt;&gt;"Yes",L554&lt;0,B554&lt;&gt;"TXO"),L554,"")</f>
        <v/>
      </c>
      <c r="X554" s="226">
        <f>IF(AND(R554="Yes",S554="Yes",L554&gt;0,B554&lt;&gt;"TXO"),L554,"")</f>
        <v/>
      </c>
      <c r="Y554" s="226">
        <f>IF(AND(R554="Yes",S554="Yes",L554&lt;0,B554&lt;&gt;"TXO"),L554,"")</f>
        <v/>
      </c>
      <c r="Z554" s="226">
        <f>IF(AND(R554="",S554="Yes",L554&gt;0,B554&lt;&gt;"TXO"),L554,"")</f>
        <v/>
      </c>
      <c r="AA554" s="226">
        <f>IF(AND(R554="",S554="Yes",L554&lt;0,B554&lt;&gt;"TXO"),L554,"")</f>
        <v/>
      </c>
    </row>
    <row r="555" hidden="1" outlineLevel="2" collapsed="1" ht="17.25" customHeight="1" thickBot="1">
      <c r="A555" s="740" t="n">
        <v>43348</v>
      </c>
      <c r="B555" s="299" t="inlineStr">
        <is>
          <t>FIMTX</t>
        </is>
      </c>
      <c r="C555" s="300" t="inlineStr">
        <is>
          <t>小指09</t>
        </is>
      </c>
      <c r="D555" s="300" t="inlineStr">
        <is>
          <t>平倉</t>
        </is>
      </c>
      <c r="E555" s="301" t="inlineStr">
        <is>
          <t>賣</t>
        </is>
      </c>
      <c r="F555" s="300" t="inlineStr">
        <is>
          <t>-</t>
        </is>
      </c>
      <c r="G555" s="741" t="n">
        <v>1</v>
      </c>
      <c r="H555" s="741" t="n">
        <v>10981</v>
      </c>
      <c r="I555" s="741" t="n">
        <v>0</v>
      </c>
      <c r="J555" s="742" t="n">
        <v>23</v>
      </c>
      <c r="K555" s="742" t="n">
        <v>11</v>
      </c>
      <c r="L555" s="742">
        <f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/>
      </c>
      <c r="M555" s="743">
        <f>L555</f>
        <v/>
      </c>
      <c r="N555" s="686">
        <f>IF(B555="TXO","",IF(D555="新倉","",IF(E555="賣",(H555-H554)*G555,(H554-H555)*G555)))</f>
        <v/>
      </c>
      <c r="O555" s="226">
        <f>ABS(I555)</f>
        <v/>
      </c>
      <c r="P555" s="667" t="n"/>
      <c r="Q555" s="249" t="inlineStr">
        <is>
          <t>停損</t>
        </is>
      </c>
      <c r="S555" s="739" t="n"/>
      <c r="T555" s="61">
        <f>IF(AND(R555="Yes",S555&lt;&gt;"Yes",L555&gt;0,B555&lt;&gt;"TXO"),L555,"")</f>
        <v/>
      </c>
      <c r="U555" s="61">
        <f>IF(AND(R555="Yes",S555&lt;&gt;"Yes",L555&lt;0,B555&lt;&gt;"TXO"),L555,"")</f>
        <v/>
      </c>
      <c r="V555" s="61">
        <f>IF(AND(R555="",S555&lt;&gt;"Yes",L555&gt;0,B555&lt;&gt;"TXO"),L555,"")</f>
        <v/>
      </c>
      <c r="W555" s="61">
        <f>IF(AND(R555="",S555&lt;&gt;"Yes",L555&lt;0,B555&lt;&gt;"TXO"),L555,"")</f>
        <v/>
      </c>
      <c r="X555" s="226">
        <f>IF(AND(R555="Yes",S555="Yes",L555&gt;0,B555&lt;&gt;"TXO"),L555,"")</f>
        <v/>
      </c>
      <c r="Y555" s="226">
        <f>IF(AND(R555="Yes",S555="Yes",L555&lt;0,B555&lt;&gt;"TXO"),L555,"")</f>
        <v/>
      </c>
      <c r="Z555" s="226">
        <f>IF(AND(R555="",S555="Yes",L555&gt;0,B555&lt;&gt;"TXO"),L555,"")</f>
        <v/>
      </c>
      <c r="AA555" s="226">
        <f>IF(AND(R555="",S555="Yes",L555&lt;0,B555&lt;&gt;"TXO"),L555,"")</f>
        <v/>
      </c>
    </row>
    <row r="556" hidden="1" outlineLevel="2" collapsed="1" ht="17.25" customHeight="1" thickBot="1">
      <c r="A556" s="740" t="n">
        <v>43348</v>
      </c>
      <c r="B556" s="299" t="inlineStr">
        <is>
          <t>FIMTX</t>
        </is>
      </c>
      <c r="C556" s="300" t="inlineStr">
        <is>
          <t>小指09</t>
        </is>
      </c>
      <c r="D556" s="300" t="inlineStr">
        <is>
          <t>新倉</t>
        </is>
      </c>
      <c r="E556" s="301" t="inlineStr">
        <is>
          <t>賣</t>
        </is>
      </c>
      <c r="F556" s="300" t="inlineStr">
        <is>
          <t>-</t>
        </is>
      </c>
      <c r="G556" s="741" t="n">
        <v>1</v>
      </c>
      <c r="H556" s="741" t="n">
        <v>10898</v>
      </c>
      <c r="I556" s="741" t="n">
        <v>0</v>
      </c>
      <c r="J556" s="742" t="n">
        <v>23</v>
      </c>
      <c r="K556" s="742" t="n">
        <v>11</v>
      </c>
      <c r="L556" s="742">
        <f>IF(B556="TXO",I556-SUM(J556:K556),IF(B556="FITX",IF(D556="新倉",-SUM(J556:K556),IF(E556="賣",(H556-H555)*G556*200-SUM(J556:K556),(H555-H556)*G556*200-SUM(J556:K556))),IF(D556="新倉",-SUM(J556:K556),IF(E556="賣",(H556-H555)*G556*50-SUM(J556:K556),(H555-H556)*G556*50-SUM(J556:K556)))))</f>
        <v/>
      </c>
      <c r="M556" s="743">
        <f>L556</f>
        <v/>
      </c>
      <c r="N556" s="686">
        <f>IF(B556="TXO","",IF(D556="新倉","",IF(E556="賣",(H556-H555)*G556,(H555-H556)*G556)))</f>
        <v/>
      </c>
      <c r="O556" s="226">
        <f>ABS(I556)</f>
        <v/>
      </c>
      <c r="P556" s="667" t="n"/>
      <c r="Q556" s="249" t="inlineStr">
        <is>
          <t>技法: 3/3 買進三口</t>
        </is>
      </c>
      <c r="S556" s="739" t="n"/>
      <c r="T556" s="61">
        <f>IF(AND(R556="Yes",S556&lt;&gt;"Yes",L556&gt;0,B556&lt;&gt;"TXO"),L556,"")</f>
        <v/>
      </c>
      <c r="U556" s="61">
        <f>IF(AND(R556="Yes",S556&lt;&gt;"Yes",L556&lt;0,B556&lt;&gt;"TXO"),L556,"")</f>
        <v/>
      </c>
      <c r="V556" s="61">
        <f>IF(AND(R556="",S556&lt;&gt;"Yes",L556&gt;0,B556&lt;&gt;"TXO"),L556,"")</f>
        <v/>
      </c>
      <c r="W556" s="61">
        <f>IF(AND(R556="",S556&lt;&gt;"Yes",L556&lt;0,B556&lt;&gt;"TXO"),L556,"")</f>
        <v/>
      </c>
      <c r="X556" s="226">
        <f>IF(AND(R556="Yes",S556="Yes",L556&gt;0,B556&lt;&gt;"TXO"),L556,"")</f>
        <v/>
      </c>
      <c r="Y556" s="226">
        <f>IF(AND(R556="Yes",S556="Yes",L556&lt;0,B556&lt;&gt;"TXO"),L556,"")</f>
        <v/>
      </c>
      <c r="Z556" s="226">
        <f>IF(AND(R556="",S556="Yes",L556&gt;0,B556&lt;&gt;"TXO"),L556,"")</f>
        <v/>
      </c>
      <c r="AA556" s="226">
        <f>IF(AND(R556="",S556="Yes",L556&lt;0,B556&lt;&gt;"TXO"),L556,"")</f>
        <v/>
      </c>
    </row>
    <row r="557" hidden="1" outlineLevel="2" collapsed="1" ht="17.25" customHeight="1" thickBot="1">
      <c r="A557" s="740" t="n">
        <v>43348</v>
      </c>
      <c r="B557" s="299" t="inlineStr">
        <is>
          <t>FIMTX</t>
        </is>
      </c>
      <c r="C557" s="300" t="inlineStr">
        <is>
          <t>小指09</t>
        </is>
      </c>
      <c r="D557" s="300" t="inlineStr">
        <is>
          <t>平倉</t>
        </is>
      </c>
      <c r="E557" s="301" t="inlineStr">
        <is>
          <t>買</t>
        </is>
      </c>
      <c r="F557" s="300" t="inlineStr">
        <is>
          <t>-</t>
        </is>
      </c>
      <c r="G557" s="741" t="n">
        <v>1</v>
      </c>
      <c r="H557" s="741" t="n">
        <v>10914</v>
      </c>
      <c r="I557" s="741" t="n">
        <v>0</v>
      </c>
      <c r="J557" s="742" t="n">
        <v>23</v>
      </c>
      <c r="K557" s="742" t="n">
        <v>11</v>
      </c>
      <c r="L557" s="742">
        <f>IF(B557="TXO",I557-SUM(J557:K557),IF(B557="FITX",IF(D557="新倉",-SUM(J557:K557),IF(E557="賣",(H557-H556)*G557*200-SUM(J557:K557),(H556-H557)*G557*200-SUM(J557:K557))),IF(D557="新倉",-SUM(J557:K557),IF(E557="賣",(H557-H556)*G557*50-SUM(J557:K557),(H556-H557)*G557*50-SUM(J557:K557)))))</f>
        <v/>
      </c>
      <c r="M557" s="743">
        <f>L557</f>
        <v/>
      </c>
      <c r="N557" s="686">
        <f>IF(B557="TXO","",IF(D557="新倉","",IF(E557="賣",(H557-H556)*G557,(H556-H557)*G557)))</f>
        <v/>
      </c>
      <c r="O557" s="226">
        <f>ABS(I557)</f>
        <v/>
      </c>
      <c r="P557" s="667" t="n"/>
      <c r="Q557" s="310" t="inlineStr">
        <is>
          <t>碰10MA卻不停損</t>
        </is>
      </c>
      <c r="R557" s="310" t="n"/>
      <c r="S557" s="739" t="n"/>
      <c r="T557" s="61">
        <f>IF(AND(R557="Yes",S557&lt;&gt;"Yes",L557&gt;0,B557&lt;&gt;"TXO"),L557,"")</f>
        <v/>
      </c>
      <c r="U557" s="61">
        <f>IF(AND(R557="Yes",S557&lt;&gt;"Yes",L557&lt;0,B557&lt;&gt;"TXO"),L557,"")</f>
        <v/>
      </c>
      <c r="V557" s="61">
        <f>IF(AND(R557="",S557&lt;&gt;"Yes",L557&gt;0,B557&lt;&gt;"TXO"),L557,"")</f>
        <v/>
      </c>
      <c r="W557" s="61">
        <f>IF(AND(R557="",S557&lt;&gt;"Yes",L557&lt;0,B557&lt;&gt;"TXO"),L557,"")</f>
        <v/>
      </c>
      <c r="X557" s="226">
        <f>IF(AND(R557="Yes",S557="Yes",L557&gt;0,B557&lt;&gt;"TXO"),L557,"")</f>
        <v/>
      </c>
      <c r="Y557" s="226">
        <f>IF(AND(R557="Yes",S557="Yes",L557&lt;0,B557&lt;&gt;"TXO"),L557,"")</f>
        <v/>
      </c>
      <c r="Z557" s="226">
        <f>IF(AND(R557="",S557="Yes",L557&gt;0,B557&lt;&gt;"TXO"),L557,"")</f>
        <v/>
      </c>
      <c r="AA557" s="226">
        <f>IF(AND(R557="",S557="Yes",L557&lt;0,B557&lt;&gt;"TXO"),L557,"")</f>
        <v/>
      </c>
    </row>
    <row r="558" hidden="1" outlineLevel="2" collapsed="1" ht="17.25" customHeight="1" thickBot="1">
      <c r="A558" s="740" t="n">
        <v>43348</v>
      </c>
      <c r="B558" s="299" t="inlineStr">
        <is>
          <t>FIMTX</t>
        </is>
      </c>
      <c r="C558" s="300" t="inlineStr">
        <is>
          <t>小指09</t>
        </is>
      </c>
      <c r="D558" s="300" t="inlineStr">
        <is>
          <t>新倉</t>
        </is>
      </c>
      <c r="E558" s="301" t="inlineStr">
        <is>
          <t>賣</t>
        </is>
      </c>
      <c r="F558" s="300" t="inlineStr">
        <is>
          <t>-</t>
        </is>
      </c>
      <c r="G558" s="741" t="n">
        <v>1</v>
      </c>
      <c r="H558" s="741" t="n">
        <v>10898</v>
      </c>
      <c r="I558" s="741" t="n">
        <v>0</v>
      </c>
      <c r="J558" s="742" t="n">
        <v>23</v>
      </c>
      <c r="K558" s="742" t="n">
        <v>11</v>
      </c>
      <c r="L558" s="742">
        <f>IF(B558="TXO",I558-SUM(J558:K558),IF(B558="FITX",IF(D558="新倉",-SUM(J558:K558),IF(E558="賣",(H558-H557)*G558*200-SUM(J558:K558),(H557-H558)*G558*200-SUM(J558:K558))),IF(D558="新倉",-SUM(J558:K558),IF(E558="賣",(H558-H557)*G558*50-SUM(J558:K558),(H557-H558)*G558*50-SUM(J558:K558)))))</f>
        <v/>
      </c>
      <c r="M558" s="743">
        <f>L558</f>
        <v/>
      </c>
      <c r="N558" s="686">
        <f>IF(B558="TXO","",IF(D558="新倉","",IF(E558="賣",(H558-H557)*G558,(H557-H558)*G558)))</f>
        <v/>
      </c>
      <c r="O558" s="226">
        <f>ABS(I558)</f>
        <v/>
      </c>
      <c r="P558" s="667" t="n"/>
      <c r="S558" s="739" t="n"/>
      <c r="T558" s="61">
        <f>IF(AND(R558="Yes",S558&lt;&gt;"Yes",L558&gt;0,B558&lt;&gt;"TXO"),L558,"")</f>
        <v/>
      </c>
      <c r="U558" s="61">
        <f>IF(AND(R558="Yes",S558&lt;&gt;"Yes",L558&lt;0,B558&lt;&gt;"TXO"),L558,"")</f>
        <v/>
      </c>
      <c r="V558" s="61">
        <f>IF(AND(R558="",S558&lt;&gt;"Yes",L558&gt;0,B558&lt;&gt;"TXO"),L558,"")</f>
        <v/>
      </c>
      <c r="W558" s="61">
        <f>IF(AND(R558="",S558&lt;&gt;"Yes",L558&lt;0,B558&lt;&gt;"TXO"),L558,"")</f>
        <v/>
      </c>
      <c r="X558" s="226">
        <f>IF(AND(R558="Yes",S558="Yes",L558&gt;0,B558&lt;&gt;"TXO"),L558,"")</f>
        <v/>
      </c>
      <c r="Y558" s="226">
        <f>IF(AND(R558="Yes",S558="Yes",L558&lt;0,B558&lt;&gt;"TXO"),L558,"")</f>
        <v/>
      </c>
      <c r="Z558" s="226">
        <f>IF(AND(R558="",S558="Yes",L558&gt;0,B558&lt;&gt;"TXO"),L558,"")</f>
        <v/>
      </c>
      <c r="AA558" s="226">
        <f>IF(AND(R558="",S558="Yes",L558&lt;0,B558&lt;&gt;"TXO"),L558,"")</f>
        <v/>
      </c>
    </row>
    <row r="559" hidden="1" outlineLevel="2" collapsed="1" ht="17.25" customHeight="1" thickBot="1">
      <c r="A559" s="740" t="n">
        <v>43348</v>
      </c>
      <c r="B559" s="299" t="inlineStr">
        <is>
          <t>FIMTX</t>
        </is>
      </c>
      <c r="C559" s="300" t="inlineStr">
        <is>
          <t>小指09</t>
        </is>
      </c>
      <c r="D559" s="300" t="inlineStr">
        <is>
          <t>平倉</t>
        </is>
      </c>
      <c r="E559" s="301" t="inlineStr">
        <is>
          <t>買</t>
        </is>
      </c>
      <c r="F559" s="300" t="inlineStr">
        <is>
          <t>-</t>
        </is>
      </c>
      <c r="G559" s="741" t="n">
        <v>1</v>
      </c>
      <c r="H559" s="741" t="n">
        <v>10913</v>
      </c>
      <c r="I559" s="741" t="n">
        <v>0</v>
      </c>
      <c r="J559" s="742" t="n">
        <v>23</v>
      </c>
      <c r="K559" s="742" t="n">
        <v>11</v>
      </c>
      <c r="L559" s="742">
        <f>IF(B559="TXO",I559-SUM(J559:K559),IF(B559="FITX",IF(D559="新倉",-SUM(J559:K559),IF(E559="賣",(H559-H558)*G559*200-SUM(J559:K559),(H558-H559)*G559*200-SUM(J559:K559))),IF(D559="新倉",-SUM(J559:K559),IF(E559="賣",(H559-H558)*G559*50-SUM(J559:K559),(H558-H559)*G559*50-SUM(J559:K559)))))</f>
        <v/>
      </c>
      <c r="M559" s="743">
        <f>L559</f>
        <v/>
      </c>
      <c r="N559" s="686">
        <f>IF(B559="TXO","",IF(D559="新倉","",IF(E559="賣",(H559-H558)*G559,(H558-H559)*G559)))</f>
        <v/>
      </c>
      <c r="O559" s="226">
        <f>ABS(I559)</f>
        <v/>
      </c>
      <c r="P559" s="667" t="n"/>
      <c r="Q559" s="310" t="inlineStr">
        <is>
          <t>碰10MA卻不停損</t>
        </is>
      </c>
      <c r="R559" s="310" t="n"/>
      <c r="S559" s="739" t="n"/>
      <c r="T559" s="61">
        <f>IF(AND(R559="Yes",S559&lt;&gt;"Yes",L559&gt;0,B559&lt;&gt;"TXO"),L559,"")</f>
        <v/>
      </c>
      <c r="U559" s="61">
        <f>IF(AND(R559="Yes",S559&lt;&gt;"Yes",L559&lt;0,B559&lt;&gt;"TXO"),L559,"")</f>
        <v/>
      </c>
      <c r="V559" s="61">
        <f>IF(AND(R559="",S559&lt;&gt;"Yes",L559&gt;0,B559&lt;&gt;"TXO"),L559,"")</f>
        <v/>
      </c>
      <c r="W559" s="61">
        <f>IF(AND(R559="",S559&lt;&gt;"Yes",L559&lt;0,B559&lt;&gt;"TXO"),L559,"")</f>
        <v/>
      </c>
      <c r="X559" s="226">
        <f>IF(AND(R559="Yes",S559="Yes",L559&gt;0,B559&lt;&gt;"TXO"),L559,"")</f>
        <v/>
      </c>
      <c r="Y559" s="226">
        <f>IF(AND(R559="Yes",S559="Yes",L559&lt;0,B559&lt;&gt;"TXO"),L559,"")</f>
        <v/>
      </c>
      <c r="Z559" s="226">
        <f>IF(AND(R559="",S559="Yes",L559&gt;0,B559&lt;&gt;"TXO"),L559,"")</f>
        <v/>
      </c>
      <c r="AA559" s="226">
        <f>IF(AND(R559="",S559="Yes",L559&lt;0,B559&lt;&gt;"TXO"),L559,"")</f>
        <v/>
      </c>
    </row>
    <row r="560" hidden="1" outlineLevel="2" collapsed="1" ht="17.25" customHeight="1" thickBot="1">
      <c r="A560" s="740" t="n">
        <v>43348</v>
      </c>
      <c r="B560" s="299" t="inlineStr">
        <is>
          <t>FIMTX</t>
        </is>
      </c>
      <c r="C560" s="300" t="inlineStr">
        <is>
          <t>小指09</t>
        </is>
      </c>
      <c r="D560" s="300" t="inlineStr">
        <is>
          <t>新倉</t>
        </is>
      </c>
      <c r="E560" s="301" t="inlineStr">
        <is>
          <t>賣</t>
        </is>
      </c>
      <c r="F560" s="300" t="inlineStr">
        <is>
          <t>-</t>
        </is>
      </c>
      <c r="G560" s="741" t="n">
        <v>1</v>
      </c>
      <c r="H560" s="741" t="n">
        <v>10898</v>
      </c>
      <c r="I560" s="741" t="n">
        <v>0</v>
      </c>
      <c r="J560" s="742" t="n">
        <v>23</v>
      </c>
      <c r="K560" s="742" t="n">
        <v>11</v>
      </c>
      <c r="L560" s="742">
        <f>IF(B560="TXO",I560-SUM(J560:K560),IF(B560="FITX",IF(D560="新倉",-SUM(J560:K560),IF(E560="賣",(H560-H559)*G560*200-SUM(J560:K560),(H559-H560)*G560*200-SUM(J560:K560))),IF(D560="新倉",-SUM(J560:K560),IF(E560="賣",(H560-H559)*G560*50-SUM(J560:K560),(H559-H560)*G560*50-SUM(J560:K560)))))</f>
        <v/>
      </c>
      <c r="M560" s="743">
        <f>L560</f>
        <v/>
      </c>
      <c r="N560" s="686">
        <f>IF(B560="TXO","",IF(D560="新倉","",IF(E560="賣",(H560-H559)*G560,(H559-H560)*G560)))</f>
        <v/>
      </c>
      <c r="O560" s="226">
        <f>ABS(I560)</f>
        <v/>
      </c>
      <c r="P560" s="667" t="n"/>
      <c r="S560" s="739" t="n"/>
      <c r="T560" s="61">
        <f>IF(AND(R560="Yes",S560&lt;&gt;"Yes",L560&gt;0,B560&lt;&gt;"TXO"),L560,"")</f>
        <v/>
      </c>
      <c r="U560" s="61">
        <f>IF(AND(R560="Yes",S560&lt;&gt;"Yes",L560&lt;0,B560&lt;&gt;"TXO"),L560,"")</f>
        <v/>
      </c>
      <c r="V560" s="61">
        <f>IF(AND(R560="",S560&lt;&gt;"Yes",L560&gt;0,B560&lt;&gt;"TXO"),L560,"")</f>
        <v/>
      </c>
      <c r="W560" s="61">
        <f>IF(AND(R560="",S560&lt;&gt;"Yes",L560&lt;0,B560&lt;&gt;"TXO"),L560,"")</f>
        <v/>
      </c>
      <c r="X560" s="226">
        <f>IF(AND(R560="Yes",S560="Yes",L560&gt;0,B560&lt;&gt;"TXO"),L560,"")</f>
        <v/>
      </c>
      <c r="Y560" s="226">
        <f>IF(AND(R560="Yes",S560="Yes",L560&lt;0,B560&lt;&gt;"TXO"),L560,"")</f>
        <v/>
      </c>
      <c r="Z560" s="226">
        <f>IF(AND(R560="",S560="Yes",L560&gt;0,B560&lt;&gt;"TXO"),L560,"")</f>
        <v/>
      </c>
      <c r="AA560" s="226">
        <f>IF(AND(R560="",S560="Yes",L560&lt;0,B560&lt;&gt;"TXO"),L560,"")</f>
        <v/>
      </c>
    </row>
    <row r="561" hidden="1" outlineLevel="2" collapsed="1" ht="17.25" customHeight="1" thickBot="1">
      <c r="A561" s="740" t="n">
        <v>43348</v>
      </c>
      <c r="B561" s="299" t="inlineStr">
        <is>
          <t>FIMTX</t>
        </is>
      </c>
      <c r="C561" s="300" t="inlineStr">
        <is>
          <t>小指09</t>
        </is>
      </c>
      <c r="D561" s="300" t="inlineStr">
        <is>
          <t>平倉</t>
        </is>
      </c>
      <c r="E561" s="301" t="inlineStr">
        <is>
          <t>買</t>
        </is>
      </c>
      <c r="F561" s="300" t="inlineStr">
        <is>
          <t>-</t>
        </is>
      </c>
      <c r="G561" s="741" t="n">
        <v>1</v>
      </c>
      <c r="H561" s="741" t="n">
        <v>10913</v>
      </c>
      <c r="I561" s="741" t="n">
        <v>0</v>
      </c>
      <c r="J561" s="742" t="n">
        <v>23</v>
      </c>
      <c r="K561" s="742" t="n">
        <v>11</v>
      </c>
      <c r="L561" s="742">
        <f>IF(B561="TXO",I561-SUM(J561:K561),IF(B561="FITX",IF(D561="新倉",-SUM(J561:K561),IF(E561="賣",(H561-H560)*G561*200-SUM(J561:K561),(H560-H561)*G561*200-SUM(J561:K561))),IF(D561="新倉",-SUM(J561:K561),IF(E561="賣",(H561-H560)*G561*50-SUM(J561:K561),(H560-H561)*G561*50-SUM(J561:K561)))))</f>
        <v/>
      </c>
      <c r="M561" s="743">
        <f>L561</f>
        <v/>
      </c>
      <c r="N561" s="686">
        <f>IF(B561="TXO","",IF(D561="新倉","",IF(E561="賣",(H561-H560)*G561,(H560-H561)*G561)))</f>
        <v/>
      </c>
      <c r="O561" s="226">
        <f>ABS(I561)</f>
        <v/>
      </c>
      <c r="P561" s="667" t="n"/>
      <c r="Q561" s="310" t="inlineStr">
        <is>
          <t>碰10MA卻不停損</t>
        </is>
      </c>
      <c r="R561" s="310" t="n"/>
      <c r="S561" s="739" t="n"/>
      <c r="T561" s="61">
        <f>IF(AND(R561="Yes",S561&lt;&gt;"Yes",L561&gt;0,B561&lt;&gt;"TXO"),L561,"")</f>
        <v/>
      </c>
      <c r="U561" s="61">
        <f>IF(AND(R561="Yes",S561&lt;&gt;"Yes",L561&lt;0,B561&lt;&gt;"TXO"),L561,"")</f>
        <v/>
      </c>
      <c r="V561" s="61">
        <f>IF(AND(R561="",S561&lt;&gt;"Yes",L561&gt;0,B561&lt;&gt;"TXO"),L561,"")</f>
        <v/>
      </c>
      <c r="W561" s="61">
        <f>IF(AND(R561="",S561&lt;&gt;"Yes",L561&lt;0,B561&lt;&gt;"TXO"),L561,"")</f>
        <v/>
      </c>
      <c r="X561" s="226">
        <f>IF(AND(R561="Yes",S561="Yes",L561&gt;0,B561&lt;&gt;"TXO"),L561,"")</f>
        <v/>
      </c>
      <c r="Y561" s="226">
        <f>IF(AND(R561="Yes",S561="Yes",L561&lt;0,B561&lt;&gt;"TXO"),L561,"")</f>
        <v/>
      </c>
      <c r="Z561" s="226">
        <f>IF(AND(R561="",S561="Yes",L561&gt;0,B561&lt;&gt;"TXO"),L561,"")</f>
        <v/>
      </c>
      <c r="AA561" s="226">
        <f>IF(AND(R561="",S561="Yes",L561&lt;0,B561&lt;&gt;"TXO"),L561,"")</f>
        <v/>
      </c>
    </row>
    <row r="562" hidden="1" outlineLevel="2" collapsed="1" ht="17.25" customHeight="1" thickBot="1">
      <c r="A562" s="740" t="n">
        <v>43348</v>
      </c>
      <c r="B562" s="299" t="inlineStr">
        <is>
          <t>FIMTX</t>
        </is>
      </c>
      <c r="C562" s="300" t="inlineStr">
        <is>
          <t>小指09</t>
        </is>
      </c>
      <c r="D562" s="300" t="inlineStr">
        <is>
          <t>新倉</t>
        </is>
      </c>
      <c r="E562" s="301" t="inlineStr">
        <is>
          <t>買</t>
        </is>
      </c>
      <c r="F562" s="300" t="inlineStr">
        <is>
          <t>-</t>
        </is>
      </c>
      <c r="G562" s="741" t="n">
        <v>1</v>
      </c>
      <c r="H562" s="741" t="n">
        <v>10915</v>
      </c>
      <c r="I562" s="741" t="n">
        <v>0</v>
      </c>
      <c r="J562" s="742" t="n">
        <v>23</v>
      </c>
      <c r="K562" s="742" t="n">
        <v>11</v>
      </c>
      <c r="L562" s="742">
        <f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/>
      </c>
      <c r="M562" s="743">
        <f>L562</f>
        <v/>
      </c>
      <c r="N562" s="686">
        <f>IF(B562="TXO","",IF(D562="新倉","",IF(E562="賣",(H562-H561)*G562,(H561-H562)*G562)))</f>
        <v/>
      </c>
      <c r="O562" s="226">
        <f>ABS(I562)</f>
        <v/>
      </c>
      <c r="P562" s="667" t="n"/>
      <c r="Q562" s="249" t="inlineStr">
        <is>
          <t>離10MA超過10點</t>
        </is>
      </c>
      <c r="S562" s="739" t="n"/>
      <c r="T562" s="61">
        <f>IF(AND(R562="Yes",S562&lt;&gt;"Yes",L562&gt;0,B562&lt;&gt;"TXO"),L562,"")</f>
        <v/>
      </c>
      <c r="U562" s="61">
        <f>IF(AND(R562="Yes",S562&lt;&gt;"Yes",L562&lt;0,B562&lt;&gt;"TXO"),L562,"")</f>
        <v/>
      </c>
      <c r="V562" s="61">
        <f>IF(AND(R562="",S562&lt;&gt;"Yes",L562&gt;0,B562&lt;&gt;"TXO"),L562,"")</f>
        <v/>
      </c>
      <c r="W562" s="61">
        <f>IF(AND(R562="",S562&lt;&gt;"Yes",L562&lt;0,B562&lt;&gt;"TXO"),L562,"")</f>
        <v/>
      </c>
      <c r="X562" s="226">
        <f>IF(AND(R562="Yes",S562="Yes",L562&gt;0,B562&lt;&gt;"TXO"),L562,"")</f>
        <v/>
      </c>
      <c r="Y562" s="226">
        <f>IF(AND(R562="Yes",S562="Yes",L562&lt;0,B562&lt;&gt;"TXO"),L562,"")</f>
        <v/>
      </c>
      <c r="Z562" s="226">
        <f>IF(AND(R562="",S562="Yes",L562&gt;0,B562&lt;&gt;"TXO"),L562,"")</f>
        <v/>
      </c>
      <c r="AA562" s="226">
        <f>IF(AND(R562="",S562="Yes",L562&lt;0,B562&lt;&gt;"TXO"),L562,"")</f>
        <v/>
      </c>
    </row>
    <row r="563" hidden="1" outlineLevel="2" collapsed="1" ht="17.25" customHeight="1" thickBot="1">
      <c r="A563" s="740" t="n">
        <v>43348</v>
      </c>
      <c r="B563" s="299" t="inlineStr">
        <is>
          <t>FIMTX</t>
        </is>
      </c>
      <c r="C563" s="300" t="inlineStr">
        <is>
          <t>小指09</t>
        </is>
      </c>
      <c r="D563" s="300" t="inlineStr">
        <is>
          <t>平倉</t>
        </is>
      </c>
      <c r="E563" s="301" t="inlineStr">
        <is>
          <t>賣</t>
        </is>
      </c>
      <c r="F563" s="300" t="inlineStr">
        <is>
          <t>-</t>
        </is>
      </c>
      <c r="G563" s="741" t="n">
        <v>1</v>
      </c>
      <c r="H563" s="741" t="n">
        <v>10920</v>
      </c>
      <c r="I563" s="741" t="n">
        <v>0</v>
      </c>
      <c r="J563" s="742" t="n">
        <v>23</v>
      </c>
      <c r="K563" s="742" t="n">
        <v>11</v>
      </c>
      <c r="L563" s="742">
        <f>IF(B563="TXO",I563-SUM(J563:K563),IF(B563="FITX",IF(D563="新倉",-SUM(J563:K563),IF(E563="賣",(H563-H562)*G563*200-SUM(J563:K563),(H562-H563)*G563*200-SUM(J563:K563))),IF(D563="新倉",-SUM(J563:K563),IF(E563="賣",(H563-H562)*G563*50-SUM(J563:K563),(H562-H563)*G563*50-SUM(J563:K563)))))</f>
        <v/>
      </c>
      <c r="M563" s="743">
        <f>L563</f>
        <v/>
      </c>
      <c r="N563" s="686">
        <f>IF(B563="TXO","",IF(D563="新倉","",IF(E563="賣",(H563-H562)*G563,(H562-H563)*G563)))</f>
        <v/>
      </c>
      <c r="O563" s="226">
        <f>ABS(I563)</f>
        <v/>
      </c>
      <c r="P563" s="667" t="n"/>
      <c r="Q563" s="249" t="inlineStr">
        <is>
          <t>技法: 刺補</t>
        </is>
      </c>
      <c r="S563" s="739" t="n"/>
      <c r="T563" s="61">
        <f>IF(AND(R563="Yes",S563&lt;&gt;"Yes",L563&gt;0,B563&lt;&gt;"TXO"),L563,"")</f>
        <v/>
      </c>
      <c r="U563" s="61">
        <f>IF(AND(R563="Yes",S563&lt;&gt;"Yes",L563&lt;0,B563&lt;&gt;"TXO"),L563,"")</f>
        <v/>
      </c>
      <c r="V563" s="61">
        <f>IF(AND(R563="",S563&lt;&gt;"Yes",L563&gt;0,B563&lt;&gt;"TXO"),L563,"")</f>
        <v/>
      </c>
      <c r="W563" s="61">
        <f>IF(AND(R563="",S563&lt;&gt;"Yes",L563&lt;0,B563&lt;&gt;"TXO"),L563,"")</f>
        <v/>
      </c>
      <c r="X563" s="226">
        <f>IF(AND(R563="Yes",S563="Yes",L563&gt;0,B563&lt;&gt;"TXO"),L563,"")</f>
        <v/>
      </c>
      <c r="Y563" s="226">
        <f>IF(AND(R563="Yes",S563="Yes",L563&lt;0,B563&lt;&gt;"TXO"),L563,"")</f>
        <v/>
      </c>
      <c r="Z563" s="226">
        <f>IF(AND(R563="",S563="Yes",L563&gt;0,B563&lt;&gt;"TXO"),L563,"")</f>
        <v/>
      </c>
      <c r="AA563" s="226">
        <f>IF(AND(R563="",S563="Yes",L563&lt;0,B563&lt;&gt;"TXO"),L563,"")</f>
        <v/>
      </c>
    </row>
    <row r="564" hidden="1" outlineLevel="2" collapsed="1" ht="17.25" customHeight="1" thickBot="1">
      <c r="A564" s="740" t="n">
        <v>43348</v>
      </c>
      <c r="B564" s="299" t="inlineStr">
        <is>
          <t>FIMTX</t>
        </is>
      </c>
      <c r="C564" s="300" t="inlineStr">
        <is>
          <t>小指09</t>
        </is>
      </c>
      <c r="D564" s="300" t="inlineStr">
        <is>
          <t>新倉</t>
        </is>
      </c>
      <c r="E564" s="301" t="inlineStr">
        <is>
          <t>買</t>
        </is>
      </c>
      <c r="F564" s="300" t="inlineStr">
        <is>
          <t>-</t>
        </is>
      </c>
      <c r="G564" s="741" t="n">
        <v>1</v>
      </c>
      <c r="H564" s="741" t="n">
        <v>10916</v>
      </c>
      <c r="I564" s="741" t="n">
        <v>0</v>
      </c>
      <c r="J564" s="742" t="n">
        <v>23</v>
      </c>
      <c r="K564" s="742" t="n">
        <v>11</v>
      </c>
      <c r="L564" s="742">
        <f>IF(B564="TXO",I564-SUM(J564:K564),IF(B564="FITX",IF(D564="新倉",-SUM(J564:K564),IF(E564="賣",(H564-H563)*G564*200-SUM(J564:K564),(H563-H564)*G564*200-SUM(J564:K564))),IF(D564="新倉",-SUM(J564:K564),IF(E564="賣",(H564-H563)*G564*50-SUM(J564:K564),(H563-H564)*G564*50-SUM(J564:K564)))))</f>
        <v/>
      </c>
      <c r="M564" s="743">
        <f>L564</f>
        <v/>
      </c>
      <c r="N564" s="686">
        <f>IF(B564="TXO","",IF(D564="新倉","",IF(E564="賣",(H564-H563)*G564,(H563-H564)*G564)))</f>
        <v/>
      </c>
      <c r="O564" s="226">
        <f>ABS(I564)</f>
        <v/>
      </c>
      <c r="P564" s="667" t="n"/>
      <c r="S564" s="739" t="n"/>
      <c r="T564" s="61">
        <f>IF(AND(R564="Yes",S564&lt;&gt;"Yes",L564&gt;0,B564&lt;&gt;"TXO"),L564,"")</f>
        <v/>
      </c>
      <c r="U564" s="61">
        <f>IF(AND(R564="Yes",S564&lt;&gt;"Yes",L564&lt;0,B564&lt;&gt;"TXO"),L564,"")</f>
        <v/>
      </c>
      <c r="V564" s="61">
        <f>IF(AND(R564="",S564&lt;&gt;"Yes",L564&gt;0,B564&lt;&gt;"TXO"),L564,"")</f>
        <v/>
      </c>
      <c r="W564" s="61">
        <f>IF(AND(R564="",S564&lt;&gt;"Yes",L564&lt;0,B564&lt;&gt;"TXO"),L564,"")</f>
        <v/>
      </c>
      <c r="X564" s="226">
        <f>IF(AND(R564="Yes",S564="Yes",L564&gt;0,B564&lt;&gt;"TXO"),L564,"")</f>
        <v/>
      </c>
      <c r="Y564" s="226">
        <f>IF(AND(R564="Yes",S564="Yes",L564&lt;0,B564&lt;&gt;"TXO"),L564,"")</f>
        <v/>
      </c>
      <c r="Z564" s="226">
        <f>IF(AND(R564="",S564="Yes",L564&gt;0,B564&lt;&gt;"TXO"),L564,"")</f>
        <v/>
      </c>
      <c r="AA564" s="226">
        <f>IF(AND(R564="",S564="Yes",L564&lt;0,B564&lt;&gt;"TXO"),L564,"")</f>
        <v/>
      </c>
    </row>
    <row r="565" hidden="1" outlineLevel="2" collapsed="1" ht="17.25" customHeight="1" thickBot="1">
      <c r="A565" s="740" t="n">
        <v>43348</v>
      </c>
      <c r="B565" s="299" t="inlineStr">
        <is>
          <t>FIMTX</t>
        </is>
      </c>
      <c r="C565" s="300" t="inlineStr">
        <is>
          <t>小指09</t>
        </is>
      </c>
      <c r="D565" s="300" t="inlineStr">
        <is>
          <t>平倉</t>
        </is>
      </c>
      <c r="E565" s="301" t="inlineStr">
        <is>
          <t>賣</t>
        </is>
      </c>
      <c r="F565" s="300" t="inlineStr">
        <is>
          <t>-</t>
        </is>
      </c>
      <c r="G565" s="741" t="n">
        <v>1</v>
      </c>
      <c r="H565" s="741" t="n">
        <v>10913</v>
      </c>
      <c r="I565" s="741" t="n">
        <v>0</v>
      </c>
      <c r="J565" s="742" t="n">
        <v>23</v>
      </c>
      <c r="K565" s="742" t="n">
        <v>11</v>
      </c>
      <c r="L565" s="742">
        <f>IF(B565="TXO",I565-SUM(J565:K565),IF(B565="FITX",IF(D565="新倉",-SUM(J565:K565),IF(E565="賣",(H565-H564)*G565*200-SUM(J565:K565),(H564-H565)*G565*200-SUM(J565:K565))),IF(D565="新倉",-SUM(J565:K565),IF(E565="賣",(H565-H564)*G565*50-SUM(J565:K565),(H564-H565)*G565*50-SUM(J565:K565)))))</f>
        <v/>
      </c>
      <c r="M565" s="743">
        <f>L565</f>
        <v/>
      </c>
      <c r="N565" s="686">
        <f>IF(B565="TXO","",IF(D565="新倉","",IF(E565="賣",(H565-H564)*G565,(H564-H565)*G565)))</f>
        <v/>
      </c>
      <c r="O565" s="226">
        <f>ABS(I565)</f>
        <v/>
      </c>
      <c r="P565" s="667" t="n"/>
      <c r="Q565" s="249" t="inlineStr">
        <is>
          <t>碰10MA停損</t>
        </is>
      </c>
      <c r="S565" s="739" t="n"/>
      <c r="T565" s="61">
        <f>IF(AND(R565="Yes",S565&lt;&gt;"Yes",L565&gt;0,B565&lt;&gt;"TXO"),L565,"")</f>
        <v/>
      </c>
      <c r="U565" s="61">
        <f>IF(AND(R565="Yes",S565&lt;&gt;"Yes",L565&lt;0,B565&lt;&gt;"TXO"),L565,"")</f>
        <v/>
      </c>
      <c r="V565" s="61">
        <f>IF(AND(R565="",S565&lt;&gt;"Yes",L565&gt;0,B565&lt;&gt;"TXO"),L565,"")</f>
        <v/>
      </c>
      <c r="W565" s="61">
        <f>IF(AND(R565="",S565&lt;&gt;"Yes",L565&lt;0,B565&lt;&gt;"TXO"),L565,"")</f>
        <v/>
      </c>
      <c r="X565" s="226">
        <f>IF(AND(R565="Yes",S565="Yes",L565&gt;0,B565&lt;&gt;"TXO"),L565,"")</f>
        <v/>
      </c>
      <c r="Y565" s="226">
        <f>IF(AND(R565="Yes",S565="Yes",L565&lt;0,B565&lt;&gt;"TXO"),L565,"")</f>
        <v/>
      </c>
      <c r="Z565" s="226">
        <f>IF(AND(R565="",S565="Yes",L565&gt;0,B565&lt;&gt;"TXO"),L565,"")</f>
        <v/>
      </c>
      <c r="AA565" s="226">
        <f>IF(AND(R565="",S565="Yes",L565&lt;0,B565&lt;&gt;"TXO"),L565,"")</f>
        <v/>
      </c>
    </row>
    <row r="566" hidden="1" outlineLevel="2" collapsed="1" ht="17.25" customHeight="1" thickBot="1">
      <c r="A566" s="740" t="n">
        <v>43348</v>
      </c>
      <c r="B566" s="299" t="inlineStr">
        <is>
          <t>FIMTX</t>
        </is>
      </c>
      <c r="C566" s="300" t="inlineStr">
        <is>
          <t>小指09</t>
        </is>
      </c>
      <c r="D566" s="300" t="inlineStr">
        <is>
          <t>新倉</t>
        </is>
      </c>
      <c r="E566" s="301" t="inlineStr">
        <is>
          <t>買</t>
        </is>
      </c>
      <c r="F566" s="300" t="inlineStr">
        <is>
          <t>-</t>
        </is>
      </c>
      <c r="G566" s="741" t="n">
        <v>1</v>
      </c>
      <c r="H566" s="741" t="n">
        <v>10916</v>
      </c>
      <c r="I566" s="741" t="n">
        <v>0</v>
      </c>
      <c r="J566" s="742" t="n">
        <v>23</v>
      </c>
      <c r="K566" s="742" t="n">
        <v>11</v>
      </c>
      <c r="L566" s="742">
        <f>IF(B566="TXO",I566-SUM(J566:K566),IF(B566="FITX",IF(D566="新倉",-SUM(J566:K566),IF(E566="賣",(H566-H565)*G566*200-SUM(J566:K566),(H565-H566)*G566*200-SUM(J566:K566))),IF(D566="新倉",-SUM(J566:K566),IF(E566="賣",(H566-H565)*G566*50-SUM(J566:K566),(H565-H566)*G566*50-SUM(J566:K566)))))</f>
        <v/>
      </c>
      <c r="M566" s="743">
        <f>L566</f>
        <v/>
      </c>
      <c r="N566" s="686">
        <f>IF(B566="TXO","",IF(D566="新倉","",IF(E566="賣",(H566-H565)*G566,(H565-H566)*G566)))</f>
        <v/>
      </c>
      <c r="O566" s="226">
        <f>ABS(I566)</f>
        <v/>
      </c>
      <c r="P566" s="667" t="n"/>
      <c r="S566" s="739" t="n"/>
      <c r="T566" s="61">
        <f>IF(AND(R566="Yes",S566&lt;&gt;"Yes",L566&gt;0,B566&lt;&gt;"TXO"),L566,"")</f>
        <v/>
      </c>
      <c r="U566" s="61">
        <f>IF(AND(R566="Yes",S566&lt;&gt;"Yes",L566&lt;0,B566&lt;&gt;"TXO"),L566,"")</f>
        <v/>
      </c>
      <c r="V566" s="61">
        <f>IF(AND(R566="",S566&lt;&gt;"Yes",L566&gt;0,B566&lt;&gt;"TXO"),L566,"")</f>
        <v/>
      </c>
      <c r="W566" s="61">
        <f>IF(AND(R566="",S566&lt;&gt;"Yes",L566&lt;0,B566&lt;&gt;"TXO"),L566,"")</f>
        <v/>
      </c>
      <c r="X566" s="226">
        <f>IF(AND(R566="Yes",S566="Yes",L566&gt;0,B566&lt;&gt;"TXO"),L566,"")</f>
        <v/>
      </c>
      <c r="Y566" s="226">
        <f>IF(AND(R566="Yes",S566="Yes",L566&lt;0,B566&lt;&gt;"TXO"),L566,"")</f>
        <v/>
      </c>
      <c r="Z566" s="226">
        <f>IF(AND(R566="",S566="Yes",L566&gt;0,B566&lt;&gt;"TXO"),L566,"")</f>
        <v/>
      </c>
      <c r="AA566" s="226">
        <f>IF(AND(R566="",S566="Yes",L566&lt;0,B566&lt;&gt;"TXO"),L566,"")</f>
        <v/>
      </c>
    </row>
    <row r="567" hidden="1" outlineLevel="2" collapsed="1" ht="17.25" customHeight="1" thickBot="1">
      <c r="A567" s="740" t="n">
        <v>43348</v>
      </c>
      <c r="B567" s="299" t="inlineStr">
        <is>
          <t>FIMTX</t>
        </is>
      </c>
      <c r="C567" s="300" t="inlineStr">
        <is>
          <t>小指09</t>
        </is>
      </c>
      <c r="D567" s="300" t="inlineStr">
        <is>
          <t>平倉</t>
        </is>
      </c>
      <c r="E567" s="301" t="inlineStr">
        <is>
          <t>賣</t>
        </is>
      </c>
      <c r="F567" s="300" t="inlineStr">
        <is>
          <t>-</t>
        </is>
      </c>
      <c r="G567" s="741" t="n">
        <v>1</v>
      </c>
      <c r="H567" s="741" t="n">
        <v>10913</v>
      </c>
      <c r="I567" s="741" t="n">
        <v>0</v>
      </c>
      <c r="J567" s="742" t="n">
        <v>23</v>
      </c>
      <c r="K567" s="742" t="n">
        <v>11</v>
      </c>
      <c r="L567" s="742">
        <f>IF(B567="TXO",I567-SUM(J567:K567),IF(B567="FITX",IF(D567="新倉",-SUM(J567:K567),IF(E567="賣",(H567-H566)*G567*200-SUM(J567:K567),(H566-H567)*G567*200-SUM(J567:K567))),IF(D567="新倉",-SUM(J567:K567),IF(E567="賣",(H567-H566)*G567*50-SUM(J567:K567),(H566-H567)*G567*50-SUM(J567:K567)))))</f>
        <v/>
      </c>
      <c r="M567" s="743">
        <f>L567</f>
        <v/>
      </c>
      <c r="N567" s="686">
        <f>IF(B567="TXO","",IF(D567="新倉","",IF(E567="賣",(H567-H566)*G567,(H566-H567)*G567)))</f>
        <v/>
      </c>
      <c r="O567" s="226">
        <f>ABS(I567)</f>
        <v/>
      </c>
      <c r="P567" s="667" t="n"/>
      <c r="Q567" s="249" t="inlineStr">
        <is>
          <t>碰10MA停損</t>
        </is>
      </c>
      <c r="S567" s="739" t="n"/>
      <c r="T567" s="61">
        <f>IF(AND(R567="Yes",S567&lt;&gt;"Yes",L567&gt;0,B567&lt;&gt;"TXO"),L567,"")</f>
        <v/>
      </c>
      <c r="U567" s="61">
        <f>IF(AND(R567="Yes",S567&lt;&gt;"Yes",L567&lt;0,B567&lt;&gt;"TXO"),L567,"")</f>
        <v/>
      </c>
      <c r="V567" s="61">
        <f>IF(AND(R567="",S567&lt;&gt;"Yes",L567&gt;0,B567&lt;&gt;"TXO"),L567,"")</f>
        <v/>
      </c>
      <c r="W567" s="61">
        <f>IF(AND(R567="",S567&lt;&gt;"Yes",L567&lt;0,B567&lt;&gt;"TXO"),L567,"")</f>
        <v/>
      </c>
      <c r="X567" s="226">
        <f>IF(AND(R567="Yes",S567="Yes",L567&gt;0,B567&lt;&gt;"TXO"),L567,"")</f>
        <v/>
      </c>
      <c r="Y567" s="226">
        <f>IF(AND(R567="Yes",S567="Yes",L567&lt;0,B567&lt;&gt;"TXO"),L567,"")</f>
        <v/>
      </c>
      <c r="Z567" s="226">
        <f>IF(AND(R567="",S567="Yes",L567&gt;0,B567&lt;&gt;"TXO"),L567,"")</f>
        <v/>
      </c>
      <c r="AA567" s="226">
        <f>IF(AND(R567="",S567="Yes",L567&lt;0,B567&lt;&gt;"TXO"),L567,"")</f>
        <v/>
      </c>
    </row>
    <row r="568" hidden="1" outlineLevel="2" collapsed="1" ht="17.25" customHeight="1" thickBot="1">
      <c r="A568" s="740" t="n">
        <v>43348</v>
      </c>
      <c r="B568" s="299" t="inlineStr">
        <is>
          <t>FIMTX</t>
        </is>
      </c>
      <c r="C568" s="300" t="inlineStr">
        <is>
          <t>小指09</t>
        </is>
      </c>
      <c r="D568" s="300" t="inlineStr">
        <is>
          <t>新倉</t>
        </is>
      </c>
      <c r="E568" s="301" t="inlineStr">
        <is>
          <t>賣</t>
        </is>
      </c>
      <c r="F568" s="300" t="inlineStr">
        <is>
          <t>-</t>
        </is>
      </c>
      <c r="G568" s="741" t="n">
        <v>3</v>
      </c>
      <c r="H568" s="741" t="n">
        <v>10910</v>
      </c>
      <c r="I568" s="741" t="n">
        <v>0</v>
      </c>
      <c r="J568" s="742" t="n">
        <v>69</v>
      </c>
      <c r="K568" s="742" t="n">
        <v>33</v>
      </c>
      <c r="L568" s="742">
        <f>IF(B568="TXO",I568-SUM(J568:K568),IF(B568="FITX",IF(D568="新倉",-SUM(J568:K568),IF(E568="賣",(H568-H567)*G568*200-SUM(J568:K568),(H567-H568)*G568*200-SUM(J568:K568))),IF(D568="新倉",-SUM(J568:K568),IF(E568="賣",(H568-H567)*G568*50-SUM(J568:K568),(H567-H568)*G568*50-SUM(J568:K568)))))</f>
        <v/>
      </c>
      <c r="M568" s="743">
        <f>L568</f>
        <v/>
      </c>
      <c r="N568" s="686">
        <f>IF(B568="TXO","",IF(D568="新倉","",IF(E568="賣",(H568-H567)*G568,(H567-H568)*G568)))</f>
        <v/>
      </c>
      <c r="O568" s="226" t="n">
        <v>0</v>
      </c>
      <c r="P568" s="667" t="n"/>
      <c r="Q568" s="249" t="inlineStr">
        <is>
          <t>技法: 3/3 買進三口</t>
        </is>
      </c>
      <c r="R568" s="249" t="inlineStr">
        <is>
          <t>Yes</t>
        </is>
      </c>
      <c r="S568" s="739" t="n"/>
      <c r="T568" s="61">
        <f>IF(AND(R568="Yes",S568&lt;&gt;"Yes",L568&gt;0,B568&lt;&gt;"TXO"),L568,"")</f>
        <v/>
      </c>
      <c r="U568" s="61">
        <f>IF(AND(R568="Yes",S568&lt;&gt;"Yes",L568&lt;0,B568&lt;&gt;"TXO"),L568,"")</f>
        <v/>
      </c>
      <c r="V568" s="61">
        <f>IF(AND(R568="",S568&lt;&gt;"Yes",L568&gt;0,B568&lt;&gt;"TXO"),L568,"")</f>
        <v/>
      </c>
      <c r="W568" s="61">
        <f>IF(AND(R568="",S568&lt;&gt;"Yes",L568&lt;0,B568&lt;&gt;"TXO"),L568,"")</f>
        <v/>
      </c>
      <c r="X568" s="226">
        <f>IF(AND(R568="Yes",S568="Yes",L568&gt;0,B568&lt;&gt;"TXO"),L568,"")</f>
        <v/>
      </c>
      <c r="Y568" s="226">
        <f>IF(AND(R568="Yes",S568="Yes",L568&lt;0,B568&lt;&gt;"TXO"),L568,"")</f>
        <v/>
      </c>
      <c r="Z568" s="226">
        <f>IF(AND(R568="",S568="Yes",L568&gt;0,B568&lt;&gt;"TXO"),L568,"")</f>
        <v/>
      </c>
      <c r="AA568" s="226">
        <f>IF(AND(R568="",S568="Yes",L568&lt;0,B568&lt;&gt;"TXO"),L568,"")</f>
        <v/>
      </c>
    </row>
    <row r="569" hidden="1" outlineLevel="2" collapsed="1" ht="17.25" customHeight="1" thickBot="1">
      <c r="A569" s="740" t="n">
        <v>43348</v>
      </c>
      <c r="B569" s="299" t="inlineStr">
        <is>
          <t>FIMTX</t>
        </is>
      </c>
      <c r="C569" s="300" t="inlineStr">
        <is>
          <t>小指09</t>
        </is>
      </c>
      <c r="D569" s="300" t="inlineStr">
        <is>
          <t>平倉</t>
        </is>
      </c>
      <c r="E569" s="301" t="inlineStr">
        <is>
          <t>買</t>
        </is>
      </c>
      <c r="F569" s="300" t="inlineStr">
        <is>
          <t>-</t>
        </is>
      </c>
      <c r="G569" s="741" t="n">
        <v>3</v>
      </c>
      <c r="H569" s="741" t="n">
        <v>10914</v>
      </c>
      <c r="I569" s="741" t="n">
        <v>0</v>
      </c>
      <c r="J569" s="742" t="n">
        <v>69</v>
      </c>
      <c r="K569" s="742" t="n">
        <v>33</v>
      </c>
      <c r="L569" s="742">
        <f>IF(B569="TXO",I569-SUM(J569:K569),IF(B569="FITX",IF(D569="新倉",-SUM(J569:K569),IF(E569="賣",(H569-H568)*G569*200-SUM(J569:K569),(H568-H569)*G569*200-SUM(J569:K569))),IF(D569="新倉",-SUM(J569:K569),IF(E569="賣",(H569-H568)*G569*50-SUM(J569:K569),(H568-H569)*G569*50-SUM(J569:K569)))))</f>
        <v/>
      </c>
      <c r="M569" s="743">
        <f>L569</f>
        <v/>
      </c>
      <c r="N569" s="686">
        <f>IF(B569="TXO","",IF(D569="新倉","",IF(E569="賣",(H569-H568)*G569,(H568-H569)*G569)))</f>
        <v/>
      </c>
      <c r="O569" s="226" t="n">
        <v>0</v>
      </c>
      <c r="P569" s="667" t="n"/>
      <c r="Q569" s="249" t="inlineStr">
        <is>
          <t>碰10MA停損</t>
        </is>
      </c>
      <c r="R569" s="249" t="inlineStr">
        <is>
          <t>Yes</t>
        </is>
      </c>
      <c r="S569" s="739" t="n"/>
      <c r="T569" s="61">
        <f>IF(AND(R569="Yes",S569&lt;&gt;"Yes",L569&gt;0,B569&lt;&gt;"TXO"),L569,"")</f>
        <v/>
      </c>
      <c r="U569" s="61">
        <f>IF(AND(R569="Yes",S569&lt;&gt;"Yes",L569&lt;0,B569&lt;&gt;"TXO"),L569,"")</f>
        <v/>
      </c>
      <c r="V569" s="61">
        <f>IF(AND(R569="",S569&lt;&gt;"Yes",L569&gt;0,B569&lt;&gt;"TXO"),L569,"")</f>
        <v/>
      </c>
      <c r="W569" s="61">
        <f>IF(AND(R569="",S569&lt;&gt;"Yes",L569&lt;0,B569&lt;&gt;"TXO"),L569,"")</f>
        <v/>
      </c>
      <c r="X569" s="226">
        <f>IF(AND(R569="Yes",S569="Yes",L569&gt;0,B569&lt;&gt;"TXO"),L569,"")</f>
        <v/>
      </c>
      <c r="Y569" s="226">
        <f>IF(AND(R569="Yes",S569="Yes",L569&lt;0,B569&lt;&gt;"TXO"),L569,"")</f>
        <v/>
      </c>
      <c r="Z569" s="226">
        <f>IF(AND(R569="",S569="Yes",L569&gt;0,B569&lt;&gt;"TXO"),L569,"")</f>
        <v/>
      </c>
      <c r="AA569" s="226">
        <f>IF(AND(R569="",S569="Yes",L569&lt;0,B569&lt;&gt;"TXO"),L569,"")</f>
        <v/>
      </c>
    </row>
    <row r="570" hidden="1" outlineLevel="1" ht="17.25" customHeight="1" thickBot="1">
      <c r="A570" s="696" t="n">
        <v>43349</v>
      </c>
      <c r="B570" s="234" t="inlineStr">
        <is>
          <t>FIMTX</t>
        </is>
      </c>
      <c r="C570" s="229" t="inlineStr">
        <is>
          <t>小指09</t>
        </is>
      </c>
      <c r="D570" s="229" t="inlineStr">
        <is>
          <t>新倉</t>
        </is>
      </c>
      <c r="E570" s="257" t="inlineStr">
        <is>
          <t>賣</t>
        </is>
      </c>
      <c r="F570" s="229" t="inlineStr">
        <is>
          <t>-</t>
        </is>
      </c>
      <c r="G570" s="697" t="n">
        <v>2</v>
      </c>
      <c r="H570" s="697" t="n">
        <v>10871</v>
      </c>
      <c r="I570" s="697" t="n">
        <v>0</v>
      </c>
      <c r="J570" s="585" t="n">
        <v>46</v>
      </c>
      <c r="K570" s="585" t="n">
        <v>22</v>
      </c>
      <c r="L570" s="585">
        <f>IF(B570="TXO",I570-SUM(J570:K570),IF(B570="FITX",IF(D570="新倉",-SUM(J570:K570),IF(E570="賣",(H570-H569)*G570*200-SUM(J570:K570),(H569-H570)*G570*200-SUM(J570:K570))),IF(D570="新倉",-SUM(J570:K570),IF(E570="賣",(H570-H569)*G570*50-SUM(J570:K570),(H569-H570)*G570*50-SUM(J570:K570)))))</f>
        <v/>
      </c>
      <c r="M570" s="699">
        <f>L570</f>
        <v/>
      </c>
      <c r="N570" s="686">
        <f>IF(B570="TXO","",IF(D570="新倉","",IF(E570="賣",(H570-H569)*G570,(H569-H570)*G570)))</f>
        <v/>
      </c>
      <c r="O570" s="226">
        <f>ABS(I570)</f>
        <v/>
      </c>
      <c r="P570" s="667">
        <f>SUM(L570:L591)</f>
        <v/>
      </c>
      <c r="Q570" s="310" t="inlineStr">
        <is>
          <t>手癢單，追跌</t>
        </is>
      </c>
      <c r="R570" s="310" t="n"/>
      <c r="S570" s="739" t="n"/>
      <c r="T570" s="61">
        <f>IF(AND(R570="Yes",S570&lt;&gt;"Yes",L570&gt;0,B570&lt;&gt;"TXO"),L570,"")</f>
        <v/>
      </c>
      <c r="U570" s="61">
        <f>IF(AND(R570="Yes",S570&lt;&gt;"Yes",L570&lt;0,B570&lt;&gt;"TXO"),L570,"")</f>
        <v/>
      </c>
      <c r="V570" s="61">
        <f>IF(AND(R570="",S570&lt;&gt;"Yes",L570&gt;0,B570&lt;&gt;"TXO"),L570,"")</f>
        <v/>
      </c>
      <c r="W570" s="61">
        <f>IF(AND(R570="",S570&lt;&gt;"Yes",L570&lt;0,B570&lt;&gt;"TXO"),L570,"")</f>
        <v/>
      </c>
      <c r="X570" s="226">
        <f>IF(AND(R570="Yes",S570="Yes",L570&gt;0,B570&lt;&gt;"TXO"),L570,"")</f>
        <v/>
      </c>
      <c r="Y570" s="226">
        <f>IF(AND(R570="Yes",S570="Yes",L570&lt;0,B570&lt;&gt;"TXO"),L570,"")</f>
        <v/>
      </c>
      <c r="Z570" s="226">
        <f>IF(AND(R570="",S570="Yes",L570&gt;0,B570&lt;&gt;"TXO"),L570,"")</f>
        <v/>
      </c>
      <c r="AA570" s="226">
        <f>IF(AND(R570="",S570="Yes",L570&lt;0,B570&lt;&gt;"TXO"),L570,"")</f>
        <v/>
      </c>
    </row>
    <row r="571" hidden="1" outlineLevel="2" ht="17.25" customHeight="1" thickBot="1">
      <c r="A571" s="696" t="n">
        <v>43349</v>
      </c>
      <c r="B571" s="234" t="inlineStr">
        <is>
          <t>FIMTX</t>
        </is>
      </c>
      <c r="C571" s="229" t="inlineStr">
        <is>
          <t>小指09</t>
        </is>
      </c>
      <c r="D571" s="229" t="inlineStr">
        <is>
          <t>平倉</t>
        </is>
      </c>
      <c r="E571" s="257" t="inlineStr">
        <is>
          <t>買</t>
        </is>
      </c>
      <c r="F571" s="229" t="inlineStr">
        <is>
          <t>-</t>
        </is>
      </c>
      <c r="G571" s="697" t="n">
        <v>2</v>
      </c>
      <c r="H571" s="697" t="n">
        <v>10870</v>
      </c>
      <c r="I571" s="697" t="n">
        <v>0</v>
      </c>
      <c r="J571" s="585" t="n">
        <v>46</v>
      </c>
      <c r="K571" s="585" t="n">
        <v>22</v>
      </c>
      <c r="L571" s="585">
        <f>IF(B571="TXO",I571-SUM(J571:K571),IF(B571="FITX",IF(D571="新倉",-SUM(J571:K571),IF(E571="賣",(H571-H570)*G571*200-SUM(J571:K571),(H570-H571)*G571*200-SUM(J571:K571))),IF(D571="新倉",-SUM(J571:K571),IF(E571="賣",(H571-H570)*G571*50-SUM(J571:K571),(H570-H571)*G571*50-SUM(J571:K571)))))</f>
        <v/>
      </c>
      <c r="M571" s="699">
        <f>L571</f>
        <v/>
      </c>
      <c r="N571" s="686">
        <f>IF(B571="TXO","",IF(D571="新倉","",IF(E571="賣",(H571-H570)*G571,(H570-H571)*G571)))</f>
        <v/>
      </c>
      <c r="O571" s="226">
        <f>ABS(I571)</f>
        <v/>
      </c>
      <c r="P571" s="667" t="n"/>
      <c r="Q571" s="311" t="inlineStr">
        <is>
          <t>反向，急出場</t>
        </is>
      </c>
      <c r="R571" s="311" t="n"/>
      <c r="S571" s="739" t="n"/>
      <c r="T571" s="61">
        <f>IF(AND(R571="Yes",S571&lt;&gt;"Yes",L571&gt;0,B571&lt;&gt;"TXO"),L571,"")</f>
        <v/>
      </c>
      <c r="U571" s="61">
        <f>IF(AND(R571="Yes",S571&lt;&gt;"Yes",L571&lt;0,B571&lt;&gt;"TXO"),L571,"")</f>
        <v/>
      </c>
      <c r="V571" s="61">
        <f>IF(AND(R571="",S571&lt;&gt;"Yes",L571&gt;0,B571&lt;&gt;"TXO"),L571,"")</f>
        <v/>
      </c>
      <c r="W571" s="61">
        <f>IF(AND(R571="",S571&lt;&gt;"Yes",L571&lt;0,B571&lt;&gt;"TXO"),L571,"")</f>
        <v/>
      </c>
      <c r="X571" s="226">
        <f>IF(AND(R571="Yes",S571="Yes",L571&gt;0,B571&lt;&gt;"TXO"),L571,"")</f>
        <v/>
      </c>
      <c r="Y571" s="226">
        <f>IF(AND(R571="Yes",S571="Yes",L571&lt;0,B571&lt;&gt;"TXO"),L571,"")</f>
        <v/>
      </c>
      <c r="Z571" s="226">
        <f>IF(AND(R571="",S571="Yes",L571&gt;0,B571&lt;&gt;"TXO"),L571,"")</f>
        <v/>
      </c>
      <c r="AA571" s="226">
        <f>IF(AND(R571="",S571="Yes",L571&lt;0,B571&lt;&gt;"TXO"),L571,"")</f>
        <v/>
      </c>
    </row>
    <row r="572" hidden="1" outlineLevel="2" ht="17.25" customHeight="1" thickBot="1">
      <c r="A572" s="696" t="n">
        <v>43349</v>
      </c>
      <c r="B572" s="234" t="inlineStr">
        <is>
          <t>FIMTX</t>
        </is>
      </c>
      <c r="C572" s="229" t="inlineStr">
        <is>
          <t>小指09</t>
        </is>
      </c>
      <c r="D572" s="229" t="inlineStr">
        <is>
          <t>新倉</t>
        </is>
      </c>
      <c r="E572" s="257" t="inlineStr">
        <is>
          <t>賣</t>
        </is>
      </c>
      <c r="F572" s="229" t="inlineStr">
        <is>
          <t>-</t>
        </is>
      </c>
      <c r="G572" s="697" t="n">
        <v>1</v>
      </c>
      <c r="H572" s="697" t="n">
        <v>10879</v>
      </c>
      <c r="I572" s="697" t="n">
        <v>0</v>
      </c>
      <c r="J572" s="585" t="n">
        <v>23</v>
      </c>
      <c r="K572" s="585" t="n">
        <v>11</v>
      </c>
      <c r="L572" s="585">
        <f>IF(B572="TXO",I572-SUM(J572:K572),IF(B572="FITX",IF(D572="新倉",-SUM(J572:K572),IF(E572="賣",(H572-H571)*G572*200-SUM(J572:K572),(H571-H572)*G572*200-SUM(J572:K572))),IF(D572="新倉",-SUM(J572:K572),IF(E572="賣",(H572-H571)*G572*50-SUM(J572:K572),(H571-H572)*G572*50-SUM(J572:K572)))))</f>
        <v/>
      </c>
      <c r="M572" s="699">
        <f>L572</f>
        <v/>
      </c>
      <c r="N572" s="686">
        <f>IF(B572="TXO","",IF(D572="新倉","",IF(E572="賣",(H572-H571)*G572,(H571-H572)*G572)))</f>
        <v/>
      </c>
      <c r="O572" s="226">
        <f>ABS(I572)</f>
        <v/>
      </c>
      <c r="P572" s="667" t="n"/>
      <c r="Q572" s="310" t="inlineStr">
        <is>
          <t>手癢單</t>
        </is>
      </c>
      <c r="R572" s="310" t="n"/>
      <c r="S572" s="739" t="n"/>
      <c r="T572" s="61">
        <f>IF(AND(R572="Yes",S572&lt;&gt;"Yes",L572&gt;0,B572&lt;&gt;"TXO"),L572,"")</f>
        <v/>
      </c>
      <c r="U572" s="61">
        <f>IF(AND(R572="Yes",S572&lt;&gt;"Yes",L572&lt;0,B572&lt;&gt;"TXO"),L572,"")</f>
        <v/>
      </c>
      <c r="V572" s="61">
        <f>IF(AND(R572="",S572&lt;&gt;"Yes",L572&gt;0,B572&lt;&gt;"TXO"),L572,"")</f>
        <v/>
      </c>
      <c r="W572" s="61">
        <f>IF(AND(R572="",S572&lt;&gt;"Yes",L572&lt;0,B572&lt;&gt;"TXO"),L572,"")</f>
        <v/>
      </c>
      <c r="X572" s="226">
        <f>IF(AND(R572="Yes",S572="Yes",L572&gt;0,B572&lt;&gt;"TXO"),L572,"")</f>
        <v/>
      </c>
      <c r="Y572" s="226">
        <f>IF(AND(R572="Yes",S572="Yes",L572&lt;0,B572&lt;&gt;"TXO"),L572,"")</f>
        <v/>
      </c>
      <c r="Z572" s="226">
        <f>IF(AND(R572="",S572="Yes",L572&gt;0,B572&lt;&gt;"TXO"),L572,"")</f>
        <v/>
      </c>
      <c r="AA572" s="226">
        <f>IF(AND(R572="",S572="Yes",L572&lt;0,B572&lt;&gt;"TXO"),L572,"")</f>
        <v/>
      </c>
    </row>
    <row r="573" hidden="1" outlineLevel="2" ht="17.25" customHeight="1" thickBot="1">
      <c r="A573" s="696" t="n">
        <v>43349</v>
      </c>
      <c r="B573" s="234" t="inlineStr">
        <is>
          <t>FIMTX</t>
        </is>
      </c>
      <c r="C573" s="229" t="inlineStr">
        <is>
          <t>小指09</t>
        </is>
      </c>
      <c r="D573" s="229" t="inlineStr">
        <is>
          <t>平倉</t>
        </is>
      </c>
      <c r="E573" s="257" t="inlineStr">
        <is>
          <t>買</t>
        </is>
      </c>
      <c r="F573" s="229" t="inlineStr">
        <is>
          <t>-</t>
        </is>
      </c>
      <c r="G573" s="697" t="n">
        <v>1</v>
      </c>
      <c r="H573" s="697" t="n">
        <v>10888</v>
      </c>
      <c r="I573" s="697" t="n">
        <v>0</v>
      </c>
      <c r="J573" s="585" t="n">
        <v>23</v>
      </c>
      <c r="K573" s="585" t="n">
        <v>11</v>
      </c>
      <c r="L573" s="585">
        <f>IF(B573="TXO",I573-SUM(J573:K573),IF(B573="FITX",IF(D573="新倉",-SUM(J573:K573),IF(E573="賣",(H573-H572)*G573*200-SUM(J573:K573),(H572-H573)*G573*200-SUM(J573:K573))),IF(D573="新倉",-SUM(J573:K573),IF(E573="賣",(H573-H572)*G573*50-SUM(J573:K573),(H572-H573)*G573*50-SUM(J573:K573)))))</f>
        <v/>
      </c>
      <c r="M573" s="699">
        <f>L573</f>
        <v/>
      </c>
      <c r="N573" s="686">
        <f>IF(B573="TXO","",IF(D573="新倉","",IF(E573="賣",(H573-H572)*G573,(H572-H573)*G573)))</f>
        <v/>
      </c>
      <c r="O573" s="226">
        <f>ABS(I573)</f>
        <v/>
      </c>
      <c r="P573" s="667" t="n"/>
      <c r="Q573" s="311" t="inlineStr">
        <is>
          <t>反向，停損</t>
        </is>
      </c>
      <c r="R573" s="311" t="n"/>
      <c r="S573" s="739" t="n"/>
      <c r="T573" s="61">
        <f>IF(AND(R573="Yes",S573&lt;&gt;"Yes",L573&gt;0,B573&lt;&gt;"TXO"),L573,"")</f>
        <v/>
      </c>
      <c r="U573" s="61">
        <f>IF(AND(R573="Yes",S573&lt;&gt;"Yes",L573&lt;0,B573&lt;&gt;"TXO"),L573,"")</f>
        <v/>
      </c>
      <c r="V573" s="61">
        <f>IF(AND(R573="",S573&lt;&gt;"Yes",L573&gt;0,B573&lt;&gt;"TXO"),L573,"")</f>
        <v/>
      </c>
      <c r="W573" s="61">
        <f>IF(AND(R573="",S573&lt;&gt;"Yes",L573&lt;0,B573&lt;&gt;"TXO"),L573,"")</f>
        <v/>
      </c>
      <c r="X573" s="226">
        <f>IF(AND(R573="Yes",S573="Yes",L573&gt;0,B573&lt;&gt;"TXO"),L573,"")</f>
        <v/>
      </c>
      <c r="Y573" s="226">
        <f>IF(AND(R573="Yes",S573="Yes",L573&lt;0,B573&lt;&gt;"TXO"),L573,"")</f>
        <v/>
      </c>
      <c r="Z573" s="226">
        <f>IF(AND(R573="",S573="Yes",L573&gt;0,B573&lt;&gt;"TXO"),L573,"")</f>
        <v/>
      </c>
      <c r="AA573" s="226">
        <f>IF(AND(R573="",S573="Yes",L573&lt;0,B573&lt;&gt;"TXO"),L573,"")</f>
        <v/>
      </c>
    </row>
    <row r="574" hidden="1" outlineLevel="2" ht="17.25" customHeight="1" thickBot="1">
      <c r="A574" s="696" t="n">
        <v>43349</v>
      </c>
      <c r="B574" s="234" t="inlineStr">
        <is>
          <t>FIMTX</t>
        </is>
      </c>
      <c r="C574" s="229" t="inlineStr">
        <is>
          <t>小指09</t>
        </is>
      </c>
      <c r="D574" s="229" t="inlineStr">
        <is>
          <t>新倉</t>
        </is>
      </c>
      <c r="E574" s="257" t="inlineStr">
        <is>
          <t>賣</t>
        </is>
      </c>
      <c r="F574" s="229" t="inlineStr">
        <is>
          <t>-</t>
        </is>
      </c>
      <c r="G574" s="697" t="n">
        <v>1</v>
      </c>
      <c r="H574" s="697" t="n">
        <v>10926</v>
      </c>
      <c r="I574" s="697" t="n">
        <v>0</v>
      </c>
      <c r="J574" s="585" t="n">
        <v>23</v>
      </c>
      <c r="K574" s="585" t="n">
        <v>11</v>
      </c>
      <c r="L574" s="585">
        <f>IF(B574="TXO",I574-SUM(J574:K574),IF(B574="FITX",IF(D574="新倉",-SUM(J574:K574),IF(E574="賣",(H574-H573)*G574*200-SUM(J574:K574),(H573-H574)*G574*200-SUM(J574:K574))),IF(D574="新倉",-SUM(J574:K574),IF(E574="賣",(H574-H573)*G574*50-SUM(J574:K574),(H573-H574)*G574*50-SUM(J574:K574)))))</f>
        <v/>
      </c>
      <c r="M574" s="699">
        <f>L574</f>
        <v/>
      </c>
      <c r="N574" s="686">
        <f>IF(B574="TXO","",IF(D574="新倉","",IF(E574="賣",(H574-H573)*G574,(H573-H574)*G574)))</f>
        <v/>
      </c>
      <c r="O574" s="226">
        <f>ABS(I574)</f>
        <v/>
      </c>
      <c r="P574" s="667" t="n"/>
      <c r="Q574" s="249" t="inlineStr">
        <is>
          <t>太早下單，訊號消失</t>
        </is>
      </c>
      <c r="S574" s="739" t="n"/>
      <c r="T574" s="61">
        <f>IF(AND(R574="Yes",S574&lt;&gt;"Yes",L574&gt;0,B574&lt;&gt;"TXO"),L574,"")</f>
        <v/>
      </c>
      <c r="U574" s="61">
        <f>IF(AND(R574="Yes",S574&lt;&gt;"Yes",L574&lt;0,B574&lt;&gt;"TXO"),L574,"")</f>
        <v/>
      </c>
      <c r="V574" s="61">
        <f>IF(AND(R574="",S574&lt;&gt;"Yes",L574&gt;0,B574&lt;&gt;"TXO"),L574,"")</f>
        <v/>
      </c>
      <c r="W574" s="61">
        <f>IF(AND(R574="",S574&lt;&gt;"Yes",L574&lt;0,B574&lt;&gt;"TXO"),L574,"")</f>
        <v/>
      </c>
      <c r="X574" s="226">
        <f>IF(AND(R574="Yes",S574="Yes",L574&gt;0,B574&lt;&gt;"TXO"),L574,"")</f>
        <v/>
      </c>
      <c r="Y574" s="226">
        <f>IF(AND(R574="Yes",S574="Yes",L574&lt;0,B574&lt;&gt;"TXO"),L574,"")</f>
        <v/>
      </c>
      <c r="Z574" s="226">
        <f>IF(AND(R574="",S574="Yes",L574&gt;0,B574&lt;&gt;"TXO"),L574,"")</f>
        <v/>
      </c>
      <c r="AA574" s="226">
        <f>IF(AND(R574="",S574="Yes",L574&lt;0,B574&lt;&gt;"TXO"),L574,"")</f>
        <v/>
      </c>
    </row>
    <row r="575" hidden="1" outlineLevel="2" ht="17.25" customHeight="1" thickBot="1">
      <c r="A575" s="696" t="n">
        <v>43349</v>
      </c>
      <c r="B575" s="234" t="inlineStr">
        <is>
          <t>FIMTX</t>
        </is>
      </c>
      <c r="C575" s="229" t="inlineStr">
        <is>
          <t>小指09</t>
        </is>
      </c>
      <c r="D575" s="229" t="inlineStr">
        <is>
          <t>平倉</t>
        </is>
      </c>
      <c r="E575" s="257" t="inlineStr">
        <is>
          <t>買</t>
        </is>
      </c>
      <c r="F575" s="229" t="inlineStr">
        <is>
          <t>-</t>
        </is>
      </c>
      <c r="G575" s="697" t="n">
        <v>1</v>
      </c>
      <c r="H575" s="697" t="n">
        <v>10942</v>
      </c>
      <c r="I575" s="697" t="n">
        <v>0</v>
      </c>
      <c r="J575" s="585" t="n">
        <v>23</v>
      </c>
      <c r="K575" s="585" t="n">
        <v>11</v>
      </c>
      <c r="L575" s="585">
        <f>IF(B575="TXO",I575-SUM(J575:K575),IF(B575="FITX",IF(D575="新倉",-SUM(J575:K575),IF(E575="賣",(H575-H574)*G575*200-SUM(J575:K575),(H574-H575)*G575*200-SUM(J575:K575))),IF(D575="新倉",-SUM(J575:K575),IF(E575="賣",(H575-H574)*G575*50-SUM(J575:K575),(H574-H575)*G575*50-SUM(J575:K575)))))</f>
        <v/>
      </c>
      <c r="M575" s="699">
        <f>L575</f>
        <v/>
      </c>
      <c r="N575" s="686">
        <f>IF(B575="TXO","",IF(D575="新倉","",IF(E575="賣",(H575-H574)*G575,(H574-H575)*G575)))</f>
        <v/>
      </c>
      <c r="O575" s="226">
        <f>ABS(I575)</f>
        <v/>
      </c>
      <c r="P575" s="667" t="n"/>
      <c r="Q575" s="311" t="inlineStr">
        <is>
          <t>反向，停損</t>
        </is>
      </c>
      <c r="R575" s="311" t="n"/>
      <c r="S575" s="739" t="n"/>
      <c r="T575" s="61">
        <f>IF(AND(R575="Yes",S575&lt;&gt;"Yes",L575&gt;0,B575&lt;&gt;"TXO"),L575,"")</f>
        <v/>
      </c>
      <c r="U575" s="61">
        <f>IF(AND(R575="Yes",S575&lt;&gt;"Yes",L575&lt;0,B575&lt;&gt;"TXO"),L575,"")</f>
        <v/>
      </c>
      <c r="V575" s="61">
        <f>IF(AND(R575="",S575&lt;&gt;"Yes",L575&gt;0,B575&lt;&gt;"TXO"),L575,"")</f>
        <v/>
      </c>
      <c r="W575" s="61">
        <f>IF(AND(R575="",S575&lt;&gt;"Yes",L575&lt;0,B575&lt;&gt;"TXO"),L575,"")</f>
        <v/>
      </c>
      <c r="X575" s="226">
        <f>IF(AND(R575="Yes",S575="Yes",L575&gt;0,B575&lt;&gt;"TXO"),L575,"")</f>
        <v/>
      </c>
      <c r="Y575" s="226">
        <f>IF(AND(R575="Yes",S575="Yes",L575&lt;0,B575&lt;&gt;"TXO"),L575,"")</f>
        <v/>
      </c>
      <c r="Z575" s="226">
        <f>IF(AND(R575="",S575="Yes",L575&gt;0,B575&lt;&gt;"TXO"),L575,"")</f>
        <v/>
      </c>
      <c r="AA575" s="226">
        <f>IF(AND(R575="",S575="Yes",L575&lt;0,B575&lt;&gt;"TXO"),L575,"")</f>
        <v/>
      </c>
    </row>
    <row r="576" hidden="1" outlineLevel="2" ht="17.25" customHeight="1" thickBot="1">
      <c r="A576" s="696" t="n">
        <v>43349</v>
      </c>
      <c r="B576" s="234" t="inlineStr">
        <is>
          <t>FIMTX</t>
        </is>
      </c>
      <c r="C576" s="229" t="inlineStr">
        <is>
          <t>小指09</t>
        </is>
      </c>
      <c r="D576" s="229" t="inlineStr">
        <is>
          <t>新倉</t>
        </is>
      </c>
      <c r="E576" s="257" t="inlineStr">
        <is>
          <t>賣</t>
        </is>
      </c>
      <c r="F576" s="229" t="inlineStr">
        <is>
          <t>-</t>
        </is>
      </c>
      <c r="G576" s="697" t="n">
        <v>1</v>
      </c>
      <c r="H576" s="697" t="n">
        <v>10926</v>
      </c>
      <c r="I576" s="697" t="n">
        <v>0</v>
      </c>
      <c r="J576" s="585" t="n">
        <v>23</v>
      </c>
      <c r="K576" s="585" t="n">
        <v>11</v>
      </c>
      <c r="L576" s="585">
        <f>IF(B576="TXO",I576-SUM(J576:K576),IF(B576="FITX",IF(D576="新倉",-SUM(J576:K576),IF(E576="賣",(H576-H575)*G576*200-SUM(J576:K576),(H575-H576)*G576*200-SUM(J576:K576))),IF(D576="新倉",-SUM(J576:K576),IF(E576="賣",(H576-H575)*G576*50-SUM(J576:K576),(H575-H576)*G576*50-SUM(J576:K576)))))</f>
        <v/>
      </c>
      <c r="M576" s="699">
        <f>L576</f>
        <v/>
      </c>
      <c r="N576" s="686">
        <f>IF(B576="TXO","",IF(D576="新倉","",IF(E576="賣",(H576-H575)*G576,(H575-H576)*G576)))</f>
        <v/>
      </c>
      <c r="O576" s="226">
        <f>ABS(I576)</f>
        <v/>
      </c>
      <c r="P576" s="667" t="n"/>
      <c r="S576" s="739" t="n"/>
      <c r="T576" s="61">
        <f>IF(AND(R576="Yes",S576&lt;&gt;"Yes",L576&gt;0,B576&lt;&gt;"TXO"),L576,"")</f>
        <v/>
      </c>
      <c r="U576" s="61">
        <f>IF(AND(R576="Yes",S576&lt;&gt;"Yes",L576&lt;0,B576&lt;&gt;"TXO"),L576,"")</f>
        <v/>
      </c>
      <c r="V576" s="61">
        <f>IF(AND(R576="",S576&lt;&gt;"Yes",L576&gt;0,B576&lt;&gt;"TXO"),L576,"")</f>
        <v/>
      </c>
      <c r="W576" s="61">
        <f>IF(AND(R576="",S576&lt;&gt;"Yes",L576&lt;0,B576&lt;&gt;"TXO"),L576,"")</f>
        <v/>
      </c>
      <c r="X576" s="226">
        <f>IF(AND(R576="Yes",S576="Yes",L576&gt;0,B576&lt;&gt;"TXO"),L576,"")</f>
        <v/>
      </c>
      <c r="Y576" s="226">
        <f>IF(AND(R576="Yes",S576="Yes",L576&lt;0,B576&lt;&gt;"TXO"),L576,"")</f>
        <v/>
      </c>
      <c r="Z576" s="226">
        <f>IF(AND(R576="",S576="Yes",L576&gt;0,B576&lt;&gt;"TXO"),L576,"")</f>
        <v/>
      </c>
      <c r="AA576" s="226">
        <f>IF(AND(R576="",S576="Yes",L576&lt;0,B576&lt;&gt;"TXO"),L576,"")</f>
        <v/>
      </c>
    </row>
    <row r="577" hidden="1" outlineLevel="2" ht="17.25" customHeight="1" thickBot="1">
      <c r="A577" s="696" t="n">
        <v>43349</v>
      </c>
      <c r="B577" s="234" t="inlineStr">
        <is>
          <t>FIMTX</t>
        </is>
      </c>
      <c r="C577" s="229" t="inlineStr">
        <is>
          <t>小指09</t>
        </is>
      </c>
      <c r="D577" s="229" t="inlineStr">
        <is>
          <t>平倉</t>
        </is>
      </c>
      <c r="E577" s="257" t="inlineStr">
        <is>
          <t>買</t>
        </is>
      </c>
      <c r="F577" s="229" t="inlineStr">
        <is>
          <t>-</t>
        </is>
      </c>
      <c r="G577" s="697" t="n">
        <v>1</v>
      </c>
      <c r="H577" s="697" t="n">
        <v>10942</v>
      </c>
      <c r="I577" s="697" t="n">
        <v>0</v>
      </c>
      <c r="J577" s="585" t="n">
        <v>23</v>
      </c>
      <c r="K577" s="585" t="n">
        <v>11</v>
      </c>
      <c r="L577" s="585">
        <f>IF(B577="TXO",I577-SUM(J577:K577),IF(B577="FITX",IF(D577="新倉",-SUM(J577:K577),IF(E577="賣",(H577-H576)*G577*200-SUM(J577:K577),(H576-H577)*G577*200-SUM(J577:K577))),IF(D577="新倉",-SUM(J577:K577),IF(E577="賣",(H577-H576)*G577*50-SUM(J577:K577),(H576-H577)*G577*50-SUM(J577:K577)))))</f>
        <v/>
      </c>
      <c r="M577" s="699">
        <f>L577</f>
        <v/>
      </c>
      <c r="N577" s="686">
        <f>IF(B577="TXO","",IF(D577="新倉","",IF(E577="賣",(H577-H576)*G577,(H576-H577)*G577)))</f>
        <v/>
      </c>
      <c r="O577" s="226">
        <f>ABS(I577)</f>
        <v/>
      </c>
      <c r="P577" s="667" t="n"/>
      <c r="Q577" s="311" t="inlineStr">
        <is>
          <t>反向，停損</t>
        </is>
      </c>
      <c r="R577" s="311" t="n"/>
      <c r="S577" s="739" t="n"/>
      <c r="T577" s="61">
        <f>IF(AND(R577="Yes",S577&lt;&gt;"Yes",L577&gt;0,B577&lt;&gt;"TXO"),L577,"")</f>
        <v/>
      </c>
      <c r="U577" s="61">
        <f>IF(AND(R577="Yes",S577&lt;&gt;"Yes",L577&lt;0,B577&lt;&gt;"TXO"),L577,"")</f>
        <v/>
      </c>
      <c r="V577" s="61">
        <f>IF(AND(R577="",S577&lt;&gt;"Yes",L577&gt;0,B577&lt;&gt;"TXO"),L577,"")</f>
        <v/>
      </c>
      <c r="W577" s="61">
        <f>IF(AND(R577="",S577&lt;&gt;"Yes",L577&lt;0,B577&lt;&gt;"TXO"),L577,"")</f>
        <v/>
      </c>
      <c r="X577" s="226">
        <f>IF(AND(R577="Yes",S577="Yes",L577&gt;0,B577&lt;&gt;"TXO"),L577,"")</f>
        <v/>
      </c>
      <c r="Y577" s="226">
        <f>IF(AND(R577="Yes",S577="Yes",L577&lt;0,B577&lt;&gt;"TXO"),L577,"")</f>
        <v/>
      </c>
      <c r="Z577" s="226">
        <f>IF(AND(R577="",S577="Yes",L577&gt;0,B577&lt;&gt;"TXO"),L577,"")</f>
        <v/>
      </c>
      <c r="AA577" s="226">
        <f>IF(AND(R577="",S577="Yes",L577&lt;0,B577&lt;&gt;"TXO"),L577,"")</f>
        <v/>
      </c>
    </row>
    <row r="578" hidden="1" outlineLevel="2" ht="17.25" customHeight="1" thickBot="1">
      <c r="A578" s="696" t="n">
        <v>43349</v>
      </c>
      <c r="B578" s="234" t="inlineStr">
        <is>
          <t>FIMTX</t>
        </is>
      </c>
      <c r="C578" s="229" t="inlineStr">
        <is>
          <t>小指09</t>
        </is>
      </c>
      <c r="D578" s="229" t="inlineStr">
        <is>
          <t>新倉</t>
        </is>
      </c>
      <c r="E578" s="257" t="inlineStr">
        <is>
          <t>賣</t>
        </is>
      </c>
      <c r="F578" s="229" t="inlineStr">
        <is>
          <t>-</t>
        </is>
      </c>
      <c r="G578" s="697" t="n">
        <v>1</v>
      </c>
      <c r="H578" s="697" t="n">
        <v>10925</v>
      </c>
      <c r="I578" s="697" t="n">
        <v>0</v>
      </c>
      <c r="J578" s="585" t="n">
        <v>23</v>
      </c>
      <c r="K578" s="585" t="n">
        <v>11</v>
      </c>
      <c r="L578" s="585">
        <f>IF(B578="TXO",I578-SUM(J578:K578),IF(B578="FITX",IF(D578="新倉",-SUM(J578:K578),IF(E578="賣",(H578-H577)*G578*200-SUM(J578:K578),(H577-H578)*G578*200-SUM(J578:K578))),IF(D578="新倉",-SUM(J578:K578),IF(E578="賣",(H578-H577)*G578*50-SUM(J578:K578),(H577-H578)*G578*50-SUM(J578:K578)))))</f>
        <v/>
      </c>
      <c r="M578" s="699">
        <f>L578</f>
        <v/>
      </c>
      <c r="N578" s="686">
        <f>IF(B578="TXO","",IF(D578="新倉","",IF(E578="賣",(H578-H577)*G578,(H577-H578)*G578)))</f>
        <v/>
      </c>
      <c r="O578" s="226">
        <f>ABS(I578)</f>
        <v/>
      </c>
      <c r="P578" s="667" t="n"/>
      <c r="S578" s="739" t="n"/>
      <c r="T578" s="61">
        <f>IF(AND(R578="Yes",S578&lt;&gt;"Yes",L578&gt;0,B578&lt;&gt;"TXO"),L578,"")</f>
        <v/>
      </c>
      <c r="U578" s="61">
        <f>IF(AND(R578="Yes",S578&lt;&gt;"Yes",L578&lt;0,B578&lt;&gt;"TXO"),L578,"")</f>
        <v/>
      </c>
      <c r="V578" s="61">
        <f>IF(AND(R578="",S578&lt;&gt;"Yes",L578&gt;0,B578&lt;&gt;"TXO"),L578,"")</f>
        <v/>
      </c>
      <c r="W578" s="61">
        <f>IF(AND(R578="",S578&lt;&gt;"Yes",L578&lt;0,B578&lt;&gt;"TXO"),L578,"")</f>
        <v/>
      </c>
      <c r="X578" s="226">
        <f>IF(AND(R578="Yes",S578="Yes",L578&gt;0,B578&lt;&gt;"TXO"),L578,"")</f>
        <v/>
      </c>
      <c r="Y578" s="226">
        <f>IF(AND(R578="Yes",S578="Yes",L578&lt;0,B578&lt;&gt;"TXO"),L578,"")</f>
        <v/>
      </c>
      <c r="Z578" s="226">
        <f>IF(AND(R578="",S578="Yes",L578&gt;0,B578&lt;&gt;"TXO"),L578,"")</f>
        <v/>
      </c>
      <c r="AA578" s="226">
        <f>IF(AND(R578="",S578="Yes",L578&lt;0,B578&lt;&gt;"TXO"),L578,"")</f>
        <v/>
      </c>
    </row>
    <row r="579" hidden="1" outlineLevel="2" ht="17.25" customHeight="1" thickBot="1">
      <c r="A579" s="696" t="n">
        <v>43349</v>
      </c>
      <c r="B579" s="234" t="inlineStr">
        <is>
          <t>FIMTX</t>
        </is>
      </c>
      <c r="C579" s="229" t="inlineStr">
        <is>
          <t>小指09</t>
        </is>
      </c>
      <c r="D579" s="229" t="inlineStr">
        <is>
          <t>平倉</t>
        </is>
      </c>
      <c r="E579" s="257" t="inlineStr">
        <is>
          <t>買</t>
        </is>
      </c>
      <c r="F579" s="229" t="inlineStr">
        <is>
          <t>-</t>
        </is>
      </c>
      <c r="G579" s="697" t="n">
        <v>1</v>
      </c>
      <c r="H579" s="697" t="n">
        <v>10942</v>
      </c>
      <c r="I579" s="697" t="n">
        <v>0</v>
      </c>
      <c r="J579" s="585" t="n">
        <v>23</v>
      </c>
      <c r="K579" s="585" t="n">
        <v>11</v>
      </c>
      <c r="L579" s="585">
        <f>IF(B579="TXO",I579-SUM(J579:K579),IF(B579="FITX",IF(D579="新倉",-SUM(J579:K579),IF(E579="賣",(H579-H578)*G579*200-SUM(J579:K579),(H578-H579)*G579*200-SUM(J579:K579))),IF(D579="新倉",-SUM(J579:K579),IF(E579="賣",(H579-H578)*G579*50-SUM(J579:K579),(H578-H579)*G579*50-SUM(J579:K579)))))</f>
        <v/>
      </c>
      <c r="M579" s="699">
        <f>L579</f>
        <v/>
      </c>
      <c r="N579" s="686">
        <f>IF(B579="TXO","",IF(D579="新倉","",IF(E579="賣",(H579-H578)*G579,(H578-H579)*G579)))</f>
        <v/>
      </c>
      <c r="O579" s="226">
        <f>ABS(I579)</f>
        <v/>
      </c>
      <c r="P579" s="667" t="n"/>
      <c r="Q579" s="311" t="inlineStr">
        <is>
          <t>反向，停損</t>
        </is>
      </c>
      <c r="R579" s="311" t="n"/>
      <c r="S579" s="739" t="n"/>
      <c r="T579" s="61">
        <f>IF(AND(R579="Yes",S579&lt;&gt;"Yes",L579&gt;0,B579&lt;&gt;"TXO"),L579,"")</f>
        <v/>
      </c>
      <c r="U579" s="61">
        <f>IF(AND(R579="Yes",S579&lt;&gt;"Yes",L579&lt;0,B579&lt;&gt;"TXO"),L579,"")</f>
        <v/>
      </c>
      <c r="V579" s="61">
        <f>IF(AND(R579="",S579&lt;&gt;"Yes",L579&gt;0,B579&lt;&gt;"TXO"),L579,"")</f>
        <v/>
      </c>
      <c r="W579" s="61">
        <f>IF(AND(R579="",S579&lt;&gt;"Yes",L579&lt;0,B579&lt;&gt;"TXO"),L579,"")</f>
        <v/>
      </c>
      <c r="X579" s="226">
        <f>IF(AND(R579="Yes",S579="Yes",L579&gt;0,B579&lt;&gt;"TXO"),L579,"")</f>
        <v/>
      </c>
      <c r="Y579" s="226">
        <f>IF(AND(R579="Yes",S579="Yes",L579&lt;0,B579&lt;&gt;"TXO"),L579,"")</f>
        <v/>
      </c>
      <c r="Z579" s="226">
        <f>IF(AND(R579="",S579="Yes",L579&gt;0,B579&lt;&gt;"TXO"),L579,"")</f>
        <v/>
      </c>
      <c r="AA579" s="226">
        <f>IF(AND(R579="",S579="Yes",L579&lt;0,B579&lt;&gt;"TXO"),L579,"")</f>
        <v/>
      </c>
    </row>
    <row r="580" hidden="1" outlineLevel="2" ht="17.25" customHeight="1" thickBot="1">
      <c r="A580" s="696" t="n">
        <v>43349</v>
      </c>
      <c r="B580" s="234" t="inlineStr">
        <is>
          <t>FIMTX</t>
        </is>
      </c>
      <c r="C580" s="229" t="inlineStr">
        <is>
          <t>小指09</t>
        </is>
      </c>
      <c r="D580" s="229" t="inlineStr">
        <is>
          <t>新倉</t>
        </is>
      </c>
      <c r="E580" s="257" t="inlineStr">
        <is>
          <t>賣</t>
        </is>
      </c>
      <c r="F580" s="229" t="inlineStr">
        <is>
          <t>-</t>
        </is>
      </c>
      <c r="G580" s="697" t="n">
        <v>1</v>
      </c>
      <c r="H580" s="697" t="n">
        <v>10920</v>
      </c>
      <c r="I580" s="697" t="n">
        <v>0</v>
      </c>
      <c r="J580" s="585" t="n">
        <v>23</v>
      </c>
      <c r="K580" s="585" t="n">
        <v>11</v>
      </c>
      <c r="L580" s="585">
        <f>IF(B580="TXO",I580-SUM(J580:K580),IF(B580="FITX",IF(D580="新倉",-SUM(J580:K580),IF(E580="賣",(H580-H579)*G580*200-SUM(J580:K580),(H579-H580)*G580*200-SUM(J580:K580))),IF(D580="新倉",-SUM(J580:K580),IF(E580="賣",(H580-H579)*G580*50-SUM(J580:K580),(H579-H580)*G580*50-SUM(J580:K580)))))</f>
        <v/>
      </c>
      <c r="M580" s="699">
        <f>L580</f>
        <v/>
      </c>
      <c r="N580" s="686">
        <f>IF(B580="TXO","",IF(D580="新倉","",IF(E580="賣",(H580-H579)*G580,(H579-H580)*G580)))</f>
        <v/>
      </c>
      <c r="O580" s="226">
        <f>ABS(I580)</f>
        <v/>
      </c>
      <c r="P580" s="667" t="n"/>
      <c r="Q580" s="249" t="inlineStr">
        <is>
          <t>技法: 3/3 買進</t>
        </is>
      </c>
      <c r="R580" s="249" t="inlineStr">
        <is>
          <t>Yes</t>
        </is>
      </c>
      <c r="S580" s="739" t="n"/>
      <c r="T580" s="61">
        <f>IF(AND(R580="Yes",S580&lt;&gt;"Yes",L580&gt;0,B580&lt;&gt;"TXO"),L580,"")</f>
        <v/>
      </c>
      <c r="U580" s="61">
        <f>IF(AND(R580="Yes",S580&lt;&gt;"Yes",L580&lt;0,B580&lt;&gt;"TXO"),L580,"")</f>
        <v/>
      </c>
      <c r="V580" s="61">
        <f>IF(AND(R580="",S580&lt;&gt;"Yes",L580&gt;0,B580&lt;&gt;"TXO"),L580,"")</f>
        <v/>
      </c>
      <c r="W580" s="61">
        <f>IF(AND(R580="",S580&lt;&gt;"Yes",L580&lt;0,B580&lt;&gt;"TXO"),L580,"")</f>
        <v/>
      </c>
      <c r="X580" s="226">
        <f>IF(AND(R580="Yes",S580="Yes",L580&gt;0,B580&lt;&gt;"TXO"),L580,"")</f>
        <v/>
      </c>
      <c r="Y580" s="226">
        <f>IF(AND(R580="Yes",S580="Yes",L580&lt;0,B580&lt;&gt;"TXO"),L580,"")</f>
        <v/>
      </c>
      <c r="Z580" s="226">
        <f>IF(AND(R580="",S580="Yes",L580&gt;0,B580&lt;&gt;"TXO"),L580,"")</f>
        <v/>
      </c>
      <c r="AA580" s="226">
        <f>IF(AND(R580="",S580="Yes",L580&lt;0,B580&lt;&gt;"TXO"),L580,"")</f>
        <v/>
      </c>
    </row>
    <row r="581" hidden="1" outlineLevel="2" ht="17.25" customHeight="1" thickBot="1">
      <c r="A581" s="696" t="n">
        <v>43349</v>
      </c>
      <c r="B581" s="234" t="inlineStr">
        <is>
          <t>FIMTX</t>
        </is>
      </c>
      <c r="C581" s="229" t="inlineStr">
        <is>
          <t>小指09</t>
        </is>
      </c>
      <c r="D581" s="229" t="inlineStr">
        <is>
          <t>平倉</t>
        </is>
      </c>
      <c r="E581" s="257" t="inlineStr">
        <is>
          <t>買</t>
        </is>
      </c>
      <c r="F581" s="229" t="inlineStr">
        <is>
          <t>-</t>
        </is>
      </c>
      <c r="G581" s="697" t="n">
        <v>1</v>
      </c>
      <c r="H581" s="697" t="n">
        <v>10915</v>
      </c>
      <c r="I581" s="697" t="n">
        <v>0</v>
      </c>
      <c r="J581" s="585" t="n">
        <v>23</v>
      </c>
      <c r="K581" s="585" t="n">
        <v>11</v>
      </c>
      <c r="L581" s="585">
        <f>IF(B581="TXO",I581-SUM(J581:K581),IF(B581="FITX",IF(D581="新倉",-SUM(J581:K581),IF(E581="賣",(H581-H580)*G581*200-SUM(J581:K581),(H580-H581)*G581*200-SUM(J581:K581))),IF(D581="新倉",-SUM(J581:K581),IF(E581="賣",(H581-H580)*G581*50-SUM(J581:K581),(H580-H581)*G581*50-SUM(J581:K581)))))</f>
        <v/>
      </c>
      <c r="M581" s="699">
        <f>L581</f>
        <v/>
      </c>
      <c r="N581" s="686">
        <f>IF(B581="TXO","",IF(D581="新倉","",IF(E581="賣",(H581-H580)*G581,(H580-H581)*G581)))</f>
        <v/>
      </c>
      <c r="O581" s="226">
        <f>ABS(I581)</f>
        <v/>
      </c>
      <c r="P581" s="667" t="n"/>
      <c r="Q581" s="249" t="inlineStr">
        <is>
          <t>技法: 刺補</t>
        </is>
      </c>
      <c r="R581" s="249" t="inlineStr">
        <is>
          <t>Yes</t>
        </is>
      </c>
      <c r="S581" s="739" t="n"/>
      <c r="T581" s="61">
        <f>IF(AND(R581="Yes",S581&lt;&gt;"Yes",L581&gt;0,B581&lt;&gt;"TXO"),L581,"")</f>
        <v/>
      </c>
      <c r="U581" s="61">
        <f>IF(AND(R581="Yes",S581&lt;&gt;"Yes",L581&lt;0,B581&lt;&gt;"TXO"),L581,"")</f>
        <v/>
      </c>
      <c r="V581" s="61">
        <f>IF(AND(R581="",S581&lt;&gt;"Yes",L581&gt;0,B581&lt;&gt;"TXO"),L581,"")</f>
        <v/>
      </c>
      <c r="W581" s="61">
        <f>IF(AND(R581="",S581&lt;&gt;"Yes",L581&lt;0,B581&lt;&gt;"TXO"),L581,"")</f>
        <v/>
      </c>
      <c r="X581" s="226">
        <f>IF(AND(R581="Yes",S581="Yes",L581&gt;0,B581&lt;&gt;"TXO"),L581,"")</f>
        <v/>
      </c>
      <c r="Y581" s="226">
        <f>IF(AND(R581="Yes",S581="Yes",L581&lt;0,B581&lt;&gt;"TXO"),L581,"")</f>
        <v/>
      </c>
      <c r="Z581" s="226">
        <f>IF(AND(R581="",S581="Yes",L581&gt;0,B581&lt;&gt;"TXO"),L581,"")</f>
        <v/>
      </c>
      <c r="AA581" s="226">
        <f>IF(AND(R581="",S581="Yes",L581&lt;0,B581&lt;&gt;"TXO"),L581,"")</f>
        <v/>
      </c>
    </row>
    <row r="582" hidden="1" outlineLevel="2" ht="17.25" customHeight="1" thickBot="1">
      <c r="A582" s="696" t="n">
        <v>43349</v>
      </c>
      <c r="B582" s="234" t="inlineStr">
        <is>
          <t>FIMTX</t>
        </is>
      </c>
      <c r="C582" s="229" t="inlineStr">
        <is>
          <t>小指09</t>
        </is>
      </c>
      <c r="D582" s="229" t="inlineStr">
        <is>
          <t>新倉</t>
        </is>
      </c>
      <c r="E582" s="257" t="inlineStr">
        <is>
          <t>賣</t>
        </is>
      </c>
      <c r="F582" s="229" t="inlineStr">
        <is>
          <t>-</t>
        </is>
      </c>
      <c r="G582" s="697" t="n">
        <v>2</v>
      </c>
      <c r="H582" s="697" t="n">
        <v>10914</v>
      </c>
      <c r="I582" s="697" t="n">
        <v>0</v>
      </c>
      <c r="J582" s="585" t="n">
        <v>46</v>
      </c>
      <c r="K582" s="585" t="n">
        <v>22</v>
      </c>
      <c r="L582" s="585">
        <f>IF(B582="TXO",I582-SUM(J582:K582),IF(B582="FITX",IF(D582="新倉",-SUM(J582:K582),IF(E582="賣",(H582-H581)*G582*200-SUM(J582:K582),(H581-H582)*G582*200-SUM(J582:K582))),IF(D582="新倉",-SUM(J582:K582),IF(E582="賣",(H582-H581)*G582*50-SUM(J582:K582),(H581-H582)*G582*50-SUM(J582:K582)))))</f>
        <v/>
      </c>
      <c r="M582" s="699">
        <f>L582</f>
        <v/>
      </c>
      <c r="N582" s="686">
        <f>IF(B582="TXO","",IF(D582="新倉","",IF(E582="賣",(H582-H581)*G582,(H581-H582)*G582)))</f>
        <v/>
      </c>
      <c r="O582" s="226">
        <f>ABS(I582)</f>
        <v/>
      </c>
      <c r="P582" s="667" t="n"/>
      <c r="Q582" s="249" t="inlineStr">
        <is>
          <t>技法: 3/3 追單</t>
        </is>
      </c>
      <c r="R582" s="249" t="inlineStr">
        <is>
          <t>Yes</t>
        </is>
      </c>
      <c r="S582" s="739" t="n"/>
      <c r="T582" s="61">
        <f>IF(AND(R582="Yes",S582&lt;&gt;"Yes",L582&gt;0,B582&lt;&gt;"TXO"),L582,"")</f>
        <v/>
      </c>
      <c r="U582" s="61">
        <f>IF(AND(R582="Yes",S582&lt;&gt;"Yes",L582&lt;0,B582&lt;&gt;"TXO"),L582,"")</f>
        <v/>
      </c>
      <c r="V582" s="61">
        <f>IF(AND(R582="",S582&lt;&gt;"Yes",L582&gt;0,B582&lt;&gt;"TXO"),L582,"")</f>
        <v/>
      </c>
      <c r="W582" s="61">
        <f>IF(AND(R582="",S582&lt;&gt;"Yes",L582&lt;0,B582&lt;&gt;"TXO"),L582,"")</f>
        <v/>
      </c>
      <c r="X582" s="226">
        <f>IF(AND(R582="Yes",S582="Yes",L582&gt;0,B582&lt;&gt;"TXO"),L582,"")</f>
        <v/>
      </c>
      <c r="Y582" s="226">
        <f>IF(AND(R582="Yes",S582="Yes",L582&lt;0,B582&lt;&gt;"TXO"),L582,"")</f>
        <v/>
      </c>
      <c r="Z582" s="226">
        <f>IF(AND(R582="",S582="Yes",L582&gt;0,B582&lt;&gt;"TXO"),L582,"")</f>
        <v/>
      </c>
      <c r="AA582" s="226">
        <f>IF(AND(R582="",S582="Yes",L582&lt;0,B582&lt;&gt;"TXO"),L582,"")</f>
        <v/>
      </c>
    </row>
    <row r="583" hidden="1" outlineLevel="2" ht="17.25" customHeight="1" thickBot="1">
      <c r="A583" s="696" t="n">
        <v>43349</v>
      </c>
      <c r="B583" s="234" t="inlineStr">
        <is>
          <t>FIMTX</t>
        </is>
      </c>
      <c r="C583" s="229" t="inlineStr">
        <is>
          <t>小指09</t>
        </is>
      </c>
      <c r="D583" s="229" t="inlineStr">
        <is>
          <t>平倉</t>
        </is>
      </c>
      <c r="E583" s="257" t="inlineStr">
        <is>
          <t>買</t>
        </is>
      </c>
      <c r="F583" s="229" t="inlineStr">
        <is>
          <t>-</t>
        </is>
      </c>
      <c r="G583" s="697" t="n">
        <v>2</v>
      </c>
      <c r="H583" s="697" t="n">
        <v>10924</v>
      </c>
      <c r="I583" s="697" t="n">
        <v>0</v>
      </c>
      <c r="J583" s="585" t="n">
        <v>46</v>
      </c>
      <c r="K583" s="585" t="n">
        <v>22</v>
      </c>
      <c r="L583" s="585">
        <f>IF(B583="TXO",I583-SUM(J583:K583),IF(B583="FITX",IF(D583="新倉",-SUM(J583:K583),IF(E583="賣",(H583-H582)*G583*200-SUM(J583:K583),(H582-H583)*G583*200-SUM(J583:K583))),IF(D583="新倉",-SUM(J583:K583),IF(E583="賣",(H583-H582)*G583*50-SUM(J583:K583),(H582-H583)*G583*50-SUM(J583:K583)))))</f>
        <v/>
      </c>
      <c r="M583" s="699">
        <f>L583</f>
        <v/>
      </c>
      <c r="N583" s="686">
        <f>IF(B583="TXO","",IF(D583="新倉","",IF(E583="賣",(H583-H582)*G583,(H582-H583)*G583)))</f>
        <v/>
      </c>
      <c r="O583" s="226">
        <f>ABS(I583)</f>
        <v/>
      </c>
      <c r="P583" s="667" t="n"/>
      <c r="Q583" s="249" t="inlineStr">
        <is>
          <t>碰10MA停損</t>
        </is>
      </c>
      <c r="R583" s="249" t="inlineStr">
        <is>
          <t>Yes</t>
        </is>
      </c>
      <c r="S583" s="739" t="n"/>
      <c r="T583" s="61">
        <f>IF(AND(R583="Yes",S583&lt;&gt;"Yes",L583&gt;0,B583&lt;&gt;"TXO"),L583,"")</f>
        <v/>
      </c>
      <c r="U583" s="61">
        <f>IF(AND(R583="Yes",S583&lt;&gt;"Yes",L583&lt;0,B583&lt;&gt;"TXO"),L583,"")</f>
        <v/>
      </c>
      <c r="V583" s="61">
        <f>IF(AND(R583="",S583&lt;&gt;"Yes",L583&gt;0,B583&lt;&gt;"TXO"),L583,"")</f>
        <v/>
      </c>
      <c r="W583" s="61">
        <f>IF(AND(R583="",S583&lt;&gt;"Yes",L583&lt;0,B583&lt;&gt;"TXO"),L583,"")</f>
        <v/>
      </c>
      <c r="X583" s="226">
        <f>IF(AND(R583="Yes",S583="Yes",L583&gt;0,B583&lt;&gt;"TXO"),L583,"")</f>
        <v/>
      </c>
      <c r="Y583" s="226">
        <f>IF(AND(R583="Yes",S583="Yes",L583&lt;0,B583&lt;&gt;"TXO"),L583,"")</f>
        <v/>
      </c>
      <c r="Z583" s="226">
        <f>IF(AND(R583="",S583="Yes",L583&gt;0,B583&lt;&gt;"TXO"),L583,"")</f>
        <v/>
      </c>
      <c r="AA583" s="226">
        <f>IF(AND(R583="",S583="Yes",L583&lt;0,B583&lt;&gt;"TXO"),L583,"")</f>
        <v/>
      </c>
    </row>
    <row r="584" hidden="1" outlineLevel="2" ht="17.25" customHeight="1" thickBot="1">
      <c r="A584" s="696" t="n">
        <v>43349</v>
      </c>
      <c r="B584" s="234" t="inlineStr">
        <is>
          <t>FIMTX</t>
        </is>
      </c>
      <c r="C584" s="229" t="inlineStr">
        <is>
          <t>小指09</t>
        </is>
      </c>
      <c r="D584" s="229" t="inlineStr">
        <is>
          <t>新倉</t>
        </is>
      </c>
      <c r="E584" s="257" t="inlineStr">
        <is>
          <t>買</t>
        </is>
      </c>
      <c r="F584" s="229" t="inlineStr">
        <is>
          <t>-</t>
        </is>
      </c>
      <c r="G584" s="697" t="n">
        <v>3</v>
      </c>
      <c r="H584" s="697" t="n">
        <v>10890</v>
      </c>
      <c r="I584" s="697" t="n">
        <v>0</v>
      </c>
      <c r="J584" s="585" t="n">
        <v>69</v>
      </c>
      <c r="K584" s="585" t="n">
        <v>33</v>
      </c>
      <c r="L584" s="585">
        <f>IF(B584="TXO",I584-SUM(J584:K584),IF(B584="FITX",IF(D584="新倉",-SUM(J584:K584),IF(E584="賣",(H584-H583)*G584*200-SUM(J584:K584),(H583-H584)*G584*200-SUM(J584:K584))),IF(D584="新倉",-SUM(J584:K584),IF(E584="賣",(H584-H583)*G584*50-SUM(J584:K584),(H583-H584)*G584*50-SUM(J584:K584)))))</f>
        <v/>
      </c>
      <c r="M584" s="699">
        <f>L584</f>
        <v/>
      </c>
      <c r="N584" s="686">
        <f>IF(B584="TXO","",IF(D584="新倉","",IF(E584="賣",(H584-H583)*G584,(H583-H584)*G584)))</f>
        <v/>
      </c>
      <c r="O584" s="226">
        <f>ABS(I584)</f>
        <v/>
      </c>
      <c r="P584" s="667" t="n"/>
      <c r="Q584" s="249" t="inlineStr">
        <is>
          <t>技法: 3/3 買進</t>
        </is>
      </c>
      <c r="R584" s="249" t="inlineStr">
        <is>
          <t>Yes</t>
        </is>
      </c>
      <c r="S584" s="739" t="n"/>
      <c r="T584" s="61">
        <f>IF(AND(R584="Yes",S584&lt;&gt;"Yes",L584&gt;0,B584&lt;&gt;"TXO"),L584,"")</f>
        <v/>
      </c>
      <c r="U584" s="61">
        <f>IF(AND(R584="Yes",S584&lt;&gt;"Yes",L584&lt;0,B584&lt;&gt;"TXO"),L584,"")</f>
        <v/>
      </c>
      <c r="V584" s="61">
        <f>IF(AND(R584="",S584&lt;&gt;"Yes",L584&gt;0,B584&lt;&gt;"TXO"),L584,"")</f>
        <v/>
      </c>
      <c r="W584" s="61">
        <f>IF(AND(R584="",S584&lt;&gt;"Yes",L584&lt;0,B584&lt;&gt;"TXO"),L584,"")</f>
        <v/>
      </c>
      <c r="X584" s="226">
        <f>IF(AND(R584="Yes",S584="Yes",L584&gt;0,B584&lt;&gt;"TXO"),L584,"")</f>
        <v/>
      </c>
      <c r="Y584" s="226">
        <f>IF(AND(R584="Yes",S584="Yes",L584&lt;0,B584&lt;&gt;"TXO"),L584,"")</f>
        <v/>
      </c>
      <c r="Z584" s="226">
        <f>IF(AND(R584="",S584="Yes",L584&gt;0,B584&lt;&gt;"TXO"),L584,"")</f>
        <v/>
      </c>
      <c r="AA584" s="226">
        <f>IF(AND(R584="",S584="Yes",L584&lt;0,B584&lt;&gt;"TXO"),L584,"")</f>
        <v/>
      </c>
    </row>
    <row r="585" hidden="1" outlineLevel="2" ht="17.25" customHeight="1" thickBot="1">
      <c r="A585" s="696" t="n">
        <v>43349</v>
      </c>
      <c r="B585" s="234" t="inlineStr">
        <is>
          <t>FIMTX</t>
        </is>
      </c>
      <c r="C585" s="229" t="inlineStr">
        <is>
          <t>小指09</t>
        </is>
      </c>
      <c r="D585" s="229" t="inlineStr">
        <is>
          <t>平倉</t>
        </is>
      </c>
      <c r="E585" s="257" t="inlineStr">
        <is>
          <t>賣</t>
        </is>
      </c>
      <c r="F585" s="229" t="inlineStr">
        <is>
          <t>-</t>
        </is>
      </c>
      <c r="G585" s="697" t="n">
        <v>3</v>
      </c>
      <c r="H585" s="697" t="n">
        <v>10881</v>
      </c>
      <c r="I585" s="697" t="n">
        <v>0</v>
      </c>
      <c r="J585" s="585" t="n">
        <v>69</v>
      </c>
      <c r="K585" s="585" t="n">
        <v>33</v>
      </c>
      <c r="L585" s="585">
        <f>IF(B585="TXO",I585-SUM(J585:K585),IF(B585="FITX",IF(D585="新倉",-SUM(J585:K585),IF(E585="賣",(H585-H584)*G585*200-SUM(J585:K585),(H584-H585)*G585*200-SUM(J585:K585))),IF(D585="新倉",-SUM(J585:K585),IF(E585="賣",(H585-H584)*G585*50-SUM(J585:K585),(H584-H585)*G585*50-SUM(J585:K585)))))</f>
        <v/>
      </c>
      <c r="M585" s="699">
        <f>L585</f>
        <v/>
      </c>
      <c r="N585" s="686">
        <f>IF(B585="TXO","",IF(D585="新倉","",IF(E585="賣",(H585-H584)*G585,(H584-H585)*G585)))</f>
        <v/>
      </c>
      <c r="O585" s="226">
        <f>ABS(I585)</f>
        <v/>
      </c>
      <c r="P585" s="667" t="n"/>
      <c r="Q585" s="249" t="inlineStr">
        <is>
          <t>碰10MA停損</t>
        </is>
      </c>
      <c r="R585" s="249" t="inlineStr">
        <is>
          <t>Yes</t>
        </is>
      </c>
      <c r="S585" s="739" t="n"/>
      <c r="T585" s="61">
        <f>IF(AND(R585="Yes",S585&lt;&gt;"Yes",L585&gt;0,B585&lt;&gt;"TXO"),L585,"")</f>
        <v/>
      </c>
      <c r="U585" s="61">
        <f>IF(AND(R585="Yes",S585&lt;&gt;"Yes",L585&lt;0,B585&lt;&gt;"TXO"),L585,"")</f>
        <v/>
      </c>
      <c r="V585" s="61">
        <f>IF(AND(R585="",S585&lt;&gt;"Yes",L585&gt;0,B585&lt;&gt;"TXO"),L585,"")</f>
        <v/>
      </c>
      <c r="W585" s="61">
        <f>IF(AND(R585="",S585&lt;&gt;"Yes",L585&lt;0,B585&lt;&gt;"TXO"),L585,"")</f>
        <v/>
      </c>
      <c r="X585" s="226">
        <f>IF(AND(R585="Yes",S585="Yes",L585&gt;0,B585&lt;&gt;"TXO"),L585,"")</f>
        <v/>
      </c>
      <c r="Y585" s="226">
        <f>IF(AND(R585="Yes",S585="Yes",L585&lt;0,B585&lt;&gt;"TXO"),L585,"")</f>
        <v/>
      </c>
      <c r="Z585" s="226">
        <f>IF(AND(R585="",S585="Yes",L585&gt;0,B585&lt;&gt;"TXO"),L585,"")</f>
        <v/>
      </c>
      <c r="AA585" s="226">
        <f>IF(AND(R585="",S585="Yes",L585&lt;0,B585&lt;&gt;"TXO"),L585,"")</f>
        <v/>
      </c>
    </row>
    <row r="586" hidden="1" outlineLevel="2" ht="17.25" customHeight="1" thickBot="1">
      <c r="A586" s="696" t="n">
        <v>43349</v>
      </c>
      <c r="B586" s="234" t="inlineStr">
        <is>
          <t>FIMTX</t>
        </is>
      </c>
      <c r="C586" s="229" t="inlineStr">
        <is>
          <t>小指09</t>
        </is>
      </c>
      <c r="D586" s="229" t="inlineStr">
        <is>
          <t>新倉</t>
        </is>
      </c>
      <c r="E586" s="257" t="inlineStr">
        <is>
          <t>賣</t>
        </is>
      </c>
      <c r="F586" s="229" t="inlineStr">
        <is>
          <t>-</t>
        </is>
      </c>
      <c r="G586" s="697" t="n">
        <v>3</v>
      </c>
      <c r="H586" s="697" t="n">
        <v>10884</v>
      </c>
      <c r="I586" s="697" t="n">
        <v>0</v>
      </c>
      <c r="J586" s="585" t="n">
        <v>69</v>
      </c>
      <c r="K586" s="585" t="n">
        <v>33</v>
      </c>
      <c r="L586" s="585">
        <f>IF(B586="TXO",I586-SUM(J586:K586),IF(B586="FITX",IF(D586="新倉",-SUM(J586:K586),IF(E586="賣",(H586-H585)*G586*200-SUM(J586:K586),(H585-H586)*G586*200-SUM(J586:K586))),IF(D586="新倉",-SUM(J586:K586),IF(E586="賣",(H586-H585)*G586*50-SUM(J586:K586),(H585-H586)*G586*50-SUM(J586:K586)))))</f>
        <v/>
      </c>
      <c r="M586" s="699">
        <f>L586</f>
        <v/>
      </c>
      <c r="N586" s="686">
        <f>IF(B586="TXO","",IF(D586="新倉","",IF(E586="賣",(H586-H585)*G586,(H585-H586)*G586)))</f>
        <v/>
      </c>
      <c r="O586" s="226">
        <f>ABS(I586)</f>
        <v/>
      </c>
      <c r="P586" s="667" t="n"/>
      <c r="Q586" s="249" t="inlineStr">
        <is>
          <t>技法: 3/3 買進</t>
        </is>
      </c>
      <c r="R586" s="249" t="inlineStr">
        <is>
          <t>Yes</t>
        </is>
      </c>
      <c r="S586" s="739" t="n"/>
      <c r="T586" s="61">
        <f>IF(AND(R586="Yes",S586&lt;&gt;"Yes",L586&gt;0,B586&lt;&gt;"TXO"),L586,"")</f>
        <v/>
      </c>
      <c r="U586" s="61">
        <f>IF(AND(R586="Yes",S586&lt;&gt;"Yes",L586&lt;0,B586&lt;&gt;"TXO"),L586,"")</f>
        <v/>
      </c>
      <c r="V586" s="61">
        <f>IF(AND(R586="",S586&lt;&gt;"Yes",L586&gt;0,B586&lt;&gt;"TXO"),L586,"")</f>
        <v/>
      </c>
      <c r="W586" s="61">
        <f>IF(AND(R586="",S586&lt;&gt;"Yes",L586&lt;0,B586&lt;&gt;"TXO"),L586,"")</f>
        <v/>
      </c>
      <c r="X586" s="226">
        <f>IF(AND(R586="Yes",S586="Yes",L586&gt;0,B586&lt;&gt;"TXO"),L586,"")</f>
        <v/>
      </c>
      <c r="Y586" s="226">
        <f>IF(AND(R586="Yes",S586="Yes",L586&lt;0,B586&lt;&gt;"TXO"),L586,"")</f>
        <v/>
      </c>
      <c r="Z586" s="226">
        <f>IF(AND(R586="",S586="Yes",L586&gt;0,B586&lt;&gt;"TXO"),L586,"")</f>
        <v/>
      </c>
      <c r="AA586" s="226">
        <f>IF(AND(R586="",S586="Yes",L586&lt;0,B586&lt;&gt;"TXO"),L586,"")</f>
        <v/>
      </c>
    </row>
    <row r="587" hidden="1" outlineLevel="2" ht="17.25" customHeight="1" thickBot="1">
      <c r="A587" s="696" t="n">
        <v>43349</v>
      </c>
      <c r="B587" s="234" t="inlineStr">
        <is>
          <t>FIMTX</t>
        </is>
      </c>
      <c r="C587" s="229" t="inlineStr">
        <is>
          <t>小指09</t>
        </is>
      </c>
      <c r="D587" s="229" t="inlineStr">
        <is>
          <t>平倉</t>
        </is>
      </c>
      <c r="E587" s="257" t="inlineStr">
        <is>
          <t>買</t>
        </is>
      </c>
      <c r="F587" s="229" t="inlineStr">
        <is>
          <t>-</t>
        </is>
      </c>
      <c r="G587" s="697" t="n">
        <v>3</v>
      </c>
      <c r="H587" s="697" t="n">
        <v>10883</v>
      </c>
      <c r="I587" s="697" t="n">
        <v>0</v>
      </c>
      <c r="J587" s="585" t="n">
        <v>69</v>
      </c>
      <c r="K587" s="585" t="n">
        <v>33</v>
      </c>
      <c r="L587" s="585">
        <f>IF(B587="TXO",I587-SUM(J587:K587),IF(B587="FITX",IF(D587="新倉",-SUM(J587:K587),IF(E587="賣",(H587-H586)*G587*200-SUM(J587:K587),(H586-H587)*G587*200-SUM(J587:K587))),IF(D587="新倉",-SUM(J587:K587),IF(E587="賣",(H587-H586)*G587*50-SUM(J587:K587),(H586-H587)*G587*50-SUM(J587:K587)))))</f>
        <v/>
      </c>
      <c r="M587" s="699">
        <f>L587</f>
        <v/>
      </c>
      <c r="N587" s="686">
        <f>IF(B587="TXO","",IF(D587="新倉","",IF(E587="賣",(H587-H586)*G587,(H586-H587)*G587)))</f>
        <v/>
      </c>
      <c r="O587" s="226">
        <f>ABS(I587)</f>
        <v/>
      </c>
      <c r="P587" s="667" t="n"/>
      <c r="Q587" s="249" t="inlineStr">
        <is>
          <t>碰10MA全出</t>
        </is>
      </c>
      <c r="R587" s="249" t="inlineStr">
        <is>
          <t>Yes</t>
        </is>
      </c>
      <c r="S587" s="739" t="n"/>
      <c r="T587" s="61">
        <f>IF(AND(R587="Yes",S587&lt;&gt;"Yes",L587&gt;0,B587&lt;&gt;"TXO"),L587,"")</f>
        <v/>
      </c>
      <c r="U587" s="61">
        <f>IF(AND(R587="Yes",S587&lt;&gt;"Yes",L587&lt;0,B587&lt;&gt;"TXO"),L587,"")</f>
        <v/>
      </c>
      <c r="V587" s="61">
        <f>IF(AND(R587="",S587&lt;&gt;"Yes",L587&gt;0,B587&lt;&gt;"TXO"),L587,"")</f>
        <v/>
      </c>
      <c r="W587" s="61">
        <f>IF(AND(R587="",S587&lt;&gt;"Yes",L587&lt;0,B587&lt;&gt;"TXO"),L587,"")</f>
        <v/>
      </c>
      <c r="X587" s="226">
        <f>IF(AND(R587="Yes",S587="Yes",L587&gt;0,B587&lt;&gt;"TXO"),L587,"")</f>
        <v/>
      </c>
      <c r="Y587" s="226">
        <f>IF(AND(R587="Yes",S587="Yes",L587&lt;0,B587&lt;&gt;"TXO"),L587,"")</f>
        <v/>
      </c>
      <c r="Z587" s="226">
        <f>IF(AND(R587="",S587="Yes",L587&gt;0,B587&lt;&gt;"TXO"),L587,"")</f>
        <v/>
      </c>
      <c r="AA587" s="226">
        <f>IF(AND(R587="",S587="Yes",L587&lt;0,B587&lt;&gt;"TXO"),L587,"")</f>
        <v/>
      </c>
    </row>
    <row r="588" hidden="1" outlineLevel="2" ht="17.25" customHeight="1" thickBot="1">
      <c r="A588" s="696" t="n">
        <v>43349</v>
      </c>
      <c r="B588" s="234" t="inlineStr">
        <is>
          <t>FIMTX</t>
        </is>
      </c>
      <c r="C588" s="229" t="inlineStr">
        <is>
          <t>小指09</t>
        </is>
      </c>
      <c r="D588" s="229" t="inlineStr">
        <is>
          <t>新倉</t>
        </is>
      </c>
      <c r="E588" s="257" t="inlineStr">
        <is>
          <t>買</t>
        </is>
      </c>
      <c r="F588" s="229" t="inlineStr">
        <is>
          <t>-</t>
        </is>
      </c>
      <c r="G588" s="697" t="n">
        <v>1</v>
      </c>
      <c r="H588" s="697" t="n">
        <v>10882</v>
      </c>
      <c r="I588" s="697" t="n">
        <v>0</v>
      </c>
      <c r="J588" s="585" t="n">
        <v>23</v>
      </c>
      <c r="K588" s="585" t="n">
        <v>11</v>
      </c>
      <c r="L588" s="585">
        <f>IF(B588="TXO",I588-SUM(J588:K588),IF(B588="FITX",IF(D588="新倉",-SUM(J588:K588),IF(E588="賣",(H588-H587)*G588*200-SUM(J588:K588),(H587-H588)*G588*200-SUM(J588:K588))),IF(D588="新倉",-SUM(J588:K588),IF(E588="賣",(H588-H587)*G588*50-SUM(J588:K588),(H587-H588)*G588*50-SUM(J588:K588)))))</f>
        <v/>
      </c>
      <c r="M588" s="699">
        <f>L588</f>
        <v/>
      </c>
      <c r="N588" s="686">
        <f>IF(B588="TXO","",IF(D588="新倉","",IF(E588="賣",(H588-H587)*G588,(H587-H588)*G588)))</f>
        <v/>
      </c>
      <c r="O588" s="226">
        <f>ABS(I588)</f>
        <v/>
      </c>
      <c r="P588" s="667" t="n"/>
      <c r="Q588" s="249" t="inlineStr">
        <is>
          <t>技法: 3/3 買進</t>
        </is>
      </c>
      <c r="R588" s="249" t="inlineStr">
        <is>
          <t>Yes</t>
        </is>
      </c>
      <c r="S588" s="739" t="n"/>
      <c r="T588" s="61">
        <f>IF(AND(R588="Yes",S588&lt;&gt;"Yes",L588&gt;0,B588&lt;&gt;"TXO"),L588,"")</f>
        <v/>
      </c>
      <c r="U588" s="61">
        <f>IF(AND(R588="Yes",S588&lt;&gt;"Yes",L588&lt;0,B588&lt;&gt;"TXO"),L588,"")</f>
        <v/>
      </c>
      <c r="V588" s="61">
        <f>IF(AND(R588="",S588&lt;&gt;"Yes",L588&gt;0,B588&lt;&gt;"TXO"),L588,"")</f>
        <v/>
      </c>
      <c r="W588" s="61">
        <f>IF(AND(R588="",S588&lt;&gt;"Yes",L588&lt;0,B588&lt;&gt;"TXO"),L588,"")</f>
        <v/>
      </c>
      <c r="X588" s="226">
        <f>IF(AND(R588="Yes",S588="Yes",L588&gt;0,B588&lt;&gt;"TXO"),L588,"")</f>
        <v/>
      </c>
      <c r="Y588" s="226">
        <f>IF(AND(R588="Yes",S588="Yes",L588&lt;0,B588&lt;&gt;"TXO"),L588,"")</f>
        <v/>
      </c>
      <c r="Z588" s="226">
        <f>IF(AND(R588="",S588="Yes",L588&gt;0,B588&lt;&gt;"TXO"),L588,"")</f>
        <v/>
      </c>
      <c r="AA588" s="226">
        <f>IF(AND(R588="",S588="Yes",L588&lt;0,B588&lt;&gt;"TXO"),L588,"")</f>
        <v/>
      </c>
    </row>
    <row r="589" hidden="1" outlineLevel="2" ht="17.25" customHeight="1" thickBot="1">
      <c r="A589" s="696" t="n">
        <v>43349</v>
      </c>
      <c r="B589" s="234" t="inlineStr">
        <is>
          <t>FIMTX</t>
        </is>
      </c>
      <c r="C589" s="229" t="inlineStr">
        <is>
          <t>小指09</t>
        </is>
      </c>
      <c r="D589" s="229" t="inlineStr">
        <is>
          <t>平倉</t>
        </is>
      </c>
      <c r="E589" s="257" t="inlineStr">
        <is>
          <t>賣</t>
        </is>
      </c>
      <c r="F589" s="229" t="inlineStr">
        <is>
          <t>-</t>
        </is>
      </c>
      <c r="G589" s="697" t="n">
        <v>1</v>
      </c>
      <c r="H589" s="697" t="n">
        <v>10887</v>
      </c>
      <c r="I589" s="697" t="n">
        <v>0</v>
      </c>
      <c r="J589" s="585" t="n">
        <v>23</v>
      </c>
      <c r="K589" s="585" t="n">
        <v>11</v>
      </c>
      <c r="L589" s="585">
        <f>IF(B589="TXO",I589-SUM(J589:K589),IF(B589="FITX",IF(D589="新倉",-SUM(J589:K589),IF(E589="賣",(H589-H588)*G589*200-SUM(J589:K589),(H588-H589)*G589*200-SUM(J589:K589))),IF(D589="新倉",-SUM(J589:K589),IF(E589="賣",(H589-H588)*G589*50-SUM(J589:K589),(H588-H589)*G589*50-SUM(J589:K589)))))</f>
        <v/>
      </c>
      <c r="M589" s="699">
        <f>L589</f>
        <v/>
      </c>
      <c r="N589" s="686">
        <f>IF(B589="TXO","",IF(D589="新倉","",IF(E589="賣",(H589-H588)*G589,(H588-H589)*G589)))</f>
        <v/>
      </c>
      <c r="O589" s="226">
        <f>ABS(I589)</f>
        <v/>
      </c>
      <c r="P589" s="667" t="n"/>
      <c r="Q589" s="249" t="inlineStr">
        <is>
          <t>技法: 刺補</t>
        </is>
      </c>
      <c r="R589" s="249" t="inlineStr">
        <is>
          <t>Yes</t>
        </is>
      </c>
      <c r="S589" s="739" t="n"/>
      <c r="T589" s="61">
        <f>IF(AND(R589="Yes",S589&lt;&gt;"Yes",L589&gt;0,B589&lt;&gt;"TXO"),L589,"")</f>
        <v/>
      </c>
      <c r="U589" s="61">
        <f>IF(AND(R589="Yes",S589&lt;&gt;"Yes",L589&lt;0,B589&lt;&gt;"TXO"),L589,"")</f>
        <v/>
      </c>
      <c r="V589" s="61">
        <f>IF(AND(R589="",S589&lt;&gt;"Yes",L589&gt;0,B589&lt;&gt;"TXO"),L589,"")</f>
        <v/>
      </c>
      <c r="W589" s="61">
        <f>IF(AND(R589="",S589&lt;&gt;"Yes",L589&lt;0,B589&lt;&gt;"TXO"),L589,"")</f>
        <v/>
      </c>
      <c r="X589" s="226">
        <f>IF(AND(R589="Yes",S589="Yes",L589&gt;0,B589&lt;&gt;"TXO"),L589,"")</f>
        <v/>
      </c>
      <c r="Y589" s="226">
        <f>IF(AND(R589="Yes",S589="Yes",L589&lt;0,B589&lt;&gt;"TXO"),L589,"")</f>
        <v/>
      </c>
      <c r="Z589" s="226">
        <f>IF(AND(R589="",S589="Yes",L589&gt;0,B589&lt;&gt;"TXO"),L589,"")</f>
        <v/>
      </c>
      <c r="AA589" s="226">
        <f>IF(AND(R589="",S589="Yes",L589&lt;0,B589&lt;&gt;"TXO"),L589,"")</f>
        <v/>
      </c>
    </row>
    <row r="590" hidden="1" outlineLevel="2" ht="17.25" customHeight="1" thickBot="1">
      <c r="A590" s="696" t="n">
        <v>43349</v>
      </c>
      <c r="B590" s="234" t="inlineStr">
        <is>
          <t>FIMTX</t>
        </is>
      </c>
      <c r="C590" s="229" t="inlineStr">
        <is>
          <t>小指09</t>
        </is>
      </c>
      <c r="D590" s="229" t="inlineStr">
        <is>
          <t>新倉</t>
        </is>
      </c>
      <c r="E590" s="257" t="inlineStr">
        <is>
          <t>買</t>
        </is>
      </c>
      <c r="F590" s="229" t="inlineStr">
        <is>
          <t>-</t>
        </is>
      </c>
      <c r="G590" s="697" t="n">
        <v>2</v>
      </c>
      <c r="H590" s="697" t="n">
        <v>10882</v>
      </c>
      <c r="I590" s="697" t="n">
        <v>0</v>
      </c>
      <c r="J590" s="585" t="n">
        <v>46</v>
      </c>
      <c r="K590" s="585" t="n">
        <v>22</v>
      </c>
      <c r="L590" s="585">
        <f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/>
      </c>
      <c r="M590" s="699">
        <f>L590</f>
        <v/>
      </c>
      <c r="N590" s="686">
        <f>IF(B590="TXO","",IF(D590="新倉","",IF(E590="賣",(H590-H589)*G590,(H589-H590)*G590)))</f>
        <v/>
      </c>
      <c r="O590" s="226">
        <f>ABS(I590)</f>
        <v/>
      </c>
      <c r="P590" s="667" t="n"/>
      <c r="S590" s="739" t="n"/>
      <c r="T590" s="61">
        <f>IF(AND(R590="Yes",S590&lt;&gt;"Yes",L590&gt;0,B590&lt;&gt;"TXO"),L590,"")</f>
        <v/>
      </c>
      <c r="U590" s="61">
        <f>IF(AND(R590="Yes",S590&lt;&gt;"Yes",L590&lt;0,B590&lt;&gt;"TXO"),L590,"")</f>
        <v/>
      </c>
      <c r="V590" s="61">
        <f>IF(AND(R590="",S590&lt;&gt;"Yes",L590&gt;0,B590&lt;&gt;"TXO"),L590,"")</f>
        <v/>
      </c>
      <c r="W590" s="61">
        <f>IF(AND(R590="",S590&lt;&gt;"Yes",L590&lt;0,B590&lt;&gt;"TXO"),L590,"")</f>
        <v/>
      </c>
      <c r="X590" s="226">
        <f>IF(AND(R590="Yes",S590="Yes",L590&gt;0,B590&lt;&gt;"TXO"),L590,"")</f>
        <v/>
      </c>
      <c r="Y590" s="226">
        <f>IF(AND(R590="Yes",S590="Yes",L590&lt;0,B590&lt;&gt;"TXO"),L590,"")</f>
        <v/>
      </c>
      <c r="Z590" s="226">
        <f>IF(AND(R590="",S590="Yes",L590&gt;0,B590&lt;&gt;"TXO"),L590,"")</f>
        <v/>
      </c>
      <c r="AA590" s="226">
        <f>IF(AND(R590="",S590="Yes",L590&lt;0,B590&lt;&gt;"TXO"),L590,"")</f>
        <v/>
      </c>
    </row>
    <row r="591" hidden="1" outlineLevel="2" ht="17.25" customHeight="1" thickBot="1">
      <c r="A591" s="696" t="n">
        <v>43349</v>
      </c>
      <c r="B591" s="234" t="inlineStr">
        <is>
          <t>FIMTX</t>
        </is>
      </c>
      <c r="C591" s="229" t="inlineStr">
        <is>
          <t>小指09</t>
        </is>
      </c>
      <c r="D591" s="229" t="inlineStr">
        <is>
          <t>平倉</t>
        </is>
      </c>
      <c r="E591" s="257" t="inlineStr">
        <is>
          <t>賣</t>
        </is>
      </c>
      <c r="F591" s="229" t="inlineStr">
        <is>
          <t>-</t>
        </is>
      </c>
      <c r="G591" s="697" t="n">
        <v>2</v>
      </c>
      <c r="H591" s="697" t="n">
        <v>10883</v>
      </c>
      <c r="I591" s="697" t="n">
        <v>0</v>
      </c>
      <c r="J591" s="585" t="n">
        <v>46</v>
      </c>
      <c r="K591" s="585" t="n">
        <v>22</v>
      </c>
      <c r="L591" s="585">
        <f>IF(B591="TXO",I591-SUM(J591:K591),IF(B591="FITX",IF(D591="新倉",-SUM(J591:K591),IF(E591="賣",(H591-H590)*G591*200-SUM(J591:K591),(H590-H591)*G591*200-SUM(J591:K591))),IF(D591="新倉",-SUM(J591:K591),IF(E591="賣",(H591-H590)*G591*50-SUM(J591:K591),(H590-H591)*G591*50-SUM(J591:K591)))))</f>
        <v/>
      </c>
      <c r="M591" s="699">
        <f>L591</f>
        <v/>
      </c>
      <c r="N591" s="686">
        <f>IF(B591="TXO","",IF(D591="新倉","",IF(E591="賣",(H591-H590)*G591,(H590-H591)*G591)))</f>
        <v/>
      </c>
      <c r="O591" s="226">
        <f>ABS(I591)</f>
        <v/>
      </c>
      <c r="P591" s="667" t="n"/>
      <c r="Q591" s="249" t="inlineStr">
        <is>
          <t>睡覺去</t>
        </is>
      </c>
      <c r="S591" s="739" t="n"/>
      <c r="T591" s="61">
        <f>IF(AND(R591="Yes",S591&lt;&gt;"Yes",L591&gt;0,B591&lt;&gt;"TXO"),L591,"")</f>
        <v/>
      </c>
      <c r="U591" s="61">
        <f>IF(AND(R591="Yes",S591&lt;&gt;"Yes",L591&lt;0,B591&lt;&gt;"TXO"),L591,"")</f>
        <v/>
      </c>
      <c r="V591" s="61">
        <f>IF(AND(R591="",S591&lt;&gt;"Yes",L591&gt;0,B591&lt;&gt;"TXO"),L591,"")</f>
        <v/>
      </c>
      <c r="W591" s="61">
        <f>IF(AND(R591="",S591&lt;&gt;"Yes",L591&lt;0,B591&lt;&gt;"TXO"),L591,"")</f>
        <v/>
      </c>
      <c r="X591" s="226">
        <f>IF(AND(R591="Yes",S591="Yes",L591&gt;0,B591&lt;&gt;"TXO"),L591,"")</f>
        <v/>
      </c>
      <c r="Y591" s="226">
        <f>IF(AND(R591="Yes",S591="Yes",L591&lt;0,B591&lt;&gt;"TXO"),L591,"")</f>
        <v/>
      </c>
      <c r="Z591" s="226">
        <f>IF(AND(R591="",S591="Yes",L591&gt;0,B591&lt;&gt;"TXO"),L591,"")</f>
        <v/>
      </c>
      <c r="AA591" s="226">
        <f>IF(AND(R591="",S591="Yes",L591&lt;0,B591&lt;&gt;"TXO"),L591,"")</f>
        <v/>
      </c>
    </row>
    <row r="592" hidden="1" outlineLevel="1" ht="17.25" customHeight="1" thickBot="1">
      <c r="A592" s="740" t="n">
        <v>43350</v>
      </c>
      <c r="B592" s="299" t="inlineStr">
        <is>
          <t>FIMTX</t>
        </is>
      </c>
      <c r="C592" s="300" t="inlineStr">
        <is>
          <t>小指09</t>
        </is>
      </c>
      <c r="D592" s="300" t="inlineStr">
        <is>
          <t>新倉</t>
        </is>
      </c>
      <c r="E592" s="301" t="inlineStr">
        <is>
          <t>賣</t>
        </is>
      </c>
      <c r="F592" s="300" t="inlineStr">
        <is>
          <t>-</t>
        </is>
      </c>
      <c r="G592" s="741" t="n">
        <v>2</v>
      </c>
      <c r="H592" s="741" t="n">
        <v>10872</v>
      </c>
      <c r="I592" s="741" t="n">
        <v>0</v>
      </c>
      <c r="J592" s="742" t="n">
        <v>46</v>
      </c>
      <c r="K592" s="742" t="n">
        <v>22</v>
      </c>
      <c r="L592" s="742">
        <f>IF(B592="TXO",I592-SUM(J592:K592),IF(B592="FITX",IF(D592="新倉",-SUM(J592:K592),IF(E592="賣",(H592-H591)*G592*200-SUM(J592:K592),(H591-H592)*G592*200-SUM(J592:K592))),IF(D592="新倉",-SUM(J592:K592),IF(E592="賣",(H592-H591)*G592*50-SUM(J592:K592),(H591-H592)*G592*50-SUM(J592:K592)))))</f>
        <v/>
      </c>
      <c r="M592" s="743">
        <f>L592</f>
        <v/>
      </c>
      <c r="N592" s="686">
        <f>IF(B592="TXO","",IF(D592="新倉","",IF(E592="賣",(H592-H591)*G592,(H591-H592)*G592)))</f>
        <v/>
      </c>
      <c r="O592" s="226">
        <f>ABS(I592)</f>
        <v/>
      </c>
      <c r="P592" s="667">
        <f>SUM(L592:L605)</f>
        <v/>
      </c>
      <c r="Q592" s="310" t="inlineStr">
        <is>
          <t>技法: 3/3 買進三口(下錯方向)</t>
        </is>
      </c>
      <c r="S592" s="739" t="n"/>
      <c r="T592" s="61">
        <f>IF(AND(R592="Yes",S592&lt;&gt;"Yes",L592&gt;0,B592&lt;&gt;"TXO"),L592,"")</f>
        <v/>
      </c>
      <c r="U592" s="61">
        <f>IF(AND(R592="Yes",S592&lt;&gt;"Yes",L592&lt;0,B592&lt;&gt;"TXO"),L592,"")</f>
        <v/>
      </c>
      <c r="V592" s="61">
        <f>IF(AND(R592="",S592&lt;&gt;"Yes",L592&gt;0,B592&lt;&gt;"TXO"),L592,"")</f>
        <v/>
      </c>
      <c r="W592" s="61">
        <f>IF(AND(R592="",S592&lt;&gt;"Yes",L592&lt;0,B592&lt;&gt;"TXO"),L592,"")</f>
        <v/>
      </c>
      <c r="X592" s="226">
        <f>IF(AND(R592="Yes",S592="Yes",L592&gt;0,B592&lt;&gt;"TXO"),L592,"")</f>
        <v/>
      </c>
      <c r="Y592" s="226">
        <f>IF(AND(R592="Yes",S592="Yes",L592&lt;0,B592&lt;&gt;"TXO"),L592,"")</f>
        <v/>
      </c>
      <c r="Z592" s="226">
        <f>IF(AND(R592="",S592="Yes",L592&gt;0,B592&lt;&gt;"TXO"),L592,"")</f>
        <v/>
      </c>
      <c r="AA592" s="226">
        <f>IF(AND(R592="",S592="Yes",L592&lt;0,B592&lt;&gt;"TXO"),L592,"")</f>
        <v/>
      </c>
    </row>
    <row r="593" hidden="1" outlineLevel="2" collapsed="1" ht="17.25" customHeight="1" thickBot="1">
      <c r="A593" s="740" t="n">
        <v>43350</v>
      </c>
      <c r="B593" s="299" t="inlineStr">
        <is>
          <t>FIMTX</t>
        </is>
      </c>
      <c r="C593" s="300" t="inlineStr">
        <is>
          <t>小指09</t>
        </is>
      </c>
      <c r="D593" s="300" t="inlineStr">
        <is>
          <t>平倉</t>
        </is>
      </c>
      <c r="E593" s="301" t="inlineStr">
        <is>
          <t>買</t>
        </is>
      </c>
      <c r="F593" s="300" t="inlineStr">
        <is>
          <t>-</t>
        </is>
      </c>
      <c r="G593" s="741" t="n">
        <v>2</v>
      </c>
      <c r="H593" s="741" t="n">
        <v>10867</v>
      </c>
      <c r="I593" s="741" t="n">
        <v>0</v>
      </c>
      <c r="J593" s="742" t="n">
        <v>46</v>
      </c>
      <c r="K593" s="742" t="n">
        <v>22</v>
      </c>
      <c r="L593" s="742">
        <f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/>
      </c>
      <c r="M593" s="743">
        <f>L593</f>
        <v/>
      </c>
      <c r="N593" s="686">
        <f>IF(B593="TXO","",IF(D593="新倉","",IF(E593="賣",(H593-H592)*G593,(H592-H593)*G593)))</f>
        <v/>
      </c>
      <c r="O593" s="226">
        <f>ABS(I593)</f>
        <v/>
      </c>
      <c r="P593" s="667" t="n"/>
      <c r="Q593" s="311" t="inlineStr">
        <is>
          <t>緊急出場</t>
        </is>
      </c>
      <c r="S593" s="739" t="n"/>
      <c r="T593" s="61">
        <f>IF(AND(R593="Yes",S593&lt;&gt;"Yes",L593&gt;0,B593&lt;&gt;"TXO"),L593,"")</f>
        <v/>
      </c>
      <c r="U593" s="61">
        <f>IF(AND(R593="Yes",S593&lt;&gt;"Yes",L593&lt;0,B593&lt;&gt;"TXO"),L593,"")</f>
        <v/>
      </c>
      <c r="V593" s="61">
        <f>IF(AND(R593="",S593&lt;&gt;"Yes",L593&gt;0,B593&lt;&gt;"TXO"),L593,"")</f>
        <v/>
      </c>
      <c r="W593" s="61">
        <f>IF(AND(R593="",S593&lt;&gt;"Yes",L593&lt;0,B593&lt;&gt;"TXO"),L593,"")</f>
        <v/>
      </c>
      <c r="X593" s="226">
        <f>IF(AND(R593="Yes",S593="Yes",L593&gt;0,B593&lt;&gt;"TXO"),L593,"")</f>
        <v/>
      </c>
      <c r="Y593" s="226">
        <f>IF(AND(R593="Yes",S593="Yes",L593&lt;0,B593&lt;&gt;"TXO"),L593,"")</f>
        <v/>
      </c>
      <c r="Z593" s="226">
        <f>IF(AND(R593="",S593="Yes",L593&gt;0,B593&lt;&gt;"TXO"),L593,"")</f>
        <v/>
      </c>
      <c r="AA593" s="226">
        <f>IF(AND(R593="",S593="Yes",L593&lt;0,B593&lt;&gt;"TXO"),L593,"")</f>
        <v/>
      </c>
    </row>
    <row r="594" hidden="1" outlineLevel="2" collapsed="1" ht="17.25" customHeight="1" thickBot="1">
      <c r="A594" s="740" t="n">
        <v>43350</v>
      </c>
      <c r="B594" s="299" t="inlineStr">
        <is>
          <t>FIMTX</t>
        </is>
      </c>
      <c r="C594" s="300" t="inlineStr">
        <is>
          <t>小指09</t>
        </is>
      </c>
      <c r="D594" s="300" t="inlineStr">
        <is>
          <t>新倉</t>
        </is>
      </c>
      <c r="E594" s="301" t="inlineStr">
        <is>
          <t>買</t>
        </is>
      </c>
      <c r="F594" s="300" t="inlineStr">
        <is>
          <t>-</t>
        </is>
      </c>
      <c r="G594" s="741" t="n">
        <v>1</v>
      </c>
      <c r="H594" s="741" t="n">
        <v>10869</v>
      </c>
      <c r="I594" s="741" t="n">
        <v>0</v>
      </c>
      <c r="J594" s="742" t="n">
        <v>23</v>
      </c>
      <c r="K594" s="742" t="n">
        <v>11</v>
      </c>
      <c r="L594" s="742">
        <f>IF(B594="TXO",I594-SUM(J594:K594),IF(B594="FITX",IF(D594="新倉",-SUM(J594:K594),IF(E594="賣",(H594-H593)*G594*200-SUM(J594:K594),(H593-H594)*G594*200-SUM(J594:K594))),IF(D594="新倉",-SUM(J594:K594),IF(E594="賣",(H594-H593)*G594*50-SUM(J594:K594),(H593-H594)*G594*50-SUM(J594:K594)))))</f>
        <v/>
      </c>
      <c r="M594" s="743">
        <f>L594</f>
        <v/>
      </c>
      <c r="N594" s="686">
        <f>IF(B594="TXO","",IF(D594="新倉","",IF(E594="賣",(H594-H593)*G594,(H593-H594)*G594)))</f>
        <v/>
      </c>
      <c r="O594" s="226">
        <f>ABS(I594)</f>
        <v/>
      </c>
      <c r="P594" s="667" t="n"/>
      <c r="Q594" s="249" t="inlineStr">
        <is>
          <t>技法: 3/3 買進三口</t>
        </is>
      </c>
      <c r="R594" s="249" t="inlineStr">
        <is>
          <t>Yes</t>
        </is>
      </c>
      <c r="S594" s="739" t="n"/>
      <c r="T594" s="61">
        <f>IF(AND(R594="Yes",S594&lt;&gt;"Yes",L594&gt;0,B594&lt;&gt;"TXO"),L594,"")</f>
        <v/>
      </c>
      <c r="U594" s="61">
        <f>IF(AND(R594="Yes",S594&lt;&gt;"Yes",L594&lt;0,B594&lt;&gt;"TXO"),L594,"")</f>
        <v/>
      </c>
      <c r="V594" s="61">
        <f>IF(AND(R594="",S594&lt;&gt;"Yes",L594&gt;0,B594&lt;&gt;"TXO"),L594,"")</f>
        <v/>
      </c>
      <c r="W594" s="61">
        <f>IF(AND(R594="",S594&lt;&gt;"Yes",L594&lt;0,B594&lt;&gt;"TXO"),L594,"")</f>
        <v/>
      </c>
      <c r="X594" s="226">
        <f>IF(AND(R594="Yes",S594="Yes",L594&gt;0,B594&lt;&gt;"TXO"),L594,"")</f>
        <v/>
      </c>
      <c r="Y594" s="226">
        <f>IF(AND(R594="Yes",S594="Yes",L594&lt;0,B594&lt;&gt;"TXO"),L594,"")</f>
        <v/>
      </c>
      <c r="Z594" s="226">
        <f>IF(AND(R594="",S594="Yes",L594&gt;0,B594&lt;&gt;"TXO"),L594,"")</f>
        <v/>
      </c>
      <c r="AA594" s="226">
        <f>IF(AND(R594="",S594="Yes",L594&lt;0,B594&lt;&gt;"TXO"),L594,"")</f>
        <v/>
      </c>
    </row>
    <row r="595" hidden="1" outlineLevel="2" collapsed="1" ht="17.25" customHeight="1" thickBot="1">
      <c r="A595" s="740" t="n">
        <v>43350</v>
      </c>
      <c r="B595" s="299" t="inlineStr">
        <is>
          <t>FIMTX</t>
        </is>
      </c>
      <c r="C595" s="300" t="inlineStr">
        <is>
          <t>小指09</t>
        </is>
      </c>
      <c r="D595" s="300" t="inlineStr">
        <is>
          <t>平倉</t>
        </is>
      </c>
      <c r="E595" s="301" t="inlineStr">
        <is>
          <t>賣</t>
        </is>
      </c>
      <c r="F595" s="300" t="inlineStr">
        <is>
          <t>-</t>
        </is>
      </c>
      <c r="G595" s="741" t="n">
        <v>1</v>
      </c>
      <c r="H595" s="741" t="n">
        <v>10882</v>
      </c>
      <c r="I595" s="741" t="n">
        <v>0</v>
      </c>
      <c r="J595" s="742" t="n">
        <v>23</v>
      </c>
      <c r="K595" s="742" t="n">
        <v>11</v>
      </c>
      <c r="L595" s="742">
        <f>IF(B595="TXO",I595-SUM(J595:K595),IF(B595="FITX",IF(D595="新倉",-SUM(J595:K595),IF(E595="賣",(H595-H594)*G595*200-SUM(J595:K595),(H594-H595)*G595*200-SUM(J595:K595))),IF(D595="新倉",-SUM(J595:K595),IF(E595="賣",(H595-H594)*G595*50-SUM(J595:K595),(H594-H595)*G595*50-SUM(J595:K595)))))</f>
        <v/>
      </c>
      <c r="M595" s="743">
        <f>L595</f>
        <v/>
      </c>
      <c r="N595" s="686">
        <f>IF(B595="TXO","",IF(D595="新倉","",IF(E595="賣",(H595-H594)*G595,(H594-H595)*G595)))</f>
        <v/>
      </c>
      <c r="O595" s="226">
        <f>ABS(I595)</f>
        <v/>
      </c>
      <c r="P595" s="667" t="n"/>
      <c r="Q595" s="249" t="inlineStr">
        <is>
          <t>技法: 刺補</t>
        </is>
      </c>
      <c r="R595" s="249" t="inlineStr">
        <is>
          <t>Yes</t>
        </is>
      </c>
      <c r="S595" s="739" t="n"/>
      <c r="T595" s="61">
        <f>IF(AND(R595="Yes",S595&lt;&gt;"Yes",L595&gt;0,B595&lt;&gt;"TXO"),L595,"")</f>
        <v/>
      </c>
      <c r="U595" s="61">
        <f>IF(AND(R595="Yes",S595&lt;&gt;"Yes",L595&lt;0,B595&lt;&gt;"TXO"),L595,"")</f>
        <v/>
      </c>
      <c r="V595" s="61">
        <f>IF(AND(R595="",S595&lt;&gt;"Yes",L595&gt;0,B595&lt;&gt;"TXO"),L595,"")</f>
        <v/>
      </c>
      <c r="W595" s="61">
        <f>IF(AND(R595="",S595&lt;&gt;"Yes",L595&lt;0,B595&lt;&gt;"TXO"),L595,"")</f>
        <v/>
      </c>
      <c r="X595" s="226">
        <f>IF(AND(R595="Yes",S595="Yes",L595&gt;0,B595&lt;&gt;"TXO"),L595,"")</f>
        <v/>
      </c>
      <c r="Y595" s="226">
        <f>IF(AND(R595="Yes",S595="Yes",L595&lt;0,B595&lt;&gt;"TXO"),L595,"")</f>
        <v/>
      </c>
      <c r="Z595" s="226">
        <f>IF(AND(R595="",S595="Yes",L595&gt;0,B595&lt;&gt;"TXO"),L595,"")</f>
        <v/>
      </c>
      <c r="AA595" s="226">
        <f>IF(AND(R595="",S595="Yes",L595&lt;0,B595&lt;&gt;"TXO"),L595,"")</f>
        <v/>
      </c>
    </row>
    <row r="596" hidden="1" outlineLevel="2" collapsed="1" ht="17.25" customHeight="1" thickBot="1">
      <c r="A596" s="740" t="n">
        <v>43350</v>
      </c>
      <c r="B596" s="299" t="inlineStr">
        <is>
          <t>FIMTX</t>
        </is>
      </c>
      <c r="C596" s="300" t="inlineStr">
        <is>
          <t>小指09</t>
        </is>
      </c>
      <c r="D596" s="300" t="inlineStr">
        <is>
          <t>新倉</t>
        </is>
      </c>
      <c r="E596" s="301" t="inlineStr">
        <is>
          <t>買</t>
        </is>
      </c>
      <c r="F596" s="300" t="inlineStr">
        <is>
          <t>-</t>
        </is>
      </c>
      <c r="G596" s="741" t="n">
        <v>1</v>
      </c>
      <c r="H596" s="741" t="n">
        <v>10869</v>
      </c>
      <c r="I596" s="741" t="n">
        <v>0</v>
      </c>
      <c r="J596" s="742" t="n">
        <v>23</v>
      </c>
      <c r="K596" s="742" t="n">
        <v>11</v>
      </c>
      <c r="L596" s="742">
        <f>IF(B596="TXO",I596-SUM(J596:K596),IF(B596="FITX",IF(D596="新倉",-SUM(J596:K596),IF(E596="賣",(H596-H595)*G596*200-SUM(J596:K596),(H595-H596)*G596*200-SUM(J596:K596))),IF(D596="新倉",-SUM(J596:K596),IF(E596="賣",(H596-H595)*G596*50-SUM(J596:K596),(H595-H596)*G596*50-SUM(J596:K596)))))</f>
        <v/>
      </c>
      <c r="M596" s="743">
        <f>L596</f>
        <v/>
      </c>
      <c r="N596" s="686">
        <f>IF(B596="TXO","",IF(D596="新倉","",IF(E596="賣",(H596-H595)*G596,(H595-H596)*G596)))</f>
        <v/>
      </c>
      <c r="O596" s="226">
        <f>ABS(I596)</f>
        <v/>
      </c>
      <c r="P596" s="667" t="n"/>
      <c r="Q596" s="310" t="n"/>
      <c r="R596" s="249" t="inlineStr">
        <is>
          <t>Yes</t>
        </is>
      </c>
      <c r="S596" s="739" t="n"/>
      <c r="T596" s="61">
        <f>IF(AND(R596="Yes",S596&lt;&gt;"Yes",L596&gt;0,B596&lt;&gt;"TXO"),L596,"")</f>
        <v/>
      </c>
      <c r="U596" s="61">
        <f>IF(AND(R596="Yes",S596&lt;&gt;"Yes",L596&lt;0,B596&lt;&gt;"TXO"),L596,"")</f>
        <v/>
      </c>
      <c r="V596" s="61">
        <f>IF(AND(R596="",S596&lt;&gt;"Yes",L596&gt;0,B596&lt;&gt;"TXO"),L596,"")</f>
        <v/>
      </c>
      <c r="W596" s="61">
        <f>IF(AND(R596="",S596&lt;&gt;"Yes",L596&lt;0,B596&lt;&gt;"TXO"),L596,"")</f>
        <v/>
      </c>
      <c r="X596" s="226">
        <f>IF(AND(R596="Yes",S596="Yes",L596&gt;0,B596&lt;&gt;"TXO"),L596,"")</f>
        <v/>
      </c>
      <c r="Y596" s="226">
        <f>IF(AND(R596="Yes",S596="Yes",L596&lt;0,B596&lt;&gt;"TXO"),L596,"")</f>
        <v/>
      </c>
      <c r="Z596" s="226">
        <f>IF(AND(R596="",S596="Yes",L596&gt;0,B596&lt;&gt;"TXO"),L596,"")</f>
        <v/>
      </c>
      <c r="AA596" s="226">
        <f>IF(AND(R596="",S596="Yes",L596&lt;0,B596&lt;&gt;"TXO"),L596,"")</f>
        <v/>
      </c>
    </row>
    <row r="597" hidden="1" outlineLevel="2" collapsed="1" ht="17.25" customHeight="1" thickBot="1">
      <c r="A597" s="740" t="n">
        <v>43350</v>
      </c>
      <c r="B597" s="299" t="inlineStr">
        <is>
          <t>FIMTX</t>
        </is>
      </c>
      <c r="C597" s="300" t="inlineStr">
        <is>
          <t>小指09</t>
        </is>
      </c>
      <c r="D597" s="300" t="inlineStr">
        <is>
          <t>平倉</t>
        </is>
      </c>
      <c r="E597" s="301" t="inlineStr">
        <is>
          <t>賣</t>
        </is>
      </c>
      <c r="F597" s="300" t="inlineStr">
        <is>
          <t>-</t>
        </is>
      </c>
      <c r="G597" s="741" t="n">
        <v>1</v>
      </c>
      <c r="H597" s="741" t="n">
        <v>10887</v>
      </c>
      <c r="I597" s="741" t="n">
        <v>0</v>
      </c>
      <c r="J597" s="742" t="n">
        <v>23</v>
      </c>
      <c r="K597" s="742" t="n">
        <v>11</v>
      </c>
      <c r="L597" s="742">
        <f>IF(B597="TXO",I597-SUM(J597:K597),IF(B597="FITX",IF(D597="新倉",-SUM(J597:K597),IF(E597="賣",(H597-H596)*G597*200-SUM(J597:K597),(H596-H597)*G597*200-SUM(J597:K597))),IF(D597="新倉",-SUM(J597:K597),IF(E597="賣",(H597-H596)*G597*50-SUM(J597:K597),(H596-H597)*G597*50-SUM(J597:K597)))))</f>
        <v/>
      </c>
      <c r="M597" s="743">
        <f>L597</f>
        <v/>
      </c>
      <c r="N597" s="686">
        <f>IF(B597="TXO","",IF(D597="新倉","",IF(E597="賣",(H597-H596)*G597,(H596-H597)*G597)))</f>
        <v/>
      </c>
      <c r="O597" s="226">
        <f>ABS(I597)</f>
        <v/>
      </c>
      <c r="P597" s="667" t="n"/>
      <c r="Q597" s="249" t="inlineStr">
        <is>
          <t>技法: 刺補</t>
        </is>
      </c>
      <c r="R597" s="249" t="inlineStr">
        <is>
          <t>Yes</t>
        </is>
      </c>
      <c r="S597" s="739" t="n"/>
      <c r="T597" s="61">
        <f>IF(AND(R597="Yes",S597&lt;&gt;"Yes",L597&gt;0,B597&lt;&gt;"TXO"),L597,"")</f>
        <v/>
      </c>
      <c r="U597" s="61">
        <f>IF(AND(R597="Yes",S597&lt;&gt;"Yes",L597&lt;0,B597&lt;&gt;"TXO"),L597,"")</f>
        <v/>
      </c>
      <c r="V597" s="61">
        <f>IF(AND(R597="",S597&lt;&gt;"Yes",L597&gt;0,B597&lt;&gt;"TXO"),L597,"")</f>
        <v/>
      </c>
      <c r="W597" s="61">
        <f>IF(AND(R597="",S597&lt;&gt;"Yes",L597&lt;0,B597&lt;&gt;"TXO"),L597,"")</f>
        <v/>
      </c>
      <c r="X597" s="226">
        <f>IF(AND(R597="Yes",S597="Yes",L597&gt;0,B597&lt;&gt;"TXO"),L597,"")</f>
        <v/>
      </c>
      <c r="Y597" s="226">
        <f>IF(AND(R597="Yes",S597="Yes",L597&lt;0,B597&lt;&gt;"TXO"),L597,"")</f>
        <v/>
      </c>
      <c r="Z597" s="226">
        <f>IF(AND(R597="",S597="Yes",L597&gt;0,B597&lt;&gt;"TXO"),L597,"")</f>
        <v/>
      </c>
      <c r="AA597" s="226">
        <f>IF(AND(R597="",S597="Yes",L597&lt;0,B597&lt;&gt;"TXO"),L597,"")</f>
        <v/>
      </c>
    </row>
    <row r="598" hidden="1" outlineLevel="2" collapsed="1" ht="17.25" customHeight="1" thickBot="1">
      <c r="A598" s="740" t="n">
        <v>43350</v>
      </c>
      <c r="B598" s="299" t="inlineStr">
        <is>
          <t>FIMTX</t>
        </is>
      </c>
      <c r="C598" s="300" t="inlineStr">
        <is>
          <t>小指09</t>
        </is>
      </c>
      <c r="D598" s="300" t="inlineStr">
        <is>
          <t>新倉</t>
        </is>
      </c>
      <c r="E598" s="301" t="inlineStr">
        <is>
          <t>買</t>
        </is>
      </c>
      <c r="F598" s="300" t="inlineStr">
        <is>
          <t>-</t>
        </is>
      </c>
      <c r="G598" s="741" t="n">
        <v>1</v>
      </c>
      <c r="H598" s="741" t="n">
        <v>10869</v>
      </c>
      <c r="I598" s="741" t="n">
        <v>0</v>
      </c>
      <c r="J598" s="742" t="n">
        <v>23</v>
      </c>
      <c r="K598" s="742" t="n">
        <v>11</v>
      </c>
      <c r="L598" s="742">
        <f>IF(B598="TXO",I598-SUM(J598:K598),IF(B598="FITX",IF(D598="新倉",-SUM(J598:K598),IF(E598="賣",(H598-H597)*G598*200-SUM(J598:K598),(H597-H598)*G598*200-SUM(J598:K598))),IF(D598="新倉",-SUM(J598:K598),IF(E598="賣",(H598-H597)*G598*50-SUM(J598:K598),(H597-H598)*G598*50-SUM(J598:K598)))))</f>
        <v/>
      </c>
      <c r="M598" s="743">
        <f>L598</f>
        <v/>
      </c>
      <c r="N598" s="686">
        <f>IF(B598="TXO","",IF(D598="新倉","",IF(E598="賣",(H598-H597)*G598,(H597-H598)*G598)))</f>
        <v/>
      </c>
      <c r="O598" s="226">
        <f>ABS(I598)</f>
        <v/>
      </c>
      <c r="P598" s="667" t="n"/>
      <c r="Q598" s="310" t="n"/>
      <c r="R598" s="249" t="inlineStr">
        <is>
          <t>Yes</t>
        </is>
      </c>
      <c r="S598" s="739" t="n"/>
      <c r="T598" s="61">
        <f>IF(AND(R598="Yes",S598&lt;&gt;"Yes",L598&gt;0,B598&lt;&gt;"TXO"),L598,"")</f>
        <v/>
      </c>
      <c r="U598" s="61">
        <f>IF(AND(R598="Yes",S598&lt;&gt;"Yes",L598&lt;0,B598&lt;&gt;"TXO"),L598,"")</f>
        <v/>
      </c>
      <c r="V598" s="61">
        <f>IF(AND(R598="",S598&lt;&gt;"Yes",L598&gt;0,B598&lt;&gt;"TXO"),L598,"")</f>
        <v/>
      </c>
      <c r="W598" s="61">
        <f>IF(AND(R598="",S598&lt;&gt;"Yes",L598&lt;0,B598&lt;&gt;"TXO"),L598,"")</f>
        <v/>
      </c>
      <c r="X598" s="226">
        <f>IF(AND(R598="Yes",S598="Yes",L598&gt;0,B598&lt;&gt;"TXO"),L598,"")</f>
        <v/>
      </c>
      <c r="Y598" s="226">
        <f>IF(AND(R598="Yes",S598="Yes",L598&lt;0,B598&lt;&gt;"TXO"),L598,"")</f>
        <v/>
      </c>
      <c r="Z598" s="226">
        <f>IF(AND(R598="",S598="Yes",L598&gt;0,B598&lt;&gt;"TXO"),L598,"")</f>
        <v/>
      </c>
      <c r="AA598" s="226">
        <f>IF(AND(R598="",S598="Yes",L598&lt;0,B598&lt;&gt;"TXO"),L598,"")</f>
        <v/>
      </c>
    </row>
    <row r="599" hidden="1" outlineLevel="2" collapsed="1" ht="17.25" customHeight="1" thickBot="1">
      <c r="A599" s="740" t="n">
        <v>43350</v>
      </c>
      <c r="B599" s="299" t="inlineStr">
        <is>
          <t>FIMTX</t>
        </is>
      </c>
      <c r="C599" s="300" t="inlineStr">
        <is>
          <t>小指09</t>
        </is>
      </c>
      <c r="D599" s="300" t="inlineStr">
        <is>
          <t>平倉</t>
        </is>
      </c>
      <c r="E599" s="301" t="inlineStr">
        <is>
          <t>賣</t>
        </is>
      </c>
      <c r="F599" s="300" t="inlineStr">
        <is>
          <t>-</t>
        </is>
      </c>
      <c r="G599" s="741" t="n">
        <v>1</v>
      </c>
      <c r="H599" s="741" t="n">
        <v>10886</v>
      </c>
      <c r="I599" s="741" t="n">
        <v>0</v>
      </c>
      <c r="J599" s="742" t="n">
        <v>23</v>
      </c>
      <c r="K599" s="742" t="n">
        <v>11</v>
      </c>
      <c r="L599" s="742">
        <f>IF(B599="TXO",I599-SUM(J599:K599),IF(B599="FITX",IF(D599="新倉",-SUM(J599:K599),IF(E599="賣",(H599-H598)*G599*200-SUM(J599:K599),(H598-H599)*G599*200-SUM(J599:K599))),IF(D599="新倉",-SUM(J599:K599),IF(E599="賣",(H599-H598)*G599*50-SUM(J599:K599),(H598-H599)*G599*50-SUM(J599:K599)))))</f>
        <v/>
      </c>
      <c r="M599" s="743">
        <f>L599</f>
        <v/>
      </c>
      <c r="N599" s="686">
        <f>IF(B599="TXO","",IF(D599="新倉","",IF(E599="賣",(H599-H598)*G599,(H598-H599)*G599)))</f>
        <v/>
      </c>
      <c r="O599" s="226">
        <f>ABS(I599)</f>
        <v/>
      </c>
      <c r="P599" s="667" t="n"/>
      <c r="Q599" s="249" t="inlineStr">
        <is>
          <t>技法: 移動式停利</t>
        </is>
      </c>
      <c r="R599" s="249" t="inlineStr">
        <is>
          <t>Yes</t>
        </is>
      </c>
      <c r="S599" s="739" t="n"/>
      <c r="T599" s="61">
        <f>IF(AND(R599="Yes",S599&lt;&gt;"Yes",L599&gt;0,B599&lt;&gt;"TXO"),L599,"")</f>
        <v/>
      </c>
      <c r="U599" s="61">
        <f>IF(AND(R599="Yes",S599&lt;&gt;"Yes",L599&lt;0,B599&lt;&gt;"TXO"),L599,"")</f>
        <v/>
      </c>
      <c r="V599" s="61">
        <f>IF(AND(R599="",S599&lt;&gt;"Yes",L599&gt;0,B599&lt;&gt;"TXO"),L599,"")</f>
        <v/>
      </c>
      <c r="W599" s="61">
        <f>IF(AND(R599="",S599&lt;&gt;"Yes",L599&lt;0,B599&lt;&gt;"TXO"),L599,"")</f>
        <v/>
      </c>
      <c r="X599" s="226">
        <f>IF(AND(R599="Yes",S599="Yes",L599&gt;0,B599&lt;&gt;"TXO"),L599,"")</f>
        <v/>
      </c>
      <c r="Y599" s="226">
        <f>IF(AND(R599="Yes",S599="Yes",L599&lt;0,B599&lt;&gt;"TXO"),L599,"")</f>
        <v/>
      </c>
      <c r="Z599" s="226">
        <f>IF(AND(R599="",S599="Yes",L599&gt;0,B599&lt;&gt;"TXO"),L599,"")</f>
        <v/>
      </c>
      <c r="AA599" s="226">
        <f>IF(AND(R599="",S599="Yes",L599&lt;0,B599&lt;&gt;"TXO"),L599,"")</f>
        <v/>
      </c>
    </row>
    <row r="600" hidden="1" outlineLevel="2" collapsed="1" ht="17.25" customHeight="1" thickBot="1">
      <c r="A600" s="740" t="n">
        <v>43350</v>
      </c>
      <c r="B600" s="299" t="inlineStr">
        <is>
          <t>FIMTX</t>
        </is>
      </c>
      <c r="C600" s="300" t="inlineStr">
        <is>
          <t>小指09</t>
        </is>
      </c>
      <c r="D600" s="300" t="inlineStr">
        <is>
          <t>新倉</t>
        </is>
      </c>
      <c r="E600" s="301" t="inlineStr">
        <is>
          <t>賣</t>
        </is>
      </c>
      <c r="F600" s="300" t="inlineStr">
        <is>
          <t>-</t>
        </is>
      </c>
      <c r="G600" s="741" t="n">
        <v>3</v>
      </c>
      <c r="H600" s="741" t="n">
        <v>10846</v>
      </c>
      <c r="I600" s="741" t="n">
        <v>0</v>
      </c>
      <c r="J600" s="742" t="n">
        <v>69</v>
      </c>
      <c r="K600" s="742" t="n">
        <v>33</v>
      </c>
      <c r="L600" s="742">
        <f>IF(B600="TXO",I600-SUM(J600:K600),IF(B600="FITX",IF(D600="新倉",-SUM(J600:K600),IF(E600="賣",(H600-H599)*G600*200-SUM(J600:K600),(H599-H600)*G600*200-SUM(J600:K600))),IF(D600="新倉",-SUM(J600:K600),IF(E600="賣",(H600-H599)*G600*50-SUM(J600:K600),(H599-H600)*G600*50-SUM(J600:K600)))))</f>
        <v/>
      </c>
      <c r="M600" s="743">
        <f>L600</f>
        <v/>
      </c>
      <c r="N600" s="686">
        <f>IF(B600="TXO","",IF(D600="新倉","",IF(E600="賣",(H600-H599)*G600,(H599-H600)*G600)))</f>
        <v/>
      </c>
      <c r="O600" s="226">
        <f>ABS(I600)</f>
        <v/>
      </c>
      <c r="P600" s="667" t="n"/>
      <c r="Q600" s="249" t="inlineStr">
        <is>
          <t>技法: 3/3 買進三口</t>
        </is>
      </c>
      <c r="R600" s="249" t="inlineStr">
        <is>
          <t>Yes</t>
        </is>
      </c>
      <c r="S600" s="249" t="inlineStr">
        <is>
          <t>Yes</t>
        </is>
      </c>
      <c r="T600" s="61">
        <f>IF(AND(R600="Yes",S600&lt;&gt;"Yes",L600&gt;0,B600&lt;&gt;"TXO"),L600,"")</f>
        <v/>
      </c>
      <c r="U600" s="61">
        <f>IF(AND(R600="Yes",S600&lt;&gt;"Yes",L600&lt;0,B600&lt;&gt;"TXO"),L600,"")</f>
        <v/>
      </c>
      <c r="V600" s="61">
        <f>IF(AND(R600="",S600&lt;&gt;"Yes",L600&gt;0,B600&lt;&gt;"TXO"),L600,"")</f>
        <v/>
      </c>
      <c r="W600" s="61">
        <f>IF(AND(R600="",S600&lt;&gt;"Yes",L600&lt;0,B600&lt;&gt;"TXO"),L600,"")</f>
        <v/>
      </c>
      <c r="X600" s="226">
        <f>IF(AND(R600="Yes",S600="Yes",L600&gt;0,B600&lt;&gt;"TXO"),L600,"")</f>
        <v/>
      </c>
      <c r="Y600" s="226">
        <f>IF(AND(R600="Yes",S600="Yes",L600&lt;0,B600&lt;&gt;"TXO"),L600,"")</f>
        <v/>
      </c>
      <c r="Z600" s="226">
        <f>IF(AND(R600="",S600="Yes",L600&gt;0,B600&lt;&gt;"TXO"),L600,"")</f>
        <v/>
      </c>
      <c r="AA600" s="226">
        <f>IF(AND(R600="",S600="Yes",L600&lt;0,B600&lt;&gt;"TXO"),L600,"")</f>
        <v/>
      </c>
    </row>
    <row r="601" hidden="1" outlineLevel="2" collapsed="1" ht="17.25" customHeight="1" thickBot="1">
      <c r="A601" s="740" t="n">
        <v>43350</v>
      </c>
      <c r="B601" s="299" t="inlineStr">
        <is>
          <t>FIMTX</t>
        </is>
      </c>
      <c r="C601" s="300" t="inlineStr">
        <is>
          <t>小指09</t>
        </is>
      </c>
      <c r="D601" s="300" t="inlineStr">
        <is>
          <t>平倉</t>
        </is>
      </c>
      <c r="E601" s="301" t="inlineStr">
        <is>
          <t>買</t>
        </is>
      </c>
      <c r="F601" s="300" t="inlineStr">
        <is>
          <t>-</t>
        </is>
      </c>
      <c r="G601" s="741" t="n">
        <v>3</v>
      </c>
      <c r="H601" s="741" t="n">
        <v>10854</v>
      </c>
      <c r="I601" s="741" t="n">
        <v>0</v>
      </c>
      <c r="J601" s="742" t="n">
        <v>69</v>
      </c>
      <c r="K601" s="742" t="n">
        <v>33</v>
      </c>
      <c r="L601" s="742">
        <f>IF(B601="TXO",I601-SUM(J601:K601),IF(B601="FITX",IF(D601="新倉",-SUM(J601:K601),IF(E601="賣",(H601-H600)*G601*200-SUM(J601:K601),(H600-H601)*G601*200-SUM(J601:K601))),IF(D601="新倉",-SUM(J601:K601),IF(E601="賣",(H601-H600)*G601*50-SUM(J601:K601),(H600-H601)*G601*50-SUM(J601:K601)))))</f>
        <v/>
      </c>
      <c r="M601" s="743">
        <f>L601</f>
        <v/>
      </c>
      <c r="N601" s="686">
        <f>IF(B601="TXO","",IF(D601="新倉","",IF(E601="賣",(H601-H600)*G601,(H600-H601)*G601)))</f>
        <v/>
      </c>
      <c r="O601" s="226">
        <f>ABS(I601)</f>
        <v/>
      </c>
      <c r="P601" s="667" t="n"/>
      <c r="Q601" s="249" t="inlineStr">
        <is>
          <t>碰10MA停損</t>
        </is>
      </c>
      <c r="R601" s="249" t="inlineStr">
        <is>
          <t>Yes</t>
        </is>
      </c>
      <c r="S601" s="249" t="inlineStr">
        <is>
          <t>Yes</t>
        </is>
      </c>
      <c r="T601" s="61">
        <f>IF(AND(R601="Yes",S601&lt;&gt;"Yes",L601&gt;0,B601&lt;&gt;"TXO"),L601,"")</f>
        <v/>
      </c>
      <c r="U601" s="61">
        <f>IF(AND(R601="Yes",S601&lt;&gt;"Yes",L601&lt;0,B601&lt;&gt;"TXO"),L601,"")</f>
        <v/>
      </c>
      <c r="V601" s="61">
        <f>IF(AND(R601="",S601&lt;&gt;"Yes",L601&gt;0,B601&lt;&gt;"TXO"),L601,"")</f>
        <v/>
      </c>
      <c r="W601" s="61">
        <f>IF(AND(R601="",S601&lt;&gt;"Yes",L601&lt;0,B601&lt;&gt;"TXO"),L601,"")</f>
        <v/>
      </c>
      <c r="X601" s="226">
        <f>IF(AND(R601="Yes",S601="Yes",L601&gt;0,B601&lt;&gt;"TXO"),L601,"")</f>
        <v/>
      </c>
      <c r="Y601" s="226">
        <f>IF(AND(R601="Yes",S601="Yes",L601&lt;0,B601&lt;&gt;"TXO"),L601,"")</f>
        <v/>
      </c>
      <c r="Z601" s="226">
        <f>IF(AND(R601="",S601="Yes",L601&gt;0,B601&lt;&gt;"TXO"),L601,"")</f>
        <v/>
      </c>
      <c r="AA601" s="226">
        <f>IF(AND(R601="",S601="Yes",L601&lt;0,B601&lt;&gt;"TXO"),L601,"")</f>
        <v/>
      </c>
    </row>
    <row r="602" hidden="1" outlineLevel="2" collapsed="1" ht="17.25" customHeight="1" thickBot="1">
      <c r="A602" s="740" t="n">
        <v>43350</v>
      </c>
      <c r="B602" s="299" t="inlineStr">
        <is>
          <t>FIMTX</t>
        </is>
      </c>
      <c r="C602" s="300" t="inlineStr">
        <is>
          <t>小指09</t>
        </is>
      </c>
      <c r="D602" s="300" t="inlineStr">
        <is>
          <t>新倉</t>
        </is>
      </c>
      <c r="E602" s="301" t="inlineStr">
        <is>
          <t>買</t>
        </is>
      </c>
      <c r="F602" s="300" t="inlineStr">
        <is>
          <t>-</t>
        </is>
      </c>
      <c r="G602" s="741" t="n">
        <v>3</v>
      </c>
      <c r="H602" s="741" t="n">
        <v>10851</v>
      </c>
      <c r="I602" s="741" t="n">
        <v>0</v>
      </c>
      <c r="J602" s="742" t="n">
        <v>69</v>
      </c>
      <c r="K602" s="742" t="n">
        <v>33</v>
      </c>
      <c r="L602" s="742">
        <f>IF(B602="TXO",I602-SUM(J602:K602),IF(B602="FITX",IF(D602="新倉",-SUM(J602:K602),IF(E602="賣",(H602-H601)*G602*200-SUM(J602:K602),(H601-H602)*G602*200-SUM(J602:K602))),IF(D602="新倉",-SUM(J602:K602),IF(E602="賣",(H602-H601)*G602*50-SUM(J602:K602),(H601-H602)*G602*50-SUM(J602:K602)))))</f>
        <v/>
      </c>
      <c r="M602" s="743">
        <f>L602</f>
        <v/>
      </c>
      <c r="N602" s="686">
        <f>IF(B602="TXO","",IF(D602="新倉","",IF(E602="賣",(H602-H601)*G602,(H601-H602)*G602)))</f>
        <v/>
      </c>
      <c r="O602" s="226">
        <f>ABS(I602)</f>
        <v/>
      </c>
      <c r="P602" s="667" t="n"/>
      <c r="Q602" s="249" t="inlineStr">
        <is>
          <t>技法: 3/3 買進三口</t>
        </is>
      </c>
      <c r="R602" s="249" t="inlineStr">
        <is>
          <t>Yes</t>
        </is>
      </c>
      <c r="S602" s="249" t="inlineStr">
        <is>
          <t>Yes</t>
        </is>
      </c>
      <c r="T602" s="61">
        <f>IF(AND(R602="Yes",S602&lt;&gt;"Yes",L602&gt;0,B602&lt;&gt;"TXO"),L602,"")</f>
        <v/>
      </c>
      <c r="U602" s="61">
        <f>IF(AND(R602="Yes",S602&lt;&gt;"Yes",L602&lt;0,B602&lt;&gt;"TXO"),L602,"")</f>
        <v/>
      </c>
      <c r="V602" s="61">
        <f>IF(AND(R602="",S602&lt;&gt;"Yes",L602&gt;0,B602&lt;&gt;"TXO"),L602,"")</f>
        <v/>
      </c>
      <c r="W602" s="61">
        <f>IF(AND(R602="",S602&lt;&gt;"Yes",L602&lt;0,B602&lt;&gt;"TXO"),L602,"")</f>
        <v/>
      </c>
      <c r="X602" s="226">
        <f>IF(AND(R602="Yes",S602="Yes",L602&gt;0,B602&lt;&gt;"TXO"),L602,"")</f>
        <v/>
      </c>
      <c r="Y602" s="226">
        <f>IF(AND(R602="Yes",S602="Yes",L602&lt;0,B602&lt;&gt;"TXO"),L602,"")</f>
        <v/>
      </c>
      <c r="Z602" s="226">
        <f>IF(AND(R602="",S602="Yes",L602&gt;0,B602&lt;&gt;"TXO"),L602,"")</f>
        <v/>
      </c>
      <c r="AA602" s="226">
        <f>IF(AND(R602="",S602="Yes",L602&lt;0,B602&lt;&gt;"TXO"),L602,"")</f>
        <v/>
      </c>
    </row>
    <row r="603" hidden="1" outlineLevel="2" collapsed="1" ht="17.25" customHeight="1" thickBot="1">
      <c r="A603" s="740" t="n">
        <v>43350</v>
      </c>
      <c r="B603" s="299" t="inlineStr">
        <is>
          <t>FIMTX</t>
        </is>
      </c>
      <c r="C603" s="300" t="inlineStr">
        <is>
          <t>小指09</t>
        </is>
      </c>
      <c r="D603" s="300" t="inlineStr">
        <is>
          <t>平倉</t>
        </is>
      </c>
      <c r="E603" s="301" t="inlineStr">
        <is>
          <t>賣</t>
        </is>
      </c>
      <c r="F603" s="300" t="inlineStr">
        <is>
          <t>-</t>
        </is>
      </c>
      <c r="G603" s="741" t="n">
        <v>3</v>
      </c>
      <c r="H603" s="741" t="n">
        <v>10846</v>
      </c>
      <c r="I603" s="741" t="n">
        <v>0</v>
      </c>
      <c r="J603" s="742" t="n">
        <v>69</v>
      </c>
      <c r="K603" s="742" t="n">
        <v>33</v>
      </c>
      <c r="L603" s="742">
        <f>IF(B603="TXO",I603-SUM(J603:K603),IF(B603="FITX",IF(D603="新倉",-SUM(J603:K603),IF(E603="賣",(H603-H602)*G603*200-SUM(J603:K603),(H602-H603)*G603*200-SUM(J603:K603))),IF(D603="新倉",-SUM(J603:K603),IF(E603="賣",(H603-H602)*G603*50-SUM(J603:K603),(H602-H603)*G603*50-SUM(J603:K603)))))</f>
        <v/>
      </c>
      <c r="M603" s="743">
        <f>L603</f>
        <v/>
      </c>
      <c r="N603" s="686">
        <f>IF(B603="TXO","",IF(D603="新倉","",IF(E603="賣",(H603-H602)*G603,(H602-H603)*G603)))</f>
        <v/>
      </c>
      <c r="O603" s="226">
        <f>ABS(I603)</f>
        <v/>
      </c>
      <c r="P603" s="667" t="n"/>
      <c r="Q603" s="249" t="inlineStr">
        <is>
          <t>碰10MA停損</t>
        </is>
      </c>
      <c r="R603" s="249" t="inlineStr">
        <is>
          <t>Yes</t>
        </is>
      </c>
      <c r="S603" s="249" t="inlineStr">
        <is>
          <t>Yes</t>
        </is>
      </c>
      <c r="T603" s="61">
        <f>IF(AND(R603="Yes",S603&lt;&gt;"Yes",L603&gt;0,B603&lt;&gt;"TXO"),L603,"")</f>
        <v/>
      </c>
      <c r="U603" s="61">
        <f>IF(AND(R603="Yes",S603&lt;&gt;"Yes",L603&lt;0,B603&lt;&gt;"TXO"),L603,"")</f>
        <v/>
      </c>
      <c r="V603" s="61">
        <f>IF(AND(R603="",S603&lt;&gt;"Yes",L603&gt;0,B603&lt;&gt;"TXO"),L603,"")</f>
        <v/>
      </c>
      <c r="W603" s="61">
        <f>IF(AND(R603="",S603&lt;&gt;"Yes",L603&lt;0,B603&lt;&gt;"TXO"),L603,"")</f>
        <v/>
      </c>
      <c r="X603" s="226">
        <f>IF(AND(R603="Yes",S603="Yes",L603&gt;0,B603&lt;&gt;"TXO"),L603,"")</f>
        <v/>
      </c>
      <c r="Y603" s="226">
        <f>IF(AND(R603="Yes",S603="Yes",L603&lt;0,B603&lt;&gt;"TXO"),L603,"")</f>
        <v/>
      </c>
      <c r="Z603" s="226">
        <f>IF(AND(R603="",S603="Yes",L603&gt;0,B603&lt;&gt;"TXO"),L603,"")</f>
        <v/>
      </c>
      <c r="AA603" s="226">
        <f>IF(AND(R603="",S603="Yes",L603&lt;0,B603&lt;&gt;"TXO"),L603,"")</f>
        <v/>
      </c>
    </row>
    <row r="604" hidden="1" outlineLevel="2" ht="17.25" customHeight="1" thickBot="1">
      <c r="A604" s="740" t="n">
        <v>43350</v>
      </c>
      <c r="B604" s="299" t="inlineStr">
        <is>
          <t>FIMTX</t>
        </is>
      </c>
      <c r="C604" s="300" t="inlineStr">
        <is>
          <t>小指09</t>
        </is>
      </c>
      <c r="D604" s="300" t="inlineStr">
        <is>
          <t>新倉</t>
        </is>
      </c>
      <c r="E604" s="301" t="inlineStr">
        <is>
          <t>賣</t>
        </is>
      </c>
      <c r="F604" s="300" t="inlineStr">
        <is>
          <t>-</t>
        </is>
      </c>
      <c r="G604" s="741" t="n">
        <v>1</v>
      </c>
      <c r="H604" s="741" t="n">
        <v>10848</v>
      </c>
      <c r="I604" s="741" t="n">
        <v>0</v>
      </c>
      <c r="J604" s="742" t="n">
        <v>23</v>
      </c>
      <c r="K604" s="742" t="n">
        <v>11</v>
      </c>
      <c r="L604" s="742">
        <f>IF(B604="TXO",I604-SUM(J604:K604),IF(B604="FITX",IF(D604="新倉",-SUM(J604:K604),IF(E604="賣",(H604-H603)*G604*200-SUM(J604:K604),(H603-H604)*G604*200-SUM(J604:K604))),IF(D604="新倉",-SUM(J604:K604),IF(E604="賣",(H604-H603)*G604*50-SUM(J604:K604),(H603-H604)*G604*50-SUM(J604:K604)))))</f>
        <v/>
      </c>
      <c r="M604" s="743">
        <f>L604</f>
        <v/>
      </c>
      <c r="N604" s="686">
        <f>IF(B604="TXO","",IF(D604="新倉","",IF(E604="賣",(H604-H603)*G604,(H603-H604)*G604)))</f>
        <v/>
      </c>
      <c r="O604" s="226">
        <f>ABS(I604)</f>
        <v/>
      </c>
      <c r="P604" s="667" t="n"/>
      <c r="Q604" s="310" t="inlineStr">
        <is>
          <t>手癢單，追跌</t>
        </is>
      </c>
      <c r="R604" s="310" t="n"/>
      <c r="S604" s="739" t="n"/>
      <c r="T604" s="61">
        <f>IF(AND(R604="Yes",S604&lt;&gt;"Yes",L604&gt;0,B604&lt;&gt;"TXO"),L604,"")</f>
        <v/>
      </c>
      <c r="U604" s="61">
        <f>IF(AND(R604="Yes",S604&lt;&gt;"Yes",L604&lt;0,B604&lt;&gt;"TXO"),L604,"")</f>
        <v/>
      </c>
      <c r="V604" s="61">
        <f>IF(AND(R604="",S604&lt;&gt;"Yes",L604&gt;0,B604&lt;&gt;"TXO"),L604,"")</f>
        <v/>
      </c>
      <c r="W604" s="61">
        <f>IF(AND(R604="",S604&lt;&gt;"Yes",L604&lt;0,B604&lt;&gt;"TXO"),L604,"")</f>
        <v/>
      </c>
      <c r="X604" s="226">
        <f>IF(AND(R604="Yes",S604="Yes",L604&gt;0,B604&lt;&gt;"TXO"),L604,"")</f>
        <v/>
      </c>
      <c r="Y604" s="226">
        <f>IF(AND(R604="Yes",S604="Yes",L604&lt;0,B604&lt;&gt;"TXO"),L604,"")</f>
        <v/>
      </c>
      <c r="Z604" s="226">
        <f>IF(AND(R604="",S604="Yes",L604&gt;0,B604&lt;&gt;"TXO"),L604,"")</f>
        <v/>
      </c>
      <c r="AA604" s="226">
        <f>IF(AND(R604="",S604="Yes",L604&lt;0,B604&lt;&gt;"TXO"),L604,"")</f>
        <v/>
      </c>
    </row>
    <row r="605" hidden="1" outlineLevel="2" ht="17.25" customHeight="1" thickBot="1">
      <c r="A605" s="740" t="n">
        <v>43350</v>
      </c>
      <c r="B605" s="299" t="inlineStr">
        <is>
          <t>FIMTX</t>
        </is>
      </c>
      <c r="C605" s="300" t="inlineStr">
        <is>
          <t>小指09</t>
        </is>
      </c>
      <c r="D605" s="300" t="inlineStr">
        <is>
          <t>平倉</t>
        </is>
      </c>
      <c r="E605" s="301" t="inlineStr">
        <is>
          <t>買</t>
        </is>
      </c>
      <c r="F605" s="300" t="inlineStr">
        <is>
          <t>-</t>
        </is>
      </c>
      <c r="G605" s="741" t="n">
        <v>1</v>
      </c>
      <c r="H605" s="741" t="n">
        <v>10847</v>
      </c>
      <c r="I605" s="741" t="n">
        <v>0</v>
      </c>
      <c r="J605" s="742" t="n">
        <v>23</v>
      </c>
      <c r="K605" s="742" t="n">
        <v>11</v>
      </c>
      <c r="L605" s="742">
        <f>IF(B605="TXO",I605-SUM(J605:K605),IF(B605="FITX",IF(D605="新倉",-SUM(J605:K605),IF(E605="賣",(H605-H604)*G605*200-SUM(J605:K605),(H604-H605)*G605*200-SUM(J605:K605))),IF(D605="新倉",-SUM(J605:K605),IF(E605="賣",(H605-H604)*G605*50-SUM(J605:K605),(H604-H605)*G605*50-SUM(J605:K605)))))</f>
        <v/>
      </c>
      <c r="M605" s="743">
        <f>L605</f>
        <v/>
      </c>
      <c r="N605" s="686">
        <f>IF(B605="TXO","",IF(D605="新倉","",IF(E605="賣",(H605-H604)*G605,(H604-H605)*G605)))</f>
        <v/>
      </c>
      <c r="O605" s="226">
        <f>ABS(I605)</f>
        <v/>
      </c>
      <c r="P605" s="667" t="n"/>
      <c r="Q605" s="311" t="inlineStr">
        <is>
          <t>反向，急出場</t>
        </is>
      </c>
      <c r="R605" s="311" t="n"/>
      <c r="S605" s="739" t="n"/>
      <c r="T605" s="61">
        <f>IF(AND(R605="Yes",S605&lt;&gt;"Yes",L605&gt;0,B605&lt;&gt;"TXO"),L605,"")</f>
        <v/>
      </c>
      <c r="U605" s="61">
        <f>IF(AND(R605="Yes",S605&lt;&gt;"Yes",L605&lt;0,B605&lt;&gt;"TXO"),L605,"")</f>
        <v/>
      </c>
      <c r="V605" s="61">
        <f>IF(AND(R605="",S605&lt;&gt;"Yes",L605&gt;0,B605&lt;&gt;"TXO"),L605,"")</f>
        <v/>
      </c>
      <c r="W605" s="61">
        <f>IF(AND(R605="",S605&lt;&gt;"Yes",L605&lt;0,B605&lt;&gt;"TXO"),L605,"")</f>
        <v/>
      </c>
      <c r="X605" s="226">
        <f>IF(AND(R605="Yes",S605="Yes",L605&gt;0,B605&lt;&gt;"TXO"),L605,"")</f>
        <v/>
      </c>
      <c r="Y605" s="226">
        <f>IF(AND(R605="Yes",S605="Yes",L605&lt;0,B605&lt;&gt;"TXO"),L605,"")</f>
        <v/>
      </c>
      <c r="Z605" s="226">
        <f>IF(AND(R605="",S605="Yes",L605&gt;0,B605&lt;&gt;"TXO"),L605,"")</f>
        <v/>
      </c>
      <c r="AA605" s="226">
        <f>IF(AND(R605="",S605="Yes",L605&lt;0,B605&lt;&gt;"TXO"),L605,"")</f>
        <v/>
      </c>
    </row>
    <row r="606" hidden="1" outlineLevel="1" ht="17.25" customHeight="1" thickBot="1">
      <c r="A606" s="696" t="n">
        <v>43350</v>
      </c>
      <c r="B606" s="234" t="inlineStr">
        <is>
          <t>FIMTX</t>
        </is>
      </c>
      <c r="C606" s="229" t="inlineStr">
        <is>
          <t>小指09</t>
        </is>
      </c>
      <c r="D606" s="229" t="inlineStr">
        <is>
          <t>新倉</t>
        </is>
      </c>
      <c r="E606" s="257" t="inlineStr">
        <is>
          <t>賣</t>
        </is>
      </c>
      <c r="F606" s="229" t="inlineStr">
        <is>
          <t>-</t>
        </is>
      </c>
      <c r="G606" s="697" t="n">
        <v>1</v>
      </c>
      <c r="H606" s="697" t="n">
        <v>10855</v>
      </c>
      <c r="I606" s="697" t="n">
        <v>0</v>
      </c>
      <c r="J606" s="585" t="n">
        <v>23</v>
      </c>
      <c r="K606" s="585" t="n">
        <v>11</v>
      </c>
      <c r="L606" s="585">
        <f>IF(B606="TXO",I606-SUM(J606:K606),IF(B606="FITX",IF(D606="新倉",-SUM(J606:K606),IF(E606="賣",(H606-H605)*G606*200-SUM(J606:K606),(H605-H606)*G606*200-SUM(J606:K606))),IF(D606="新倉",-SUM(J606:K606),IF(E606="賣",(H606-H605)*G606*50-SUM(J606:K606),(H605-H606)*G606*50-SUM(J606:K606)))))</f>
        <v/>
      </c>
      <c r="M606" s="699">
        <f>L606</f>
        <v/>
      </c>
      <c r="N606" s="686">
        <f>IF(B606="TXO","",IF(D606="新倉","",IF(E606="賣",(H606-H605)*G606,(H605-H606)*G606)))</f>
        <v/>
      </c>
      <c r="O606" s="226">
        <f>ABS(I606)</f>
        <v/>
      </c>
      <c r="P606" s="667">
        <f>SUM(L606:L607)</f>
        <v/>
      </c>
      <c r="Q606" s="312" t="inlineStr">
        <is>
          <t>籌碼三弱，空單留倉</t>
        </is>
      </c>
      <c r="R606" s="312" t="n"/>
      <c r="S606" s="739" t="n"/>
      <c r="T606" s="61">
        <f>IF(AND(R606="Yes",S606&lt;&gt;"Yes",L606&gt;0,B606&lt;&gt;"TXO"),L606,"")</f>
        <v/>
      </c>
      <c r="U606" s="61">
        <f>IF(AND(R606="Yes",S606&lt;&gt;"Yes",L606&lt;0,B606&lt;&gt;"TXO"),L606,"")</f>
        <v/>
      </c>
      <c r="V606" s="61">
        <f>IF(AND(R606="",S606&lt;&gt;"Yes",L606&gt;0,B606&lt;&gt;"TXO"),L606,"")</f>
        <v/>
      </c>
      <c r="W606" s="61">
        <f>IF(AND(R606="",S606&lt;&gt;"Yes",L606&lt;0,B606&lt;&gt;"TXO"),L606,"")</f>
        <v/>
      </c>
      <c r="X606" s="226">
        <f>IF(AND(R606="Yes",S606="Yes",L606&gt;0,B606&lt;&gt;"TXO"),L606,"")</f>
        <v/>
      </c>
      <c r="Y606" s="226">
        <f>IF(AND(R606="Yes",S606="Yes",L606&lt;0,B606&lt;&gt;"TXO"),L606,"")</f>
        <v/>
      </c>
      <c r="Z606" s="226">
        <f>IF(AND(R606="",S606="Yes",L606&gt;0,B606&lt;&gt;"TXO"),L606,"")</f>
        <v/>
      </c>
      <c r="AA606" s="226">
        <f>IF(AND(R606="",S606="Yes",L606&lt;0,B606&lt;&gt;"TXO"),L606,"")</f>
        <v/>
      </c>
    </row>
    <row r="607" hidden="1" outlineLevel="1" ht="17.25" customHeight="1" thickBot="1">
      <c r="A607" s="696" t="n">
        <v>43353</v>
      </c>
      <c r="B607" s="234" t="inlineStr">
        <is>
          <t>FIMTX</t>
        </is>
      </c>
      <c r="C607" s="229" t="inlineStr">
        <is>
          <t>小指09</t>
        </is>
      </c>
      <c r="D607" s="229" t="inlineStr">
        <is>
          <t>平倉</t>
        </is>
      </c>
      <c r="E607" s="257" t="inlineStr">
        <is>
          <t>買</t>
        </is>
      </c>
      <c r="F607" s="229" t="inlineStr">
        <is>
          <t>-</t>
        </is>
      </c>
      <c r="G607" s="697" t="n">
        <v>1</v>
      </c>
      <c r="H607" s="697" t="n">
        <v>10772</v>
      </c>
      <c r="I607" s="697" t="n">
        <v>0</v>
      </c>
      <c r="J607" s="585" t="n">
        <v>23</v>
      </c>
      <c r="K607" s="585" t="n">
        <v>11</v>
      </c>
      <c r="L607" s="585">
        <f>IF(B607="TXO",I607-SUM(J607:K607),IF(B607="FITX",IF(D607="新倉",-SUM(J607:K607),IF(E607="賣",(H607-H606)*G607*200-SUM(J607:K607),(H606-H607)*G607*200-SUM(J607:K607))),IF(D607="新倉",-SUM(J607:K607),IF(E607="賣",(H607-H606)*G607*50-SUM(J607:K607),(H606-H607)*G607*50-SUM(J607:K607)))))</f>
        <v/>
      </c>
      <c r="M607" s="699">
        <f>L607</f>
        <v/>
      </c>
      <c r="N607" s="686">
        <f>IF(B607="TXO","",IF(D607="新倉","",IF(E607="賣",(H607-H606)*G607,(H606-H607)*G607)))</f>
        <v/>
      </c>
      <c r="O607" s="226">
        <f>ABS(I607)</f>
        <v/>
      </c>
      <c r="P607" s="667" t="n"/>
      <c r="Q607" s="312" t="inlineStr">
        <is>
          <t>停利出場</t>
        </is>
      </c>
      <c r="R607" s="312" t="n"/>
      <c r="S607" s="739" t="n"/>
      <c r="T607" s="61">
        <f>IF(AND(R607="Yes",S607&lt;&gt;"Yes",L607&gt;0,B607&lt;&gt;"TXO"),L607,"")</f>
        <v/>
      </c>
      <c r="U607" s="61">
        <f>IF(AND(R607="Yes",S607&lt;&gt;"Yes",L607&lt;0,B607&lt;&gt;"TXO"),L607,"")</f>
        <v/>
      </c>
      <c r="V607" s="61">
        <f>IF(AND(R607="",S607&lt;&gt;"Yes",L607&gt;0,B607&lt;&gt;"TXO"),L607,"")</f>
        <v/>
      </c>
      <c r="W607" s="61">
        <f>IF(AND(R607="",S607&lt;&gt;"Yes",L607&lt;0,B607&lt;&gt;"TXO"),L607,"")</f>
        <v/>
      </c>
      <c r="X607" s="226">
        <f>IF(AND(R607="Yes",S607="Yes",L607&gt;0,B607&lt;&gt;"TXO"),L607,"")</f>
        <v/>
      </c>
      <c r="Y607" s="226">
        <f>IF(AND(R607="Yes",S607="Yes",L607&lt;0,B607&lt;&gt;"TXO"),L607,"")</f>
        <v/>
      </c>
      <c r="Z607" s="226">
        <f>IF(AND(R607="",S607="Yes",L607&gt;0,B607&lt;&gt;"TXO"),L607,"")</f>
        <v/>
      </c>
      <c r="AA607" s="226">
        <f>IF(AND(R607="",S607="Yes",L607&lt;0,B607&lt;&gt;"TXO"),L607,"")</f>
        <v/>
      </c>
    </row>
    <row r="608" hidden="1" outlineLevel="1" ht="33.75" customHeight="1" thickBot="1">
      <c r="A608" s="740" t="n">
        <v>43354</v>
      </c>
      <c r="B608" s="299" t="inlineStr">
        <is>
          <t>FIMTX</t>
        </is>
      </c>
      <c r="C608" s="300" t="inlineStr">
        <is>
          <t>小指09</t>
        </is>
      </c>
      <c r="D608" s="300" t="inlineStr">
        <is>
          <t>新倉</t>
        </is>
      </c>
      <c r="E608" s="301" t="inlineStr">
        <is>
          <t>賣</t>
        </is>
      </c>
      <c r="F608" s="300" t="inlineStr">
        <is>
          <t>-</t>
        </is>
      </c>
      <c r="G608" s="741" t="n">
        <v>1</v>
      </c>
      <c r="H608" s="741" t="n">
        <v>10720</v>
      </c>
      <c r="I608" s="741" t="n">
        <v>0</v>
      </c>
      <c r="J608" s="742" t="n">
        <v>23</v>
      </c>
      <c r="K608" s="742" t="n">
        <v>11</v>
      </c>
      <c r="L608" s="742">
        <f>IF(B608="TXO",I608-SUM(J608:K608),IF(B608="FITX",IF(D608="新倉",-SUM(J608:K608),IF(E608="賣",(H608-H607)*G608*200-SUM(J608:K608),(H607-H608)*G608*200-SUM(J608:K608))),IF(D608="新倉",-SUM(J608:K608),IF(E608="賣",(H608-H607)*G608*50-SUM(J608:K608),(H607-H608)*G608*50-SUM(J608:K608)))))</f>
        <v/>
      </c>
      <c r="M608" s="743">
        <f>L608</f>
        <v/>
      </c>
      <c r="N608" s="686">
        <f>IF(B608="TXO","",IF(D608="新倉","",IF(E608="賣",(H608-H607)*G608,(H607-H608)*G608)))</f>
        <v/>
      </c>
      <c r="O608" s="226">
        <f>ABS(I608)</f>
        <v/>
      </c>
      <c r="P608" s="667">
        <f>SUM(L608:L625)</f>
        <v/>
      </c>
      <c r="Q608" s="310" t="inlineStr">
        <is>
          <t>3/3 買進三口(實體K突出下通道，應收手不買?)</t>
        </is>
      </c>
      <c r="R608" s="310" t="n"/>
      <c r="S608" s="739" t="n"/>
      <c r="T608" s="61">
        <f>IF(AND(R608="Yes",S608&lt;&gt;"Yes",L608&gt;0,B608&lt;&gt;"TXO"),L608,"")</f>
        <v/>
      </c>
      <c r="U608" s="61">
        <f>IF(AND(R608="Yes",S608&lt;&gt;"Yes",L608&lt;0,B608&lt;&gt;"TXO"),L608,"")</f>
        <v/>
      </c>
      <c r="V608" s="61">
        <f>IF(AND(R608="",S608&lt;&gt;"Yes",L608&gt;0,B608&lt;&gt;"TXO"),L608,"")</f>
        <v/>
      </c>
      <c r="W608" s="61">
        <f>IF(AND(R608="",S608&lt;&gt;"Yes",L608&lt;0,B608&lt;&gt;"TXO"),L608,"")</f>
        <v/>
      </c>
      <c r="X608" s="226">
        <f>IF(AND(R608="Yes",S608="Yes",L608&gt;0,B608&lt;&gt;"TXO"),L608,"")</f>
        <v/>
      </c>
      <c r="Y608" s="226">
        <f>IF(AND(R608="Yes",S608="Yes",L608&lt;0,B608&lt;&gt;"TXO"),L608,"")</f>
        <v/>
      </c>
      <c r="Z608" s="226">
        <f>IF(AND(R608="",S608="Yes",L608&gt;0,B608&lt;&gt;"TXO"),L608,"")</f>
        <v/>
      </c>
      <c r="AA608" s="226">
        <f>IF(AND(R608="",S608="Yes",L608&lt;0,B608&lt;&gt;"TXO"),L608,"")</f>
        <v/>
      </c>
    </row>
    <row r="609" hidden="1" outlineLevel="2" collapsed="1" ht="17.25" customHeight="1" thickBot="1">
      <c r="A609" s="740" t="n">
        <v>43354</v>
      </c>
      <c r="B609" s="299" t="inlineStr">
        <is>
          <t>FIMTX</t>
        </is>
      </c>
      <c r="C609" s="300" t="inlineStr">
        <is>
          <t>小指09</t>
        </is>
      </c>
      <c r="D609" s="300" t="inlineStr">
        <is>
          <t>平倉</t>
        </is>
      </c>
      <c r="E609" s="301" t="inlineStr">
        <is>
          <t>買</t>
        </is>
      </c>
      <c r="F609" s="300" t="inlineStr">
        <is>
          <t>-</t>
        </is>
      </c>
      <c r="G609" s="741" t="n">
        <v>1</v>
      </c>
      <c r="H609" s="741" t="n">
        <v>10735</v>
      </c>
      <c r="I609" s="741" t="n">
        <v>0</v>
      </c>
      <c r="J609" s="742" t="n">
        <v>23</v>
      </c>
      <c r="K609" s="742" t="n">
        <v>11</v>
      </c>
      <c r="L609" s="742">
        <f>IF(B609="TXO",I609-SUM(J609:K609),IF(B609="FITX",IF(D609="新倉",-SUM(J609:K609),IF(E609="賣",(H609-H608)*G609*200-SUM(J609:K609),(H608-H609)*G609*200-SUM(J609:K609))),IF(D609="新倉",-SUM(J609:K609),IF(E609="賣",(H609-H608)*G609*50-SUM(J609:K609),(H608-H609)*G609*50-SUM(J609:K609)))))</f>
        <v/>
      </c>
      <c r="M609" s="743">
        <f>L609</f>
        <v/>
      </c>
      <c r="N609" s="686">
        <f>IF(B609="TXO","",IF(D609="新倉","",IF(E609="賣",(H609-H608)*G609,(H608-H609)*G609)))</f>
        <v/>
      </c>
      <c r="O609" s="226">
        <f>ABS(I609)</f>
        <v/>
      </c>
      <c r="P609" s="667" t="n"/>
      <c r="Q609" s="249" t="inlineStr">
        <is>
          <t>拉回15點停損</t>
        </is>
      </c>
      <c r="S609" s="739" t="n"/>
      <c r="T609" s="61">
        <f>IF(AND(R609="Yes",S609&lt;&gt;"Yes",L609&gt;0,B609&lt;&gt;"TXO"),L609,"")</f>
        <v/>
      </c>
      <c r="U609" s="61">
        <f>IF(AND(R609="Yes",S609&lt;&gt;"Yes",L609&lt;0,B609&lt;&gt;"TXO"),L609,"")</f>
        <v/>
      </c>
      <c r="V609" s="61">
        <f>IF(AND(R609="",S609&lt;&gt;"Yes",L609&gt;0,B609&lt;&gt;"TXO"),L609,"")</f>
        <v/>
      </c>
      <c r="W609" s="61">
        <f>IF(AND(R609="",S609&lt;&gt;"Yes",L609&lt;0,B609&lt;&gt;"TXO"),L609,"")</f>
        <v/>
      </c>
      <c r="X609" s="226">
        <f>IF(AND(R609="Yes",S609="Yes",L609&gt;0,B609&lt;&gt;"TXO"),L609,"")</f>
        <v/>
      </c>
      <c r="Y609" s="226">
        <f>IF(AND(R609="Yes",S609="Yes",L609&lt;0,B609&lt;&gt;"TXO"),L609,"")</f>
        <v/>
      </c>
      <c r="Z609" s="226">
        <f>IF(AND(R609="",S609="Yes",L609&gt;0,B609&lt;&gt;"TXO"),L609,"")</f>
        <v/>
      </c>
      <c r="AA609" s="226">
        <f>IF(AND(R609="",S609="Yes",L609&lt;0,B609&lt;&gt;"TXO"),L609,"")</f>
        <v/>
      </c>
    </row>
    <row r="610" hidden="1" outlineLevel="2" collapsed="1" ht="17.25" customHeight="1" thickBot="1">
      <c r="A610" s="740" t="n">
        <v>43354</v>
      </c>
      <c r="B610" s="299" t="inlineStr">
        <is>
          <t>FIMTX</t>
        </is>
      </c>
      <c r="C610" s="300" t="inlineStr">
        <is>
          <t>小指09</t>
        </is>
      </c>
      <c r="D610" s="300" t="inlineStr">
        <is>
          <t>新倉</t>
        </is>
      </c>
      <c r="E610" s="301" t="inlineStr">
        <is>
          <t>賣</t>
        </is>
      </c>
      <c r="F610" s="300" t="inlineStr">
        <is>
          <t>-</t>
        </is>
      </c>
      <c r="G610" s="741" t="n">
        <v>1</v>
      </c>
      <c r="H610" s="741" t="n">
        <v>10722</v>
      </c>
      <c r="I610" s="741" t="n">
        <v>0</v>
      </c>
      <c r="J610" s="742" t="n">
        <v>23</v>
      </c>
      <c r="K610" s="742" t="n">
        <v>11</v>
      </c>
      <c r="L610" s="742">
        <f>IF(B610="TXO",I610-SUM(J610:K610),IF(B610="FITX",IF(D610="新倉",-SUM(J610:K610),IF(E610="賣",(H610-H609)*G610*200-SUM(J610:K610),(H609-H610)*G610*200-SUM(J610:K610))),IF(D610="新倉",-SUM(J610:K610),IF(E610="賣",(H610-H609)*G610*50-SUM(J610:K610),(H609-H610)*G610*50-SUM(J610:K610)))))</f>
        <v/>
      </c>
      <c r="M610" s="743">
        <f>L610</f>
        <v/>
      </c>
      <c r="N610" s="686">
        <f>IF(B610="TXO","",IF(D610="新倉","",IF(E610="賣",(H610-H609)*G610,(H609-H610)*G610)))</f>
        <v/>
      </c>
      <c r="O610" s="226">
        <f>ABS(I610)</f>
        <v/>
      </c>
      <c r="P610" s="667" t="n"/>
      <c r="S610" s="739" t="n"/>
      <c r="T610" s="61">
        <f>IF(AND(R610="Yes",S610&lt;&gt;"Yes",L610&gt;0,B610&lt;&gt;"TXO"),L610,"")</f>
        <v/>
      </c>
      <c r="U610" s="61">
        <f>IF(AND(R610="Yes",S610&lt;&gt;"Yes",L610&lt;0,B610&lt;&gt;"TXO"),L610,"")</f>
        <v/>
      </c>
      <c r="V610" s="61">
        <f>IF(AND(R610="",S610&lt;&gt;"Yes",L610&gt;0,B610&lt;&gt;"TXO"),L610,"")</f>
        <v/>
      </c>
      <c r="W610" s="61">
        <f>IF(AND(R610="",S610&lt;&gt;"Yes",L610&lt;0,B610&lt;&gt;"TXO"),L610,"")</f>
        <v/>
      </c>
      <c r="X610" s="226">
        <f>IF(AND(R610="Yes",S610="Yes",L610&gt;0,B610&lt;&gt;"TXO"),L610,"")</f>
        <v/>
      </c>
      <c r="Y610" s="226">
        <f>IF(AND(R610="Yes",S610="Yes",L610&lt;0,B610&lt;&gt;"TXO"),L610,"")</f>
        <v/>
      </c>
      <c r="Z610" s="226">
        <f>IF(AND(R610="",S610="Yes",L610&gt;0,B610&lt;&gt;"TXO"),L610,"")</f>
        <v/>
      </c>
      <c r="AA610" s="226">
        <f>IF(AND(R610="",S610="Yes",L610&lt;0,B610&lt;&gt;"TXO"),L610,"")</f>
        <v/>
      </c>
    </row>
    <row r="611" hidden="1" outlineLevel="2" collapsed="1" ht="17.25" customHeight="1" thickBot="1">
      <c r="A611" s="740" t="n">
        <v>43354</v>
      </c>
      <c r="B611" s="299" t="inlineStr">
        <is>
          <t>FIMTX</t>
        </is>
      </c>
      <c r="C611" s="300" t="inlineStr">
        <is>
          <t>小指09</t>
        </is>
      </c>
      <c r="D611" s="300" t="inlineStr">
        <is>
          <t>平倉</t>
        </is>
      </c>
      <c r="E611" s="301" t="inlineStr">
        <is>
          <t>買</t>
        </is>
      </c>
      <c r="F611" s="300" t="inlineStr">
        <is>
          <t>-</t>
        </is>
      </c>
      <c r="G611" s="741" t="n">
        <v>1</v>
      </c>
      <c r="H611" s="741" t="n">
        <v>10737</v>
      </c>
      <c r="I611" s="741" t="n">
        <v>0</v>
      </c>
      <c r="J611" s="742" t="n">
        <v>23</v>
      </c>
      <c r="K611" s="742" t="n">
        <v>11</v>
      </c>
      <c r="L611" s="742">
        <f>IF(B611="TXO",I611-SUM(J611:K611),IF(B611="FITX",IF(D611="新倉",-SUM(J611:K611),IF(E611="賣",(H611-H610)*G611*200-SUM(J611:K611),(H610-H611)*G611*200-SUM(J611:K611))),IF(D611="新倉",-SUM(J611:K611),IF(E611="賣",(H611-H610)*G611*50-SUM(J611:K611),(H610-H611)*G611*50-SUM(J611:K611)))))</f>
        <v/>
      </c>
      <c r="M611" s="743">
        <f>L611</f>
        <v/>
      </c>
      <c r="N611" s="686">
        <f>IF(B611="TXO","",IF(D611="新倉","",IF(E611="賣",(H611-H610)*G611,(H610-H611)*G611)))</f>
        <v/>
      </c>
      <c r="O611" s="226">
        <f>ABS(I611)</f>
        <v/>
      </c>
      <c r="P611" s="667" t="n"/>
      <c r="Q611" s="249" t="inlineStr">
        <is>
          <t>拉回15點停損</t>
        </is>
      </c>
      <c r="S611" s="739" t="n"/>
      <c r="T611" s="61">
        <f>IF(AND(R611="Yes",S611&lt;&gt;"Yes",L611&gt;0,B611&lt;&gt;"TXO"),L611,"")</f>
        <v/>
      </c>
      <c r="U611" s="61">
        <f>IF(AND(R611="Yes",S611&lt;&gt;"Yes",L611&lt;0,B611&lt;&gt;"TXO"),L611,"")</f>
        <v/>
      </c>
      <c r="V611" s="61">
        <f>IF(AND(R611="",S611&lt;&gt;"Yes",L611&gt;0,B611&lt;&gt;"TXO"),L611,"")</f>
        <v/>
      </c>
      <c r="W611" s="61">
        <f>IF(AND(R611="",S611&lt;&gt;"Yes",L611&lt;0,B611&lt;&gt;"TXO"),L611,"")</f>
        <v/>
      </c>
      <c r="X611" s="226">
        <f>IF(AND(R611="Yes",S611="Yes",L611&gt;0,B611&lt;&gt;"TXO"),L611,"")</f>
        <v/>
      </c>
      <c r="Y611" s="226">
        <f>IF(AND(R611="Yes",S611="Yes",L611&lt;0,B611&lt;&gt;"TXO"),L611,"")</f>
        <v/>
      </c>
      <c r="Z611" s="226">
        <f>IF(AND(R611="",S611="Yes",L611&gt;0,B611&lt;&gt;"TXO"),L611,"")</f>
        <v/>
      </c>
      <c r="AA611" s="226">
        <f>IF(AND(R611="",S611="Yes",L611&lt;0,B611&lt;&gt;"TXO"),L611,"")</f>
        <v/>
      </c>
    </row>
    <row r="612" hidden="1" outlineLevel="2" collapsed="1" ht="17.25" customHeight="1" thickBot="1">
      <c r="A612" s="740" t="n">
        <v>43354</v>
      </c>
      <c r="B612" s="299" t="inlineStr">
        <is>
          <t>FIMTX</t>
        </is>
      </c>
      <c r="C612" s="300" t="inlineStr">
        <is>
          <t>小指09</t>
        </is>
      </c>
      <c r="D612" s="300" t="inlineStr">
        <is>
          <t>新倉</t>
        </is>
      </c>
      <c r="E612" s="301" t="inlineStr">
        <is>
          <t>賣</t>
        </is>
      </c>
      <c r="F612" s="300" t="inlineStr">
        <is>
          <t>-</t>
        </is>
      </c>
      <c r="G612" s="741" t="n">
        <v>1</v>
      </c>
      <c r="H612" s="741" t="n">
        <v>10722</v>
      </c>
      <c r="I612" s="741" t="n">
        <v>0</v>
      </c>
      <c r="J612" s="742" t="n">
        <v>23</v>
      </c>
      <c r="K612" s="742" t="n">
        <v>11</v>
      </c>
      <c r="L612" s="742">
        <f>IF(B612="TXO",I612-SUM(J612:K612),IF(B612="FITX",IF(D612="新倉",-SUM(J612:K612),IF(E612="賣",(H612-H611)*G612*200-SUM(J612:K612),(H611-H612)*G612*200-SUM(J612:K612))),IF(D612="新倉",-SUM(J612:K612),IF(E612="賣",(H612-H611)*G612*50-SUM(J612:K612),(H611-H612)*G612*50-SUM(J612:K612)))))</f>
        <v/>
      </c>
      <c r="M612" s="743">
        <f>L612</f>
        <v/>
      </c>
      <c r="N612" s="686">
        <f>IF(B612="TXO","",IF(D612="新倉","",IF(E612="賣",(H612-H611)*G612,(H611-H612)*G612)))</f>
        <v/>
      </c>
      <c r="O612" s="226">
        <f>ABS(I612)</f>
        <v/>
      </c>
      <c r="P612" s="667" t="n"/>
      <c r="Q612" s="310" t="n"/>
      <c r="R612" s="310" t="n"/>
      <c r="S612" s="739" t="n"/>
      <c r="T612" s="61">
        <f>IF(AND(R612="Yes",S612&lt;&gt;"Yes",L612&gt;0,B612&lt;&gt;"TXO"),L612,"")</f>
        <v/>
      </c>
      <c r="U612" s="61">
        <f>IF(AND(R612="Yes",S612&lt;&gt;"Yes",L612&lt;0,B612&lt;&gt;"TXO"),L612,"")</f>
        <v/>
      </c>
      <c r="V612" s="61">
        <f>IF(AND(R612="",S612&lt;&gt;"Yes",L612&gt;0,B612&lt;&gt;"TXO"),L612,"")</f>
        <v/>
      </c>
      <c r="W612" s="61">
        <f>IF(AND(R612="",S612&lt;&gt;"Yes",L612&lt;0,B612&lt;&gt;"TXO"),L612,"")</f>
        <v/>
      </c>
      <c r="X612" s="226">
        <f>IF(AND(R612="Yes",S612="Yes",L612&gt;0,B612&lt;&gt;"TXO"),L612,"")</f>
        <v/>
      </c>
      <c r="Y612" s="226">
        <f>IF(AND(R612="Yes",S612="Yes",L612&lt;0,B612&lt;&gt;"TXO"),L612,"")</f>
        <v/>
      </c>
      <c r="Z612" s="226">
        <f>IF(AND(R612="",S612="Yes",L612&gt;0,B612&lt;&gt;"TXO"),L612,"")</f>
        <v/>
      </c>
      <c r="AA612" s="226">
        <f>IF(AND(R612="",S612="Yes",L612&lt;0,B612&lt;&gt;"TXO"),L612,"")</f>
        <v/>
      </c>
    </row>
    <row r="613" hidden="1" outlineLevel="2" collapsed="1" ht="17.25" customHeight="1" thickBot="1">
      <c r="A613" s="740" t="n">
        <v>43354</v>
      </c>
      <c r="B613" s="299" t="inlineStr">
        <is>
          <t>FIMTX</t>
        </is>
      </c>
      <c r="C613" s="300" t="inlineStr">
        <is>
          <t>小指09</t>
        </is>
      </c>
      <c r="D613" s="300" t="inlineStr">
        <is>
          <t>平倉</t>
        </is>
      </c>
      <c r="E613" s="301" t="inlineStr">
        <is>
          <t>買</t>
        </is>
      </c>
      <c r="F613" s="300" t="inlineStr">
        <is>
          <t>-</t>
        </is>
      </c>
      <c r="G613" s="741" t="n">
        <v>1</v>
      </c>
      <c r="H613" s="741" t="n">
        <v>10737</v>
      </c>
      <c r="I613" s="741" t="n">
        <v>0</v>
      </c>
      <c r="J613" s="742" t="n">
        <v>23</v>
      </c>
      <c r="K613" s="742" t="n">
        <v>11</v>
      </c>
      <c r="L613" s="742">
        <f>IF(B613="TXO",I613-SUM(J613:K613),IF(B613="FITX",IF(D613="新倉",-SUM(J613:K613),IF(E613="賣",(H613-H612)*G613*200-SUM(J613:K613),(H612-H613)*G613*200-SUM(J613:K613))),IF(D613="新倉",-SUM(J613:K613),IF(E613="賣",(H613-H612)*G613*50-SUM(J613:K613),(H612-H613)*G613*50-SUM(J613:K613)))))</f>
        <v/>
      </c>
      <c r="M613" s="743">
        <f>L613</f>
        <v/>
      </c>
      <c r="N613" s="686">
        <f>IF(B613="TXO","",IF(D613="新倉","",IF(E613="賣",(H613-H612)*G613,(H612-H613)*G613)))</f>
        <v/>
      </c>
      <c r="O613" s="226">
        <f>ABS(I613)</f>
        <v/>
      </c>
      <c r="P613" s="667" t="n"/>
      <c r="Q613" s="249" t="inlineStr">
        <is>
          <t>拉回15點停損</t>
        </is>
      </c>
      <c r="S613" s="739" t="n"/>
      <c r="T613" s="61">
        <f>IF(AND(R613="Yes",S613&lt;&gt;"Yes",L613&gt;0,B613&lt;&gt;"TXO"),L613,"")</f>
        <v/>
      </c>
      <c r="U613" s="61">
        <f>IF(AND(R613="Yes",S613&lt;&gt;"Yes",L613&lt;0,B613&lt;&gt;"TXO"),L613,"")</f>
        <v/>
      </c>
      <c r="V613" s="61">
        <f>IF(AND(R613="",S613&lt;&gt;"Yes",L613&gt;0,B613&lt;&gt;"TXO"),L613,"")</f>
        <v/>
      </c>
      <c r="W613" s="61">
        <f>IF(AND(R613="",S613&lt;&gt;"Yes",L613&lt;0,B613&lt;&gt;"TXO"),L613,"")</f>
        <v/>
      </c>
      <c r="X613" s="226">
        <f>IF(AND(R613="Yes",S613="Yes",L613&gt;0,B613&lt;&gt;"TXO"),L613,"")</f>
        <v/>
      </c>
      <c r="Y613" s="226">
        <f>IF(AND(R613="Yes",S613="Yes",L613&lt;0,B613&lt;&gt;"TXO"),L613,"")</f>
        <v/>
      </c>
      <c r="Z613" s="226">
        <f>IF(AND(R613="",S613="Yes",L613&gt;0,B613&lt;&gt;"TXO"),L613,"")</f>
        <v/>
      </c>
      <c r="AA613" s="226">
        <f>IF(AND(R613="",S613="Yes",L613&lt;0,B613&lt;&gt;"TXO"),L613,"")</f>
        <v/>
      </c>
    </row>
    <row r="614" hidden="1" outlineLevel="2" collapsed="1" ht="66.75" customHeight="1" thickBot="1">
      <c r="A614" s="740" t="n">
        <v>43354</v>
      </c>
      <c r="B614" s="299" t="inlineStr">
        <is>
          <t>FIMTX</t>
        </is>
      </c>
      <c r="C614" s="300" t="inlineStr">
        <is>
          <t>小指09</t>
        </is>
      </c>
      <c r="D614" s="300" t="inlineStr">
        <is>
          <t>新倉</t>
        </is>
      </c>
      <c r="E614" s="301" t="inlineStr">
        <is>
          <t>賣</t>
        </is>
      </c>
      <c r="F614" s="300" t="inlineStr">
        <is>
          <t>-</t>
        </is>
      </c>
      <c r="G614" s="741" t="n">
        <v>2</v>
      </c>
      <c r="H614" s="741" t="n">
        <v>10708</v>
      </c>
      <c r="I614" s="741" t="n">
        <v>0</v>
      </c>
      <c r="J614" s="742" t="n">
        <v>46</v>
      </c>
      <c r="K614" s="742" t="n">
        <v>22</v>
      </c>
      <c r="L614" s="742">
        <f>IF(B614="TXO",I614-SUM(J614:K614),IF(B614="FITX",IF(D614="新倉",-SUM(J614:K614),IF(E614="賣",(H614-H613)*G614*200-SUM(J614:K614),(H613-H614)*G614*200-SUM(J614:K614))),IF(D614="新倉",-SUM(J614:K614),IF(E614="賣",(H614-H613)*G614*50-SUM(J614:K614),(H613-H614)*G614*50-SUM(J614:K614)))))</f>
        <v/>
      </c>
      <c r="M614" s="743">
        <f>L614</f>
        <v/>
      </c>
      <c r="N614" s="686">
        <f>IF(B614="TXO","",IF(D614="新倉","",IF(E614="賣",(H614-H613)*G614,(H613-H614)*G614)))</f>
        <v/>
      </c>
      <c r="O614" s="226">
        <f>ABS(I614)</f>
        <v/>
      </c>
      <c r="P614" s="667" t="n"/>
      <c r="Q614" s="310" t="inlineStr">
        <is>
          <t>買進三口
(前一單停損，訊號出現時未超過10點，下一根K線超出10點，但已無訊號，應下單?)</t>
        </is>
      </c>
      <c r="R614" s="310" t="n"/>
      <c r="S614" s="739" t="n"/>
      <c r="T614" s="61">
        <f>IF(AND(R614="Yes",S614&lt;&gt;"Yes",L614&gt;0,B614&lt;&gt;"TXO"),L614,"")</f>
        <v/>
      </c>
      <c r="U614" s="61">
        <f>IF(AND(R614="Yes",S614&lt;&gt;"Yes",L614&lt;0,B614&lt;&gt;"TXO"),L614,"")</f>
        <v/>
      </c>
      <c r="V614" s="61">
        <f>IF(AND(R614="",S614&lt;&gt;"Yes",L614&gt;0,B614&lt;&gt;"TXO"),L614,"")</f>
        <v/>
      </c>
      <c r="W614" s="61">
        <f>IF(AND(R614="",S614&lt;&gt;"Yes",L614&lt;0,B614&lt;&gt;"TXO"),L614,"")</f>
        <v/>
      </c>
      <c r="X614" s="226">
        <f>IF(AND(R614="Yes",S614="Yes",L614&gt;0,B614&lt;&gt;"TXO"),L614,"")</f>
        <v/>
      </c>
      <c r="Y614" s="226">
        <f>IF(AND(R614="Yes",S614="Yes",L614&lt;0,B614&lt;&gt;"TXO"),L614,"")</f>
        <v/>
      </c>
      <c r="Z614" s="226">
        <f>IF(AND(R614="",S614="Yes",L614&gt;0,B614&lt;&gt;"TXO"),L614,"")</f>
        <v/>
      </c>
      <c r="AA614" s="226">
        <f>IF(AND(R614="",S614="Yes",L614&lt;0,B614&lt;&gt;"TXO"),L614,"")</f>
        <v/>
      </c>
    </row>
    <row r="615" hidden="1" outlineLevel="2" collapsed="1" ht="17.25" customHeight="1" thickBot="1">
      <c r="A615" s="740" t="n">
        <v>43354</v>
      </c>
      <c r="B615" s="299" t="inlineStr">
        <is>
          <t>FIMTX</t>
        </is>
      </c>
      <c r="C615" s="300" t="inlineStr">
        <is>
          <t>小指09</t>
        </is>
      </c>
      <c r="D615" s="300" t="inlineStr">
        <is>
          <t>平倉</t>
        </is>
      </c>
      <c r="E615" s="301" t="inlineStr">
        <is>
          <t>買</t>
        </is>
      </c>
      <c r="F615" s="300" t="inlineStr">
        <is>
          <t>-</t>
        </is>
      </c>
      <c r="G615" s="741" t="n">
        <v>2</v>
      </c>
      <c r="H615" s="741" t="n">
        <v>10699</v>
      </c>
      <c r="I615" s="741" t="n">
        <v>0</v>
      </c>
      <c r="J615" s="742" t="n">
        <v>46</v>
      </c>
      <c r="K615" s="742" t="n">
        <v>22</v>
      </c>
      <c r="L615" s="742">
        <f>IF(B615="TXO",I615-SUM(J615:K615),IF(B615="FITX",IF(D615="新倉",-SUM(J615:K615),IF(E615="賣",(H615-H614)*G615*200-SUM(J615:K615),(H614-H615)*G615*200-SUM(J615:K615))),IF(D615="新倉",-SUM(J615:K615),IF(E615="賣",(H615-H614)*G615*50-SUM(J615:K615),(H614-H615)*G615*50-SUM(J615:K615)))))</f>
        <v/>
      </c>
      <c r="M615" s="743">
        <f>L615</f>
        <v/>
      </c>
      <c r="N615" s="686">
        <f>IF(B615="TXO","",IF(D615="新倉","",IF(E615="賣",(H615-H614)*G615,(H614-H615)*G615)))</f>
        <v/>
      </c>
      <c r="O615" s="226">
        <f>ABS(I615)</f>
        <v/>
      </c>
      <c r="P615" s="667" t="n"/>
      <c r="Q615" s="249" t="inlineStr">
        <is>
          <t>技法: 移動式停利出場</t>
        </is>
      </c>
      <c r="S615" s="739" t="n"/>
      <c r="T615" s="61">
        <f>IF(AND(R615="Yes",S615&lt;&gt;"Yes",L615&gt;0,B615&lt;&gt;"TXO"),L615,"")</f>
        <v/>
      </c>
      <c r="U615" s="61">
        <f>IF(AND(R615="Yes",S615&lt;&gt;"Yes",L615&lt;0,B615&lt;&gt;"TXO"),L615,"")</f>
        <v/>
      </c>
      <c r="V615" s="61">
        <f>IF(AND(R615="",S615&lt;&gt;"Yes",L615&gt;0,B615&lt;&gt;"TXO"),L615,"")</f>
        <v/>
      </c>
      <c r="W615" s="61">
        <f>IF(AND(R615="",S615&lt;&gt;"Yes",L615&lt;0,B615&lt;&gt;"TXO"),L615,"")</f>
        <v/>
      </c>
      <c r="X615" s="226">
        <f>IF(AND(R615="Yes",S615="Yes",L615&gt;0,B615&lt;&gt;"TXO"),L615,"")</f>
        <v/>
      </c>
      <c r="Y615" s="226">
        <f>IF(AND(R615="Yes",S615="Yes",L615&lt;0,B615&lt;&gt;"TXO"),L615,"")</f>
        <v/>
      </c>
      <c r="Z615" s="226">
        <f>IF(AND(R615="",S615="Yes",L615&gt;0,B615&lt;&gt;"TXO"),L615,"")</f>
        <v/>
      </c>
      <c r="AA615" s="226">
        <f>IF(AND(R615="",S615="Yes",L615&lt;0,B615&lt;&gt;"TXO"),L615,"")</f>
        <v/>
      </c>
    </row>
    <row r="616" hidden="1" outlineLevel="2" collapsed="1" ht="17.25" customHeight="1" thickBot="1">
      <c r="A616" s="740" t="n">
        <v>43354</v>
      </c>
      <c r="B616" s="299" t="inlineStr">
        <is>
          <t>FIMTX</t>
        </is>
      </c>
      <c r="C616" s="300" t="inlineStr">
        <is>
          <t>小指09</t>
        </is>
      </c>
      <c r="D616" s="300" t="inlineStr">
        <is>
          <t>新倉</t>
        </is>
      </c>
      <c r="E616" s="301" t="inlineStr">
        <is>
          <t>賣</t>
        </is>
      </c>
      <c r="F616" s="300" t="inlineStr">
        <is>
          <t>-</t>
        </is>
      </c>
      <c r="G616" s="741" t="n">
        <v>1</v>
      </c>
      <c r="H616" s="741" t="n">
        <v>10708</v>
      </c>
      <c r="I616" s="741" t="n">
        <v>0</v>
      </c>
      <c r="J616" s="742" t="n">
        <v>23</v>
      </c>
      <c r="K616" s="742" t="n">
        <v>11</v>
      </c>
      <c r="L616" s="742">
        <f>IF(B616="TXO",I616-SUM(J616:K616),IF(B616="FITX",IF(D616="新倉",-SUM(J616:K616),IF(E616="賣",(H616-H615)*G616*200-SUM(J616:K616),(H615-H616)*G616*200-SUM(J616:K616))),IF(D616="新倉",-SUM(J616:K616),IF(E616="賣",(H616-H615)*G616*50-SUM(J616:K616),(H615-H616)*G616*50-SUM(J616:K616)))))</f>
        <v/>
      </c>
      <c r="M616" s="743">
        <f>L616</f>
        <v/>
      </c>
      <c r="N616" s="686">
        <f>IF(B616="TXO","",IF(D616="新倉","",IF(E616="賣",(H616-H615)*G616,(H615-H616)*G616)))</f>
        <v/>
      </c>
      <c r="O616" s="226">
        <f>ABS(I616)</f>
        <v/>
      </c>
      <c r="P616" s="667" t="n"/>
      <c r="Q616" s="310" t="n"/>
      <c r="R616" s="310" t="n"/>
      <c r="S616" s="739" t="n"/>
      <c r="T616" s="61">
        <f>IF(AND(R616="Yes",S616&lt;&gt;"Yes",L616&gt;0,B616&lt;&gt;"TXO"),L616,"")</f>
        <v/>
      </c>
      <c r="U616" s="61">
        <f>IF(AND(R616="Yes",S616&lt;&gt;"Yes",L616&lt;0,B616&lt;&gt;"TXO"),L616,"")</f>
        <v/>
      </c>
      <c r="V616" s="61">
        <f>IF(AND(R616="",S616&lt;&gt;"Yes",L616&gt;0,B616&lt;&gt;"TXO"),L616,"")</f>
        <v/>
      </c>
      <c r="W616" s="61">
        <f>IF(AND(R616="",S616&lt;&gt;"Yes",L616&lt;0,B616&lt;&gt;"TXO"),L616,"")</f>
        <v/>
      </c>
      <c r="X616" s="226">
        <f>IF(AND(R616="Yes",S616="Yes",L616&gt;0,B616&lt;&gt;"TXO"),L616,"")</f>
        <v/>
      </c>
      <c r="Y616" s="226">
        <f>IF(AND(R616="Yes",S616="Yes",L616&lt;0,B616&lt;&gt;"TXO"),L616,"")</f>
        <v/>
      </c>
      <c r="Z616" s="226">
        <f>IF(AND(R616="",S616="Yes",L616&gt;0,B616&lt;&gt;"TXO"),L616,"")</f>
        <v/>
      </c>
      <c r="AA616" s="226">
        <f>IF(AND(R616="",S616="Yes",L616&lt;0,B616&lt;&gt;"TXO"),L616,"")</f>
        <v/>
      </c>
    </row>
    <row r="617" hidden="1" outlineLevel="2" collapsed="1" ht="17.25" customHeight="1" thickBot="1">
      <c r="A617" s="740" t="n">
        <v>43354</v>
      </c>
      <c r="B617" s="299" t="inlineStr">
        <is>
          <t>FIMTX</t>
        </is>
      </c>
      <c r="C617" s="300" t="inlineStr">
        <is>
          <t>小指09</t>
        </is>
      </c>
      <c r="D617" s="300" t="inlineStr">
        <is>
          <t>平倉</t>
        </is>
      </c>
      <c r="E617" s="301" t="inlineStr">
        <is>
          <t>買</t>
        </is>
      </c>
      <c r="F617" s="300" t="inlineStr">
        <is>
          <t>-</t>
        </is>
      </c>
      <c r="G617" s="741" t="n">
        <v>1</v>
      </c>
      <c r="H617" s="741" t="n">
        <v>10706</v>
      </c>
      <c r="I617" s="741" t="n">
        <v>0</v>
      </c>
      <c r="J617" s="742" t="n">
        <v>23</v>
      </c>
      <c r="K617" s="742" t="n">
        <v>11</v>
      </c>
      <c r="L617" s="742">
        <f>IF(B617="TXO",I617-SUM(J617:K617),IF(B617="FITX",IF(D617="新倉",-SUM(J617:K617),IF(E617="賣",(H617-H616)*G617*200-SUM(J617:K617),(H616-H617)*G617*200-SUM(J617:K617))),IF(D617="新倉",-SUM(J617:K617),IF(E617="賣",(H617-H616)*G617*50-SUM(J617:K617),(H616-H617)*G617*50-SUM(J617:K617)))))</f>
        <v/>
      </c>
      <c r="M617" s="743">
        <f>L617</f>
        <v/>
      </c>
      <c r="N617" s="686">
        <f>IF(B617="TXO","",IF(D617="新倉","",IF(E617="賣",(H617-H616)*G617,(H616-H617)*G617)))</f>
        <v/>
      </c>
      <c r="O617" s="226">
        <f>ABS(I617)</f>
        <v/>
      </c>
      <c r="P617" s="667" t="n"/>
      <c r="Q617" s="249" t="inlineStr">
        <is>
          <t>技法: 移動式停利保本出場</t>
        </is>
      </c>
      <c r="S617" s="739" t="n"/>
      <c r="T617" s="61">
        <f>IF(AND(R617="Yes",S617&lt;&gt;"Yes",L617&gt;0,B617&lt;&gt;"TXO"),L617,"")</f>
        <v/>
      </c>
      <c r="U617" s="61">
        <f>IF(AND(R617="Yes",S617&lt;&gt;"Yes",L617&lt;0,B617&lt;&gt;"TXO"),L617,"")</f>
        <v/>
      </c>
      <c r="V617" s="61">
        <f>IF(AND(R617="",S617&lt;&gt;"Yes",L617&gt;0,B617&lt;&gt;"TXO"),L617,"")</f>
        <v/>
      </c>
      <c r="W617" s="61">
        <f>IF(AND(R617="",S617&lt;&gt;"Yes",L617&lt;0,B617&lt;&gt;"TXO"),L617,"")</f>
        <v/>
      </c>
      <c r="X617" s="226">
        <f>IF(AND(R617="Yes",S617="Yes",L617&gt;0,B617&lt;&gt;"TXO"),L617,"")</f>
        <v/>
      </c>
      <c r="Y617" s="226">
        <f>IF(AND(R617="Yes",S617="Yes",L617&lt;0,B617&lt;&gt;"TXO"),L617,"")</f>
        <v/>
      </c>
      <c r="Z617" s="226">
        <f>IF(AND(R617="",S617="Yes",L617&gt;0,B617&lt;&gt;"TXO"),L617,"")</f>
        <v/>
      </c>
      <c r="AA617" s="226">
        <f>IF(AND(R617="",S617="Yes",L617&lt;0,B617&lt;&gt;"TXO"),L617,"")</f>
        <v/>
      </c>
    </row>
    <row r="618" hidden="1" outlineLevel="2" collapsed="1" ht="17.25" customHeight="1" thickBot="1">
      <c r="A618" s="740" t="n">
        <v>43354</v>
      </c>
      <c r="B618" s="299" t="inlineStr">
        <is>
          <t>FIMTX</t>
        </is>
      </c>
      <c r="C618" s="300" t="inlineStr">
        <is>
          <t>小指09</t>
        </is>
      </c>
      <c r="D618" s="300" t="inlineStr">
        <is>
          <t>新倉</t>
        </is>
      </c>
      <c r="E618" s="301" t="inlineStr">
        <is>
          <t>買</t>
        </is>
      </c>
      <c r="F618" s="300" t="inlineStr">
        <is>
          <t>-</t>
        </is>
      </c>
      <c r="G618" s="741" t="n">
        <v>1</v>
      </c>
      <c r="H618" s="741" t="n">
        <v>10686</v>
      </c>
      <c r="I618" s="741" t="n">
        <v>0</v>
      </c>
      <c r="J618" s="742" t="n">
        <v>23</v>
      </c>
      <c r="K618" s="742" t="n">
        <v>11</v>
      </c>
      <c r="L618" s="742">
        <f>IF(B618="TXO",I618-SUM(J618:K618),IF(B618="FITX",IF(D618="新倉",-SUM(J618:K618),IF(E618="賣",(H618-H617)*G618*200-SUM(J618:K618),(H617-H618)*G618*200-SUM(J618:K618))),IF(D618="新倉",-SUM(J618:K618),IF(E618="賣",(H618-H617)*G618*50-SUM(J618:K618),(H617-H618)*G618*50-SUM(J618:K618)))))</f>
        <v/>
      </c>
      <c r="M618" s="743">
        <f>L618</f>
        <v/>
      </c>
      <c r="N618" s="686">
        <f>IF(B618="TXO","",IF(D618="新倉","",IF(E618="賣",(H618-H617)*G618,(H617-H618)*G618)))</f>
        <v/>
      </c>
      <c r="O618" s="226">
        <f>ABS(I618)</f>
        <v/>
      </c>
      <c r="P618" s="667" t="n"/>
      <c r="Q618" s="310" t="inlineStr">
        <is>
          <t>忘記刪除觸價單</t>
        </is>
      </c>
      <c r="R618" s="310" t="n"/>
      <c r="S618" s="739" t="n"/>
      <c r="T618" s="61">
        <f>IF(AND(R618="Yes",S618&lt;&gt;"Yes",L618&gt;0,B618&lt;&gt;"TXO"),L618,"")</f>
        <v/>
      </c>
      <c r="U618" s="61">
        <f>IF(AND(R618="Yes",S618&lt;&gt;"Yes",L618&lt;0,B618&lt;&gt;"TXO"),L618,"")</f>
        <v/>
      </c>
      <c r="V618" s="61">
        <f>IF(AND(R618="",S618&lt;&gt;"Yes",L618&gt;0,B618&lt;&gt;"TXO"),L618,"")</f>
        <v/>
      </c>
      <c r="W618" s="61">
        <f>IF(AND(R618="",S618&lt;&gt;"Yes",L618&lt;0,B618&lt;&gt;"TXO"),L618,"")</f>
        <v/>
      </c>
      <c r="X618" s="226">
        <f>IF(AND(R618="Yes",S618="Yes",L618&gt;0,B618&lt;&gt;"TXO"),L618,"")</f>
        <v/>
      </c>
      <c r="Y618" s="226">
        <f>IF(AND(R618="Yes",S618="Yes",L618&lt;0,B618&lt;&gt;"TXO"),L618,"")</f>
        <v/>
      </c>
      <c r="Z618" s="226">
        <f>IF(AND(R618="",S618="Yes",L618&gt;0,B618&lt;&gt;"TXO"),L618,"")</f>
        <v/>
      </c>
      <c r="AA618" s="226">
        <f>IF(AND(R618="",S618="Yes",L618&lt;0,B618&lt;&gt;"TXO"),L618,"")</f>
        <v/>
      </c>
    </row>
    <row r="619" hidden="1" outlineLevel="2" collapsed="1" ht="17.25" customHeight="1" thickBot="1">
      <c r="A619" s="740" t="n">
        <v>43354</v>
      </c>
      <c r="B619" s="299" t="inlineStr">
        <is>
          <t>FIMTX</t>
        </is>
      </c>
      <c r="C619" s="300" t="inlineStr">
        <is>
          <t>小指09</t>
        </is>
      </c>
      <c r="D619" s="300" t="inlineStr">
        <is>
          <t>平倉</t>
        </is>
      </c>
      <c r="E619" s="301" t="inlineStr">
        <is>
          <t>賣</t>
        </is>
      </c>
      <c r="F619" s="300" t="inlineStr">
        <is>
          <t>-</t>
        </is>
      </c>
      <c r="G619" s="741" t="n">
        <v>1</v>
      </c>
      <c r="H619" s="741" t="n">
        <v>10683</v>
      </c>
      <c r="I619" s="741" t="n">
        <v>0</v>
      </c>
      <c r="J619" s="742" t="n">
        <v>23</v>
      </c>
      <c r="K619" s="742" t="n">
        <v>11</v>
      </c>
      <c r="L619" s="742">
        <f>IF(B619="TXO",I619-SUM(J619:K619),IF(B619="FITX",IF(D619="新倉",-SUM(J619:K619),IF(E619="賣",(H619-H618)*G619*200-SUM(J619:K619),(H618-H619)*G619*200-SUM(J619:K619))),IF(D619="新倉",-SUM(J619:K619),IF(E619="賣",(H619-H618)*G619*50-SUM(J619:K619),(H618-H619)*G619*50-SUM(J619:K619)))))</f>
        <v/>
      </c>
      <c r="M619" s="743">
        <f>L619</f>
        <v/>
      </c>
      <c r="N619" s="686">
        <f>IF(B619="TXO","",IF(D619="新倉","",IF(E619="賣",(H619-H618)*G619,(H618-H619)*G619)))</f>
        <v/>
      </c>
      <c r="O619" s="226">
        <f>ABS(I619)</f>
        <v/>
      </c>
      <c r="P619" s="667" t="n"/>
      <c r="Q619" s="311" t="inlineStr">
        <is>
          <t>混亂中出場</t>
        </is>
      </c>
      <c r="R619" s="311" t="n"/>
      <c r="S619" s="739" t="n"/>
      <c r="T619" s="61">
        <f>IF(AND(R619="Yes",S619&lt;&gt;"Yes",L619&gt;0,B619&lt;&gt;"TXO"),L619,"")</f>
        <v/>
      </c>
      <c r="U619" s="61">
        <f>IF(AND(R619="Yes",S619&lt;&gt;"Yes",L619&lt;0,B619&lt;&gt;"TXO"),L619,"")</f>
        <v/>
      </c>
      <c r="V619" s="61">
        <f>IF(AND(R619="",S619&lt;&gt;"Yes",L619&gt;0,B619&lt;&gt;"TXO"),L619,"")</f>
        <v/>
      </c>
      <c r="W619" s="61">
        <f>IF(AND(R619="",S619&lt;&gt;"Yes",L619&lt;0,B619&lt;&gt;"TXO"),L619,"")</f>
        <v/>
      </c>
      <c r="X619" s="226">
        <f>IF(AND(R619="Yes",S619="Yes",L619&gt;0,B619&lt;&gt;"TXO"),L619,"")</f>
        <v/>
      </c>
      <c r="Y619" s="226">
        <f>IF(AND(R619="Yes",S619="Yes",L619&lt;0,B619&lt;&gt;"TXO"),L619,"")</f>
        <v/>
      </c>
      <c r="Z619" s="226">
        <f>IF(AND(R619="",S619="Yes",L619&gt;0,B619&lt;&gt;"TXO"),L619,"")</f>
        <v/>
      </c>
      <c r="AA619" s="226">
        <f>IF(AND(R619="",S619="Yes",L619&lt;0,B619&lt;&gt;"TXO"),L619,"")</f>
        <v/>
      </c>
    </row>
    <row r="620" hidden="1" outlineLevel="2" collapsed="1" ht="17.25" customHeight="1" thickBot="1">
      <c r="A620" s="740" t="n">
        <v>43354</v>
      </c>
      <c r="B620" s="299" t="inlineStr">
        <is>
          <t>FIMTX</t>
        </is>
      </c>
      <c r="C620" s="300" t="inlineStr">
        <is>
          <t>小指09</t>
        </is>
      </c>
      <c r="D620" s="300" t="inlineStr">
        <is>
          <t>新倉</t>
        </is>
      </c>
      <c r="E620" s="301" t="inlineStr">
        <is>
          <t>買</t>
        </is>
      </c>
      <c r="F620" s="300" t="inlineStr">
        <is>
          <t>-</t>
        </is>
      </c>
      <c r="G620" s="741" t="n">
        <v>2</v>
      </c>
      <c r="H620" s="741" t="n">
        <v>10712</v>
      </c>
      <c r="I620" s="741" t="n">
        <v>0</v>
      </c>
      <c r="J620" s="742" t="n">
        <v>46</v>
      </c>
      <c r="K620" s="742" t="n">
        <v>22</v>
      </c>
      <c r="L620" s="742">
        <f>IF(B620="TXO",I620-SUM(J620:K620),IF(B620="FITX",IF(D620="新倉",-SUM(J620:K620),IF(E620="賣",(H620-H619)*G620*200-SUM(J620:K620),(H619-H620)*G620*200-SUM(J620:K620))),IF(D620="新倉",-SUM(J620:K620),IF(E620="賣",(H620-H619)*G620*50-SUM(J620:K620),(H619-H620)*G620*50-SUM(J620:K620)))))</f>
        <v/>
      </c>
      <c r="M620" s="743">
        <f>L620</f>
        <v/>
      </c>
      <c r="N620" s="686">
        <f>IF(B620="TXO","",IF(D620="新倉","",IF(E620="賣",(H620-H619)*G620,(H619-H620)*G620)))</f>
        <v/>
      </c>
      <c r="O620" s="226">
        <f>ABS(I620)</f>
        <v/>
      </c>
      <c r="P620" s="667" t="n"/>
      <c r="Q620" s="249" t="inlineStr">
        <is>
          <t>技法: 3/3 買進兩口</t>
        </is>
      </c>
      <c r="R620" s="249" t="inlineStr">
        <is>
          <t>Yes</t>
        </is>
      </c>
      <c r="S620" s="739" t="n"/>
      <c r="T620" s="61">
        <f>IF(AND(R620="Yes",S620&lt;&gt;"Yes",L620&gt;0,B620&lt;&gt;"TXO"),L620,"")</f>
        <v/>
      </c>
      <c r="U620" s="61">
        <f>IF(AND(R620="Yes",S620&lt;&gt;"Yes",L620&lt;0,B620&lt;&gt;"TXO"),L620,"")</f>
        <v/>
      </c>
      <c r="V620" s="61">
        <f>IF(AND(R620="",S620&lt;&gt;"Yes",L620&gt;0,B620&lt;&gt;"TXO"),L620,"")</f>
        <v/>
      </c>
      <c r="W620" s="61">
        <f>IF(AND(R620="",S620&lt;&gt;"Yes",L620&lt;0,B620&lt;&gt;"TXO"),L620,"")</f>
        <v/>
      </c>
      <c r="X620" s="226">
        <f>IF(AND(R620="Yes",S620="Yes",L620&gt;0,B620&lt;&gt;"TXO"),L620,"")</f>
        <v/>
      </c>
      <c r="Y620" s="226">
        <f>IF(AND(R620="Yes",S620="Yes",L620&lt;0,B620&lt;&gt;"TXO"),L620,"")</f>
        <v/>
      </c>
      <c r="Z620" s="226">
        <f>IF(AND(R620="",S620="Yes",L620&gt;0,B620&lt;&gt;"TXO"),L620,"")</f>
        <v/>
      </c>
      <c r="AA620" s="226">
        <f>IF(AND(R620="",S620="Yes",L620&lt;0,B620&lt;&gt;"TXO"),L620,"")</f>
        <v/>
      </c>
    </row>
    <row r="621" hidden="1" outlineLevel="2" collapsed="1" ht="33.75" customHeight="1" thickBot="1">
      <c r="A621" s="740" t="n">
        <v>43354</v>
      </c>
      <c r="B621" s="299" t="inlineStr">
        <is>
          <t>FIMTX</t>
        </is>
      </c>
      <c r="C621" s="300" t="inlineStr">
        <is>
          <t>小指09</t>
        </is>
      </c>
      <c r="D621" s="300" t="inlineStr">
        <is>
          <t>平倉</t>
        </is>
      </c>
      <c r="E621" s="301" t="inlineStr">
        <is>
          <t>賣</t>
        </is>
      </c>
      <c r="F621" s="300" t="inlineStr">
        <is>
          <t>-</t>
        </is>
      </c>
      <c r="G621" s="741" t="n">
        <v>2</v>
      </c>
      <c r="H621" s="741" t="n">
        <v>10715</v>
      </c>
      <c r="I621" s="741" t="n">
        <v>0</v>
      </c>
      <c r="J621" s="742" t="n">
        <v>46</v>
      </c>
      <c r="K621" s="742" t="n">
        <v>22</v>
      </c>
      <c r="L621" s="742">
        <f>IF(B621="TXO",I621-SUM(J621:K621),IF(B621="FITX",IF(D621="新倉",-SUM(J621:K621),IF(E621="賣",(H621-H620)*G621*200-SUM(J621:K621),(H620-H621)*G621*200-SUM(J621:K621))),IF(D621="新倉",-SUM(J621:K621),IF(E621="賣",(H621-H620)*G621*50-SUM(J621:K621),(H620-H621)*G621*50-SUM(J621:K621)))))</f>
        <v/>
      </c>
      <c r="M621" s="743">
        <f>L621</f>
        <v/>
      </c>
      <c r="N621" s="686">
        <f>IF(B621="TXO","",IF(D621="新倉","",IF(E621="賣",(H621-H620)*G621,(H620-H621)*G621)))</f>
        <v/>
      </c>
      <c r="O621" s="226">
        <f>ABS(I621)</f>
        <v/>
      </c>
      <c r="P621" s="667" t="n"/>
      <c r="Q621" s="249" t="inlineStr">
        <is>
          <t>未超過20點就設移動式停利，被洗出場</t>
        </is>
      </c>
      <c r="R621" s="249" t="inlineStr">
        <is>
          <t>Yes</t>
        </is>
      </c>
      <c r="S621" s="739" t="n"/>
      <c r="T621" s="61">
        <f>IF(AND(R621="Yes",S621&lt;&gt;"Yes",L621&gt;0,B621&lt;&gt;"TXO"),L621,"")</f>
        <v/>
      </c>
      <c r="U621" s="61">
        <f>IF(AND(R621="Yes",S621&lt;&gt;"Yes",L621&lt;0,B621&lt;&gt;"TXO"),L621,"")</f>
        <v/>
      </c>
      <c r="V621" s="61">
        <f>IF(AND(R621="",S621&lt;&gt;"Yes",L621&gt;0,B621&lt;&gt;"TXO"),L621,"")</f>
        <v/>
      </c>
      <c r="W621" s="61">
        <f>IF(AND(R621="",S621&lt;&gt;"Yes",L621&lt;0,B621&lt;&gt;"TXO"),L621,"")</f>
        <v/>
      </c>
      <c r="X621" s="226">
        <f>IF(AND(R621="Yes",S621="Yes",L621&gt;0,B621&lt;&gt;"TXO"),L621,"")</f>
        <v/>
      </c>
      <c r="Y621" s="226">
        <f>IF(AND(R621="Yes",S621="Yes",L621&lt;0,B621&lt;&gt;"TXO"),L621,"")</f>
        <v/>
      </c>
      <c r="Z621" s="226">
        <f>IF(AND(R621="",S621="Yes",L621&gt;0,B621&lt;&gt;"TXO"),L621,"")</f>
        <v/>
      </c>
      <c r="AA621" s="226">
        <f>IF(AND(R621="",S621="Yes",L621&lt;0,B621&lt;&gt;"TXO"),L621,"")</f>
        <v/>
      </c>
    </row>
    <row r="622" hidden="1" outlineLevel="2" collapsed="1" ht="17.25" customHeight="1" thickBot="1">
      <c r="A622" s="740" t="n">
        <v>43354</v>
      </c>
      <c r="B622" s="299" t="inlineStr">
        <is>
          <t>FIMTX</t>
        </is>
      </c>
      <c r="C622" s="300" t="inlineStr">
        <is>
          <t>小指09</t>
        </is>
      </c>
      <c r="D622" s="300" t="inlineStr">
        <is>
          <t>新倉</t>
        </is>
      </c>
      <c r="E622" s="301" t="inlineStr">
        <is>
          <t>賣</t>
        </is>
      </c>
      <c r="F622" s="300" t="inlineStr">
        <is>
          <t>-</t>
        </is>
      </c>
      <c r="G622" s="741" t="n">
        <v>1</v>
      </c>
      <c r="H622" s="741" t="n">
        <v>10721</v>
      </c>
      <c r="I622" s="741" t="n">
        <v>0</v>
      </c>
      <c r="J622" s="742" t="n">
        <v>23</v>
      </c>
      <c r="K622" s="742" t="n">
        <v>11</v>
      </c>
      <c r="L622" s="742">
        <f>IF(B622="TXO",I622-SUM(J622:K622),IF(B622="FITX",IF(D622="新倉",-SUM(J622:K622),IF(E622="賣",(H622-H621)*G622*200-SUM(J622:K622),(H621-H622)*G622*200-SUM(J622:K622))),IF(D622="新倉",-SUM(J622:K622),IF(E622="賣",(H622-H621)*G622*50-SUM(J622:K622),(H621-H622)*G622*50-SUM(J622:K622)))))</f>
        <v/>
      </c>
      <c r="M622" s="743">
        <f>L622</f>
        <v/>
      </c>
      <c r="N622" s="686">
        <f>IF(B622="TXO","",IF(D622="新倉","",IF(E622="賣",(H622-H621)*G622,(H621-H622)*G622)))</f>
        <v/>
      </c>
      <c r="O622" s="226">
        <f>ABS(I622)</f>
        <v/>
      </c>
      <c r="P622" s="667" t="n"/>
      <c r="Q622" s="310" t="inlineStr">
        <is>
          <t>忘記刪除觸價單</t>
        </is>
      </c>
      <c r="R622" s="310" t="n"/>
      <c r="S622" s="739" t="n"/>
      <c r="T622" s="61">
        <f>IF(AND(R622="Yes",S622&lt;&gt;"Yes",L622&gt;0,B622&lt;&gt;"TXO"),L622,"")</f>
        <v/>
      </c>
      <c r="U622" s="61">
        <f>IF(AND(R622="Yes",S622&lt;&gt;"Yes",L622&lt;0,B622&lt;&gt;"TXO"),L622,"")</f>
        <v/>
      </c>
      <c r="V622" s="61">
        <f>IF(AND(R622="",S622&lt;&gt;"Yes",L622&gt;0,B622&lt;&gt;"TXO"),L622,"")</f>
        <v/>
      </c>
      <c r="W622" s="61">
        <f>IF(AND(R622="",S622&lt;&gt;"Yes",L622&lt;0,B622&lt;&gt;"TXO"),L622,"")</f>
        <v/>
      </c>
      <c r="X622" s="226">
        <f>IF(AND(R622="Yes",S622="Yes",L622&gt;0,B622&lt;&gt;"TXO"),L622,"")</f>
        <v/>
      </c>
      <c r="Y622" s="226">
        <f>IF(AND(R622="Yes",S622="Yes",L622&lt;0,B622&lt;&gt;"TXO"),L622,"")</f>
        <v/>
      </c>
      <c r="Z622" s="226">
        <f>IF(AND(R622="",S622="Yes",L622&gt;0,B622&lt;&gt;"TXO"),L622,"")</f>
        <v/>
      </c>
      <c r="AA622" s="226">
        <f>IF(AND(R622="",S622="Yes",L622&lt;0,B622&lt;&gt;"TXO"),L622,"")</f>
        <v/>
      </c>
    </row>
    <row r="623" hidden="1" outlineLevel="2" collapsed="1" ht="17.25" customHeight="1" thickBot="1">
      <c r="A623" s="740" t="n">
        <v>43354</v>
      </c>
      <c r="B623" s="299" t="inlineStr">
        <is>
          <t>FIMTX</t>
        </is>
      </c>
      <c r="C623" s="300" t="inlineStr">
        <is>
          <t>小指09</t>
        </is>
      </c>
      <c r="D623" s="300" t="inlineStr">
        <is>
          <t>平倉</t>
        </is>
      </c>
      <c r="E623" s="301" t="inlineStr">
        <is>
          <t>買</t>
        </is>
      </c>
      <c r="F623" s="300" t="inlineStr">
        <is>
          <t>-</t>
        </is>
      </c>
      <c r="G623" s="741" t="n">
        <v>1</v>
      </c>
      <c r="H623" s="741" t="n">
        <v>10720</v>
      </c>
      <c r="I623" s="741" t="n">
        <v>0</v>
      </c>
      <c r="J623" s="742" t="n">
        <v>23</v>
      </c>
      <c r="K623" s="742" t="n">
        <v>11</v>
      </c>
      <c r="L623" s="742">
        <f>IF(B623="TXO",I623-SUM(J623:K623),IF(B623="FITX",IF(D623="新倉",-SUM(J623:K623),IF(E623="賣",(H623-H622)*G623*200-SUM(J623:K623),(H622-H623)*G623*200-SUM(J623:K623))),IF(D623="新倉",-SUM(J623:K623),IF(E623="賣",(H623-H622)*G623*50-SUM(J623:K623),(H622-H623)*G623*50-SUM(J623:K623)))))</f>
        <v/>
      </c>
      <c r="M623" s="743">
        <f>L623</f>
        <v/>
      </c>
      <c r="N623" s="686">
        <f>IF(B623="TXO","",IF(D623="新倉","",IF(E623="賣",(H623-H622)*G623,(H622-H623)*G623)))</f>
        <v/>
      </c>
      <c r="O623" s="226">
        <f>ABS(I623)</f>
        <v/>
      </c>
      <c r="P623" s="667" t="n"/>
      <c r="Q623" s="311" t="inlineStr">
        <is>
          <t>混亂中出場</t>
        </is>
      </c>
      <c r="R623" s="311" t="n"/>
      <c r="S623" s="739" t="n"/>
      <c r="T623" s="61">
        <f>IF(AND(R623="Yes",S623&lt;&gt;"Yes",L623&gt;0,B623&lt;&gt;"TXO"),L623,"")</f>
        <v/>
      </c>
      <c r="U623" s="61">
        <f>IF(AND(R623="Yes",S623&lt;&gt;"Yes",L623&lt;0,B623&lt;&gt;"TXO"),L623,"")</f>
        <v/>
      </c>
      <c r="V623" s="61">
        <f>IF(AND(R623="",S623&lt;&gt;"Yes",L623&gt;0,B623&lt;&gt;"TXO"),L623,"")</f>
        <v/>
      </c>
      <c r="W623" s="61">
        <f>IF(AND(R623="",S623&lt;&gt;"Yes",L623&lt;0,B623&lt;&gt;"TXO"),L623,"")</f>
        <v/>
      </c>
      <c r="X623" s="226">
        <f>IF(AND(R623="Yes",S623="Yes",L623&gt;0,B623&lt;&gt;"TXO"),L623,"")</f>
        <v/>
      </c>
      <c r="Y623" s="226">
        <f>IF(AND(R623="Yes",S623="Yes",L623&lt;0,B623&lt;&gt;"TXO"),L623,"")</f>
        <v/>
      </c>
      <c r="Z623" s="226">
        <f>IF(AND(R623="",S623="Yes",L623&gt;0,B623&lt;&gt;"TXO"),L623,"")</f>
        <v/>
      </c>
      <c r="AA623" s="226">
        <f>IF(AND(R623="",S623="Yes",L623&lt;0,B623&lt;&gt;"TXO"),L623,"")</f>
        <v/>
      </c>
    </row>
    <row r="624" hidden="1" outlineLevel="2" collapsed="1" ht="17.25" customHeight="1" thickBot="1">
      <c r="A624" s="740" t="n">
        <v>43354</v>
      </c>
      <c r="B624" s="299" t="inlineStr">
        <is>
          <t>FIMTX</t>
        </is>
      </c>
      <c r="C624" s="300" t="inlineStr">
        <is>
          <t>小指09</t>
        </is>
      </c>
      <c r="D624" s="300" t="inlineStr">
        <is>
          <t>新倉</t>
        </is>
      </c>
      <c r="E624" s="301" t="inlineStr">
        <is>
          <t>賣</t>
        </is>
      </c>
      <c r="F624" s="300" t="inlineStr">
        <is>
          <t>-</t>
        </is>
      </c>
      <c r="G624" s="741" t="n">
        <v>2</v>
      </c>
      <c r="H624" s="741" t="n">
        <v>10736</v>
      </c>
      <c r="I624" s="741" t="n">
        <v>0</v>
      </c>
      <c r="J624" s="742" t="n">
        <v>46</v>
      </c>
      <c r="K624" s="742" t="n">
        <v>22</v>
      </c>
      <c r="L624" s="742">
        <f>IF(B624="TXO",I624-SUM(J624:K624),IF(B624="FITX",IF(D624="新倉",-SUM(J624:K624),IF(E624="賣",(H624-H623)*G624*200-SUM(J624:K624),(H623-H624)*G624*200-SUM(J624:K624))),IF(D624="新倉",-SUM(J624:K624),IF(E624="賣",(H624-H623)*G624*50-SUM(J624:K624),(H623-H624)*G624*50-SUM(J624:K624)))))</f>
        <v/>
      </c>
      <c r="M624" s="743">
        <f>L624</f>
        <v/>
      </c>
      <c r="N624" s="686">
        <f>IF(B624="TXO","",IF(D624="新倉","",IF(E624="賣",(H624-H623)*G624,(H623-H624)*G624)))</f>
        <v/>
      </c>
      <c r="O624" s="226">
        <f>ABS(I624)</f>
        <v/>
      </c>
      <c r="P624" s="667" t="n"/>
      <c r="Q624" s="313" t="inlineStr">
        <is>
          <t>單向不停損</t>
        </is>
      </c>
      <c r="R624" s="313" t="n"/>
      <c r="S624" s="249" t="inlineStr">
        <is>
          <t>Yes</t>
        </is>
      </c>
      <c r="T624" s="61">
        <f>IF(AND(R624="Yes",S624&lt;&gt;"Yes",L624&gt;0,B624&lt;&gt;"TXO"),L624,"")</f>
        <v/>
      </c>
      <c r="U624" s="61">
        <f>IF(AND(R624="Yes",S624&lt;&gt;"Yes",L624&lt;0,B624&lt;&gt;"TXO"),L624,"")</f>
        <v/>
      </c>
      <c r="V624" s="61">
        <f>IF(AND(R624="",S624&lt;&gt;"Yes",L624&gt;0,B624&lt;&gt;"TXO"),L624,"")</f>
        <v/>
      </c>
      <c r="W624" s="61">
        <f>IF(AND(R624="",S624&lt;&gt;"Yes",L624&lt;0,B624&lt;&gt;"TXO"),L624,"")</f>
        <v/>
      </c>
      <c r="X624" s="226">
        <f>IF(AND(R624="Yes",S624="Yes",L624&gt;0,B624&lt;&gt;"TXO"),L624,"")</f>
        <v/>
      </c>
      <c r="Y624" s="226">
        <f>IF(AND(R624="Yes",S624="Yes",L624&lt;0,B624&lt;&gt;"TXO"),L624,"")</f>
        <v/>
      </c>
      <c r="Z624" s="226">
        <f>IF(AND(R624="",S624="Yes",L624&gt;0,B624&lt;&gt;"TXO"),L624,"")</f>
        <v/>
      </c>
      <c r="AA624" s="226">
        <f>IF(AND(R624="",S624="Yes",L624&lt;0,B624&lt;&gt;"TXO"),L624,"")</f>
        <v/>
      </c>
    </row>
    <row r="625" hidden="1" outlineLevel="2" ht="17.25" customHeight="1" thickBot="1">
      <c r="A625" s="740" t="n">
        <v>43354</v>
      </c>
      <c r="B625" s="299" t="inlineStr">
        <is>
          <t>FIMTX</t>
        </is>
      </c>
      <c r="C625" s="300" t="inlineStr">
        <is>
          <t>小指09</t>
        </is>
      </c>
      <c r="D625" s="300" t="inlineStr">
        <is>
          <t>平倉</t>
        </is>
      </c>
      <c r="E625" s="301" t="inlineStr">
        <is>
          <t>買</t>
        </is>
      </c>
      <c r="F625" s="300" t="inlineStr">
        <is>
          <t>-</t>
        </is>
      </c>
      <c r="G625" s="741" t="n">
        <v>2</v>
      </c>
      <c r="H625" s="741" t="n">
        <v>10726</v>
      </c>
      <c r="I625" s="741" t="n">
        <v>0</v>
      </c>
      <c r="J625" s="742" t="n">
        <v>46</v>
      </c>
      <c r="K625" s="742" t="n">
        <v>22</v>
      </c>
      <c r="L625" s="742">
        <f>IF(B625="TXO",I625-SUM(J625:K625),IF(B625="FITX",IF(D625="新倉",-SUM(J625:K625),IF(E625="賣",(H625-H624)*G625*200-SUM(J625:K625),(H624-H625)*G625*200-SUM(J625:K625))),IF(D625="新倉",-SUM(J625:K625),IF(E625="賣",(H625-H624)*G625*50-SUM(J625:K625),(H624-H625)*G625*50-SUM(J625:K625)))))</f>
        <v/>
      </c>
      <c r="M625" s="743">
        <f>L625</f>
        <v/>
      </c>
      <c r="N625" s="686">
        <f>IF(B625="TXO","",IF(D625="新倉","",IF(E625="賣",(H625-H624)*G625,(H624-H625)*G625)))</f>
        <v/>
      </c>
      <c r="O625" s="226">
        <f>ABS(I625)</f>
        <v/>
      </c>
      <c r="P625" s="667" t="n"/>
      <c r="Q625" s="312" t="inlineStr">
        <is>
          <t>技法: 移動式停利保本出場</t>
        </is>
      </c>
      <c r="R625" s="312" t="n"/>
      <c r="S625" s="249" t="inlineStr">
        <is>
          <t>Yes</t>
        </is>
      </c>
      <c r="T625" s="61">
        <f>IF(AND(R625="Yes",S625&lt;&gt;"Yes",L625&gt;0,B625&lt;&gt;"TXO"),L625,"")</f>
        <v/>
      </c>
      <c r="U625" s="61">
        <f>IF(AND(R625="Yes",S625&lt;&gt;"Yes",L625&lt;0,B625&lt;&gt;"TXO"),L625,"")</f>
        <v/>
      </c>
      <c r="V625" s="61">
        <f>IF(AND(R625="",S625&lt;&gt;"Yes",L625&gt;0,B625&lt;&gt;"TXO"),L625,"")</f>
        <v/>
      </c>
      <c r="W625" s="61">
        <f>IF(AND(R625="",S625&lt;&gt;"Yes",L625&lt;0,B625&lt;&gt;"TXO"),L625,"")</f>
        <v/>
      </c>
      <c r="X625" s="226">
        <f>IF(AND(R625="Yes",S625="Yes",L625&gt;0,B625&lt;&gt;"TXO"),L625,"")</f>
        <v/>
      </c>
      <c r="Y625" s="226">
        <f>IF(AND(R625="Yes",S625="Yes",L625&lt;0,B625&lt;&gt;"TXO"),L625,"")</f>
        <v/>
      </c>
      <c r="Z625" s="226">
        <f>IF(AND(R625="",S625="Yes",L625&gt;0,B625&lt;&gt;"TXO"),L625,"")</f>
        <v/>
      </c>
      <c r="AA625" s="226">
        <f>IF(AND(R625="",S625="Yes",L625&lt;0,B625&lt;&gt;"TXO"),L625,"")</f>
        <v/>
      </c>
    </row>
    <row r="626" hidden="1" outlineLevel="1" ht="17.25" customHeight="1" thickBot="1">
      <c r="A626" s="696" t="n">
        <v>43354</v>
      </c>
      <c r="B626" s="234" t="inlineStr">
        <is>
          <t>FIMTX</t>
        </is>
      </c>
      <c r="C626" s="229" t="inlineStr">
        <is>
          <t>小指09</t>
        </is>
      </c>
      <c r="D626" s="229" t="inlineStr">
        <is>
          <t>新倉</t>
        </is>
      </c>
      <c r="E626" s="257" t="inlineStr">
        <is>
          <t>賣</t>
        </is>
      </c>
      <c r="F626" s="229" t="inlineStr">
        <is>
          <t>-</t>
        </is>
      </c>
      <c r="G626" s="697" t="n">
        <v>1</v>
      </c>
      <c r="H626" s="697" t="n">
        <v>10738</v>
      </c>
      <c r="I626" s="697" t="n">
        <v>0</v>
      </c>
      <c r="J626" s="585" t="n">
        <v>23</v>
      </c>
      <c r="K626" s="585" t="n">
        <v>11</v>
      </c>
      <c r="L626" s="585">
        <f>IF(B626="TXO",I626-SUM(J626:K626),IF(B626="FITX",IF(D626="新倉",-SUM(J626:K626),IF(E626="賣",(H626-H625)*G626*200-SUM(J626:K626),(H625-H626)*G626*200-SUM(J626:K626))),IF(D626="新倉",-SUM(J626:K626),IF(E626="賣",(H626-H625)*G626*50-SUM(J626:K626),(H625-H626)*G626*50-SUM(J626:K626)))))</f>
        <v/>
      </c>
      <c r="M626" s="699">
        <f>L626</f>
        <v/>
      </c>
      <c r="N626" s="686">
        <f>IF(B626="TXO","",IF(D626="新倉","",IF(E626="賣",(H626-H625)*G626,(H625-H626)*G626)))</f>
        <v/>
      </c>
      <c r="O626" s="226">
        <f>ABS(I626)</f>
        <v/>
      </c>
      <c r="P626" s="667">
        <f>SUM(L626:L642)</f>
        <v/>
      </c>
      <c r="Q626" s="312" t="inlineStr">
        <is>
          <t>籌碼雙弱，空單留倉</t>
        </is>
      </c>
      <c r="R626" s="312" t="n"/>
      <c r="S626" s="739" t="n"/>
      <c r="T626" s="61">
        <f>IF(AND(R626="Yes",S626&lt;&gt;"Yes",L626&gt;0,B626&lt;&gt;"TXO"),L626,"")</f>
        <v/>
      </c>
      <c r="U626" s="61">
        <f>IF(AND(R626="Yes",S626&lt;&gt;"Yes",L626&lt;0,B626&lt;&gt;"TXO"),L626,"")</f>
        <v/>
      </c>
      <c r="V626" s="61">
        <f>IF(AND(R626="",S626&lt;&gt;"Yes",L626&gt;0,B626&lt;&gt;"TXO"),L626,"")</f>
        <v/>
      </c>
      <c r="W626" s="61">
        <f>IF(AND(R626="",S626&lt;&gt;"Yes",L626&lt;0,B626&lt;&gt;"TXO"),L626,"")</f>
        <v/>
      </c>
      <c r="X626" s="226">
        <f>IF(AND(R626="Yes",S626="Yes",L626&gt;0,B626&lt;&gt;"TXO"),L626,"")</f>
        <v/>
      </c>
      <c r="Y626" s="226">
        <f>IF(AND(R626="Yes",S626="Yes",L626&lt;0,B626&lt;&gt;"TXO"),L626,"")</f>
        <v/>
      </c>
      <c r="Z626" s="226">
        <f>IF(AND(R626="",S626="Yes",L626&gt;0,B626&lt;&gt;"TXO"),L626,"")</f>
        <v/>
      </c>
      <c r="AA626" s="226">
        <f>IF(AND(R626="",S626="Yes",L626&lt;0,B626&lt;&gt;"TXO"),L626,"")</f>
        <v/>
      </c>
    </row>
    <row r="627" hidden="1" outlineLevel="2" ht="17.25" customHeight="1" thickBot="1">
      <c r="A627" s="696" t="n">
        <v>43354</v>
      </c>
      <c r="B627" s="234" t="inlineStr">
        <is>
          <t>FIMTX</t>
        </is>
      </c>
      <c r="C627" s="229" t="inlineStr">
        <is>
          <t>小指09</t>
        </is>
      </c>
      <c r="D627" s="229" t="inlineStr">
        <is>
          <t>平倉</t>
        </is>
      </c>
      <c r="E627" s="257" t="inlineStr">
        <is>
          <t>買</t>
        </is>
      </c>
      <c r="F627" s="229" t="inlineStr">
        <is>
          <t>-</t>
        </is>
      </c>
      <c r="G627" s="697" t="n">
        <v>1</v>
      </c>
      <c r="H627" s="697" t="n">
        <v>10714</v>
      </c>
      <c r="I627" s="697" t="n">
        <v>0</v>
      </c>
      <c r="J627" s="585" t="n">
        <v>23</v>
      </c>
      <c r="K627" s="585" t="n">
        <v>11</v>
      </c>
      <c r="L627" s="585">
        <f>IF(B627="TXO",I627-SUM(J627:K627),IF(B627="FITX",IF(D627="新倉",-SUM(J627:K627),IF(E627="賣",(H627-H626)*G627*200-SUM(J627:K627),(H626-H627)*G627*200-SUM(J627:K627))),IF(D627="新倉",-SUM(J627:K627),IF(E627="賣",(H627-H626)*G627*50-SUM(J627:K627),(H626-H627)*G627*50-SUM(J627:K627)))))</f>
        <v/>
      </c>
      <c r="M627" s="699">
        <f>L627</f>
        <v/>
      </c>
      <c r="N627" s="686">
        <f>IF(B627="TXO","",IF(D627="新倉","",IF(E627="賣",(H627-H626)*G627,(H626-H627)*G627)))</f>
        <v/>
      </c>
      <c r="O627" s="226">
        <f>ABS(I627)</f>
        <v/>
      </c>
      <c r="P627" s="667" t="n"/>
      <c r="Q627" s="312" t="inlineStr">
        <is>
          <t>技法: 刺補</t>
        </is>
      </c>
      <c r="R627" s="312" t="n"/>
      <c r="S627" s="739" t="n"/>
      <c r="T627" s="61">
        <f>IF(AND(R627="Yes",S627&lt;&gt;"Yes",L627&gt;0,B627&lt;&gt;"TXO"),L627,"")</f>
        <v/>
      </c>
      <c r="U627" s="61">
        <f>IF(AND(R627="Yes",S627&lt;&gt;"Yes",L627&lt;0,B627&lt;&gt;"TXO"),L627,"")</f>
        <v/>
      </c>
      <c r="V627" s="61">
        <f>IF(AND(R627="",S627&lt;&gt;"Yes",L627&gt;0,B627&lt;&gt;"TXO"),L627,"")</f>
        <v/>
      </c>
      <c r="W627" s="61">
        <f>IF(AND(R627="",S627&lt;&gt;"Yes",L627&lt;0,B627&lt;&gt;"TXO"),L627,"")</f>
        <v/>
      </c>
      <c r="X627" s="226">
        <f>IF(AND(R627="Yes",S627="Yes",L627&gt;0,B627&lt;&gt;"TXO"),L627,"")</f>
        <v/>
      </c>
      <c r="Y627" s="226">
        <f>IF(AND(R627="Yes",S627="Yes",L627&lt;0,B627&lt;&gt;"TXO"),L627,"")</f>
        <v/>
      </c>
      <c r="Z627" s="226">
        <f>IF(AND(R627="",S627="Yes",L627&gt;0,B627&lt;&gt;"TXO"),L627,"")</f>
        <v/>
      </c>
      <c r="AA627" s="226">
        <f>IF(AND(R627="",S627="Yes",L627&lt;0,B627&lt;&gt;"TXO"),L627,"")</f>
        <v/>
      </c>
    </row>
    <row r="628" hidden="1" outlineLevel="2" ht="17.25" customHeight="1" thickBot="1">
      <c r="A628" s="696" t="n">
        <v>43354</v>
      </c>
      <c r="B628" s="234" t="inlineStr">
        <is>
          <t>FIMTX</t>
        </is>
      </c>
      <c r="C628" s="229" t="inlineStr">
        <is>
          <t>小指09</t>
        </is>
      </c>
      <c r="D628" s="229" t="inlineStr">
        <is>
          <t>新倉</t>
        </is>
      </c>
      <c r="E628" s="257" t="inlineStr">
        <is>
          <t>賣</t>
        </is>
      </c>
      <c r="F628" s="229" t="inlineStr">
        <is>
          <t>-</t>
        </is>
      </c>
      <c r="G628" s="697" t="n">
        <v>1</v>
      </c>
      <c r="H628" s="697" t="n">
        <v>10738</v>
      </c>
      <c r="I628" s="697" t="n">
        <v>0</v>
      </c>
      <c r="J628" s="585" t="n">
        <v>23</v>
      </c>
      <c r="K628" s="585" t="n">
        <v>11</v>
      </c>
      <c r="L628" s="585">
        <f>IF(B628="TXO",I628-SUM(J628:K628),IF(B628="FITX",IF(D628="新倉",-SUM(J628:K628),IF(E628="賣",(H628-H627)*G628*200-SUM(J628:K628),(H627-H628)*G628*200-SUM(J628:K628))),IF(D628="新倉",-SUM(J628:K628),IF(E628="賣",(H628-H627)*G628*50-SUM(J628:K628),(H627-H628)*G628*50-SUM(J628:K628)))))</f>
        <v/>
      </c>
      <c r="M628" s="699">
        <f>L628</f>
        <v/>
      </c>
      <c r="N628" s="686">
        <f>IF(B628="TXO","",IF(D628="新倉","",IF(E628="賣",(H628-H627)*G628,(H627-H628)*G628)))</f>
        <v/>
      </c>
      <c r="O628" s="226">
        <f>ABS(I628)</f>
        <v/>
      </c>
      <c r="P628" s="667" t="n"/>
      <c r="Q628" s="312" t="inlineStr">
        <is>
          <t>籌碼雙弱，空單留倉</t>
        </is>
      </c>
      <c r="R628" s="312" t="n"/>
      <c r="S628" s="739" t="n"/>
      <c r="T628" s="61">
        <f>IF(AND(R628="Yes",S628&lt;&gt;"Yes",L628&gt;0,B628&lt;&gt;"TXO"),L628,"")</f>
        <v/>
      </c>
      <c r="U628" s="61">
        <f>IF(AND(R628="Yes",S628&lt;&gt;"Yes",L628&lt;0,B628&lt;&gt;"TXO"),L628,"")</f>
        <v/>
      </c>
      <c r="V628" s="61">
        <f>IF(AND(R628="",S628&lt;&gt;"Yes",L628&gt;0,B628&lt;&gt;"TXO"),L628,"")</f>
        <v/>
      </c>
      <c r="W628" s="61">
        <f>IF(AND(R628="",S628&lt;&gt;"Yes",L628&lt;0,B628&lt;&gt;"TXO"),L628,"")</f>
        <v/>
      </c>
      <c r="X628" s="226">
        <f>IF(AND(R628="Yes",S628="Yes",L628&gt;0,B628&lt;&gt;"TXO"),L628,"")</f>
        <v/>
      </c>
      <c r="Y628" s="226">
        <f>IF(AND(R628="Yes",S628="Yes",L628&lt;0,B628&lt;&gt;"TXO"),L628,"")</f>
        <v/>
      </c>
      <c r="Z628" s="226">
        <f>IF(AND(R628="",S628="Yes",L628&gt;0,B628&lt;&gt;"TXO"),L628,"")</f>
        <v/>
      </c>
      <c r="AA628" s="226">
        <f>IF(AND(R628="",S628="Yes",L628&lt;0,B628&lt;&gt;"TXO"),L628,"")</f>
        <v/>
      </c>
    </row>
    <row r="629" hidden="1" outlineLevel="2" ht="17.25" customHeight="1" thickBot="1">
      <c r="A629" s="696" t="n">
        <v>43354</v>
      </c>
      <c r="B629" s="234" t="inlineStr">
        <is>
          <t>FIMTX</t>
        </is>
      </c>
      <c r="C629" s="229" t="inlineStr">
        <is>
          <t>小指09</t>
        </is>
      </c>
      <c r="D629" s="229" t="inlineStr">
        <is>
          <t>平倉</t>
        </is>
      </c>
      <c r="E629" s="257" t="inlineStr">
        <is>
          <t>買</t>
        </is>
      </c>
      <c r="F629" s="229" t="inlineStr">
        <is>
          <t>-</t>
        </is>
      </c>
      <c r="G629" s="697" t="n">
        <v>1</v>
      </c>
      <c r="H629" s="697" t="n">
        <v>10716</v>
      </c>
      <c r="I629" s="697" t="n">
        <v>0</v>
      </c>
      <c r="J629" s="585" t="n">
        <v>23</v>
      </c>
      <c r="K629" s="585" t="n">
        <v>11</v>
      </c>
      <c r="L629" s="585">
        <f>IF(B629="TXO",I629-SUM(J629:K629),IF(B629="FITX",IF(D629="新倉",-SUM(J629:K629),IF(E629="賣",(H629-H628)*G629*200-SUM(J629:K629),(H628-H629)*G629*200-SUM(J629:K629))),IF(D629="新倉",-SUM(J629:K629),IF(E629="賣",(H629-H628)*G629*50-SUM(J629:K629),(H628-H629)*G629*50-SUM(J629:K629)))))</f>
        <v/>
      </c>
      <c r="M629" s="699">
        <f>L629</f>
        <v/>
      </c>
      <c r="N629" s="686">
        <f>IF(B629="TXO","",IF(D629="新倉","",IF(E629="賣",(H629-H628)*G629,(H628-H629)*G629)))</f>
        <v/>
      </c>
      <c r="O629" s="226">
        <f>ABS(I629)</f>
        <v/>
      </c>
      <c r="P629" s="667" t="n"/>
      <c r="Q629" s="312" t="inlineStr">
        <is>
          <t>技法: 移動式停利出場</t>
        </is>
      </c>
      <c r="R629" s="312" t="n"/>
      <c r="S629" s="739" t="n"/>
      <c r="T629" s="61">
        <f>IF(AND(R629="Yes",S629&lt;&gt;"Yes",L629&gt;0,B629&lt;&gt;"TXO"),L629,"")</f>
        <v/>
      </c>
      <c r="U629" s="61">
        <f>IF(AND(R629="Yes",S629&lt;&gt;"Yes",L629&lt;0,B629&lt;&gt;"TXO"),L629,"")</f>
        <v/>
      </c>
      <c r="V629" s="61">
        <f>IF(AND(R629="",S629&lt;&gt;"Yes",L629&gt;0,B629&lt;&gt;"TXO"),L629,"")</f>
        <v/>
      </c>
      <c r="W629" s="61">
        <f>IF(AND(R629="",S629&lt;&gt;"Yes",L629&lt;0,B629&lt;&gt;"TXO"),L629,"")</f>
        <v/>
      </c>
      <c r="X629" s="226">
        <f>IF(AND(R629="Yes",S629="Yes",L629&gt;0,B629&lt;&gt;"TXO"),L629,"")</f>
        <v/>
      </c>
      <c r="Y629" s="226">
        <f>IF(AND(R629="Yes",S629="Yes",L629&lt;0,B629&lt;&gt;"TXO"),L629,"")</f>
        <v/>
      </c>
      <c r="Z629" s="226">
        <f>IF(AND(R629="",S629="Yes",L629&gt;0,B629&lt;&gt;"TXO"),L629,"")</f>
        <v/>
      </c>
      <c r="AA629" s="226">
        <f>IF(AND(R629="",S629="Yes",L629&lt;0,B629&lt;&gt;"TXO"),L629,"")</f>
        <v/>
      </c>
    </row>
    <row r="630" hidden="1" outlineLevel="2" ht="17.25" customHeight="1" thickBot="1">
      <c r="A630" s="696" t="n">
        <v>43354</v>
      </c>
      <c r="B630" s="234" t="inlineStr">
        <is>
          <t>FIMTX</t>
        </is>
      </c>
      <c r="C630" s="229" t="inlineStr">
        <is>
          <t>小指09</t>
        </is>
      </c>
      <c r="D630" s="229" t="inlineStr">
        <is>
          <t>新倉</t>
        </is>
      </c>
      <c r="E630" s="257" t="inlineStr">
        <is>
          <t>賣</t>
        </is>
      </c>
      <c r="F630" s="229" t="inlineStr">
        <is>
          <t>-</t>
        </is>
      </c>
      <c r="G630" s="697" t="n">
        <v>1</v>
      </c>
      <c r="H630" s="697" t="n">
        <v>10751</v>
      </c>
      <c r="I630" s="697" t="n">
        <v>0</v>
      </c>
      <c r="J630" s="585" t="n">
        <v>23</v>
      </c>
      <c r="K630" s="585" t="n">
        <v>11</v>
      </c>
      <c r="L630" s="585">
        <f>IF(B630="TXO",I630-SUM(J630:K630),IF(B630="FITX",IF(D630="新倉",-SUM(J630:K630),IF(E630="賣",(H630-H629)*G630*200-SUM(J630:K630),(H629-H630)*G630*200-SUM(J630:K630))),IF(D630="新倉",-SUM(J630:K630),IF(E630="賣",(H630-H629)*G630*50-SUM(J630:K630),(H629-H630)*G630*50-SUM(J630:K630)))))</f>
        <v/>
      </c>
      <c r="M630" s="699">
        <f>L630</f>
        <v/>
      </c>
      <c r="N630" s="686">
        <f>IF(B630="TXO","",IF(D630="新倉","",IF(E630="賣",(H630-H629)*G630,(H629-H630)*G630)))</f>
        <v/>
      </c>
      <c r="O630" s="226">
        <f>ABS(I630)</f>
        <v/>
      </c>
      <c r="P630" s="667" t="n"/>
      <c r="Q630" s="312" t="inlineStr">
        <is>
          <t>籌碼雙弱，空單留倉</t>
        </is>
      </c>
      <c r="R630" s="312" t="n"/>
      <c r="S630" s="739" t="n"/>
      <c r="T630" s="61">
        <f>IF(AND(R630="Yes",S630&lt;&gt;"Yes",L630&gt;0,B630&lt;&gt;"TXO"),L630,"")</f>
        <v/>
      </c>
      <c r="U630" s="61">
        <f>IF(AND(R630="Yes",S630&lt;&gt;"Yes",L630&lt;0,B630&lt;&gt;"TXO"),L630,"")</f>
        <v/>
      </c>
      <c r="V630" s="61">
        <f>IF(AND(R630="",S630&lt;&gt;"Yes",L630&gt;0,B630&lt;&gt;"TXO"),L630,"")</f>
        <v/>
      </c>
      <c r="W630" s="61">
        <f>IF(AND(R630="",S630&lt;&gt;"Yes",L630&lt;0,B630&lt;&gt;"TXO"),L630,"")</f>
        <v/>
      </c>
      <c r="X630" s="226">
        <f>IF(AND(R630="Yes",S630="Yes",L630&gt;0,B630&lt;&gt;"TXO"),L630,"")</f>
        <v/>
      </c>
      <c r="Y630" s="226">
        <f>IF(AND(R630="Yes",S630="Yes",L630&lt;0,B630&lt;&gt;"TXO"),L630,"")</f>
        <v/>
      </c>
      <c r="Z630" s="226">
        <f>IF(AND(R630="",S630="Yes",L630&gt;0,B630&lt;&gt;"TXO"),L630,"")</f>
        <v/>
      </c>
      <c r="AA630" s="226">
        <f>IF(AND(R630="",S630="Yes",L630&lt;0,B630&lt;&gt;"TXO"),L630,"")</f>
        <v/>
      </c>
    </row>
    <row r="631" hidden="1" outlineLevel="2" ht="17.25" customHeight="1" thickBot="1">
      <c r="A631" s="696" t="n">
        <v>43354</v>
      </c>
      <c r="B631" s="234" t="inlineStr">
        <is>
          <t>FIMTX</t>
        </is>
      </c>
      <c r="C631" s="229" t="inlineStr">
        <is>
          <t>小指09</t>
        </is>
      </c>
      <c r="D631" s="229" t="inlineStr">
        <is>
          <t>平倉</t>
        </is>
      </c>
      <c r="E631" s="257" t="inlineStr">
        <is>
          <t>買</t>
        </is>
      </c>
      <c r="F631" s="229" t="inlineStr">
        <is>
          <t>-</t>
        </is>
      </c>
      <c r="G631" s="697" t="n">
        <v>1</v>
      </c>
      <c r="H631" s="697" t="n">
        <v>10716</v>
      </c>
      <c r="I631" s="697" t="n">
        <v>0</v>
      </c>
      <c r="J631" s="585" t="n">
        <v>23</v>
      </c>
      <c r="K631" s="585" t="n">
        <v>11</v>
      </c>
      <c r="L631" s="585">
        <f>IF(B631="TXO",I631-SUM(J631:K631),IF(B631="FITX",IF(D631="新倉",-SUM(J631:K631),IF(E631="賣",(H631-H630)*G631*200-SUM(J631:K631),(H630-H631)*G631*200-SUM(J631:K631))),IF(D631="新倉",-SUM(J631:K631),IF(E631="賣",(H631-H630)*G631*50-SUM(J631:K631),(H630-H631)*G631*50-SUM(J631:K631)))))</f>
        <v/>
      </c>
      <c r="M631" s="699">
        <f>L631</f>
        <v/>
      </c>
      <c r="N631" s="686">
        <f>IF(B631="TXO","",IF(D631="新倉","",IF(E631="賣",(H631-H630)*G631,(H630-H631)*G631)))</f>
        <v/>
      </c>
      <c r="O631" s="226">
        <f>ABS(I631)</f>
        <v/>
      </c>
      <c r="P631" s="667" t="n"/>
      <c r="Q631" s="312" t="inlineStr">
        <is>
          <t>技法: 移動式停利出場</t>
        </is>
      </c>
      <c r="R631" s="312" t="n"/>
      <c r="S631" s="739" t="n"/>
      <c r="T631" s="61">
        <f>IF(AND(R631="Yes",S631&lt;&gt;"Yes",L631&gt;0,B631&lt;&gt;"TXO"),L631,"")</f>
        <v/>
      </c>
      <c r="U631" s="61">
        <f>IF(AND(R631="Yes",S631&lt;&gt;"Yes",L631&lt;0,B631&lt;&gt;"TXO"),L631,"")</f>
        <v/>
      </c>
      <c r="V631" s="61">
        <f>IF(AND(R631="",S631&lt;&gt;"Yes",L631&gt;0,B631&lt;&gt;"TXO"),L631,"")</f>
        <v/>
      </c>
      <c r="W631" s="61">
        <f>IF(AND(R631="",S631&lt;&gt;"Yes",L631&lt;0,B631&lt;&gt;"TXO"),L631,"")</f>
        <v/>
      </c>
      <c r="X631" s="226">
        <f>IF(AND(R631="Yes",S631="Yes",L631&gt;0,B631&lt;&gt;"TXO"),L631,"")</f>
        <v/>
      </c>
      <c r="Y631" s="226">
        <f>IF(AND(R631="Yes",S631="Yes",L631&lt;0,B631&lt;&gt;"TXO"),L631,"")</f>
        <v/>
      </c>
      <c r="Z631" s="226">
        <f>IF(AND(R631="",S631="Yes",L631&gt;0,B631&lt;&gt;"TXO"),L631,"")</f>
        <v/>
      </c>
      <c r="AA631" s="226">
        <f>IF(AND(R631="",S631="Yes",L631&lt;0,B631&lt;&gt;"TXO"),L631,"")</f>
        <v/>
      </c>
    </row>
    <row r="632" hidden="1" outlineLevel="2" ht="17.25" customHeight="1" thickBot="1">
      <c r="A632" s="696" t="n">
        <v>43354</v>
      </c>
      <c r="B632" s="234" t="inlineStr">
        <is>
          <t>TXO</t>
        </is>
      </c>
      <c r="C632" s="229" t="inlineStr">
        <is>
          <t>台指選W2 09 10700 P</t>
        </is>
      </c>
      <c r="D632" s="229" t="inlineStr">
        <is>
          <t>新倉</t>
        </is>
      </c>
      <c r="E632" s="257" t="inlineStr">
        <is>
          <t>買</t>
        </is>
      </c>
      <c r="F632" s="229" t="inlineStr">
        <is>
          <t>-</t>
        </is>
      </c>
      <c r="G632" s="697" t="n">
        <v>2</v>
      </c>
      <c r="H632" s="697" t="n">
        <v>12</v>
      </c>
      <c r="I632" s="697" t="n">
        <v>-1200</v>
      </c>
      <c r="J632" s="585" t="n">
        <v>36</v>
      </c>
      <c r="K632" s="585" t="n">
        <v>2</v>
      </c>
      <c r="L632" s="585">
        <f>IF(B632="TXO",I632-SUM(J632:K632),IF(B632="FITX",IF(D632="新倉",-SUM(J632:K632),IF(E632="賣",(H632-H631)*G632*200-SUM(J632:K632),(H631-H632)*G632*200-SUM(J632:K632))),IF(D632="新倉",-SUM(J632:K632),IF(E632="賣",(H632-H631)*G632*50-SUM(J632:K632),(H631-H632)*G632*50-SUM(J632:K632)))))</f>
        <v/>
      </c>
      <c r="M632" s="699">
        <f>L632</f>
        <v/>
      </c>
      <c r="N632" s="686">
        <f>IF(B632="TXO","",IF(D632="新倉","",IF(E632="賣",(H632-H631)*G632,(H631-H632)*G632)))</f>
        <v/>
      </c>
      <c r="O632" s="226">
        <f>ABS(I632)</f>
        <v/>
      </c>
      <c r="P632" s="667">
        <f>SUM(L632:L640)</f>
        <v/>
      </c>
      <c r="Q632" s="312" t="inlineStr">
        <is>
          <t>籌碼雙弱，週結算，空單留倉</t>
        </is>
      </c>
      <c r="R632" s="312" t="n"/>
      <c r="S632" s="739" t="n"/>
      <c r="T632" s="61">
        <f>IF(AND(R632="Yes",S632&lt;&gt;"Yes",L632&gt;0,B632&lt;&gt;"TXO"),L632,"")</f>
        <v/>
      </c>
      <c r="U632" s="61">
        <f>IF(AND(R632="Yes",S632&lt;&gt;"Yes",L632&lt;0,B632&lt;&gt;"TXO"),L632,"")</f>
        <v/>
      </c>
      <c r="V632" s="61">
        <f>IF(AND(R632="",S632&lt;&gt;"Yes",L632&gt;0,B632&lt;&gt;"TXO"),L632,"")</f>
        <v/>
      </c>
      <c r="W632" s="61">
        <f>IF(AND(R632="",S632&lt;&gt;"Yes",L632&lt;0,B632&lt;&gt;"TXO"),L632,"")</f>
        <v/>
      </c>
      <c r="X632" s="226">
        <f>IF(AND(R632="Yes",S632="Yes",L632&gt;0,B632&lt;&gt;"TXO"),L632,"")</f>
        <v/>
      </c>
      <c r="Y632" s="226">
        <f>IF(AND(R632="Yes",S632="Yes",L632&lt;0,B632&lt;&gt;"TXO"),L632,"")</f>
        <v/>
      </c>
      <c r="Z632" s="226">
        <f>IF(AND(R632="",S632="Yes",L632&gt;0,B632&lt;&gt;"TXO"),L632,"")</f>
        <v/>
      </c>
      <c r="AA632" s="226">
        <f>IF(AND(R632="",S632="Yes",L632&lt;0,B632&lt;&gt;"TXO"),L632,"")</f>
        <v/>
      </c>
    </row>
    <row r="633" hidden="1" outlineLevel="2" ht="17.25" customHeight="1" thickBot="1">
      <c r="A633" s="696" t="n">
        <v>43355</v>
      </c>
      <c r="B633" s="234" t="inlineStr">
        <is>
          <t>TXO</t>
        </is>
      </c>
      <c r="C633" s="229" t="inlineStr">
        <is>
          <t>台指選W2 09 10700 P</t>
        </is>
      </c>
      <c r="D633" s="229" t="inlineStr">
        <is>
          <t>平倉</t>
        </is>
      </c>
      <c r="E633" s="257" t="inlineStr">
        <is>
          <t>賣</t>
        </is>
      </c>
      <c r="F633" s="229" t="inlineStr">
        <is>
          <t>-</t>
        </is>
      </c>
      <c r="G633" s="697" t="n">
        <v>1</v>
      </c>
      <c r="H633" s="697" t="n">
        <v>8.1</v>
      </c>
      <c r="I633" s="697" t="n">
        <v>405</v>
      </c>
      <c r="J633" s="585" t="n">
        <v>18</v>
      </c>
      <c r="K633" s="585" t="n">
        <v>0</v>
      </c>
      <c r="L633" s="585">
        <f>IF(B633="TXO",I633-SUM(J633:K633),IF(B633="FITX",IF(D633="新倉",-SUM(J633:K633),IF(E633="賣",(H633-H632)*G633*200-SUM(J633:K633),(H632-H633)*G633*200-SUM(J633:K633))),IF(D633="新倉",-SUM(J633:K633),IF(E633="賣",(H633-H632)*G633*50-SUM(J633:K633),(H632-H633)*G633*50-SUM(J633:K633)))))</f>
        <v/>
      </c>
      <c r="M633" s="699">
        <f>L633</f>
        <v/>
      </c>
      <c r="N633" s="686">
        <f>IF(B633="TXO","",IF(D633="新倉","",IF(E633="賣",(H633-H632)*G633,(H632-H633)*G633)))</f>
        <v/>
      </c>
      <c r="O633" s="226">
        <f>ABS(I633)</f>
        <v/>
      </c>
      <c r="P633" s="667" t="n"/>
      <c r="Q633" s="312" t="inlineStr">
        <is>
          <t>籌碼雙弱，週結算，空單留倉</t>
        </is>
      </c>
      <c r="R633" s="312" t="n"/>
      <c r="S633" s="739" t="n"/>
      <c r="T633" s="61">
        <f>IF(AND(R633="Yes",S633&lt;&gt;"Yes",L633&gt;0,B633&lt;&gt;"TXO"),L633,"")</f>
        <v/>
      </c>
      <c r="U633" s="61">
        <f>IF(AND(R633="Yes",S633&lt;&gt;"Yes",L633&lt;0,B633&lt;&gt;"TXO"),L633,"")</f>
        <v/>
      </c>
      <c r="V633" s="61">
        <f>IF(AND(R633="",S633&lt;&gt;"Yes",L633&gt;0,B633&lt;&gt;"TXO"),L633,"")</f>
        <v/>
      </c>
      <c r="W633" s="61">
        <f>IF(AND(R633="",S633&lt;&gt;"Yes",L633&lt;0,B633&lt;&gt;"TXO"),L633,"")</f>
        <v/>
      </c>
      <c r="X633" s="226">
        <f>IF(AND(R633="Yes",S633="Yes",L633&gt;0,B633&lt;&gt;"TXO"),L633,"")</f>
        <v/>
      </c>
      <c r="Y633" s="226">
        <f>IF(AND(R633="Yes",S633="Yes",L633&lt;0,B633&lt;&gt;"TXO"),L633,"")</f>
        <v/>
      </c>
      <c r="Z633" s="226">
        <f>IF(AND(R633="",S633="Yes",L633&gt;0,B633&lt;&gt;"TXO"),L633,"")</f>
        <v/>
      </c>
      <c r="AA633" s="226">
        <f>IF(AND(R633="",S633="Yes",L633&lt;0,B633&lt;&gt;"TXO"),L633,"")</f>
        <v/>
      </c>
    </row>
    <row r="634" hidden="1" outlineLevel="2" ht="17.25" customHeight="1" thickBot="1">
      <c r="A634" s="696" t="n">
        <v>43355</v>
      </c>
      <c r="B634" s="234" t="inlineStr">
        <is>
          <t>TXO</t>
        </is>
      </c>
      <c r="C634" s="229" t="inlineStr">
        <is>
          <t>台指選W2 09 10700 P</t>
        </is>
      </c>
      <c r="D634" s="229" t="inlineStr">
        <is>
          <t>平倉</t>
        </is>
      </c>
      <c r="E634" s="257" t="inlineStr">
        <is>
          <t>賣</t>
        </is>
      </c>
      <c r="F634" s="229" t="inlineStr">
        <is>
          <t>-</t>
        </is>
      </c>
      <c r="G634" s="697" t="n">
        <v>1</v>
      </c>
      <c r="H634" s="697" t="n">
        <v>7</v>
      </c>
      <c r="I634" s="697" t="n">
        <v>350</v>
      </c>
      <c r="J634" s="585" t="n">
        <v>18</v>
      </c>
      <c r="K634" s="585" t="n">
        <v>0</v>
      </c>
      <c r="L634" s="585">
        <f>IF(B634="TXO",I634-SUM(J634:K634),IF(B634="FITX",IF(D634="新倉",-SUM(J634:K634),IF(E634="賣",(H634-H633)*G634*200-SUM(J634:K634),(H633-H634)*G634*200-SUM(J634:K634))),IF(D634="新倉",-SUM(J634:K634),IF(E634="賣",(H634-H633)*G634*50-SUM(J634:K634),(H633-H634)*G634*50-SUM(J634:K634)))))</f>
        <v/>
      </c>
      <c r="M634" s="699">
        <f>L634</f>
        <v/>
      </c>
      <c r="N634" s="686">
        <f>IF(B634="TXO","",IF(D634="新倉","",IF(E634="賣",(H634-H633)*G634,(H633-H634)*G634)))</f>
        <v/>
      </c>
      <c r="O634" s="226">
        <f>ABS(I634)</f>
        <v/>
      </c>
      <c r="P634" s="667" t="n"/>
      <c r="Q634" s="312" t="inlineStr">
        <is>
          <t>籌碼雙弱，週結算，空單留倉</t>
        </is>
      </c>
      <c r="R634" s="312" t="n"/>
      <c r="S634" s="739" t="n"/>
      <c r="T634" s="61">
        <f>IF(AND(R634="Yes",S634&lt;&gt;"Yes",L634&gt;0,B634&lt;&gt;"TXO"),L634,"")</f>
        <v/>
      </c>
      <c r="U634" s="61">
        <f>IF(AND(R634="Yes",S634&lt;&gt;"Yes",L634&lt;0,B634&lt;&gt;"TXO"),L634,"")</f>
        <v/>
      </c>
      <c r="V634" s="61">
        <f>IF(AND(R634="",S634&lt;&gt;"Yes",L634&gt;0,B634&lt;&gt;"TXO"),L634,"")</f>
        <v/>
      </c>
      <c r="W634" s="61">
        <f>IF(AND(R634="",S634&lt;&gt;"Yes",L634&lt;0,B634&lt;&gt;"TXO"),L634,"")</f>
        <v/>
      </c>
      <c r="X634" s="226">
        <f>IF(AND(R634="Yes",S634="Yes",L634&gt;0,B634&lt;&gt;"TXO"),L634,"")</f>
        <v/>
      </c>
      <c r="Y634" s="226">
        <f>IF(AND(R634="Yes",S634="Yes",L634&lt;0,B634&lt;&gt;"TXO"),L634,"")</f>
        <v/>
      </c>
      <c r="Z634" s="226">
        <f>IF(AND(R634="",S634="Yes",L634&gt;0,B634&lt;&gt;"TXO"),L634,"")</f>
        <v/>
      </c>
      <c r="AA634" s="226">
        <f>IF(AND(R634="",S634="Yes",L634&lt;0,B634&lt;&gt;"TXO"),L634,"")</f>
        <v/>
      </c>
    </row>
    <row r="635" hidden="1" outlineLevel="2" ht="17.25" customHeight="1" thickBot="1">
      <c r="A635" s="696" t="n">
        <v>43354</v>
      </c>
      <c r="B635" s="234" t="inlineStr">
        <is>
          <t>TXO</t>
        </is>
      </c>
      <c r="C635" s="229" t="inlineStr">
        <is>
          <t>台指選W2 09 10650 P</t>
        </is>
      </c>
      <c r="D635" s="229" t="inlineStr">
        <is>
          <t>新倉</t>
        </is>
      </c>
      <c r="E635" s="257" t="inlineStr">
        <is>
          <t>買</t>
        </is>
      </c>
      <c r="F635" s="229" t="inlineStr">
        <is>
          <t>-</t>
        </is>
      </c>
      <c r="G635" s="697" t="n">
        <v>2</v>
      </c>
      <c r="H635" s="697" t="n">
        <v>4</v>
      </c>
      <c r="I635" s="697" t="n">
        <v>-400</v>
      </c>
      <c r="J635" s="585" t="n">
        <v>36</v>
      </c>
      <c r="K635" s="585" t="n">
        <v>0</v>
      </c>
      <c r="L635" s="585">
        <f>IF(B635="TXO",I635-SUM(J635:K635),IF(B635="FITX",IF(D635="新倉",-SUM(J635:K635),IF(E635="賣",(H635-H634)*G635*200-SUM(J635:K635),(H634-H635)*G635*200-SUM(J635:K635))),IF(D635="新倉",-SUM(J635:K635),IF(E635="賣",(H635-H634)*G635*50-SUM(J635:K635),(H634-H635)*G635*50-SUM(J635:K635)))))</f>
        <v/>
      </c>
      <c r="M635" s="699">
        <f>L635</f>
        <v/>
      </c>
      <c r="N635" s="686">
        <f>IF(B635="TXO","",IF(D635="新倉","",IF(E635="賣",(H635-H634)*G635,(H634-H635)*G635)))</f>
        <v/>
      </c>
      <c r="O635" s="226">
        <f>ABS(I635)</f>
        <v/>
      </c>
      <c r="P635" s="667" t="n"/>
      <c r="Q635" s="312" t="inlineStr">
        <is>
          <t>籌碼雙弱，週結算，空單留倉</t>
        </is>
      </c>
      <c r="R635" s="312" t="n"/>
      <c r="S635" s="739" t="n"/>
      <c r="T635" s="61">
        <f>IF(AND(R635="Yes",S635&lt;&gt;"Yes",L635&gt;0,B635&lt;&gt;"TXO"),L635,"")</f>
        <v/>
      </c>
      <c r="U635" s="61">
        <f>IF(AND(R635="Yes",S635&lt;&gt;"Yes",L635&lt;0,B635&lt;&gt;"TXO"),L635,"")</f>
        <v/>
      </c>
      <c r="V635" s="61">
        <f>IF(AND(R635="",S635&lt;&gt;"Yes",L635&gt;0,B635&lt;&gt;"TXO"),L635,"")</f>
        <v/>
      </c>
      <c r="W635" s="61">
        <f>IF(AND(R635="",S635&lt;&gt;"Yes",L635&lt;0,B635&lt;&gt;"TXO"),L635,"")</f>
        <v/>
      </c>
      <c r="X635" s="226">
        <f>IF(AND(R635="Yes",S635="Yes",L635&gt;0,B635&lt;&gt;"TXO"),L635,"")</f>
        <v/>
      </c>
      <c r="Y635" s="226">
        <f>IF(AND(R635="Yes",S635="Yes",L635&lt;0,B635&lt;&gt;"TXO"),L635,"")</f>
        <v/>
      </c>
      <c r="Z635" s="226">
        <f>IF(AND(R635="",S635="Yes",L635&gt;0,B635&lt;&gt;"TXO"),L635,"")</f>
        <v/>
      </c>
      <c r="AA635" s="226">
        <f>IF(AND(R635="",S635="Yes",L635&lt;0,B635&lt;&gt;"TXO"),L635,"")</f>
        <v/>
      </c>
    </row>
    <row r="636" hidden="1" outlineLevel="2" ht="17.25" customHeight="1" thickBot="1">
      <c r="A636" s="696" t="n">
        <v>43355</v>
      </c>
      <c r="B636" s="234" t="inlineStr">
        <is>
          <t>TXO</t>
        </is>
      </c>
      <c r="C636" s="229" t="inlineStr">
        <is>
          <t>台指選W2 09 10650 P</t>
        </is>
      </c>
      <c r="D636" s="229" t="inlineStr">
        <is>
          <t>平倉</t>
        </is>
      </c>
      <c r="E636" s="257" t="inlineStr">
        <is>
          <t>賣</t>
        </is>
      </c>
      <c r="F636" s="229" t="inlineStr">
        <is>
          <t>-</t>
        </is>
      </c>
      <c r="G636" s="697" t="n">
        <v>1</v>
      </c>
      <c r="H636" s="697" t="n">
        <v>0.7</v>
      </c>
      <c r="I636" s="697" t="n">
        <v>35</v>
      </c>
      <c r="J636" s="585" t="n">
        <v>18</v>
      </c>
      <c r="K636" s="585" t="n">
        <v>0</v>
      </c>
      <c r="L636" s="585">
        <f>IF(B636="TXO",I636-SUM(J636:K636),IF(B636="FITX",IF(D636="新倉",-SUM(J636:K636),IF(E636="賣",(H636-H635)*G636*200-SUM(J636:K636),(H635-H636)*G636*200-SUM(J636:K636))),IF(D636="新倉",-SUM(J636:K636),IF(E636="賣",(H636-H635)*G636*50-SUM(J636:K636),(H635-H636)*G636*50-SUM(J636:K636)))))</f>
        <v/>
      </c>
      <c r="M636" s="699">
        <f>L636</f>
        <v/>
      </c>
      <c r="N636" s="686">
        <f>IF(B636="TXO","",IF(D636="新倉","",IF(E636="賣",(H636-H635)*G636,(H635-H636)*G636)))</f>
        <v/>
      </c>
      <c r="O636" s="226">
        <f>ABS(I636)</f>
        <v/>
      </c>
      <c r="P636" s="667" t="n"/>
      <c r="Q636" s="312" t="inlineStr">
        <is>
          <t>籌碼雙弱，週結算，空單留倉</t>
        </is>
      </c>
      <c r="R636" s="312" t="n"/>
      <c r="S636" s="739" t="n"/>
      <c r="T636" s="61">
        <f>IF(AND(R636="Yes",S636&lt;&gt;"Yes",L636&gt;0,B636&lt;&gt;"TXO"),L636,"")</f>
        <v/>
      </c>
      <c r="U636" s="61">
        <f>IF(AND(R636="Yes",S636&lt;&gt;"Yes",L636&lt;0,B636&lt;&gt;"TXO"),L636,"")</f>
        <v/>
      </c>
      <c r="V636" s="61">
        <f>IF(AND(R636="",S636&lt;&gt;"Yes",L636&gt;0,B636&lt;&gt;"TXO"),L636,"")</f>
        <v/>
      </c>
      <c r="W636" s="61">
        <f>IF(AND(R636="",S636&lt;&gt;"Yes",L636&lt;0,B636&lt;&gt;"TXO"),L636,"")</f>
        <v/>
      </c>
      <c r="X636" s="226">
        <f>IF(AND(R636="Yes",S636="Yes",L636&gt;0,B636&lt;&gt;"TXO"),L636,"")</f>
        <v/>
      </c>
      <c r="Y636" s="226">
        <f>IF(AND(R636="Yes",S636="Yes",L636&lt;0,B636&lt;&gt;"TXO"),L636,"")</f>
        <v/>
      </c>
      <c r="Z636" s="226">
        <f>IF(AND(R636="",S636="Yes",L636&gt;0,B636&lt;&gt;"TXO"),L636,"")</f>
        <v/>
      </c>
      <c r="AA636" s="226">
        <f>IF(AND(R636="",S636="Yes",L636&lt;0,B636&lt;&gt;"TXO"),L636,"")</f>
        <v/>
      </c>
    </row>
    <row r="637" hidden="1" outlineLevel="2" ht="17.25" customHeight="1" thickBot="1">
      <c r="A637" s="696" t="n">
        <v>43355</v>
      </c>
      <c r="B637" s="234" t="inlineStr">
        <is>
          <t>TXO</t>
        </is>
      </c>
      <c r="C637" s="229" t="inlineStr">
        <is>
          <t>台指選W2 09 10650 P</t>
        </is>
      </c>
      <c r="D637" s="229" t="inlineStr">
        <is>
          <t>平倉</t>
        </is>
      </c>
      <c r="E637" s="257" t="inlineStr">
        <is>
          <t>賣</t>
        </is>
      </c>
      <c r="F637" s="229" t="inlineStr">
        <is>
          <t>-</t>
        </is>
      </c>
      <c r="G637" s="697" t="n">
        <v>1</v>
      </c>
      <c r="H637" s="697" t="n">
        <v>1</v>
      </c>
      <c r="I637" s="697" t="n">
        <v>50</v>
      </c>
      <c r="J637" s="585" t="n">
        <v>18</v>
      </c>
      <c r="K637" s="585" t="n">
        <v>0</v>
      </c>
      <c r="L637" s="585">
        <f>IF(B637="TXO",I637-SUM(J637:K637),IF(B637="FITX",IF(D637="新倉",-SUM(J637:K637),IF(E637="賣",(H637-H636)*G637*200-SUM(J637:K637),(H636-H637)*G637*200-SUM(J637:K637))),IF(D637="新倉",-SUM(J637:K637),IF(E637="賣",(H637-H636)*G637*50-SUM(J637:K637),(H636-H637)*G637*50-SUM(J637:K637)))))</f>
        <v/>
      </c>
      <c r="M637" s="699">
        <f>L637</f>
        <v/>
      </c>
      <c r="N637" s="686">
        <f>IF(B637="TXO","",IF(D637="新倉","",IF(E637="賣",(H637-H636)*G637,(H636-H637)*G637)))</f>
        <v/>
      </c>
      <c r="O637" s="226">
        <f>ABS(I637)</f>
        <v/>
      </c>
      <c r="P637" s="667" t="n"/>
      <c r="Q637" s="312" t="inlineStr">
        <is>
          <t>籌碼雙弱，週結算，空單留倉</t>
        </is>
      </c>
      <c r="R637" s="312" t="n"/>
      <c r="S637" s="739" t="n"/>
      <c r="T637" s="61">
        <f>IF(AND(R637="Yes",S637&lt;&gt;"Yes",L637&gt;0,B637&lt;&gt;"TXO"),L637,"")</f>
        <v/>
      </c>
      <c r="U637" s="61">
        <f>IF(AND(R637="Yes",S637&lt;&gt;"Yes",L637&lt;0,B637&lt;&gt;"TXO"),L637,"")</f>
        <v/>
      </c>
      <c r="V637" s="61">
        <f>IF(AND(R637="",S637&lt;&gt;"Yes",L637&gt;0,B637&lt;&gt;"TXO"),L637,"")</f>
        <v/>
      </c>
      <c r="W637" s="61">
        <f>IF(AND(R637="",S637&lt;&gt;"Yes",L637&lt;0,B637&lt;&gt;"TXO"),L637,"")</f>
        <v/>
      </c>
      <c r="X637" s="226">
        <f>IF(AND(R637="Yes",S637="Yes",L637&gt;0,B637&lt;&gt;"TXO"),L637,"")</f>
        <v/>
      </c>
      <c r="Y637" s="226">
        <f>IF(AND(R637="Yes",S637="Yes",L637&lt;0,B637&lt;&gt;"TXO"),L637,"")</f>
        <v/>
      </c>
      <c r="Z637" s="226">
        <f>IF(AND(R637="",S637="Yes",L637&gt;0,B637&lt;&gt;"TXO"),L637,"")</f>
        <v/>
      </c>
      <c r="AA637" s="226">
        <f>IF(AND(R637="",S637="Yes",L637&lt;0,B637&lt;&gt;"TXO"),L637,"")</f>
        <v/>
      </c>
    </row>
    <row r="638" hidden="1" outlineLevel="2" ht="17.25" customHeight="1" thickBot="1">
      <c r="A638" s="696" t="n">
        <v>43354</v>
      </c>
      <c r="B638" s="234" t="inlineStr">
        <is>
          <t>TXO</t>
        </is>
      </c>
      <c r="C638" s="229" t="inlineStr">
        <is>
          <t>台指選W2 09 10700 P</t>
        </is>
      </c>
      <c r="D638" s="229" t="inlineStr">
        <is>
          <t>新倉</t>
        </is>
      </c>
      <c r="E638" s="257" t="inlineStr">
        <is>
          <t>買</t>
        </is>
      </c>
      <c r="F638" s="229" t="inlineStr">
        <is>
          <t>-</t>
        </is>
      </c>
      <c r="G638" s="697" t="n">
        <v>2</v>
      </c>
      <c r="H638" s="697" t="n">
        <v>10</v>
      </c>
      <c r="I638" s="697" t="n">
        <v>-1000</v>
      </c>
      <c r="J638" s="585" t="n">
        <v>36</v>
      </c>
      <c r="K638" s="585" t="n">
        <v>2</v>
      </c>
      <c r="L638" s="585">
        <f>IF(B638="TXO",I638-SUM(J638:K638),IF(B638="FITX",IF(D638="新倉",-SUM(J638:K638),IF(E638="賣",(H638-H637)*G638*200-SUM(J638:K638),(H637-H638)*G638*200-SUM(J638:K638))),IF(D638="新倉",-SUM(J638:K638),IF(E638="賣",(H638-H637)*G638*50-SUM(J638:K638),(H637-H638)*G638*50-SUM(J638:K638)))))</f>
        <v/>
      </c>
      <c r="M638" s="699">
        <f>L638</f>
        <v/>
      </c>
      <c r="N638" s="686">
        <f>IF(B638="TXO","",IF(D638="新倉","",IF(E638="賣",(H638-H637)*G638,(H637-H638)*G638)))</f>
        <v/>
      </c>
      <c r="O638" s="226">
        <f>ABS(I638)</f>
        <v/>
      </c>
      <c r="P638" s="667" t="n"/>
      <c r="Q638" s="312" t="inlineStr">
        <is>
          <t>籌碼雙弱，週結算，空單留倉</t>
        </is>
      </c>
      <c r="R638" s="312" t="n"/>
      <c r="S638" s="739" t="n"/>
      <c r="T638" s="61">
        <f>IF(AND(R638="Yes",S638&lt;&gt;"Yes",L638&gt;0,B638&lt;&gt;"TXO"),L638,"")</f>
        <v/>
      </c>
      <c r="U638" s="61">
        <f>IF(AND(R638="Yes",S638&lt;&gt;"Yes",L638&lt;0,B638&lt;&gt;"TXO"),L638,"")</f>
        <v/>
      </c>
      <c r="V638" s="61">
        <f>IF(AND(R638="",S638&lt;&gt;"Yes",L638&gt;0,B638&lt;&gt;"TXO"),L638,"")</f>
        <v/>
      </c>
      <c r="W638" s="61">
        <f>IF(AND(R638="",S638&lt;&gt;"Yes",L638&lt;0,B638&lt;&gt;"TXO"),L638,"")</f>
        <v/>
      </c>
      <c r="X638" s="226">
        <f>IF(AND(R638="Yes",S638="Yes",L638&gt;0,B638&lt;&gt;"TXO"),L638,"")</f>
        <v/>
      </c>
      <c r="Y638" s="226">
        <f>IF(AND(R638="Yes",S638="Yes",L638&lt;0,B638&lt;&gt;"TXO"),L638,"")</f>
        <v/>
      </c>
      <c r="Z638" s="226">
        <f>IF(AND(R638="",S638="Yes",L638&gt;0,B638&lt;&gt;"TXO"),L638,"")</f>
        <v/>
      </c>
      <c r="AA638" s="226">
        <f>IF(AND(R638="",S638="Yes",L638&lt;0,B638&lt;&gt;"TXO"),L638,"")</f>
        <v/>
      </c>
    </row>
    <row r="639" hidden="1" outlineLevel="2" ht="17.25" customHeight="1" thickBot="1">
      <c r="A639" s="696" t="n">
        <v>43355</v>
      </c>
      <c r="B639" s="234" t="inlineStr">
        <is>
          <t>TXO</t>
        </is>
      </c>
      <c r="C639" s="229" t="inlineStr">
        <is>
          <t>台指選W2 09 10700 P</t>
        </is>
      </c>
      <c r="D639" s="229" t="inlineStr">
        <is>
          <t>平倉</t>
        </is>
      </c>
      <c r="E639" s="257" t="inlineStr">
        <is>
          <t>賣</t>
        </is>
      </c>
      <c r="F639" s="229" t="inlineStr">
        <is>
          <t>-</t>
        </is>
      </c>
      <c r="G639" s="697" t="n">
        <v>1</v>
      </c>
      <c r="H639" s="697" t="n">
        <v>8</v>
      </c>
      <c r="I639" s="697" t="n">
        <v>400</v>
      </c>
      <c r="J639" s="585" t="n">
        <v>18</v>
      </c>
      <c r="K639" s="585" t="n">
        <v>0</v>
      </c>
      <c r="L639" s="585">
        <f>IF(B639="TXO",I639-SUM(J639:K639),IF(B639="FITX",IF(D639="新倉",-SUM(J639:K639),IF(E639="賣",(H639-H638)*G639*200-SUM(J639:K639),(H638-H639)*G639*200-SUM(J639:K639))),IF(D639="新倉",-SUM(J639:K639),IF(E639="賣",(H639-H638)*G639*50-SUM(J639:K639),(H638-H639)*G639*50-SUM(J639:K639)))))</f>
        <v/>
      </c>
      <c r="M639" s="699">
        <f>L639</f>
        <v/>
      </c>
      <c r="N639" s="686">
        <f>IF(B639="TXO","",IF(D639="新倉","",IF(E639="賣",(H639-H638)*G639,(H638-H639)*G639)))</f>
        <v/>
      </c>
      <c r="O639" s="226">
        <f>ABS(I639)</f>
        <v/>
      </c>
      <c r="P639" s="667" t="n"/>
      <c r="Q639" s="312" t="inlineStr">
        <is>
          <t>籌碼雙弱，週結算，空單留倉</t>
        </is>
      </c>
      <c r="R639" s="312" t="n"/>
      <c r="S639" s="739" t="n"/>
      <c r="T639" s="61">
        <f>IF(AND(R639="Yes",S639&lt;&gt;"Yes",L639&gt;0,B639&lt;&gt;"TXO"),L639,"")</f>
        <v/>
      </c>
      <c r="U639" s="61">
        <f>IF(AND(R639="Yes",S639&lt;&gt;"Yes",L639&lt;0,B639&lt;&gt;"TXO"),L639,"")</f>
        <v/>
      </c>
      <c r="V639" s="61">
        <f>IF(AND(R639="",S639&lt;&gt;"Yes",L639&gt;0,B639&lt;&gt;"TXO"),L639,"")</f>
        <v/>
      </c>
      <c r="W639" s="61">
        <f>IF(AND(R639="",S639&lt;&gt;"Yes",L639&lt;0,B639&lt;&gt;"TXO"),L639,"")</f>
        <v/>
      </c>
      <c r="X639" s="226">
        <f>IF(AND(R639="Yes",S639="Yes",L639&gt;0,B639&lt;&gt;"TXO"),L639,"")</f>
        <v/>
      </c>
      <c r="Y639" s="226">
        <f>IF(AND(R639="Yes",S639="Yes",L639&lt;0,B639&lt;&gt;"TXO"),L639,"")</f>
        <v/>
      </c>
      <c r="Z639" s="226">
        <f>IF(AND(R639="",S639="Yes",L639&gt;0,B639&lt;&gt;"TXO"),L639,"")</f>
        <v/>
      </c>
      <c r="AA639" s="226">
        <f>IF(AND(R639="",S639="Yes",L639&lt;0,B639&lt;&gt;"TXO"),L639,"")</f>
        <v/>
      </c>
    </row>
    <row r="640" hidden="1" outlineLevel="2" ht="17.25" customHeight="1" thickBot="1">
      <c r="A640" s="696" t="n">
        <v>43355</v>
      </c>
      <c r="B640" s="234" t="inlineStr">
        <is>
          <t>TXO</t>
        </is>
      </c>
      <c r="C640" s="229" t="inlineStr">
        <is>
          <t>台指選W2 09 10700 P</t>
        </is>
      </c>
      <c r="D640" s="229" t="inlineStr">
        <is>
          <t>平倉</t>
        </is>
      </c>
      <c r="E640" s="257" t="inlineStr">
        <is>
          <t>賣</t>
        </is>
      </c>
      <c r="F640" s="229" t="inlineStr">
        <is>
          <t>-</t>
        </is>
      </c>
      <c r="G640" s="697" t="n">
        <v>1</v>
      </c>
      <c r="H640" s="697" t="n">
        <v>5</v>
      </c>
      <c r="I640" s="697" t="n">
        <v>250</v>
      </c>
      <c r="J640" s="585" t="n">
        <v>18</v>
      </c>
      <c r="K640" s="585" t="n">
        <v>0</v>
      </c>
      <c r="L640" s="585">
        <f>IF(B640="TXO",I640-SUM(J640:K640),IF(B640="FITX",IF(D640="新倉",-SUM(J640:K640),IF(E640="賣",(H640-H639)*G640*200-SUM(J640:K640),(H639-H640)*G640*200-SUM(J640:K640))),IF(D640="新倉",-SUM(J640:K640),IF(E640="賣",(H640-H639)*G640*50-SUM(J640:K640),(H639-H640)*G640*50-SUM(J640:K640)))))</f>
        <v/>
      </c>
      <c r="M640" s="699">
        <f>L640</f>
        <v/>
      </c>
      <c r="N640" s="686">
        <f>IF(B640="TXO","",IF(D640="新倉","",IF(E640="賣",(H640-H639)*G640,(H639-H640)*G640)))</f>
        <v/>
      </c>
      <c r="O640" s="226">
        <f>ABS(I640)</f>
        <v/>
      </c>
      <c r="P640" s="667" t="n"/>
      <c r="Q640" s="312" t="inlineStr">
        <is>
          <t>籌碼雙弱，週結算，空單留倉</t>
        </is>
      </c>
      <c r="R640" s="312" t="n"/>
      <c r="S640" s="739" t="n"/>
      <c r="T640" s="61">
        <f>IF(AND(R640="Yes",S640&lt;&gt;"Yes",L640&gt;0,B640&lt;&gt;"TXO"),L640,"")</f>
        <v/>
      </c>
      <c r="U640" s="61">
        <f>IF(AND(R640="Yes",S640&lt;&gt;"Yes",L640&lt;0,B640&lt;&gt;"TXO"),L640,"")</f>
        <v/>
      </c>
      <c r="V640" s="61">
        <f>IF(AND(R640="",S640&lt;&gt;"Yes",L640&gt;0,B640&lt;&gt;"TXO"),L640,"")</f>
        <v/>
      </c>
      <c r="W640" s="61">
        <f>IF(AND(R640="",S640&lt;&gt;"Yes",L640&lt;0,B640&lt;&gt;"TXO"),L640,"")</f>
        <v/>
      </c>
      <c r="X640" s="226">
        <f>IF(AND(R640="Yes",S640="Yes",L640&gt;0,B640&lt;&gt;"TXO"),L640,"")</f>
        <v/>
      </c>
      <c r="Y640" s="226">
        <f>IF(AND(R640="Yes",S640="Yes",L640&lt;0,B640&lt;&gt;"TXO"),L640,"")</f>
        <v/>
      </c>
      <c r="Z640" s="226">
        <f>IF(AND(R640="",S640="Yes",L640&gt;0,B640&lt;&gt;"TXO"),L640,"")</f>
        <v/>
      </c>
      <c r="AA640" s="226">
        <f>IF(AND(R640="",S640="Yes",L640&lt;0,B640&lt;&gt;"TXO"),L640,"")</f>
        <v/>
      </c>
    </row>
    <row r="641" hidden="1" outlineLevel="2" ht="17.25" customHeight="1" thickBot="1">
      <c r="A641" s="696" t="n">
        <v>43355</v>
      </c>
      <c r="B641" s="234" t="inlineStr">
        <is>
          <t>FIMTX</t>
        </is>
      </c>
      <c r="C641" s="229" t="inlineStr">
        <is>
          <t>小指09</t>
        </is>
      </c>
      <c r="D641" s="229" t="inlineStr">
        <is>
          <t>新倉</t>
        </is>
      </c>
      <c r="E641" s="257" t="inlineStr">
        <is>
          <t>賣</t>
        </is>
      </c>
      <c r="F641" s="229" t="inlineStr">
        <is>
          <t>-</t>
        </is>
      </c>
      <c r="G641" s="697" t="n">
        <v>1</v>
      </c>
      <c r="H641" s="697" t="n">
        <v>10739</v>
      </c>
      <c r="I641" s="697" t="n">
        <v>0</v>
      </c>
      <c r="J641" s="585" t="n">
        <v>23</v>
      </c>
      <c r="K641" s="585" t="n">
        <v>11</v>
      </c>
      <c r="L641" s="585">
        <f>IF(B641="TXO",I641-SUM(J641:K641),IF(B641="FITX",IF(D641="新倉",-SUM(J641:K641),IF(E641="賣",(H641-H640)*G641*200-SUM(J641:K641),(H640-H641)*G641*200-SUM(J641:K641))),IF(D641="新倉",-SUM(J641:K641),IF(E641="賣",(H641-H640)*G641*50-SUM(J641:K641),(H640-H641)*G641*50-SUM(J641:K641)))))</f>
        <v/>
      </c>
      <c r="M641" s="699">
        <f>L641</f>
        <v/>
      </c>
      <c r="N641" s="686">
        <f>IF(B641="TXO","",IF(D641="新倉","",IF(E641="賣",(H641-H640)*G641,(H640-H641)*G641)))</f>
        <v/>
      </c>
      <c r="O641" s="226">
        <f>ABS(I641)</f>
        <v/>
      </c>
      <c r="P641" s="667" t="n"/>
      <c r="Q641" s="312" t="inlineStr">
        <is>
          <t>籌碼雙弱，空單不停損</t>
        </is>
      </c>
      <c r="R641" s="312" t="n"/>
      <c r="S641" s="739" t="n"/>
      <c r="T641" s="61">
        <f>IF(AND(R641="Yes",S641&lt;&gt;"Yes",L641&gt;0,B641&lt;&gt;"TXO"),L641,"")</f>
        <v/>
      </c>
      <c r="U641" s="61">
        <f>IF(AND(R641="Yes",S641&lt;&gt;"Yes",L641&lt;0,B641&lt;&gt;"TXO"),L641,"")</f>
        <v/>
      </c>
      <c r="V641" s="61">
        <f>IF(AND(R641="",S641&lt;&gt;"Yes",L641&gt;0,B641&lt;&gt;"TXO"),L641,"")</f>
        <v/>
      </c>
      <c r="W641" s="61">
        <f>IF(AND(R641="",S641&lt;&gt;"Yes",L641&lt;0,B641&lt;&gt;"TXO"),L641,"")</f>
        <v/>
      </c>
      <c r="X641" s="226">
        <f>IF(AND(R641="Yes",S641="Yes",L641&gt;0,B641&lt;&gt;"TXO"),L641,"")</f>
        <v/>
      </c>
      <c r="Y641" s="226">
        <f>IF(AND(R641="Yes",S641="Yes",L641&lt;0,B641&lt;&gt;"TXO"),L641,"")</f>
        <v/>
      </c>
      <c r="Z641" s="226">
        <f>IF(AND(R641="",S641="Yes",L641&gt;0,B641&lt;&gt;"TXO"),L641,"")</f>
        <v/>
      </c>
      <c r="AA641" s="226">
        <f>IF(AND(R641="",S641="Yes",L641&lt;0,B641&lt;&gt;"TXO"),L641,"")</f>
        <v/>
      </c>
    </row>
    <row r="642" hidden="1" outlineLevel="2" ht="17.25" customHeight="1" thickBot="1">
      <c r="A642" s="696" t="n">
        <v>43355</v>
      </c>
      <c r="B642" s="234" t="inlineStr">
        <is>
          <t>FIMTX</t>
        </is>
      </c>
      <c r="C642" s="229" t="inlineStr">
        <is>
          <t>小指09</t>
        </is>
      </c>
      <c r="D642" s="229" t="inlineStr">
        <is>
          <t>平倉</t>
        </is>
      </c>
      <c r="E642" s="257" t="inlineStr">
        <is>
          <t>買</t>
        </is>
      </c>
      <c r="F642" s="229" t="inlineStr">
        <is>
          <t>-</t>
        </is>
      </c>
      <c r="G642" s="697" t="n">
        <v>1</v>
      </c>
      <c r="H642" s="697" t="n">
        <v>10724</v>
      </c>
      <c r="I642" s="697" t="n">
        <v>0</v>
      </c>
      <c r="J642" s="585" t="n">
        <v>23</v>
      </c>
      <c r="K642" s="585" t="n">
        <v>11</v>
      </c>
      <c r="L642" s="585">
        <f>IF(B642="TXO",I642-SUM(J642:K642),IF(B642="FITX",IF(D642="新倉",-SUM(J642:K642),IF(E642="賣",(H642-H641)*G642*200-SUM(J642:K642),(H641-H642)*G642*200-SUM(J642:K642))),IF(D642="新倉",-SUM(J642:K642),IF(E642="賣",(H642-H641)*G642*50-SUM(J642:K642),(H641-H642)*G642*50-SUM(J642:K642)))))</f>
        <v/>
      </c>
      <c r="M642" s="699">
        <f>L642</f>
        <v/>
      </c>
      <c r="N642" s="686">
        <f>IF(B642="TXO","",IF(D642="新倉","",IF(E642="賣",(H642-H641)*G642,(H641-H642)*G642)))</f>
        <v/>
      </c>
      <c r="O642" s="226">
        <f>ABS(I642)</f>
        <v/>
      </c>
      <c r="P642" s="667" t="n"/>
      <c r="Q642" s="312" t="inlineStr">
        <is>
          <t>設觸價單，睡覺去</t>
        </is>
      </c>
      <c r="R642" s="312" t="n"/>
      <c r="S642" s="739" t="n"/>
      <c r="T642" s="61">
        <f>IF(AND(R642="Yes",S642&lt;&gt;"Yes",L642&gt;0,B642&lt;&gt;"TXO"),L642,"")</f>
        <v/>
      </c>
      <c r="U642" s="61">
        <f>IF(AND(R642="Yes",S642&lt;&gt;"Yes",L642&lt;0,B642&lt;&gt;"TXO"),L642,"")</f>
        <v/>
      </c>
      <c r="V642" s="61">
        <f>IF(AND(R642="",S642&lt;&gt;"Yes",L642&gt;0,B642&lt;&gt;"TXO"),L642,"")</f>
        <v/>
      </c>
      <c r="W642" s="61">
        <f>IF(AND(R642="",S642&lt;&gt;"Yes",L642&lt;0,B642&lt;&gt;"TXO"),L642,"")</f>
        <v/>
      </c>
      <c r="X642" s="226">
        <f>IF(AND(R642="Yes",S642="Yes",L642&gt;0,B642&lt;&gt;"TXO"),L642,"")</f>
        <v/>
      </c>
      <c r="Y642" s="226">
        <f>IF(AND(R642="Yes",S642="Yes",L642&lt;0,B642&lt;&gt;"TXO"),L642,"")</f>
        <v/>
      </c>
      <c r="Z642" s="226">
        <f>IF(AND(R642="",S642="Yes",L642&gt;0,B642&lt;&gt;"TXO"),L642,"")</f>
        <v/>
      </c>
      <c r="AA642" s="226">
        <f>IF(AND(R642="",S642="Yes",L642&lt;0,B642&lt;&gt;"TXO"),L642,"")</f>
        <v/>
      </c>
    </row>
    <row r="643" hidden="1" outlineLevel="1" ht="17.25" customHeight="1" thickBot="1">
      <c r="A643" s="740" t="n">
        <v>43356</v>
      </c>
      <c r="B643" s="299" t="inlineStr">
        <is>
          <t>FIMTX</t>
        </is>
      </c>
      <c r="C643" s="300" t="inlineStr">
        <is>
          <t>小指09</t>
        </is>
      </c>
      <c r="D643" s="300" t="inlineStr">
        <is>
          <t>新倉</t>
        </is>
      </c>
      <c r="E643" s="301" t="inlineStr">
        <is>
          <t>賣</t>
        </is>
      </c>
      <c r="F643" s="300" t="inlineStr">
        <is>
          <t>-</t>
        </is>
      </c>
      <c r="G643" s="741" t="n">
        <v>1</v>
      </c>
      <c r="H643" s="741" t="n">
        <v>10742</v>
      </c>
      <c r="I643" s="741" t="n">
        <v>0</v>
      </c>
      <c r="J643" s="742" t="n">
        <v>23</v>
      </c>
      <c r="K643" s="742" t="n">
        <v>11</v>
      </c>
      <c r="L643" s="742">
        <f>IF(B643="TXO",I643-SUM(J643:K643),IF(B643="FITX",IF(D643="新倉",-SUM(J643:K643),IF(E643="賣",(H643-H642)*G643*200-SUM(J643:K643),(H642-H643)*G643*200-SUM(J643:K643))),IF(D643="新倉",-SUM(J643:K643),IF(E643="賣",(H643-H642)*G643*50-SUM(J643:K643),(H642-H643)*G643*50-SUM(J643:K643)))))</f>
        <v/>
      </c>
      <c r="M643" s="743">
        <f>L643</f>
        <v/>
      </c>
      <c r="N643" s="686">
        <f>IF(B643="TXO","",IF(D643="新倉","",IF(E643="賣",(H643-H642)*G643,(H642-H643)*G643)))</f>
        <v/>
      </c>
      <c r="O643" s="226">
        <f>ABS(I643)</f>
        <v/>
      </c>
      <c r="P643" s="667">
        <f>SUM(L643:L650)</f>
        <v/>
      </c>
      <c r="Q643" s="310" t="inlineStr">
        <is>
          <t>技法: 籌碼雙弱，跌破開盤試空單</t>
        </is>
      </c>
      <c r="R643" s="310" t="n"/>
      <c r="S643" s="739" t="n"/>
      <c r="T643" s="61">
        <f>IF(AND(R643="Yes",S643&lt;&gt;"Yes",L643&gt;0,B643&lt;&gt;"TXO"),L643,"")</f>
        <v/>
      </c>
      <c r="U643" s="61">
        <f>IF(AND(R643="Yes",S643&lt;&gt;"Yes",L643&lt;0,B643&lt;&gt;"TXO"),L643,"")</f>
        <v/>
      </c>
      <c r="V643" s="61">
        <f>IF(AND(R643="",S643&lt;&gt;"Yes",L643&gt;0,B643&lt;&gt;"TXO"),L643,"")</f>
        <v/>
      </c>
      <c r="W643" s="61">
        <f>IF(AND(R643="",S643&lt;&gt;"Yes",L643&lt;0,B643&lt;&gt;"TXO"),L643,"")</f>
        <v/>
      </c>
      <c r="X643" s="226">
        <f>IF(AND(R643="Yes",S643="Yes",L643&gt;0,B643&lt;&gt;"TXO"),L643,"")</f>
        <v/>
      </c>
      <c r="Y643" s="226">
        <f>IF(AND(R643="Yes",S643="Yes",L643&lt;0,B643&lt;&gt;"TXO"),L643,"")</f>
        <v/>
      </c>
      <c r="Z643" s="226">
        <f>IF(AND(R643="",S643="Yes",L643&gt;0,B643&lt;&gt;"TXO"),L643,"")</f>
        <v/>
      </c>
      <c r="AA643" s="226">
        <f>IF(AND(R643="",S643="Yes",L643&lt;0,B643&lt;&gt;"TXO"),L643,"")</f>
        <v/>
      </c>
    </row>
    <row r="644" hidden="1" outlineLevel="2" collapsed="1" ht="17.25" customHeight="1" thickBot="1">
      <c r="A644" s="740" t="n">
        <v>43356</v>
      </c>
      <c r="B644" s="299" t="inlineStr">
        <is>
          <t>FIMTX</t>
        </is>
      </c>
      <c r="C644" s="300" t="inlineStr">
        <is>
          <t>小指09</t>
        </is>
      </c>
      <c r="D644" s="300" t="inlineStr">
        <is>
          <t>平倉</t>
        </is>
      </c>
      <c r="E644" s="301" t="inlineStr">
        <is>
          <t>買</t>
        </is>
      </c>
      <c r="F644" s="300" t="inlineStr">
        <is>
          <t>-</t>
        </is>
      </c>
      <c r="G644" s="741" t="n">
        <v>1</v>
      </c>
      <c r="H644" s="741" t="n">
        <v>10737</v>
      </c>
      <c r="I644" s="741" t="n">
        <v>0</v>
      </c>
      <c r="J644" s="742" t="n">
        <v>23</v>
      </c>
      <c r="K644" s="742" t="n">
        <v>11</v>
      </c>
      <c r="L644" s="742">
        <f>IF(B644="TXO",I644-SUM(J644:K644),IF(B644="FITX",IF(D644="新倉",-SUM(J644:K644),IF(E644="賣",(H644-H643)*G644*200-SUM(J644:K644),(H643-H644)*G644*200-SUM(J644:K644))),IF(D644="新倉",-SUM(J644:K644),IF(E644="賣",(H644-H643)*G644*50-SUM(J644:K644),(H643-H644)*G644*50-SUM(J644:K644)))))</f>
        <v/>
      </c>
      <c r="M644" s="743">
        <f>L644</f>
        <v/>
      </c>
      <c r="N644" s="686">
        <f>IF(B644="TXO","",IF(D644="新倉","",IF(E644="賣",(H644-H643)*G644,(H643-H644)*G644)))</f>
        <v/>
      </c>
      <c r="O644" s="226">
        <f>ABS(I644)</f>
        <v/>
      </c>
      <c r="P644" s="667" t="n"/>
      <c r="Q644" s="249" t="inlineStr">
        <is>
          <t>元大移動式停利出場</t>
        </is>
      </c>
      <c r="S644" s="739" t="n"/>
      <c r="T644" s="61">
        <f>IF(AND(R644="Yes",S644&lt;&gt;"Yes",L644&gt;0,B644&lt;&gt;"TXO"),L644,"")</f>
        <v/>
      </c>
      <c r="U644" s="61">
        <f>IF(AND(R644="Yes",S644&lt;&gt;"Yes",L644&lt;0,B644&lt;&gt;"TXO"),L644,"")</f>
        <v/>
      </c>
      <c r="V644" s="61">
        <f>IF(AND(R644="",S644&lt;&gt;"Yes",L644&gt;0,B644&lt;&gt;"TXO"),L644,"")</f>
        <v/>
      </c>
      <c r="W644" s="61">
        <f>IF(AND(R644="",S644&lt;&gt;"Yes",L644&lt;0,B644&lt;&gt;"TXO"),L644,"")</f>
        <v/>
      </c>
      <c r="X644" s="226">
        <f>IF(AND(R644="Yes",S644="Yes",L644&gt;0,B644&lt;&gt;"TXO"),L644,"")</f>
        <v/>
      </c>
      <c r="Y644" s="226">
        <f>IF(AND(R644="Yes",S644="Yes",L644&lt;0,B644&lt;&gt;"TXO"),L644,"")</f>
        <v/>
      </c>
      <c r="Z644" s="226">
        <f>IF(AND(R644="",S644="Yes",L644&gt;0,B644&lt;&gt;"TXO"),L644,"")</f>
        <v/>
      </c>
      <c r="AA644" s="226">
        <f>IF(AND(R644="",S644="Yes",L644&lt;0,B644&lt;&gt;"TXO"),L644,"")</f>
        <v/>
      </c>
    </row>
    <row r="645" hidden="1" outlineLevel="2" ht="17.25" customHeight="1" thickBot="1">
      <c r="A645" s="740" t="n">
        <v>43356</v>
      </c>
      <c r="B645" s="299" t="inlineStr">
        <is>
          <t>FIMTX</t>
        </is>
      </c>
      <c r="C645" s="300" t="inlineStr">
        <is>
          <t>小指09</t>
        </is>
      </c>
      <c r="D645" s="300" t="inlineStr">
        <is>
          <t>新倉</t>
        </is>
      </c>
      <c r="E645" s="301" t="inlineStr">
        <is>
          <t>賣</t>
        </is>
      </c>
      <c r="F645" s="300" t="inlineStr">
        <is>
          <t>-</t>
        </is>
      </c>
      <c r="G645" s="741" t="n">
        <v>1</v>
      </c>
      <c r="H645" s="741" t="n">
        <v>10740</v>
      </c>
      <c r="I645" s="741" t="n">
        <v>0</v>
      </c>
      <c r="J645" s="742" t="n">
        <v>23</v>
      </c>
      <c r="K645" s="742" t="n">
        <v>11</v>
      </c>
      <c r="L645" s="742">
        <f>IF(B645="TXO",I645-SUM(J645:K645),IF(B645="FITX",IF(D645="新倉",-SUM(J645:K645),IF(E645="賣",(H645-H644)*G645*200-SUM(J645:K645),(H644-H645)*G645*200-SUM(J645:K645))),IF(D645="新倉",-SUM(J645:K645),IF(E645="賣",(H645-H644)*G645*50-SUM(J645:K645),(H644-H645)*G645*50-SUM(J645:K645)))))</f>
        <v/>
      </c>
      <c r="M645" s="743">
        <f>L645</f>
        <v/>
      </c>
      <c r="N645" s="686">
        <f>IF(B645="TXO","",IF(D645="新倉","",IF(E645="賣",(H645-H644)*G645,(H644-H645)*G645)))</f>
        <v/>
      </c>
      <c r="O645" s="226">
        <f>ABS(I645)</f>
        <v/>
      </c>
      <c r="P645" s="667" t="n"/>
      <c r="Q645" s="312" t="inlineStr">
        <is>
          <t>再次試單</t>
        </is>
      </c>
      <c r="R645" s="312" t="n"/>
      <c r="S645" s="739" t="n"/>
      <c r="T645" s="61">
        <f>IF(AND(R645="Yes",S645&lt;&gt;"Yes",L645&gt;0,B645&lt;&gt;"TXO"),L645,"")</f>
        <v/>
      </c>
      <c r="U645" s="61">
        <f>IF(AND(R645="Yes",S645&lt;&gt;"Yes",L645&lt;0,B645&lt;&gt;"TXO"),L645,"")</f>
        <v/>
      </c>
      <c r="V645" s="61">
        <f>IF(AND(R645="",S645&lt;&gt;"Yes",L645&gt;0,B645&lt;&gt;"TXO"),L645,"")</f>
        <v/>
      </c>
      <c r="W645" s="61">
        <f>IF(AND(R645="",S645&lt;&gt;"Yes",L645&lt;0,B645&lt;&gt;"TXO"),L645,"")</f>
        <v/>
      </c>
      <c r="X645" s="226">
        <f>IF(AND(R645="Yes",S645="Yes",L645&gt;0,B645&lt;&gt;"TXO"),L645,"")</f>
        <v/>
      </c>
      <c r="Y645" s="226">
        <f>IF(AND(R645="Yes",S645="Yes",L645&lt;0,B645&lt;&gt;"TXO"),L645,"")</f>
        <v/>
      </c>
      <c r="Z645" s="226">
        <f>IF(AND(R645="",S645="Yes",L645&gt;0,B645&lt;&gt;"TXO"),L645,"")</f>
        <v/>
      </c>
      <c r="AA645" s="226">
        <f>IF(AND(R645="",S645="Yes",L645&lt;0,B645&lt;&gt;"TXO"),L645,"")</f>
        <v/>
      </c>
    </row>
    <row r="646" hidden="1" outlineLevel="2" collapsed="1" ht="17.25" customHeight="1" thickBot="1">
      <c r="A646" s="740" t="n">
        <v>43356</v>
      </c>
      <c r="B646" s="299" t="inlineStr">
        <is>
          <t>FIMTX</t>
        </is>
      </c>
      <c r="C646" s="300" t="inlineStr">
        <is>
          <t>小指09</t>
        </is>
      </c>
      <c r="D646" s="300" t="inlineStr">
        <is>
          <t>平倉</t>
        </is>
      </c>
      <c r="E646" s="301" t="inlineStr">
        <is>
          <t>買</t>
        </is>
      </c>
      <c r="F646" s="300" t="inlineStr">
        <is>
          <t>-</t>
        </is>
      </c>
      <c r="G646" s="741" t="n">
        <v>1</v>
      </c>
      <c r="H646" s="741" t="n">
        <v>10755</v>
      </c>
      <c r="I646" s="741" t="n">
        <v>0</v>
      </c>
      <c r="J646" s="742" t="n">
        <v>23</v>
      </c>
      <c r="K646" s="742" t="n">
        <v>11</v>
      </c>
      <c r="L646" s="742">
        <f>IF(B646="TXO",I646-SUM(J646:K646),IF(B646="FITX",IF(D646="新倉",-SUM(J646:K646),IF(E646="賣",(H646-H645)*G646*200-SUM(J646:K646),(H645-H646)*G646*200-SUM(J646:K646))),IF(D646="新倉",-SUM(J646:K646),IF(E646="賣",(H646-H645)*G646*50-SUM(J646:K646),(H645-H646)*G646*50-SUM(J646:K646)))))</f>
        <v/>
      </c>
      <c r="M646" s="743">
        <f>L646</f>
        <v/>
      </c>
      <c r="N646" s="686">
        <f>IF(B646="TXO","",IF(D646="新倉","",IF(E646="賣",(H646-H645)*G646,(H645-H646)*G646)))</f>
        <v/>
      </c>
      <c r="O646" s="226">
        <f>ABS(I646)</f>
        <v/>
      </c>
      <c r="P646" s="667" t="n"/>
      <c r="Q646" s="249" t="inlineStr">
        <is>
          <t>拉回15點停損</t>
        </is>
      </c>
      <c r="S646" s="739" t="n"/>
      <c r="T646" s="61">
        <f>IF(AND(R646="Yes",S646&lt;&gt;"Yes",L646&gt;0,B646&lt;&gt;"TXO"),L646,"")</f>
        <v/>
      </c>
      <c r="U646" s="61">
        <f>IF(AND(R646="Yes",S646&lt;&gt;"Yes",L646&lt;0,B646&lt;&gt;"TXO"),L646,"")</f>
        <v/>
      </c>
      <c r="V646" s="61">
        <f>IF(AND(R646="",S646&lt;&gt;"Yes",L646&gt;0,B646&lt;&gt;"TXO"),L646,"")</f>
        <v/>
      </c>
      <c r="W646" s="61">
        <f>IF(AND(R646="",S646&lt;&gt;"Yes",L646&lt;0,B646&lt;&gt;"TXO"),L646,"")</f>
        <v/>
      </c>
      <c r="X646" s="226">
        <f>IF(AND(R646="Yes",S646="Yes",L646&gt;0,B646&lt;&gt;"TXO"),L646,"")</f>
        <v/>
      </c>
      <c r="Y646" s="226">
        <f>IF(AND(R646="Yes",S646="Yes",L646&lt;0,B646&lt;&gt;"TXO"),L646,"")</f>
        <v/>
      </c>
      <c r="Z646" s="226">
        <f>IF(AND(R646="",S646="Yes",L646&gt;0,B646&lt;&gt;"TXO"),L646,"")</f>
        <v/>
      </c>
      <c r="AA646" s="226">
        <f>IF(AND(R646="",S646="Yes",L646&lt;0,B646&lt;&gt;"TXO"),L646,"")</f>
        <v/>
      </c>
    </row>
    <row r="647" hidden="1" outlineLevel="2" ht="17.25" customHeight="1" thickBot="1">
      <c r="A647" s="740" t="n">
        <v>43356</v>
      </c>
      <c r="B647" s="299" t="inlineStr">
        <is>
          <t>FIMTX</t>
        </is>
      </c>
      <c r="C647" s="300" t="inlineStr">
        <is>
          <t>小指09</t>
        </is>
      </c>
      <c r="D647" s="300" t="inlineStr">
        <is>
          <t>新倉</t>
        </is>
      </c>
      <c r="E647" s="301" t="inlineStr">
        <is>
          <t>賣</t>
        </is>
      </c>
      <c r="F647" s="300" t="inlineStr">
        <is>
          <t>-</t>
        </is>
      </c>
      <c r="G647" s="741" t="n">
        <v>1</v>
      </c>
      <c r="H647" s="741" t="n">
        <v>10735</v>
      </c>
      <c r="I647" s="741" t="n">
        <v>0</v>
      </c>
      <c r="J647" s="742" t="n">
        <v>23</v>
      </c>
      <c r="K647" s="742" t="n">
        <v>11</v>
      </c>
      <c r="L647" s="742">
        <f>IF(B647="TXO",I647-SUM(J647:K647),IF(B647="FITX",IF(D647="新倉",-SUM(J647:K647),IF(E647="賣",(H647-H646)*G647*200-SUM(J647:K647),(H646-H647)*G647*200-SUM(J647:K647))),IF(D647="新倉",-SUM(J647:K647),IF(E647="賣",(H647-H646)*G647*50-SUM(J647:K647),(H646-H647)*G647*50-SUM(J647:K647)))))</f>
        <v/>
      </c>
      <c r="M647" s="743">
        <f>L647</f>
        <v/>
      </c>
      <c r="N647" s="686">
        <f>IF(B647="TXO","",IF(D647="新倉","",IF(E647="賣",(H647-H646)*G647,(H646-H647)*G647)))</f>
        <v/>
      </c>
      <c r="O647" s="226">
        <f>ABS(I647)</f>
        <v/>
      </c>
      <c r="P647" s="667" t="n"/>
      <c r="Q647" s="312" t="inlineStr">
        <is>
          <t>再次試單</t>
        </is>
      </c>
      <c r="R647" s="312" t="n"/>
      <c r="S647" s="739" t="n"/>
      <c r="T647" s="61">
        <f>IF(AND(R647="Yes",S647&lt;&gt;"Yes",L647&gt;0,B647&lt;&gt;"TXO"),L647,"")</f>
        <v/>
      </c>
      <c r="U647" s="61">
        <f>IF(AND(R647="Yes",S647&lt;&gt;"Yes",L647&lt;0,B647&lt;&gt;"TXO"),L647,"")</f>
        <v/>
      </c>
      <c r="V647" s="61">
        <f>IF(AND(R647="",S647&lt;&gt;"Yes",L647&gt;0,B647&lt;&gt;"TXO"),L647,"")</f>
        <v/>
      </c>
      <c r="W647" s="61">
        <f>IF(AND(R647="",S647&lt;&gt;"Yes",L647&lt;0,B647&lt;&gt;"TXO"),L647,"")</f>
        <v/>
      </c>
      <c r="X647" s="226">
        <f>IF(AND(R647="Yes",S647="Yes",L647&gt;0,B647&lt;&gt;"TXO"),L647,"")</f>
        <v/>
      </c>
      <c r="Y647" s="226">
        <f>IF(AND(R647="Yes",S647="Yes",L647&lt;0,B647&lt;&gt;"TXO"),L647,"")</f>
        <v/>
      </c>
      <c r="Z647" s="226">
        <f>IF(AND(R647="",S647="Yes",L647&gt;0,B647&lt;&gt;"TXO"),L647,"")</f>
        <v/>
      </c>
      <c r="AA647" s="226">
        <f>IF(AND(R647="",S647="Yes",L647&lt;0,B647&lt;&gt;"TXO"),L647,"")</f>
        <v/>
      </c>
    </row>
    <row r="648" hidden="1" outlineLevel="2" collapsed="1" ht="17.25" customHeight="1" thickBot="1">
      <c r="A648" s="740" t="n">
        <v>43356</v>
      </c>
      <c r="B648" s="299" t="inlineStr">
        <is>
          <t>FIMTX</t>
        </is>
      </c>
      <c r="C648" s="300" t="inlineStr">
        <is>
          <t>小指09</t>
        </is>
      </c>
      <c r="D648" s="300" t="inlineStr">
        <is>
          <t>平倉</t>
        </is>
      </c>
      <c r="E648" s="301" t="inlineStr">
        <is>
          <t>買</t>
        </is>
      </c>
      <c r="F648" s="300" t="inlineStr">
        <is>
          <t>-</t>
        </is>
      </c>
      <c r="G648" s="741" t="n">
        <v>1</v>
      </c>
      <c r="H648" s="741" t="n">
        <v>10730</v>
      </c>
      <c r="I648" s="741" t="n">
        <v>0</v>
      </c>
      <c r="J648" s="742" t="n">
        <v>23</v>
      </c>
      <c r="K648" s="742" t="n">
        <v>11</v>
      </c>
      <c r="L648" s="742">
        <f>IF(B648="TXO",I648-SUM(J648:K648),IF(B648="FITX",IF(D648="新倉",-SUM(J648:K648),IF(E648="賣",(H648-H647)*G648*200-SUM(J648:K648),(H647-H648)*G648*200-SUM(J648:K648))),IF(D648="新倉",-SUM(J648:K648),IF(E648="賣",(H648-H647)*G648*50-SUM(J648:K648),(H647-H648)*G648*50-SUM(J648:K648)))))</f>
        <v/>
      </c>
      <c r="M648" s="743">
        <f>L648</f>
        <v/>
      </c>
      <c r="N648" s="686">
        <f>IF(B648="TXO","",IF(D648="新倉","",IF(E648="賣",(H648-H647)*G648,(H647-H648)*G648)))</f>
        <v/>
      </c>
      <c r="O648" s="226">
        <f>ABS(I648)</f>
        <v/>
      </c>
      <c r="P648" s="667" t="n"/>
      <c r="Q648" s="249" t="inlineStr">
        <is>
          <t>元大移動式停利出場</t>
        </is>
      </c>
      <c r="S648" s="739" t="n"/>
      <c r="T648" s="61">
        <f>IF(AND(R648="Yes",S648&lt;&gt;"Yes",L648&gt;0,B648&lt;&gt;"TXO"),L648,"")</f>
        <v/>
      </c>
      <c r="U648" s="61">
        <f>IF(AND(R648="Yes",S648&lt;&gt;"Yes",L648&lt;0,B648&lt;&gt;"TXO"),L648,"")</f>
        <v/>
      </c>
      <c r="V648" s="61">
        <f>IF(AND(R648="",S648&lt;&gt;"Yes",L648&gt;0,B648&lt;&gt;"TXO"),L648,"")</f>
        <v/>
      </c>
      <c r="W648" s="61">
        <f>IF(AND(R648="",S648&lt;&gt;"Yes",L648&lt;0,B648&lt;&gt;"TXO"),L648,"")</f>
        <v/>
      </c>
      <c r="X648" s="226">
        <f>IF(AND(R648="Yes",S648="Yes",L648&gt;0,B648&lt;&gt;"TXO"),L648,"")</f>
        <v/>
      </c>
      <c r="Y648" s="226">
        <f>IF(AND(R648="Yes",S648="Yes",L648&lt;0,B648&lt;&gt;"TXO"),L648,"")</f>
        <v/>
      </c>
      <c r="Z648" s="226">
        <f>IF(AND(R648="",S648="Yes",L648&gt;0,B648&lt;&gt;"TXO"),L648,"")</f>
        <v/>
      </c>
      <c r="AA648" s="226">
        <f>IF(AND(R648="",S648="Yes",L648&lt;0,B648&lt;&gt;"TXO"),L648,"")</f>
        <v/>
      </c>
    </row>
    <row r="649" hidden="1" outlineLevel="2" ht="17.25" customHeight="1" thickBot="1">
      <c r="A649" s="740" t="n">
        <v>43356</v>
      </c>
      <c r="B649" s="299" t="inlineStr">
        <is>
          <t>FIMTX</t>
        </is>
      </c>
      <c r="C649" s="300" t="inlineStr">
        <is>
          <t>小指09</t>
        </is>
      </c>
      <c r="D649" s="300" t="inlineStr">
        <is>
          <t>新倉</t>
        </is>
      </c>
      <c r="E649" s="301" t="inlineStr">
        <is>
          <t>賣</t>
        </is>
      </c>
      <c r="F649" s="300" t="inlineStr">
        <is>
          <t>-</t>
        </is>
      </c>
      <c r="G649" s="741" t="n">
        <v>1</v>
      </c>
      <c r="H649" s="741" t="n">
        <v>10731</v>
      </c>
      <c r="I649" s="741" t="n">
        <v>0</v>
      </c>
      <c r="J649" s="742" t="n">
        <v>23</v>
      </c>
      <c r="K649" s="742" t="n">
        <v>11</v>
      </c>
      <c r="L649" s="742">
        <f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/>
      </c>
      <c r="M649" s="743">
        <f>L649</f>
        <v/>
      </c>
      <c r="N649" s="686">
        <f>IF(B649="TXO","",IF(D649="新倉","",IF(E649="賣",(H649-H648)*G649,(H648-H649)*G649)))</f>
        <v/>
      </c>
      <c r="O649" s="226">
        <f>ABS(I649)</f>
        <v/>
      </c>
      <c r="P649" s="667" t="n"/>
      <c r="Q649" s="249" t="inlineStr">
        <is>
          <t>技法: 3/3 買進一口</t>
        </is>
      </c>
      <c r="R649" s="249" t="inlineStr">
        <is>
          <t>Yes</t>
        </is>
      </c>
      <c r="S649" s="739" t="n"/>
      <c r="T649" s="61">
        <f>IF(AND(R649="Yes",S649&lt;&gt;"Yes",L649&gt;0,B649&lt;&gt;"TXO"),L649,"")</f>
        <v/>
      </c>
      <c r="U649" s="61">
        <f>IF(AND(R649="Yes",S649&lt;&gt;"Yes",L649&lt;0,B649&lt;&gt;"TXO"),L649,"")</f>
        <v/>
      </c>
      <c r="V649" s="61">
        <f>IF(AND(R649="",S649&lt;&gt;"Yes",L649&gt;0,B649&lt;&gt;"TXO"),L649,"")</f>
        <v/>
      </c>
      <c r="W649" s="61">
        <f>IF(AND(R649="",S649&lt;&gt;"Yes",L649&lt;0,B649&lt;&gt;"TXO"),L649,"")</f>
        <v/>
      </c>
      <c r="X649" s="226">
        <f>IF(AND(R649="Yes",S649="Yes",L649&gt;0,B649&lt;&gt;"TXO"),L649,"")</f>
        <v/>
      </c>
      <c r="Y649" s="226">
        <f>IF(AND(R649="Yes",S649="Yes",L649&lt;0,B649&lt;&gt;"TXO"),L649,"")</f>
        <v/>
      </c>
      <c r="Z649" s="226">
        <f>IF(AND(R649="",S649="Yes",L649&gt;0,B649&lt;&gt;"TXO"),L649,"")</f>
        <v/>
      </c>
      <c r="AA649" s="226">
        <f>IF(AND(R649="",S649="Yes",L649&lt;0,B649&lt;&gt;"TXO"),L649,"")</f>
        <v/>
      </c>
    </row>
    <row r="650" hidden="1" outlineLevel="2" ht="17.25" customHeight="1" thickBot="1">
      <c r="A650" s="740" t="n">
        <v>43356</v>
      </c>
      <c r="B650" s="299" t="inlineStr">
        <is>
          <t>FIMTX</t>
        </is>
      </c>
      <c r="C650" s="300" t="inlineStr">
        <is>
          <t>小指09</t>
        </is>
      </c>
      <c r="D650" s="300" t="inlineStr">
        <is>
          <t>平倉</t>
        </is>
      </c>
      <c r="E650" s="301" t="inlineStr">
        <is>
          <t>買</t>
        </is>
      </c>
      <c r="F650" s="300" t="inlineStr">
        <is>
          <t>-</t>
        </is>
      </c>
      <c r="G650" s="741" t="n">
        <v>1</v>
      </c>
      <c r="H650" s="741" t="n">
        <v>10717</v>
      </c>
      <c r="I650" s="741" t="n">
        <v>0</v>
      </c>
      <c r="J650" s="742" t="n">
        <v>23</v>
      </c>
      <c r="K650" s="742" t="n">
        <v>11</v>
      </c>
      <c r="L650" s="742">
        <f>IF(B650="TXO",I650-SUM(J650:K650),IF(B650="FITX",IF(D650="新倉",-SUM(J650:K650),IF(E650="賣",(H650-H649)*G650*200-SUM(J650:K650),(H649-H650)*G650*200-SUM(J650:K650))),IF(D650="新倉",-SUM(J650:K650),IF(E650="賣",(H650-H649)*G650*50-SUM(J650:K650),(H649-H650)*G650*50-SUM(J650:K650)))))</f>
        <v/>
      </c>
      <c r="M650" s="743">
        <f>L650</f>
        <v/>
      </c>
      <c r="N650" s="686">
        <f>IF(B650="TXO","",IF(D650="新倉","",IF(E650="賣",(H650-H649)*G650,(H649-H650)*G650)))</f>
        <v/>
      </c>
      <c r="O650" s="226">
        <f>ABS(I650)</f>
        <v/>
      </c>
      <c r="P650" s="667" t="n"/>
      <c r="Q650" s="249" t="inlineStr">
        <is>
          <t>元大移動式停利出場</t>
        </is>
      </c>
      <c r="R650" s="249" t="inlineStr">
        <is>
          <t>Yes</t>
        </is>
      </c>
      <c r="S650" s="739" t="n"/>
      <c r="T650" s="61">
        <f>IF(AND(R650="Yes",S650&lt;&gt;"Yes",L650&gt;0,B650&lt;&gt;"TXO"),L650,"")</f>
        <v/>
      </c>
      <c r="U650" s="61">
        <f>IF(AND(R650="Yes",S650&lt;&gt;"Yes",L650&lt;0,B650&lt;&gt;"TXO"),L650,"")</f>
        <v/>
      </c>
      <c r="V650" s="61">
        <f>IF(AND(R650="",S650&lt;&gt;"Yes",L650&gt;0,B650&lt;&gt;"TXO"),L650,"")</f>
        <v/>
      </c>
      <c r="W650" s="61">
        <f>IF(AND(R650="",S650&lt;&gt;"Yes",L650&lt;0,B650&lt;&gt;"TXO"),L650,"")</f>
        <v/>
      </c>
      <c r="X650" s="226">
        <f>IF(AND(R650="Yes",S650="Yes",L650&gt;0,B650&lt;&gt;"TXO"),L650,"")</f>
        <v/>
      </c>
      <c r="Y650" s="226">
        <f>IF(AND(R650="Yes",S650="Yes",L650&lt;0,B650&lt;&gt;"TXO"),L650,"")</f>
        <v/>
      </c>
      <c r="Z650" s="226">
        <f>IF(AND(R650="",S650="Yes",L650&gt;0,B650&lt;&gt;"TXO"),L650,"")</f>
        <v/>
      </c>
      <c r="AA650" s="226">
        <f>IF(AND(R650="",S650="Yes",L650&lt;0,B650&lt;&gt;"TXO"),L650,"")</f>
        <v/>
      </c>
    </row>
    <row r="651" hidden="1" outlineLevel="1" ht="17.25" customHeight="1" thickBot="1">
      <c r="A651" s="696" t="n">
        <v>43356</v>
      </c>
      <c r="B651" s="234" t="inlineStr">
        <is>
          <t>FIMTX</t>
        </is>
      </c>
      <c r="C651" s="229" t="inlineStr">
        <is>
          <t>小指09</t>
        </is>
      </c>
      <c r="D651" s="229" t="inlineStr">
        <is>
          <t>新倉</t>
        </is>
      </c>
      <c r="E651" s="257" t="inlineStr">
        <is>
          <t>賣</t>
        </is>
      </c>
      <c r="F651" s="229" t="inlineStr">
        <is>
          <t>-</t>
        </is>
      </c>
      <c r="G651" s="697" t="n">
        <v>1</v>
      </c>
      <c r="H651" s="697" t="n">
        <v>10731</v>
      </c>
      <c r="I651" s="697" t="n">
        <v>0</v>
      </c>
      <c r="J651" s="585" t="n">
        <v>23</v>
      </c>
      <c r="K651" s="585" t="n">
        <v>11</v>
      </c>
      <c r="L651" s="585">
        <f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/>
      </c>
      <c r="M651" s="699">
        <f>L651</f>
        <v/>
      </c>
      <c r="N651" s="686">
        <f>IF(B651="TXO","",IF(D651="新倉","",IF(E651="賣",(H651-H650)*G651,(H650-H651)*G651)))</f>
        <v/>
      </c>
      <c r="O651" s="226">
        <f>ABS(I651)</f>
        <v/>
      </c>
      <c r="P651" s="667">
        <f>SUM(L651:L677)</f>
        <v/>
      </c>
      <c r="Q651" s="312" t="inlineStr">
        <is>
          <t>籌碼三弱，空單不停損</t>
        </is>
      </c>
      <c r="R651" s="312" t="n"/>
      <c r="S651" s="739" t="n"/>
      <c r="T651" s="61">
        <f>IF(AND(R651="Yes",S651&lt;&gt;"Yes",L651&gt;0,B651&lt;&gt;"TXO"),L651,"")</f>
        <v/>
      </c>
      <c r="U651" s="61">
        <f>IF(AND(R651="Yes",S651&lt;&gt;"Yes",L651&lt;0,B651&lt;&gt;"TXO"),L651,"")</f>
        <v/>
      </c>
      <c r="V651" s="61">
        <f>IF(AND(R651="",S651&lt;&gt;"Yes",L651&gt;0,B651&lt;&gt;"TXO"),L651,"")</f>
        <v/>
      </c>
      <c r="W651" s="61">
        <f>IF(AND(R651="",S651&lt;&gt;"Yes",L651&lt;0,B651&lt;&gt;"TXO"),L651,"")</f>
        <v/>
      </c>
      <c r="X651" s="226">
        <f>IF(AND(R651="Yes",S651="Yes",L651&gt;0,B651&lt;&gt;"TXO"),L651,"")</f>
        <v/>
      </c>
      <c r="Y651" s="226">
        <f>IF(AND(R651="Yes",S651="Yes",L651&lt;0,B651&lt;&gt;"TXO"),L651,"")</f>
        <v/>
      </c>
      <c r="Z651" s="226">
        <f>IF(AND(R651="",S651="Yes",L651&gt;0,B651&lt;&gt;"TXO"),L651,"")</f>
        <v/>
      </c>
      <c r="AA651" s="226">
        <f>IF(AND(R651="",S651="Yes",L651&lt;0,B651&lt;&gt;"TXO"),L651,"")</f>
        <v/>
      </c>
    </row>
    <row r="652" hidden="1" outlineLevel="2" ht="33.75" customHeight="1" thickBot="1">
      <c r="A652" s="696" t="n">
        <v>43357</v>
      </c>
      <c r="B652" s="234" t="inlineStr">
        <is>
          <t>FIMTX</t>
        </is>
      </c>
      <c r="C652" s="229" t="inlineStr">
        <is>
          <t>小指09</t>
        </is>
      </c>
      <c r="D652" s="229" t="inlineStr">
        <is>
          <t>平倉</t>
        </is>
      </c>
      <c r="E652" s="257" t="inlineStr">
        <is>
          <t>買</t>
        </is>
      </c>
      <c r="F652" s="229" t="inlineStr">
        <is>
          <t>-</t>
        </is>
      </c>
      <c r="G652" s="697" t="n">
        <v>1</v>
      </c>
      <c r="H652" s="752" t="n">
        <v>11005</v>
      </c>
      <c r="I652" s="697" t="n">
        <v>0</v>
      </c>
      <c r="J652" s="585" t="n">
        <v>23</v>
      </c>
      <c r="K652" s="585" t="n">
        <v>11</v>
      </c>
      <c r="L652" s="585">
        <f>IF(B652="TXO",I652-SUM(J652:K652),IF(B652="FITX",IF(D652="新倉",-SUM(J652:K652),IF(E652="賣",(H652-H651)*G652*200-SUM(J652:K652),(H651-H652)*G652*200-SUM(J652:K652))),IF(D652="新倉",-SUM(J652:K652),IF(E652="賣",(H652-H651)*G652*50-SUM(J652:K652),(H651-H652)*G652*50-SUM(J652:K652)))))</f>
        <v/>
      </c>
      <c r="M652" s="699">
        <f>L652</f>
        <v/>
      </c>
      <c r="N652" s="686">
        <f>IF(B652="TXO","",IF(D652="新倉","",IF(E652="賣",(H652-H651)*G652,(H651-H652)*G652)))</f>
        <v/>
      </c>
      <c r="O652" s="226">
        <f>ABS(I652)</f>
        <v/>
      </c>
      <c r="P652" s="667" t="n"/>
      <c r="Q652" s="312" t="inlineStr">
        <is>
          <t>設觸價單，睡覺去，未成交，隔天跳空80點，凹單</t>
        </is>
      </c>
      <c r="R652" s="312" t="n"/>
      <c r="S652" s="249" t="inlineStr">
        <is>
          <t>Yes</t>
        </is>
      </c>
      <c r="T652" s="61">
        <f>IF(AND(R652="Yes",S652&lt;&gt;"Yes",L652&gt;0,B652&lt;&gt;"TXO"),L652,"")</f>
        <v/>
      </c>
      <c r="U652" s="61">
        <f>IF(AND(R652="Yes",S652&lt;&gt;"Yes",L652&lt;0,B652&lt;&gt;"TXO"),L652,"")</f>
        <v/>
      </c>
      <c r="V652" s="61">
        <f>IF(AND(R652="",S652&lt;&gt;"Yes",L652&gt;0,B652&lt;&gt;"TXO"),L652,"")</f>
        <v/>
      </c>
      <c r="W652" s="61">
        <f>IF(AND(R652="",S652&lt;&gt;"Yes",L652&lt;0,B652&lt;&gt;"TXO"),L652,"")</f>
        <v/>
      </c>
      <c r="X652" s="226">
        <f>IF(AND(R652="Yes",S652="Yes",L652&gt;0,B652&lt;&gt;"TXO"),L652,"")</f>
        <v/>
      </c>
      <c r="Y652" s="226">
        <f>IF(AND(R652="Yes",S652="Yes",L652&lt;0,B652&lt;&gt;"TXO"),L652,"")</f>
        <v/>
      </c>
      <c r="Z652" s="226">
        <f>IF(AND(R652="",S652="Yes",L652&gt;0,B652&lt;&gt;"TXO"),L652,"")</f>
        <v/>
      </c>
      <c r="AA652" s="226">
        <f>IF(AND(R652="",S652="Yes",L652&lt;0,B652&lt;&gt;"TXO"),L652,"")</f>
        <v/>
      </c>
    </row>
    <row r="653" hidden="1" outlineLevel="2" ht="17.25" customHeight="1" thickBot="1">
      <c r="A653" s="696" t="n">
        <v>43356</v>
      </c>
      <c r="B653" s="234" t="inlineStr">
        <is>
          <t>FIMTX</t>
        </is>
      </c>
      <c r="C653" s="229" t="inlineStr">
        <is>
          <t>小指09</t>
        </is>
      </c>
      <c r="D653" s="229" t="inlineStr">
        <is>
          <t>新倉</t>
        </is>
      </c>
      <c r="E653" s="257" t="inlineStr">
        <is>
          <t>賣</t>
        </is>
      </c>
      <c r="F653" s="229" t="inlineStr">
        <is>
          <t>-</t>
        </is>
      </c>
      <c r="G653" s="697" t="n">
        <v>1</v>
      </c>
      <c r="H653" s="697" t="n">
        <v>10755</v>
      </c>
      <c r="I653" s="697" t="n">
        <v>0</v>
      </c>
      <c r="J653" s="585" t="n">
        <v>23</v>
      </c>
      <c r="K653" s="585" t="n">
        <v>11</v>
      </c>
      <c r="L653" s="585">
        <f>IF(B653="TXO",I653-SUM(J653:K653),IF(B653="FITX",IF(D653="新倉",-SUM(J653:K653),IF(E653="賣",(H653-H652)*G653*200-SUM(J653:K653),(H652-H653)*G653*200-SUM(J653:K653))),IF(D653="新倉",-SUM(J653:K653),IF(E653="賣",(H653-H652)*G653*50-SUM(J653:K653),(H652-H653)*G653*50-SUM(J653:K653)))))</f>
        <v/>
      </c>
      <c r="M653" s="699">
        <f>L653</f>
        <v/>
      </c>
      <c r="N653" s="686">
        <f>IF(B653="TXO","",IF(D653="新倉","",IF(E653="賣",(H653-H652)*G653,(H652-H653)*G653)))</f>
        <v/>
      </c>
      <c r="O653" s="226">
        <f>ABS(I653)</f>
        <v/>
      </c>
      <c r="P653" s="667" t="n"/>
      <c r="Q653" s="312" t="inlineStr">
        <is>
          <t>籌碼三弱，空單不停損</t>
        </is>
      </c>
      <c r="R653" s="312" t="n"/>
      <c r="S653" s="739" t="n"/>
      <c r="T653" s="61">
        <f>IF(AND(R653="Yes",S653&lt;&gt;"Yes",L653&gt;0,B653&lt;&gt;"TXO"),L653,"")</f>
        <v/>
      </c>
      <c r="U653" s="61">
        <f>IF(AND(R653="Yes",S653&lt;&gt;"Yes",L653&lt;0,B653&lt;&gt;"TXO"),L653,"")</f>
        <v/>
      </c>
      <c r="V653" s="61">
        <f>IF(AND(R653="",S653&lt;&gt;"Yes",L653&gt;0,B653&lt;&gt;"TXO"),L653,"")</f>
        <v/>
      </c>
      <c r="W653" s="61">
        <f>IF(AND(R653="",S653&lt;&gt;"Yes",L653&lt;0,B653&lt;&gt;"TXO"),L653,"")</f>
        <v/>
      </c>
      <c r="X653" s="226">
        <f>IF(AND(R653="Yes",S653="Yes",L653&gt;0,B653&lt;&gt;"TXO"),L653,"")</f>
        <v/>
      </c>
      <c r="Y653" s="226">
        <f>IF(AND(R653="Yes",S653="Yes",L653&lt;0,B653&lt;&gt;"TXO"),L653,"")</f>
        <v/>
      </c>
      <c r="Z653" s="226">
        <f>IF(AND(R653="",S653="Yes",L653&gt;0,B653&lt;&gt;"TXO"),L653,"")</f>
        <v/>
      </c>
      <c r="AA653" s="226">
        <f>IF(AND(R653="",S653="Yes",L653&lt;0,B653&lt;&gt;"TXO"),L653,"")</f>
        <v/>
      </c>
    </row>
    <row r="654" hidden="1" outlineLevel="2" ht="33.75" customHeight="1" thickBot="1">
      <c r="A654" s="696" t="n">
        <v>43357</v>
      </c>
      <c r="B654" s="234" t="inlineStr">
        <is>
          <t>FIMTX</t>
        </is>
      </c>
      <c r="C654" s="229" t="inlineStr">
        <is>
          <t>小指09</t>
        </is>
      </c>
      <c r="D654" s="229" t="inlineStr">
        <is>
          <t>平倉</t>
        </is>
      </c>
      <c r="E654" s="257" t="inlineStr">
        <is>
          <t>買</t>
        </is>
      </c>
      <c r="F654" s="229" t="inlineStr">
        <is>
          <t>-</t>
        </is>
      </c>
      <c r="G654" s="697" t="n">
        <v>1</v>
      </c>
      <c r="H654" s="752" t="n">
        <v>11005</v>
      </c>
      <c r="I654" s="697" t="n">
        <v>0</v>
      </c>
      <c r="J654" s="585" t="n">
        <v>23</v>
      </c>
      <c r="K654" s="585" t="n">
        <v>11</v>
      </c>
      <c r="L654" s="585">
        <f>IF(B654="TXO",I654-SUM(J654:K654),IF(B654="FITX",IF(D654="新倉",-SUM(J654:K654),IF(E654="賣",(H654-H653)*G654*200-SUM(J654:K654),(H653-H654)*G654*200-SUM(J654:K654))),IF(D654="新倉",-SUM(J654:K654),IF(E654="賣",(H654-H653)*G654*50-SUM(J654:K654),(H653-H654)*G654*50-SUM(J654:K654)))))</f>
        <v/>
      </c>
      <c r="M654" s="699">
        <f>L654</f>
        <v/>
      </c>
      <c r="N654" s="686">
        <f>IF(B654="TXO","",IF(D654="新倉","",IF(E654="賣",(H654-H653)*G654,(H653-H654)*G654)))</f>
        <v/>
      </c>
      <c r="O654" s="226">
        <f>ABS(I654)</f>
        <v/>
      </c>
      <c r="P654" s="667" t="n"/>
      <c r="Q654" s="312" t="inlineStr">
        <is>
          <t>設觸價單，睡覺去，未成交，隔天跳空80點，凹單</t>
        </is>
      </c>
      <c r="R654" s="312" t="n"/>
      <c r="S654" s="249" t="inlineStr">
        <is>
          <t>Yes</t>
        </is>
      </c>
      <c r="T654" s="61">
        <f>IF(AND(R654="Yes",S654&lt;&gt;"Yes",L654&gt;0,B654&lt;&gt;"TXO"),L654,"")</f>
        <v/>
      </c>
      <c r="U654" s="61">
        <f>IF(AND(R654="Yes",S654&lt;&gt;"Yes",L654&lt;0,B654&lt;&gt;"TXO"),L654,"")</f>
        <v/>
      </c>
      <c r="V654" s="61">
        <f>IF(AND(R654="",S654&lt;&gt;"Yes",L654&gt;0,B654&lt;&gt;"TXO"),L654,"")</f>
        <v/>
      </c>
      <c r="W654" s="61">
        <f>IF(AND(R654="",S654&lt;&gt;"Yes",L654&lt;0,B654&lt;&gt;"TXO"),L654,"")</f>
        <v/>
      </c>
      <c r="X654" s="226">
        <f>IF(AND(R654="Yes",S654="Yes",L654&gt;0,B654&lt;&gt;"TXO"),L654,"")</f>
        <v/>
      </c>
      <c r="Y654" s="226">
        <f>IF(AND(R654="Yes",S654="Yes",L654&lt;0,B654&lt;&gt;"TXO"),L654,"")</f>
        <v/>
      </c>
      <c r="Z654" s="226">
        <f>IF(AND(R654="",S654="Yes",L654&gt;0,B654&lt;&gt;"TXO"),L654,"")</f>
        <v/>
      </c>
      <c r="AA654" s="226">
        <f>IF(AND(R654="",S654="Yes",L654&lt;0,B654&lt;&gt;"TXO"),L654,"")</f>
        <v/>
      </c>
    </row>
    <row r="655" hidden="1" outlineLevel="2" ht="17.25" customHeight="1" thickBot="1">
      <c r="A655" s="696" t="n">
        <v>43357</v>
      </c>
      <c r="B655" s="234" t="inlineStr">
        <is>
          <t>FIMTX</t>
        </is>
      </c>
      <c r="C655" s="229" t="inlineStr">
        <is>
          <t>小指09</t>
        </is>
      </c>
      <c r="D655" s="229" t="inlineStr">
        <is>
          <t>新倉</t>
        </is>
      </c>
      <c r="E655" s="257" t="inlineStr">
        <is>
          <t>賣</t>
        </is>
      </c>
      <c r="F655" s="229" t="inlineStr">
        <is>
          <t>-</t>
        </is>
      </c>
      <c r="G655" s="697" t="n">
        <v>1</v>
      </c>
      <c r="H655" s="697" t="n">
        <v>10823</v>
      </c>
      <c r="I655" s="697" t="n">
        <v>0</v>
      </c>
      <c r="J655" s="585" t="n">
        <v>23</v>
      </c>
      <c r="K655" s="585" t="n">
        <v>11</v>
      </c>
      <c r="L655" s="585">
        <f>IF(B655="TXO",I655-SUM(J655:K655),IF(B655="FITX",IF(D655="新倉",-SUM(J655:K655),IF(E655="賣",(H655-H654)*G655*200-SUM(J655:K655),(H654-H655)*G655*200-SUM(J655:K655))),IF(D655="新倉",-SUM(J655:K655),IF(E655="賣",(H655-H654)*G655*50-SUM(J655:K655),(H654-H655)*G655*50-SUM(J655:K655)))))</f>
        <v/>
      </c>
      <c r="M655" s="699">
        <f>L655</f>
        <v/>
      </c>
      <c r="N655" s="686">
        <f>IF(B655="TXO","",IF(D655="新倉","",IF(E655="賣",(H655-H654)*G655,(H654-H655)*G655)))</f>
        <v/>
      </c>
      <c r="O655" s="226">
        <f>ABS(I655)</f>
        <v/>
      </c>
      <c r="P655" s="667" t="n"/>
      <c r="Q655" s="312" t="inlineStr">
        <is>
          <t>加碼空單</t>
        </is>
      </c>
      <c r="R655" s="312" t="n"/>
      <c r="S655" s="739" t="n"/>
      <c r="T655" s="61">
        <f>IF(AND(R655="Yes",S655&lt;&gt;"Yes",L655&gt;0,B655&lt;&gt;"TXO"),L655,"")</f>
        <v/>
      </c>
      <c r="U655" s="61">
        <f>IF(AND(R655="Yes",S655&lt;&gt;"Yes",L655&lt;0,B655&lt;&gt;"TXO"),L655,"")</f>
        <v/>
      </c>
      <c r="V655" s="61">
        <f>IF(AND(R655="",S655&lt;&gt;"Yes",L655&gt;0,B655&lt;&gt;"TXO"),L655,"")</f>
        <v/>
      </c>
      <c r="W655" s="61">
        <f>IF(AND(R655="",S655&lt;&gt;"Yes",L655&lt;0,B655&lt;&gt;"TXO"),L655,"")</f>
        <v/>
      </c>
      <c r="X655" s="226">
        <f>IF(AND(R655="Yes",S655="Yes",L655&gt;0,B655&lt;&gt;"TXO"),L655,"")</f>
        <v/>
      </c>
      <c r="Y655" s="226">
        <f>IF(AND(R655="Yes",S655="Yes",L655&lt;0,B655&lt;&gt;"TXO"),L655,"")</f>
        <v/>
      </c>
      <c r="Z655" s="226">
        <f>IF(AND(R655="",S655="Yes",L655&gt;0,B655&lt;&gt;"TXO"),L655,"")</f>
        <v/>
      </c>
      <c r="AA655" s="226">
        <f>IF(AND(R655="",S655="Yes",L655&lt;0,B655&lt;&gt;"TXO"),L655,"")</f>
        <v/>
      </c>
    </row>
    <row r="656" hidden="1" outlineLevel="2" ht="17.25" customHeight="1" thickBot="1">
      <c r="A656" s="696" t="n">
        <v>43357</v>
      </c>
      <c r="B656" s="234" t="inlineStr">
        <is>
          <t>FIMTX</t>
        </is>
      </c>
      <c r="C656" s="229" t="inlineStr">
        <is>
          <t>小指09</t>
        </is>
      </c>
      <c r="D656" s="229" t="inlineStr">
        <is>
          <t>平倉</t>
        </is>
      </c>
      <c r="E656" s="257" t="inlineStr">
        <is>
          <t>買</t>
        </is>
      </c>
      <c r="F656" s="229" t="inlineStr">
        <is>
          <t>-</t>
        </is>
      </c>
      <c r="G656" s="697" t="n">
        <v>1</v>
      </c>
      <c r="H656" s="697" t="n">
        <v>10848</v>
      </c>
      <c r="I656" s="697" t="n">
        <v>0</v>
      </c>
      <c r="J656" s="585" t="n">
        <v>23</v>
      </c>
      <c r="K656" s="585" t="n">
        <v>11</v>
      </c>
      <c r="L656" s="585">
        <f>IF(B656="TXO",I656-SUM(J656:K656),IF(B656="FITX",IF(D656="新倉",-SUM(J656:K656),IF(E656="賣",(H656-H655)*G656*200-SUM(J656:K656),(H655-H656)*G656*200-SUM(J656:K656))),IF(D656="新倉",-SUM(J656:K656),IF(E656="賣",(H656-H655)*G656*50-SUM(J656:K656),(H655-H656)*G656*50-SUM(J656:K656)))))</f>
        <v/>
      </c>
      <c r="M656" s="699">
        <f>L656</f>
        <v/>
      </c>
      <c r="N656" s="686">
        <f>IF(B656="TXO","",IF(D656="新倉","",IF(E656="賣",(H656-H655)*G656,(H655-H656)*G656)))</f>
        <v/>
      </c>
      <c r="O656" s="226">
        <f>ABS(I656)</f>
        <v/>
      </c>
      <c r="P656" s="667" t="n"/>
      <c r="Q656" s="312" t="inlineStr">
        <is>
          <t>停損</t>
        </is>
      </c>
      <c r="R656" s="312" t="n"/>
      <c r="S656" s="739" t="n"/>
      <c r="T656" s="61">
        <f>IF(AND(R656="Yes",S656&lt;&gt;"Yes",L656&gt;0,B656&lt;&gt;"TXO"),L656,"")</f>
        <v/>
      </c>
      <c r="U656" s="61">
        <f>IF(AND(R656="Yes",S656&lt;&gt;"Yes",L656&lt;0,B656&lt;&gt;"TXO"),L656,"")</f>
        <v/>
      </c>
      <c r="V656" s="61">
        <f>IF(AND(R656="",S656&lt;&gt;"Yes",L656&gt;0,B656&lt;&gt;"TXO"),L656,"")</f>
        <v/>
      </c>
      <c r="W656" s="61">
        <f>IF(AND(R656="",S656&lt;&gt;"Yes",L656&lt;0,B656&lt;&gt;"TXO"),L656,"")</f>
        <v/>
      </c>
      <c r="X656" s="226">
        <f>IF(AND(R656="Yes",S656="Yes",L656&gt;0,B656&lt;&gt;"TXO"),L656,"")</f>
        <v/>
      </c>
      <c r="Y656" s="226">
        <f>IF(AND(R656="Yes",S656="Yes",L656&lt;0,B656&lt;&gt;"TXO"),L656,"")</f>
        <v/>
      </c>
      <c r="Z656" s="226">
        <f>IF(AND(R656="",S656="Yes",L656&gt;0,B656&lt;&gt;"TXO"),L656,"")</f>
        <v/>
      </c>
      <c r="AA656" s="226">
        <f>IF(AND(R656="",S656="Yes",L656&lt;0,B656&lt;&gt;"TXO"),L656,"")</f>
        <v/>
      </c>
    </row>
    <row r="657" hidden="1" outlineLevel="2" ht="17.25" customHeight="1" thickBot="1">
      <c r="A657" s="696" t="n">
        <v>43357</v>
      </c>
      <c r="B657" s="234" t="inlineStr">
        <is>
          <t>FIMTX</t>
        </is>
      </c>
      <c r="C657" s="229" t="inlineStr">
        <is>
          <t>小指09</t>
        </is>
      </c>
      <c r="D657" s="229" t="inlineStr">
        <is>
          <t>新倉</t>
        </is>
      </c>
      <c r="E657" s="257" t="inlineStr">
        <is>
          <t>賣</t>
        </is>
      </c>
      <c r="F657" s="229" t="inlineStr">
        <is>
          <t>-</t>
        </is>
      </c>
      <c r="G657" s="697" t="n">
        <v>1</v>
      </c>
      <c r="H657" s="697" t="n">
        <v>10843</v>
      </c>
      <c r="I657" s="697" t="n">
        <v>0</v>
      </c>
      <c r="J657" s="585" t="n">
        <v>23</v>
      </c>
      <c r="K657" s="585" t="n">
        <v>11</v>
      </c>
      <c r="L657" s="585">
        <f>IF(B657="TXO",I657-SUM(J657:K657),IF(B657="FITX",IF(D657="新倉",-SUM(J657:K657),IF(E657="賣",(H657-H656)*G657*200-SUM(J657:K657),(H656-H657)*G657*200-SUM(J657:K657))),IF(D657="新倉",-SUM(J657:K657),IF(E657="賣",(H657-H656)*G657*50-SUM(J657:K657),(H656-H657)*G657*50-SUM(J657:K657)))))</f>
        <v/>
      </c>
      <c r="M657" s="699">
        <f>L657</f>
        <v/>
      </c>
      <c r="N657" s="686">
        <f>IF(B657="TXO","",IF(D657="新倉","",IF(E657="賣",(H657-H656)*G657,(H656-H657)*G657)))</f>
        <v/>
      </c>
      <c r="O657" s="226">
        <f>ABS(I657)</f>
        <v/>
      </c>
      <c r="P657" s="667" t="n"/>
      <c r="Q657" s="312" t="inlineStr">
        <is>
          <t>加碼空單</t>
        </is>
      </c>
      <c r="R657" s="312" t="n"/>
      <c r="S657" s="739" t="n"/>
      <c r="T657" s="61">
        <f>IF(AND(R657="Yes",S657&lt;&gt;"Yes",L657&gt;0,B657&lt;&gt;"TXO"),L657,"")</f>
        <v/>
      </c>
      <c r="U657" s="61">
        <f>IF(AND(R657="Yes",S657&lt;&gt;"Yes",L657&lt;0,B657&lt;&gt;"TXO"),L657,"")</f>
        <v/>
      </c>
      <c r="V657" s="61">
        <f>IF(AND(R657="",S657&lt;&gt;"Yes",L657&gt;0,B657&lt;&gt;"TXO"),L657,"")</f>
        <v/>
      </c>
      <c r="W657" s="61">
        <f>IF(AND(R657="",S657&lt;&gt;"Yes",L657&lt;0,B657&lt;&gt;"TXO"),L657,"")</f>
        <v/>
      </c>
      <c r="X657" s="226">
        <f>IF(AND(R657="Yes",S657="Yes",L657&gt;0,B657&lt;&gt;"TXO"),L657,"")</f>
        <v/>
      </c>
      <c r="Y657" s="226">
        <f>IF(AND(R657="Yes",S657="Yes",L657&lt;0,B657&lt;&gt;"TXO"),L657,"")</f>
        <v/>
      </c>
      <c r="Z657" s="226">
        <f>IF(AND(R657="",S657="Yes",L657&gt;0,B657&lt;&gt;"TXO"),L657,"")</f>
        <v/>
      </c>
      <c r="AA657" s="226">
        <f>IF(AND(R657="",S657="Yes",L657&lt;0,B657&lt;&gt;"TXO"),L657,"")</f>
        <v/>
      </c>
    </row>
    <row r="658" hidden="1" outlineLevel="2" ht="17.25" customHeight="1" thickBot="1">
      <c r="A658" s="696" t="n">
        <v>43357</v>
      </c>
      <c r="B658" s="234" t="inlineStr">
        <is>
          <t>FIMTX</t>
        </is>
      </c>
      <c r="C658" s="229" t="inlineStr">
        <is>
          <t>小指09</t>
        </is>
      </c>
      <c r="D658" s="229" t="inlineStr">
        <is>
          <t>平倉</t>
        </is>
      </c>
      <c r="E658" s="257" t="inlineStr">
        <is>
          <t>買</t>
        </is>
      </c>
      <c r="F658" s="229" t="inlineStr">
        <is>
          <t>-</t>
        </is>
      </c>
      <c r="G658" s="697" t="n">
        <v>1</v>
      </c>
      <c r="H658" s="697" t="n">
        <v>10855</v>
      </c>
      <c r="I658" s="697" t="n">
        <v>0</v>
      </c>
      <c r="J658" s="585" t="n">
        <v>23</v>
      </c>
      <c r="K658" s="585" t="n">
        <v>11</v>
      </c>
      <c r="L658" s="585">
        <f>IF(B658="TXO",I658-SUM(J658:K658),IF(B658="FITX",IF(D658="新倉",-SUM(J658:K658),IF(E658="賣",(H658-H657)*G658*200-SUM(J658:K658),(H657-H658)*G658*200-SUM(J658:K658))),IF(D658="新倉",-SUM(J658:K658),IF(E658="賣",(H658-H657)*G658*50-SUM(J658:K658),(H657-H658)*G658*50-SUM(J658:K658)))))</f>
        <v/>
      </c>
      <c r="M658" s="699">
        <f>L658</f>
        <v/>
      </c>
      <c r="N658" s="686">
        <f>IF(B658="TXO","",IF(D658="新倉","",IF(E658="賣",(H658-H657)*G658,(H657-H658)*G658)))</f>
        <v/>
      </c>
      <c r="O658" s="226">
        <f>ABS(I658)</f>
        <v/>
      </c>
      <c r="P658" s="667" t="n"/>
      <c r="Q658" s="312" t="inlineStr">
        <is>
          <t>停損</t>
        </is>
      </c>
      <c r="R658" s="312" t="n"/>
      <c r="S658" s="739" t="n"/>
      <c r="T658" s="61">
        <f>IF(AND(R658="Yes",S658&lt;&gt;"Yes",L658&gt;0,B658&lt;&gt;"TXO"),L658,"")</f>
        <v/>
      </c>
      <c r="U658" s="61">
        <f>IF(AND(R658="Yes",S658&lt;&gt;"Yes",L658&lt;0,B658&lt;&gt;"TXO"),L658,"")</f>
        <v/>
      </c>
      <c r="V658" s="61">
        <f>IF(AND(R658="",S658&lt;&gt;"Yes",L658&gt;0,B658&lt;&gt;"TXO"),L658,"")</f>
        <v/>
      </c>
      <c r="W658" s="61">
        <f>IF(AND(R658="",S658&lt;&gt;"Yes",L658&lt;0,B658&lt;&gt;"TXO"),L658,"")</f>
        <v/>
      </c>
      <c r="X658" s="226">
        <f>IF(AND(R658="Yes",S658="Yes",L658&gt;0,B658&lt;&gt;"TXO"),L658,"")</f>
        <v/>
      </c>
      <c r="Y658" s="226">
        <f>IF(AND(R658="Yes",S658="Yes",L658&lt;0,B658&lt;&gt;"TXO"),L658,"")</f>
        <v/>
      </c>
      <c r="Z658" s="226">
        <f>IF(AND(R658="",S658="Yes",L658&gt;0,B658&lt;&gt;"TXO"),L658,"")</f>
        <v/>
      </c>
      <c r="AA658" s="226">
        <f>IF(AND(R658="",S658="Yes",L658&lt;0,B658&lt;&gt;"TXO"),L658,"")</f>
        <v/>
      </c>
    </row>
    <row r="659" hidden="1" outlineLevel="2" ht="17.25" customHeight="1" thickBot="1">
      <c r="A659" s="696" t="n">
        <v>43357</v>
      </c>
      <c r="B659" s="234" t="inlineStr">
        <is>
          <t>TXO</t>
        </is>
      </c>
      <c r="C659" s="229" t="inlineStr">
        <is>
          <t>台指選 09 10900 C</t>
        </is>
      </c>
      <c r="D659" s="229" t="inlineStr">
        <is>
          <t>平倉</t>
        </is>
      </c>
      <c r="E659" s="257" t="inlineStr">
        <is>
          <t>賣</t>
        </is>
      </c>
      <c r="F659" s="229" t="inlineStr">
        <is>
          <t>-</t>
        </is>
      </c>
      <c r="G659" s="697" t="n">
        <v>1</v>
      </c>
      <c r="H659" s="697" t="n">
        <v>30.5</v>
      </c>
      <c r="I659" s="697" t="n">
        <v>1525</v>
      </c>
      <c r="J659" s="585" t="n">
        <v>18</v>
      </c>
      <c r="K659" s="585" t="n">
        <v>2</v>
      </c>
      <c r="L659" s="585">
        <f>IF(B659="TXO",I659-SUM(J659:K659),IF(B659="FITX",IF(D659="新倉",-SUM(J659:K659),IF(E659="賣",(H659-H658)*G659*200-SUM(J659:K659),(H658-H659)*G659*200-SUM(J659:K659))),IF(D659="新倉",-SUM(J659:K659),IF(E659="賣",(H659-H658)*G659*50-SUM(J659:K659),(H658-H659)*G659*50-SUM(J659:K659)))))</f>
        <v/>
      </c>
      <c r="M659" s="699">
        <f>L659</f>
        <v/>
      </c>
      <c r="N659" s="686">
        <f>IF(B659="TXO","",IF(D659="新倉","",IF(E659="賣",(H659-H658)*G659,(H658-H659)*G659)))</f>
        <v/>
      </c>
      <c r="O659" s="226">
        <f>ABS(I659)</f>
        <v/>
      </c>
      <c r="P659" s="667">
        <f>SUM(L659:L663)</f>
        <v/>
      </c>
      <c r="Q659" s="312" t="n"/>
      <c r="R659" s="312" t="n"/>
      <c r="S659" s="739" t="n"/>
      <c r="T659" s="61">
        <f>IF(AND(R659="Yes",S659&lt;&gt;"Yes",L659&gt;0,B659&lt;&gt;"TXO"),L659,"")</f>
        <v/>
      </c>
      <c r="U659" s="61">
        <f>IF(AND(R659="Yes",S659&lt;&gt;"Yes",L659&lt;0,B659&lt;&gt;"TXO"),L659,"")</f>
        <v/>
      </c>
      <c r="V659" s="61">
        <f>IF(AND(R659="",S659&lt;&gt;"Yes",L659&gt;0,B659&lt;&gt;"TXO"),L659,"")</f>
        <v/>
      </c>
      <c r="W659" s="61">
        <f>IF(AND(R659="",S659&lt;&gt;"Yes",L659&lt;0,B659&lt;&gt;"TXO"),L659,"")</f>
        <v/>
      </c>
      <c r="X659" s="226">
        <f>IF(AND(R659="Yes",S659="Yes",L659&gt;0,B659&lt;&gt;"TXO"),L659,"")</f>
        <v/>
      </c>
      <c r="Y659" s="226">
        <f>IF(AND(R659="Yes",S659="Yes",L659&lt;0,B659&lt;&gt;"TXO"),L659,"")</f>
        <v/>
      </c>
      <c r="Z659" s="226">
        <f>IF(AND(R659="",S659="Yes",L659&gt;0,B659&lt;&gt;"TXO"),L659,"")</f>
        <v/>
      </c>
      <c r="AA659" s="226">
        <f>IF(AND(R659="",S659="Yes",L659&lt;0,B659&lt;&gt;"TXO"),L659,"")</f>
        <v/>
      </c>
    </row>
    <row r="660" hidden="1" outlineLevel="2" ht="17.25" customHeight="1" thickBot="1">
      <c r="A660" s="696" t="n">
        <v>43357</v>
      </c>
      <c r="B660" s="234" t="inlineStr">
        <is>
          <t>TXO</t>
        </is>
      </c>
      <c r="C660" s="229" t="inlineStr">
        <is>
          <t>台指選 09 10900 C</t>
        </is>
      </c>
      <c r="D660" s="229" t="inlineStr">
        <is>
          <t>新倉</t>
        </is>
      </c>
      <c r="E660" s="257" t="inlineStr">
        <is>
          <t>買</t>
        </is>
      </c>
      <c r="F660" s="229" t="inlineStr">
        <is>
          <t>-</t>
        </is>
      </c>
      <c r="G660" s="697" t="n">
        <v>1</v>
      </c>
      <c r="H660" s="697" t="n">
        <v>27.5</v>
      </c>
      <c r="I660" s="697" t="n">
        <v>-1375</v>
      </c>
      <c r="J660" s="585" t="n">
        <v>18</v>
      </c>
      <c r="K660" s="585" t="n">
        <v>1</v>
      </c>
      <c r="L660" s="585">
        <f>IF(B660="TXO",I660-SUM(J660:K660),IF(B660="FITX",IF(D660="新倉",-SUM(J660:K660),IF(E660="賣",(H660-H659)*G660*200-SUM(J660:K660),(H659-H660)*G660*200-SUM(J660:K660))),IF(D660="新倉",-SUM(J660:K660),IF(E660="賣",(H660-H659)*G660*50-SUM(J660:K660),(H659-H660)*G660*50-SUM(J660:K660)))))</f>
        <v/>
      </c>
      <c r="M660" s="699">
        <f>L660</f>
        <v/>
      </c>
      <c r="N660" s="686">
        <f>IF(B660="TXO","",IF(D660="新倉","",IF(E660="賣",(H660-H659)*G660,(H659-H660)*G660)))</f>
        <v/>
      </c>
      <c r="O660" s="226">
        <f>ABS(I660)</f>
        <v/>
      </c>
      <c r="P660" s="667" t="n"/>
      <c r="Q660" s="312" t="n"/>
      <c r="R660" s="312" t="n"/>
      <c r="S660" s="739" t="n"/>
      <c r="T660" s="61">
        <f>IF(AND(R660="Yes",S660&lt;&gt;"Yes",L660&gt;0,B660&lt;&gt;"TXO"),L660,"")</f>
        <v/>
      </c>
      <c r="U660" s="61">
        <f>IF(AND(R660="Yes",S660&lt;&gt;"Yes",L660&lt;0,B660&lt;&gt;"TXO"),L660,"")</f>
        <v/>
      </c>
      <c r="V660" s="61">
        <f>IF(AND(R660="",S660&lt;&gt;"Yes",L660&gt;0,B660&lt;&gt;"TXO"),L660,"")</f>
        <v/>
      </c>
      <c r="W660" s="61">
        <f>IF(AND(R660="",S660&lt;&gt;"Yes",L660&lt;0,B660&lt;&gt;"TXO"),L660,"")</f>
        <v/>
      </c>
      <c r="X660" s="226">
        <f>IF(AND(R660="Yes",S660="Yes",L660&gt;0,B660&lt;&gt;"TXO"),L660,"")</f>
        <v/>
      </c>
      <c r="Y660" s="226">
        <f>IF(AND(R660="Yes",S660="Yes",L660&lt;0,B660&lt;&gt;"TXO"),L660,"")</f>
        <v/>
      </c>
      <c r="Z660" s="226">
        <f>IF(AND(R660="",S660="Yes",L660&gt;0,B660&lt;&gt;"TXO"),L660,"")</f>
        <v/>
      </c>
      <c r="AA660" s="226">
        <f>IF(AND(R660="",S660="Yes",L660&lt;0,B660&lt;&gt;"TXO"),L660,"")</f>
        <v/>
      </c>
    </row>
    <row r="661" hidden="1" outlineLevel="2" ht="17.25" customHeight="1" thickBot="1">
      <c r="A661" s="696" t="n">
        <v>43357</v>
      </c>
      <c r="B661" s="234" t="inlineStr">
        <is>
          <t>TXO</t>
        </is>
      </c>
      <c r="C661" s="229" t="inlineStr">
        <is>
          <t>台指選 09 10900 C</t>
        </is>
      </c>
      <c r="D661" s="229" t="inlineStr">
        <is>
          <t>平倉</t>
        </is>
      </c>
      <c r="E661" s="257" t="inlineStr">
        <is>
          <t>賣</t>
        </is>
      </c>
      <c r="F661" s="229" t="inlineStr">
        <is>
          <t>-</t>
        </is>
      </c>
      <c r="G661" s="697" t="n">
        <v>12</v>
      </c>
      <c r="H661" s="697" t="n">
        <v>30.5</v>
      </c>
      <c r="I661" s="697" t="n">
        <v>18300</v>
      </c>
      <c r="J661" s="585" t="n">
        <v>216</v>
      </c>
      <c r="K661" s="585" t="n">
        <v>24</v>
      </c>
      <c r="L661" s="585">
        <f>IF(B661="TXO",I661-SUM(J661:K661),IF(B661="FITX",IF(D661="新倉",-SUM(J661:K661),IF(E661="賣",(H661-H660)*G661*200-SUM(J661:K661),(H660-H661)*G661*200-SUM(J661:K661))),IF(D661="新倉",-SUM(J661:K661),IF(E661="賣",(H661-H660)*G661*50-SUM(J661:K661),(H660-H661)*G661*50-SUM(J661:K661)))))</f>
        <v/>
      </c>
      <c r="M661" s="699">
        <f>L661</f>
        <v/>
      </c>
      <c r="N661" s="686">
        <f>IF(B661="TXO","",IF(D661="新倉","",IF(E661="賣",(H661-H660)*G661,(H660-H661)*G661)))</f>
        <v/>
      </c>
      <c r="O661" s="226">
        <f>ABS(I661)</f>
        <v/>
      </c>
      <c r="P661" s="667" t="n"/>
      <c r="Q661" s="312" t="n"/>
      <c r="R661" s="312" t="n"/>
      <c r="S661" s="739" t="n"/>
      <c r="T661" s="61">
        <f>IF(AND(R661="Yes",S661&lt;&gt;"Yes",L661&gt;0,B661&lt;&gt;"TXO"),L661,"")</f>
        <v/>
      </c>
      <c r="U661" s="61">
        <f>IF(AND(R661="Yes",S661&lt;&gt;"Yes",L661&lt;0,B661&lt;&gt;"TXO"),L661,"")</f>
        <v/>
      </c>
      <c r="V661" s="61">
        <f>IF(AND(R661="",S661&lt;&gt;"Yes",L661&gt;0,B661&lt;&gt;"TXO"),L661,"")</f>
        <v/>
      </c>
      <c r="W661" s="61">
        <f>IF(AND(R661="",S661&lt;&gt;"Yes",L661&lt;0,B661&lt;&gt;"TXO"),L661,"")</f>
        <v/>
      </c>
      <c r="X661" s="226">
        <f>IF(AND(R661="Yes",S661="Yes",L661&gt;0,B661&lt;&gt;"TXO"),L661,"")</f>
        <v/>
      </c>
      <c r="Y661" s="226">
        <f>IF(AND(R661="Yes",S661="Yes",L661&lt;0,B661&lt;&gt;"TXO"),L661,"")</f>
        <v/>
      </c>
      <c r="Z661" s="226">
        <f>IF(AND(R661="",S661="Yes",L661&gt;0,B661&lt;&gt;"TXO"),L661,"")</f>
        <v/>
      </c>
      <c r="AA661" s="226">
        <f>IF(AND(R661="",S661="Yes",L661&lt;0,B661&lt;&gt;"TXO"),L661,"")</f>
        <v/>
      </c>
    </row>
    <row r="662" hidden="1" outlineLevel="2" ht="17.25" customHeight="1" thickBot="1">
      <c r="A662" s="696" t="n">
        <v>43357</v>
      </c>
      <c r="B662" s="234" t="inlineStr">
        <is>
          <t>TXO</t>
        </is>
      </c>
      <c r="C662" s="229" t="inlineStr">
        <is>
          <t>台指選 09 10900 C</t>
        </is>
      </c>
      <c r="D662" s="229" t="inlineStr">
        <is>
          <t>新倉</t>
        </is>
      </c>
      <c r="E662" s="257" t="inlineStr">
        <is>
          <t>買</t>
        </is>
      </c>
      <c r="F662" s="229" t="inlineStr">
        <is>
          <t>-</t>
        </is>
      </c>
      <c r="G662" s="697" t="n">
        <v>10</v>
      </c>
      <c r="H662" s="697" t="n">
        <v>29</v>
      </c>
      <c r="I662" s="697" t="n">
        <v>-14500</v>
      </c>
      <c r="J662" s="585" t="n">
        <v>180</v>
      </c>
      <c r="K662" s="585" t="n">
        <v>10</v>
      </c>
      <c r="L662" s="585">
        <f>IF(B662="TXO",I662-SUM(J662:K662),IF(B662="FITX",IF(D662="新倉",-SUM(J662:K662),IF(E662="賣",(H662-H661)*G662*200-SUM(J662:K662),(H661-H662)*G662*200-SUM(J662:K662))),IF(D662="新倉",-SUM(J662:K662),IF(E662="賣",(H662-H661)*G662*50-SUM(J662:K662),(H661-H662)*G662*50-SUM(J662:K662)))))</f>
        <v/>
      </c>
      <c r="M662" s="699">
        <f>L662</f>
        <v/>
      </c>
      <c r="N662" s="686">
        <f>IF(B662="TXO","",IF(D662="新倉","",IF(E662="賣",(H662-H661)*G662,(H661-H662)*G662)))</f>
        <v/>
      </c>
      <c r="O662" s="226">
        <f>ABS(I662)</f>
        <v/>
      </c>
      <c r="P662" s="667" t="n"/>
      <c r="Q662" s="312" t="n"/>
      <c r="R662" s="312" t="n"/>
      <c r="S662" s="739" t="n"/>
      <c r="T662" s="61">
        <f>IF(AND(R662="Yes",S662&lt;&gt;"Yes",L662&gt;0,B662&lt;&gt;"TXO"),L662,"")</f>
        <v/>
      </c>
      <c r="U662" s="61">
        <f>IF(AND(R662="Yes",S662&lt;&gt;"Yes",L662&lt;0,B662&lt;&gt;"TXO"),L662,"")</f>
        <v/>
      </c>
      <c r="V662" s="61">
        <f>IF(AND(R662="",S662&lt;&gt;"Yes",L662&gt;0,B662&lt;&gt;"TXO"),L662,"")</f>
        <v/>
      </c>
      <c r="W662" s="61">
        <f>IF(AND(R662="",S662&lt;&gt;"Yes",L662&lt;0,B662&lt;&gt;"TXO"),L662,"")</f>
        <v/>
      </c>
      <c r="X662" s="226">
        <f>IF(AND(R662="Yes",S662="Yes",L662&gt;0,B662&lt;&gt;"TXO"),L662,"")</f>
        <v/>
      </c>
      <c r="Y662" s="226">
        <f>IF(AND(R662="Yes",S662="Yes",L662&lt;0,B662&lt;&gt;"TXO"),L662,"")</f>
        <v/>
      </c>
      <c r="Z662" s="226">
        <f>IF(AND(R662="",S662="Yes",L662&gt;0,B662&lt;&gt;"TXO"),L662,"")</f>
        <v/>
      </c>
      <c r="AA662" s="226">
        <f>IF(AND(R662="",S662="Yes",L662&lt;0,B662&lt;&gt;"TXO"),L662,"")</f>
        <v/>
      </c>
    </row>
    <row r="663" hidden="1" outlineLevel="2" ht="17.25" customHeight="1" thickBot="1">
      <c r="A663" s="696" t="n">
        <v>43357</v>
      </c>
      <c r="B663" s="234" t="inlineStr">
        <is>
          <t>TXO</t>
        </is>
      </c>
      <c r="C663" s="229" t="inlineStr">
        <is>
          <t>台指選 09 10900 C</t>
        </is>
      </c>
      <c r="D663" s="229" t="inlineStr">
        <is>
          <t>新倉</t>
        </is>
      </c>
      <c r="E663" s="257" t="inlineStr">
        <is>
          <t>買</t>
        </is>
      </c>
      <c r="F663" s="229" t="inlineStr">
        <is>
          <t>-</t>
        </is>
      </c>
      <c r="G663" s="697" t="n">
        <v>2</v>
      </c>
      <c r="H663" s="697" t="n">
        <v>27</v>
      </c>
      <c r="I663" s="697" t="n">
        <v>-2700</v>
      </c>
      <c r="J663" s="585" t="n">
        <v>36</v>
      </c>
      <c r="K663" s="585" t="n">
        <v>2</v>
      </c>
      <c r="L663" s="585">
        <f>IF(B663="TXO",I663-SUM(J663:K663),IF(B663="FITX",IF(D663="新倉",-SUM(J663:K663),IF(E663="賣",(H663-H662)*G663*200-SUM(J663:K663),(H662-H663)*G663*200-SUM(J663:K663))),IF(D663="新倉",-SUM(J663:K663),IF(E663="賣",(H663-H662)*G663*50-SUM(J663:K663),(H662-H663)*G663*50-SUM(J663:K663)))))</f>
        <v/>
      </c>
      <c r="M663" s="699">
        <f>L663</f>
        <v/>
      </c>
      <c r="N663" s="686">
        <f>IF(B663="TXO","",IF(D663="新倉","",IF(E663="賣",(H663-H662)*G663,(H662-H663)*G663)))</f>
        <v/>
      </c>
      <c r="O663" s="226">
        <f>ABS(I663)</f>
        <v/>
      </c>
      <c r="P663" s="667" t="n"/>
      <c r="Q663" s="312" t="n"/>
      <c r="R663" s="312" t="n"/>
      <c r="S663" s="739" t="n"/>
      <c r="T663" s="61">
        <f>IF(AND(R663="Yes",S663&lt;&gt;"Yes",L663&gt;0,B663&lt;&gt;"TXO"),L663,"")</f>
        <v/>
      </c>
      <c r="U663" s="61">
        <f>IF(AND(R663="Yes",S663&lt;&gt;"Yes",L663&lt;0,B663&lt;&gt;"TXO"),L663,"")</f>
        <v/>
      </c>
      <c r="V663" s="61">
        <f>IF(AND(R663="",S663&lt;&gt;"Yes",L663&gt;0,B663&lt;&gt;"TXO"),L663,"")</f>
        <v/>
      </c>
      <c r="W663" s="61">
        <f>IF(AND(R663="",S663&lt;&gt;"Yes",L663&lt;0,B663&lt;&gt;"TXO"),L663,"")</f>
        <v/>
      </c>
      <c r="X663" s="226">
        <f>IF(AND(R663="Yes",S663="Yes",L663&gt;0,B663&lt;&gt;"TXO"),L663,"")</f>
        <v/>
      </c>
      <c r="Y663" s="226">
        <f>IF(AND(R663="Yes",S663="Yes",L663&lt;0,B663&lt;&gt;"TXO"),L663,"")</f>
        <v/>
      </c>
      <c r="Z663" s="226">
        <f>IF(AND(R663="",S663="Yes",L663&gt;0,B663&lt;&gt;"TXO"),L663,"")</f>
        <v/>
      </c>
      <c r="AA663" s="226">
        <f>IF(AND(R663="",S663="Yes",L663&lt;0,B663&lt;&gt;"TXO"),L663,"")</f>
        <v/>
      </c>
    </row>
    <row r="664" hidden="1" outlineLevel="2" ht="17.25" customHeight="1" thickBot="1">
      <c r="A664" s="696" t="n">
        <v>43357</v>
      </c>
      <c r="B664" s="234" t="inlineStr">
        <is>
          <t>FITX</t>
        </is>
      </c>
      <c r="C664" s="229" t="inlineStr">
        <is>
          <t>台指09</t>
        </is>
      </c>
      <c r="D664" s="229" t="inlineStr">
        <is>
          <t>新倉</t>
        </is>
      </c>
      <c r="E664" s="257" t="inlineStr">
        <is>
          <t>買</t>
        </is>
      </c>
      <c r="F664" s="229" t="inlineStr">
        <is>
          <t>-</t>
        </is>
      </c>
      <c r="G664" s="697" t="n">
        <v>1</v>
      </c>
      <c r="H664" s="697" t="n">
        <v>10875</v>
      </c>
      <c r="I664" s="697" t="n">
        <v>0</v>
      </c>
      <c r="J664" s="585" t="n">
        <v>45</v>
      </c>
      <c r="K664" s="585" t="n">
        <v>44</v>
      </c>
      <c r="L664" s="585">
        <f>IF(B664="TXO",I664-SUM(J664:K664),IF(B664="FITX",IF(D664="新倉",-SUM(J664:K664),IF(E664="賣",(H664-H663)*G664*200-SUM(J664:K664),(H663-H664)*G664*200-SUM(J664:K664))),IF(D664="新倉",-SUM(J664:K664),IF(E664="賣",(H664-H663)*G664*50-SUM(J664:K664),(H663-H664)*G664*50-SUM(J664:K664)))))</f>
        <v/>
      </c>
      <c r="M664" s="699">
        <f>L664</f>
        <v/>
      </c>
      <c r="N664" s="686">
        <f>IF(B664="TXO","",IF(D664="新倉","",IF(E664="賣",(H664-H663)*G664,(H663-H664)*G664)))</f>
        <v/>
      </c>
      <c r="O664" s="226">
        <f>ABS(I664)</f>
        <v/>
      </c>
      <c r="P664" s="667" t="n"/>
      <c r="Q664" s="249" t="inlineStr">
        <is>
          <t>技法: 3/3 買進一口</t>
        </is>
      </c>
      <c r="R664" s="249" t="inlineStr">
        <is>
          <t>Yes</t>
        </is>
      </c>
      <c r="S664" s="739" t="n"/>
      <c r="T664" s="61">
        <f>IF(AND(R664="Yes",S664&lt;&gt;"Yes",L664&gt;0,B664&lt;&gt;"TXO"),L664,"")</f>
        <v/>
      </c>
      <c r="U664" s="61">
        <f>IF(AND(R664="Yes",S664&lt;&gt;"Yes",L664&lt;0,B664&lt;&gt;"TXO"),L664,"")</f>
        <v/>
      </c>
      <c r="V664" s="61">
        <f>IF(AND(R664="",S664&lt;&gt;"Yes",L664&gt;0,B664&lt;&gt;"TXO"),L664,"")</f>
        <v/>
      </c>
      <c r="W664" s="61">
        <f>IF(AND(R664="",S664&lt;&gt;"Yes",L664&lt;0,B664&lt;&gt;"TXO"),L664,"")</f>
        <v/>
      </c>
      <c r="X664" s="226">
        <f>IF(AND(R664="Yes",S664="Yes",L664&gt;0,B664&lt;&gt;"TXO"),L664,"")</f>
        <v/>
      </c>
      <c r="Y664" s="226">
        <f>IF(AND(R664="Yes",S664="Yes",L664&lt;0,B664&lt;&gt;"TXO"),L664,"")</f>
        <v/>
      </c>
      <c r="Z664" s="226">
        <f>IF(AND(R664="",S664="Yes",L664&gt;0,B664&lt;&gt;"TXO"),L664,"")</f>
        <v/>
      </c>
      <c r="AA664" s="226">
        <f>IF(AND(R664="",S664="Yes",L664&lt;0,B664&lt;&gt;"TXO"),L664,"")</f>
        <v/>
      </c>
    </row>
    <row r="665" hidden="1" outlineLevel="2" ht="17.25" customHeight="1" thickBot="1">
      <c r="A665" s="696" t="n">
        <v>43357</v>
      </c>
      <c r="B665" s="234" t="inlineStr">
        <is>
          <t>FITX</t>
        </is>
      </c>
      <c r="C665" s="229" t="inlineStr">
        <is>
          <t>台指09</t>
        </is>
      </c>
      <c r="D665" s="229" t="inlineStr">
        <is>
          <t>平倉</t>
        </is>
      </c>
      <c r="E665" s="257" t="inlineStr">
        <is>
          <t>賣</t>
        </is>
      </c>
      <c r="F665" s="229" t="inlineStr">
        <is>
          <t>-</t>
        </is>
      </c>
      <c r="G665" s="697" t="n">
        <v>1</v>
      </c>
      <c r="H665" s="697" t="n">
        <v>10882</v>
      </c>
      <c r="I665" s="697" t="n">
        <v>0</v>
      </c>
      <c r="J665" s="585" t="n">
        <v>45</v>
      </c>
      <c r="K665" s="585" t="n">
        <v>44</v>
      </c>
      <c r="L665" s="585">
        <f>IF(B665="TXO",I665-SUM(J665:K665),IF(B665="FITX",IF(D665="新倉",-SUM(J665:K665),IF(E665="賣",(H665-H664)*G665*200-SUM(J665:K665),(H664-H665)*G665*200-SUM(J665:K665))),IF(D665="新倉",-SUM(J665:K665),IF(E665="賣",(H665-H664)*G665*50-SUM(J665:K665),(H664-H665)*G665*50-SUM(J665:K665)))))</f>
        <v/>
      </c>
      <c r="M665" s="699">
        <f>L665</f>
        <v/>
      </c>
      <c r="N665" s="686">
        <f>IF(B665="TXO","",IF(D665="新倉","",IF(E665="賣",(H665-H664)*G665,(H664-H665)*G665)))</f>
        <v/>
      </c>
      <c r="O665" s="226">
        <f>ABS(I665)</f>
        <v/>
      </c>
      <c r="P665" s="667" t="n"/>
      <c r="Q665" s="249" t="inlineStr">
        <is>
          <t>元大移動式停利出場</t>
        </is>
      </c>
      <c r="R665" s="249" t="inlineStr">
        <is>
          <t>Yes</t>
        </is>
      </c>
      <c r="S665" s="739" t="n"/>
      <c r="T665" s="61">
        <f>IF(AND(R665="Yes",S665&lt;&gt;"Yes",L665&gt;0,B665&lt;&gt;"TXO"),L665,"")</f>
        <v/>
      </c>
      <c r="U665" s="61">
        <f>IF(AND(R665="Yes",S665&lt;&gt;"Yes",L665&lt;0,B665&lt;&gt;"TXO"),L665,"")</f>
        <v/>
      </c>
      <c r="V665" s="61">
        <f>IF(AND(R665="",S665&lt;&gt;"Yes",L665&gt;0,B665&lt;&gt;"TXO"),L665,"")</f>
        <v/>
      </c>
      <c r="W665" s="61">
        <f>IF(AND(R665="",S665&lt;&gt;"Yes",L665&lt;0,B665&lt;&gt;"TXO"),L665,"")</f>
        <v/>
      </c>
      <c r="X665" s="226">
        <f>IF(AND(R665="Yes",S665="Yes",L665&gt;0,B665&lt;&gt;"TXO"),L665,"")</f>
        <v/>
      </c>
      <c r="Y665" s="226">
        <f>IF(AND(R665="Yes",S665="Yes",L665&lt;0,B665&lt;&gt;"TXO"),L665,"")</f>
        <v/>
      </c>
      <c r="Z665" s="226">
        <f>IF(AND(R665="",S665="Yes",L665&gt;0,B665&lt;&gt;"TXO"),L665,"")</f>
        <v/>
      </c>
      <c r="AA665" s="226">
        <f>IF(AND(R665="",S665="Yes",L665&lt;0,B665&lt;&gt;"TXO"),L665,"")</f>
        <v/>
      </c>
    </row>
    <row r="666" hidden="1" outlineLevel="2" ht="17.25" customHeight="1" thickBot="1">
      <c r="A666" s="696" t="n">
        <v>43357</v>
      </c>
      <c r="B666" s="234" t="inlineStr">
        <is>
          <t>FITX</t>
        </is>
      </c>
      <c r="C666" s="229" t="inlineStr">
        <is>
          <t>台指09</t>
        </is>
      </c>
      <c r="D666" s="229" t="inlineStr">
        <is>
          <t>新倉</t>
        </is>
      </c>
      <c r="E666" s="257" t="inlineStr">
        <is>
          <t>買</t>
        </is>
      </c>
      <c r="F666" s="229" t="inlineStr">
        <is>
          <t>-</t>
        </is>
      </c>
      <c r="G666" s="697" t="n">
        <v>1</v>
      </c>
      <c r="H666" s="697" t="n">
        <v>10878</v>
      </c>
      <c r="I666" s="697" t="n">
        <v>0</v>
      </c>
      <c r="J666" s="585" t="n">
        <v>45</v>
      </c>
      <c r="K666" s="585" t="n">
        <v>44</v>
      </c>
      <c r="L666" s="585">
        <f>IF(B666="TXO",I666-SUM(J666:K666),IF(B666="FITX",IF(D666="新倉",-SUM(J666:K666),IF(E666="賣",(H666-H665)*G666*200-SUM(J666:K666),(H665-H666)*G666*200-SUM(J666:K666))),IF(D666="新倉",-SUM(J666:K666),IF(E666="賣",(H666-H665)*G666*50-SUM(J666:K666),(H665-H666)*G666*50-SUM(J666:K666)))))</f>
        <v/>
      </c>
      <c r="M666" s="699">
        <f>L666</f>
        <v/>
      </c>
      <c r="N666" s="686">
        <f>IF(B666="TXO","",IF(D666="新倉","",IF(E666="賣",(H666-H665)*G666,(H665-H666)*G666)))</f>
        <v/>
      </c>
      <c r="O666" s="226">
        <f>ABS(I666)</f>
        <v/>
      </c>
      <c r="P666" s="667" t="n"/>
      <c r="Q666" s="249" t="inlineStr">
        <is>
          <t>技法: 3/3 買進一口</t>
        </is>
      </c>
      <c r="R666" s="249" t="inlineStr">
        <is>
          <t>Yes</t>
        </is>
      </c>
      <c r="S666" s="739" t="n"/>
      <c r="T666" s="61">
        <f>IF(AND(R666="Yes",S666&lt;&gt;"Yes",L666&gt;0,B666&lt;&gt;"TXO"),L666,"")</f>
        <v/>
      </c>
      <c r="U666" s="61">
        <f>IF(AND(R666="Yes",S666&lt;&gt;"Yes",L666&lt;0,B666&lt;&gt;"TXO"),L666,"")</f>
        <v/>
      </c>
      <c r="V666" s="61">
        <f>IF(AND(R666="",S666&lt;&gt;"Yes",L666&gt;0,B666&lt;&gt;"TXO"),L666,"")</f>
        <v/>
      </c>
      <c r="W666" s="61">
        <f>IF(AND(R666="",S666&lt;&gt;"Yes",L666&lt;0,B666&lt;&gt;"TXO"),L666,"")</f>
        <v/>
      </c>
      <c r="X666" s="226">
        <f>IF(AND(R666="Yes",S666="Yes",L666&gt;0,B666&lt;&gt;"TXO"),L666,"")</f>
        <v/>
      </c>
      <c r="Y666" s="226">
        <f>IF(AND(R666="Yes",S666="Yes",L666&lt;0,B666&lt;&gt;"TXO"),L666,"")</f>
        <v/>
      </c>
      <c r="Z666" s="226">
        <f>IF(AND(R666="",S666="Yes",L666&gt;0,B666&lt;&gt;"TXO"),L666,"")</f>
        <v/>
      </c>
      <c r="AA666" s="226">
        <f>IF(AND(R666="",S666="Yes",L666&lt;0,B666&lt;&gt;"TXO"),L666,"")</f>
        <v/>
      </c>
    </row>
    <row r="667" hidden="1" outlineLevel="2" ht="17.25" customHeight="1" thickBot="1">
      <c r="A667" s="696" t="n">
        <v>43357</v>
      </c>
      <c r="B667" s="234" t="inlineStr">
        <is>
          <t>FITX</t>
        </is>
      </c>
      <c r="C667" s="229" t="inlineStr">
        <is>
          <t>台指09</t>
        </is>
      </c>
      <c r="D667" s="229" t="inlineStr">
        <is>
          <t>平倉</t>
        </is>
      </c>
      <c r="E667" s="257" t="inlineStr">
        <is>
          <t>賣</t>
        </is>
      </c>
      <c r="F667" s="229" t="inlineStr">
        <is>
          <t>-</t>
        </is>
      </c>
      <c r="G667" s="697" t="n">
        <v>1</v>
      </c>
      <c r="H667" s="697" t="n">
        <v>10879</v>
      </c>
      <c r="I667" s="697" t="n">
        <v>0</v>
      </c>
      <c r="J667" s="585" t="n">
        <v>45</v>
      </c>
      <c r="K667" s="585" t="n">
        <v>44</v>
      </c>
      <c r="L667" s="585">
        <f>IF(B667="TXO",I667-SUM(J667:K667),IF(B667="FITX",IF(D667="新倉",-SUM(J667:K667),IF(E667="賣",(H667-H666)*G667*200-SUM(J667:K667),(H666-H667)*G667*200-SUM(J667:K667))),IF(D667="新倉",-SUM(J667:K667),IF(E667="賣",(H667-H666)*G667*50-SUM(J667:K667),(H666-H667)*G667*50-SUM(J667:K667)))))</f>
        <v/>
      </c>
      <c r="M667" s="699">
        <f>L667</f>
        <v/>
      </c>
      <c r="N667" s="686">
        <f>IF(B667="TXO","",IF(D667="新倉","",IF(E667="賣",(H667-H666)*G667,(H666-H667)*G667)))</f>
        <v/>
      </c>
      <c r="O667" s="226">
        <f>ABS(I667)</f>
        <v/>
      </c>
      <c r="P667" s="667" t="n"/>
      <c r="Q667" s="249" t="inlineStr">
        <is>
          <t>尾盤出清</t>
        </is>
      </c>
      <c r="R667" s="249" t="inlineStr">
        <is>
          <t>Yes</t>
        </is>
      </c>
      <c r="S667" s="739" t="n"/>
      <c r="T667" s="61">
        <f>IF(AND(R667="Yes",S667&lt;&gt;"Yes",L667&gt;0,B667&lt;&gt;"TXO"),L667,"")</f>
        <v/>
      </c>
      <c r="U667" s="61">
        <f>IF(AND(R667="Yes",S667&lt;&gt;"Yes",L667&lt;0,B667&lt;&gt;"TXO"),L667,"")</f>
        <v/>
      </c>
      <c r="V667" s="61">
        <f>IF(AND(R667="",S667&lt;&gt;"Yes",L667&gt;0,B667&lt;&gt;"TXO"),L667,"")</f>
        <v/>
      </c>
      <c r="W667" s="61">
        <f>IF(AND(R667="",S667&lt;&gt;"Yes",L667&lt;0,B667&lt;&gt;"TXO"),L667,"")</f>
        <v/>
      </c>
      <c r="X667" s="226">
        <f>IF(AND(R667="Yes",S667="Yes",L667&gt;0,B667&lt;&gt;"TXO"),L667,"")</f>
        <v/>
      </c>
      <c r="Y667" s="226">
        <f>IF(AND(R667="Yes",S667="Yes",L667&lt;0,B667&lt;&gt;"TXO"),L667,"")</f>
        <v/>
      </c>
      <c r="Z667" s="226">
        <f>IF(AND(R667="",S667="Yes",L667&gt;0,B667&lt;&gt;"TXO"),L667,"")</f>
        <v/>
      </c>
      <c r="AA667" s="226">
        <f>IF(AND(R667="",S667="Yes",L667&lt;0,B667&lt;&gt;"TXO"),L667,"")</f>
        <v/>
      </c>
    </row>
    <row r="668" hidden="1" outlineLevel="2" ht="17.25" customHeight="1" thickBot="1">
      <c r="A668" s="696" t="n">
        <v>43357</v>
      </c>
      <c r="B668" s="234" t="inlineStr">
        <is>
          <t>FITX</t>
        </is>
      </c>
      <c r="C668" s="229" t="inlineStr">
        <is>
          <t>台指09</t>
        </is>
      </c>
      <c r="D668" s="229" t="inlineStr">
        <is>
          <t>新倉</t>
        </is>
      </c>
      <c r="E668" s="257" t="inlineStr">
        <is>
          <t>買</t>
        </is>
      </c>
      <c r="F668" s="229" t="inlineStr">
        <is>
          <t>-</t>
        </is>
      </c>
      <c r="G668" s="697" t="n">
        <v>1</v>
      </c>
      <c r="H668" s="697" t="n">
        <v>10894</v>
      </c>
      <c r="I668" s="697" t="n">
        <v>0</v>
      </c>
      <c r="J668" s="585" t="n">
        <v>45</v>
      </c>
      <c r="K668" s="585" t="n">
        <v>44</v>
      </c>
      <c r="L668" s="585">
        <f>IF(B668="TXO",I668-SUM(J668:K668),IF(B668="FITX",IF(D668="新倉",-SUM(J668:K668),IF(E668="賣",(H668-H667)*G668*200-SUM(J668:K668),(H667-H668)*G668*200-SUM(J668:K668))),IF(D668="新倉",-SUM(J668:K668),IF(E668="賣",(H668-H667)*G668*50-SUM(J668:K668),(H667-H668)*G668*50-SUM(J668:K668)))))</f>
        <v/>
      </c>
      <c r="M668" s="699">
        <f>L668</f>
        <v/>
      </c>
      <c r="N668" s="686">
        <f>IF(B668="TXO","",IF(D668="新倉","",IF(E668="賣",(H668-H667)*G668,(H667-H668)*G668)))</f>
        <v/>
      </c>
      <c r="O668" s="226">
        <f>ABS(I668)</f>
        <v/>
      </c>
      <c r="P668" s="667">
        <f>SUM(L668:L677)</f>
        <v/>
      </c>
      <c r="Q668" s="249" t="inlineStr">
        <is>
          <t>技法: 3/3 買進一口</t>
        </is>
      </c>
      <c r="R668" s="249" t="inlineStr">
        <is>
          <t>Yes</t>
        </is>
      </c>
      <c r="S668" s="249" t="inlineStr">
        <is>
          <t>Yes</t>
        </is>
      </c>
      <c r="T668" s="61">
        <f>IF(AND(R668="Yes",S668&lt;&gt;"Yes",L668&gt;0,B668&lt;&gt;"TXO"),L668,"")</f>
        <v/>
      </c>
      <c r="U668" s="61">
        <f>IF(AND(R668="Yes",S668&lt;&gt;"Yes",L668&lt;0,B668&lt;&gt;"TXO"),L668,"")</f>
        <v/>
      </c>
      <c r="V668" s="61">
        <f>IF(AND(R668="",S668&lt;&gt;"Yes",L668&gt;0,B668&lt;&gt;"TXO"),L668,"")</f>
        <v/>
      </c>
      <c r="W668" s="61">
        <f>IF(AND(R668="",S668&lt;&gt;"Yes",L668&lt;0,B668&lt;&gt;"TXO"),L668,"")</f>
        <v/>
      </c>
      <c r="X668" s="226">
        <f>IF(AND(R668="Yes",S668="Yes",L668&gt;0,B668&lt;&gt;"TXO"),L668,"")</f>
        <v/>
      </c>
      <c r="Y668" s="226">
        <f>IF(AND(R668="Yes",S668="Yes",L668&lt;0,B668&lt;&gt;"TXO"),L668,"")</f>
        <v/>
      </c>
      <c r="Z668" s="226">
        <f>IF(AND(R668="",S668="Yes",L668&gt;0,B668&lt;&gt;"TXO"),L668,"")</f>
        <v/>
      </c>
      <c r="AA668" s="226">
        <f>IF(AND(R668="",S668="Yes",L668&lt;0,B668&lt;&gt;"TXO"),L668,"")</f>
        <v/>
      </c>
    </row>
    <row r="669" hidden="1" outlineLevel="2" ht="17.25" customHeight="1" thickBot="1">
      <c r="A669" s="696" t="n">
        <v>43357</v>
      </c>
      <c r="B669" s="234" t="inlineStr">
        <is>
          <t>FITX</t>
        </is>
      </c>
      <c r="C669" s="229" t="inlineStr">
        <is>
          <t>台指09</t>
        </is>
      </c>
      <c r="D669" s="229" t="inlineStr">
        <is>
          <t>平倉</t>
        </is>
      </c>
      <c r="E669" s="257" t="inlineStr">
        <is>
          <t>賣</t>
        </is>
      </c>
      <c r="F669" s="229" t="inlineStr">
        <is>
          <t>-</t>
        </is>
      </c>
      <c r="G669" s="697" t="n">
        <v>1</v>
      </c>
      <c r="H669" s="697" t="n">
        <v>10895</v>
      </c>
      <c r="I669" s="697" t="n">
        <v>0</v>
      </c>
      <c r="J669" s="585" t="n">
        <v>45</v>
      </c>
      <c r="K669" s="585" t="n">
        <v>44</v>
      </c>
      <c r="L669" s="585">
        <f>IF(B669="TXO",I669-SUM(J669:K669),IF(B669="FITX",IF(D669="新倉",-SUM(J669:K669),IF(E669="賣",(H669-H668)*G669*200-SUM(J669:K669),(H668-H669)*G669*200-SUM(J669:K669))),IF(D669="新倉",-SUM(J669:K669),IF(E669="賣",(H669-H668)*G669*50-SUM(J669:K669),(H668-H669)*G669*50-SUM(J669:K669)))))</f>
        <v/>
      </c>
      <c r="M669" s="699">
        <f>L669</f>
        <v/>
      </c>
      <c r="N669" s="686">
        <f>IF(B669="TXO","",IF(D669="新倉","",IF(E669="賣",(H669-H668)*G669,(H668-H669)*G669)))</f>
        <v/>
      </c>
      <c r="O669" s="226">
        <f>ABS(I669)</f>
        <v/>
      </c>
      <c r="P669" s="667" t="n"/>
      <c r="R669" s="249" t="inlineStr">
        <is>
          <t>Yes</t>
        </is>
      </c>
      <c r="S669" s="249" t="inlineStr">
        <is>
          <t>Yes</t>
        </is>
      </c>
      <c r="T669" s="61">
        <f>IF(AND(R669="Yes",S669&lt;&gt;"Yes",L669&gt;0,B669&lt;&gt;"TXO"),L669,"")</f>
        <v/>
      </c>
      <c r="U669" s="61">
        <f>IF(AND(R669="Yes",S669&lt;&gt;"Yes",L669&lt;0,B669&lt;&gt;"TXO"),L669,"")</f>
        <v/>
      </c>
      <c r="V669" s="61">
        <f>IF(AND(R669="",S669&lt;&gt;"Yes",L669&gt;0,B669&lt;&gt;"TXO"),L669,"")</f>
        <v/>
      </c>
      <c r="W669" s="61">
        <f>IF(AND(R669="",S669&lt;&gt;"Yes",L669&lt;0,B669&lt;&gt;"TXO"),L669,"")</f>
        <v/>
      </c>
      <c r="X669" s="226">
        <f>IF(AND(R669="Yes",S669="Yes",L669&gt;0,B669&lt;&gt;"TXO"),L669,"")</f>
        <v/>
      </c>
      <c r="Y669" s="226">
        <f>IF(AND(R669="Yes",S669="Yes",L669&lt;0,B669&lt;&gt;"TXO"),L669,"")</f>
        <v/>
      </c>
      <c r="Z669" s="226">
        <f>IF(AND(R669="",S669="Yes",L669&gt;0,B669&lt;&gt;"TXO"),L669,"")</f>
        <v/>
      </c>
      <c r="AA669" s="226">
        <f>IF(AND(R669="",S669="Yes",L669&lt;0,B669&lt;&gt;"TXO"),L669,"")</f>
        <v/>
      </c>
    </row>
    <row r="670" hidden="1" outlineLevel="2" ht="17.25" customHeight="1" thickBot="1">
      <c r="A670" s="696" t="n">
        <v>43357</v>
      </c>
      <c r="B670" s="234" t="inlineStr">
        <is>
          <t>FIMTX</t>
        </is>
      </c>
      <c r="C670" s="229" t="inlineStr">
        <is>
          <t>小指09</t>
        </is>
      </c>
      <c r="D670" s="229" t="inlineStr">
        <is>
          <t>新倉</t>
        </is>
      </c>
      <c r="E670" s="257" t="inlineStr">
        <is>
          <t>賣</t>
        </is>
      </c>
      <c r="F670" s="229" t="inlineStr">
        <is>
          <t>-</t>
        </is>
      </c>
      <c r="G670" s="697" t="n">
        <v>1</v>
      </c>
      <c r="H670" s="697" t="n">
        <v>10887</v>
      </c>
      <c r="I670" s="697" t="n">
        <v>0</v>
      </c>
      <c r="J670" s="585" t="n">
        <v>23</v>
      </c>
      <c r="K670" s="585" t="n">
        <v>11</v>
      </c>
      <c r="L670" s="585">
        <f>IF(B670="TXO",I670-SUM(J670:K670),IF(B670="FITX",IF(D670="新倉",-SUM(J670:K670),IF(E670="賣",(H670-H669)*G670*200-SUM(J670:K670),(H669-H670)*G670*200-SUM(J670:K670))),IF(D670="新倉",-SUM(J670:K670),IF(E670="賣",(H670-H669)*G670*50-SUM(J670:K670),(H669-H670)*G670*50-SUM(J670:K670)))))</f>
        <v/>
      </c>
      <c r="M670" s="699">
        <f>L670</f>
        <v/>
      </c>
      <c r="N670" s="686">
        <f>IF(B670="TXO","",IF(D670="新倉","",IF(E670="賣",(H670-H669)*G670,(H669-H670)*G670)))</f>
        <v/>
      </c>
      <c r="O670" s="226">
        <f>ABS(I670)</f>
        <v/>
      </c>
      <c r="P670" s="667" t="n"/>
      <c r="Q670" s="312" t="inlineStr">
        <is>
          <t>加碼空單</t>
        </is>
      </c>
      <c r="R670" s="312" t="n"/>
      <c r="S670" s="249" t="inlineStr">
        <is>
          <t>Yes</t>
        </is>
      </c>
      <c r="T670" s="61">
        <f>IF(AND(R670="Yes",S670&lt;&gt;"Yes",L670&gt;0,B670&lt;&gt;"TXO"),L670,"")</f>
        <v/>
      </c>
      <c r="U670" s="61">
        <f>IF(AND(R670="Yes",S670&lt;&gt;"Yes",L670&lt;0,B670&lt;&gt;"TXO"),L670,"")</f>
        <v/>
      </c>
      <c r="V670" s="61">
        <f>IF(AND(R670="",S670&lt;&gt;"Yes",L670&gt;0,B670&lt;&gt;"TXO"),L670,"")</f>
        <v/>
      </c>
      <c r="W670" s="61">
        <f>IF(AND(R670="",S670&lt;&gt;"Yes",L670&lt;0,B670&lt;&gt;"TXO"),L670,"")</f>
        <v/>
      </c>
      <c r="X670" s="226">
        <f>IF(AND(R670="Yes",S670="Yes",L670&gt;0,B670&lt;&gt;"TXO"),L670,"")</f>
        <v/>
      </c>
      <c r="Y670" s="226">
        <f>IF(AND(R670="Yes",S670="Yes",L670&lt;0,B670&lt;&gt;"TXO"),L670,"")</f>
        <v/>
      </c>
      <c r="Z670" s="226">
        <f>IF(AND(R670="",S670="Yes",L670&gt;0,B670&lt;&gt;"TXO"),L670,"")</f>
        <v/>
      </c>
      <c r="AA670" s="226">
        <f>IF(AND(R670="",S670="Yes",L670&lt;0,B670&lt;&gt;"TXO"),L670,"")</f>
        <v/>
      </c>
    </row>
    <row r="671" hidden="1" outlineLevel="2" ht="17.25" customHeight="1" thickBot="1">
      <c r="A671" s="696" t="n">
        <v>43357</v>
      </c>
      <c r="B671" s="234" t="inlineStr">
        <is>
          <t>FIMTX</t>
        </is>
      </c>
      <c r="C671" s="229" t="inlineStr">
        <is>
          <t>小指09</t>
        </is>
      </c>
      <c r="D671" s="229" t="inlineStr">
        <is>
          <t>平倉</t>
        </is>
      </c>
      <c r="E671" s="257" t="inlineStr">
        <is>
          <t>買</t>
        </is>
      </c>
      <c r="F671" s="229" t="inlineStr">
        <is>
          <t>-</t>
        </is>
      </c>
      <c r="G671" s="697" t="n">
        <v>1</v>
      </c>
      <c r="H671" s="697" t="n">
        <v>10899</v>
      </c>
      <c r="I671" s="697" t="n">
        <v>0</v>
      </c>
      <c r="J671" s="585" t="n">
        <v>23</v>
      </c>
      <c r="K671" s="585" t="n">
        <v>11</v>
      </c>
      <c r="L671" s="585">
        <f>IF(B671="TXO",I671-SUM(J671:K671),IF(B671="FITX",IF(D671="新倉",-SUM(J671:K671),IF(E671="賣",(H671-H670)*G671*200-SUM(J671:K671),(H670-H671)*G671*200-SUM(J671:K671))),IF(D671="新倉",-SUM(J671:K671),IF(E671="賣",(H671-H670)*G671*50-SUM(J671:K671),(H670-H671)*G671*50-SUM(J671:K671)))))</f>
        <v/>
      </c>
      <c r="M671" s="699">
        <f>L671</f>
        <v/>
      </c>
      <c r="N671" s="686">
        <f>IF(B671="TXO","",IF(D671="新倉","",IF(E671="賣",(H671-H670)*G671,(H670-H671)*G671)))</f>
        <v/>
      </c>
      <c r="O671" s="226">
        <f>ABS(I671)</f>
        <v/>
      </c>
      <c r="P671" s="667" t="n"/>
      <c r="Q671" s="312" t="inlineStr">
        <is>
          <t>停損</t>
        </is>
      </c>
      <c r="R671" s="312" t="n"/>
      <c r="S671" s="249" t="inlineStr">
        <is>
          <t>Yes</t>
        </is>
      </c>
      <c r="T671" s="61">
        <f>IF(AND(R671="Yes",S671&lt;&gt;"Yes",L671&gt;0,B671&lt;&gt;"TXO"),L671,"")</f>
        <v/>
      </c>
      <c r="U671" s="61">
        <f>IF(AND(R671="Yes",S671&lt;&gt;"Yes",L671&lt;0,B671&lt;&gt;"TXO"),L671,"")</f>
        <v/>
      </c>
      <c r="V671" s="61">
        <f>IF(AND(R671="",S671&lt;&gt;"Yes",L671&gt;0,B671&lt;&gt;"TXO"),L671,"")</f>
        <v/>
      </c>
      <c r="W671" s="61">
        <f>IF(AND(R671="",S671&lt;&gt;"Yes",L671&lt;0,B671&lt;&gt;"TXO"),L671,"")</f>
        <v/>
      </c>
      <c r="X671" s="226">
        <f>IF(AND(R671="Yes",S671="Yes",L671&gt;0,B671&lt;&gt;"TXO"),L671,"")</f>
        <v/>
      </c>
      <c r="Y671" s="226">
        <f>IF(AND(R671="Yes",S671="Yes",L671&lt;0,B671&lt;&gt;"TXO"),L671,"")</f>
        <v/>
      </c>
      <c r="Z671" s="226">
        <f>IF(AND(R671="",S671="Yes",L671&gt;0,B671&lt;&gt;"TXO"),L671,"")</f>
        <v/>
      </c>
      <c r="AA671" s="226">
        <f>IF(AND(R671="",S671="Yes",L671&lt;0,B671&lt;&gt;"TXO"),L671,"")</f>
        <v/>
      </c>
    </row>
    <row r="672" hidden="1" outlineLevel="2" ht="17.25" customHeight="1" thickBot="1">
      <c r="A672" s="696" t="n">
        <v>43357</v>
      </c>
      <c r="B672" s="234" t="inlineStr">
        <is>
          <t>FIMTX</t>
        </is>
      </c>
      <c r="C672" s="229" t="inlineStr">
        <is>
          <t>小指09</t>
        </is>
      </c>
      <c r="D672" s="229" t="inlineStr">
        <is>
          <t>新倉</t>
        </is>
      </c>
      <c r="E672" s="257" t="inlineStr">
        <is>
          <t>賣</t>
        </is>
      </c>
      <c r="F672" s="229" t="inlineStr">
        <is>
          <t>-</t>
        </is>
      </c>
      <c r="G672" s="697" t="n">
        <v>1</v>
      </c>
      <c r="H672" s="697" t="n">
        <v>10895</v>
      </c>
      <c r="I672" s="697" t="n">
        <v>0</v>
      </c>
      <c r="J672" s="585" t="n">
        <v>23</v>
      </c>
      <c r="K672" s="585" t="n">
        <v>11</v>
      </c>
      <c r="L672" s="585">
        <f>IF(B672="TXO",I672-SUM(J672:K672),IF(B672="FITX",IF(D672="新倉",-SUM(J672:K672),IF(E672="賣",(H672-H671)*G672*200-SUM(J672:K672),(H671-H672)*G672*200-SUM(J672:K672))),IF(D672="新倉",-SUM(J672:K672),IF(E672="賣",(H672-H671)*G672*50-SUM(J672:K672),(H671-H672)*G672*50-SUM(J672:K672)))))</f>
        <v/>
      </c>
      <c r="M672" s="699">
        <f>L672</f>
        <v/>
      </c>
      <c r="N672" s="686">
        <f>IF(B672="TXO","",IF(D672="新倉","",IF(E672="賣",(H672-H671)*G672,(H671-H672)*G672)))</f>
        <v/>
      </c>
      <c r="O672" s="226">
        <f>ABS(I672)</f>
        <v/>
      </c>
      <c r="P672" s="667" t="n"/>
      <c r="Q672" s="312" t="inlineStr">
        <is>
          <t>加碼空單</t>
        </is>
      </c>
      <c r="R672" s="312" t="n"/>
      <c r="S672" s="249" t="inlineStr">
        <is>
          <t>Yes</t>
        </is>
      </c>
      <c r="T672" s="61">
        <f>IF(AND(R672="Yes",S672&lt;&gt;"Yes",L672&gt;0,B672&lt;&gt;"TXO"),L672,"")</f>
        <v/>
      </c>
      <c r="U672" s="61">
        <f>IF(AND(R672="Yes",S672&lt;&gt;"Yes",L672&lt;0,B672&lt;&gt;"TXO"),L672,"")</f>
        <v/>
      </c>
      <c r="V672" s="61">
        <f>IF(AND(R672="",S672&lt;&gt;"Yes",L672&gt;0,B672&lt;&gt;"TXO"),L672,"")</f>
        <v/>
      </c>
      <c r="W672" s="61">
        <f>IF(AND(R672="",S672&lt;&gt;"Yes",L672&lt;0,B672&lt;&gt;"TXO"),L672,"")</f>
        <v/>
      </c>
      <c r="X672" s="226">
        <f>IF(AND(R672="Yes",S672="Yes",L672&gt;0,B672&lt;&gt;"TXO"),L672,"")</f>
        <v/>
      </c>
      <c r="Y672" s="226">
        <f>IF(AND(R672="Yes",S672="Yes",L672&lt;0,B672&lt;&gt;"TXO"),L672,"")</f>
        <v/>
      </c>
      <c r="Z672" s="226">
        <f>IF(AND(R672="",S672="Yes",L672&gt;0,B672&lt;&gt;"TXO"),L672,"")</f>
        <v/>
      </c>
      <c r="AA672" s="226">
        <f>IF(AND(R672="",S672="Yes",L672&lt;0,B672&lt;&gt;"TXO"),L672,"")</f>
        <v/>
      </c>
    </row>
    <row r="673" hidden="1" outlineLevel="2" ht="17.25" customHeight="1" thickBot="1">
      <c r="A673" s="696" t="n">
        <v>43357</v>
      </c>
      <c r="B673" s="234" t="inlineStr">
        <is>
          <t>FIMTX</t>
        </is>
      </c>
      <c r="C673" s="229" t="inlineStr">
        <is>
          <t>小指09</t>
        </is>
      </c>
      <c r="D673" s="229" t="inlineStr">
        <is>
          <t>平倉</t>
        </is>
      </c>
      <c r="E673" s="257" t="inlineStr">
        <is>
          <t>買</t>
        </is>
      </c>
      <c r="F673" s="229" t="inlineStr">
        <is>
          <t>-</t>
        </is>
      </c>
      <c r="G673" s="697" t="n">
        <v>1</v>
      </c>
      <c r="H673" s="697" t="n">
        <v>10901</v>
      </c>
      <c r="I673" s="697" t="n">
        <v>0</v>
      </c>
      <c r="J673" s="585" t="n">
        <v>23</v>
      </c>
      <c r="K673" s="585" t="n">
        <v>11</v>
      </c>
      <c r="L673" s="585">
        <f>IF(B673="TXO",I673-SUM(J673:K673),IF(B673="FITX",IF(D673="新倉",-SUM(J673:K673),IF(E673="賣",(H673-H672)*G673*200-SUM(J673:K673),(H672-H673)*G673*200-SUM(J673:K673))),IF(D673="新倉",-SUM(J673:K673),IF(E673="賣",(H673-H672)*G673*50-SUM(J673:K673),(H672-H673)*G673*50-SUM(J673:K673)))))</f>
        <v/>
      </c>
      <c r="M673" s="699">
        <f>L673</f>
        <v/>
      </c>
      <c r="N673" s="686">
        <f>IF(B673="TXO","",IF(D673="新倉","",IF(E673="賣",(H673-H672)*G673,(H672-H673)*G673)))</f>
        <v/>
      </c>
      <c r="O673" s="226">
        <f>ABS(I673)</f>
        <v/>
      </c>
      <c r="P673" s="667" t="n"/>
      <c r="Q673" s="312" t="inlineStr">
        <is>
          <t>停損</t>
        </is>
      </c>
      <c r="R673" s="312" t="n"/>
      <c r="S673" s="249" t="inlineStr">
        <is>
          <t>Yes</t>
        </is>
      </c>
      <c r="T673" s="61">
        <f>IF(AND(R673="Yes",S673&lt;&gt;"Yes",L673&gt;0,B673&lt;&gt;"TXO"),L673,"")</f>
        <v/>
      </c>
      <c r="U673" s="61">
        <f>IF(AND(R673="Yes",S673&lt;&gt;"Yes",L673&lt;0,B673&lt;&gt;"TXO"),L673,"")</f>
        <v/>
      </c>
      <c r="V673" s="61">
        <f>IF(AND(R673="",S673&lt;&gt;"Yes",L673&gt;0,B673&lt;&gt;"TXO"),L673,"")</f>
        <v/>
      </c>
      <c r="W673" s="61">
        <f>IF(AND(R673="",S673&lt;&gt;"Yes",L673&lt;0,B673&lt;&gt;"TXO"),L673,"")</f>
        <v/>
      </c>
      <c r="X673" s="226">
        <f>IF(AND(R673="Yes",S673="Yes",L673&gt;0,B673&lt;&gt;"TXO"),L673,"")</f>
        <v/>
      </c>
      <c r="Y673" s="226">
        <f>IF(AND(R673="Yes",S673="Yes",L673&lt;0,B673&lt;&gt;"TXO"),L673,"")</f>
        <v/>
      </c>
      <c r="Z673" s="226">
        <f>IF(AND(R673="",S673="Yes",L673&gt;0,B673&lt;&gt;"TXO"),L673,"")</f>
        <v/>
      </c>
      <c r="AA673" s="226">
        <f>IF(AND(R673="",S673="Yes",L673&lt;0,B673&lt;&gt;"TXO"),L673,"")</f>
        <v/>
      </c>
    </row>
    <row r="674" hidden="1" outlineLevel="2" ht="17.25" customHeight="1" thickBot="1">
      <c r="A674" s="696" t="n">
        <v>43357</v>
      </c>
      <c r="B674" s="234" t="inlineStr">
        <is>
          <t>FITX</t>
        </is>
      </c>
      <c r="C674" s="229" t="inlineStr">
        <is>
          <t>台指09</t>
        </is>
      </c>
      <c r="D674" s="229" t="inlineStr">
        <is>
          <t>新倉</t>
        </is>
      </c>
      <c r="E674" s="257" t="inlineStr">
        <is>
          <t>賣</t>
        </is>
      </c>
      <c r="F674" s="229" t="inlineStr">
        <is>
          <t>-</t>
        </is>
      </c>
      <c r="G674" s="697" t="n">
        <v>1</v>
      </c>
      <c r="H674" s="697" t="n">
        <v>10897</v>
      </c>
      <c r="I674" s="697" t="n">
        <v>0</v>
      </c>
      <c r="J674" s="585" t="n">
        <v>45</v>
      </c>
      <c r="K674" s="585" t="n">
        <v>44</v>
      </c>
      <c r="L674" s="585">
        <f>IF(B674="TXO",I674-SUM(J674:K674),IF(B674="FITX",IF(D674="新倉",-SUM(J674:K674),IF(E674="賣",(H674-H673)*G674*200-SUM(J674:K674),(H673-H674)*G674*200-SUM(J674:K674))),IF(D674="新倉",-SUM(J674:K674),IF(E674="賣",(H674-H673)*G674*50-SUM(J674:K674),(H673-H674)*G674*50-SUM(J674:K674)))))</f>
        <v/>
      </c>
      <c r="M674" s="699">
        <f>L674</f>
        <v/>
      </c>
      <c r="N674" s="686">
        <f>IF(B674="TXO","",IF(D674="新倉","",IF(E674="賣",(H674-H673)*G674,(H673-H674)*G674)))</f>
        <v/>
      </c>
      <c r="O674" s="226">
        <f>ABS(I674)</f>
        <v/>
      </c>
      <c r="P674" s="667" t="n"/>
      <c r="Q674" s="249" t="inlineStr">
        <is>
          <t>技法: 3/3 買進一口</t>
        </is>
      </c>
      <c r="R674" s="249" t="inlineStr">
        <is>
          <t>Yes</t>
        </is>
      </c>
      <c r="S674" s="249" t="inlineStr">
        <is>
          <t>Yes</t>
        </is>
      </c>
      <c r="T674" s="61">
        <f>IF(AND(R674="Yes",S674&lt;&gt;"Yes",L674&gt;0,B674&lt;&gt;"TXO"),L674,"")</f>
        <v/>
      </c>
      <c r="U674" s="61">
        <f>IF(AND(R674="Yes",S674&lt;&gt;"Yes",L674&lt;0,B674&lt;&gt;"TXO"),L674,"")</f>
        <v/>
      </c>
      <c r="V674" s="61">
        <f>IF(AND(R674="",S674&lt;&gt;"Yes",L674&gt;0,B674&lt;&gt;"TXO"),L674,"")</f>
        <v/>
      </c>
      <c r="W674" s="61">
        <f>IF(AND(R674="",S674&lt;&gt;"Yes",L674&lt;0,B674&lt;&gt;"TXO"),L674,"")</f>
        <v/>
      </c>
      <c r="X674" s="226">
        <f>IF(AND(R674="Yes",S674="Yes",L674&gt;0,B674&lt;&gt;"TXO"),L674,"")</f>
        <v/>
      </c>
      <c r="Y674" s="226">
        <f>IF(AND(R674="Yes",S674="Yes",L674&lt;0,B674&lt;&gt;"TXO"),L674,"")</f>
        <v/>
      </c>
      <c r="Z674" s="226">
        <f>IF(AND(R674="",S674="Yes",L674&gt;0,B674&lt;&gt;"TXO"),L674,"")</f>
        <v/>
      </c>
      <c r="AA674" s="226">
        <f>IF(AND(R674="",S674="Yes",L674&lt;0,B674&lt;&gt;"TXO"),L674,"")</f>
        <v/>
      </c>
    </row>
    <row r="675" hidden="1" outlineLevel="2" ht="17.25" customHeight="1" thickBot="1">
      <c r="A675" s="696" t="n">
        <v>43357</v>
      </c>
      <c r="B675" s="234" t="inlineStr">
        <is>
          <t>FITX</t>
        </is>
      </c>
      <c r="C675" s="229" t="inlineStr">
        <is>
          <t>台指09</t>
        </is>
      </c>
      <c r="D675" s="229" t="inlineStr">
        <is>
          <t>平倉</t>
        </is>
      </c>
      <c r="E675" s="257" t="inlineStr">
        <is>
          <t>買</t>
        </is>
      </c>
      <c r="F675" s="229" t="inlineStr">
        <is>
          <t>-</t>
        </is>
      </c>
      <c r="G675" s="697" t="n">
        <v>1</v>
      </c>
      <c r="H675" s="697" t="n">
        <v>10889</v>
      </c>
      <c r="I675" s="697" t="n">
        <v>0</v>
      </c>
      <c r="J675" s="585" t="n">
        <v>45</v>
      </c>
      <c r="K675" s="585" t="n">
        <v>44</v>
      </c>
      <c r="L675" s="585">
        <f>IF(B675="TXO",I675-SUM(J675:K675),IF(B675="FITX",IF(D675="新倉",-SUM(J675:K675),IF(E675="賣",(H675-H674)*G675*200-SUM(J675:K675),(H674-H675)*G675*200-SUM(J675:K675))),IF(D675="新倉",-SUM(J675:K675),IF(E675="賣",(H675-H674)*G675*50-SUM(J675:K675),(H674-H675)*G675*50-SUM(J675:K675)))))</f>
        <v/>
      </c>
      <c r="M675" s="699">
        <f>L675</f>
        <v/>
      </c>
      <c r="N675" s="686">
        <f>IF(B675="TXO","",IF(D675="新倉","",IF(E675="賣",(H675-H674)*G675,(H674-H675)*G675)))</f>
        <v/>
      </c>
      <c r="O675" s="226">
        <f>ABS(I675)</f>
        <v/>
      </c>
      <c r="P675" s="667" t="n"/>
      <c r="Q675" s="249" t="inlineStr">
        <is>
          <t>元大移動式停利出場</t>
        </is>
      </c>
      <c r="R675" s="249" t="inlineStr">
        <is>
          <t>Yes</t>
        </is>
      </c>
      <c r="S675" s="249" t="inlineStr">
        <is>
          <t>Yes</t>
        </is>
      </c>
      <c r="T675" s="61">
        <f>IF(AND(R675="Yes",S675&lt;&gt;"Yes",L675&gt;0,B675&lt;&gt;"TXO"),L675,"")</f>
        <v/>
      </c>
      <c r="U675" s="61">
        <f>IF(AND(R675="Yes",S675&lt;&gt;"Yes",L675&lt;0,B675&lt;&gt;"TXO"),L675,"")</f>
        <v/>
      </c>
      <c r="V675" s="61">
        <f>IF(AND(R675="",S675&lt;&gt;"Yes",L675&gt;0,B675&lt;&gt;"TXO"),L675,"")</f>
        <v/>
      </c>
      <c r="W675" s="61">
        <f>IF(AND(R675="",S675&lt;&gt;"Yes",L675&lt;0,B675&lt;&gt;"TXO"),L675,"")</f>
        <v/>
      </c>
      <c r="X675" s="226">
        <f>IF(AND(R675="Yes",S675="Yes",L675&gt;0,B675&lt;&gt;"TXO"),L675,"")</f>
        <v/>
      </c>
      <c r="Y675" s="226">
        <f>IF(AND(R675="Yes",S675="Yes",L675&lt;0,B675&lt;&gt;"TXO"),L675,"")</f>
        <v/>
      </c>
      <c r="Z675" s="226">
        <f>IF(AND(R675="",S675="Yes",L675&gt;0,B675&lt;&gt;"TXO"),L675,"")</f>
        <v/>
      </c>
      <c r="AA675" s="226">
        <f>IF(AND(R675="",S675="Yes",L675&lt;0,B675&lt;&gt;"TXO"),L675,"")</f>
        <v/>
      </c>
    </row>
    <row r="676" hidden="1" outlineLevel="2" ht="17.25" customHeight="1" thickBot="1">
      <c r="A676" s="696" t="n">
        <v>43357</v>
      </c>
      <c r="B676" s="234" t="inlineStr">
        <is>
          <t>FITX</t>
        </is>
      </c>
      <c r="C676" s="229" t="inlineStr">
        <is>
          <t>台指09</t>
        </is>
      </c>
      <c r="D676" s="229" t="inlineStr">
        <is>
          <t>新倉</t>
        </is>
      </c>
      <c r="E676" s="257" t="inlineStr">
        <is>
          <t>賣</t>
        </is>
      </c>
      <c r="F676" s="229" t="inlineStr">
        <is>
          <t>-</t>
        </is>
      </c>
      <c r="G676" s="697" t="n">
        <v>1</v>
      </c>
      <c r="H676" s="697" t="n">
        <v>10877</v>
      </c>
      <c r="I676" s="697" t="n">
        <v>0</v>
      </c>
      <c r="J676" s="585" t="n">
        <v>45</v>
      </c>
      <c r="K676" s="585" t="n">
        <v>44</v>
      </c>
      <c r="L676" s="585">
        <f>IF(B676="TXO",I676-SUM(J676:K676),IF(B676="FITX",IF(D676="新倉",-SUM(J676:K676),IF(E676="賣",(H676-H675)*G676*200-SUM(J676:K676),(H675-H676)*G676*200-SUM(J676:K676))),IF(D676="新倉",-SUM(J676:K676),IF(E676="賣",(H676-H675)*G676*50-SUM(J676:K676),(H675-H676)*G676*50-SUM(J676:K676)))))</f>
        <v/>
      </c>
      <c r="M676" s="699">
        <f>L676</f>
        <v/>
      </c>
      <c r="N676" s="686">
        <f>IF(B676="TXO","",IF(D676="新倉","",IF(E676="賣",(H676-H675)*G676,(H675-H676)*G676)))</f>
        <v/>
      </c>
      <c r="O676" s="226">
        <f>ABS(I676)</f>
        <v/>
      </c>
      <c r="P676" s="667" t="n"/>
      <c r="Q676" s="313" t="inlineStr">
        <is>
          <t>前一單被洗出場，追跌</t>
        </is>
      </c>
      <c r="R676" s="313" t="n"/>
      <c r="S676" s="249" t="inlineStr">
        <is>
          <t>Yes</t>
        </is>
      </c>
      <c r="T676" s="61">
        <f>IF(AND(R676="Yes",S676&lt;&gt;"Yes",L676&gt;0,B676&lt;&gt;"TXO"),L676,"")</f>
        <v/>
      </c>
      <c r="U676" s="61">
        <f>IF(AND(R676="Yes",S676&lt;&gt;"Yes",L676&lt;0,B676&lt;&gt;"TXO"),L676,"")</f>
        <v/>
      </c>
      <c r="V676" s="61">
        <f>IF(AND(R676="",S676&lt;&gt;"Yes",L676&gt;0,B676&lt;&gt;"TXO"),L676,"")</f>
        <v/>
      </c>
      <c r="W676" s="61">
        <f>IF(AND(R676="",S676&lt;&gt;"Yes",L676&lt;0,B676&lt;&gt;"TXO"),L676,"")</f>
        <v/>
      </c>
      <c r="X676" s="226">
        <f>IF(AND(R676="Yes",S676="Yes",L676&gt;0,B676&lt;&gt;"TXO"),L676,"")</f>
        <v/>
      </c>
      <c r="Y676" s="226">
        <f>IF(AND(R676="Yes",S676="Yes",L676&lt;0,B676&lt;&gt;"TXO"),L676,"")</f>
        <v/>
      </c>
      <c r="Z676" s="226">
        <f>IF(AND(R676="",S676="Yes",L676&gt;0,B676&lt;&gt;"TXO"),L676,"")</f>
        <v/>
      </c>
      <c r="AA676" s="226">
        <f>IF(AND(R676="",S676="Yes",L676&lt;0,B676&lt;&gt;"TXO"),L676,"")</f>
        <v/>
      </c>
    </row>
    <row r="677" hidden="1" outlineLevel="2" ht="17.25" customHeight="1" thickBot="1">
      <c r="A677" s="696" t="n">
        <v>43357</v>
      </c>
      <c r="B677" s="234" t="inlineStr">
        <is>
          <t>FITX</t>
        </is>
      </c>
      <c r="C677" s="229" t="inlineStr">
        <is>
          <t>台指09</t>
        </is>
      </c>
      <c r="D677" s="229" t="inlineStr">
        <is>
          <t>平倉</t>
        </is>
      </c>
      <c r="E677" s="257" t="inlineStr">
        <is>
          <t>買</t>
        </is>
      </c>
      <c r="F677" s="229" t="inlineStr">
        <is>
          <t>-</t>
        </is>
      </c>
      <c r="G677" s="697" t="n">
        <v>1</v>
      </c>
      <c r="H677" s="697" t="n">
        <v>10875</v>
      </c>
      <c r="I677" s="697" t="n">
        <v>0</v>
      </c>
      <c r="J677" s="585" t="n">
        <v>45</v>
      </c>
      <c r="K677" s="585" t="n">
        <v>44</v>
      </c>
      <c r="L677" s="585">
        <f>IF(B677="TXO",I677-SUM(J677:K677),IF(B677="FITX",IF(D677="新倉",-SUM(J677:K677),IF(E677="賣",(H677-H676)*G677*200-SUM(J677:K677),(H676-H677)*G677*200-SUM(J677:K677))),IF(D677="新倉",-SUM(J677:K677),IF(E677="賣",(H677-H676)*G677*50-SUM(J677:K677),(H676-H677)*G677*50-SUM(J677:K677)))))</f>
        <v/>
      </c>
      <c r="M677" s="699">
        <f>L677</f>
        <v/>
      </c>
      <c r="N677" s="686">
        <f>IF(B677="TXO","",IF(D677="新倉","",IF(E677="賣",(H677-H676)*G677,(H676-H677)*G677)))</f>
        <v/>
      </c>
      <c r="O677" s="226">
        <f>ABS(I677)</f>
        <v/>
      </c>
      <c r="P677" s="667" t="n"/>
      <c r="Q677" s="249" t="inlineStr">
        <is>
          <t>元大移動式停利出場</t>
        </is>
      </c>
      <c r="S677" s="249" t="inlineStr">
        <is>
          <t>Yes</t>
        </is>
      </c>
      <c r="T677" s="61">
        <f>IF(AND(R677="Yes",S677&lt;&gt;"Yes",L677&gt;0,B677&lt;&gt;"TXO"),L677,"")</f>
        <v/>
      </c>
      <c r="U677" s="61">
        <f>IF(AND(R677="Yes",S677&lt;&gt;"Yes",L677&lt;0,B677&lt;&gt;"TXO"),L677,"")</f>
        <v/>
      </c>
      <c r="V677" s="61">
        <f>IF(AND(R677="",S677&lt;&gt;"Yes",L677&gt;0,B677&lt;&gt;"TXO"),L677,"")</f>
        <v/>
      </c>
      <c r="W677" s="61">
        <f>IF(AND(R677="",S677&lt;&gt;"Yes",L677&lt;0,B677&lt;&gt;"TXO"),L677,"")</f>
        <v/>
      </c>
      <c r="X677" s="226">
        <f>IF(AND(R677="Yes",S677="Yes",L677&gt;0,B677&lt;&gt;"TXO"),L677,"")</f>
        <v/>
      </c>
      <c r="Y677" s="226">
        <f>IF(AND(R677="Yes",S677="Yes",L677&lt;0,B677&lt;&gt;"TXO"),L677,"")</f>
        <v/>
      </c>
      <c r="Z677" s="226">
        <f>IF(AND(R677="",S677="Yes",L677&gt;0,B677&lt;&gt;"TXO"),L677,"")</f>
        <v/>
      </c>
      <c r="AA677" s="226">
        <f>IF(AND(R677="",S677="Yes",L677&lt;0,B677&lt;&gt;"TXO"),L677,"")</f>
        <v/>
      </c>
    </row>
    <row r="678" hidden="1" outlineLevel="1" ht="17.25" customHeight="1" thickBot="1">
      <c r="A678" s="740" t="n">
        <v>43360</v>
      </c>
      <c r="B678" s="299" t="inlineStr">
        <is>
          <t>FITX</t>
        </is>
      </c>
      <c r="C678" s="300" t="inlineStr">
        <is>
          <t>台指09</t>
        </is>
      </c>
      <c r="D678" s="300" t="inlineStr">
        <is>
          <t>新倉</t>
        </is>
      </c>
      <c r="E678" s="301" t="inlineStr">
        <is>
          <t>賣</t>
        </is>
      </c>
      <c r="F678" s="300" t="inlineStr">
        <is>
          <t>-</t>
        </is>
      </c>
      <c r="G678" s="741" t="n">
        <v>1</v>
      </c>
      <c r="H678" s="741" t="n">
        <v>10828</v>
      </c>
      <c r="I678" s="741" t="n">
        <v>0</v>
      </c>
      <c r="J678" s="742" t="n">
        <v>45</v>
      </c>
      <c r="K678" s="742" t="n">
        <v>43</v>
      </c>
      <c r="L678" s="742">
        <f>IF(B678="TXO",I678-SUM(J678:K678),IF(B678="FITX",IF(D678="新倉",-SUM(J678:K678),IF(E678="賣",(H678-H677)*G678*200-SUM(J678:K678),(H677-H678)*G678*200-SUM(J678:K678))),IF(D678="新倉",-SUM(J678:K678),IF(E678="賣",(H678-H677)*G678*50-SUM(J678:K678),(H677-H678)*G678*50-SUM(J678:K678)))))</f>
        <v/>
      </c>
      <c r="M678" s="743">
        <f>L678</f>
        <v/>
      </c>
      <c r="N678" s="686">
        <f>IF(B678="TXO","",IF(D678="新倉","",IF(E678="賣",(H678-H677)*G678,(H677-H678)*G678)))</f>
        <v/>
      </c>
      <c r="O678" s="226">
        <f>ABS(I678)</f>
        <v/>
      </c>
      <c r="P678" s="667">
        <f>SUM(L678:L681)</f>
        <v/>
      </c>
      <c r="Q678" s="310" t="inlineStr">
        <is>
          <t>技法: 籌碼雙弱，跌破開盤試空單</t>
        </is>
      </c>
      <c r="R678" s="310" t="n"/>
      <c r="S678" s="739" t="n"/>
      <c r="T678" s="61">
        <f>IF(AND(R678="Yes",S678&lt;&gt;"Yes",L678&gt;0,B678&lt;&gt;"TXO"),L678,"")</f>
        <v/>
      </c>
      <c r="U678" s="61">
        <f>IF(AND(R678="Yes",S678&lt;&gt;"Yes",L678&lt;0,B678&lt;&gt;"TXO"),L678,"")</f>
        <v/>
      </c>
      <c r="V678" s="61">
        <f>IF(AND(R678="",S678&lt;&gt;"Yes",L678&gt;0,B678&lt;&gt;"TXO"),L678,"")</f>
        <v/>
      </c>
      <c r="W678" s="61">
        <f>IF(AND(R678="",S678&lt;&gt;"Yes",L678&lt;0,B678&lt;&gt;"TXO"),L678,"")</f>
        <v/>
      </c>
      <c r="X678" s="226">
        <f>IF(AND(R678="Yes",S678="Yes",L678&gt;0,B678&lt;&gt;"TXO"),L678,"")</f>
        <v/>
      </c>
      <c r="Y678" s="226">
        <f>IF(AND(R678="Yes",S678="Yes",L678&lt;0,B678&lt;&gt;"TXO"),L678,"")</f>
        <v/>
      </c>
      <c r="Z678" s="226">
        <f>IF(AND(R678="",S678="Yes",L678&gt;0,B678&lt;&gt;"TXO"),L678,"")</f>
        <v/>
      </c>
      <c r="AA678" s="226">
        <f>IF(AND(R678="",S678="Yes",L678&lt;0,B678&lt;&gt;"TXO"),L678,"")</f>
        <v/>
      </c>
    </row>
    <row r="679" hidden="1" outlineLevel="2" collapsed="1" ht="17.25" customHeight="1" thickBot="1">
      <c r="A679" s="740" t="n">
        <v>43360</v>
      </c>
      <c r="B679" s="299" t="inlineStr">
        <is>
          <t>FITX</t>
        </is>
      </c>
      <c r="C679" s="300" t="inlineStr">
        <is>
          <t>台指09</t>
        </is>
      </c>
      <c r="D679" s="300" t="inlineStr">
        <is>
          <t>平倉</t>
        </is>
      </c>
      <c r="E679" s="301" t="inlineStr">
        <is>
          <t>買</t>
        </is>
      </c>
      <c r="F679" s="300" t="inlineStr">
        <is>
          <t>-</t>
        </is>
      </c>
      <c r="G679" s="741" t="n">
        <v>1</v>
      </c>
      <c r="H679" s="741" t="n">
        <v>10824</v>
      </c>
      <c r="I679" s="741" t="n">
        <v>0</v>
      </c>
      <c r="J679" s="742" t="n">
        <v>45</v>
      </c>
      <c r="K679" s="742" t="n">
        <v>43</v>
      </c>
      <c r="L679" s="742">
        <f>IF(B679="TXO",I679-SUM(J679:K679),IF(B679="FITX",IF(D679="新倉",-SUM(J679:K679),IF(E679="賣",(H679-H678)*G679*200-SUM(J679:K679),(H678-H679)*G679*200-SUM(J679:K679))),IF(D679="新倉",-SUM(J679:K679),IF(E679="賣",(H679-H678)*G679*50-SUM(J679:K679),(H678-H679)*G679*50-SUM(J679:K679)))))</f>
        <v/>
      </c>
      <c r="M679" s="743">
        <f>L679</f>
        <v/>
      </c>
      <c r="N679" s="686">
        <f>IF(B679="TXO","",IF(D679="新倉","",IF(E679="賣",(H679-H678)*G679,(H678-H679)*G679)))</f>
        <v/>
      </c>
      <c r="O679" s="226">
        <f>ABS(I679)</f>
        <v/>
      </c>
      <c r="P679" s="667" t="n"/>
      <c r="Q679" s="249" t="inlineStr">
        <is>
          <t>元大移動式停利出場</t>
        </is>
      </c>
      <c r="S679" s="739" t="n"/>
      <c r="T679" s="61">
        <f>IF(AND(R679="Yes",S679&lt;&gt;"Yes",L679&gt;0,B679&lt;&gt;"TXO"),L679,"")</f>
        <v/>
      </c>
      <c r="U679" s="61">
        <f>IF(AND(R679="Yes",S679&lt;&gt;"Yes",L679&lt;0,B679&lt;&gt;"TXO"),L679,"")</f>
        <v/>
      </c>
      <c r="V679" s="61">
        <f>IF(AND(R679="",S679&lt;&gt;"Yes",L679&gt;0,B679&lt;&gt;"TXO"),L679,"")</f>
        <v/>
      </c>
      <c r="W679" s="61">
        <f>IF(AND(R679="",S679&lt;&gt;"Yes",L679&lt;0,B679&lt;&gt;"TXO"),L679,"")</f>
        <v/>
      </c>
      <c r="X679" s="226">
        <f>IF(AND(R679="Yes",S679="Yes",L679&gt;0,B679&lt;&gt;"TXO"),L679,"")</f>
        <v/>
      </c>
      <c r="Y679" s="226">
        <f>IF(AND(R679="Yes",S679="Yes",L679&lt;0,B679&lt;&gt;"TXO"),L679,"")</f>
        <v/>
      </c>
      <c r="Z679" s="226">
        <f>IF(AND(R679="",S679="Yes",L679&gt;0,B679&lt;&gt;"TXO"),L679,"")</f>
        <v/>
      </c>
      <c r="AA679" s="226">
        <f>IF(AND(R679="",S679="Yes",L679&lt;0,B679&lt;&gt;"TXO"),L679,"")</f>
        <v/>
      </c>
    </row>
    <row r="680" hidden="1" outlineLevel="2" ht="17.25" customHeight="1" thickBot="1">
      <c r="A680" s="740" t="n">
        <v>43360</v>
      </c>
      <c r="B680" s="299" t="inlineStr">
        <is>
          <t>FITX</t>
        </is>
      </c>
      <c r="C680" s="300" t="inlineStr">
        <is>
          <t>台指09</t>
        </is>
      </c>
      <c r="D680" s="300" t="inlineStr">
        <is>
          <t>新倉</t>
        </is>
      </c>
      <c r="E680" s="301" t="inlineStr">
        <is>
          <t>賣</t>
        </is>
      </c>
      <c r="F680" s="300" t="inlineStr">
        <is>
          <t>-</t>
        </is>
      </c>
      <c r="G680" s="741" t="n">
        <v>1</v>
      </c>
      <c r="H680" s="741" t="n">
        <v>10822</v>
      </c>
      <c r="I680" s="741" t="n">
        <v>0</v>
      </c>
      <c r="J680" s="742" t="n">
        <v>45</v>
      </c>
      <c r="K680" s="742" t="n">
        <v>43</v>
      </c>
      <c r="L680" s="742">
        <f>IF(B680="TXO",I680-SUM(J680:K680),IF(B680="FITX",IF(D680="新倉",-SUM(J680:K680),IF(E680="賣",(H680-H679)*G680*200-SUM(J680:K680),(H679-H680)*G680*200-SUM(J680:K680))),IF(D680="新倉",-SUM(J680:K680),IF(E680="賣",(H680-H679)*G680*50-SUM(J680:K680),(H679-H680)*G680*50-SUM(J680:K680)))))</f>
        <v/>
      </c>
      <c r="M680" s="743">
        <f>L680</f>
        <v/>
      </c>
      <c r="N680" s="686">
        <f>IF(B680="TXO","",IF(D680="新倉","",IF(E680="賣",(H680-H679)*G680,(H679-H680)*G680)))</f>
        <v/>
      </c>
      <c r="O680" s="226">
        <f>ABS(I680)</f>
        <v/>
      </c>
      <c r="P680" s="667" t="n"/>
      <c r="Q680" s="312" t="inlineStr">
        <is>
          <t>籌碼三弱，空單不停損</t>
        </is>
      </c>
      <c r="R680" s="312" t="n"/>
      <c r="S680" s="739" t="inlineStr">
        <is>
          <t>PM</t>
        </is>
      </c>
      <c r="T680" s="61">
        <f>IF(AND(R680="Yes",S680&lt;&gt;"Yes",L680&gt;0,B680&lt;&gt;"TXO"),L680,"")</f>
        <v/>
      </c>
      <c r="U680" s="61">
        <f>IF(AND(R680="Yes",S680&lt;&gt;"Yes",L680&lt;0,B680&lt;&gt;"TXO"),L680,"")</f>
        <v/>
      </c>
      <c r="V680" s="61">
        <f>IF(AND(R680="",S680&lt;&gt;"Yes",L680&gt;0,B680&lt;&gt;"TXO"),L680,"")</f>
        <v/>
      </c>
      <c r="W680" s="61">
        <f>IF(AND(R680="",S680&lt;&gt;"Yes",L680&lt;0,B680&lt;&gt;"TXO"),L680,"")</f>
        <v/>
      </c>
      <c r="X680" s="226">
        <f>IF(AND(R680="Yes",S680="Yes",L680&gt;0,B680&lt;&gt;"TXO"),L680,"")</f>
        <v/>
      </c>
      <c r="Y680" s="226">
        <f>IF(AND(R680="Yes",S680="Yes",L680&lt;0,B680&lt;&gt;"TXO"),L680,"")</f>
        <v/>
      </c>
      <c r="Z680" s="226">
        <f>IF(AND(R680="",S680="Yes",L680&gt;0,B680&lt;&gt;"TXO"),L680,"")</f>
        <v/>
      </c>
      <c r="AA680" s="226">
        <f>IF(AND(R680="",S680="Yes",L680&lt;0,B680&lt;&gt;"TXO"),L680,"")</f>
        <v/>
      </c>
    </row>
    <row r="681" hidden="1" outlineLevel="2" collapsed="1" ht="17.25" customHeight="1" thickBot="1">
      <c r="A681" s="740" t="n">
        <v>43360</v>
      </c>
      <c r="B681" s="299" t="inlineStr">
        <is>
          <t>FITX</t>
        </is>
      </c>
      <c r="C681" s="300" t="inlineStr">
        <is>
          <t>台指09</t>
        </is>
      </c>
      <c r="D681" s="300" t="inlineStr">
        <is>
          <t>平倉</t>
        </is>
      </c>
      <c r="E681" s="301" t="inlineStr">
        <is>
          <t>買</t>
        </is>
      </c>
      <c r="F681" s="300" t="inlineStr">
        <is>
          <t>-</t>
        </is>
      </c>
      <c r="G681" s="741" t="n">
        <v>1</v>
      </c>
      <c r="H681" s="741" t="n">
        <v>10820</v>
      </c>
      <c r="I681" s="741" t="n">
        <v>0</v>
      </c>
      <c r="J681" s="742" t="n">
        <v>45</v>
      </c>
      <c r="K681" s="742" t="n">
        <v>43</v>
      </c>
      <c r="L681" s="742">
        <f>IF(B681="TXO",I681-SUM(J681:K681),IF(B681="FITX",IF(D681="新倉",-SUM(J681:K681),IF(E681="賣",(H681-H680)*G681*200-SUM(J681:K681),(H680-H681)*G681*200-SUM(J681:K681))),IF(D681="新倉",-SUM(J681:K681),IF(E681="賣",(H681-H680)*G681*50-SUM(J681:K681),(H680-H681)*G681*50-SUM(J681:K681)))))</f>
        <v/>
      </c>
      <c r="M681" s="743">
        <f>L681</f>
        <v/>
      </c>
      <c r="N681" s="686">
        <f>IF(B681="TXO","",IF(D681="新倉","",IF(E681="賣",(H681-H680)*G681,(H680-H681)*G681)))</f>
        <v/>
      </c>
      <c r="O681" s="226">
        <f>ABS(I681)</f>
        <v/>
      </c>
      <c r="P681" s="667" t="n"/>
      <c r="Q681" s="315" t="inlineStr">
        <is>
          <t>刺補</t>
        </is>
      </c>
      <c r="R681" s="315" t="n"/>
      <c r="S681" s="249" t="inlineStr">
        <is>
          <t>Yes</t>
        </is>
      </c>
      <c r="T681" s="61">
        <f>IF(AND(R681="Yes",S681&lt;&gt;"Yes",L681&gt;0,B681&lt;&gt;"TXO"),L681,"")</f>
        <v/>
      </c>
      <c r="U681" s="61">
        <f>IF(AND(R681="Yes",S681&lt;&gt;"Yes",L681&lt;0,B681&lt;&gt;"TXO"),L681,"")</f>
        <v/>
      </c>
      <c r="V681" s="61">
        <f>IF(AND(R681="",S681&lt;&gt;"Yes",L681&gt;0,B681&lt;&gt;"TXO"),L681,"")</f>
        <v/>
      </c>
      <c r="W681" s="61">
        <f>IF(AND(R681="",S681&lt;&gt;"Yes",L681&lt;0,B681&lt;&gt;"TXO"),L681,"")</f>
        <v/>
      </c>
      <c r="X681" s="226">
        <f>IF(AND(R681="Yes",S681="Yes",L681&gt;0,B681&lt;&gt;"TXO"),L681,"")</f>
        <v/>
      </c>
      <c r="Y681" s="226">
        <f>IF(AND(R681="Yes",S681="Yes",L681&lt;0,B681&lt;&gt;"TXO"),L681,"")</f>
        <v/>
      </c>
      <c r="Z681" s="226">
        <f>IF(AND(R681="",S681="Yes",L681&gt;0,B681&lt;&gt;"TXO"),L681,"")</f>
        <v/>
      </c>
      <c r="AA681" s="226">
        <f>IF(AND(R681="",S681="Yes",L681&lt;0,B681&lt;&gt;"TXO"),L681,"")</f>
        <v/>
      </c>
    </row>
    <row r="682" hidden="1" outlineLevel="1" ht="66.75" customHeight="1" thickBot="1">
      <c r="A682" s="696" t="n">
        <v>43361</v>
      </c>
      <c r="B682" s="234" t="inlineStr">
        <is>
          <t>FITX</t>
        </is>
      </c>
      <c r="C682" s="229" t="inlineStr">
        <is>
          <t>台指09</t>
        </is>
      </c>
      <c r="D682" s="229" t="inlineStr">
        <is>
          <t>新倉</t>
        </is>
      </c>
      <c r="E682" s="257" t="inlineStr">
        <is>
          <t>賣</t>
        </is>
      </c>
      <c r="F682" s="229" t="inlineStr">
        <is>
          <t>-</t>
        </is>
      </c>
      <c r="G682" s="697" t="n">
        <v>1</v>
      </c>
      <c r="H682" s="697" t="n">
        <v>10776</v>
      </c>
      <c r="I682" s="697" t="n">
        <v>0</v>
      </c>
      <c r="J682" s="585" t="n">
        <v>45</v>
      </c>
      <c r="K682" s="585" t="n">
        <v>43</v>
      </c>
      <c r="L682" s="585">
        <f>IF(B682="TXO",I682-SUM(J682:K682),IF(B682="FITX",IF(D682="新倉",-SUM(J682:K682),IF(E682="賣",(H682-H681)*G682*200-SUM(J682:K682),(H681-H682)*G682*200-SUM(J682:K682))),IF(D682="新倉",-SUM(J682:K682),IF(E682="賣",(H682-H681)*G682*50-SUM(J682:K682),(H681-H682)*G682*50-SUM(J682:K682)))))</f>
        <v/>
      </c>
      <c r="M682" s="699">
        <f>L682</f>
        <v/>
      </c>
      <c r="N682" s="686">
        <f>IF(B682="TXO","",IF(D682="新倉","",IF(E682="賣",(H682-H681)*G682,(H681-H682)*G682)))</f>
        <v/>
      </c>
      <c r="O682" s="226">
        <f>ABS(I682)</f>
        <v/>
      </c>
      <c r="P682" s="667">
        <f>SUM(L682:L699)</f>
        <v/>
      </c>
      <c r="Q682" s="249" t="inlineStr">
        <is>
          <t>技法: 籌碼三弱，跌破開盤低點下空單
錯誤: 應等5分K跑完，實體K破新低才下單</t>
        </is>
      </c>
      <c r="S682" s="739" t="n"/>
      <c r="T682" s="61">
        <f>IF(AND(R682="Yes",S682&lt;&gt;"Yes",L682&gt;0,B682&lt;&gt;"TXO"),L682,"")</f>
        <v/>
      </c>
      <c r="U682" s="61">
        <f>IF(AND(R682="Yes",S682&lt;&gt;"Yes",L682&lt;0,B682&lt;&gt;"TXO"),L682,"")</f>
        <v/>
      </c>
      <c r="V682" s="61">
        <f>IF(AND(R682="",S682&lt;&gt;"Yes",L682&gt;0,B682&lt;&gt;"TXO"),L682,"")</f>
        <v/>
      </c>
      <c r="W682" s="61">
        <f>IF(AND(R682="",S682&lt;&gt;"Yes",L682&lt;0,B682&lt;&gt;"TXO"),L682,"")</f>
        <v/>
      </c>
      <c r="X682" s="226">
        <f>IF(AND(R682="Yes",S682="Yes",L682&gt;0,B682&lt;&gt;"TXO"),L682,"")</f>
        <v/>
      </c>
      <c r="Y682" s="226">
        <f>IF(AND(R682="Yes",S682="Yes",L682&lt;0,B682&lt;&gt;"TXO"),L682,"")</f>
        <v/>
      </c>
      <c r="Z682" s="226">
        <f>IF(AND(R682="",S682="Yes",L682&gt;0,B682&lt;&gt;"TXO"),L682,"")</f>
        <v/>
      </c>
      <c r="AA682" s="226">
        <f>IF(AND(R682="",S682="Yes",L682&lt;0,B682&lt;&gt;"TXO"),L682,"")</f>
        <v/>
      </c>
    </row>
    <row r="683" hidden="1" outlineLevel="2" ht="17.25" customHeight="1" thickBot="1">
      <c r="A683" s="696" t="n">
        <v>43361</v>
      </c>
      <c r="B683" s="234" t="inlineStr">
        <is>
          <t>FITX</t>
        </is>
      </c>
      <c r="C683" s="229" t="inlineStr">
        <is>
          <t>台指09</t>
        </is>
      </c>
      <c r="D683" s="229" t="inlineStr">
        <is>
          <t>平倉</t>
        </is>
      </c>
      <c r="E683" s="257" t="inlineStr">
        <is>
          <t>買</t>
        </is>
      </c>
      <c r="F683" s="229" t="inlineStr">
        <is>
          <t>-</t>
        </is>
      </c>
      <c r="G683" s="697" t="n">
        <v>1</v>
      </c>
      <c r="H683" s="697" t="n">
        <v>10793</v>
      </c>
      <c r="I683" s="697" t="n">
        <v>0</v>
      </c>
      <c r="J683" s="585" t="n">
        <v>45</v>
      </c>
      <c r="K683" s="585" t="n">
        <v>43</v>
      </c>
      <c r="L683" s="585">
        <f>IF(B683="TXO",I683-SUM(J683:K683),IF(B683="FITX",IF(D683="新倉",-SUM(J683:K683),IF(E683="賣",(H683-H682)*G683*200-SUM(J683:K683),(H682-H683)*G683*200-SUM(J683:K683))),IF(D683="新倉",-SUM(J683:K683),IF(E683="賣",(H683-H682)*G683*50-SUM(J683:K683),(H682-H683)*G683*50-SUM(J683:K683)))))</f>
        <v/>
      </c>
      <c r="M683" s="699">
        <f>L683</f>
        <v/>
      </c>
      <c r="N683" s="686">
        <f>IF(B683="TXO","",IF(D683="新倉","",IF(E683="賣",(H683-H682)*G683,(H682-H683)*G683)))</f>
        <v/>
      </c>
      <c r="O683" s="226">
        <f>ABS(I683)</f>
        <v/>
      </c>
      <c r="P683" s="667" t="n"/>
      <c r="Q683" s="249" t="inlineStr">
        <is>
          <t>技法: 停損</t>
        </is>
      </c>
      <c r="S683" s="739" t="n"/>
      <c r="T683" s="61">
        <f>IF(AND(R683="Yes",S683&lt;&gt;"Yes",L683&gt;0,B683&lt;&gt;"TXO"),L683,"")</f>
        <v/>
      </c>
      <c r="U683" s="61">
        <f>IF(AND(R683="Yes",S683&lt;&gt;"Yes",L683&lt;0,B683&lt;&gt;"TXO"),L683,"")</f>
        <v/>
      </c>
      <c r="V683" s="61">
        <f>IF(AND(R683="",S683&lt;&gt;"Yes",L683&gt;0,B683&lt;&gt;"TXO"),L683,"")</f>
        <v/>
      </c>
      <c r="W683" s="61">
        <f>IF(AND(R683="",S683&lt;&gt;"Yes",L683&lt;0,B683&lt;&gt;"TXO"),L683,"")</f>
        <v/>
      </c>
      <c r="X683" s="226">
        <f>IF(AND(R683="Yes",S683="Yes",L683&gt;0,B683&lt;&gt;"TXO"),L683,"")</f>
        <v/>
      </c>
      <c r="Y683" s="226">
        <f>IF(AND(R683="Yes",S683="Yes",L683&lt;0,B683&lt;&gt;"TXO"),L683,"")</f>
        <v/>
      </c>
      <c r="Z683" s="226">
        <f>IF(AND(R683="",S683="Yes",L683&gt;0,B683&lt;&gt;"TXO"),L683,"")</f>
        <v/>
      </c>
      <c r="AA683" s="226">
        <f>IF(AND(R683="",S683="Yes",L683&lt;0,B683&lt;&gt;"TXO"),L683,"")</f>
        <v/>
      </c>
    </row>
    <row r="684" hidden="1" outlineLevel="2" ht="17.25" customHeight="1" thickBot="1">
      <c r="A684" s="696" t="n">
        <v>43361</v>
      </c>
      <c r="B684" s="234" t="inlineStr">
        <is>
          <t>FITX</t>
        </is>
      </c>
      <c r="C684" s="229" t="inlineStr">
        <is>
          <t>台指09</t>
        </is>
      </c>
      <c r="D684" s="229" t="inlineStr">
        <is>
          <t>新倉</t>
        </is>
      </c>
      <c r="E684" s="257" t="inlineStr">
        <is>
          <t>買</t>
        </is>
      </c>
      <c r="F684" s="229" t="inlineStr">
        <is>
          <t>-</t>
        </is>
      </c>
      <c r="G684" s="697" t="n">
        <v>1</v>
      </c>
      <c r="H684" s="697" t="n">
        <v>10802</v>
      </c>
      <c r="I684" s="697" t="n">
        <v>0</v>
      </c>
      <c r="J684" s="585" t="n">
        <v>45</v>
      </c>
      <c r="K684" s="585" t="n">
        <v>43</v>
      </c>
      <c r="L684" s="585">
        <f>IF(B684="TXO",I684-SUM(J684:K684),IF(B684="FITX",IF(D684="新倉",-SUM(J684:K684),IF(E684="賣",(H684-H683)*G684*200-SUM(J684:K684),(H683-H684)*G684*200-SUM(J684:K684))),IF(D684="新倉",-SUM(J684:K684),IF(E684="賣",(H684-H683)*G684*50-SUM(J684:K684),(H683-H684)*G684*50-SUM(J684:K684)))))</f>
        <v/>
      </c>
      <c r="M684" s="699">
        <f>L684</f>
        <v/>
      </c>
      <c r="N684" s="686">
        <f>IF(B684="TXO","",IF(D684="新倉","",IF(E684="賣",(H684-H683)*G684,(H683-H684)*G684)))</f>
        <v/>
      </c>
      <c r="O684" s="226">
        <f>ABS(I684)</f>
        <v/>
      </c>
      <c r="P684" s="667" t="n"/>
      <c r="Q684" s="249" t="inlineStr">
        <is>
          <t>技法: 3/3 買進一口</t>
        </is>
      </c>
      <c r="S684" s="739" t="n"/>
      <c r="T684" s="61">
        <f>IF(AND(R684="Yes",S684&lt;&gt;"Yes",L684&gt;0,B684&lt;&gt;"TXO"),L684,"")</f>
        <v/>
      </c>
      <c r="U684" s="61">
        <f>IF(AND(R684="Yes",S684&lt;&gt;"Yes",L684&lt;0,B684&lt;&gt;"TXO"),L684,"")</f>
        <v/>
      </c>
      <c r="V684" s="61">
        <f>IF(AND(R684="",S684&lt;&gt;"Yes",L684&gt;0,B684&lt;&gt;"TXO"),L684,"")</f>
        <v/>
      </c>
      <c r="W684" s="61">
        <f>IF(AND(R684="",S684&lt;&gt;"Yes",L684&lt;0,B684&lt;&gt;"TXO"),L684,"")</f>
        <v/>
      </c>
      <c r="X684" s="226">
        <f>IF(AND(R684="Yes",S684="Yes",L684&gt;0,B684&lt;&gt;"TXO"),L684,"")</f>
        <v/>
      </c>
      <c r="Y684" s="226">
        <f>IF(AND(R684="Yes",S684="Yes",L684&lt;0,B684&lt;&gt;"TXO"),L684,"")</f>
        <v/>
      </c>
      <c r="Z684" s="226">
        <f>IF(AND(R684="",S684="Yes",L684&gt;0,B684&lt;&gt;"TXO"),L684,"")</f>
        <v/>
      </c>
      <c r="AA684" s="226">
        <f>IF(AND(R684="",S684="Yes",L684&lt;0,B684&lt;&gt;"TXO"),L684,"")</f>
        <v/>
      </c>
    </row>
    <row r="685" hidden="1" outlineLevel="2" ht="17.25" customHeight="1" thickBot="1">
      <c r="A685" s="696" t="n">
        <v>43361</v>
      </c>
      <c r="B685" s="234" t="inlineStr">
        <is>
          <t>FITX</t>
        </is>
      </c>
      <c r="C685" s="229" t="inlineStr">
        <is>
          <t>台指09</t>
        </is>
      </c>
      <c r="D685" s="229" t="inlineStr">
        <is>
          <t>平倉</t>
        </is>
      </c>
      <c r="E685" s="257" t="inlineStr">
        <is>
          <t>賣</t>
        </is>
      </c>
      <c r="F685" s="229" t="inlineStr">
        <is>
          <t>-</t>
        </is>
      </c>
      <c r="G685" s="697" t="n">
        <v>1</v>
      </c>
      <c r="H685" s="697" t="n">
        <v>10788</v>
      </c>
      <c r="I685" s="697" t="n">
        <v>0</v>
      </c>
      <c r="J685" s="585" t="n">
        <v>45</v>
      </c>
      <c r="K685" s="585" t="n">
        <v>43</v>
      </c>
      <c r="L685" s="585">
        <f>IF(B685="TXO",I685-SUM(J685:K685),IF(B685="FITX",IF(D685="新倉",-SUM(J685:K685),IF(E685="賣",(H685-H684)*G685*200-SUM(J685:K685),(H684-H685)*G685*200-SUM(J685:K685))),IF(D685="新倉",-SUM(J685:K685),IF(E685="賣",(H685-H684)*G685*50-SUM(J685:K685),(H684-H685)*G685*50-SUM(J685:K685)))))</f>
        <v/>
      </c>
      <c r="M685" s="699">
        <f>L685</f>
        <v/>
      </c>
      <c r="N685" s="686">
        <f>IF(B685="TXO","",IF(D685="新倉","",IF(E685="賣",(H685-H684)*G685,(H684-H685)*G685)))</f>
        <v/>
      </c>
      <c r="O685" s="226">
        <f>ABS(I685)</f>
        <v/>
      </c>
      <c r="P685" s="667" t="n"/>
      <c r="Q685" s="311" t="inlineStr">
        <is>
          <t>不耐虧損，手動停損</t>
        </is>
      </c>
      <c r="R685" s="311" t="n"/>
      <c r="S685" s="739" t="n"/>
      <c r="T685" s="61">
        <f>IF(AND(R685="Yes",S685&lt;&gt;"Yes",L685&gt;0,B685&lt;&gt;"TXO"),L685,"")</f>
        <v/>
      </c>
      <c r="U685" s="61">
        <f>IF(AND(R685="Yes",S685&lt;&gt;"Yes",L685&lt;0,B685&lt;&gt;"TXO"),L685,"")</f>
        <v/>
      </c>
      <c r="V685" s="61">
        <f>IF(AND(R685="",S685&lt;&gt;"Yes",L685&gt;0,B685&lt;&gt;"TXO"),L685,"")</f>
        <v/>
      </c>
      <c r="W685" s="61">
        <f>IF(AND(R685="",S685&lt;&gt;"Yes",L685&lt;0,B685&lt;&gt;"TXO"),L685,"")</f>
        <v/>
      </c>
      <c r="X685" s="226">
        <f>IF(AND(R685="Yes",S685="Yes",L685&gt;0,B685&lt;&gt;"TXO"),L685,"")</f>
        <v/>
      </c>
      <c r="Y685" s="226">
        <f>IF(AND(R685="Yes",S685="Yes",L685&lt;0,B685&lt;&gt;"TXO"),L685,"")</f>
        <v/>
      </c>
      <c r="Z685" s="226">
        <f>IF(AND(R685="",S685="Yes",L685&gt;0,B685&lt;&gt;"TXO"),L685,"")</f>
        <v/>
      </c>
      <c r="AA685" s="226">
        <f>IF(AND(R685="",S685="Yes",L685&lt;0,B685&lt;&gt;"TXO"),L685,"")</f>
        <v/>
      </c>
    </row>
    <row r="686" hidden="1" outlineLevel="2" ht="17.25" customHeight="1" thickBot="1">
      <c r="A686" s="696" t="n">
        <v>43361</v>
      </c>
      <c r="B686" s="234" t="inlineStr">
        <is>
          <t>FITX</t>
        </is>
      </c>
      <c r="C686" s="229" t="inlineStr">
        <is>
          <t>台指09</t>
        </is>
      </c>
      <c r="D686" s="229" t="inlineStr">
        <is>
          <t>新倉</t>
        </is>
      </c>
      <c r="E686" s="257" t="inlineStr">
        <is>
          <t>買</t>
        </is>
      </c>
      <c r="F686" s="229" t="inlineStr">
        <is>
          <t>-</t>
        </is>
      </c>
      <c r="G686" s="697" t="n">
        <v>1</v>
      </c>
      <c r="H686" s="697" t="n">
        <v>10796</v>
      </c>
      <c r="I686" s="697" t="n">
        <v>0</v>
      </c>
      <c r="J686" s="585" t="n">
        <v>45</v>
      </c>
      <c r="K686" s="585" t="n">
        <v>43</v>
      </c>
      <c r="L686" s="585">
        <f>IF(B686="TXO",I686-SUM(J686:K686),IF(B686="FITX",IF(D686="新倉",-SUM(J686:K686),IF(E686="賣",(H686-H685)*G686*200-SUM(J686:K686),(H685-H686)*G686*200-SUM(J686:K686))),IF(D686="新倉",-SUM(J686:K686),IF(E686="賣",(H686-H685)*G686*50-SUM(J686:K686),(H685-H686)*G686*50-SUM(J686:K686)))))</f>
        <v/>
      </c>
      <c r="M686" s="699">
        <f>L686</f>
        <v/>
      </c>
      <c r="N686" s="686">
        <f>IF(B686="TXO","",IF(D686="新倉","",IF(E686="賣",(H686-H685)*G686,(H685-H686)*G686)))</f>
        <v/>
      </c>
      <c r="O686" s="226">
        <f>ABS(I686)</f>
        <v/>
      </c>
      <c r="P686" s="667" t="n"/>
      <c r="Q686" s="311" t="inlineStr">
        <is>
          <t>平倉立刻反轉，再次下單</t>
        </is>
      </c>
      <c r="R686" s="311" t="n"/>
      <c r="S686" s="739" t="n"/>
      <c r="T686" s="61">
        <f>IF(AND(R686="Yes",S686&lt;&gt;"Yes",L686&gt;0,B686&lt;&gt;"TXO"),L686,"")</f>
        <v/>
      </c>
      <c r="U686" s="61">
        <f>IF(AND(R686="Yes",S686&lt;&gt;"Yes",L686&lt;0,B686&lt;&gt;"TXO"),L686,"")</f>
        <v/>
      </c>
      <c r="V686" s="61">
        <f>IF(AND(R686="",S686&lt;&gt;"Yes",L686&gt;0,B686&lt;&gt;"TXO"),L686,"")</f>
        <v/>
      </c>
      <c r="W686" s="61">
        <f>IF(AND(R686="",S686&lt;&gt;"Yes",L686&lt;0,B686&lt;&gt;"TXO"),L686,"")</f>
        <v/>
      </c>
      <c r="X686" s="226">
        <f>IF(AND(R686="Yes",S686="Yes",L686&gt;0,B686&lt;&gt;"TXO"),L686,"")</f>
        <v/>
      </c>
      <c r="Y686" s="226">
        <f>IF(AND(R686="Yes",S686="Yes",L686&lt;0,B686&lt;&gt;"TXO"),L686,"")</f>
        <v/>
      </c>
      <c r="Z686" s="226">
        <f>IF(AND(R686="",S686="Yes",L686&gt;0,B686&lt;&gt;"TXO"),L686,"")</f>
        <v/>
      </c>
      <c r="AA686" s="226">
        <f>IF(AND(R686="",S686="Yes",L686&lt;0,B686&lt;&gt;"TXO"),L686,"")</f>
        <v/>
      </c>
    </row>
    <row r="687" hidden="1" outlineLevel="2" ht="33.75" customHeight="1" thickBot="1">
      <c r="A687" s="696" t="n">
        <v>43361</v>
      </c>
      <c r="B687" s="234" t="inlineStr">
        <is>
          <t>FITX</t>
        </is>
      </c>
      <c r="C687" s="229" t="inlineStr">
        <is>
          <t>台指09</t>
        </is>
      </c>
      <c r="D687" s="229" t="inlineStr">
        <is>
          <t>平倉</t>
        </is>
      </c>
      <c r="E687" s="257" t="inlineStr">
        <is>
          <t>賣</t>
        </is>
      </c>
      <c r="F687" s="229" t="inlineStr">
        <is>
          <t>-</t>
        </is>
      </c>
      <c r="G687" s="697" t="n">
        <v>1</v>
      </c>
      <c r="H687" s="697" t="n">
        <v>10801</v>
      </c>
      <c r="I687" s="697" t="n">
        <v>0</v>
      </c>
      <c r="J687" s="585" t="n">
        <v>45</v>
      </c>
      <c r="K687" s="585" t="n">
        <v>43</v>
      </c>
      <c r="L687" s="585">
        <f>IF(B687="TXO",I687-SUM(J687:K687),IF(B687="FITX",IF(D687="新倉",-SUM(J687:K687),IF(E687="賣",(H687-H686)*G687*200-SUM(J687:K687),(H686-H687)*G687*200-SUM(J687:K687))),IF(D687="新倉",-SUM(J687:K687),IF(E687="賣",(H687-H686)*G687*50-SUM(J687:K687),(H686-H687)*G687*50-SUM(J687:K687)))))</f>
        <v/>
      </c>
      <c r="M687" s="699">
        <f>L687</f>
        <v/>
      </c>
      <c r="N687" s="686">
        <f>IF(B687="TXO","",IF(D687="新倉","",IF(E687="賣",(H687-H686)*G687,(H686-H687)*G687)))</f>
        <v/>
      </c>
      <c r="O687" s="226">
        <f>ABS(I687)</f>
        <v/>
      </c>
      <c r="P687" s="667" t="n"/>
      <c r="Q687" s="311" t="inlineStr">
        <is>
          <t>害怕虧損，同時設刺捕與五點停利，被洗出場後馬上刺出上通道</t>
        </is>
      </c>
      <c r="R687" s="311" t="n"/>
      <c r="S687" s="739" t="n"/>
      <c r="T687" s="61">
        <f>IF(AND(R687="Yes",S687&lt;&gt;"Yes",L687&gt;0,B687&lt;&gt;"TXO"),L687,"")</f>
        <v/>
      </c>
      <c r="U687" s="61">
        <f>IF(AND(R687="Yes",S687&lt;&gt;"Yes",L687&lt;0,B687&lt;&gt;"TXO"),L687,"")</f>
        <v/>
      </c>
      <c r="V687" s="61">
        <f>IF(AND(R687="",S687&lt;&gt;"Yes",L687&gt;0,B687&lt;&gt;"TXO"),L687,"")</f>
        <v/>
      </c>
      <c r="W687" s="61">
        <f>IF(AND(R687="",S687&lt;&gt;"Yes",L687&lt;0,B687&lt;&gt;"TXO"),L687,"")</f>
        <v/>
      </c>
      <c r="X687" s="226">
        <f>IF(AND(R687="Yes",S687="Yes",L687&gt;0,B687&lt;&gt;"TXO"),L687,"")</f>
        <v/>
      </c>
      <c r="Y687" s="226">
        <f>IF(AND(R687="Yes",S687="Yes",L687&lt;0,B687&lt;&gt;"TXO"),L687,"")</f>
        <v/>
      </c>
      <c r="Z687" s="226">
        <f>IF(AND(R687="",S687="Yes",L687&gt;0,B687&lt;&gt;"TXO"),L687,"")</f>
        <v/>
      </c>
      <c r="AA687" s="226">
        <f>IF(AND(R687="",S687="Yes",L687&lt;0,B687&lt;&gt;"TXO"),L687,"")</f>
        <v/>
      </c>
    </row>
    <row r="688" hidden="1" outlineLevel="2" ht="17.25" customHeight="1" thickBot="1">
      <c r="A688" s="696" t="n">
        <v>43361</v>
      </c>
      <c r="B688" s="234" t="inlineStr">
        <is>
          <t>FIMTX</t>
        </is>
      </c>
      <c r="C688" s="229" t="inlineStr">
        <is>
          <t>小指09</t>
        </is>
      </c>
      <c r="D688" s="229" t="inlineStr">
        <is>
          <t>新倉</t>
        </is>
      </c>
      <c r="E688" s="257" t="inlineStr">
        <is>
          <t>賣</t>
        </is>
      </c>
      <c r="F688" s="229" t="inlineStr">
        <is>
          <t>-</t>
        </is>
      </c>
      <c r="G688" s="697" t="n">
        <v>1</v>
      </c>
      <c r="H688" s="697" t="n">
        <v>10790</v>
      </c>
      <c r="I688" s="697" t="n">
        <v>0</v>
      </c>
      <c r="J688" s="585" t="n">
        <v>23</v>
      </c>
      <c r="K688" s="585" t="n">
        <v>11</v>
      </c>
      <c r="L688" s="585">
        <f>IF(B688="TXO",I688-SUM(J688:K688),IF(B688="FITX",IF(D688="新倉",-SUM(J688:K688),IF(E688="賣",(H688-H687)*G688*200-SUM(J688:K688),(H687-H688)*G688*200-SUM(J688:K688))),IF(D688="新倉",-SUM(J688:K688),IF(E688="賣",(H688-H687)*G688*50-SUM(J688:K688),(H687-H688)*G688*50-SUM(J688:K688)))))</f>
        <v/>
      </c>
      <c r="M688" s="699">
        <f>L688</f>
        <v/>
      </c>
      <c r="N688" s="686">
        <f>IF(B688="TXO","",IF(D688="新倉","",IF(E688="賣",(H688-H687)*G688,(H687-H688)*G688)))</f>
        <v/>
      </c>
      <c r="O688" s="226">
        <f>ABS(I688)</f>
        <v/>
      </c>
      <c r="P688" s="667" t="n"/>
      <c r="Q688" s="312" t="inlineStr">
        <is>
          <t>籌碼三弱，追空單</t>
        </is>
      </c>
      <c r="R688" s="312" t="n"/>
      <c r="S688" s="739" t="n"/>
      <c r="T688" s="61">
        <f>IF(AND(R688="Yes",S688&lt;&gt;"Yes",L688&gt;0,B688&lt;&gt;"TXO"),L688,"")</f>
        <v/>
      </c>
      <c r="U688" s="61">
        <f>IF(AND(R688="Yes",S688&lt;&gt;"Yes",L688&lt;0,B688&lt;&gt;"TXO"),L688,"")</f>
        <v/>
      </c>
      <c r="V688" s="61">
        <f>IF(AND(R688="",S688&lt;&gt;"Yes",L688&gt;0,B688&lt;&gt;"TXO"),L688,"")</f>
        <v/>
      </c>
      <c r="W688" s="61">
        <f>IF(AND(R688="",S688&lt;&gt;"Yes",L688&lt;0,B688&lt;&gt;"TXO"),L688,"")</f>
        <v/>
      </c>
      <c r="X688" s="226">
        <f>IF(AND(R688="Yes",S688="Yes",L688&gt;0,B688&lt;&gt;"TXO"),L688,"")</f>
        <v/>
      </c>
      <c r="Y688" s="226">
        <f>IF(AND(R688="Yes",S688="Yes",L688&lt;0,B688&lt;&gt;"TXO"),L688,"")</f>
        <v/>
      </c>
      <c r="Z688" s="226">
        <f>IF(AND(R688="",S688="Yes",L688&gt;0,B688&lt;&gt;"TXO"),L688,"")</f>
        <v/>
      </c>
      <c r="AA688" s="226">
        <f>IF(AND(R688="",S688="Yes",L688&lt;0,B688&lt;&gt;"TXO"),L688,"")</f>
        <v/>
      </c>
    </row>
    <row r="689" hidden="1" outlineLevel="2" ht="17.25" customHeight="1" thickBot="1">
      <c r="A689" s="696" t="n">
        <v>43361</v>
      </c>
      <c r="B689" s="234" t="inlineStr">
        <is>
          <t>FIMTX</t>
        </is>
      </c>
      <c r="C689" s="229" t="inlineStr">
        <is>
          <t>小指09</t>
        </is>
      </c>
      <c r="D689" s="229" t="inlineStr">
        <is>
          <t>平倉</t>
        </is>
      </c>
      <c r="E689" s="257" t="inlineStr">
        <is>
          <t>買</t>
        </is>
      </c>
      <c r="F689" s="229" t="inlineStr">
        <is>
          <t>-</t>
        </is>
      </c>
      <c r="G689" s="697" t="n">
        <v>1</v>
      </c>
      <c r="H689" s="697" t="n">
        <v>10786</v>
      </c>
      <c r="I689" s="697" t="n">
        <v>0</v>
      </c>
      <c r="J689" s="585" t="n">
        <v>23</v>
      </c>
      <c r="K689" s="585" t="n">
        <v>11</v>
      </c>
      <c r="L689" s="585">
        <f>IF(B689="TXO",I689-SUM(J689:K689),IF(B689="FITX",IF(D689="新倉",-SUM(J689:K689),IF(E689="賣",(H689-H688)*G689*200-SUM(J689:K689),(H688-H689)*G689*200-SUM(J689:K689))),IF(D689="新倉",-SUM(J689:K689),IF(E689="賣",(H689-H688)*G689*50-SUM(J689:K689),(H688-H689)*G689*50-SUM(J689:K689)))))</f>
        <v/>
      </c>
      <c r="M689" s="699">
        <f>L689</f>
        <v/>
      </c>
      <c r="N689" s="686">
        <f>IF(B689="TXO","",IF(D689="新倉","",IF(E689="賣",(H689-H688)*G689,(H688-H689)*G689)))</f>
        <v/>
      </c>
      <c r="O689" s="226">
        <f>ABS(I689)</f>
        <v/>
      </c>
      <c r="P689" s="667" t="n"/>
      <c r="Q689" s="312" t="inlineStr">
        <is>
          <t>當根K刺補</t>
        </is>
      </c>
      <c r="R689" s="312" t="n"/>
      <c r="S689" s="739" t="n"/>
      <c r="T689" s="61">
        <f>IF(AND(R689="Yes",S689&lt;&gt;"Yes",L689&gt;0,B689&lt;&gt;"TXO"),L689,"")</f>
        <v/>
      </c>
      <c r="U689" s="61">
        <f>IF(AND(R689="Yes",S689&lt;&gt;"Yes",L689&lt;0,B689&lt;&gt;"TXO"),L689,"")</f>
        <v/>
      </c>
      <c r="V689" s="61">
        <f>IF(AND(R689="",S689&lt;&gt;"Yes",L689&gt;0,B689&lt;&gt;"TXO"),L689,"")</f>
        <v/>
      </c>
      <c r="W689" s="61">
        <f>IF(AND(R689="",S689&lt;&gt;"Yes",L689&lt;0,B689&lt;&gt;"TXO"),L689,"")</f>
        <v/>
      </c>
      <c r="X689" s="226">
        <f>IF(AND(R689="Yes",S689="Yes",L689&gt;0,B689&lt;&gt;"TXO"),L689,"")</f>
        <v/>
      </c>
      <c r="Y689" s="226">
        <f>IF(AND(R689="Yes",S689="Yes",L689&lt;0,B689&lt;&gt;"TXO"),L689,"")</f>
        <v/>
      </c>
      <c r="Z689" s="226">
        <f>IF(AND(R689="",S689="Yes",L689&gt;0,B689&lt;&gt;"TXO"),L689,"")</f>
        <v/>
      </c>
      <c r="AA689" s="226">
        <f>IF(AND(R689="",S689="Yes",L689&lt;0,B689&lt;&gt;"TXO"),L689,"")</f>
        <v/>
      </c>
    </row>
    <row r="690" hidden="1" outlineLevel="2" ht="17.25" customHeight="1" thickBot="1">
      <c r="A690" s="696" t="n">
        <v>43361</v>
      </c>
      <c r="B690" s="234" t="inlineStr">
        <is>
          <t>FITX</t>
        </is>
      </c>
      <c r="C690" s="229" t="inlineStr">
        <is>
          <t>台指09</t>
        </is>
      </c>
      <c r="D690" s="229" t="inlineStr">
        <is>
          <t>新倉</t>
        </is>
      </c>
      <c r="E690" s="257" t="inlineStr">
        <is>
          <t>賣</t>
        </is>
      </c>
      <c r="F690" s="229" t="inlineStr">
        <is>
          <t>-</t>
        </is>
      </c>
      <c r="G690" s="697" t="n">
        <v>1</v>
      </c>
      <c r="H690" s="697" t="n">
        <v>10778</v>
      </c>
      <c r="I690" s="697" t="n">
        <v>0</v>
      </c>
      <c r="J690" s="585" t="n">
        <v>45</v>
      </c>
      <c r="K690" s="585" t="n">
        <v>43</v>
      </c>
      <c r="L690" s="585">
        <f>IF(B690="TXO",I690-SUM(J690:K690),IF(B690="FITX",IF(D690="新倉",-SUM(J690:K690),IF(E690="賣",(H690-H689)*G690*200-SUM(J690:K690),(H689-H690)*G690*200-SUM(J690:K690))),IF(D690="新倉",-SUM(J690:K690),IF(E690="賣",(H690-H689)*G690*50-SUM(J690:K690),(H689-H690)*G690*50-SUM(J690:K690)))))</f>
        <v/>
      </c>
      <c r="M690" s="699">
        <f>L690</f>
        <v/>
      </c>
      <c r="N690" s="686">
        <f>IF(B690="TXO","",IF(D690="新倉","",IF(E690="賣",(H690-H689)*G690,(H689-H690)*G690)))</f>
        <v/>
      </c>
      <c r="O690" s="226">
        <f>ABS(I690)</f>
        <v/>
      </c>
      <c r="P690" s="667" t="n"/>
      <c r="Q690" s="312" t="inlineStr">
        <is>
          <t>前單獲利，當根拉回，追空單</t>
        </is>
      </c>
      <c r="R690" s="312" t="n"/>
      <c r="S690" s="739" t="n"/>
      <c r="T690" s="61">
        <f>IF(AND(R690="Yes",S690&lt;&gt;"Yes",L690&gt;0,B690&lt;&gt;"TXO"),L690,"")</f>
        <v/>
      </c>
      <c r="U690" s="61">
        <f>IF(AND(R690="Yes",S690&lt;&gt;"Yes",L690&lt;0,B690&lt;&gt;"TXO"),L690,"")</f>
        <v/>
      </c>
      <c r="V690" s="61">
        <f>IF(AND(R690="",S690&lt;&gt;"Yes",L690&gt;0,B690&lt;&gt;"TXO"),L690,"")</f>
        <v/>
      </c>
      <c r="W690" s="61">
        <f>IF(AND(R690="",S690&lt;&gt;"Yes",L690&lt;0,B690&lt;&gt;"TXO"),L690,"")</f>
        <v/>
      </c>
      <c r="X690" s="226">
        <f>IF(AND(R690="Yes",S690="Yes",L690&gt;0,B690&lt;&gt;"TXO"),L690,"")</f>
        <v/>
      </c>
      <c r="Y690" s="226">
        <f>IF(AND(R690="Yes",S690="Yes",L690&lt;0,B690&lt;&gt;"TXO"),L690,"")</f>
        <v/>
      </c>
      <c r="Z690" s="226">
        <f>IF(AND(R690="",S690="Yes",L690&gt;0,B690&lt;&gt;"TXO"),L690,"")</f>
        <v/>
      </c>
      <c r="AA690" s="226">
        <f>IF(AND(R690="",S690="Yes",L690&lt;0,B690&lt;&gt;"TXO"),L690,"")</f>
        <v/>
      </c>
    </row>
    <row r="691" hidden="1" outlineLevel="2" ht="17.25" customHeight="1" thickBot="1">
      <c r="A691" s="696" t="n">
        <v>43361</v>
      </c>
      <c r="B691" s="234" t="inlineStr">
        <is>
          <t>FITX</t>
        </is>
      </c>
      <c r="C691" s="229" t="inlineStr">
        <is>
          <t>台指09</t>
        </is>
      </c>
      <c r="D691" s="229" t="inlineStr">
        <is>
          <t>平倉</t>
        </is>
      </c>
      <c r="E691" s="257" t="inlineStr">
        <is>
          <t>買</t>
        </is>
      </c>
      <c r="F691" s="229" t="inlineStr">
        <is>
          <t>-</t>
        </is>
      </c>
      <c r="G691" s="697" t="n">
        <v>1</v>
      </c>
      <c r="H691" s="697" t="n">
        <v>10774</v>
      </c>
      <c r="I691" s="697" t="n">
        <v>0</v>
      </c>
      <c r="J691" s="585" t="n">
        <v>45</v>
      </c>
      <c r="K691" s="585" t="n">
        <v>43</v>
      </c>
      <c r="L691" s="585">
        <f>IF(B691="TXO",I691-SUM(J691:K691),IF(B691="FITX",IF(D691="新倉",-SUM(J691:K691),IF(E691="賣",(H691-H690)*G691*200-SUM(J691:K691),(H690-H691)*G691*200-SUM(J691:K691))),IF(D691="新倉",-SUM(J691:K691),IF(E691="賣",(H691-H690)*G691*50-SUM(J691:K691),(H690-H691)*G691*50-SUM(J691:K691)))))</f>
        <v/>
      </c>
      <c r="M691" s="699">
        <f>L691</f>
        <v/>
      </c>
      <c r="N691" s="686">
        <f>IF(B691="TXO","",IF(D691="新倉","",IF(E691="賣",(H691-H690)*G691,(H690-H691)*G691)))</f>
        <v/>
      </c>
      <c r="O691" s="226">
        <f>ABS(I691)</f>
        <v/>
      </c>
      <c r="P691" s="667" t="n"/>
      <c r="Q691" s="312" t="inlineStr">
        <is>
          <t>設5點觸價出場</t>
        </is>
      </c>
      <c r="R691" s="312" t="n"/>
      <c r="S691" s="739" t="n"/>
      <c r="T691" s="61">
        <f>IF(AND(R691="Yes",S691&lt;&gt;"Yes",L691&gt;0,B691&lt;&gt;"TXO"),L691,"")</f>
        <v/>
      </c>
      <c r="U691" s="61">
        <f>IF(AND(R691="Yes",S691&lt;&gt;"Yes",L691&lt;0,B691&lt;&gt;"TXO"),L691,"")</f>
        <v/>
      </c>
      <c r="V691" s="61">
        <f>IF(AND(R691="",S691&lt;&gt;"Yes",L691&gt;0,B691&lt;&gt;"TXO"),L691,"")</f>
        <v/>
      </c>
      <c r="W691" s="61">
        <f>IF(AND(R691="",S691&lt;&gt;"Yes",L691&lt;0,B691&lt;&gt;"TXO"),L691,"")</f>
        <v/>
      </c>
      <c r="X691" s="226">
        <f>IF(AND(R691="Yes",S691="Yes",L691&gt;0,B691&lt;&gt;"TXO"),L691,"")</f>
        <v/>
      </c>
      <c r="Y691" s="226">
        <f>IF(AND(R691="Yes",S691="Yes",L691&lt;0,B691&lt;&gt;"TXO"),L691,"")</f>
        <v/>
      </c>
      <c r="Z691" s="226">
        <f>IF(AND(R691="",S691="Yes",L691&gt;0,B691&lt;&gt;"TXO"),L691,"")</f>
        <v/>
      </c>
      <c r="AA691" s="226">
        <f>IF(AND(R691="",S691="Yes",L691&lt;0,B691&lt;&gt;"TXO"),L691,"")</f>
        <v/>
      </c>
    </row>
    <row r="692" hidden="1" outlineLevel="2" ht="17.25" customHeight="1" thickBot="1">
      <c r="A692" s="696" t="n">
        <v>43361</v>
      </c>
      <c r="B692" s="234" t="inlineStr">
        <is>
          <t>FITX</t>
        </is>
      </c>
      <c r="C692" s="229" t="inlineStr">
        <is>
          <t>台指09</t>
        </is>
      </c>
      <c r="D692" s="229" t="inlineStr">
        <is>
          <t>新倉</t>
        </is>
      </c>
      <c r="E692" s="257" t="inlineStr">
        <is>
          <t>賣</t>
        </is>
      </c>
      <c r="F692" s="229" t="inlineStr">
        <is>
          <t>-</t>
        </is>
      </c>
      <c r="G692" s="697" t="n">
        <v>1</v>
      </c>
      <c r="H692" s="697" t="n">
        <v>10768</v>
      </c>
      <c r="I692" s="697" t="n">
        <v>0</v>
      </c>
      <c r="J692" s="585" t="n">
        <v>45</v>
      </c>
      <c r="K692" s="585" t="n">
        <v>43</v>
      </c>
      <c r="L692" s="585">
        <f>IF(B692="TXO",I692-SUM(J692:K692),IF(B692="FITX",IF(D692="新倉",-SUM(J692:K692),IF(E692="賣",(H692-H691)*G692*200-SUM(J692:K692),(H691-H692)*G692*200-SUM(J692:K692))),IF(D692="新倉",-SUM(J692:K692),IF(E692="賣",(H692-H691)*G692*50-SUM(J692:K692),(H691-H692)*G692*50-SUM(J692:K692)))))</f>
        <v/>
      </c>
      <c r="M692" s="699">
        <f>L692</f>
        <v/>
      </c>
      <c r="N692" s="686">
        <f>IF(B692="TXO","",IF(D692="新倉","",IF(E692="賣",(H692-H691)*G692,(H691-H692)*G692)))</f>
        <v/>
      </c>
      <c r="O692" s="226">
        <f>ABS(I692)</f>
        <v/>
      </c>
      <c r="P692" s="667" t="n"/>
      <c r="Q692" s="312" t="inlineStr">
        <is>
          <t>前單獲利，當根拉回，追空單</t>
        </is>
      </c>
      <c r="R692" s="312" t="n"/>
      <c r="S692" s="739" t="n"/>
      <c r="T692" s="61">
        <f>IF(AND(R692="Yes",S692&lt;&gt;"Yes",L692&gt;0,B692&lt;&gt;"TXO"),L692,"")</f>
        <v/>
      </c>
      <c r="U692" s="61">
        <f>IF(AND(R692="Yes",S692&lt;&gt;"Yes",L692&lt;0,B692&lt;&gt;"TXO"),L692,"")</f>
        <v/>
      </c>
      <c r="V692" s="61">
        <f>IF(AND(R692="",S692&lt;&gt;"Yes",L692&gt;0,B692&lt;&gt;"TXO"),L692,"")</f>
        <v/>
      </c>
      <c r="W692" s="61">
        <f>IF(AND(R692="",S692&lt;&gt;"Yes",L692&lt;0,B692&lt;&gt;"TXO"),L692,"")</f>
        <v/>
      </c>
      <c r="X692" s="226">
        <f>IF(AND(R692="Yes",S692="Yes",L692&gt;0,B692&lt;&gt;"TXO"),L692,"")</f>
        <v/>
      </c>
      <c r="Y692" s="226">
        <f>IF(AND(R692="Yes",S692="Yes",L692&lt;0,B692&lt;&gt;"TXO"),L692,"")</f>
        <v/>
      </c>
      <c r="Z692" s="226">
        <f>IF(AND(R692="",S692="Yes",L692&gt;0,B692&lt;&gt;"TXO"),L692,"")</f>
        <v/>
      </c>
      <c r="AA692" s="226">
        <f>IF(AND(R692="",S692="Yes",L692&lt;0,B692&lt;&gt;"TXO"),L692,"")</f>
        <v/>
      </c>
    </row>
    <row r="693" hidden="1" outlineLevel="2" ht="17.25" customHeight="1" thickBot="1">
      <c r="A693" s="696" t="n">
        <v>43361</v>
      </c>
      <c r="B693" s="234" t="inlineStr">
        <is>
          <t>FITX</t>
        </is>
      </c>
      <c r="C693" s="229" t="inlineStr">
        <is>
          <t>台指09</t>
        </is>
      </c>
      <c r="D693" s="229" t="inlineStr">
        <is>
          <t>平倉</t>
        </is>
      </c>
      <c r="E693" s="257" t="inlineStr">
        <is>
          <t>買</t>
        </is>
      </c>
      <c r="F693" s="229" t="inlineStr">
        <is>
          <t>-</t>
        </is>
      </c>
      <c r="G693" s="697" t="n">
        <v>1</v>
      </c>
      <c r="H693" s="697" t="n">
        <v>10763</v>
      </c>
      <c r="I693" s="697" t="n">
        <v>0</v>
      </c>
      <c r="J693" s="585" t="n">
        <v>45</v>
      </c>
      <c r="K693" s="585" t="n">
        <v>43</v>
      </c>
      <c r="L693" s="585">
        <f>IF(B693="TXO",I693-SUM(J693:K693),IF(B693="FITX",IF(D693="新倉",-SUM(J693:K693),IF(E693="賣",(H693-H692)*G693*200-SUM(J693:K693),(H692-H693)*G693*200-SUM(J693:K693))),IF(D693="新倉",-SUM(J693:K693),IF(E693="賣",(H693-H692)*G693*50-SUM(J693:K693),(H692-H693)*G693*50-SUM(J693:K693)))))</f>
        <v/>
      </c>
      <c r="M693" s="699">
        <f>L693</f>
        <v/>
      </c>
      <c r="N693" s="686">
        <f>IF(B693="TXO","",IF(D693="新倉","",IF(E693="賣",(H693-H692)*G693,(H692-H693)*G693)))</f>
        <v/>
      </c>
      <c r="O693" s="226">
        <f>ABS(I693)</f>
        <v/>
      </c>
      <c r="P693" s="667" t="n"/>
      <c r="Q693" s="312" t="inlineStr">
        <is>
          <t>設5點觸價出場</t>
        </is>
      </c>
      <c r="R693" s="312" t="n"/>
      <c r="S693" s="739" t="n"/>
      <c r="T693" s="61">
        <f>IF(AND(R693="Yes",S693&lt;&gt;"Yes",L693&gt;0,B693&lt;&gt;"TXO"),L693,"")</f>
        <v/>
      </c>
      <c r="U693" s="61">
        <f>IF(AND(R693="Yes",S693&lt;&gt;"Yes",L693&lt;0,B693&lt;&gt;"TXO"),L693,"")</f>
        <v/>
      </c>
      <c r="V693" s="61">
        <f>IF(AND(R693="",S693&lt;&gt;"Yes",L693&gt;0,B693&lt;&gt;"TXO"),L693,"")</f>
        <v/>
      </c>
      <c r="W693" s="61">
        <f>IF(AND(R693="",S693&lt;&gt;"Yes",L693&lt;0,B693&lt;&gt;"TXO"),L693,"")</f>
        <v/>
      </c>
      <c r="X693" s="226">
        <f>IF(AND(R693="Yes",S693="Yes",L693&gt;0,B693&lt;&gt;"TXO"),L693,"")</f>
        <v/>
      </c>
      <c r="Y693" s="226">
        <f>IF(AND(R693="Yes",S693="Yes",L693&lt;0,B693&lt;&gt;"TXO"),L693,"")</f>
        <v/>
      </c>
      <c r="Z693" s="226">
        <f>IF(AND(R693="",S693="Yes",L693&gt;0,B693&lt;&gt;"TXO"),L693,"")</f>
        <v/>
      </c>
      <c r="AA693" s="226">
        <f>IF(AND(R693="",S693="Yes",L693&lt;0,B693&lt;&gt;"TXO"),L693,"")</f>
        <v/>
      </c>
    </row>
    <row r="694" hidden="1" outlineLevel="2" ht="17.25" customHeight="1" thickBot="1">
      <c r="A694" s="696" t="n">
        <v>43361</v>
      </c>
      <c r="B694" s="234" t="inlineStr">
        <is>
          <t>FIMTX</t>
        </is>
      </c>
      <c r="C694" s="229" t="inlineStr">
        <is>
          <t>小指09</t>
        </is>
      </c>
      <c r="D694" s="229" t="inlineStr">
        <is>
          <t>新倉</t>
        </is>
      </c>
      <c r="E694" s="257" t="inlineStr">
        <is>
          <t>賣</t>
        </is>
      </c>
      <c r="F694" s="229" t="inlineStr">
        <is>
          <t>-</t>
        </is>
      </c>
      <c r="G694" s="697" t="n">
        <v>1</v>
      </c>
      <c r="H694" s="697" t="n">
        <v>10766</v>
      </c>
      <c r="I694" s="697" t="n">
        <v>0</v>
      </c>
      <c r="J694" s="585" t="n">
        <v>23</v>
      </c>
      <c r="K694" s="585" t="n">
        <v>11</v>
      </c>
      <c r="L694" s="585">
        <f>IF(B694="TXO",I694-SUM(J694:K694),IF(B694="FITX",IF(D694="新倉",-SUM(J694:K694),IF(E694="賣",(H694-H693)*G694*200-SUM(J694:K694),(H693-H694)*G694*200-SUM(J694:K694))),IF(D694="新倉",-SUM(J694:K694),IF(E694="賣",(H694-H693)*G694*50-SUM(J694:K694),(H693-H694)*G694*50-SUM(J694:K694)))))</f>
        <v/>
      </c>
      <c r="M694" s="699">
        <f>L694</f>
        <v/>
      </c>
      <c r="N694" s="686">
        <f>IF(B694="TXO","",IF(D694="新倉","",IF(E694="賣",(H694-H693)*G694,(H693-H694)*G694)))</f>
        <v/>
      </c>
      <c r="O694" s="226">
        <f>ABS(I694)</f>
        <v/>
      </c>
      <c r="P694" s="667" t="n"/>
      <c r="Q694" s="312" t="inlineStr">
        <is>
          <t>前單獲利，當根拉回，追空單</t>
        </is>
      </c>
      <c r="R694" s="312" t="n"/>
      <c r="S694" s="739" t="n"/>
      <c r="T694" s="61">
        <f>IF(AND(R694="Yes",S694&lt;&gt;"Yes",L694&gt;0,B694&lt;&gt;"TXO"),L694,"")</f>
        <v/>
      </c>
      <c r="U694" s="61">
        <f>IF(AND(R694="Yes",S694&lt;&gt;"Yes",L694&lt;0,B694&lt;&gt;"TXO"),L694,"")</f>
        <v/>
      </c>
      <c r="V694" s="61">
        <f>IF(AND(R694="",S694&lt;&gt;"Yes",L694&gt;0,B694&lt;&gt;"TXO"),L694,"")</f>
        <v/>
      </c>
      <c r="W694" s="61">
        <f>IF(AND(R694="",S694&lt;&gt;"Yes",L694&lt;0,B694&lt;&gt;"TXO"),L694,"")</f>
        <v/>
      </c>
      <c r="X694" s="226">
        <f>IF(AND(R694="Yes",S694="Yes",L694&gt;0,B694&lt;&gt;"TXO"),L694,"")</f>
        <v/>
      </c>
      <c r="Y694" s="226">
        <f>IF(AND(R694="Yes",S694="Yes",L694&lt;0,B694&lt;&gt;"TXO"),L694,"")</f>
        <v/>
      </c>
      <c r="Z694" s="226">
        <f>IF(AND(R694="",S694="Yes",L694&gt;0,B694&lt;&gt;"TXO"),L694,"")</f>
        <v/>
      </c>
      <c r="AA694" s="226">
        <f>IF(AND(R694="",S694="Yes",L694&lt;0,B694&lt;&gt;"TXO"),L694,"")</f>
        <v/>
      </c>
    </row>
    <row r="695" hidden="1" outlineLevel="2" ht="17.25" customHeight="1" thickBot="1">
      <c r="A695" s="696" t="n">
        <v>43361</v>
      </c>
      <c r="B695" s="234" t="inlineStr">
        <is>
          <t>FIMTX</t>
        </is>
      </c>
      <c r="C695" s="229" t="inlineStr">
        <is>
          <t>小指09</t>
        </is>
      </c>
      <c r="D695" s="229" t="inlineStr">
        <is>
          <t>平倉</t>
        </is>
      </c>
      <c r="E695" s="257" t="inlineStr">
        <is>
          <t>買</t>
        </is>
      </c>
      <c r="F695" s="229" t="inlineStr">
        <is>
          <t>-</t>
        </is>
      </c>
      <c r="G695" s="697" t="n">
        <v>1</v>
      </c>
      <c r="H695" s="753" t="n">
        <v>10900</v>
      </c>
      <c r="I695" s="697" t="n">
        <v>0</v>
      </c>
      <c r="J695" s="585" t="n">
        <v>23</v>
      </c>
      <c r="K695" s="585" t="n">
        <v>11</v>
      </c>
      <c r="L695" s="585">
        <f>IF(B695="TXO",I695-SUM(J695:K695),IF(B695="FITX",IF(D695="新倉",-SUM(J695:K695),IF(E695="賣",(H695-H694)*G695*200-SUM(J695:K695),(H694-H695)*G695*200-SUM(J695:K695))),IF(D695="新倉",-SUM(J695:K695),IF(E695="賣",(H695-H694)*G695*50-SUM(J695:K695),(H694-H695)*G695*50-SUM(J695:K695)))))</f>
        <v/>
      </c>
      <c r="M695" s="699">
        <f>L695</f>
        <v/>
      </c>
      <c r="N695" s="686">
        <f>IF(B695="TXO","",IF(D695="新倉","",IF(E695="賣",(H695-H694)*G695,(H694-H695)*G695)))</f>
        <v/>
      </c>
      <c r="O695" s="226">
        <f>ABS(I695)</f>
        <v/>
      </c>
      <c r="P695" s="667" t="n"/>
      <c r="Q695" s="312" t="inlineStr">
        <is>
          <t>設20點觸價出場</t>
        </is>
      </c>
      <c r="R695" s="312" t="n"/>
      <c r="S695" s="739" t="n"/>
      <c r="T695" s="61">
        <f>IF(AND(R695="Yes",S695&lt;&gt;"Yes",L695&gt;0,B695&lt;&gt;"TXO"),L695,"")</f>
        <v/>
      </c>
      <c r="U695" s="61">
        <f>IF(AND(R695="Yes",S695&lt;&gt;"Yes",L695&lt;0,B695&lt;&gt;"TXO"),L695,"")</f>
        <v/>
      </c>
      <c r="V695" s="61">
        <f>IF(AND(R695="",S695&lt;&gt;"Yes",L695&gt;0,B695&lt;&gt;"TXO"),L695,"")</f>
        <v/>
      </c>
      <c r="W695" s="61">
        <f>IF(AND(R695="",S695&lt;&gt;"Yes",L695&lt;0,B695&lt;&gt;"TXO"),L695,"")</f>
        <v/>
      </c>
      <c r="X695" s="226">
        <f>IF(AND(R695="Yes",S695="Yes",L695&gt;0,B695&lt;&gt;"TXO"),L695,"")</f>
        <v/>
      </c>
      <c r="Y695" s="226">
        <f>IF(AND(R695="Yes",S695="Yes",L695&lt;0,B695&lt;&gt;"TXO"),L695,"")</f>
        <v/>
      </c>
      <c r="Z695" s="226">
        <f>IF(AND(R695="",S695="Yes",L695&gt;0,B695&lt;&gt;"TXO"),L695,"")</f>
        <v/>
      </c>
      <c r="AA695" s="226">
        <f>IF(AND(R695="",S695="Yes",L695&lt;0,B695&lt;&gt;"TXO"),L695,"")</f>
        <v/>
      </c>
    </row>
    <row r="696" hidden="1" outlineLevel="2" ht="17.25" customHeight="1" thickBot="1">
      <c r="A696" s="696" t="n">
        <v>43361</v>
      </c>
      <c r="B696" s="234" t="inlineStr">
        <is>
          <t>FITX</t>
        </is>
      </c>
      <c r="C696" s="229" t="inlineStr">
        <is>
          <t>台指09</t>
        </is>
      </c>
      <c r="D696" s="229" t="inlineStr">
        <is>
          <t>新倉</t>
        </is>
      </c>
      <c r="E696" s="257" t="inlineStr">
        <is>
          <t>買</t>
        </is>
      </c>
      <c r="F696" s="229" t="inlineStr">
        <is>
          <t>-</t>
        </is>
      </c>
      <c r="G696" s="697" t="n">
        <v>1</v>
      </c>
      <c r="H696" s="697" t="n">
        <v>10821</v>
      </c>
      <c r="I696" s="697" t="n">
        <v>0</v>
      </c>
      <c r="J696" s="585" t="n">
        <v>45</v>
      </c>
      <c r="K696" s="585" t="n">
        <v>43</v>
      </c>
      <c r="L696" s="585">
        <f>IF(B696="TXO",I696-SUM(J696:K696),IF(B696="FITX",IF(D696="新倉",-SUM(J696:K696),IF(E696="賣",(H696-H695)*G696*200-SUM(J696:K696),(H695-H696)*G696*200-SUM(J696:K696))),IF(D696="新倉",-SUM(J696:K696),IF(E696="賣",(H696-H695)*G696*50-SUM(J696:K696),(H695-H696)*G696*50-SUM(J696:K696)))))</f>
        <v/>
      </c>
      <c r="M696" s="699">
        <f>L696</f>
        <v/>
      </c>
      <c r="N696" s="686">
        <f>IF(B696="TXO","",IF(D696="新倉","",IF(E696="賣",(H696-H695)*G696,(H695-H696)*G696)))</f>
        <v/>
      </c>
      <c r="O696" s="226">
        <f>ABS(I696)</f>
        <v/>
      </c>
      <c r="P696" s="667" t="n"/>
      <c r="Q696" s="249" t="inlineStr">
        <is>
          <t>技法: 3/3 買進一口</t>
        </is>
      </c>
      <c r="R696" s="249" t="inlineStr">
        <is>
          <t>Yes</t>
        </is>
      </c>
      <c r="S696" s="739" t="n"/>
      <c r="T696" s="61">
        <f>IF(AND(R696="Yes",S696&lt;&gt;"Yes",L696&gt;0,B696&lt;&gt;"TXO"),L696,"")</f>
        <v/>
      </c>
      <c r="U696" s="61">
        <f>IF(AND(R696="Yes",S696&lt;&gt;"Yes",L696&lt;0,B696&lt;&gt;"TXO"),L696,"")</f>
        <v/>
      </c>
      <c r="V696" s="61">
        <f>IF(AND(R696="",S696&lt;&gt;"Yes",L696&gt;0,B696&lt;&gt;"TXO"),L696,"")</f>
        <v/>
      </c>
      <c r="W696" s="61">
        <f>IF(AND(R696="",S696&lt;&gt;"Yes",L696&lt;0,B696&lt;&gt;"TXO"),L696,"")</f>
        <v/>
      </c>
      <c r="X696" s="226">
        <f>IF(AND(R696="Yes",S696="Yes",L696&gt;0,B696&lt;&gt;"TXO"),L696,"")</f>
        <v/>
      </c>
      <c r="Y696" s="226">
        <f>IF(AND(R696="Yes",S696="Yes",L696&lt;0,B696&lt;&gt;"TXO"),L696,"")</f>
        <v/>
      </c>
      <c r="Z696" s="226">
        <f>IF(AND(R696="",S696="Yes",L696&gt;0,B696&lt;&gt;"TXO"),L696,"")</f>
        <v/>
      </c>
      <c r="AA696" s="226">
        <f>IF(AND(R696="",S696="Yes",L696&lt;0,B696&lt;&gt;"TXO"),L696,"")</f>
        <v/>
      </c>
    </row>
    <row r="697" hidden="1" outlineLevel="2" ht="17.25" customHeight="1" thickBot="1">
      <c r="A697" s="696" t="n">
        <v>43361</v>
      </c>
      <c r="B697" s="234" t="inlineStr">
        <is>
          <t>FITX</t>
        </is>
      </c>
      <c r="C697" s="229" t="inlineStr">
        <is>
          <t>台指09</t>
        </is>
      </c>
      <c r="D697" s="229" t="inlineStr">
        <is>
          <t>平倉</t>
        </is>
      </c>
      <c r="E697" s="257" t="inlineStr">
        <is>
          <t>賣</t>
        </is>
      </c>
      <c r="F697" s="229" t="inlineStr">
        <is>
          <t>-</t>
        </is>
      </c>
      <c r="G697" s="697" t="n">
        <v>1</v>
      </c>
      <c r="H697" s="697" t="n">
        <v>10824</v>
      </c>
      <c r="I697" s="697" t="n">
        <v>0</v>
      </c>
      <c r="J697" s="585" t="n">
        <v>45</v>
      </c>
      <c r="K697" s="585" t="n">
        <v>43</v>
      </c>
      <c r="L697" s="585">
        <f>IF(B697="TXO",I697-SUM(J697:K697),IF(B697="FITX",IF(D697="新倉",-SUM(J697:K697),IF(E697="賣",(H697-H696)*G697*200-SUM(J697:K697),(H696-H697)*G697*200-SUM(J697:K697))),IF(D697="新倉",-SUM(J697:K697),IF(E697="賣",(H697-H696)*G697*50-SUM(J697:K697),(H696-H697)*G697*50-SUM(J697:K697)))))</f>
        <v/>
      </c>
      <c r="M697" s="699">
        <f>L697</f>
        <v/>
      </c>
      <c r="N697" s="686">
        <f>IF(B697="TXO","",IF(D697="新倉","",IF(E697="賣",(H697-H696)*G697,(H696-H697)*G697)))</f>
        <v/>
      </c>
      <c r="O697" s="226">
        <f>ABS(I697)</f>
        <v/>
      </c>
      <c r="P697" s="667" t="n"/>
      <c r="Q697" s="249" t="inlineStr">
        <is>
          <t>技法: 刺補</t>
        </is>
      </c>
      <c r="R697" s="249" t="inlineStr">
        <is>
          <t>Yes</t>
        </is>
      </c>
      <c r="S697" s="739" t="n"/>
      <c r="T697" s="61">
        <f>IF(AND(R697="Yes",S697&lt;&gt;"Yes",L697&gt;0,B697&lt;&gt;"TXO"),L697,"")</f>
        <v/>
      </c>
      <c r="U697" s="61">
        <f>IF(AND(R697="Yes",S697&lt;&gt;"Yes",L697&lt;0,B697&lt;&gt;"TXO"),L697,"")</f>
        <v/>
      </c>
      <c r="V697" s="61">
        <f>IF(AND(R697="",S697&lt;&gt;"Yes",L697&gt;0,B697&lt;&gt;"TXO"),L697,"")</f>
        <v/>
      </c>
      <c r="W697" s="61">
        <f>IF(AND(R697="",S697&lt;&gt;"Yes",L697&lt;0,B697&lt;&gt;"TXO"),L697,"")</f>
        <v/>
      </c>
      <c r="X697" s="226">
        <f>IF(AND(R697="Yes",S697="Yes",L697&gt;0,B697&lt;&gt;"TXO"),L697,"")</f>
        <v/>
      </c>
      <c r="Y697" s="226">
        <f>IF(AND(R697="Yes",S697="Yes",L697&lt;0,B697&lt;&gt;"TXO"),L697,"")</f>
        <v/>
      </c>
      <c r="Z697" s="226">
        <f>IF(AND(R697="",S697="Yes",L697&gt;0,B697&lt;&gt;"TXO"),L697,"")</f>
        <v/>
      </c>
      <c r="AA697" s="226">
        <f>IF(AND(R697="",S697="Yes",L697&lt;0,B697&lt;&gt;"TXO"),L697,"")</f>
        <v/>
      </c>
    </row>
    <row r="698" hidden="1" outlineLevel="2" ht="17.25" customHeight="1" thickBot="1">
      <c r="A698" s="696" t="n">
        <v>43361</v>
      </c>
      <c r="B698" s="234" t="inlineStr">
        <is>
          <t>FITX</t>
        </is>
      </c>
      <c r="C698" s="229" t="inlineStr">
        <is>
          <t>台指09</t>
        </is>
      </c>
      <c r="D698" s="229" t="inlineStr">
        <is>
          <t>新倉</t>
        </is>
      </c>
      <c r="E698" s="257" t="inlineStr">
        <is>
          <t>買</t>
        </is>
      </c>
      <c r="F698" s="229" t="inlineStr">
        <is>
          <t>-</t>
        </is>
      </c>
      <c r="G698" s="697" t="n">
        <v>1</v>
      </c>
      <c r="H698" s="697" t="n">
        <v>10834</v>
      </c>
      <c r="I698" s="697" t="n">
        <v>0</v>
      </c>
      <c r="J698" s="585" t="n">
        <v>45</v>
      </c>
      <c r="K698" s="585" t="n">
        <v>43</v>
      </c>
      <c r="L698" s="585">
        <f>IF(B698="TXO",I698-SUM(J698:K698),IF(B698="FITX",IF(D698="新倉",-SUM(J698:K698),IF(E698="賣",(H698-H697)*G698*200-SUM(J698:K698),(H697-H698)*G698*200-SUM(J698:K698))),IF(D698="新倉",-SUM(J698:K698),IF(E698="賣",(H698-H697)*G698*50-SUM(J698:K698),(H697-H698)*G698*50-SUM(J698:K698)))))</f>
        <v/>
      </c>
      <c r="M698" s="699">
        <f>L698</f>
        <v/>
      </c>
      <c r="N698" s="686">
        <f>IF(B698="TXO","",IF(D698="新倉","",IF(E698="賣",(H698-H697)*G698,(H697-H698)*G698)))</f>
        <v/>
      </c>
      <c r="O698" s="226">
        <f>ABS(I698)</f>
        <v/>
      </c>
      <c r="P698" s="667" t="n"/>
      <c r="Q698" s="249" t="inlineStr">
        <is>
          <t>技法: 3/3 買進一口</t>
        </is>
      </c>
      <c r="R698" s="249" t="inlineStr">
        <is>
          <t>Yes</t>
        </is>
      </c>
      <c r="S698" s="739" t="n"/>
      <c r="T698" s="61">
        <f>IF(AND(R698="Yes",S698&lt;&gt;"Yes",L698&gt;0,B698&lt;&gt;"TXO"),L698,"")</f>
        <v/>
      </c>
      <c r="U698" s="61">
        <f>IF(AND(R698="Yes",S698&lt;&gt;"Yes",L698&lt;0,B698&lt;&gt;"TXO"),L698,"")</f>
        <v/>
      </c>
      <c r="V698" s="61">
        <f>IF(AND(R698="",S698&lt;&gt;"Yes",L698&gt;0,B698&lt;&gt;"TXO"),L698,"")</f>
        <v/>
      </c>
      <c r="W698" s="61">
        <f>IF(AND(R698="",S698&lt;&gt;"Yes",L698&lt;0,B698&lt;&gt;"TXO"),L698,"")</f>
        <v/>
      </c>
      <c r="X698" s="226">
        <f>IF(AND(R698="Yes",S698="Yes",L698&gt;0,B698&lt;&gt;"TXO"),L698,"")</f>
        <v/>
      </c>
      <c r="Y698" s="226">
        <f>IF(AND(R698="Yes",S698="Yes",L698&lt;0,B698&lt;&gt;"TXO"),L698,"")</f>
        <v/>
      </c>
      <c r="Z698" s="226">
        <f>IF(AND(R698="",S698="Yes",L698&gt;0,B698&lt;&gt;"TXO"),L698,"")</f>
        <v/>
      </c>
      <c r="AA698" s="226">
        <f>IF(AND(R698="",S698="Yes",L698&lt;0,B698&lt;&gt;"TXO"),L698,"")</f>
        <v/>
      </c>
    </row>
    <row r="699" hidden="1" outlineLevel="2" ht="17.25" customHeight="1" thickBot="1">
      <c r="A699" s="696" t="n">
        <v>43361</v>
      </c>
      <c r="B699" s="234" t="inlineStr">
        <is>
          <t>FITX</t>
        </is>
      </c>
      <c r="C699" s="229" t="inlineStr">
        <is>
          <t>台指09</t>
        </is>
      </c>
      <c r="D699" s="229" t="inlineStr">
        <is>
          <t>平倉</t>
        </is>
      </c>
      <c r="E699" s="257" t="inlineStr">
        <is>
          <t>賣</t>
        </is>
      </c>
      <c r="F699" s="229" t="inlineStr">
        <is>
          <t>-</t>
        </is>
      </c>
      <c r="G699" s="697" t="n">
        <v>1</v>
      </c>
      <c r="H699" s="697" t="n">
        <v>10837</v>
      </c>
      <c r="I699" s="697" t="n">
        <v>0</v>
      </c>
      <c r="J699" s="585" t="n">
        <v>45</v>
      </c>
      <c r="K699" s="585" t="n">
        <v>43</v>
      </c>
      <c r="L699" s="585">
        <f>IF(B699="TXO",I699-SUM(J699:K699),IF(B699="FITX",IF(D699="新倉",-SUM(J699:K699),IF(E699="賣",(H699-H698)*G699*200-SUM(J699:K699),(H698-H699)*G699*200-SUM(J699:K699))),IF(D699="新倉",-SUM(J699:K699),IF(E699="賣",(H699-H698)*G699*50-SUM(J699:K699),(H698-H699)*G699*50-SUM(J699:K699)))))</f>
        <v/>
      </c>
      <c r="M699" s="699">
        <f>L699</f>
        <v/>
      </c>
      <c r="N699" s="686">
        <f>IF(B699="TXO","",IF(D699="新倉","",IF(E699="賣",(H699-H698)*G699,(H698-H699)*G699)))</f>
        <v/>
      </c>
      <c r="O699" s="226">
        <f>ABS(I699)</f>
        <v/>
      </c>
      <c r="P699" s="667" t="n"/>
      <c r="Q699" s="249" t="inlineStr">
        <is>
          <t>技法: 刺補</t>
        </is>
      </c>
      <c r="R699" s="249" t="inlineStr">
        <is>
          <t>Yes</t>
        </is>
      </c>
      <c r="S699" s="739" t="n"/>
      <c r="T699" s="61">
        <f>IF(AND(R699="Yes",S699&lt;&gt;"Yes",L699&gt;0,B699&lt;&gt;"TXO"),L699,"")</f>
        <v/>
      </c>
      <c r="U699" s="61">
        <f>IF(AND(R699="Yes",S699&lt;&gt;"Yes",L699&lt;0,B699&lt;&gt;"TXO"),L699,"")</f>
        <v/>
      </c>
      <c r="V699" s="61">
        <f>IF(AND(R699="",S699&lt;&gt;"Yes",L699&gt;0,B699&lt;&gt;"TXO"),L699,"")</f>
        <v/>
      </c>
      <c r="W699" s="61">
        <f>IF(AND(R699="",S699&lt;&gt;"Yes",L699&lt;0,B699&lt;&gt;"TXO"),L699,"")</f>
        <v/>
      </c>
      <c r="X699" s="226">
        <f>IF(AND(R699="Yes",S699="Yes",L699&gt;0,B699&lt;&gt;"TXO"),L699,"")</f>
        <v/>
      </c>
      <c r="Y699" s="226">
        <f>IF(AND(R699="Yes",S699="Yes",L699&lt;0,B699&lt;&gt;"TXO"),L699,"")</f>
        <v/>
      </c>
      <c r="Z699" s="226">
        <f>IF(AND(R699="",S699="Yes",L699&gt;0,B699&lt;&gt;"TXO"),L699,"")</f>
        <v/>
      </c>
      <c r="AA699" s="226">
        <f>IF(AND(R699="",S699="Yes",L699&lt;0,B699&lt;&gt;"TXO"),L699,"")</f>
        <v/>
      </c>
    </row>
    <row r="700" hidden="1" outlineLevel="1" ht="17.25" customHeight="1" thickBot="1">
      <c r="A700" s="740" t="n">
        <v>43362</v>
      </c>
      <c r="B700" s="299" t="inlineStr">
        <is>
          <t>TXO</t>
        </is>
      </c>
      <c r="C700" s="300" t="inlineStr">
        <is>
          <t>台指選 09 10800 P</t>
        </is>
      </c>
      <c r="D700" s="300" t="inlineStr">
        <is>
          <t>新倉</t>
        </is>
      </c>
      <c r="E700" s="301" t="inlineStr">
        <is>
          <t>買</t>
        </is>
      </c>
      <c r="F700" s="300" t="inlineStr">
        <is>
          <t>-</t>
        </is>
      </c>
      <c r="G700" s="741" t="n">
        <v>1</v>
      </c>
      <c r="H700" s="741" t="n">
        <v>3</v>
      </c>
      <c r="I700" s="741" t="n">
        <v>-150</v>
      </c>
      <c r="J700" s="742" t="n">
        <v>18</v>
      </c>
      <c r="K700" s="742" t="n">
        <v>0</v>
      </c>
      <c r="L700" s="742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/>
      </c>
      <c r="M700" s="743">
        <f>L700</f>
        <v/>
      </c>
      <c r="N700" s="686">
        <f>IF(B700="TXO","",IF(D700="新倉","",IF(E700="賣",(H700-H544)*G700,(H544-H700)*G700)))</f>
        <v/>
      </c>
      <c r="O700" s="226">
        <f>ABS(I700)</f>
        <v/>
      </c>
      <c r="P700" s="667">
        <f>SUM(L700:L735)</f>
        <v/>
      </c>
      <c r="S700" s="739" t="n"/>
      <c r="T700" s="61">
        <f>IF(AND(R700="Yes",S700&lt;&gt;"Yes",L700&gt;0,B700&lt;&gt;"TXO"),L700,"")</f>
        <v/>
      </c>
      <c r="U700" s="61">
        <f>IF(AND(R700="Yes",S700&lt;&gt;"Yes",L700&lt;0,B700&lt;&gt;"TXO"),L700,"")</f>
        <v/>
      </c>
      <c r="V700" s="61">
        <f>IF(AND(R700="",S700&lt;&gt;"Yes",L700&gt;0,B700&lt;&gt;"TXO"),L700,"")</f>
        <v/>
      </c>
      <c r="W700" s="61">
        <f>IF(AND(R700="",S700&lt;&gt;"Yes",L700&lt;0,B700&lt;&gt;"TXO"),L700,"")</f>
        <v/>
      </c>
      <c r="X700" s="226">
        <f>IF(AND(R700="Yes",S700="Yes",L700&gt;0,B700&lt;&gt;"TXO"),L700,"")</f>
        <v/>
      </c>
      <c r="Y700" s="226">
        <f>IF(AND(R700="Yes",S700="Yes",L700&lt;0,B700&lt;&gt;"TXO"),L700,"")</f>
        <v/>
      </c>
      <c r="Z700" s="226">
        <f>IF(AND(R700="",S700="Yes",L700&gt;0,B700&lt;&gt;"TXO"),L700,"")</f>
        <v/>
      </c>
      <c r="AA700" s="226">
        <f>IF(AND(R700="",S700="Yes",L700&lt;0,B700&lt;&gt;"TXO"),L700,"")</f>
        <v/>
      </c>
    </row>
    <row r="701" hidden="1" outlineLevel="2" collapsed="1" ht="17.25" customHeight="1" thickBot="1">
      <c r="A701" s="740" t="n">
        <v>43362</v>
      </c>
      <c r="B701" s="299" t="inlineStr">
        <is>
          <t>TXO</t>
        </is>
      </c>
      <c r="C701" s="300" t="inlineStr">
        <is>
          <t>台指選 09 10800 P</t>
        </is>
      </c>
      <c r="D701" s="300" t="inlineStr">
        <is>
          <t>新倉</t>
        </is>
      </c>
      <c r="E701" s="301" t="inlineStr">
        <is>
          <t>買</t>
        </is>
      </c>
      <c r="F701" s="300" t="inlineStr">
        <is>
          <t>-</t>
        </is>
      </c>
      <c r="G701" s="741" t="n">
        <v>1</v>
      </c>
      <c r="H701" s="741" t="n">
        <v>5</v>
      </c>
      <c r="I701" s="741" t="n">
        <v>-250</v>
      </c>
      <c r="J701" s="742" t="n">
        <v>18</v>
      </c>
      <c r="K701" s="742" t="n">
        <v>0</v>
      </c>
      <c r="L701" s="742">
        <f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/>
      </c>
      <c r="M701" s="743">
        <f>L701</f>
        <v/>
      </c>
      <c r="N701" s="686">
        <f>IF(B701="TXO","",IF(D701="新倉","",IF(E701="賣",(H701-H700)*G701,(H700-H701)*G701)))</f>
        <v/>
      </c>
      <c r="O701" s="226">
        <f>ABS(I701)</f>
        <v/>
      </c>
      <c r="P701" s="667" t="n"/>
      <c r="S701" s="739" t="n"/>
      <c r="T701" s="61">
        <f>IF(AND(R701="Yes",S701&lt;&gt;"Yes",L701&gt;0,B701&lt;&gt;"TXO"),L701,"")</f>
        <v/>
      </c>
      <c r="U701" s="61">
        <f>IF(AND(R701="Yes",S701&lt;&gt;"Yes",L701&lt;0,B701&lt;&gt;"TXO"),L701,"")</f>
        <v/>
      </c>
      <c r="V701" s="61">
        <f>IF(AND(R701="",S701&lt;&gt;"Yes",L701&gt;0,B701&lt;&gt;"TXO"),L701,"")</f>
        <v/>
      </c>
      <c r="W701" s="61">
        <f>IF(AND(R701="",S701&lt;&gt;"Yes",L701&lt;0,B701&lt;&gt;"TXO"),L701,"")</f>
        <v/>
      </c>
      <c r="X701" s="226">
        <f>IF(AND(R701="Yes",S701="Yes",L701&gt;0,B701&lt;&gt;"TXO"),L701,"")</f>
        <v/>
      </c>
      <c r="Y701" s="226">
        <f>IF(AND(R701="Yes",S701="Yes",L701&lt;0,B701&lt;&gt;"TXO"),L701,"")</f>
        <v/>
      </c>
      <c r="Z701" s="226">
        <f>IF(AND(R701="",S701="Yes",L701&gt;0,B701&lt;&gt;"TXO"),L701,"")</f>
        <v/>
      </c>
      <c r="AA701" s="226">
        <f>IF(AND(R701="",S701="Yes",L701&lt;0,B701&lt;&gt;"TXO"),L701,"")</f>
        <v/>
      </c>
    </row>
    <row r="702" hidden="1" outlineLevel="2" collapsed="1" ht="17.25" customHeight="1" thickBot="1">
      <c r="A702" s="740" t="n">
        <v>43362</v>
      </c>
      <c r="B702" s="299" t="inlineStr">
        <is>
          <t>TXO</t>
        </is>
      </c>
      <c r="C702" s="300" t="inlineStr">
        <is>
          <t>台指選 09 10800 P</t>
        </is>
      </c>
      <c r="D702" s="300" t="inlineStr">
        <is>
          <t>新倉</t>
        </is>
      </c>
      <c r="E702" s="301" t="inlineStr">
        <is>
          <t>買</t>
        </is>
      </c>
      <c r="F702" s="300" t="inlineStr">
        <is>
          <t>-</t>
        </is>
      </c>
      <c r="G702" s="741" t="n">
        <v>1</v>
      </c>
      <c r="H702" s="741" t="n">
        <v>7</v>
      </c>
      <c r="I702" s="741" t="n">
        <v>-350</v>
      </c>
      <c r="J702" s="742" t="n">
        <v>18</v>
      </c>
      <c r="K702" s="742" t="n">
        <v>0</v>
      </c>
      <c r="L702" s="742">
        <f>IF(B702="TXO",I702-SUM(J702:K702),IF(B702="FITX",IF(D702="新倉",-SUM(J702:K702),IF(E702="賣",(H702-H701)*G702*200-SUM(J702:K702),(H701-H702)*G702*200-SUM(J702:K702))),IF(D702="新倉",-SUM(J702:K702),IF(E702="賣",(H702-H701)*G702*50-SUM(J702:K702),(H701-H702)*G702*50-SUM(J702:K702)))))</f>
        <v/>
      </c>
      <c r="M702" s="743">
        <f>L702</f>
        <v/>
      </c>
      <c r="N702" s="686">
        <f>IF(B702="TXO","",IF(D702="新倉","",IF(E702="賣",(H702-H701)*G702,(H701-H702)*G702)))</f>
        <v/>
      </c>
      <c r="O702" s="226">
        <f>ABS(I702)</f>
        <v/>
      </c>
      <c r="P702" s="667" t="n"/>
      <c r="S702" s="739" t="n"/>
      <c r="T702" s="61">
        <f>IF(AND(R702="Yes",S702&lt;&gt;"Yes",L702&gt;0,B702&lt;&gt;"TXO"),L702,"")</f>
        <v/>
      </c>
      <c r="U702" s="61">
        <f>IF(AND(R702="Yes",S702&lt;&gt;"Yes",L702&lt;0,B702&lt;&gt;"TXO"),L702,"")</f>
        <v/>
      </c>
      <c r="V702" s="61">
        <f>IF(AND(R702="",S702&lt;&gt;"Yes",L702&gt;0,B702&lt;&gt;"TXO"),L702,"")</f>
        <v/>
      </c>
      <c r="W702" s="61">
        <f>IF(AND(R702="",S702&lt;&gt;"Yes",L702&lt;0,B702&lt;&gt;"TXO"),L702,"")</f>
        <v/>
      </c>
      <c r="X702" s="226">
        <f>IF(AND(R702="Yes",S702="Yes",L702&gt;0,B702&lt;&gt;"TXO"),L702,"")</f>
        <v/>
      </c>
      <c r="Y702" s="226">
        <f>IF(AND(R702="Yes",S702="Yes",L702&lt;0,B702&lt;&gt;"TXO"),L702,"")</f>
        <v/>
      </c>
      <c r="Z702" s="226">
        <f>IF(AND(R702="",S702="Yes",L702&gt;0,B702&lt;&gt;"TXO"),L702,"")</f>
        <v/>
      </c>
      <c r="AA702" s="226">
        <f>IF(AND(R702="",S702="Yes",L702&lt;0,B702&lt;&gt;"TXO"),L702,"")</f>
        <v/>
      </c>
    </row>
    <row r="703" hidden="1" outlineLevel="2" collapsed="1" ht="17.25" customHeight="1" thickBot="1">
      <c r="A703" s="740" t="n">
        <v>43362</v>
      </c>
      <c r="B703" s="299" t="inlineStr">
        <is>
          <t>TXO</t>
        </is>
      </c>
      <c r="C703" s="300" t="inlineStr">
        <is>
          <t>台指選 09 10800 P</t>
        </is>
      </c>
      <c r="D703" s="300" t="inlineStr">
        <is>
          <t>新倉</t>
        </is>
      </c>
      <c r="E703" s="301" t="inlineStr">
        <is>
          <t>買</t>
        </is>
      </c>
      <c r="F703" s="300" t="inlineStr">
        <is>
          <t>-</t>
        </is>
      </c>
      <c r="G703" s="741" t="n">
        <v>2</v>
      </c>
      <c r="H703" s="741" t="n">
        <v>8.4</v>
      </c>
      <c r="I703" s="741" t="n">
        <v>-840</v>
      </c>
      <c r="J703" s="742" t="n">
        <v>36</v>
      </c>
      <c r="K703" s="742" t="n">
        <v>0</v>
      </c>
      <c r="L703" s="742">
        <f>IF(B703="TXO",I703-SUM(J703:K703),IF(B703="FITX",IF(D703="新倉",-SUM(J703:K703),IF(E703="賣",(H703-H702)*G703*200-SUM(J703:K703),(H702-H703)*G703*200-SUM(J703:K703))),IF(D703="新倉",-SUM(J703:K703),IF(E703="賣",(H703-H702)*G703*50-SUM(J703:K703),(H702-H703)*G703*50-SUM(J703:K703)))))</f>
        <v/>
      </c>
      <c r="M703" s="743">
        <f>L703</f>
        <v/>
      </c>
      <c r="N703" s="686">
        <f>IF(B703="TXO","",IF(D703="新倉","",IF(E703="賣",(H703-H702)*G703,(H702-H703)*G703)))</f>
        <v/>
      </c>
      <c r="O703" s="226">
        <f>ABS(I703)</f>
        <v/>
      </c>
      <c r="P703" s="667" t="n"/>
      <c r="S703" s="739" t="n"/>
      <c r="T703" s="61">
        <f>IF(AND(R703="Yes",S703&lt;&gt;"Yes",L703&gt;0,B703&lt;&gt;"TXO"),L703,"")</f>
        <v/>
      </c>
      <c r="U703" s="61">
        <f>IF(AND(R703="Yes",S703&lt;&gt;"Yes",L703&lt;0,B703&lt;&gt;"TXO"),L703,"")</f>
        <v/>
      </c>
      <c r="V703" s="61">
        <f>IF(AND(R703="",S703&lt;&gt;"Yes",L703&gt;0,B703&lt;&gt;"TXO"),L703,"")</f>
        <v/>
      </c>
      <c r="W703" s="61">
        <f>IF(AND(R703="",S703&lt;&gt;"Yes",L703&lt;0,B703&lt;&gt;"TXO"),L703,"")</f>
        <v/>
      </c>
      <c r="X703" s="226">
        <f>IF(AND(R703="Yes",S703="Yes",L703&gt;0,B703&lt;&gt;"TXO"),L703,"")</f>
        <v/>
      </c>
      <c r="Y703" s="226">
        <f>IF(AND(R703="Yes",S703="Yes",L703&lt;0,B703&lt;&gt;"TXO"),L703,"")</f>
        <v/>
      </c>
      <c r="Z703" s="226">
        <f>IF(AND(R703="",S703="Yes",L703&gt;0,B703&lt;&gt;"TXO"),L703,"")</f>
        <v/>
      </c>
      <c r="AA703" s="226">
        <f>IF(AND(R703="",S703="Yes",L703&lt;0,B703&lt;&gt;"TXO"),L703,"")</f>
        <v/>
      </c>
    </row>
    <row r="704" hidden="1" outlineLevel="2" collapsed="1" ht="17.25" customHeight="1" thickBot="1">
      <c r="A704" s="740" t="n">
        <v>43362</v>
      </c>
      <c r="B704" s="299" t="inlineStr">
        <is>
          <t>FIMTX</t>
        </is>
      </c>
      <c r="C704" s="300" t="inlineStr">
        <is>
          <t>小指10</t>
        </is>
      </c>
      <c r="D704" s="300" t="inlineStr">
        <is>
          <t>新倉</t>
        </is>
      </c>
      <c r="E704" s="301" t="inlineStr">
        <is>
          <t>買</t>
        </is>
      </c>
      <c r="F704" s="300" t="inlineStr">
        <is>
          <t>-</t>
        </is>
      </c>
      <c r="G704" s="741" t="n">
        <v>1</v>
      </c>
      <c r="H704" s="741" t="n">
        <v>10841</v>
      </c>
      <c r="I704" s="741" t="n">
        <v>0</v>
      </c>
      <c r="J704" s="742" t="n">
        <v>23</v>
      </c>
      <c r="K704" s="742" t="n">
        <v>11</v>
      </c>
      <c r="L704" s="742">
        <f>IF(B704="TXO",I704-SUM(J704:K704),IF(B704="FITX",IF(D704="新倉",-SUM(J704:K704),IF(E704="賣",(H704-H703)*G704*200-SUM(J704:K704),(H703-H704)*G704*200-SUM(J704:K704))),IF(D704="新倉",-SUM(J704:K704),IF(E704="賣",(H704-H703)*G704*50-SUM(J704:K704),(H703-H704)*G704*50-SUM(J704:K704)))))</f>
        <v/>
      </c>
      <c r="M704" s="743">
        <f>L704</f>
        <v/>
      </c>
      <c r="N704" s="686">
        <f>IF(B704="TXO","",IF(D704="新倉","",IF(E704="賣",(H704-H703)*G704,(H703-H704)*G704)))</f>
        <v/>
      </c>
      <c r="O704" s="226">
        <f>ABS(I704)</f>
        <v/>
      </c>
      <c r="P704" s="667" t="n"/>
      <c r="Q704" s="310" t="inlineStr">
        <is>
          <t>轉倉測試-失敗</t>
        </is>
      </c>
      <c r="R704" s="310" t="n"/>
      <c r="S704" s="739" t="n"/>
      <c r="T704" s="61">
        <f>IF(AND(R704="Yes",S704&lt;&gt;"Yes",L704&gt;0,B704&lt;&gt;"TXO"),L704,"")</f>
        <v/>
      </c>
      <c r="U704" s="61">
        <f>IF(AND(R704="Yes",S704&lt;&gt;"Yes",L704&lt;0,B704&lt;&gt;"TXO"),L704,"")</f>
        <v/>
      </c>
      <c r="V704" s="61">
        <f>IF(AND(R704="",S704&lt;&gt;"Yes",L704&gt;0,B704&lt;&gt;"TXO"),L704,"")</f>
        <v/>
      </c>
      <c r="W704" s="61">
        <f>IF(AND(R704="",S704&lt;&gt;"Yes",L704&lt;0,B704&lt;&gt;"TXO"),L704,"")</f>
        <v/>
      </c>
      <c r="X704" s="226">
        <f>IF(AND(R704="Yes",S704="Yes",L704&gt;0,B704&lt;&gt;"TXO"),L704,"")</f>
        <v/>
      </c>
      <c r="Y704" s="226">
        <f>IF(AND(R704="Yes",S704="Yes",L704&lt;0,B704&lt;&gt;"TXO"),L704,"")</f>
        <v/>
      </c>
      <c r="Z704" s="226">
        <f>IF(AND(R704="",S704="Yes",L704&gt;0,B704&lt;&gt;"TXO"),L704,"")</f>
        <v/>
      </c>
      <c r="AA704" s="226">
        <f>IF(AND(R704="",S704="Yes",L704&lt;0,B704&lt;&gt;"TXO"),L704,"")</f>
        <v/>
      </c>
    </row>
    <row r="705" hidden="1" outlineLevel="2" collapsed="1" ht="17.25" customHeight="1" thickBot="1">
      <c r="A705" s="740" t="n">
        <v>43362</v>
      </c>
      <c r="B705" s="299" t="inlineStr">
        <is>
          <t>FIMTX</t>
        </is>
      </c>
      <c r="C705" s="300" t="inlineStr">
        <is>
          <t>小指10</t>
        </is>
      </c>
      <c r="D705" s="300" t="inlineStr">
        <is>
          <t>平倉</t>
        </is>
      </c>
      <c r="E705" s="301" t="inlineStr">
        <is>
          <t>賣</t>
        </is>
      </c>
      <c r="F705" s="300" t="inlineStr">
        <is>
          <t>-</t>
        </is>
      </c>
      <c r="G705" s="741" t="n">
        <v>1</v>
      </c>
      <c r="H705" s="741" t="n">
        <v>10833</v>
      </c>
      <c r="I705" s="741" t="n">
        <v>0</v>
      </c>
      <c r="J705" s="742" t="n">
        <v>23</v>
      </c>
      <c r="K705" s="742" t="n">
        <v>11</v>
      </c>
      <c r="L705" s="742">
        <f>IF(B705="TXO",I705-SUM(J705:K705),IF(B705="FITX",IF(D705="新倉",-SUM(J705:K705),IF(E705="賣",(H705-H704)*G705*200-SUM(J705:K705),(H704-H705)*G705*200-SUM(J705:K705))),IF(D705="新倉",-SUM(J705:K705),IF(E705="賣",(H705-H704)*G705*50-SUM(J705:K705),(H704-H705)*G705*50-SUM(J705:K705)))))</f>
        <v/>
      </c>
      <c r="M705" s="743">
        <f>L705</f>
        <v/>
      </c>
      <c r="N705" s="686">
        <f>IF(B705="TXO","",IF(D705="新倉","",IF(E705="賣",(H705-H704)*G705,(H704-H705)*G705)))</f>
        <v/>
      </c>
      <c r="O705" s="226">
        <f>ABS(I705)</f>
        <v/>
      </c>
      <c r="P705" s="667" t="n"/>
      <c r="S705" s="739" t="n"/>
      <c r="T705" s="61">
        <f>IF(AND(R705="Yes",S705&lt;&gt;"Yes",L705&gt;0,B705&lt;&gt;"TXO"),L705,"")</f>
        <v/>
      </c>
      <c r="U705" s="61">
        <f>IF(AND(R705="Yes",S705&lt;&gt;"Yes",L705&lt;0,B705&lt;&gt;"TXO"),L705,"")</f>
        <v/>
      </c>
      <c r="V705" s="61">
        <f>IF(AND(R705="",S705&lt;&gt;"Yes",L705&gt;0,B705&lt;&gt;"TXO"),L705,"")</f>
        <v/>
      </c>
      <c r="W705" s="61">
        <f>IF(AND(R705="",S705&lt;&gt;"Yes",L705&lt;0,B705&lt;&gt;"TXO"),L705,"")</f>
        <v/>
      </c>
      <c r="X705" s="226">
        <f>IF(AND(R705="Yes",S705="Yes",L705&gt;0,B705&lt;&gt;"TXO"),L705,"")</f>
        <v/>
      </c>
      <c r="Y705" s="226">
        <f>IF(AND(R705="Yes",S705="Yes",L705&lt;0,B705&lt;&gt;"TXO"),L705,"")</f>
        <v/>
      </c>
      <c r="Z705" s="226">
        <f>IF(AND(R705="",S705="Yes",L705&gt;0,B705&lt;&gt;"TXO"),L705,"")</f>
        <v/>
      </c>
      <c r="AA705" s="226">
        <f>IF(AND(R705="",S705="Yes",L705&lt;0,B705&lt;&gt;"TXO"),L705,"")</f>
        <v/>
      </c>
    </row>
    <row r="706" hidden="1" outlineLevel="2" collapsed="1" ht="17.25" customHeight="1" thickBot="1">
      <c r="A706" s="740" t="n">
        <v>43362</v>
      </c>
      <c r="B706" s="299" t="inlineStr">
        <is>
          <t>FIMTX</t>
        </is>
      </c>
      <c r="C706" s="300" t="inlineStr">
        <is>
          <t>小指09</t>
        </is>
      </c>
      <c r="D706" s="300" t="inlineStr">
        <is>
          <t>新倉</t>
        </is>
      </c>
      <c r="E706" s="301" t="inlineStr">
        <is>
          <t>賣</t>
        </is>
      </c>
      <c r="F706" s="300" t="inlineStr">
        <is>
          <t>-</t>
        </is>
      </c>
      <c r="G706" s="741" t="n">
        <v>1</v>
      </c>
      <c r="H706" s="741" t="n">
        <v>10837</v>
      </c>
      <c r="I706" s="741" t="n">
        <v>0</v>
      </c>
      <c r="J706" s="742" t="n">
        <v>23</v>
      </c>
      <c r="K706" s="742" t="n">
        <v>11</v>
      </c>
      <c r="L706" s="742">
        <f>IF(B706="TXO",I706-SUM(J706:K706),IF(B706="FITX",IF(D706="新倉",-SUM(J706:K706),IF(E706="賣",(H706-H705)*G706*200-SUM(J706:K706),(H705-H706)*G706*200-SUM(J706:K706))),IF(D706="新倉",-SUM(J706:K706),IF(E706="賣",(H706-H705)*G706*50-SUM(J706:K706),(H705-H706)*G706*50-SUM(J706:K706)))))</f>
        <v/>
      </c>
      <c r="M706" s="743">
        <f>L706</f>
        <v/>
      </c>
      <c r="N706" s="686">
        <f>IF(B706="TXO","",IF(D706="新倉","",IF(E706="賣",(H706-H705)*G706,(H705-H706)*G706)))</f>
        <v/>
      </c>
      <c r="O706" s="226">
        <f>ABS(I706)</f>
        <v/>
      </c>
      <c r="P706" s="667" t="n"/>
      <c r="Q706" s="310" t="inlineStr">
        <is>
          <t>轉倉測試-失敗</t>
        </is>
      </c>
      <c r="R706" s="310" t="n"/>
      <c r="S706" s="739" t="n"/>
      <c r="T706" s="61">
        <f>IF(AND(R706="Yes",S706&lt;&gt;"Yes",L706&gt;0,B706&lt;&gt;"TXO"),L706,"")</f>
        <v/>
      </c>
      <c r="U706" s="61">
        <f>IF(AND(R706="Yes",S706&lt;&gt;"Yes",L706&lt;0,B706&lt;&gt;"TXO"),L706,"")</f>
        <v/>
      </c>
      <c r="V706" s="61">
        <f>IF(AND(R706="",S706&lt;&gt;"Yes",L706&gt;0,B706&lt;&gt;"TXO"),L706,"")</f>
        <v/>
      </c>
      <c r="W706" s="61">
        <f>IF(AND(R706="",S706&lt;&gt;"Yes",L706&lt;0,B706&lt;&gt;"TXO"),L706,"")</f>
        <v/>
      </c>
      <c r="X706" s="226">
        <f>IF(AND(R706="Yes",S706="Yes",L706&gt;0,B706&lt;&gt;"TXO"),L706,"")</f>
        <v/>
      </c>
      <c r="Y706" s="226">
        <f>IF(AND(R706="Yes",S706="Yes",L706&lt;0,B706&lt;&gt;"TXO"),L706,"")</f>
        <v/>
      </c>
      <c r="Z706" s="226">
        <f>IF(AND(R706="",S706="Yes",L706&gt;0,B706&lt;&gt;"TXO"),L706,"")</f>
        <v/>
      </c>
      <c r="AA706" s="226">
        <f>IF(AND(R706="",S706="Yes",L706&lt;0,B706&lt;&gt;"TXO"),L706,"")</f>
        <v/>
      </c>
    </row>
    <row r="707" hidden="1" outlineLevel="2" collapsed="1" ht="17.25" customHeight="1" thickBot="1">
      <c r="A707" s="740" t="n">
        <v>43362</v>
      </c>
      <c r="B707" s="299" t="inlineStr">
        <is>
          <t>FIMTX</t>
        </is>
      </c>
      <c r="C707" s="300" t="inlineStr">
        <is>
          <t>小指09</t>
        </is>
      </c>
      <c r="D707" s="300" t="inlineStr">
        <is>
          <t>平倉</t>
        </is>
      </c>
      <c r="E707" s="301" t="inlineStr">
        <is>
          <t>買</t>
        </is>
      </c>
      <c r="F707" s="300" t="inlineStr">
        <is>
          <t>-</t>
        </is>
      </c>
      <c r="G707" s="741" t="n">
        <v>1</v>
      </c>
      <c r="H707" s="741" t="n">
        <v>10839</v>
      </c>
      <c r="I707" s="741" t="n">
        <v>0</v>
      </c>
      <c r="J707" s="742" t="n">
        <v>23</v>
      </c>
      <c r="K707" s="742" t="n">
        <v>11</v>
      </c>
      <c r="L707" s="742">
        <f>IF(B707="TXO",I707-SUM(J707:K707),IF(B707="FITX",IF(D707="新倉",-SUM(J707:K707),IF(E707="賣",(H707-H706)*G707*200-SUM(J707:K707),(H706-H707)*G707*200-SUM(J707:K707))),IF(D707="新倉",-SUM(J707:K707),IF(E707="賣",(H707-H706)*G707*50-SUM(J707:K707),(H706-H707)*G707*50-SUM(J707:K707)))))</f>
        <v/>
      </c>
      <c r="M707" s="743">
        <f>L707</f>
        <v/>
      </c>
      <c r="N707" s="686">
        <f>IF(B707="TXO","",IF(D707="新倉","",IF(E707="賣",(H707-H706)*G707,(H706-H707)*G707)))</f>
        <v/>
      </c>
      <c r="O707" s="226">
        <f>ABS(I707)</f>
        <v/>
      </c>
      <c r="P707" s="667" t="n"/>
      <c r="S707" s="739" t="n"/>
      <c r="T707" s="61">
        <f>IF(AND(R707="Yes",S707&lt;&gt;"Yes",L707&gt;0,B707&lt;&gt;"TXO"),L707,"")</f>
        <v/>
      </c>
      <c r="U707" s="61">
        <f>IF(AND(R707="Yes",S707&lt;&gt;"Yes",L707&lt;0,B707&lt;&gt;"TXO"),L707,"")</f>
        <v/>
      </c>
      <c r="V707" s="61">
        <f>IF(AND(R707="",S707&lt;&gt;"Yes",L707&gt;0,B707&lt;&gt;"TXO"),L707,"")</f>
        <v/>
      </c>
      <c r="W707" s="61">
        <f>IF(AND(R707="",S707&lt;&gt;"Yes",L707&lt;0,B707&lt;&gt;"TXO"),L707,"")</f>
        <v/>
      </c>
      <c r="X707" s="226">
        <f>IF(AND(R707="Yes",S707="Yes",L707&gt;0,B707&lt;&gt;"TXO"),L707,"")</f>
        <v/>
      </c>
      <c r="Y707" s="226">
        <f>IF(AND(R707="Yes",S707="Yes",L707&lt;0,B707&lt;&gt;"TXO"),L707,"")</f>
        <v/>
      </c>
      <c r="Z707" s="226">
        <f>IF(AND(R707="",S707="Yes",L707&gt;0,B707&lt;&gt;"TXO"),L707,"")</f>
        <v/>
      </c>
      <c r="AA707" s="226">
        <f>IF(AND(R707="",S707="Yes",L707&lt;0,B707&lt;&gt;"TXO"),L707,"")</f>
        <v/>
      </c>
    </row>
    <row r="708" hidden="1" outlineLevel="2" collapsed="1" ht="17.25" customHeight="1" thickBot="1">
      <c r="A708" s="740" t="n">
        <v>43362</v>
      </c>
      <c r="B708" s="299" t="inlineStr">
        <is>
          <t>FIMTX</t>
        </is>
      </c>
      <c r="C708" s="300" t="inlineStr">
        <is>
          <t>小指10</t>
        </is>
      </c>
      <c r="D708" s="300" t="inlineStr">
        <is>
          <t>新倉</t>
        </is>
      </c>
      <c r="E708" s="301" t="inlineStr">
        <is>
          <t>買</t>
        </is>
      </c>
      <c r="F708" s="300" t="inlineStr">
        <is>
          <t>-</t>
        </is>
      </c>
      <c r="G708" s="741" t="n">
        <v>1</v>
      </c>
      <c r="H708" s="741" t="n">
        <v>10843</v>
      </c>
      <c r="I708" s="741" t="n">
        <v>0</v>
      </c>
      <c r="J708" s="742" t="n">
        <v>23</v>
      </c>
      <c r="K708" s="742" t="n">
        <v>11</v>
      </c>
      <c r="L708" s="742">
        <f>IF(B708="TXO",I708-SUM(J708:K708),IF(B708="FITX",IF(D708="新倉",-SUM(J708:K708),IF(E708="賣",(H708-H707)*G708*200-SUM(J708:K708),(H707-H708)*G708*200-SUM(J708:K708))),IF(D708="新倉",-SUM(J708:K708),IF(E708="賣",(H708-H707)*G708*50-SUM(J708:K708),(H707-H708)*G708*50-SUM(J708:K708)))))</f>
        <v/>
      </c>
      <c r="M708" s="743">
        <f>L708</f>
        <v/>
      </c>
      <c r="N708" s="686">
        <f>IF(B708="TXO","",IF(D708="新倉","",IF(E708="賣",(H708-H707)*G708,(H707-H708)*G708)))</f>
        <v/>
      </c>
      <c r="O708" s="226">
        <f>ABS(I708)</f>
        <v/>
      </c>
      <c r="P708" s="667" t="n"/>
      <c r="Q708" s="310" t="inlineStr">
        <is>
          <t>轉倉測試-失敗</t>
        </is>
      </c>
      <c r="R708" s="310" t="n"/>
      <c r="S708" s="249" t="n"/>
      <c r="T708" s="61">
        <f>IF(AND(R708="Yes",S708&lt;&gt;"Yes",L708&gt;0,B708&lt;&gt;"TXO"),L708,"")</f>
        <v/>
      </c>
      <c r="U708" s="61">
        <f>IF(AND(R708="Yes",S708&lt;&gt;"Yes",L708&lt;0,B708&lt;&gt;"TXO"),L708,"")</f>
        <v/>
      </c>
      <c r="V708" s="61">
        <f>IF(AND(R708="",S708&lt;&gt;"Yes",L708&gt;0,B708&lt;&gt;"TXO"),L708,"")</f>
        <v/>
      </c>
      <c r="W708" s="61">
        <f>IF(AND(R708="",S708&lt;&gt;"Yes",L708&lt;0,B708&lt;&gt;"TXO"),L708,"")</f>
        <v/>
      </c>
      <c r="X708" s="226">
        <f>IF(AND(R708="Yes",S708="Yes",L708&gt;0,B708&lt;&gt;"TXO"),L708,"")</f>
        <v/>
      </c>
      <c r="Y708" s="226">
        <f>IF(AND(R708="Yes",S708="Yes",L708&lt;0,B708&lt;&gt;"TXO"),L708,"")</f>
        <v/>
      </c>
      <c r="Z708" s="226">
        <f>IF(AND(R708="",S708="Yes",L708&gt;0,B708&lt;&gt;"TXO"),L708,"")</f>
        <v/>
      </c>
      <c r="AA708" s="226">
        <f>IF(AND(R708="",S708="Yes",L708&lt;0,B708&lt;&gt;"TXO"),L708,"")</f>
        <v/>
      </c>
    </row>
    <row r="709" hidden="1" outlineLevel="2" collapsed="1" ht="17.25" customHeight="1" thickBot="1">
      <c r="A709" s="740" t="n">
        <v>43362</v>
      </c>
      <c r="B709" s="299" t="inlineStr">
        <is>
          <t>FIMTX</t>
        </is>
      </c>
      <c r="C709" s="300" t="inlineStr">
        <is>
          <t>小指10</t>
        </is>
      </c>
      <c r="D709" s="300" t="inlineStr">
        <is>
          <t>平倉</t>
        </is>
      </c>
      <c r="E709" s="301" t="inlineStr">
        <is>
          <t>賣</t>
        </is>
      </c>
      <c r="F709" s="300" t="inlineStr">
        <is>
          <t>-</t>
        </is>
      </c>
      <c r="G709" s="741" t="n">
        <v>1</v>
      </c>
      <c r="H709" s="741" t="n">
        <v>10839</v>
      </c>
      <c r="I709" s="741" t="n">
        <v>0</v>
      </c>
      <c r="J709" s="742" t="n">
        <v>23</v>
      </c>
      <c r="K709" s="742" t="n">
        <v>11</v>
      </c>
      <c r="L709" s="742">
        <f>IF(B709="TXO",I709-SUM(J709:K709),IF(B709="FITX",IF(D709="新倉",-SUM(J709:K709),IF(E709="賣",(H709-H708)*G709*200-SUM(J709:K709),(H708-H709)*G709*200-SUM(J709:K709))),IF(D709="新倉",-SUM(J709:K709),IF(E709="賣",(H709-H708)*G709*50-SUM(J709:K709),(H708-H709)*G709*50-SUM(J709:K709)))))</f>
        <v/>
      </c>
      <c r="M709" s="743">
        <f>L709</f>
        <v/>
      </c>
      <c r="N709" s="686">
        <f>IF(B709="TXO","",IF(D709="新倉","",IF(E709="賣",(H709-H708)*G709,(H708-H709)*G709)))</f>
        <v/>
      </c>
      <c r="O709" s="226">
        <f>ABS(I709)</f>
        <v/>
      </c>
      <c r="P709" s="667" t="n"/>
      <c r="S709" s="249" t="n"/>
      <c r="T709" s="61">
        <f>IF(AND(R709="Yes",S709&lt;&gt;"Yes",L709&gt;0,B709&lt;&gt;"TXO"),L709,"")</f>
        <v/>
      </c>
      <c r="U709" s="61">
        <f>IF(AND(R709="Yes",S709&lt;&gt;"Yes",L709&lt;0,B709&lt;&gt;"TXO"),L709,"")</f>
        <v/>
      </c>
      <c r="V709" s="61">
        <f>IF(AND(R709="",S709&lt;&gt;"Yes",L709&gt;0,B709&lt;&gt;"TXO"),L709,"")</f>
        <v/>
      </c>
      <c r="W709" s="61">
        <f>IF(AND(R709="",S709&lt;&gt;"Yes",L709&lt;0,B709&lt;&gt;"TXO"),L709,"")</f>
        <v/>
      </c>
      <c r="X709" s="226">
        <f>IF(AND(R709="Yes",S709="Yes",L709&gt;0,B709&lt;&gt;"TXO"),L709,"")</f>
        <v/>
      </c>
      <c r="Y709" s="226">
        <f>IF(AND(R709="Yes",S709="Yes",L709&lt;0,B709&lt;&gt;"TXO"),L709,"")</f>
        <v/>
      </c>
      <c r="Z709" s="226">
        <f>IF(AND(R709="",S709="Yes",L709&gt;0,B709&lt;&gt;"TXO"),L709,"")</f>
        <v/>
      </c>
      <c r="AA709" s="226">
        <f>IF(AND(R709="",S709="Yes",L709&lt;0,B709&lt;&gt;"TXO"),L709,"")</f>
        <v/>
      </c>
    </row>
    <row r="710" hidden="1" outlineLevel="2" collapsed="1" ht="17.25" customHeight="1" thickBot="1">
      <c r="A710" s="740" t="n">
        <v>43362</v>
      </c>
      <c r="B710" s="299" t="inlineStr">
        <is>
          <t>FIMTX</t>
        </is>
      </c>
      <c r="C710" s="300" t="inlineStr">
        <is>
          <t>小指09</t>
        </is>
      </c>
      <c r="D710" s="300" t="inlineStr">
        <is>
          <t>新倉</t>
        </is>
      </c>
      <c r="E710" s="301" t="inlineStr">
        <is>
          <t>賣</t>
        </is>
      </c>
      <c r="F710" s="300" t="inlineStr">
        <is>
          <t>-</t>
        </is>
      </c>
      <c r="G710" s="741" t="n">
        <v>1</v>
      </c>
      <c r="H710" s="741" t="n">
        <v>10841</v>
      </c>
      <c r="I710" s="741" t="n">
        <v>0</v>
      </c>
      <c r="J710" s="742" t="n">
        <v>23</v>
      </c>
      <c r="K710" s="742" t="n">
        <v>11</v>
      </c>
      <c r="L710" s="742">
        <f>IF(B710="TXO",I710-SUM(J710:K710),IF(B710="FITX",IF(D710="新倉",-SUM(J710:K710),IF(E710="賣",(H710-H709)*G710*200-SUM(J710:K710),(H709-H710)*G710*200-SUM(J710:K710))),IF(D710="新倉",-SUM(J710:K710),IF(E710="賣",(H710-H709)*G710*50-SUM(J710:K710),(H709-H710)*G710*50-SUM(J710:K710)))))</f>
        <v/>
      </c>
      <c r="M710" s="743">
        <f>L710</f>
        <v/>
      </c>
      <c r="N710" s="686">
        <f>IF(B710="TXO","",IF(D710="新倉","",IF(E710="賣",(H710-H709)*G710,(H709-H710)*G710)))</f>
        <v/>
      </c>
      <c r="O710" s="226">
        <f>ABS(I710)</f>
        <v/>
      </c>
      <c r="P710" s="667" t="n"/>
      <c r="Q710" s="310" t="inlineStr">
        <is>
          <t>轉倉測試-失敗</t>
        </is>
      </c>
      <c r="R710" s="310" t="n"/>
      <c r="S710" s="249" t="n"/>
      <c r="T710" s="61">
        <f>IF(AND(R710="Yes",S710&lt;&gt;"Yes",L710&gt;0,B710&lt;&gt;"TXO"),L710,"")</f>
        <v/>
      </c>
      <c r="U710" s="61">
        <f>IF(AND(R710="Yes",S710&lt;&gt;"Yes",L710&lt;0,B710&lt;&gt;"TXO"),L710,"")</f>
        <v/>
      </c>
      <c r="V710" s="61">
        <f>IF(AND(R710="",S710&lt;&gt;"Yes",L710&gt;0,B710&lt;&gt;"TXO"),L710,"")</f>
        <v/>
      </c>
      <c r="W710" s="61">
        <f>IF(AND(R710="",S710&lt;&gt;"Yes",L710&lt;0,B710&lt;&gt;"TXO"),L710,"")</f>
        <v/>
      </c>
      <c r="X710" s="226">
        <f>IF(AND(R710="Yes",S710="Yes",L710&gt;0,B710&lt;&gt;"TXO"),L710,"")</f>
        <v/>
      </c>
      <c r="Y710" s="226">
        <f>IF(AND(R710="Yes",S710="Yes",L710&lt;0,B710&lt;&gt;"TXO"),L710,"")</f>
        <v/>
      </c>
      <c r="Z710" s="226">
        <f>IF(AND(R710="",S710="Yes",L710&gt;0,B710&lt;&gt;"TXO"),L710,"")</f>
        <v/>
      </c>
      <c r="AA710" s="226">
        <f>IF(AND(R710="",S710="Yes",L710&lt;0,B710&lt;&gt;"TXO"),L710,"")</f>
        <v/>
      </c>
    </row>
    <row r="711" hidden="1" outlineLevel="2" collapsed="1" ht="17.25" customHeight="1" thickBot="1">
      <c r="A711" s="740" t="n">
        <v>43362</v>
      </c>
      <c r="B711" s="299" t="inlineStr">
        <is>
          <t>FIMTX</t>
        </is>
      </c>
      <c r="C711" s="300" t="inlineStr">
        <is>
          <t>小指09</t>
        </is>
      </c>
      <c r="D711" s="300" t="inlineStr">
        <is>
          <t>平倉</t>
        </is>
      </c>
      <c r="E711" s="301" t="inlineStr">
        <is>
          <t>買</t>
        </is>
      </c>
      <c r="F711" s="300" t="inlineStr">
        <is>
          <t>-</t>
        </is>
      </c>
      <c r="G711" s="741" t="n">
        <v>1</v>
      </c>
      <c r="H711" s="741" t="n">
        <v>10838</v>
      </c>
      <c r="I711" s="741" t="n">
        <v>0</v>
      </c>
      <c r="J711" s="742" t="n">
        <v>23</v>
      </c>
      <c r="K711" s="742" t="n">
        <v>11</v>
      </c>
      <c r="L711" s="742">
        <f>IF(B711="TXO",I711-SUM(J711:K711),IF(B711="FITX",IF(D711="新倉",-SUM(J711:K711),IF(E711="賣",(H711-H710)*G711*200-SUM(J711:K711),(H710-H711)*G711*200-SUM(J711:K711))),IF(D711="新倉",-SUM(J711:K711),IF(E711="賣",(H711-H710)*G711*50-SUM(J711:K711),(H710-H711)*G711*50-SUM(J711:K711)))))</f>
        <v/>
      </c>
      <c r="M711" s="743">
        <f>L711</f>
        <v/>
      </c>
      <c r="N711" s="686">
        <f>IF(B711="TXO","",IF(D711="新倉","",IF(E711="賣",(H711-H710)*G711,(H710-H711)*G711)))</f>
        <v/>
      </c>
      <c r="O711" s="226">
        <f>ABS(I711)</f>
        <v/>
      </c>
      <c r="P711" s="667" t="n"/>
      <c r="S711" s="249" t="n"/>
      <c r="T711" s="61">
        <f>IF(AND(R711="Yes",S711&lt;&gt;"Yes",L711&gt;0,B711&lt;&gt;"TXO"),L711,"")</f>
        <v/>
      </c>
      <c r="U711" s="61">
        <f>IF(AND(R711="Yes",S711&lt;&gt;"Yes",L711&lt;0,B711&lt;&gt;"TXO"),L711,"")</f>
        <v/>
      </c>
      <c r="V711" s="61">
        <f>IF(AND(R711="",S711&lt;&gt;"Yes",L711&gt;0,B711&lt;&gt;"TXO"),L711,"")</f>
        <v/>
      </c>
      <c r="W711" s="61">
        <f>IF(AND(R711="",S711&lt;&gt;"Yes",L711&lt;0,B711&lt;&gt;"TXO"),L711,"")</f>
        <v/>
      </c>
      <c r="X711" s="226">
        <f>IF(AND(R711="Yes",S711="Yes",L711&gt;0,B711&lt;&gt;"TXO"),L711,"")</f>
        <v/>
      </c>
      <c r="Y711" s="226">
        <f>IF(AND(R711="Yes",S711="Yes",L711&lt;0,B711&lt;&gt;"TXO"),L711,"")</f>
        <v/>
      </c>
      <c r="Z711" s="226">
        <f>IF(AND(R711="",S711="Yes",L711&gt;0,B711&lt;&gt;"TXO"),L711,"")</f>
        <v/>
      </c>
      <c r="AA711" s="226">
        <f>IF(AND(R711="",S711="Yes",L711&lt;0,B711&lt;&gt;"TXO"),L711,"")</f>
        <v/>
      </c>
    </row>
    <row r="712" hidden="1" outlineLevel="2" ht="17.25" customHeight="1" thickBot="1">
      <c r="A712" s="740" t="n">
        <v>43362</v>
      </c>
      <c r="B712" s="299" t="inlineStr">
        <is>
          <t>FIMTX</t>
        </is>
      </c>
      <c r="C712" s="300" t="inlineStr">
        <is>
          <t>小指10</t>
        </is>
      </c>
      <c r="D712" s="300" t="inlineStr">
        <is>
          <t>新倉</t>
        </is>
      </c>
      <c r="E712" s="301" t="inlineStr">
        <is>
          <t>賣</t>
        </is>
      </c>
      <c r="F712" s="300" t="inlineStr">
        <is>
          <t>-</t>
        </is>
      </c>
      <c r="G712" s="741" t="n">
        <v>1</v>
      </c>
      <c r="H712" s="741" t="n">
        <v>10840</v>
      </c>
      <c r="I712" s="741" t="n">
        <v>0</v>
      </c>
      <c r="J712" s="742" t="n">
        <v>23</v>
      </c>
      <c r="K712" s="742" t="n">
        <v>11</v>
      </c>
      <c r="L712" s="742">
        <f>IF(B712="TXO",I712-SUM(J712:K712),IF(B712="FITX",IF(D712="新倉",-SUM(J712:K712),IF(E712="賣",(H712-H711)*G712*200-SUM(J712:K712),(H711-H712)*G712*200-SUM(J712:K712))),IF(D712="新倉",-SUM(J712:K712),IF(E712="賣",(H712-H711)*G712*50-SUM(J712:K712),(H711-H712)*G712*50-SUM(J712:K712)))))</f>
        <v/>
      </c>
      <c r="M712" s="743">
        <f>L712</f>
        <v/>
      </c>
      <c r="N712" s="686">
        <f>IF(B712="TXO","",IF(D712="新倉","",IF(E712="賣",(H712-H711)*G712,(H711-H712)*G712)))</f>
        <v/>
      </c>
      <c r="O712" s="226">
        <f>ABS(I712)</f>
        <v/>
      </c>
      <c r="P712" s="667" t="n"/>
      <c r="Q712" s="249" t="inlineStr">
        <is>
          <t>轉倉測試-成功</t>
        </is>
      </c>
      <c r="S712" s="739" t="n"/>
      <c r="T712" s="61">
        <f>IF(AND(R712="Yes",S712&lt;&gt;"Yes",L712&gt;0,B712&lt;&gt;"TXO"),L712,"")</f>
        <v/>
      </c>
      <c r="U712" s="61">
        <f>IF(AND(R712="Yes",S712&lt;&gt;"Yes",L712&lt;0,B712&lt;&gt;"TXO"),L712,"")</f>
        <v/>
      </c>
      <c r="V712" s="61">
        <f>IF(AND(R712="",S712&lt;&gt;"Yes",L712&gt;0,B712&lt;&gt;"TXO"),L712,"")</f>
        <v/>
      </c>
      <c r="W712" s="61">
        <f>IF(AND(R712="",S712&lt;&gt;"Yes",L712&lt;0,B712&lt;&gt;"TXO"),L712,"")</f>
        <v/>
      </c>
      <c r="X712" s="226">
        <f>IF(AND(R712="Yes",S712="Yes",L712&gt;0,B712&lt;&gt;"TXO"),L712,"")</f>
        <v/>
      </c>
      <c r="Y712" s="226">
        <f>IF(AND(R712="Yes",S712="Yes",L712&lt;0,B712&lt;&gt;"TXO"),L712,"")</f>
        <v/>
      </c>
      <c r="Z712" s="226">
        <f>IF(AND(R712="",S712="Yes",L712&gt;0,B712&lt;&gt;"TXO"),L712,"")</f>
        <v/>
      </c>
      <c r="AA712" s="226">
        <f>IF(AND(R712="",S712="Yes",L712&lt;0,B712&lt;&gt;"TXO"),L712,"")</f>
        <v/>
      </c>
    </row>
    <row r="713" hidden="1" outlineLevel="2" ht="17.25" customHeight="1" thickBot="1">
      <c r="A713" s="740" t="n">
        <v>43362</v>
      </c>
      <c r="B713" s="299" t="inlineStr">
        <is>
          <t>FIMTX</t>
        </is>
      </c>
      <c r="C713" s="300" t="inlineStr">
        <is>
          <t>小指09</t>
        </is>
      </c>
      <c r="D713" s="300" t="inlineStr">
        <is>
          <t>平倉</t>
        </is>
      </c>
      <c r="E713" s="301" t="inlineStr">
        <is>
          <t>買</t>
        </is>
      </c>
      <c r="F713" s="300" t="inlineStr">
        <is>
          <t>-</t>
        </is>
      </c>
      <c r="G713" s="741" t="n">
        <v>1</v>
      </c>
      <c r="H713" s="741" t="n">
        <v>10840</v>
      </c>
      <c r="I713" s="741" t="n">
        <v>0</v>
      </c>
      <c r="J713" s="742" t="n">
        <v>23</v>
      </c>
      <c r="K713" s="742" t="n">
        <v>11</v>
      </c>
      <c r="L713" s="742">
        <f>IF(B713="TXO",I713-SUM(J713:K713),IF(B713="FITX",IF(D713="新倉",-SUM(J713:K713),IF(E713="賣",(H713-H712)*G713*200-SUM(J713:K713),(H712-H713)*G713*200-SUM(J713:K713))),IF(D713="新倉",-SUM(J713:K713),IF(E713="賣",(H713-H712)*G713*50-SUM(J713:K713),(H712-H713)*G713*50-SUM(J713:K713)))))</f>
        <v/>
      </c>
      <c r="M713" s="743">
        <f>L713</f>
        <v/>
      </c>
      <c r="N713" s="686">
        <f>IF(B713="TXO","",IF(D713="新倉","",IF(E713="賣",(H713-H712)*G713,(H712-H713)*G713)))</f>
        <v/>
      </c>
      <c r="O713" s="226">
        <f>ABS(I713)</f>
        <v/>
      </c>
      <c r="P713" s="667" t="n"/>
      <c r="S713" s="739" t="n"/>
      <c r="T713" s="61">
        <f>IF(AND(R713="Yes",S713&lt;&gt;"Yes",L713&gt;0,B713&lt;&gt;"TXO"),L713,"")</f>
        <v/>
      </c>
      <c r="U713" s="61">
        <f>IF(AND(R713="Yes",S713&lt;&gt;"Yes",L713&lt;0,B713&lt;&gt;"TXO"),L713,"")</f>
        <v/>
      </c>
      <c r="V713" s="61">
        <f>IF(AND(R713="",S713&lt;&gt;"Yes",L713&gt;0,B713&lt;&gt;"TXO"),L713,"")</f>
        <v/>
      </c>
      <c r="W713" s="61">
        <f>IF(AND(R713="",S713&lt;&gt;"Yes",L713&lt;0,B713&lt;&gt;"TXO"),L713,"")</f>
        <v/>
      </c>
      <c r="X713" s="226">
        <f>IF(AND(R713="Yes",S713="Yes",L713&gt;0,B713&lt;&gt;"TXO"),L713,"")</f>
        <v/>
      </c>
      <c r="Y713" s="226">
        <f>IF(AND(R713="Yes",S713="Yes",L713&lt;0,B713&lt;&gt;"TXO"),L713,"")</f>
        <v/>
      </c>
      <c r="Z713" s="226">
        <f>IF(AND(R713="",S713="Yes",L713&gt;0,B713&lt;&gt;"TXO"),L713,"")</f>
        <v/>
      </c>
      <c r="AA713" s="226">
        <f>IF(AND(R713="",S713="Yes",L713&lt;0,B713&lt;&gt;"TXO"),L713,"")</f>
        <v/>
      </c>
    </row>
    <row r="714" hidden="1" outlineLevel="2" ht="17.25" customHeight="1" thickBot="1">
      <c r="A714" s="740" t="n">
        <v>43362</v>
      </c>
      <c r="B714" s="299" t="inlineStr">
        <is>
          <t>FIMTX</t>
        </is>
      </c>
      <c r="C714" s="300" t="inlineStr">
        <is>
          <t>小指10</t>
        </is>
      </c>
      <c r="D714" s="300" t="inlineStr">
        <is>
          <t>新倉</t>
        </is>
      </c>
      <c r="E714" s="301" t="inlineStr">
        <is>
          <t>賣</t>
        </is>
      </c>
      <c r="F714" s="300" t="inlineStr">
        <is>
          <t>-</t>
        </is>
      </c>
      <c r="G714" s="741" t="n">
        <v>1</v>
      </c>
      <c r="H714" s="741" t="n">
        <v>10843</v>
      </c>
      <c r="I714" s="741" t="n">
        <v>0</v>
      </c>
      <c r="J714" s="742" t="n">
        <v>23</v>
      </c>
      <c r="K714" s="742" t="n">
        <v>11</v>
      </c>
      <c r="L714" s="742">
        <f>IF(B714="TXO",I714-SUM(J714:K714),IF(B714="FITX",IF(D714="新倉",-SUM(J714:K714),IF(E714="賣",(H714-H713)*G714*200-SUM(J714:K714),(H713-H714)*G714*200-SUM(J714:K714))),IF(D714="新倉",-SUM(J714:K714),IF(E714="賣",(H714-H713)*G714*50-SUM(J714:K714),(H713-H714)*G714*50-SUM(J714:K714)))))</f>
        <v/>
      </c>
      <c r="M714" s="743">
        <f>L714</f>
        <v/>
      </c>
      <c r="N714" s="686">
        <f>IF(B714="TXO","",IF(D714="新倉","",IF(E714="賣",(H714-H713)*G714,(H713-H714)*G714)))</f>
        <v/>
      </c>
      <c r="O714" s="226">
        <f>ABS(I714)</f>
        <v/>
      </c>
      <c r="P714" s="667" t="n"/>
      <c r="Q714" s="249" t="inlineStr">
        <is>
          <t>轉倉測試-成功</t>
        </is>
      </c>
      <c r="S714" s="739" t="n"/>
      <c r="T714" s="61">
        <f>IF(AND(R714="Yes",S714&lt;&gt;"Yes",L714&gt;0,B714&lt;&gt;"TXO"),L714,"")</f>
        <v/>
      </c>
      <c r="U714" s="61">
        <f>IF(AND(R714="Yes",S714&lt;&gt;"Yes",L714&lt;0,B714&lt;&gt;"TXO"),L714,"")</f>
        <v/>
      </c>
      <c r="V714" s="61">
        <f>IF(AND(R714="",S714&lt;&gt;"Yes",L714&gt;0,B714&lt;&gt;"TXO"),L714,"")</f>
        <v/>
      </c>
      <c r="W714" s="61">
        <f>IF(AND(R714="",S714&lt;&gt;"Yes",L714&lt;0,B714&lt;&gt;"TXO"),L714,"")</f>
        <v/>
      </c>
      <c r="X714" s="226">
        <f>IF(AND(R714="Yes",S714="Yes",L714&gt;0,B714&lt;&gt;"TXO"),L714,"")</f>
        <v/>
      </c>
      <c r="Y714" s="226">
        <f>IF(AND(R714="Yes",S714="Yes",L714&lt;0,B714&lt;&gt;"TXO"),L714,"")</f>
        <v/>
      </c>
      <c r="Z714" s="226">
        <f>IF(AND(R714="",S714="Yes",L714&gt;0,B714&lt;&gt;"TXO"),L714,"")</f>
        <v/>
      </c>
      <c r="AA714" s="226">
        <f>IF(AND(R714="",S714="Yes",L714&lt;0,B714&lt;&gt;"TXO"),L714,"")</f>
        <v/>
      </c>
    </row>
    <row r="715" hidden="1" outlineLevel="2" ht="17.25" customHeight="1" thickBot="1">
      <c r="A715" s="740" t="n">
        <v>43362</v>
      </c>
      <c r="B715" s="299" t="inlineStr">
        <is>
          <t>FIMTX</t>
        </is>
      </c>
      <c r="C715" s="300" t="inlineStr">
        <is>
          <t>小指09</t>
        </is>
      </c>
      <c r="D715" s="300" t="inlineStr">
        <is>
          <t>平倉</t>
        </is>
      </c>
      <c r="E715" s="301" t="inlineStr">
        <is>
          <t>買</t>
        </is>
      </c>
      <c r="F715" s="300" t="inlineStr">
        <is>
          <t>-</t>
        </is>
      </c>
      <c r="G715" s="741" t="n">
        <v>1</v>
      </c>
      <c r="H715" s="741" t="n">
        <v>10841</v>
      </c>
      <c r="I715" s="741" t="n">
        <v>0</v>
      </c>
      <c r="J715" s="742" t="n">
        <v>23</v>
      </c>
      <c r="K715" s="742" t="n">
        <v>11</v>
      </c>
      <c r="L715" s="742">
        <f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/>
      </c>
      <c r="M715" s="743">
        <f>L715</f>
        <v/>
      </c>
      <c r="N715" s="686">
        <f>IF(B715="TXO","",IF(D715="新倉","",IF(E715="賣",(H715-H714)*G715,(H714-H715)*G715)))</f>
        <v/>
      </c>
      <c r="O715" s="226">
        <f>ABS(I715)</f>
        <v/>
      </c>
      <c r="P715" s="667" t="n"/>
      <c r="S715" s="739" t="n"/>
      <c r="T715" s="61">
        <f>IF(AND(R715="Yes",S715&lt;&gt;"Yes",L715&gt;0,B715&lt;&gt;"TXO"),L715,"")</f>
        <v/>
      </c>
      <c r="U715" s="61">
        <f>IF(AND(R715="Yes",S715&lt;&gt;"Yes",L715&lt;0,B715&lt;&gt;"TXO"),L715,"")</f>
        <v/>
      </c>
      <c r="V715" s="61">
        <f>IF(AND(R715="",S715&lt;&gt;"Yes",L715&gt;0,B715&lt;&gt;"TXO"),L715,"")</f>
        <v/>
      </c>
      <c r="W715" s="61">
        <f>IF(AND(R715="",S715&lt;&gt;"Yes",L715&lt;0,B715&lt;&gt;"TXO"),L715,"")</f>
        <v/>
      </c>
      <c r="X715" s="226">
        <f>IF(AND(R715="Yes",S715="Yes",L715&gt;0,B715&lt;&gt;"TXO"),L715,"")</f>
        <v/>
      </c>
      <c r="Y715" s="226">
        <f>IF(AND(R715="Yes",S715="Yes",L715&lt;0,B715&lt;&gt;"TXO"),L715,"")</f>
        <v/>
      </c>
      <c r="Z715" s="226">
        <f>IF(AND(R715="",S715="Yes",L715&gt;0,B715&lt;&gt;"TXO"),L715,"")</f>
        <v/>
      </c>
      <c r="AA715" s="226">
        <f>IF(AND(R715="",S715="Yes",L715&lt;0,B715&lt;&gt;"TXO"),L715,"")</f>
        <v/>
      </c>
    </row>
    <row r="716" hidden="1" outlineLevel="2" ht="17.25" customHeight="1" thickBot="1">
      <c r="A716" s="740" t="n">
        <v>43362</v>
      </c>
      <c r="B716" s="299" t="inlineStr">
        <is>
          <t>FIMTX</t>
        </is>
      </c>
      <c r="C716" s="300" t="inlineStr">
        <is>
          <t>小指10</t>
        </is>
      </c>
      <c r="D716" s="300" t="inlineStr">
        <is>
          <t>新倉</t>
        </is>
      </c>
      <c r="E716" s="301" t="inlineStr">
        <is>
          <t>賣</t>
        </is>
      </c>
      <c r="F716" s="300" t="inlineStr">
        <is>
          <t>-</t>
        </is>
      </c>
      <c r="G716" s="741" t="n">
        <v>1</v>
      </c>
      <c r="H716" s="741" t="n">
        <v>10843</v>
      </c>
      <c r="I716" s="741" t="n">
        <v>0</v>
      </c>
      <c r="J716" s="742" t="n">
        <v>23</v>
      </c>
      <c r="K716" s="742" t="n">
        <v>11</v>
      </c>
      <c r="L716" s="742">
        <f>IF(B716="TXO",I716-SUM(J716:K716),IF(B716="FITX",IF(D716="新倉",-SUM(J716:K716),IF(E716="賣",(H716-H715)*G716*200-SUM(J716:K716),(H715-H716)*G716*200-SUM(J716:K716))),IF(D716="新倉",-SUM(J716:K716),IF(E716="賣",(H716-H715)*G716*50-SUM(J716:K716),(H715-H716)*G716*50-SUM(J716:K716)))))</f>
        <v/>
      </c>
      <c r="M716" s="743">
        <f>L716</f>
        <v/>
      </c>
      <c r="N716" s="686">
        <f>IF(B716="TXO","",IF(D716="新倉","",IF(E716="賣",(H716-H715)*G716,(H715-H716)*G716)))</f>
        <v/>
      </c>
      <c r="O716" s="226">
        <f>ABS(I716)</f>
        <v/>
      </c>
      <c r="P716" s="667" t="n"/>
      <c r="Q716" s="249" t="inlineStr">
        <is>
          <t>轉倉測試-成功</t>
        </is>
      </c>
      <c r="S716" s="739" t="n"/>
      <c r="T716" s="61">
        <f>IF(AND(R716="Yes",S716&lt;&gt;"Yes",L716&gt;0,B716&lt;&gt;"TXO"),L716,"")</f>
        <v/>
      </c>
      <c r="U716" s="61">
        <f>IF(AND(R716="Yes",S716&lt;&gt;"Yes",L716&lt;0,B716&lt;&gt;"TXO"),L716,"")</f>
        <v/>
      </c>
      <c r="V716" s="61">
        <f>IF(AND(R716="",S716&lt;&gt;"Yes",L716&gt;0,B716&lt;&gt;"TXO"),L716,"")</f>
        <v/>
      </c>
      <c r="W716" s="61">
        <f>IF(AND(R716="",S716&lt;&gt;"Yes",L716&lt;0,B716&lt;&gt;"TXO"),L716,"")</f>
        <v/>
      </c>
      <c r="X716" s="226">
        <f>IF(AND(R716="Yes",S716="Yes",L716&gt;0,B716&lt;&gt;"TXO"),L716,"")</f>
        <v/>
      </c>
      <c r="Y716" s="226">
        <f>IF(AND(R716="Yes",S716="Yes",L716&lt;0,B716&lt;&gt;"TXO"),L716,"")</f>
        <v/>
      </c>
      <c r="Z716" s="226">
        <f>IF(AND(R716="",S716="Yes",L716&gt;0,B716&lt;&gt;"TXO"),L716,"")</f>
        <v/>
      </c>
      <c r="AA716" s="226">
        <f>IF(AND(R716="",S716="Yes",L716&lt;0,B716&lt;&gt;"TXO"),L716,"")</f>
        <v/>
      </c>
    </row>
    <row r="717" hidden="1" outlineLevel="2" ht="17.25" customHeight="1" thickBot="1">
      <c r="A717" s="740" t="n">
        <v>43362</v>
      </c>
      <c r="B717" s="299" t="inlineStr">
        <is>
          <t>FIMTX</t>
        </is>
      </c>
      <c r="C717" s="300" t="inlineStr">
        <is>
          <t>小指09</t>
        </is>
      </c>
      <c r="D717" s="300" t="inlineStr">
        <is>
          <t>平倉</t>
        </is>
      </c>
      <c r="E717" s="301" t="inlineStr">
        <is>
          <t>買</t>
        </is>
      </c>
      <c r="F717" s="300" t="inlineStr">
        <is>
          <t>-</t>
        </is>
      </c>
      <c r="G717" s="741" t="n">
        <v>1</v>
      </c>
      <c r="H717" s="741" t="n">
        <v>10841</v>
      </c>
      <c r="I717" s="741" t="n">
        <v>0</v>
      </c>
      <c r="J717" s="742" t="n">
        <v>23</v>
      </c>
      <c r="K717" s="742" t="n">
        <v>11</v>
      </c>
      <c r="L717" s="742">
        <f>IF(B717="TXO",I717-SUM(J717:K717),IF(B717="FITX",IF(D717="新倉",-SUM(J717:K717),IF(E717="賣",(H717-H716)*G717*200-SUM(J717:K717),(H716-H717)*G717*200-SUM(J717:K717))),IF(D717="新倉",-SUM(J717:K717),IF(E717="賣",(H717-H716)*G717*50-SUM(J717:K717),(H716-H717)*G717*50-SUM(J717:K717)))))</f>
        <v/>
      </c>
      <c r="M717" s="743">
        <f>L717</f>
        <v/>
      </c>
      <c r="N717" s="686">
        <f>IF(B717="TXO","",IF(D717="新倉","",IF(E717="賣",(H717-H716)*G717,(H716-H717)*G717)))</f>
        <v/>
      </c>
      <c r="O717" s="226">
        <f>ABS(I717)</f>
        <v/>
      </c>
      <c r="P717" s="667" t="n"/>
      <c r="S717" s="739" t="n"/>
      <c r="T717" s="61">
        <f>IF(AND(R717="Yes",S717&lt;&gt;"Yes",L717&gt;0,B717&lt;&gt;"TXO"),L717,"")</f>
        <v/>
      </c>
      <c r="U717" s="61">
        <f>IF(AND(R717="Yes",S717&lt;&gt;"Yes",L717&lt;0,B717&lt;&gt;"TXO"),L717,"")</f>
        <v/>
      </c>
      <c r="V717" s="61">
        <f>IF(AND(R717="",S717&lt;&gt;"Yes",L717&gt;0,B717&lt;&gt;"TXO"),L717,"")</f>
        <v/>
      </c>
      <c r="W717" s="61">
        <f>IF(AND(R717="",S717&lt;&gt;"Yes",L717&lt;0,B717&lt;&gt;"TXO"),L717,"")</f>
        <v/>
      </c>
      <c r="X717" s="226">
        <f>IF(AND(R717="Yes",S717="Yes",L717&gt;0,B717&lt;&gt;"TXO"),L717,"")</f>
        <v/>
      </c>
      <c r="Y717" s="226">
        <f>IF(AND(R717="Yes",S717="Yes",L717&lt;0,B717&lt;&gt;"TXO"),L717,"")</f>
        <v/>
      </c>
      <c r="Z717" s="226">
        <f>IF(AND(R717="",S717="Yes",L717&gt;0,B717&lt;&gt;"TXO"),L717,"")</f>
        <v/>
      </c>
      <c r="AA717" s="226">
        <f>IF(AND(R717="",S717="Yes",L717&lt;0,B717&lt;&gt;"TXO"),L717,"")</f>
        <v/>
      </c>
    </row>
    <row r="718" hidden="1" outlineLevel="2" ht="17.25" customHeight="1" thickBot="1">
      <c r="A718" s="740" t="n">
        <v>43362</v>
      </c>
      <c r="B718" s="299" t="inlineStr">
        <is>
          <t>FITX</t>
        </is>
      </c>
      <c r="C718" s="300" t="inlineStr">
        <is>
          <t>台指09</t>
        </is>
      </c>
      <c r="D718" s="300" t="inlineStr">
        <is>
          <t>新倉</t>
        </is>
      </c>
      <c r="E718" s="301" t="inlineStr">
        <is>
          <t>買</t>
        </is>
      </c>
      <c r="F718" s="300" t="inlineStr">
        <is>
          <t>-</t>
        </is>
      </c>
      <c r="G718" s="741" t="n">
        <v>1</v>
      </c>
      <c r="H718" s="741" t="n">
        <v>10848</v>
      </c>
      <c r="I718" s="741" t="n">
        <v>0</v>
      </c>
      <c r="J718" s="742" t="n">
        <v>45</v>
      </c>
      <c r="K718" s="742" t="n">
        <v>43</v>
      </c>
      <c r="L718" s="742">
        <f>IF(B718="TXO",I718-SUM(J718:K718),IF(B718="FITX",IF(D718="新倉",-SUM(J718:K718),IF(E718="賣",(H718-H717)*G718*200-SUM(J718:K718),(H717-H718)*G718*200-SUM(J718:K718))),IF(D718="新倉",-SUM(J718:K718),IF(E718="賣",(H718-H717)*G718*50-SUM(J718:K718),(H717-H718)*G718*50-SUM(J718:K718)))))</f>
        <v/>
      </c>
      <c r="M718" s="743">
        <f>L718</f>
        <v/>
      </c>
      <c r="N718" s="686">
        <f>IF(B718="TXO","",IF(D718="新倉","",IF(E718="賣",(H718-H717)*G718,(H717-H718)*G718)))</f>
        <v/>
      </c>
      <c r="O718" s="226">
        <f>ABS(I718)</f>
        <v/>
      </c>
      <c r="P718" s="667" t="n"/>
      <c r="Q718" s="249" t="inlineStr">
        <is>
          <t>技法: 3/3 買進一口</t>
        </is>
      </c>
      <c r="R718" s="249" t="inlineStr">
        <is>
          <t>Yes</t>
        </is>
      </c>
      <c r="S718" s="739" t="n"/>
      <c r="T718" s="61">
        <f>IF(AND(R718="Yes",S718&lt;&gt;"Yes",L718&gt;0,B718&lt;&gt;"TXO"),L718,"")</f>
        <v/>
      </c>
      <c r="U718" s="61">
        <f>IF(AND(R718="Yes",S718&lt;&gt;"Yes",L718&lt;0,B718&lt;&gt;"TXO"),L718,"")</f>
        <v/>
      </c>
      <c r="V718" s="61">
        <f>IF(AND(R718="",S718&lt;&gt;"Yes",L718&gt;0,B718&lt;&gt;"TXO"),L718,"")</f>
        <v/>
      </c>
      <c r="W718" s="61">
        <f>IF(AND(R718="",S718&lt;&gt;"Yes",L718&lt;0,B718&lt;&gt;"TXO"),L718,"")</f>
        <v/>
      </c>
      <c r="X718" s="226">
        <f>IF(AND(R718="Yes",S718="Yes",L718&gt;0,B718&lt;&gt;"TXO"),L718,"")</f>
        <v/>
      </c>
      <c r="Y718" s="226">
        <f>IF(AND(R718="Yes",S718="Yes",L718&lt;0,B718&lt;&gt;"TXO"),L718,"")</f>
        <v/>
      </c>
      <c r="Z718" s="226">
        <f>IF(AND(R718="",S718="Yes",L718&gt;0,B718&lt;&gt;"TXO"),L718,"")</f>
        <v/>
      </c>
      <c r="AA718" s="226">
        <f>IF(AND(R718="",S718="Yes",L718&lt;0,B718&lt;&gt;"TXO"),L718,"")</f>
        <v/>
      </c>
    </row>
    <row r="719" hidden="1" outlineLevel="2" ht="17.25" customHeight="1" thickBot="1">
      <c r="A719" s="740" t="n">
        <v>43362</v>
      </c>
      <c r="B719" s="299" t="inlineStr">
        <is>
          <t>FITX</t>
        </is>
      </c>
      <c r="C719" s="300" t="inlineStr">
        <is>
          <t>台指09</t>
        </is>
      </c>
      <c r="D719" s="300" t="inlineStr">
        <is>
          <t>平倉</t>
        </is>
      </c>
      <c r="E719" s="301" t="inlineStr">
        <is>
          <t>賣</t>
        </is>
      </c>
      <c r="F719" s="300" t="inlineStr">
        <is>
          <t>-</t>
        </is>
      </c>
      <c r="G719" s="741" t="n">
        <v>1</v>
      </c>
      <c r="H719" s="741" t="n">
        <v>10856</v>
      </c>
      <c r="I719" s="741" t="n">
        <v>0</v>
      </c>
      <c r="J719" s="742" t="n">
        <v>45</v>
      </c>
      <c r="K719" s="742" t="n">
        <v>43</v>
      </c>
      <c r="L719" s="742">
        <f>IF(B719="TXO",I719-SUM(J719:K719),IF(B719="FITX",IF(D719="新倉",-SUM(J719:K719),IF(E719="賣",(H719-H718)*G719*200-SUM(J719:K719),(H718-H719)*G719*200-SUM(J719:K719))),IF(D719="新倉",-SUM(J719:K719),IF(E719="賣",(H719-H718)*G719*50-SUM(J719:K719),(H718-H719)*G719*50-SUM(J719:K719)))))</f>
        <v/>
      </c>
      <c r="M719" s="743">
        <f>L719</f>
        <v/>
      </c>
      <c r="N719" s="686">
        <f>IF(B719="TXO","",IF(D719="新倉","",IF(E719="賣",(H719-H718)*G719,(H718-H719)*G719)))</f>
        <v/>
      </c>
      <c r="O719" s="226">
        <f>ABS(I719)</f>
        <v/>
      </c>
      <c r="P719" s="667" t="n"/>
      <c r="Q719" s="249" t="inlineStr">
        <is>
          <t>元大移動式停利</t>
        </is>
      </c>
      <c r="R719" s="249" t="inlineStr">
        <is>
          <t>Yes</t>
        </is>
      </c>
      <c r="S719" s="739" t="n"/>
      <c r="T719" s="61">
        <f>IF(AND(R719="Yes",S719&lt;&gt;"Yes",L719&gt;0,B719&lt;&gt;"TXO"),L719,"")</f>
        <v/>
      </c>
      <c r="U719" s="61">
        <f>IF(AND(R719="Yes",S719&lt;&gt;"Yes",L719&lt;0,B719&lt;&gt;"TXO"),L719,"")</f>
        <v/>
      </c>
      <c r="V719" s="61">
        <f>IF(AND(R719="",S719&lt;&gt;"Yes",L719&gt;0,B719&lt;&gt;"TXO"),L719,"")</f>
        <v/>
      </c>
      <c r="W719" s="61">
        <f>IF(AND(R719="",S719&lt;&gt;"Yes",L719&lt;0,B719&lt;&gt;"TXO"),L719,"")</f>
        <v/>
      </c>
      <c r="X719" s="226">
        <f>IF(AND(R719="Yes",S719="Yes",L719&gt;0,B719&lt;&gt;"TXO"),L719,"")</f>
        <v/>
      </c>
      <c r="Y719" s="226">
        <f>IF(AND(R719="Yes",S719="Yes",L719&lt;0,B719&lt;&gt;"TXO"),L719,"")</f>
        <v/>
      </c>
      <c r="Z719" s="226">
        <f>IF(AND(R719="",S719="Yes",L719&gt;0,B719&lt;&gt;"TXO"),L719,"")</f>
        <v/>
      </c>
      <c r="AA719" s="226">
        <f>IF(AND(R719="",S719="Yes",L719&lt;0,B719&lt;&gt;"TXO"),L719,"")</f>
        <v/>
      </c>
    </row>
    <row r="720" hidden="1" outlineLevel="2" ht="17.25" customHeight="1" thickBot="1">
      <c r="A720" s="740" t="n">
        <v>43362</v>
      </c>
      <c r="B720" s="299" t="inlineStr">
        <is>
          <t>FITX</t>
        </is>
      </c>
      <c r="C720" s="300" t="inlineStr">
        <is>
          <t>台指09</t>
        </is>
      </c>
      <c r="D720" s="300" t="inlineStr">
        <is>
          <t>新倉</t>
        </is>
      </c>
      <c r="E720" s="301" t="inlineStr">
        <is>
          <t>買</t>
        </is>
      </c>
      <c r="F720" s="300" t="inlineStr">
        <is>
          <t>-</t>
        </is>
      </c>
      <c r="G720" s="741" t="n">
        <v>1</v>
      </c>
      <c r="H720" s="741" t="n">
        <v>10852</v>
      </c>
      <c r="I720" s="741" t="n">
        <v>0</v>
      </c>
      <c r="J720" s="742" t="n">
        <v>45</v>
      </c>
      <c r="K720" s="742" t="n">
        <v>43</v>
      </c>
      <c r="L720" s="742">
        <f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/>
      </c>
      <c r="M720" s="743">
        <f>L720</f>
        <v/>
      </c>
      <c r="N720" s="686">
        <f>IF(B720="TXO","",IF(D720="新倉","",IF(E720="賣",(H720-H719)*G720,(H719-H720)*G720)))</f>
        <v/>
      </c>
      <c r="O720" s="226">
        <f>ABS(I720)</f>
        <v/>
      </c>
      <c r="P720" s="667" t="n"/>
      <c r="S720" s="739" t="n"/>
      <c r="T720" s="61">
        <f>IF(AND(R720="Yes",S720&lt;&gt;"Yes",L720&gt;0,B720&lt;&gt;"TXO"),L720,"")</f>
        <v/>
      </c>
      <c r="U720" s="61">
        <f>IF(AND(R720="Yes",S720&lt;&gt;"Yes",L720&lt;0,B720&lt;&gt;"TXO"),L720,"")</f>
        <v/>
      </c>
      <c r="V720" s="61">
        <f>IF(AND(R720="",S720&lt;&gt;"Yes",L720&gt;0,B720&lt;&gt;"TXO"),L720,"")</f>
        <v/>
      </c>
      <c r="W720" s="61">
        <f>IF(AND(R720="",S720&lt;&gt;"Yes",L720&lt;0,B720&lt;&gt;"TXO"),L720,"")</f>
        <v/>
      </c>
      <c r="X720" s="226">
        <f>IF(AND(R720="Yes",S720="Yes",L720&gt;0,B720&lt;&gt;"TXO"),L720,"")</f>
        <v/>
      </c>
      <c r="Y720" s="226">
        <f>IF(AND(R720="Yes",S720="Yes",L720&lt;0,B720&lt;&gt;"TXO"),L720,"")</f>
        <v/>
      </c>
      <c r="Z720" s="226">
        <f>IF(AND(R720="",S720="Yes",L720&gt;0,B720&lt;&gt;"TXO"),L720,"")</f>
        <v/>
      </c>
      <c r="AA720" s="226">
        <f>IF(AND(R720="",S720="Yes",L720&lt;0,B720&lt;&gt;"TXO"),L720,"")</f>
        <v/>
      </c>
    </row>
    <row r="721" hidden="1" outlineLevel="2" ht="17.25" customHeight="1" thickBot="1">
      <c r="A721" s="740" t="n">
        <v>43362</v>
      </c>
      <c r="B721" s="299" t="inlineStr">
        <is>
          <t>FITX</t>
        </is>
      </c>
      <c r="C721" s="300" t="inlineStr">
        <is>
          <t>台指09</t>
        </is>
      </c>
      <c r="D721" s="300" t="inlineStr">
        <is>
          <t>平倉</t>
        </is>
      </c>
      <c r="E721" s="301" t="inlineStr">
        <is>
          <t>賣</t>
        </is>
      </c>
      <c r="F721" s="300" t="inlineStr">
        <is>
          <t>-</t>
        </is>
      </c>
      <c r="G721" s="741" t="n">
        <v>1</v>
      </c>
      <c r="H721" s="741" t="n">
        <v>10848</v>
      </c>
      <c r="I721" s="741" t="n">
        <v>0</v>
      </c>
      <c r="J721" s="742" t="n">
        <v>45</v>
      </c>
      <c r="K721" s="742" t="n">
        <v>43</v>
      </c>
      <c r="L721" s="742">
        <f>IF(B721="TXO",I721-SUM(J721:K721),IF(B721="FITX",IF(D721="新倉",-SUM(J721:K721),IF(E721="賣",(H721-H720)*G721*200-SUM(J721:K721),(H720-H721)*G721*200-SUM(J721:K721))),IF(D721="新倉",-SUM(J721:K721),IF(E721="賣",(H721-H720)*G721*50-SUM(J721:K721),(H720-H721)*G721*50-SUM(J721:K721)))))</f>
        <v/>
      </c>
      <c r="M721" s="743">
        <f>L721</f>
        <v/>
      </c>
      <c r="N721" s="686">
        <f>IF(B721="TXO","",IF(D721="新倉","",IF(E721="賣",(H721-H720)*G721,(H720-H721)*G721)))</f>
        <v/>
      </c>
      <c r="O721" s="226">
        <f>ABS(I721)</f>
        <v/>
      </c>
      <c r="P721" s="667" t="n"/>
      <c r="S721" s="739" t="n"/>
      <c r="T721" s="61">
        <f>IF(AND(R721="Yes",S721&lt;&gt;"Yes",L721&gt;0,B721&lt;&gt;"TXO"),L721,"")</f>
        <v/>
      </c>
      <c r="U721" s="61">
        <f>IF(AND(R721="Yes",S721&lt;&gt;"Yes",L721&lt;0,B721&lt;&gt;"TXO"),L721,"")</f>
        <v/>
      </c>
      <c r="V721" s="61">
        <f>IF(AND(R721="",S721&lt;&gt;"Yes",L721&gt;0,B721&lt;&gt;"TXO"),L721,"")</f>
        <v/>
      </c>
      <c r="W721" s="61">
        <f>IF(AND(R721="",S721&lt;&gt;"Yes",L721&lt;0,B721&lt;&gt;"TXO"),L721,"")</f>
        <v/>
      </c>
      <c r="X721" s="226">
        <f>IF(AND(R721="Yes",S721="Yes",L721&gt;0,B721&lt;&gt;"TXO"),L721,"")</f>
        <v/>
      </c>
      <c r="Y721" s="226">
        <f>IF(AND(R721="Yes",S721="Yes",L721&lt;0,B721&lt;&gt;"TXO"),L721,"")</f>
        <v/>
      </c>
      <c r="Z721" s="226">
        <f>IF(AND(R721="",S721="Yes",L721&gt;0,B721&lt;&gt;"TXO"),L721,"")</f>
        <v/>
      </c>
      <c r="AA721" s="226">
        <f>IF(AND(R721="",S721="Yes",L721&lt;0,B721&lt;&gt;"TXO"),L721,"")</f>
        <v/>
      </c>
    </row>
    <row r="722" hidden="1" outlineLevel="2" ht="17.25" customHeight="1" thickBot="1">
      <c r="A722" s="740" t="n">
        <v>43362</v>
      </c>
      <c r="B722" s="299" t="inlineStr">
        <is>
          <t>FITX</t>
        </is>
      </c>
      <c r="C722" s="300" t="inlineStr">
        <is>
          <t>台指09</t>
        </is>
      </c>
      <c r="D722" s="300" t="inlineStr">
        <is>
          <t>新倉</t>
        </is>
      </c>
      <c r="E722" s="301" t="inlineStr">
        <is>
          <t>買</t>
        </is>
      </c>
      <c r="F722" s="300" t="inlineStr">
        <is>
          <t>-</t>
        </is>
      </c>
      <c r="G722" s="741" t="n">
        <v>1</v>
      </c>
      <c r="H722" s="741" t="n">
        <v>10860</v>
      </c>
      <c r="I722" s="741" t="n">
        <v>0</v>
      </c>
      <c r="J722" s="742" t="n">
        <v>45</v>
      </c>
      <c r="K722" s="742" t="n">
        <v>43</v>
      </c>
      <c r="L722" s="742">
        <f>IF(B722="TXO",I722-SUM(J722:K722),IF(B722="FITX",IF(D722="新倉",-SUM(J722:K722),IF(E722="賣",(H722-H721)*G722*200-SUM(J722:K722),(H721-H722)*G722*200-SUM(J722:K722))),IF(D722="新倉",-SUM(J722:K722),IF(E722="賣",(H722-H721)*G722*50-SUM(J722:K722),(H721-H722)*G722*50-SUM(J722:K722)))))</f>
        <v/>
      </c>
      <c r="M722" s="743">
        <f>L722</f>
        <v/>
      </c>
      <c r="N722" s="686">
        <f>IF(B722="TXO","",IF(D722="新倉","",IF(E722="賣",(H722-H721)*G722,(H721-H722)*G722)))</f>
        <v/>
      </c>
      <c r="O722" s="226">
        <f>ABS(I722)</f>
        <v/>
      </c>
      <c r="P722" s="667" t="n"/>
      <c r="Q722" s="249" t="inlineStr">
        <is>
          <t>技法: 3/3 買進一口</t>
        </is>
      </c>
      <c r="R722" s="249" t="inlineStr">
        <is>
          <t>Yes</t>
        </is>
      </c>
      <c r="S722" s="739" t="n"/>
      <c r="T722" s="61">
        <f>IF(AND(R722="Yes",S722&lt;&gt;"Yes",L722&gt;0,B722&lt;&gt;"TXO"),L722,"")</f>
        <v/>
      </c>
      <c r="U722" s="61">
        <f>IF(AND(R722="Yes",S722&lt;&gt;"Yes",L722&lt;0,B722&lt;&gt;"TXO"),L722,"")</f>
        <v/>
      </c>
      <c r="V722" s="61">
        <f>IF(AND(R722="",S722&lt;&gt;"Yes",L722&gt;0,B722&lt;&gt;"TXO"),L722,"")</f>
        <v/>
      </c>
      <c r="W722" s="61">
        <f>IF(AND(R722="",S722&lt;&gt;"Yes",L722&lt;0,B722&lt;&gt;"TXO"),L722,"")</f>
        <v/>
      </c>
      <c r="X722" s="226">
        <f>IF(AND(R722="Yes",S722="Yes",L722&gt;0,B722&lt;&gt;"TXO"),L722,"")</f>
        <v/>
      </c>
      <c r="Y722" s="226">
        <f>IF(AND(R722="Yes",S722="Yes",L722&lt;0,B722&lt;&gt;"TXO"),L722,"")</f>
        <v/>
      </c>
      <c r="Z722" s="226">
        <f>IF(AND(R722="",S722="Yes",L722&gt;0,B722&lt;&gt;"TXO"),L722,"")</f>
        <v/>
      </c>
      <c r="AA722" s="226">
        <f>IF(AND(R722="",S722="Yes",L722&lt;0,B722&lt;&gt;"TXO"),L722,"")</f>
        <v/>
      </c>
    </row>
    <row r="723" hidden="1" outlineLevel="2" ht="17.25" customHeight="1" thickBot="1">
      <c r="A723" s="740" t="n">
        <v>43362</v>
      </c>
      <c r="B723" s="299" t="inlineStr">
        <is>
          <t>FITX</t>
        </is>
      </c>
      <c r="C723" s="300" t="inlineStr">
        <is>
          <t>台指09</t>
        </is>
      </c>
      <c r="D723" s="300" t="inlineStr">
        <is>
          <t>平倉</t>
        </is>
      </c>
      <c r="E723" s="301" t="inlineStr">
        <is>
          <t>賣</t>
        </is>
      </c>
      <c r="F723" s="300" t="inlineStr">
        <is>
          <t>-</t>
        </is>
      </c>
      <c r="G723" s="741" t="n">
        <v>1</v>
      </c>
      <c r="H723" s="741" t="n">
        <v>10863</v>
      </c>
      <c r="I723" s="741" t="n">
        <v>0</v>
      </c>
      <c r="J723" s="742" t="n">
        <v>45</v>
      </c>
      <c r="K723" s="742" t="n">
        <v>43</v>
      </c>
      <c r="L723" s="742">
        <f>IF(B723="TXO",I723-SUM(J723:K723),IF(B723="FITX",IF(D723="新倉",-SUM(J723:K723),IF(E723="賣",(H723-H722)*G723*200-SUM(J723:K723),(H722-H723)*G723*200-SUM(J723:K723))),IF(D723="新倉",-SUM(J723:K723),IF(E723="賣",(H723-H722)*G723*50-SUM(J723:K723),(H722-H723)*G723*50-SUM(J723:K723)))))</f>
        <v/>
      </c>
      <c r="M723" s="743">
        <f>L723</f>
        <v/>
      </c>
      <c r="N723" s="686">
        <f>IF(B723="TXO","",IF(D723="新倉","",IF(E723="賣",(H723-H722)*G723,(H722-H723)*G723)))</f>
        <v/>
      </c>
      <c r="O723" s="226">
        <f>ABS(I723)</f>
        <v/>
      </c>
      <c r="P723" s="667" t="n"/>
      <c r="Q723" s="249" t="inlineStr">
        <is>
          <t>技法: 刺補</t>
        </is>
      </c>
      <c r="R723" s="249" t="inlineStr">
        <is>
          <t>Yes</t>
        </is>
      </c>
      <c r="S723" s="739" t="n"/>
      <c r="T723" s="61">
        <f>IF(AND(R723="Yes",S723&lt;&gt;"Yes",L723&gt;0,B723&lt;&gt;"TXO"),L723,"")</f>
        <v/>
      </c>
      <c r="U723" s="61">
        <f>IF(AND(R723="Yes",S723&lt;&gt;"Yes",L723&lt;0,B723&lt;&gt;"TXO"),L723,"")</f>
        <v/>
      </c>
      <c r="V723" s="61">
        <f>IF(AND(R723="",S723&lt;&gt;"Yes",L723&gt;0,B723&lt;&gt;"TXO"),L723,"")</f>
        <v/>
      </c>
      <c r="W723" s="61">
        <f>IF(AND(R723="",S723&lt;&gt;"Yes",L723&lt;0,B723&lt;&gt;"TXO"),L723,"")</f>
        <v/>
      </c>
      <c r="X723" s="226">
        <f>IF(AND(R723="Yes",S723="Yes",L723&gt;0,B723&lt;&gt;"TXO"),L723,"")</f>
        <v/>
      </c>
      <c r="Y723" s="226">
        <f>IF(AND(R723="Yes",S723="Yes",L723&lt;0,B723&lt;&gt;"TXO"),L723,"")</f>
        <v/>
      </c>
      <c r="Z723" s="226">
        <f>IF(AND(R723="",S723="Yes",L723&gt;0,B723&lt;&gt;"TXO"),L723,"")</f>
        <v/>
      </c>
      <c r="AA723" s="226">
        <f>IF(AND(R723="",S723="Yes",L723&lt;0,B723&lt;&gt;"TXO"),L723,"")</f>
        <v/>
      </c>
    </row>
    <row r="724" hidden="1" outlineLevel="2" ht="17.25" customHeight="1" thickBot="1">
      <c r="A724" s="740" t="n">
        <v>43362</v>
      </c>
      <c r="B724" s="299" t="inlineStr">
        <is>
          <t>FITX</t>
        </is>
      </c>
      <c r="C724" s="300" t="inlineStr">
        <is>
          <t>台指10</t>
        </is>
      </c>
      <c r="D724" s="300" t="inlineStr">
        <is>
          <t>新倉</t>
        </is>
      </c>
      <c r="E724" s="301" t="inlineStr">
        <is>
          <t>賣</t>
        </is>
      </c>
      <c r="F724" s="300" t="inlineStr">
        <is>
          <t>-</t>
        </is>
      </c>
      <c r="G724" s="741" t="n">
        <v>1</v>
      </c>
      <c r="H724" s="741" t="n">
        <v>10874</v>
      </c>
      <c r="I724" s="741" t="n">
        <v>0</v>
      </c>
      <c r="J724" s="742" t="n">
        <v>45</v>
      </c>
      <c r="K724" s="742" t="n">
        <v>43</v>
      </c>
      <c r="L724" s="742">
        <f>IF(B724="TXO",I724-SUM(J724:K724),IF(B724="FITX",IF(D724="新倉",-SUM(J724:K724),IF(E724="賣",(H724-H723)*G724*200-SUM(J724:K724),(H723-H724)*G724*200-SUM(J724:K724))),IF(D724="新倉",-SUM(J724:K724),IF(E724="賣",(H724-H723)*G724*50-SUM(J724:K724),(H723-H724)*G724*50-SUM(J724:K724)))))</f>
        <v/>
      </c>
      <c r="M724" s="743">
        <f>L724</f>
        <v/>
      </c>
      <c r="N724" s="686">
        <f>IF(B724="TXO","",IF(D724="新倉","",IF(E724="賣",(H724-H723)*G724,(H723-H724)*G724)))</f>
        <v/>
      </c>
      <c r="O724" s="226">
        <f>ABS(I724)</f>
        <v/>
      </c>
      <c r="P724" s="667" t="n"/>
      <c r="Q724" s="249" t="inlineStr">
        <is>
          <t>技法: 3/3 買進一口</t>
        </is>
      </c>
      <c r="R724" s="249" t="inlineStr">
        <is>
          <t>Yes</t>
        </is>
      </c>
      <c r="S724" s="249" t="inlineStr">
        <is>
          <t>Yes</t>
        </is>
      </c>
      <c r="T724" s="61">
        <f>IF(AND(R724="Yes",S724&lt;&gt;"Yes",L724&gt;0,B724&lt;&gt;"TXO"),L724,"")</f>
        <v/>
      </c>
      <c r="U724" s="61">
        <f>IF(AND(R724="Yes",S724&lt;&gt;"Yes",L724&lt;0,B724&lt;&gt;"TXO"),L724,"")</f>
        <v/>
      </c>
      <c r="V724" s="61">
        <f>IF(AND(R724="",S724&lt;&gt;"Yes",L724&gt;0,B724&lt;&gt;"TXO"),L724,"")</f>
        <v/>
      </c>
      <c r="W724" s="61">
        <f>IF(AND(R724="",S724&lt;&gt;"Yes",L724&lt;0,B724&lt;&gt;"TXO"),L724,"")</f>
        <v/>
      </c>
      <c r="X724" s="226">
        <f>IF(AND(R724="Yes",S724="Yes",L724&gt;0,B724&lt;&gt;"TXO"),L724,"")</f>
        <v/>
      </c>
      <c r="Y724" s="226">
        <f>IF(AND(R724="Yes",S724="Yes",L724&lt;0,B724&lt;&gt;"TXO"),L724,"")</f>
        <v/>
      </c>
      <c r="Z724" s="226">
        <f>IF(AND(R724="",S724="Yes",L724&gt;0,B724&lt;&gt;"TXO"),L724,"")</f>
        <v/>
      </c>
      <c r="AA724" s="226">
        <f>IF(AND(R724="",S724="Yes",L724&lt;0,B724&lt;&gt;"TXO"),L724,"")</f>
        <v/>
      </c>
    </row>
    <row r="725" hidden="1" outlineLevel="2" ht="17.25" customHeight="1" thickBot="1">
      <c r="A725" s="740" t="n">
        <v>43362</v>
      </c>
      <c r="B725" s="299" t="inlineStr">
        <is>
          <t>FITX</t>
        </is>
      </c>
      <c r="C725" s="300" t="inlineStr">
        <is>
          <t>台指10</t>
        </is>
      </c>
      <c r="D725" s="300" t="inlineStr">
        <is>
          <t>平倉</t>
        </is>
      </c>
      <c r="E725" s="301" t="inlineStr">
        <is>
          <t>買</t>
        </is>
      </c>
      <c r="F725" s="300" t="inlineStr">
        <is>
          <t>-</t>
        </is>
      </c>
      <c r="G725" s="741" t="n">
        <v>1</v>
      </c>
      <c r="H725" s="741" t="n">
        <v>10877</v>
      </c>
      <c r="I725" s="741" t="n">
        <v>0</v>
      </c>
      <c r="J725" s="742" t="n">
        <v>45</v>
      </c>
      <c r="K725" s="742" t="n">
        <v>44</v>
      </c>
      <c r="L725" s="742">
        <f>IF(B725="TXO",I725-SUM(J725:K725),IF(B725="FITX",IF(D725="新倉",-SUM(J725:K725),IF(E725="賣",(H725-H724)*G725*200-SUM(J725:K725),(H724-H725)*G725*200-SUM(J725:K725))),IF(D725="新倉",-SUM(J725:K725),IF(E725="賣",(H725-H724)*G725*50-SUM(J725:K725),(H724-H725)*G725*50-SUM(J725:K725)))))</f>
        <v/>
      </c>
      <c r="M725" s="743">
        <f>L725</f>
        <v/>
      </c>
      <c r="N725" s="686">
        <f>IF(B725="TXO","",IF(D725="新倉","",IF(E725="賣",(H725-H724)*G725,(H724-H725)*G725)))</f>
        <v/>
      </c>
      <c r="O725" s="226">
        <f>ABS(I725)</f>
        <v/>
      </c>
      <c r="P725" s="667" t="n"/>
      <c r="Q725" s="249" t="inlineStr">
        <is>
          <t>技法: 拉回10MA停損</t>
        </is>
      </c>
      <c r="R725" s="249" t="inlineStr">
        <is>
          <t>Yes</t>
        </is>
      </c>
      <c r="S725" s="249" t="inlineStr">
        <is>
          <t>Yes</t>
        </is>
      </c>
      <c r="T725" s="61">
        <f>IF(AND(R725="Yes",S725&lt;&gt;"Yes",L725&gt;0,B725&lt;&gt;"TXO"),L725,"")</f>
        <v/>
      </c>
      <c r="U725" s="61">
        <f>IF(AND(R725="Yes",S725&lt;&gt;"Yes",L725&lt;0,B725&lt;&gt;"TXO"),L725,"")</f>
        <v/>
      </c>
      <c r="V725" s="61">
        <f>IF(AND(R725="",S725&lt;&gt;"Yes",L725&gt;0,B725&lt;&gt;"TXO"),L725,"")</f>
        <v/>
      </c>
      <c r="W725" s="61">
        <f>IF(AND(R725="",S725&lt;&gt;"Yes",L725&lt;0,B725&lt;&gt;"TXO"),L725,"")</f>
        <v/>
      </c>
      <c r="X725" s="226">
        <f>IF(AND(R725="Yes",S725="Yes",L725&gt;0,B725&lt;&gt;"TXO"),L725,"")</f>
        <v/>
      </c>
      <c r="Y725" s="226">
        <f>IF(AND(R725="Yes",S725="Yes",L725&lt;0,B725&lt;&gt;"TXO"),L725,"")</f>
        <v/>
      </c>
      <c r="Z725" s="226">
        <f>IF(AND(R725="",S725="Yes",L725&gt;0,B725&lt;&gt;"TXO"),L725,"")</f>
        <v/>
      </c>
      <c r="AA725" s="226">
        <f>IF(AND(R725="",S725="Yes",L725&lt;0,B725&lt;&gt;"TXO"),L725,"")</f>
        <v/>
      </c>
    </row>
    <row r="726" hidden="1" outlineLevel="2" ht="17.25" customHeight="1" thickBot="1">
      <c r="A726" s="740" t="n">
        <v>43362</v>
      </c>
      <c r="B726" s="299" t="inlineStr">
        <is>
          <t>FITX</t>
        </is>
      </c>
      <c r="C726" s="300" t="inlineStr">
        <is>
          <t>台指10</t>
        </is>
      </c>
      <c r="D726" s="300" t="inlineStr">
        <is>
          <t>新倉</t>
        </is>
      </c>
      <c r="E726" s="301" t="inlineStr">
        <is>
          <t>買</t>
        </is>
      </c>
      <c r="F726" s="300" t="inlineStr">
        <is>
          <t>-</t>
        </is>
      </c>
      <c r="G726" s="741" t="n">
        <v>1</v>
      </c>
      <c r="H726" s="741" t="n">
        <v>10877</v>
      </c>
      <c r="I726" s="741" t="n">
        <v>0</v>
      </c>
      <c r="J726" s="742" t="n">
        <v>45</v>
      </c>
      <c r="K726" s="742" t="n">
        <v>44</v>
      </c>
      <c r="L726" s="742">
        <f>IF(B726="TXO",I726-SUM(J726:K726),IF(B726="FITX",IF(D726="新倉",-SUM(J726:K726),IF(E726="賣",(H726-H725)*G726*200-SUM(J726:K726),(H725-H726)*G726*200-SUM(J726:K726))),IF(D726="新倉",-SUM(J726:K726),IF(E726="賣",(H726-H725)*G726*50-SUM(J726:K726),(H725-H726)*G726*50-SUM(J726:K726)))))</f>
        <v/>
      </c>
      <c r="M726" s="743">
        <f>L726</f>
        <v/>
      </c>
      <c r="N726" s="686">
        <f>IF(B726="TXO","",IF(D726="新倉","",IF(E726="賣",(H726-H725)*G726,(H725-H726)*G726)))</f>
        <v/>
      </c>
      <c r="O726" s="226">
        <f>ABS(I726)</f>
        <v/>
      </c>
      <c r="P726" s="667" t="n"/>
      <c r="Q726" s="249" t="inlineStr">
        <is>
          <t>技法: 3/3 買進一口</t>
        </is>
      </c>
      <c r="R726" s="249" t="inlineStr">
        <is>
          <t>Yes</t>
        </is>
      </c>
      <c r="S726" s="249" t="inlineStr">
        <is>
          <t>Yes</t>
        </is>
      </c>
      <c r="T726" s="61">
        <f>IF(AND(R726="Yes",S726&lt;&gt;"Yes",L726&gt;0,B726&lt;&gt;"TXO"),L726,"")</f>
        <v/>
      </c>
      <c r="U726" s="61">
        <f>IF(AND(R726="Yes",S726&lt;&gt;"Yes",L726&lt;0,B726&lt;&gt;"TXO"),L726,"")</f>
        <v/>
      </c>
      <c r="V726" s="61">
        <f>IF(AND(R726="",S726&lt;&gt;"Yes",L726&gt;0,B726&lt;&gt;"TXO"),L726,"")</f>
        <v/>
      </c>
      <c r="W726" s="61">
        <f>IF(AND(R726="",S726&lt;&gt;"Yes",L726&lt;0,B726&lt;&gt;"TXO"),L726,"")</f>
        <v/>
      </c>
      <c r="X726" s="226">
        <f>IF(AND(R726="Yes",S726="Yes",L726&gt;0,B726&lt;&gt;"TXO"),L726,"")</f>
        <v/>
      </c>
      <c r="Y726" s="226">
        <f>IF(AND(R726="Yes",S726="Yes",L726&lt;0,B726&lt;&gt;"TXO"),L726,"")</f>
        <v/>
      </c>
      <c r="Z726" s="226">
        <f>IF(AND(R726="",S726="Yes",L726&gt;0,B726&lt;&gt;"TXO"),L726,"")</f>
        <v/>
      </c>
      <c r="AA726" s="226">
        <f>IF(AND(R726="",S726="Yes",L726&lt;0,B726&lt;&gt;"TXO"),L726,"")</f>
        <v/>
      </c>
    </row>
    <row r="727" hidden="1" outlineLevel="2" ht="17.25" customHeight="1" thickBot="1">
      <c r="A727" s="740" t="n">
        <v>43362</v>
      </c>
      <c r="B727" s="299" t="inlineStr">
        <is>
          <t>FITX</t>
        </is>
      </c>
      <c r="C727" s="300" t="inlineStr">
        <is>
          <t>台指10</t>
        </is>
      </c>
      <c r="D727" s="300" t="inlineStr">
        <is>
          <t>平倉</t>
        </is>
      </c>
      <c r="E727" s="301" t="inlineStr">
        <is>
          <t>賣</t>
        </is>
      </c>
      <c r="F727" s="300" t="inlineStr">
        <is>
          <t>-</t>
        </is>
      </c>
      <c r="G727" s="741" t="n">
        <v>1</v>
      </c>
      <c r="H727" s="741" t="n">
        <v>10881</v>
      </c>
      <c r="I727" s="741" t="n">
        <v>0</v>
      </c>
      <c r="J727" s="742" t="n">
        <v>45</v>
      </c>
      <c r="K727" s="742" t="n">
        <v>44</v>
      </c>
      <c r="L727" s="742">
        <f>IF(B727="TXO",I727-SUM(J727:K727),IF(B727="FITX",IF(D727="新倉",-SUM(J727:K727),IF(E727="賣",(H727-H726)*G727*200-SUM(J727:K727),(H726-H727)*G727*200-SUM(J727:K727))),IF(D727="新倉",-SUM(J727:K727),IF(E727="賣",(H727-H726)*G727*50-SUM(J727:K727),(H726-H727)*G727*50-SUM(J727:K727)))))</f>
        <v/>
      </c>
      <c r="M727" s="743">
        <f>L727</f>
        <v/>
      </c>
      <c r="N727" s="686">
        <f>IF(B727="TXO","",IF(D727="新倉","",IF(E727="賣",(H727-H726)*G727,(H726-H727)*G727)))</f>
        <v/>
      </c>
      <c r="O727" s="226">
        <f>ABS(I727)</f>
        <v/>
      </c>
      <c r="P727" s="667" t="n"/>
      <c r="Q727" s="313" t="inlineStr">
        <is>
          <t>移動式停利</t>
        </is>
      </c>
      <c r="R727" s="249" t="inlineStr">
        <is>
          <t>Yes</t>
        </is>
      </c>
      <c r="S727" s="249" t="inlineStr">
        <is>
          <t>Yes</t>
        </is>
      </c>
      <c r="T727" s="61">
        <f>IF(AND(R727="Yes",S727&lt;&gt;"Yes",L727&gt;0,B727&lt;&gt;"TXO"),L727,"")</f>
        <v/>
      </c>
      <c r="U727" s="61">
        <f>IF(AND(R727="Yes",S727&lt;&gt;"Yes",L727&lt;0,B727&lt;&gt;"TXO"),L727,"")</f>
        <v/>
      </c>
      <c r="V727" s="61">
        <f>IF(AND(R727="",S727&lt;&gt;"Yes",L727&gt;0,B727&lt;&gt;"TXO"),L727,"")</f>
        <v/>
      </c>
      <c r="W727" s="61">
        <f>IF(AND(R727="",S727&lt;&gt;"Yes",L727&lt;0,B727&lt;&gt;"TXO"),L727,"")</f>
        <v/>
      </c>
      <c r="X727" s="226">
        <f>IF(AND(R727="Yes",S727="Yes",L727&gt;0,B727&lt;&gt;"TXO"),L727,"")</f>
        <v/>
      </c>
      <c r="Y727" s="226">
        <f>IF(AND(R727="Yes",S727="Yes",L727&lt;0,B727&lt;&gt;"TXO"),L727,"")</f>
        <v/>
      </c>
      <c r="Z727" s="226">
        <f>IF(AND(R727="",S727="Yes",L727&gt;0,B727&lt;&gt;"TXO"),L727,"")</f>
        <v/>
      </c>
      <c r="AA727" s="226">
        <f>IF(AND(R727="",S727="Yes",L727&lt;0,B727&lt;&gt;"TXO"),L727,"")</f>
        <v/>
      </c>
    </row>
    <row r="728" hidden="1" outlineLevel="2" ht="17.25" customHeight="1" thickBot="1">
      <c r="A728" s="740" t="n">
        <v>43362</v>
      </c>
      <c r="B728" s="299" t="inlineStr">
        <is>
          <t>FITX</t>
        </is>
      </c>
      <c r="C728" s="300" t="inlineStr">
        <is>
          <t>台指10</t>
        </is>
      </c>
      <c r="D728" s="300" t="inlineStr">
        <is>
          <t>新倉</t>
        </is>
      </c>
      <c r="E728" s="301" t="inlineStr">
        <is>
          <t>買</t>
        </is>
      </c>
      <c r="F728" s="300" t="inlineStr">
        <is>
          <t>-</t>
        </is>
      </c>
      <c r="G728" s="741" t="n">
        <v>1</v>
      </c>
      <c r="H728" s="741" t="n">
        <v>10888</v>
      </c>
      <c r="I728" s="741" t="n">
        <v>0</v>
      </c>
      <c r="J728" s="742" t="n">
        <v>45</v>
      </c>
      <c r="K728" s="742" t="n">
        <v>44</v>
      </c>
      <c r="L728" s="742">
        <f>IF(B728="TXO",I728-SUM(J728:K728),IF(B728="FITX",IF(D728="新倉",-SUM(J728:K728),IF(E728="賣",(H728-H727)*G728*200-SUM(J728:K728),(H727-H728)*G728*200-SUM(J728:K728))),IF(D728="新倉",-SUM(J728:K728),IF(E728="賣",(H728-H727)*G728*50-SUM(J728:K728),(H727-H728)*G728*50-SUM(J728:K728)))))</f>
        <v/>
      </c>
      <c r="M728" s="743">
        <f>L728</f>
        <v/>
      </c>
      <c r="N728" s="686">
        <f>IF(B728="TXO","",IF(D728="新倉","",IF(E728="賣",(H728-H727)*G728,(H727-H728)*G728)))</f>
        <v/>
      </c>
      <c r="O728" s="226">
        <f>ABS(I728)</f>
        <v/>
      </c>
      <c r="P728" s="667" t="n"/>
      <c r="Q728" s="310" t="inlineStr">
        <is>
          <t>出場後立刻拉回，追價</t>
        </is>
      </c>
      <c r="R728" s="310" t="n"/>
      <c r="S728" s="249" t="inlineStr">
        <is>
          <t>Yes</t>
        </is>
      </c>
      <c r="T728" s="61">
        <f>IF(AND(R728="Yes",S728&lt;&gt;"Yes",L728&gt;0,B728&lt;&gt;"TXO"),L728,"")</f>
        <v/>
      </c>
      <c r="U728" s="61">
        <f>IF(AND(R728="Yes",S728&lt;&gt;"Yes",L728&lt;0,B728&lt;&gt;"TXO"),L728,"")</f>
        <v/>
      </c>
      <c r="V728" s="61">
        <f>IF(AND(R728="",S728&lt;&gt;"Yes",L728&gt;0,B728&lt;&gt;"TXO"),L728,"")</f>
        <v/>
      </c>
      <c r="W728" s="61">
        <f>IF(AND(R728="",S728&lt;&gt;"Yes",L728&lt;0,B728&lt;&gt;"TXO"),L728,"")</f>
        <v/>
      </c>
      <c r="X728" s="226">
        <f>IF(AND(R728="Yes",S728="Yes",L728&gt;0,B728&lt;&gt;"TXO"),L728,"")</f>
        <v/>
      </c>
      <c r="Y728" s="226">
        <f>IF(AND(R728="Yes",S728="Yes",L728&lt;0,B728&lt;&gt;"TXO"),L728,"")</f>
        <v/>
      </c>
      <c r="Z728" s="226">
        <f>IF(AND(R728="",S728="Yes",L728&gt;0,B728&lt;&gt;"TXO"),L728,"")</f>
        <v/>
      </c>
      <c r="AA728" s="226">
        <f>IF(AND(R728="",S728="Yes",L728&lt;0,B728&lt;&gt;"TXO"),L728,"")</f>
        <v/>
      </c>
    </row>
    <row r="729" hidden="1" outlineLevel="2" ht="17.25" customHeight="1" thickBot="1">
      <c r="A729" s="740" t="n">
        <v>43362</v>
      </c>
      <c r="B729" s="299" t="inlineStr">
        <is>
          <t>FITX</t>
        </is>
      </c>
      <c r="C729" s="300" t="inlineStr">
        <is>
          <t>台指10</t>
        </is>
      </c>
      <c r="D729" s="300" t="inlineStr">
        <is>
          <t>平倉</t>
        </is>
      </c>
      <c r="E729" s="301" t="inlineStr">
        <is>
          <t>賣</t>
        </is>
      </c>
      <c r="F729" s="300" t="inlineStr">
        <is>
          <t>-</t>
        </is>
      </c>
      <c r="G729" s="741" t="n">
        <v>1</v>
      </c>
      <c r="H729" s="741" t="n">
        <v>10881</v>
      </c>
      <c r="I729" s="741" t="n">
        <v>0</v>
      </c>
      <c r="J729" s="742" t="n">
        <v>45</v>
      </c>
      <c r="K729" s="742" t="n">
        <v>44</v>
      </c>
      <c r="L729" s="742">
        <f>IF(B729="TXO",I729-SUM(J729:K729),IF(B729="FITX",IF(D729="新倉",-SUM(J729:K729),IF(E729="賣",(H729-H728)*G729*200-SUM(J729:K729),(H728-H729)*G729*200-SUM(J729:K729))),IF(D729="新倉",-SUM(J729:K729),IF(E729="賣",(H729-H728)*G729*50-SUM(J729:K729),(H728-H729)*G729*50-SUM(J729:K729)))))</f>
        <v/>
      </c>
      <c r="M729" s="743">
        <f>L729</f>
        <v/>
      </c>
      <c r="N729" s="686">
        <f>IF(B729="TXO","",IF(D729="新倉","",IF(E729="賣",(H729-H728)*G729,(H728-H729)*G729)))</f>
        <v/>
      </c>
      <c r="O729" s="226">
        <f>ABS(I729)</f>
        <v/>
      </c>
      <c r="P729" s="667" t="n"/>
      <c r="Q729" s="310" t="inlineStr">
        <is>
          <t>破10MA停損</t>
        </is>
      </c>
      <c r="R729" s="310" t="n"/>
      <c r="S729" s="249" t="inlineStr">
        <is>
          <t>Yes</t>
        </is>
      </c>
      <c r="T729" s="61">
        <f>IF(AND(R729="Yes",S729&lt;&gt;"Yes",L729&gt;0,B729&lt;&gt;"TXO"),L729,"")</f>
        <v/>
      </c>
      <c r="U729" s="61">
        <f>IF(AND(R729="Yes",S729&lt;&gt;"Yes",L729&lt;0,B729&lt;&gt;"TXO"),L729,"")</f>
        <v/>
      </c>
      <c r="V729" s="61">
        <f>IF(AND(R729="",S729&lt;&gt;"Yes",L729&gt;0,B729&lt;&gt;"TXO"),L729,"")</f>
        <v/>
      </c>
      <c r="W729" s="61">
        <f>IF(AND(R729="",S729&lt;&gt;"Yes",L729&lt;0,B729&lt;&gt;"TXO"),L729,"")</f>
        <v/>
      </c>
      <c r="X729" s="226">
        <f>IF(AND(R729="Yes",S729="Yes",L729&gt;0,B729&lt;&gt;"TXO"),L729,"")</f>
        <v/>
      </c>
      <c r="Y729" s="226">
        <f>IF(AND(R729="Yes",S729="Yes",L729&lt;0,B729&lt;&gt;"TXO"),L729,"")</f>
        <v/>
      </c>
      <c r="Z729" s="226">
        <f>IF(AND(R729="",S729="Yes",L729&gt;0,B729&lt;&gt;"TXO"),L729,"")</f>
        <v/>
      </c>
      <c r="AA729" s="226">
        <f>IF(AND(R729="",S729="Yes",L729&lt;0,B729&lt;&gt;"TXO"),L729,"")</f>
        <v/>
      </c>
    </row>
    <row r="730" hidden="1" outlineLevel="2" ht="33.75" customHeight="1" thickBot="1">
      <c r="A730" s="740" t="n">
        <v>43362</v>
      </c>
      <c r="B730" s="299" t="inlineStr">
        <is>
          <t>FITX</t>
        </is>
      </c>
      <c r="C730" s="300" t="inlineStr">
        <is>
          <t>台指10</t>
        </is>
      </c>
      <c r="D730" s="300" t="inlineStr">
        <is>
          <t>新倉</t>
        </is>
      </c>
      <c r="E730" s="301" t="inlineStr">
        <is>
          <t>買</t>
        </is>
      </c>
      <c r="F730" s="300" t="inlineStr">
        <is>
          <t>-</t>
        </is>
      </c>
      <c r="G730" s="741" t="n">
        <v>1</v>
      </c>
      <c r="H730" s="741" t="n">
        <v>10885</v>
      </c>
      <c r="I730" s="741" t="n">
        <v>0</v>
      </c>
      <c r="J730" s="742" t="n">
        <v>45</v>
      </c>
      <c r="K730" s="742" t="n">
        <v>44</v>
      </c>
      <c r="L730" s="742">
        <f>IF(B730="TXO",I730-SUM(J730:K730),IF(B730="FITX",IF(D730="新倉",-SUM(J730:K730),IF(E730="賣",(H730-H729)*G730*200-SUM(J730:K730),(H729-H730)*G730*200-SUM(J730:K730))),IF(D730="新倉",-SUM(J730:K730),IF(E730="賣",(H730-H729)*G730*50-SUM(J730:K730),(H729-H730)*G730*50-SUM(J730:K730)))))</f>
        <v/>
      </c>
      <c r="M730" s="743">
        <f>L730</f>
        <v/>
      </c>
      <c r="N730" s="686">
        <f>IF(B730="TXO","",IF(D730="新倉","",IF(E730="賣",(H730-H729)*G730,(H729-H730)*G730)))</f>
        <v/>
      </c>
      <c r="O730" s="226">
        <f>ABS(I730)</f>
        <v/>
      </c>
      <c r="P730" s="667" t="n"/>
      <c r="Q730" s="249" t="inlineStr">
        <is>
          <t>技法: 3/3 買進一口
太早下單訊號消失</t>
        </is>
      </c>
      <c r="S730" s="249" t="inlineStr">
        <is>
          <t>Yes</t>
        </is>
      </c>
      <c r="T730" s="61">
        <f>IF(AND(R730="Yes",S730&lt;&gt;"Yes",L730&gt;0,B730&lt;&gt;"TXO"),L730,"")</f>
        <v/>
      </c>
      <c r="U730" s="61">
        <f>IF(AND(R730="Yes",S730&lt;&gt;"Yes",L730&lt;0,B730&lt;&gt;"TXO"),L730,"")</f>
        <v/>
      </c>
      <c r="V730" s="61">
        <f>IF(AND(R730="",S730&lt;&gt;"Yes",L730&gt;0,B730&lt;&gt;"TXO"),L730,"")</f>
        <v/>
      </c>
      <c r="W730" s="61">
        <f>IF(AND(R730="",S730&lt;&gt;"Yes",L730&lt;0,B730&lt;&gt;"TXO"),L730,"")</f>
        <v/>
      </c>
      <c r="X730" s="226">
        <f>IF(AND(R730="Yes",S730="Yes",L730&gt;0,B730&lt;&gt;"TXO"),L730,"")</f>
        <v/>
      </c>
      <c r="Y730" s="226">
        <f>IF(AND(R730="Yes",S730="Yes",L730&lt;0,B730&lt;&gt;"TXO"),L730,"")</f>
        <v/>
      </c>
      <c r="Z730" s="226">
        <f>IF(AND(R730="",S730="Yes",L730&gt;0,B730&lt;&gt;"TXO"),L730,"")</f>
        <v/>
      </c>
      <c r="AA730" s="226">
        <f>IF(AND(R730="",S730="Yes",L730&lt;0,B730&lt;&gt;"TXO"),L730,"")</f>
        <v/>
      </c>
    </row>
    <row r="731" hidden="1" outlineLevel="2" ht="17.25" customHeight="1" thickBot="1">
      <c r="A731" s="740" t="n">
        <v>43362</v>
      </c>
      <c r="B731" s="299" t="inlineStr">
        <is>
          <t>FITX</t>
        </is>
      </c>
      <c r="C731" s="300" t="inlineStr">
        <is>
          <t>台指10</t>
        </is>
      </c>
      <c r="D731" s="300" t="inlineStr">
        <is>
          <t>平倉</t>
        </is>
      </c>
      <c r="E731" s="301" t="inlineStr">
        <is>
          <t>賣</t>
        </is>
      </c>
      <c r="F731" s="300" t="inlineStr">
        <is>
          <t>-</t>
        </is>
      </c>
      <c r="G731" s="741" t="n">
        <v>1</v>
      </c>
      <c r="H731" s="741" t="n">
        <v>10889</v>
      </c>
      <c r="I731" s="741" t="n">
        <v>0</v>
      </c>
      <c r="J731" s="742" t="n">
        <v>45</v>
      </c>
      <c r="K731" s="742" t="n">
        <v>44</v>
      </c>
      <c r="L731" s="742">
        <f>IF(B731="TXO",I731-SUM(J731:K731),IF(B731="FITX",IF(D731="新倉",-SUM(J731:K731),IF(E731="賣",(H731-H730)*G731*200-SUM(J731:K731),(H730-H731)*G731*200-SUM(J731:K731))),IF(D731="新倉",-SUM(J731:K731),IF(E731="賣",(H731-H730)*G731*50-SUM(J731:K731),(H730-H731)*G731*50-SUM(J731:K731)))))</f>
        <v/>
      </c>
      <c r="M731" s="743">
        <f>L731</f>
        <v/>
      </c>
      <c r="N731" s="686">
        <f>IF(B731="TXO","",IF(D731="新倉","",IF(E731="賣",(H731-H730)*G731,(H730-H731)*G731)))</f>
        <v/>
      </c>
      <c r="O731" s="226">
        <f>ABS(I731)</f>
        <v/>
      </c>
      <c r="P731" s="667" t="n"/>
      <c r="Q731" s="249" t="inlineStr">
        <is>
          <t>技法: 刺補</t>
        </is>
      </c>
      <c r="S731" s="249" t="inlineStr">
        <is>
          <t>Yes</t>
        </is>
      </c>
      <c r="T731" s="61">
        <f>IF(AND(R731="Yes",S731&lt;&gt;"Yes",L731&gt;0,B731&lt;&gt;"TXO"),L731,"")</f>
        <v/>
      </c>
      <c r="U731" s="61">
        <f>IF(AND(R731="Yes",S731&lt;&gt;"Yes",L731&lt;0,B731&lt;&gt;"TXO"),L731,"")</f>
        <v/>
      </c>
      <c r="V731" s="61">
        <f>IF(AND(R731="",S731&lt;&gt;"Yes",L731&gt;0,B731&lt;&gt;"TXO"),L731,"")</f>
        <v/>
      </c>
      <c r="W731" s="61">
        <f>IF(AND(R731="",S731&lt;&gt;"Yes",L731&lt;0,B731&lt;&gt;"TXO"),L731,"")</f>
        <v/>
      </c>
      <c r="X731" s="226">
        <f>IF(AND(R731="Yes",S731="Yes",L731&gt;0,B731&lt;&gt;"TXO"),L731,"")</f>
        <v/>
      </c>
      <c r="Y731" s="226">
        <f>IF(AND(R731="Yes",S731="Yes",L731&lt;0,B731&lt;&gt;"TXO"),L731,"")</f>
        <v/>
      </c>
      <c r="Z731" s="226">
        <f>IF(AND(R731="",S731="Yes",L731&gt;0,B731&lt;&gt;"TXO"),L731,"")</f>
        <v/>
      </c>
      <c r="AA731" s="226">
        <f>IF(AND(R731="",S731="Yes",L731&lt;0,B731&lt;&gt;"TXO"),L731,"")</f>
        <v/>
      </c>
    </row>
    <row r="732" hidden="1" outlineLevel="2" ht="17.25" customHeight="1" thickBot="1">
      <c r="A732" s="740" t="n">
        <v>43362</v>
      </c>
      <c r="B732" s="299" t="inlineStr">
        <is>
          <t>FITX</t>
        </is>
      </c>
      <c r="C732" s="300" t="inlineStr">
        <is>
          <t>台指10</t>
        </is>
      </c>
      <c r="D732" s="300" t="inlineStr">
        <is>
          <t>新倉</t>
        </is>
      </c>
      <c r="E732" s="301" t="inlineStr">
        <is>
          <t>買</t>
        </is>
      </c>
      <c r="F732" s="300" t="inlineStr">
        <is>
          <t>-</t>
        </is>
      </c>
      <c r="G732" s="741" t="n">
        <v>1</v>
      </c>
      <c r="H732" s="741" t="n">
        <v>10888</v>
      </c>
      <c r="I732" s="741" t="n">
        <v>0</v>
      </c>
      <c r="J732" s="742" t="n">
        <v>45</v>
      </c>
      <c r="K732" s="742" t="n">
        <v>44</v>
      </c>
      <c r="L732" s="742">
        <f>IF(B732="TXO",I732-SUM(J732:K732),IF(B732="FITX",IF(D732="新倉",-SUM(J732:K732),IF(E732="賣",(H732-H731)*G732*200-SUM(J732:K732),(H731-H732)*G732*200-SUM(J732:K732))),IF(D732="新倉",-SUM(J732:K732),IF(E732="賣",(H732-H731)*G732*50-SUM(J732:K732),(H731-H732)*G732*50-SUM(J732:K732)))))</f>
        <v/>
      </c>
      <c r="M732" s="743">
        <f>L732</f>
        <v/>
      </c>
      <c r="N732" s="686">
        <f>IF(B732="TXO","",IF(D732="新倉","",IF(E732="賣",(H732-H731)*G732,(H731-H732)*G732)))</f>
        <v/>
      </c>
      <c r="O732" s="226">
        <f>ABS(I732)</f>
        <v/>
      </c>
      <c r="P732" s="667" t="n"/>
      <c r="Q732" s="310" t="inlineStr">
        <is>
          <t>出場拉回再追單</t>
        </is>
      </c>
      <c r="R732" s="310" t="n"/>
      <c r="S732" s="249" t="inlineStr">
        <is>
          <t>Yes</t>
        </is>
      </c>
      <c r="T732" s="61">
        <f>IF(AND(R732="Yes",S732&lt;&gt;"Yes",L732&gt;0,B732&lt;&gt;"TXO"),L732,"")</f>
        <v/>
      </c>
      <c r="U732" s="61">
        <f>IF(AND(R732="Yes",S732&lt;&gt;"Yes",L732&lt;0,B732&lt;&gt;"TXO"),L732,"")</f>
        <v/>
      </c>
      <c r="V732" s="61">
        <f>IF(AND(R732="",S732&lt;&gt;"Yes",L732&gt;0,B732&lt;&gt;"TXO"),L732,"")</f>
        <v/>
      </c>
      <c r="W732" s="61">
        <f>IF(AND(R732="",S732&lt;&gt;"Yes",L732&lt;0,B732&lt;&gt;"TXO"),L732,"")</f>
        <v/>
      </c>
      <c r="X732" s="226">
        <f>IF(AND(R732="Yes",S732="Yes",L732&gt;0,B732&lt;&gt;"TXO"),L732,"")</f>
        <v/>
      </c>
      <c r="Y732" s="226">
        <f>IF(AND(R732="Yes",S732="Yes",L732&lt;0,B732&lt;&gt;"TXO"),L732,"")</f>
        <v/>
      </c>
      <c r="Z732" s="226">
        <f>IF(AND(R732="",S732="Yes",L732&gt;0,B732&lt;&gt;"TXO"),L732,"")</f>
        <v/>
      </c>
      <c r="AA732" s="226">
        <f>IF(AND(R732="",S732="Yes",L732&lt;0,B732&lt;&gt;"TXO"),L732,"")</f>
        <v/>
      </c>
    </row>
    <row r="733" hidden="1" outlineLevel="2" ht="17.25" customHeight="1" thickBot="1">
      <c r="A733" s="740" t="n">
        <v>43362</v>
      </c>
      <c r="B733" s="299" t="inlineStr">
        <is>
          <t>FITX</t>
        </is>
      </c>
      <c r="C733" s="300" t="inlineStr">
        <is>
          <t>台指10</t>
        </is>
      </c>
      <c r="D733" s="300" t="inlineStr">
        <is>
          <t>平倉</t>
        </is>
      </c>
      <c r="E733" s="301" t="inlineStr">
        <is>
          <t>賣</t>
        </is>
      </c>
      <c r="F733" s="300" t="inlineStr">
        <is>
          <t>-</t>
        </is>
      </c>
      <c r="G733" s="741" t="n">
        <v>1</v>
      </c>
      <c r="H733" s="741" t="n">
        <v>10886</v>
      </c>
      <c r="I733" s="741" t="n">
        <v>0</v>
      </c>
      <c r="J733" s="742" t="n">
        <v>45</v>
      </c>
      <c r="K733" s="742" t="n">
        <v>44</v>
      </c>
      <c r="L733" s="742">
        <f>IF(B733="TXO",I733-SUM(J733:K733),IF(B733="FITX",IF(D733="新倉",-SUM(J733:K733),IF(E733="賣",(H733-H732)*G733*200-SUM(J733:K733),(H732-H733)*G733*200-SUM(J733:K733))),IF(D733="新倉",-SUM(J733:K733),IF(E733="賣",(H733-H732)*G733*50-SUM(J733:K733),(H732-H733)*G733*50-SUM(J733:K733)))))</f>
        <v/>
      </c>
      <c r="M733" s="743">
        <f>L733</f>
        <v/>
      </c>
      <c r="N733" s="686">
        <f>IF(B733="TXO","",IF(D733="新倉","",IF(E733="賣",(H733-H732)*G733,(H732-H733)*G733)))</f>
        <v/>
      </c>
      <c r="O733" s="226">
        <f>ABS(I733)</f>
        <v/>
      </c>
      <c r="P733" s="667" t="n"/>
      <c r="Q733" s="310" t="inlineStr">
        <is>
          <t>破10MA停損</t>
        </is>
      </c>
      <c r="R733" s="310" t="n"/>
      <c r="S733" s="249" t="inlineStr">
        <is>
          <t>Yes</t>
        </is>
      </c>
      <c r="T733" s="61">
        <f>IF(AND(R733="Yes",S733&lt;&gt;"Yes",L733&gt;0,B733&lt;&gt;"TXO"),L733,"")</f>
        <v/>
      </c>
      <c r="U733" s="61">
        <f>IF(AND(R733="Yes",S733&lt;&gt;"Yes",L733&lt;0,B733&lt;&gt;"TXO"),L733,"")</f>
        <v/>
      </c>
      <c r="V733" s="61">
        <f>IF(AND(R733="",S733&lt;&gt;"Yes",L733&gt;0,B733&lt;&gt;"TXO"),L733,"")</f>
        <v/>
      </c>
      <c r="W733" s="61">
        <f>IF(AND(R733="",S733&lt;&gt;"Yes",L733&lt;0,B733&lt;&gt;"TXO"),L733,"")</f>
        <v/>
      </c>
      <c r="X733" s="226">
        <f>IF(AND(R733="Yes",S733="Yes",L733&gt;0,B733&lt;&gt;"TXO"),L733,"")</f>
        <v/>
      </c>
      <c r="Y733" s="226">
        <f>IF(AND(R733="Yes",S733="Yes",L733&lt;0,B733&lt;&gt;"TXO"),L733,"")</f>
        <v/>
      </c>
      <c r="Z733" s="226">
        <f>IF(AND(R733="",S733="Yes",L733&gt;0,B733&lt;&gt;"TXO"),L733,"")</f>
        <v/>
      </c>
      <c r="AA733" s="226">
        <f>IF(AND(R733="",S733="Yes",L733&lt;0,B733&lt;&gt;"TXO"),L733,"")</f>
        <v/>
      </c>
    </row>
    <row r="734" hidden="1" outlineLevel="2" ht="17.25" customHeight="1" thickBot="1">
      <c r="A734" s="740" t="n">
        <v>43362</v>
      </c>
      <c r="B734" s="299" t="inlineStr">
        <is>
          <t>FITX</t>
        </is>
      </c>
      <c r="C734" s="300" t="inlineStr">
        <is>
          <t>台指10</t>
        </is>
      </c>
      <c r="D734" s="300" t="inlineStr">
        <is>
          <t>新倉</t>
        </is>
      </c>
      <c r="E734" s="301" t="inlineStr">
        <is>
          <t>買</t>
        </is>
      </c>
      <c r="F734" s="300" t="inlineStr">
        <is>
          <t>-</t>
        </is>
      </c>
      <c r="G734" s="741" t="n">
        <v>1</v>
      </c>
      <c r="H734" s="741" t="n">
        <v>10890</v>
      </c>
      <c r="I734" s="741" t="n">
        <v>0</v>
      </c>
      <c r="J734" s="742" t="n">
        <v>45</v>
      </c>
      <c r="K734" s="742" t="n">
        <v>44</v>
      </c>
      <c r="L734" s="742">
        <f>IF(B734="TXO",I734-SUM(J734:K734),IF(B734="FITX",IF(D734="新倉",-SUM(J734:K734),IF(E734="賣",(H734-H733)*G734*200-SUM(J734:K734),(H733-H734)*G734*200-SUM(J734:K734))),IF(D734="新倉",-SUM(J734:K734),IF(E734="賣",(H734-H733)*G734*50-SUM(J734:K734),(H733-H734)*G734*50-SUM(J734:K734)))))</f>
        <v/>
      </c>
      <c r="M734" s="743">
        <f>L734</f>
        <v/>
      </c>
      <c r="N734" s="686">
        <f>IF(B734="TXO","",IF(D734="新倉","",IF(E734="賣",(H734-H733)*G734,(H733-H734)*G734)))</f>
        <v/>
      </c>
      <c r="O734" s="226">
        <f>ABS(I734)</f>
        <v/>
      </c>
      <c r="P734" s="667" t="n"/>
      <c r="Q734" s="249" t="inlineStr">
        <is>
          <t>技法: 3/3 買進一口</t>
        </is>
      </c>
      <c r="R734" s="249" t="inlineStr">
        <is>
          <t>Yes</t>
        </is>
      </c>
      <c r="S734" s="249" t="inlineStr">
        <is>
          <t>Yes</t>
        </is>
      </c>
      <c r="T734" s="61">
        <f>IF(AND(R734="Yes",S734&lt;&gt;"Yes",L734&gt;0,B734&lt;&gt;"TXO"),L734,"")</f>
        <v/>
      </c>
      <c r="U734" s="61">
        <f>IF(AND(R734="Yes",S734&lt;&gt;"Yes",L734&lt;0,B734&lt;&gt;"TXO"),L734,"")</f>
        <v/>
      </c>
      <c r="V734" s="61">
        <f>IF(AND(R734="",S734&lt;&gt;"Yes",L734&gt;0,B734&lt;&gt;"TXO"),L734,"")</f>
        <v/>
      </c>
      <c r="W734" s="61">
        <f>IF(AND(R734="",S734&lt;&gt;"Yes",L734&lt;0,B734&lt;&gt;"TXO"),L734,"")</f>
        <v/>
      </c>
      <c r="X734" s="226">
        <f>IF(AND(R734="Yes",S734="Yes",L734&gt;0,B734&lt;&gt;"TXO"),L734,"")</f>
        <v/>
      </c>
      <c r="Y734" s="226">
        <f>IF(AND(R734="Yes",S734="Yes",L734&lt;0,B734&lt;&gt;"TXO"),L734,"")</f>
        <v/>
      </c>
      <c r="Z734" s="226">
        <f>IF(AND(R734="",S734="Yes",L734&gt;0,B734&lt;&gt;"TXO"),L734,"")</f>
        <v/>
      </c>
      <c r="AA734" s="226">
        <f>IF(AND(R734="",S734="Yes",L734&lt;0,B734&lt;&gt;"TXO"),L734,"")</f>
        <v/>
      </c>
    </row>
    <row r="735" hidden="1" outlineLevel="2" ht="17.25" customHeight="1" thickBot="1">
      <c r="A735" s="740" t="n">
        <v>43362</v>
      </c>
      <c r="B735" s="299" t="inlineStr">
        <is>
          <t>FITX</t>
        </is>
      </c>
      <c r="C735" s="300" t="inlineStr">
        <is>
          <t>台指10</t>
        </is>
      </c>
      <c r="D735" s="300" t="inlineStr">
        <is>
          <t>平倉</t>
        </is>
      </c>
      <c r="E735" s="301" t="inlineStr">
        <is>
          <t>賣</t>
        </is>
      </c>
      <c r="F735" s="300" t="inlineStr">
        <is>
          <t>-</t>
        </is>
      </c>
      <c r="G735" s="741" t="n">
        <v>1</v>
      </c>
      <c r="H735" s="741" t="n">
        <v>10887</v>
      </c>
      <c r="I735" s="741" t="n">
        <v>0</v>
      </c>
      <c r="J735" s="742" t="n">
        <v>45</v>
      </c>
      <c r="K735" s="742" t="n">
        <v>44</v>
      </c>
      <c r="L735" s="742">
        <f>IF(B735="TXO",I735-SUM(J735:K735),IF(B735="FITX",IF(D735="新倉",-SUM(J735:K735),IF(E735="賣",(H735-H734)*G735*200-SUM(J735:K735),(H734-H735)*G735*200-SUM(J735:K735))),IF(D735="新倉",-SUM(J735:K735),IF(E735="賣",(H735-H734)*G735*50-SUM(J735:K735),(H734-H735)*G735*50-SUM(J735:K735)))))</f>
        <v/>
      </c>
      <c r="M735" s="743">
        <f>L735</f>
        <v/>
      </c>
      <c r="N735" s="686">
        <f>IF(B735="TXO","",IF(D735="新倉","",IF(E735="賣",(H735-H734)*G735,(H734-H735)*G735)))</f>
        <v/>
      </c>
      <c r="O735" s="226">
        <f>ABS(I735)</f>
        <v/>
      </c>
      <c r="P735" s="667" t="n"/>
      <c r="Q735" s="310" t="inlineStr">
        <is>
          <t>破10MA停損</t>
        </is>
      </c>
      <c r="R735" s="249" t="inlineStr">
        <is>
          <t>Yes</t>
        </is>
      </c>
      <c r="S735" s="249" t="inlineStr">
        <is>
          <t>Yes</t>
        </is>
      </c>
      <c r="T735" s="61">
        <f>IF(AND(R735="Yes",S735&lt;&gt;"Yes",L735&gt;0,B735&lt;&gt;"TXO"),L735,"")</f>
        <v/>
      </c>
      <c r="U735" s="61">
        <f>IF(AND(R735="Yes",S735&lt;&gt;"Yes",L735&lt;0,B735&lt;&gt;"TXO"),L735,"")</f>
        <v/>
      </c>
      <c r="V735" s="61">
        <f>IF(AND(R735="",S735&lt;&gt;"Yes",L735&gt;0,B735&lt;&gt;"TXO"),L735,"")</f>
        <v/>
      </c>
      <c r="W735" s="61">
        <f>IF(AND(R735="",S735&lt;&gt;"Yes",L735&lt;0,B735&lt;&gt;"TXO"),L735,"")</f>
        <v/>
      </c>
      <c r="X735" s="226">
        <f>IF(AND(R735="Yes",S735="Yes",L735&gt;0,B735&lt;&gt;"TXO"),L735,"")</f>
        <v/>
      </c>
      <c r="Y735" s="226">
        <f>IF(AND(R735="Yes",S735="Yes",L735&lt;0,B735&lt;&gt;"TXO"),L735,"")</f>
        <v/>
      </c>
      <c r="Z735" s="226">
        <f>IF(AND(R735="",S735="Yes",L735&gt;0,B735&lt;&gt;"TXO"),L735,"")</f>
        <v/>
      </c>
      <c r="AA735" s="226">
        <f>IF(AND(R735="",S735="Yes",L735&lt;0,B735&lt;&gt;"TXO"),L735,"")</f>
        <v/>
      </c>
    </row>
    <row r="736" hidden="1" outlineLevel="1" ht="17.25" customHeight="1" thickBot="1">
      <c r="A736" s="696" t="n">
        <v>43363</v>
      </c>
      <c r="B736" s="234" t="inlineStr">
        <is>
          <t>FITX</t>
        </is>
      </c>
      <c r="C736" s="229" t="inlineStr">
        <is>
          <t>台指10</t>
        </is>
      </c>
      <c r="D736" s="229" t="inlineStr">
        <is>
          <t>新倉</t>
        </is>
      </c>
      <c r="E736" s="257" t="inlineStr">
        <is>
          <t>買</t>
        </is>
      </c>
      <c r="F736" s="229" t="inlineStr">
        <is>
          <t>-</t>
        </is>
      </c>
      <c r="G736" s="697" t="n">
        <v>1</v>
      </c>
      <c r="H736" s="697" t="n">
        <v>10862</v>
      </c>
      <c r="I736" s="697" t="n">
        <v>0</v>
      </c>
      <c r="J736" s="585" t="n">
        <v>45</v>
      </c>
      <c r="K736" s="585" t="n">
        <v>43</v>
      </c>
      <c r="L736" s="585">
        <f>IF(B736="TXO",I736-SUM(J736:K736),IF(B736="FITX",IF(D736="新倉",-SUM(J736:K736),IF(E736="賣",(H736-H735)*G736*200-SUM(J736:K736),(H735-H736)*G736*200-SUM(J736:K736))),IF(D736="新倉",-SUM(J736:K736),IF(E736="賣",(H736-H735)*G736*50-SUM(J736:K736),(H735-H736)*G736*50-SUM(J736:K736)))))</f>
        <v/>
      </c>
      <c r="M736" s="699">
        <f>L736</f>
        <v/>
      </c>
      <c r="N736" s="686">
        <f>IF(B736="TXO","",IF(D736="新倉","",IF(E736="賣",(H736-H735)*G736,(H735-H736)*G736)))</f>
        <v/>
      </c>
      <c r="O736" s="226">
        <f>ABS(I736)</f>
        <v/>
      </c>
      <c r="P736" s="667">
        <f>SUM(L736:L745)</f>
        <v/>
      </c>
      <c r="Q736" s="310" t="inlineStr">
        <is>
          <t>技法: 3/3 買進一口(下錯方向)</t>
        </is>
      </c>
      <c r="S736" s="739" t="n"/>
      <c r="T736" s="61">
        <f>IF(AND(R736="Yes",S736&lt;&gt;"Yes",L736&gt;0,B736&lt;&gt;"TXO"),L736,"")</f>
        <v/>
      </c>
      <c r="U736" s="61">
        <f>IF(AND(R736="Yes",S736&lt;&gt;"Yes",L736&lt;0,B736&lt;&gt;"TXO"),L736,"")</f>
        <v/>
      </c>
      <c r="V736" s="61">
        <f>IF(AND(R736="",S736&lt;&gt;"Yes",L736&gt;0,B736&lt;&gt;"TXO"),L736,"")</f>
        <v/>
      </c>
      <c r="W736" s="61">
        <f>IF(AND(R736="",S736&lt;&gt;"Yes",L736&lt;0,B736&lt;&gt;"TXO"),L736,"")</f>
        <v/>
      </c>
      <c r="X736" s="226">
        <f>IF(AND(R736="Yes",S736="Yes",L736&gt;0,B736&lt;&gt;"TXO"),L736,"")</f>
        <v/>
      </c>
      <c r="Y736" s="226">
        <f>IF(AND(R736="Yes",S736="Yes",L736&lt;0,B736&lt;&gt;"TXO"),L736,"")</f>
        <v/>
      </c>
      <c r="Z736" s="226">
        <f>IF(AND(R736="",S736="Yes",L736&gt;0,B736&lt;&gt;"TXO"),L736,"")</f>
        <v/>
      </c>
      <c r="AA736" s="226">
        <f>IF(AND(R736="",S736="Yes",L736&lt;0,B736&lt;&gt;"TXO"),L736,"")</f>
        <v/>
      </c>
    </row>
    <row r="737" hidden="1" outlineLevel="2" ht="17.25" customHeight="1" thickBot="1">
      <c r="A737" s="696" t="n">
        <v>43363</v>
      </c>
      <c r="B737" s="234" t="inlineStr">
        <is>
          <t>FITX</t>
        </is>
      </c>
      <c r="C737" s="229" t="inlineStr">
        <is>
          <t>台指10</t>
        </is>
      </c>
      <c r="D737" s="229" t="inlineStr">
        <is>
          <t>平倉</t>
        </is>
      </c>
      <c r="E737" s="257" t="inlineStr">
        <is>
          <t>賣</t>
        </is>
      </c>
      <c r="F737" s="229" t="inlineStr">
        <is>
          <t>-</t>
        </is>
      </c>
      <c r="G737" s="697" t="n">
        <v>1</v>
      </c>
      <c r="H737" s="697" t="n">
        <v>10858</v>
      </c>
      <c r="I737" s="697" t="n">
        <v>0</v>
      </c>
      <c r="J737" s="585" t="n">
        <v>45</v>
      </c>
      <c r="K737" s="585" t="n">
        <v>43</v>
      </c>
      <c r="L737" s="585">
        <f>IF(B737="TXO",I737-SUM(J737:K737),IF(B737="FITX",IF(D737="新倉",-SUM(J737:K737),IF(E737="賣",(H737-H736)*G737*200-SUM(J737:K737),(H736-H737)*G737*200-SUM(J737:K737))),IF(D737="新倉",-SUM(J737:K737),IF(E737="賣",(H737-H736)*G737*50-SUM(J737:K737),(H736-H737)*G737*50-SUM(J737:K737)))))</f>
        <v/>
      </c>
      <c r="M737" s="699">
        <f>L737</f>
        <v/>
      </c>
      <c r="N737" s="686">
        <f>IF(B737="TXO","",IF(D737="新倉","",IF(E737="賣",(H737-H736)*G737,(H736-H737)*G737)))</f>
        <v/>
      </c>
      <c r="O737" s="226">
        <f>ABS(I737)</f>
        <v/>
      </c>
      <c r="P737" s="667" t="n"/>
      <c r="Q737" s="311" t="inlineStr">
        <is>
          <t>緊急出場</t>
        </is>
      </c>
      <c r="S737" s="739" t="n"/>
      <c r="T737" s="61">
        <f>IF(AND(R737="Yes",S737&lt;&gt;"Yes",L737&gt;0,B737&lt;&gt;"TXO"),L737,"")</f>
        <v/>
      </c>
      <c r="U737" s="61">
        <f>IF(AND(R737="Yes",S737&lt;&gt;"Yes",L737&lt;0,B737&lt;&gt;"TXO"),L737,"")</f>
        <v/>
      </c>
      <c r="V737" s="61">
        <f>IF(AND(R737="",S737&lt;&gt;"Yes",L737&gt;0,B737&lt;&gt;"TXO"),L737,"")</f>
        <v/>
      </c>
      <c r="W737" s="61">
        <f>IF(AND(R737="",S737&lt;&gt;"Yes",L737&lt;0,B737&lt;&gt;"TXO"),L737,"")</f>
        <v/>
      </c>
      <c r="X737" s="226">
        <f>IF(AND(R737="Yes",S737="Yes",L737&gt;0,B737&lt;&gt;"TXO"),L737,"")</f>
        <v/>
      </c>
      <c r="Y737" s="226">
        <f>IF(AND(R737="Yes",S737="Yes",L737&lt;0,B737&lt;&gt;"TXO"),L737,"")</f>
        <v/>
      </c>
      <c r="Z737" s="226">
        <f>IF(AND(R737="",S737="Yes",L737&gt;0,B737&lt;&gt;"TXO"),L737,"")</f>
        <v/>
      </c>
      <c r="AA737" s="226">
        <f>IF(AND(R737="",S737="Yes",L737&lt;0,B737&lt;&gt;"TXO"),L737,"")</f>
        <v/>
      </c>
    </row>
    <row r="738" hidden="1" outlineLevel="2" ht="17.25" customHeight="1" thickBot="1">
      <c r="A738" s="696" t="n">
        <v>43363</v>
      </c>
      <c r="B738" s="234" t="inlineStr">
        <is>
          <t>FITX</t>
        </is>
      </c>
      <c r="C738" s="229" t="inlineStr">
        <is>
          <t>台指10</t>
        </is>
      </c>
      <c r="D738" s="229" t="inlineStr">
        <is>
          <t>新倉</t>
        </is>
      </c>
      <c r="E738" s="257" t="inlineStr">
        <is>
          <t>賣</t>
        </is>
      </c>
      <c r="F738" s="229" t="inlineStr">
        <is>
          <t>-</t>
        </is>
      </c>
      <c r="G738" s="697" t="n">
        <v>1</v>
      </c>
      <c r="H738" s="697" t="n">
        <v>10864</v>
      </c>
      <c r="I738" s="697" t="n">
        <v>0</v>
      </c>
      <c r="J738" s="585" t="n">
        <v>45</v>
      </c>
      <c r="K738" s="585" t="n">
        <v>43</v>
      </c>
      <c r="L738" s="585">
        <f>IF(B738="TXO",I738-SUM(J738:K738),IF(B738="FITX",IF(D738="新倉",-SUM(J738:K738),IF(E738="賣",(H738-H737)*G738*200-SUM(J738:K738),(H737-H738)*G738*200-SUM(J738:K738))),IF(D738="新倉",-SUM(J738:K738),IF(E738="賣",(H738-H737)*G738*50-SUM(J738:K738),(H737-H738)*G738*50-SUM(J738:K738)))))</f>
        <v/>
      </c>
      <c r="M738" s="699">
        <f>L738</f>
        <v/>
      </c>
      <c r="N738" s="686">
        <f>IF(B738="TXO","",IF(D738="新倉","",IF(E738="賣",(H738-H737)*G738,(H737-H738)*G738)))</f>
        <v/>
      </c>
      <c r="O738" s="226">
        <f>ABS(I738)</f>
        <v/>
      </c>
      <c r="P738" s="667" t="n"/>
      <c r="Q738" s="249" t="inlineStr">
        <is>
          <t>技法: 3/3 買進一口</t>
        </is>
      </c>
      <c r="S738" s="739" t="n"/>
      <c r="T738" s="61">
        <f>IF(AND(R738="Yes",S738&lt;&gt;"Yes",L738&gt;0,B738&lt;&gt;"TXO"),L738,"")</f>
        <v/>
      </c>
      <c r="U738" s="61">
        <f>IF(AND(R738="Yes",S738&lt;&gt;"Yes",L738&lt;0,B738&lt;&gt;"TXO"),L738,"")</f>
        <v/>
      </c>
      <c r="V738" s="61">
        <f>IF(AND(R738="",S738&lt;&gt;"Yes",L738&gt;0,B738&lt;&gt;"TXO"),L738,"")</f>
        <v/>
      </c>
      <c r="W738" s="61">
        <f>IF(AND(R738="",S738&lt;&gt;"Yes",L738&lt;0,B738&lt;&gt;"TXO"),L738,"")</f>
        <v/>
      </c>
      <c r="X738" s="226">
        <f>IF(AND(R738="Yes",S738="Yes",L738&gt;0,B738&lt;&gt;"TXO"),L738,"")</f>
        <v/>
      </c>
      <c r="Y738" s="226">
        <f>IF(AND(R738="Yes",S738="Yes",L738&lt;0,B738&lt;&gt;"TXO"),L738,"")</f>
        <v/>
      </c>
      <c r="Z738" s="226">
        <f>IF(AND(R738="",S738="Yes",L738&gt;0,B738&lt;&gt;"TXO"),L738,"")</f>
        <v/>
      </c>
      <c r="AA738" s="226">
        <f>IF(AND(R738="",S738="Yes",L738&lt;0,B738&lt;&gt;"TXO"),L738,"")</f>
        <v/>
      </c>
    </row>
    <row r="739" hidden="1" outlineLevel="2" ht="17.25" customHeight="1" thickBot="1">
      <c r="A739" s="696" t="n">
        <v>43363</v>
      </c>
      <c r="B739" s="234" t="inlineStr">
        <is>
          <t>FITX</t>
        </is>
      </c>
      <c r="C739" s="229" t="inlineStr">
        <is>
          <t>台指10</t>
        </is>
      </c>
      <c r="D739" s="229" t="inlineStr">
        <is>
          <t>平倉</t>
        </is>
      </c>
      <c r="E739" s="257" t="inlineStr">
        <is>
          <t>買</t>
        </is>
      </c>
      <c r="F739" s="229" t="inlineStr">
        <is>
          <t>-</t>
        </is>
      </c>
      <c r="G739" s="697" t="n">
        <v>1</v>
      </c>
      <c r="H739" s="697" t="n">
        <v>10847</v>
      </c>
      <c r="I739" s="697" t="n">
        <v>0</v>
      </c>
      <c r="J739" s="585" t="n">
        <v>45</v>
      </c>
      <c r="K739" s="585" t="n">
        <v>43</v>
      </c>
      <c r="L739" s="585">
        <f>IF(B739="TXO",I739-SUM(J739:K739),IF(B739="FITX",IF(D739="新倉",-SUM(J739:K739),IF(E739="賣",(H739-H738)*G739*200-SUM(J739:K739),(H738-H739)*G739*200-SUM(J739:K739))),IF(D739="新倉",-SUM(J739:K739),IF(E739="賣",(H739-H738)*G739*50-SUM(J739:K739),(H738-H739)*G739*50-SUM(J739:K739)))))</f>
        <v/>
      </c>
      <c r="M739" s="699">
        <f>L739</f>
        <v/>
      </c>
      <c r="N739" s="686">
        <f>IF(B739="TXO","",IF(D739="新倉","",IF(E739="賣",(H739-H738)*G739,(H738-H739)*G739)))</f>
        <v/>
      </c>
      <c r="O739" s="226">
        <f>ABS(I739)</f>
        <v/>
      </c>
      <c r="P739" s="667" t="n"/>
      <c r="Q739" s="311" t="inlineStr">
        <is>
          <t>點觸價點到買進，出場</t>
        </is>
      </c>
      <c r="R739" s="311" t="n"/>
      <c r="S739" s="739" t="n"/>
      <c r="T739" s="61">
        <f>IF(AND(R739="Yes",S739&lt;&gt;"Yes",L739&gt;0,B739&lt;&gt;"TXO"),L739,"")</f>
        <v/>
      </c>
      <c r="U739" s="61">
        <f>IF(AND(R739="Yes",S739&lt;&gt;"Yes",L739&lt;0,B739&lt;&gt;"TXO"),L739,"")</f>
        <v/>
      </c>
      <c r="V739" s="61">
        <f>IF(AND(R739="",S739&lt;&gt;"Yes",L739&gt;0,B739&lt;&gt;"TXO"),L739,"")</f>
        <v/>
      </c>
      <c r="W739" s="61">
        <f>IF(AND(R739="",S739&lt;&gt;"Yes",L739&lt;0,B739&lt;&gt;"TXO"),L739,"")</f>
        <v/>
      </c>
      <c r="X739" s="226">
        <f>IF(AND(R739="Yes",S739="Yes",L739&gt;0,B739&lt;&gt;"TXO"),L739,"")</f>
        <v/>
      </c>
      <c r="Y739" s="226">
        <f>IF(AND(R739="Yes",S739="Yes",L739&lt;0,B739&lt;&gt;"TXO"),L739,"")</f>
        <v/>
      </c>
      <c r="Z739" s="226">
        <f>IF(AND(R739="",S739="Yes",L739&gt;0,B739&lt;&gt;"TXO"),L739,"")</f>
        <v/>
      </c>
      <c r="AA739" s="226">
        <f>IF(AND(R739="",S739="Yes",L739&lt;0,B739&lt;&gt;"TXO"),L739,"")</f>
        <v/>
      </c>
    </row>
    <row r="740" hidden="1" outlineLevel="2" ht="17.25" customHeight="1" thickBot="1">
      <c r="A740" s="696" t="n">
        <v>43363</v>
      </c>
      <c r="B740" s="234" t="inlineStr">
        <is>
          <t>FITX</t>
        </is>
      </c>
      <c r="C740" s="229" t="inlineStr">
        <is>
          <t>台指10</t>
        </is>
      </c>
      <c r="D740" s="229" t="inlineStr">
        <is>
          <t>新倉</t>
        </is>
      </c>
      <c r="E740" s="257" t="inlineStr">
        <is>
          <t>賣</t>
        </is>
      </c>
      <c r="F740" s="229" t="inlineStr">
        <is>
          <t>-</t>
        </is>
      </c>
      <c r="G740" s="697" t="n">
        <v>1</v>
      </c>
      <c r="H740" s="697" t="n">
        <v>10843</v>
      </c>
      <c r="I740" s="697" t="n">
        <v>0</v>
      </c>
      <c r="J740" s="585" t="n">
        <v>45</v>
      </c>
      <c r="K740" s="585" t="n">
        <v>43</v>
      </c>
      <c r="L740" s="585">
        <f>IF(B740="TXO",I740-SUM(J740:K740),IF(B740="FITX",IF(D740="新倉",-SUM(J740:K740),IF(E740="賣",(H740-H739)*G740*200-SUM(J740:K740),(H739-H740)*G740*200-SUM(J740:K740))),IF(D740="新倉",-SUM(J740:K740),IF(E740="賣",(H740-H739)*G740*50-SUM(J740:K740),(H739-H740)*G740*50-SUM(J740:K740)))))</f>
        <v/>
      </c>
      <c r="M740" s="699">
        <f>L740</f>
        <v/>
      </c>
      <c r="N740" s="686">
        <f>IF(B740="TXO","",IF(D740="新倉","",IF(E740="賣",(H740-H739)*G740,(H739-H740)*G740)))</f>
        <v/>
      </c>
      <c r="O740" s="226">
        <f>ABS(I740)</f>
        <v/>
      </c>
      <c r="P740" s="667" t="n"/>
      <c r="Q740" s="311" t="inlineStr">
        <is>
          <t>出場後續跌，追單</t>
        </is>
      </c>
      <c r="R740" s="311" t="n"/>
      <c r="S740" s="739" t="n"/>
      <c r="T740" s="61">
        <f>IF(AND(R740="Yes",S740&lt;&gt;"Yes",L740&gt;0,B740&lt;&gt;"TXO"),L740,"")</f>
        <v/>
      </c>
      <c r="U740" s="61">
        <f>IF(AND(R740="Yes",S740&lt;&gt;"Yes",L740&lt;0,B740&lt;&gt;"TXO"),L740,"")</f>
        <v/>
      </c>
      <c r="V740" s="61">
        <f>IF(AND(R740="",S740&lt;&gt;"Yes",L740&gt;0,B740&lt;&gt;"TXO"),L740,"")</f>
        <v/>
      </c>
      <c r="W740" s="61">
        <f>IF(AND(R740="",S740&lt;&gt;"Yes",L740&lt;0,B740&lt;&gt;"TXO"),L740,"")</f>
        <v/>
      </c>
      <c r="X740" s="226">
        <f>IF(AND(R740="Yes",S740="Yes",L740&gt;0,B740&lt;&gt;"TXO"),L740,"")</f>
        <v/>
      </c>
      <c r="Y740" s="226">
        <f>IF(AND(R740="Yes",S740="Yes",L740&lt;0,B740&lt;&gt;"TXO"),L740,"")</f>
        <v/>
      </c>
      <c r="Z740" s="226">
        <f>IF(AND(R740="",S740="Yes",L740&gt;0,B740&lt;&gt;"TXO"),L740,"")</f>
        <v/>
      </c>
      <c r="AA740" s="226">
        <f>IF(AND(R740="",S740="Yes",L740&lt;0,B740&lt;&gt;"TXO"),L740,"")</f>
        <v/>
      </c>
    </row>
    <row r="741" hidden="1" outlineLevel="2" ht="17.25" customHeight="1" thickBot="1">
      <c r="A741" s="696" t="n">
        <v>43363</v>
      </c>
      <c r="B741" s="234" t="inlineStr">
        <is>
          <t>FITX</t>
        </is>
      </c>
      <c r="C741" s="229" t="inlineStr">
        <is>
          <t>台指10</t>
        </is>
      </c>
      <c r="D741" s="229" t="inlineStr">
        <is>
          <t>平倉</t>
        </is>
      </c>
      <c r="E741" s="257" t="inlineStr">
        <is>
          <t>買</t>
        </is>
      </c>
      <c r="F741" s="229" t="inlineStr">
        <is>
          <t>-</t>
        </is>
      </c>
      <c r="G741" s="697" t="n">
        <v>1</v>
      </c>
      <c r="H741" s="697" t="n">
        <v>10858</v>
      </c>
      <c r="I741" s="697" t="n">
        <v>0</v>
      </c>
      <c r="J741" s="585" t="n">
        <v>45</v>
      </c>
      <c r="K741" s="585" t="n">
        <v>43</v>
      </c>
      <c r="L741" s="585">
        <f>IF(B741="TXO",I741-SUM(J741:K741),IF(B741="FITX",IF(D741="新倉",-SUM(J741:K741),IF(E741="賣",(H741-H740)*G741*200-SUM(J741:K741),(H740-H741)*G741*200-SUM(J741:K741))),IF(D741="新倉",-SUM(J741:K741),IF(E741="賣",(H741-H740)*G741*50-SUM(J741:K741),(H740-H741)*G741*50-SUM(J741:K741)))))</f>
        <v/>
      </c>
      <c r="M741" s="699">
        <f>L741</f>
        <v/>
      </c>
      <c r="N741" s="686">
        <f>IF(B741="TXO","",IF(D741="新倉","",IF(E741="賣",(H741-H740)*G741,(H740-H741)*G741)))</f>
        <v/>
      </c>
      <c r="O741" s="226">
        <f>ABS(I741)</f>
        <v/>
      </c>
      <c r="P741" s="667" t="n"/>
      <c r="Q741" s="310" t="inlineStr">
        <is>
          <t>技法: 拉回10MA停損</t>
        </is>
      </c>
      <c r="R741" s="310" t="n"/>
      <c r="S741" s="739" t="n"/>
      <c r="T741" s="61">
        <f>IF(AND(R741="Yes",S741&lt;&gt;"Yes",L741&gt;0,B741&lt;&gt;"TXO"),L741,"")</f>
        <v/>
      </c>
      <c r="U741" s="61">
        <f>IF(AND(R741="Yes",S741&lt;&gt;"Yes",L741&lt;0,B741&lt;&gt;"TXO"),L741,"")</f>
        <v/>
      </c>
      <c r="V741" s="61">
        <f>IF(AND(R741="",S741&lt;&gt;"Yes",L741&gt;0,B741&lt;&gt;"TXO"),L741,"")</f>
        <v/>
      </c>
      <c r="W741" s="61">
        <f>IF(AND(R741="",S741&lt;&gt;"Yes",L741&lt;0,B741&lt;&gt;"TXO"),L741,"")</f>
        <v/>
      </c>
      <c r="X741" s="226">
        <f>IF(AND(R741="Yes",S741="Yes",L741&gt;0,B741&lt;&gt;"TXO"),L741,"")</f>
        <v/>
      </c>
      <c r="Y741" s="226">
        <f>IF(AND(R741="Yes",S741="Yes",L741&lt;0,B741&lt;&gt;"TXO"),L741,"")</f>
        <v/>
      </c>
      <c r="Z741" s="226">
        <f>IF(AND(R741="",S741="Yes",L741&gt;0,B741&lt;&gt;"TXO"),L741,"")</f>
        <v/>
      </c>
      <c r="AA741" s="226">
        <f>IF(AND(R741="",S741="Yes",L741&lt;0,B741&lt;&gt;"TXO"),L741,"")</f>
        <v/>
      </c>
    </row>
    <row r="742" hidden="1" outlineLevel="2" ht="17.25" customHeight="1" thickBot="1">
      <c r="A742" s="696" t="n">
        <v>43363</v>
      </c>
      <c r="B742" s="234" t="inlineStr">
        <is>
          <t>FITX</t>
        </is>
      </c>
      <c r="C742" s="229" t="inlineStr">
        <is>
          <t>台指10</t>
        </is>
      </c>
      <c r="D742" s="229" t="inlineStr">
        <is>
          <t>新倉</t>
        </is>
      </c>
      <c r="E742" s="257" t="inlineStr">
        <is>
          <t>買</t>
        </is>
      </c>
      <c r="F742" s="229" t="inlineStr">
        <is>
          <t>-</t>
        </is>
      </c>
      <c r="G742" s="697" t="n">
        <v>1</v>
      </c>
      <c r="H742" s="697" t="n">
        <v>10848</v>
      </c>
      <c r="I742" s="697" t="n">
        <v>0</v>
      </c>
      <c r="J742" s="585" t="n">
        <v>45</v>
      </c>
      <c r="K742" s="585" t="n">
        <v>43</v>
      </c>
      <c r="L742" s="585">
        <f>IF(B742="TXO",I742-SUM(J742:K742),IF(B742="FITX",IF(D742="新倉",-SUM(J742:K742),IF(E742="賣",(H742-H741)*G742*200-SUM(J742:K742),(H741-H742)*G742*200-SUM(J742:K742))),IF(D742="新倉",-SUM(J742:K742),IF(E742="賣",(H742-H741)*G742*50-SUM(J742:K742),(H741-H742)*G742*50-SUM(J742:K742)))))</f>
        <v/>
      </c>
      <c r="M742" s="699">
        <f>L742</f>
        <v/>
      </c>
      <c r="N742" s="686">
        <f>IF(B742="TXO","",IF(D742="新倉","",IF(E742="賣",(H742-H741)*G742,(H741-H742)*G742)))</f>
        <v/>
      </c>
      <c r="O742" s="226">
        <f>ABS(I742)</f>
        <v/>
      </c>
      <c r="P742" s="667" t="n"/>
      <c r="Q742" s="311" t="inlineStr">
        <is>
          <t>下單系統出問題??</t>
        </is>
      </c>
      <c r="R742" s="311" t="n"/>
      <c r="S742" s="739" t="n"/>
      <c r="T742" s="61">
        <f>IF(AND(R742="Yes",S742&lt;&gt;"Yes",L742&gt;0,B742&lt;&gt;"TXO"),L742,"")</f>
        <v/>
      </c>
      <c r="U742" s="61">
        <f>IF(AND(R742="Yes",S742&lt;&gt;"Yes",L742&lt;0,B742&lt;&gt;"TXO"),L742,"")</f>
        <v/>
      </c>
      <c r="V742" s="61">
        <f>IF(AND(R742="",S742&lt;&gt;"Yes",L742&gt;0,B742&lt;&gt;"TXO"),L742,"")</f>
        <v/>
      </c>
      <c r="W742" s="61">
        <f>IF(AND(R742="",S742&lt;&gt;"Yes",L742&lt;0,B742&lt;&gt;"TXO"),L742,"")</f>
        <v/>
      </c>
      <c r="X742" s="226">
        <f>IF(AND(R742="Yes",S742="Yes",L742&gt;0,B742&lt;&gt;"TXO"),L742,"")</f>
        <v/>
      </c>
      <c r="Y742" s="226">
        <f>IF(AND(R742="Yes",S742="Yes",L742&lt;0,B742&lt;&gt;"TXO"),L742,"")</f>
        <v/>
      </c>
      <c r="Z742" s="226">
        <f>IF(AND(R742="",S742="Yes",L742&gt;0,B742&lt;&gt;"TXO"),L742,"")</f>
        <v/>
      </c>
      <c r="AA742" s="226">
        <f>IF(AND(R742="",S742="Yes",L742&lt;0,B742&lt;&gt;"TXO"),L742,"")</f>
        <v/>
      </c>
    </row>
    <row r="743" hidden="1" outlineLevel="2" ht="17.25" customHeight="1" thickBot="1">
      <c r="A743" s="696" t="n">
        <v>43363</v>
      </c>
      <c r="B743" s="234" t="inlineStr">
        <is>
          <t>FITX</t>
        </is>
      </c>
      <c r="C743" s="229" t="inlineStr">
        <is>
          <t>台指10</t>
        </is>
      </c>
      <c r="D743" s="229" t="inlineStr">
        <is>
          <t>平倉</t>
        </is>
      </c>
      <c r="E743" s="257" t="inlineStr">
        <is>
          <t>賣</t>
        </is>
      </c>
      <c r="F743" s="229" t="inlineStr">
        <is>
          <t>-</t>
        </is>
      </c>
      <c r="G743" s="697" t="n">
        <v>1</v>
      </c>
      <c r="H743" s="697" t="n">
        <v>10846</v>
      </c>
      <c r="I743" s="697" t="n">
        <v>0</v>
      </c>
      <c r="J743" s="585" t="n">
        <v>45</v>
      </c>
      <c r="K743" s="585" t="n">
        <v>43</v>
      </c>
      <c r="L743" s="585">
        <f>IF(B743="TXO",I743-SUM(J743:K743),IF(B743="FITX",IF(D743="新倉",-SUM(J743:K743),IF(E743="賣",(H743-H742)*G743*200-SUM(J743:K743),(H742-H743)*G743*200-SUM(J743:K743))),IF(D743="新倉",-SUM(J743:K743),IF(E743="賣",(H743-H742)*G743*50-SUM(J743:K743),(H742-H743)*G743*50-SUM(J743:K743)))))</f>
        <v/>
      </c>
      <c r="M743" s="699">
        <f>L743</f>
        <v/>
      </c>
      <c r="N743" s="686">
        <f>IF(B743="TXO","",IF(D743="新倉","",IF(E743="賣",(H743-H742)*G743,(H742-H743)*G743)))</f>
        <v/>
      </c>
      <c r="O743" s="226">
        <f>ABS(I743)</f>
        <v/>
      </c>
      <c r="P743" s="667" t="n"/>
      <c r="Q743" s="311" t="inlineStr">
        <is>
          <t>下單系統出問題??</t>
        </is>
      </c>
      <c r="R743" s="311" t="n"/>
      <c r="S743" s="739" t="n"/>
      <c r="T743" s="61">
        <f>IF(AND(R743="Yes",S743&lt;&gt;"Yes",L743&gt;0,B743&lt;&gt;"TXO"),L743,"")</f>
        <v/>
      </c>
      <c r="U743" s="61">
        <f>IF(AND(R743="Yes",S743&lt;&gt;"Yes",L743&lt;0,B743&lt;&gt;"TXO"),L743,"")</f>
        <v/>
      </c>
      <c r="V743" s="61">
        <f>IF(AND(R743="",S743&lt;&gt;"Yes",L743&gt;0,B743&lt;&gt;"TXO"),L743,"")</f>
        <v/>
      </c>
      <c r="W743" s="61">
        <f>IF(AND(R743="",S743&lt;&gt;"Yes",L743&lt;0,B743&lt;&gt;"TXO"),L743,"")</f>
        <v/>
      </c>
      <c r="X743" s="226">
        <f>IF(AND(R743="Yes",S743="Yes",L743&gt;0,B743&lt;&gt;"TXO"),L743,"")</f>
        <v/>
      </c>
      <c r="Y743" s="226">
        <f>IF(AND(R743="Yes",S743="Yes",L743&lt;0,B743&lt;&gt;"TXO"),L743,"")</f>
        <v/>
      </c>
      <c r="Z743" s="226">
        <f>IF(AND(R743="",S743="Yes",L743&gt;0,B743&lt;&gt;"TXO"),L743,"")</f>
        <v/>
      </c>
      <c r="AA743" s="226">
        <f>IF(AND(R743="",S743="Yes",L743&lt;0,B743&lt;&gt;"TXO"),L743,"")</f>
        <v/>
      </c>
    </row>
    <row r="744" hidden="1" outlineLevel="2" ht="17.25" customHeight="1" thickBot="1">
      <c r="A744" s="696" t="n">
        <v>43363</v>
      </c>
      <c r="B744" s="234" t="inlineStr">
        <is>
          <t>FITX</t>
        </is>
      </c>
      <c r="C744" s="229" t="inlineStr">
        <is>
          <t>台指10</t>
        </is>
      </c>
      <c r="D744" s="229" t="inlineStr">
        <is>
          <t>新倉</t>
        </is>
      </c>
      <c r="E744" s="257" t="inlineStr">
        <is>
          <t>賣</t>
        </is>
      </c>
      <c r="F744" s="229" t="inlineStr">
        <is>
          <t>-</t>
        </is>
      </c>
      <c r="G744" s="697" t="n">
        <v>1</v>
      </c>
      <c r="H744" s="697" t="n">
        <v>10846</v>
      </c>
      <c r="I744" s="697" t="n">
        <v>0</v>
      </c>
      <c r="J744" s="585" t="n">
        <v>45</v>
      </c>
      <c r="K744" s="585" t="n">
        <v>43</v>
      </c>
      <c r="L744" s="585">
        <f>IF(B744="TXO",I744-SUM(J744:K744),IF(B744="FITX",IF(D744="新倉",-SUM(J744:K744),IF(E744="賣",(H744-H743)*G744*200-SUM(J744:K744),(H743-H744)*G744*200-SUM(J744:K744))),IF(D744="新倉",-SUM(J744:K744),IF(E744="賣",(H744-H743)*G744*50-SUM(J744:K744),(H743-H744)*G744*50-SUM(J744:K744)))))</f>
        <v/>
      </c>
      <c r="M744" s="699">
        <f>L744</f>
        <v/>
      </c>
      <c r="N744" s="686">
        <f>IF(B744="TXO","",IF(D744="新倉","",IF(E744="賣",(H744-H743)*G744,(H743-H744)*G744)))</f>
        <v/>
      </c>
      <c r="O744" s="226">
        <f>ABS(I744)</f>
        <v/>
      </c>
      <c r="P744" s="667" t="n"/>
      <c r="Q744" s="311" t="inlineStr">
        <is>
          <t>出場後續跌，再追單</t>
        </is>
      </c>
      <c r="R744" s="311" t="n"/>
      <c r="S744" s="739" t="n"/>
      <c r="T744" s="61">
        <f>IF(AND(R744="Yes",S744&lt;&gt;"Yes",L744&gt;0,B744&lt;&gt;"TXO"),L744,"")</f>
        <v/>
      </c>
      <c r="U744" s="61">
        <f>IF(AND(R744="Yes",S744&lt;&gt;"Yes",L744&lt;0,B744&lt;&gt;"TXO"),L744,"")</f>
        <v/>
      </c>
      <c r="V744" s="61">
        <f>IF(AND(R744="",S744&lt;&gt;"Yes",L744&gt;0,B744&lt;&gt;"TXO"),L744,"")</f>
        <v/>
      </c>
      <c r="W744" s="61">
        <f>IF(AND(R744="",S744&lt;&gt;"Yes",L744&lt;0,B744&lt;&gt;"TXO"),L744,"")</f>
        <v/>
      </c>
      <c r="X744" s="226">
        <f>IF(AND(R744="Yes",S744="Yes",L744&gt;0,B744&lt;&gt;"TXO"),L744,"")</f>
        <v/>
      </c>
      <c r="Y744" s="226">
        <f>IF(AND(R744="Yes",S744="Yes",L744&lt;0,B744&lt;&gt;"TXO"),L744,"")</f>
        <v/>
      </c>
      <c r="Z744" s="226">
        <f>IF(AND(R744="",S744="Yes",L744&gt;0,B744&lt;&gt;"TXO"),L744,"")</f>
        <v/>
      </c>
      <c r="AA744" s="226">
        <f>IF(AND(R744="",S744="Yes",L744&lt;0,B744&lt;&gt;"TXO"),L744,"")</f>
        <v/>
      </c>
    </row>
    <row r="745" hidden="1" outlineLevel="2" ht="17.25" customHeight="1" thickBot="1">
      <c r="A745" s="696" t="n">
        <v>43363</v>
      </c>
      <c r="B745" s="234" t="inlineStr">
        <is>
          <t>FITX</t>
        </is>
      </c>
      <c r="C745" s="229" t="inlineStr">
        <is>
          <t>台指10</t>
        </is>
      </c>
      <c r="D745" s="229" t="inlineStr">
        <is>
          <t>平倉</t>
        </is>
      </c>
      <c r="E745" s="257" t="inlineStr">
        <is>
          <t>買</t>
        </is>
      </c>
      <c r="F745" s="229" t="inlineStr">
        <is>
          <t>-</t>
        </is>
      </c>
      <c r="G745" s="697" t="n">
        <v>1</v>
      </c>
      <c r="H745" s="697" t="n">
        <v>10833</v>
      </c>
      <c r="I745" s="697" t="n">
        <v>0</v>
      </c>
      <c r="J745" s="585" t="n">
        <v>45</v>
      </c>
      <c r="K745" s="585" t="n">
        <v>43</v>
      </c>
      <c r="L745" s="585">
        <f>IF(B745="TXO",I745-SUM(J745:K745),IF(B745="FITX",IF(D745="新倉",-SUM(J745:K745),IF(E745="賣",(H745-H744)*G745*200-SUM(J745:K745),(H744-H745)*G745*200-SUM(J745:K745))),IF(D745="新倉",-SUM(J745:K745),IF(E745="賣",(H745-H744)*G745*50-SUM(J745:K745),(H744-H745)*G745*50-SUM(J745:K745)))))</f>
        <v/>
      </c>
      <c r="M745" s="699">
        <f>L745</f>
        <v/>
      </c>
      <c r="N745" s="686">
        <f>IF(B745="TXO","",IF(D745="新倉","",IF(E745="賣",(H745-H744)*G745,(H744-H745)*G745)))</f>
        <v/>
      </c>
      <c r="O745" s="226">
        <f>ABS(I745)</f>
        <v/>
      </c>
      <c r="P745" s="667" t="n"/>
      <c r="Q745" s="249" t="inlineStr">
        <is>
          <t>技法: 刺補</t>
        </is>
      </c>
      <c r="S745" s="739" t="n"/>
      <c r="T745" s="61">
        <f>IF(AND(R745="Yes",S745&lt;&gt;"Yes",L745&gt;0,B745&lt;&gt;"TXO"),L745,"")</f>
        <v/>
      </c>
      <c r="U745" s="61">
        <f>IF(AND(R745="Yes",S745&lt;&gt;"Yes",L745&lt;0,B745&lt;&gt;"TXO"),L745,"")</f>
        <v/>
      </c>
      <c r="V745" s="61">
        <f>IF(AND(R745="",S745&lt;&gt;"Yes",L745&gt;0,B745&lt;&gt;"TXO"),L745,"")</f>
        <v/>
      </c>
      <c r="W745" s="61">
        <f>IF(AND(R745="",S745&lt;&gt;"Yes",L745&lt;0,B745&lt;&gt;"TXO"),L745,"")</f>
        <v/>
      </c>
      <c r="X745" s="226">
        <f>IF(AND(R745="Yes",S745="Yes",L745&gt;0,B745&lt;&gt;"TXO"),L745,"")</f>
        <v/>
      </c>
      <c r="Y745" s="226">
        <f>IF(AND(R745="Yes",S745="Yes",L745&lt;0,B745&lt;&gt;"TXO"),L745,"")</f>
        <v/>
      </c>
      <c r="Z745" s="226">
        <f>IF(AND(R745="",S745="Yes",L745&gt;0,B745&lt;&gt;"TXO"),L745,"")</f>
        <v/>
      </c>
      <c r="AA745" s="226">
        <f>IF(AND(R745="",S745="Yes",L745&lt;0,B745&lt;&gt;"TXO"),L745,"")</f>
        <v/>
      </c>
    </row>
    <row r="746" hidden="1" outlineLevel="1" ht="33.75" customHeight="1" thickBot="1">
      <c r="A746" s="740" t="n">
        <v>43364</v>
      </c>
      <c r="B746" s="299" t="inlineStr">
        <is>
          <t>FITX</t>
        </is>
      </c>
      <c r="C746" s="300" t="inlineStr">
        <is>
          <t>台指10</t>
        </is>
      </c>
      <c r="D746" s="300" t="inlineStr">
        <is>
          <t>新倉</t>
        </is>
      </c>
      <c r="E746" s="301" t="inlineStr">
        <is>
          <t>賣</t>
        </is>
      </c>
      <c r="F746" s="300" t="inlineStr">
        <is>
          <t>-</t>
        </is>
      </c>
      <c r="G746" s="741" t="n">
        <v>1</v>
      </c>
      <c r="H746" s="741" t="n">
        <v>10885</v>
      </c>
      <c r="I746" s="741" t="n">
        <v>0</v>
      </c>
      <c r="J746" s="742" t="n">
        <v>45</v>
      </c>
      <c r="K746" s="742" t="n">
        <v>44</v>
      </c>
      <c r="L746" s="742">
        <f>IF(B746="TXO",I746-SUM(J746:K746),IF(B746="FITX",IF(D746="新倉",-SUM(J746:K746),IF(E746="賣",(H746-H745)*G746*200-SUM(J746:K746),(H745-H746)*G746*200-SUM(J746:K746))),IF(D746="新倉",-SUM(J746:K746),IF(E746="賣",(H746-H745)*G746*50-SUM(J746:K746),(H745-H746)*G746*50-SUM(J746:K746)))))</f>
        <v/>
      </c>
      <c r="M746" s="743">
        <f>L746</f>
        <v/>
      </c>
      <c r="N746" s="686">
        <f>IF(B746="TXO","",IF(D746="新倉","",IF(E746="賣",(H746-H745)*G746,(H745-H746)*G746)))</f>
        <v/>
      </c>
      <c r="O746" s="226">
        <f>ABS(I746)</f>
        <v/>
      </c>
      <c r="P746" s="667">
        <f>SUM(L746:L799)</f>
        <v/>
      </c>
      <c r="Q746" s="249" t="inlineStr">
        <is>
          <t>技法: 籌碼三弱，跌破開盤低點下空單</t>
        </is>
      </c>
      <c r="R746" s="249" t="inlineStr">
        <is>
          <t>Yes</t>
        </is>
      </c>
      <c r="S746" s="739" t="n"/>
      <c r="T746" s="61">
        <f>IF(AND(R746="Yes",S746&lt;&gt;"Yes",L746&gt;0,B746&lt;&gt;"TXO"),L746,"")</f>
        <v/>
      </c>
      <c r="U746" s="61">
        <f>IF(AND(R746="Yes",S746&lt;&gt;"Yes",L746&lt;0,B746&lt;&gt;"TXO"),L746,"")</f>
        <v/>
      </c>
      <c r="V746" s="61">
        <f>IF(AND(R746="",S746&lt;&gt;"Yes",L746&gt;0,B746&lt;&gt;"TXO"),L746,"")</f>
        <v/>
      </c>
      <c r="W746" s="61">
        <f>IF(AND(R746="",S746&lt;&gt;"Yes",L746&lt;0,B746&lt;&gt;"TXO"),L746,"")</f>
        <v/>
      </c>
      <c r="X746" s="226">
        <f>IF(AND(R746="Yes",S746="Yes",L746&gt;0,B746&lt;&gt;"TXO"),L746,"")</f>
        <v/>
      </c>
      <c r="Y746" s="226">
        <f>IF(AND(R746="Yes",S746="Yes",L746&lt;0,B746&lt;&gt;"TXO"),L746,"")</f>
        <v/>
      </c>
      <c r="Z746" s="226">
        <f>IF(AND(R746="",S746="Yes",L746&gt;0,B746&lt;&gt;"TXO"),L746,"")</f>
        <v/>
      </c>
      <c r="AA746" s="226">
        <f>IF(AND(R746="",S746="Yes",L746&lt;0,B746&lt;&gt;"TXO"),L746,"")</f>
        <v/>
      </c>
    </row>
    <row r="747" hidden="1" outlineLevel="2" collapsed="1" ht="17.25" customHeight="1" thickBot="1">
      <c r="A747" s="740" t="n">
        <v>43364</v>
      </c>
      <c r="B747" s="299" t="inlineStr">
        <is>
          <t>FITX</t>
        </is>
      </c>
      <c r="C747" s="300" t="inlineStr">
        <is>
          <t>台指10</t>
        </is>
      </c>
      <c r="D747" s="300" t="inlineStr">
        <is>
          <t>平倉</t>
        </is>
      </c>
      <c r="E747" s="301" t="inlineStr">
        <is>
          <t>買</t>
        </is>
      </c>
      <c r="F747" s="300" t="inlineStr">
        <is>
          <t>-</t>
        </is>
      </c>
      <c r="G747" s="741" t="n">
        <v>1</v>
      </c>
      <c r="H747" s="741" t="n">
        <v>10867</v>
      </c>
      <c r="I747" s="741" t="n">
        <v>0</v>
      </c>
      <c r="J747" s="742" t="n">
        <v>45</v>
      </c>
      <c r="K747" s="742" t="n">
        <v>43</v>
      </c>
      <c r="L747" s="742">
        <f>IF(B747="TXO",I747-SUM(J747:K747),IF(B747="FITX",IF(D747="新倉",-SUM(J747:K747),IF(E747="賣",(H747-H746)*G747*200-SUM(J747:K747),(H746-H747)*G747*200-SUM(J747:K747))),IF(D747="新倉",-SUM(J747:K747),IF(E747="賣",(H747-H746)*G747*50-SUM(J747:K747),(H746-H747)*G747*50-SUM(J747:K747)))))</f>
        <v/>
      </c>
      <c r="M747" s="743">
        <f>L747</f>
        <v/>
      </c>
      <c r="N747" s="686">
        <f>IF(B747="TXO","",IF(D747="新倉","",IF(E747="賣",(H747-H746)*G747,(H746-H747)*G747)))</f>
        <v/>
      </c>
      <c r="O747" s="226">
        <f>ABS(I747)</f>
        <v/>
      </c>
      <c r="P747" s="667" t="n"/>
      <c r="Q747" s="249" t="inlineStr">
        <is>
          <t>技法: 碰10MA停利</t>
        </is>
      </c>
      <c r="R747" s="249" t="inlineStr">
        <is>
          <t>Yes</t>
        </is>
      </c>
      <c r="S747" s="739" t="n"/>
      <c r="T747" s="61">
        <f>IF(AND(R747="Yes",S747&lt;&gt;"Yes",L747&gt;0,B747&lt;&gt;"TXO"),L747,"")</f>
        <v/>
      </c>
      <c r="U747" s="61">
        <f>IF(AND(R747="Yes",S747&lt;&gt;"Yes",L747&lt;0,B747&lt;&gt;"TXO"),L747,"")</f>
        <v/>
      </c>
      <c r="V747" s="61">
        <f>IF(AND(R747="",S747&lt;&gt;"Yes",L747&gt;0,B747&lt;&gt;"TXO"),L747,"")</f>
        <v/>
      </c>
      <c r="W747" s="61">
        <f>IF(AND(R747="",S747&lt;&gt;"Yes",L747&lt;0,B747&lt;&gt;"TXO"),L747,"")</f>
        <v/>
      </c>
      <c r="X747" s="226">
        <f>IF(AND(R747="Yes",S747="Yes",L747&gt;0,B747&lt;&gt;"TXO"),L747,"")</f>
        <v/>
      </c>
      <c r="Y747" s="226">
        <f>IF(AND(R747="Yes",S747="Yes",L747&lt;0,B747&lt;&gt;"TXO"),L747,"")</f>
        <v/>
      </c>
      <c r="Z747" s="226">
        <f>IF(AND(R747="",S747="Yes",L747&gt;0,B747&lt;&gt;"TXO"),L747,"")</f>
        <v/>
      </c>
      <c r="AA747" s="226">
        <f>IF(AND(R747="",S747="Yes",L747&lt;0,B747&lt;&gt;"TXO"),L747,"")</f>
        <v/>
      </c>
    </row>
    <row r="748" hidden="1" outlineLevel="2" collapsed="1" ht="17.25" customHeight="1" thickBot="1">
      <c r="A748" s="740" t="n">
        <v>43364</v>
      </c>
      <c r="B748" s="299" t="inlineStr">
        <is>
          <t>FITX</t>
        </is>
      </c>
      <c r="C748" s="300" t="inlineStr">
        <is>
          <t>台指10</t>
        </is>
      </c>
      <c r="D748" s="300" t="inlineStr">
        <is>
          <t>新倉</t>
        </is>
      </c>
      <c r="E748" s="301" t="inlineStr">
        <is>
          <t>賣</t>
        </is>
      </c>
      <c r="F748" s="300" t="inlineStr">
        <is>
          <t>-</t>
        </is>
      </c>
      <c r="G748" s="741" t="n">
        <v>1</v>
      </c>
      <c r="H748" s="741" t="n">
        <v>10872</v>
      </c>
      <c r="I748" s="741" t="n">
        <v>0</v>
      </c>
      <c r="J748" s="742" t="n">
        <v>45</v>
      </c>
      <c r="K748" s="742" t="n">
        <v>43</v>
      </c>
      <c r="L748" s="742">
        <f>IF(B748="TXO",I748-SUM(J748:K748),IF(B748="FITX",IF(D748="新倉",-SUM(J748:K748),IF(E748="賣",(H748-H747)*G748*200-SUM(J748:K748),(H747-H748)*G748*200-SUM(J748:K748))),IF(D748="新倉",-SUM(J748:K748),IF(E748="賣",(H748-H747)*G748*50-SUM(J748:K748),(H747-H748)*G748*50-SUM(J748:K748)))))</f>
        <v/>
      </c>
      <c r="M748" s="743">
        <f>L748</f>
        <v/>
      </c>
      <c r="N748" s="686">
        <f>IF(B748="TXO","",IF(D748="新倉","",IF(E748="賣",(H748-H747)*G748,(H747-H748)*G748)))</f>
        <v/>
      </c>
      <c r="O748" s="226">
        <f>ABS(I748)</f>
        <v/>
      </c>
      <c r="P748" s="667" t="n"/>
      <c r="Q748" s="249" t="inlineStr">
        <is>
          <t>追單</t>
        </is>
      </c>
      <c r="S748" s="739" t="n"/>
      <c r="T748" s="61">
        <f>IF(AND(R748="Yes",S748&lt;&gt;"Yes",L748&gt;0,B748&lt;&gt;"TXO"),L748,"")</f>
        <v/>
      </c>
      <c r="U748" s="61">
        <f>IF(AND(R748="Yes",S748&lt;&gt;"Yes",L748&lt;0,B748&lt;&gt;"TXO"),L748,"")</f>
        <v/>
      </c>
      <c r="V748" s="61">
        <f>IF(AND(R748="",S748&lt;&gt;"Yes",L748&gt;0,B748&lt;&gt;"TXO"),L748,"")</f>
        <v/>
      </c>
      <c r="W748" s="61">
        <f>IF(AND(R748="",S748&lt;&gt;"Yes",L748&lt;0,B748&lt;&gt;"TXO"),L748,"")</f>
        <v/>
      </c>
      <c r="X748" s="226">
        <f>IF(AND(R748="Yes",S748="Yes",L748&gt;0,B748&lt;&gt;"TXO"),L748,"")</f>
        <v/>
      </c>
      <c r="Y748" s="226">
        <f>IF(AND(R748="Yes",S748="Yes",L748&lt;0,B748&lt;&gt;"TXO"),L748,"")</f>
        <v/>
      </c>
      <c r="Z748" s="226">
        <f>IF(AND(R748="",S748="Yes",L748&gt;0,B748&lt;&gt;"TXO"),L748,"")</f>
        <v/>
      </c>
      <c r="AA748" s="226">
        <f>IF(AND(R748="",S748="Yes",L748&lt;0,B748&lt;&gt;"TXO"),L748,"")</f>
        <v/>
      </c>
    </row>
    <row r="749" hidden="1" outlineLevel="2" collapsed="1" ht="17.25" customHeight="1" thickBot="1">
      <c r="A749" s="740" t="n">
        <v>43364</v>
      </c>
      <c r="B749" s="299" t="inlineStr">
        <is>
          <t>FITX</t>
        </is>
      </c>
      <c r="C749" s="300" t="inlineStr">
        <is>
          <t>台指10</t>
        </is>
      </c>
      <c r="D749" s="300" t="inlineStr">
        <is>
          <t>平倉</t>
        </is>
      </c>
      <c r="E749" s="301" t="inlineStr">
        <is>
          <t>買</t>
        </is>
      </c>
      <c r="F749" s="300" t="inlineStr">
        <is>
          <t>-</t>
        </is>
      </c>
      <c r="G749" s="741" t="n">
        <v>1</v>
      </c>
      <c r="H749" s="741" t="n">
        <v>10880</v>
      </c>
      <c r="I749" s="741" t="n">
        <v>0</v>
      </c>
      <c r="J749" s="742" t="n">
        <v>45</v>
      </c>
      <c r="K749" s="742" t="n">
        <v>44</v>
      </c>
      <c r="L749" s="742">
        <f>IF(B749="TXO",I749-SUM(J749:K749),IF(B749="FITX",IF(D749="新倉",-SUM(J749:K749),IF(E749="賣",(H749-H748)*G749*200-SUM(J749:K749),(H748-H749)*G749*200-SUM(J749:K749))),IF(D749="新倉",-SUM(J749:K749),IF(E749="賣",(H749-H748)*G749*50-SUM(J749:K749),(H748-H749)*G749*50-SUM(J749:K749)))))</f>
        <v/>
      </c>
      <c r="M749" s="743">
        <f>L749</f>
        <v/>
      </c>
      <c r="N749" s="686">
        <f>IF(B749="TXO","",IF(D749="新倉","",IF(E749="賣",(H749-H748)*G749,(H748-H749)*G749)))</f>
        <v/>
      </c>
      <c r="O749" s="226">
        <f>ABS(I749)</f>
        <v/>
      </c>
      <c r="P749" s="667" t="n"/>
      <c r="Q749" s="310" t="inlineStr">
        <is>
          <t>拉回10MA停損</t>
        </is>
      </c>
      <c r="S749" s="739" t="n"/>
      <c r="T749" s="61">
        <f>IF(AND(R749="Yes",S749&lt;&gt;"Yes",L749&gt;0,B749&lt;&gt;"TXO"),L749,"")</f>
        <v/>
      </c>
      <c r="U749" s="61">
        <f>IF(AND(R749="Yes",S749&lt;&gt;"Yes",L749&lt;0,B749&lt;&gt;"TXO"),L749,"")</f>
        <v/>
      </c>
      <c r="V749" s="61">
        <f>IF(AND(R749="",S749&lt;&gt;"Yes",L749&gt;0,B749&lt;&gt;"TXO"),L749,"")</f>
        <v/>
      </c>
      <c r="W749" s="61">
        <f>IF(AND(R749="",S749&lt;&gt;"Yes",L749&lt;0,B749&lt;&gt;"TXO"),L749,"")</f>
        <v/>
      </c>
      <c r="X749" s="226">
        <f>IF(AND(R749="Yes",S749="Yes",L749&gt;0,B749&lt;&gt;"TXO"),L749,"")</f>
        <v/>
      </c>
      <c r="Y749" s="226">
        <f>IF(AND(R749="Yes",S749="Yes",L749&lt;0,B749&lt;&gt;"TXO"),L749,"")</f>
        <v/>
      </c>
      <c r="Z749" s="226">
        <f>IF(AND(R749="",S749="Yes",L749&gt;0,B749&lt;&gt;"TXO"),L749,"")</f>
        <v/>
      </c>
      <c r="AA749" s="226">
        <f>IF(AND(R749="",S749="Yes",L749&lt;0,B749&lt;&gt;"TXO"),L749,"")</f>
        <v/>
      </c>
    </row>
    <row r="750" hidden="1" outlineLevel="2" collapsed="1" ht="17.25" customHeight="1" thickBot="1">
      <c r="A750" s="740" t="n">
        <v>43364</v>
      </c>
      <c r="B750" s="299" t="inlineStr">
        <is>
          <t>FITX</t>
        </is>
      </c>
      <c r="C750" s="300" t="inlineStr">
        <is>
          <t>台指10</t>
        </is>
      </c>
      <c r="D750" s="300" t="inlineStr">
        <is>
          <t>新倉</t>
        </is>
      </c>
      <c r="E750" s="301" t="inlineStr">
        <is>
          <t>賣</t>
        </is>
      </c>
      <c r="F750" s="300" t="inlineStr">
        <is>
          <t>-</t>
        </is>
      </c>
      <c r="G750" s="741" t="n">
        <v>1</v>
      </c>
      <c r="H750" s="741" t="n">
        <v>10880</v>
      </c>
      <c r="I750" s="741" t="n">
        <v>0</v>
      </c>
      <c r="J750" s="742" t="n">
        <v>45</v>
      </c>
      <c r="K750" s="742" t="n">
        <v>44</v>
      </c>
      <c r="L750" s="742">
        <f>IF(B750="TXO",I750-SUM(J750:K750),IF(B750="FITX",IF(D750="新倉",-SUM(J750:K750),IF(E750="賣",(H750-H749)*G750*200-SUM(J750:K750),(H749-H750)*G750*200-SUM(J750:K750))),IF(D750="新倉",-SUM(J750:K750),IF(E750="賣",(H750-H749)*G750*50-SUM(J750:K750),(H749-H750)*G750*50-SUM(J750:K750)))))</f>
        <v/>
      </c>
      <c r="M750" s="743">
        <f>L750</f>
        <v/>
      </c>
      <c r="N750" s="686">
        <f>IF(B750="TXO","",IF(D750="新倉","",IF(E750="賣",(H750-H749)*G750,(H749-H750)*G750)))</f>
        <v/>
      </c>
      <c r="O750" s="226">
        <f>ABS(I750)</f>
        <v/>
      </c>
      <c r="P750" s="667" t="n"/>
      <c r="Q750" s="310" t="inlineStr">
        <is>
          <t>平倉後反向，再追單</t>
        </is>
      </c>
      <c r="R750" s="310" t="n"/>
      <c r="S750" s="739" t="n"/>
      <c r="T750" s="61">
        <f>IF(AND(R750="Yes",S750&lt;&gt;"Yes",L750&gt;0,B750&lt;&gt;"TXO"),L750,"")</f>
        <v/>
      </c>
      <c r="U750" s="61">
        <f>IF(AND(R750="Yes",S750&lt;&gt;"Yes",L750&lt;0,B750&lt;&gt;"TXO"),L750,"")</f>
        <v/>
      </c>
      <c r="V750" s="61">
        <f>IF(AND(R750="",S750&lt;&gt;"Yes",L750&gt;0,B750&lt;&gt;"TXO"),L750,"")</f>
        <v/>
      </c>
      <c r="W750" s="61">
        <f>IF(AND(R750="",S750&lt;&gt;"Yes",L750&lt;0,B750&lt;&gt;"TXO"),L750,"")</f>
        <v/>
      </c>
      <c r="X750" s="226">
        <f>IF(AND(R750="Yes",S750="Yes",L750&gt;0,B750&lt;&gt;"TXO"),L750,"")</f>
        <v/>
      </c>
      <c r="Y750" s="226">
        <f>IF(AND(R750="Yes",S750="Yes",L750&lt;0,B750&lt;&gt;"TXO"),L750,"")</f>
        <v/>
      </c>
      <c r="Z750" s="226">
        <f>IF(AND(R750="",S750="Yes",L750&gt;0,B750&lt;&gt;"TXO"),L750,"")</f>
        <v/>
      </c>
      <c r="AA750" s="226">
        <f>IF(AND(R750="",S750="Yes",L750&lt;0,B750&lt;&gt;"TXO"),L750,"")</f>
        <v/>
      </c>
    </row>
    <row r="751" hidden="1" outlineLevel="2" collapsed="1" ht="17.25" customHeight="1" thickBot="1">
      <c r="A751" s="740" t="n">
        <v>43364</v>
      </c>
      <c r="B751" s="299" t="inlineStr">
        <is>
          <t>FITX</t>
        </is>
      </c>
      <c r="C751" s="300" t="inlineStr">
        <is>
          <t>台指10</t>
        </is>
      </c>
      <c r="D751" s="300" t="inlineStr">
        <is>
          <t>平倉</t>
        </is>
      </c>
      <c r="E751" s="301" t="inlineStr">
        <is>
          <t>買</t>
        </is>
      </c>
      <c r="F751" s="300" t="inlineStr">
        <is>
          <t>-</t>
        </is>
      </c>
      <c r="G751" s="741" t="n">
        <v>1</v>
      </c>
      <c r="H751" s="741" t="n">
        <v>10891</v>
      </c>
      <c r="I751" s="741" t="n">
        <v>0</v>
      </c>
      <c r="J751" s="742" t="n">
        <v>45</v>
      </c>
      <c r="K751" s="742" t="n">
        <v>44</v>
      </c>
      <c r="L751" s="742">
        <f>IF(B751="TXO",I751-SUM(J751:K751),IF(B751="FITX",IF(D751="新倉",-SUM(J751:K751),IF(E751="賣",(H751-H750)*G751*200-SUM(J751:K751),(H750-H751)*G751*200-SUM(J751:K751))),IF(D751="新倉",-SUM(J751:K751),IF(E751="賣",(H751-H750)*G751*50-SUM(J751:K751),(H750-H751)*G751*50-SUM(J751:K751)))))</f>
        <v/>
      </c>
      <c r="M751" s="743">
        <f>L751</f>
        <v/>
      </c>
      <c r="N751" s="686">
        <f>IF(B751="TXO","",IF(D751="新倉","",IF(E751="賣",(H751-H750)*G751,(H750-H751)*G751)))</f>
        <v/>
      </c>
      <c r="O751" s="226">
        <f>ABS(I751)</f>
        <v/>
      </c>
      <c r="P751" s="667" t="n"/>
      <c r="Q751" s="310" t="inlineStr">
        <is>
          <t>跌破10MA再停損</t>
        </is>
      </c>
      <c r="S751" s="739" t="n"/>
      <c r="T751" s="61">
        <f>IF(AND(R751="Yes",S751&lt;&gt;"Yes",L751&gt;0,B751&lt;&gt;"TXO"),L751,"")</f>
        <v/>
      </c>
      <c r="U751" s="61">
        <f>IF(AND(R751="Yes",S751&lt;&gt;"Yes",L751&lt;0,B751&lt;&gt;"TXO"),L751,"")</f>
        <v/>
      </c>
      <c r="V751" s="61">
        <f>IF(AND(R751="",S751&lt;&gt;"Yes",L751&gt;0,B751&lt;&gt;"TXO"),L751,"")</f>
        <v/>
      </c>
      <c r="W751" s="61">
        <f>IF(AND(R751="",S751&lt;&gt;"Yes",L751&lt;0,B751&lt;&gt;"TXO"),L751,"")</f>
        <v/>
      </c>
      <c r="X751" s="226">
        <f>IF(AND(R751="Yes",S751="Yes",L751&gt;0,B751&lt;&gt;"TXO"),L751,"")</f>
        <v/>
      </c>
      <c r="Y751" s="226">
        <f>IF(AND(R751="Yes",S751="Yes",L751&lt;0,B751&lt;&gt;"TXO"),L751,"")</f>
        <v/>
      </c>
      <c r="Z751" s="226">
        <f>IF(AND(R751="",S751="Yes",L751&gt;0,B751&lt;&gt;"TXO"),L751,"")</f>
        <v/>
      </c>
      <c r="AA751" s="226">
        <f>IF(AND(R751="",S751="Yes",L751&lt;0,B751&lt;&gt;"TXO"),L751,"")</f>
        <v/>
      </c>
    </row>
    <row r="752" hidden="1" outlineLevel="2" collapsed="1" ht="17.25" customHeight="1" thickBot="1">
      <c r="A752" s="740" t="n">
        <v>43364</v>
      </c>
      <c r="B752" s="299" t="inlineStr">
        <is>
          <t>FITX</t>
        </is>
      </c>
      <c r="C752" s="300" t="inlineStr">
        <is>
          <t>台指10</t>
        </is>
      </c>
      <c r="D752" s="300" t="inlineStr">
        <is>
          <t>新倉</t>
        </is>
      </c>
      <c r="E752" s="301" t="inlineStr">
        <is>
          <t>賣</t>
        </is>
      </c>
      <c r="F752" s="300" t="inlineStr">
        <is>
          <t>-</t>
        </is>
      </c>
      <c r="G752" s="741" t="n">
        <v>1</v>
      </c>
      <c r="H752" s="741" t="n">
        <v>10880</v>
      </c>
      <c r="I752" s="741" t="n">
        <v>0</v>
      </c>
      <c r="J752" s="742" t="n">
        <v>45</v>
      </c>
      <c r="K752" s="742" t="n">
        <v>44</v>
      </c>
      <c r="L752" s="742">
        <f>IF(B752="TXO",I752-SUM(J752:K752),IF(B752="FITX",IF(D752="新倉",-SUM(J752:K752),IF(E752="賣",(H752-H751)*G752*200-SUM(J752:K752),(H751-H752)*G752*200-SUM(J752:K752))),IF(D752="新倉",-SUM(J752:K752),IF(E752="賣",(H752-H751)*G752*50-SUM(J752:K752),(H751-H752)*G752*50-SUM(J752:K752)))))</f>
        <v/>
      </c>
      <c r="M752" s="743">
        <f>L752</f>
        <v/>
      </c>
      <c r="N752" s="686">
        <f>IF(B752="TXO","",IF(D752="新倉","",IF(E752="賣",(H752-H751)*G752,(H751-H752)*G752)))</f>
        <v/>
      </c>
      <c r="O752" s="226">
        <f>ABS(I752)</f>
        <v/>
      </c>
      <c r="P752" s="667" t="n"/>
      <c r="Q752" s="249" t="inlineStr">
        <is>
          <t>技法: 3/3 買進一口</t>
        </is>
      </c>
      <c r="R752" s="310" t="n"/>
      <c r="S752" s="739" t="n"/>
      <c r="T752" s="61">
        <f>IF(AND(R752="Yes",S752&lt;&gt;"Yes",L752&gt;0,B752&lt;&gt;"TXO"),L752,"")</f>
        <v/>
      </c>
      <c r="U752" s="61">
        <f>IF(AND(R752="Yes",S752&lt;&gt;"Yes",L752&lt;0,B752&lt;&gt;"TXO"),L752,"")</f>
        <v/>
      </c>
      <c r="V752" s="61">
        <f>IF(AND(R752="",S752&lt;&gt;"Yes",L752&gt;0,B752&lt;&gt;"TXO"),L752,"")</f>
        <v/>
      </c>
      <c r="W752" s="61">
        <f>IF(AND(R752="",S752&lt;&gt;"Yes",L752&lt;0,B752&lt;&gt;"TXO"),L752,"")</f>
        <v/>
      </c>
      <c r="X752" s="226">
        <f>IF(AND(R752="Yes",S752="Yes",L752&gt;0,B752&lt;&gt;"TXO"),L752,"")</f>
        <v/>
      </c>
      <c r="Y752" s="226">
        <f>IF(AND(R752="Yes",S752="Yes",L752&lt;0,B752&lt;&gt;"TXO"),L752,"")</f>
        <v/>
      </c>
      <c r="Z752" s="226">
        <f>IF(AND(R752="",S752="Yes",L752&gt;0,B752&lt;&gt;"TXO"),L752,"")</f>
        <v/>
      </c>
      <c r="AA752" s="226">
        <f>IF(AND(R752="",S752="Yes",L752&lt;0,B752&lt;&gt;"TXO"),L752,"")</f>
        <v/>
      </c>
    </row>
    <row r="753" hidden="1" outlineLevel="2" collapsed="1" ht="17.25" customHeight="1" thickBot="1">
      <c r="A753" s="740" t="n">
        <v>43364</v>
      </c>
      <c r="B753" s="299" t="inlineStr">
        <is>
          <t>FITX</t>
        </is>
      </c>
      <c r="C753" s="300" t="inlineStr">
        <is>
          <t>台指10</t>
        </is>
      </c>
      <c r="D753" s="300" t="inlineStr">
        <is>
          <t>平倉</t>
        </is>
      </c>
      <c r="E753" s="301" t="inlineStr">
        <is>
          <t>買</t>
        </is>
      </c>
      <c r="F753" s="300" t="inlineStr">
        <is>
          <t>-</t>
        </is>
      </c>
      <c r="G753" s="741" t="n">
        <v>1</v>
      </c>
      <c r="H753" s="741" t="n">
        <v>10891</v>
      </c>
      <c r="I753" s="741" t="n">
        <v>0</v>
      </c>
      <c r="J753" s="742" t="n">
        <v>45</v>
      </c>
      <c r="K753" s="742" t="n">
        <v>44</v>
      </c>
      <c r="L753" s="742">
        <f>IF(B753="TXO",I753-SUM(J753:K753),IF(B753="FITX",IF(D753="新倉",-SUM(J753:K753),IF(E753="賣",(H753-H752)*G753*200-SUM(J753:K753),(H752-H753)*G753*200-SUM(J753:K753))),IF(D753="新倉",-SUM(J753:K753),IF(E753="賣",(H753-H752)*G753*50-SUM(J753:K753),(H752-H753)*G753*50-SUM(J753:K753)))))</f>
        <v/>
      </c>
      <c r="M753" s="743">
        <f>L753</f>
        <v/>
      </c>
      <c r="N753" s="686">
        <f>IF(B753="TXO","",IF(D753="新倉","",IF(E753="賣",(H753-H752)*G753,(H752-H753)*G753)))</f>
        <v/>
      </c>
      <c r="O753" s="226">
        <f>ABS(I753)</f>
        <v/>
      </c>
      <c r="P753" s="667" t="n"/>
      <c r="Q753" s="310" t="inlineStr">
        <is>
          <t>拉回10MA，但5分K未跑完就停損</t>
        </is>
      </c>
      <c r="S753" s="739" t="n"/>
      <c r="T753" s="61">
        <f>IF(AND(R753="Yes",S753&lt;&gt;"Yes",L753&gt;0,B753&lt;&gt;"TXO"),L753,"")</f>
        <v/>
      </c>
      <c r="U753" s="61">
        <f>IF(AND(R753="Yes",S753&lt;&gt;"Yes",L753&lt;0,B753&lt;&gt;"TXO"),L753,"")</f>
        <v/>
      </c>
      <c r="V753" s="61">
        <f>IF(AND(R753="",S753&lt;&gt;"Yes",L753&gt;0,B753&lt;&gt;"TXO"),L753,"")</f>
        <v/>
      </c>
      <c r="W753" s="61">
        <f>IF(AND(R753="",S753&lt;&gt;"Yes",L753&lt;0,B753&lt;&gt;"TXO"),L753,"")</f>
        <v/>
      </c>
      <c r="X753" s="226">
        <f>IF(AND(R753="Yes",S753="Yes",L753&gt;0,B753&lt;&gt;"TXO"),L753,"")</f>
        <v/>
      </c>
      <c r="Y753" s="226">
        <f>IF(AND(R753="Yes",S753="Yes",L753&lt;0,B753&lt;&gt;"TXO"),L753,"")</f>
        <v/>
      </c>
      <c r="Z753" s="226">
        <f>IF(AND(R753="",S753="Yes",L753&gt;0,B753&lt;&gt;"TXO"),L753,"")</f>
        <v/>
      </c>
      <c r="AA753" s="226">
        <f>IF(AND(R753="",S753="Yes",L753&lt;0,B753&lt;&gt;"TXO"),L753,"")</f>
        <v/>
      </c>
    </row>
    <row r="754" hidden="1" outlineLevel="2" collapsed="1" ht="17.25" customHeight="1" thickBot="1">
      <c r="A754" s="740" t="n">
        <v>43364</v>
      </c>
      <c r="B754" s="299" t="inlineStr">
        <is>
          <t>FITX</t>
        </is>
      </c>
      <c r="C754" s="300" t="inlineStr">
        <is>
          <t>台指10</t>
        </is>
      </c>
      <c r="D754" s="300" t="inlineStr">
        <is>
          <t>新倉</t>
        </is>
      </c>
      <c r="E754" s="301" t="inlineStr">
        <is>
          <t>賣</t>
        </is>
      </c>
      <c r="F754" s="300" t="inlineStr">
        <is>
          <t>-</t>
        </is>
      </c>
      <c r="G754" s="741" t="n">
        <v>1</v>
      </c>
      <c r="H754" s="741" t="n">
        <v>10880</v>
      </c>
      <c r="I754" s="741" t="n">
        <v>0</v>
      </c>
      <c r="J754" s="742" t="n">
        <v>45</v>
      </c>
      <c r="K754" s="742" t="n">
        <v>44</v>
      </c>
      <c r="L754" s="742">
        <f>IF(B754="TXO",I754-SUM(J754:K754),IF(B754="FITX",IF(D754="新倉",-SUM(J754:K754),IF(E754="賣",(H754-H753)*G754*200-SUM(J754:K754),(H753-H754)*G754*200-SUM(J754:K754))),IF(D754="新倉",-SUM(J754:K754),IF(E754="賣",(H754-H753)*G754*50-SUM(J754:K754),(H753-H754)*G754*50-SUM(J754:K754)))))</f>
        <v/>
      </c>
      <c r="M754" s="743">
        <f>L754</f>
        <v/>
      </c>
      <c r="N754" s="686">
        <f>IF(B754="TXO","",IF(D754="新倉","",IF(E754="賣",(H754-H753)*G754,(H753-H754)*G754)))</f>
        <v/>
      </c>
      <c r="O754" s="226">
        <f>ABS(I754)</f>
        <v/>
      </c>
      <c r="P754" s="667" t="n"/>
      <c r="Q754" s="310" t="inlineStr">
        <is>
          <t>平倉後反向，再追單</t>
        </is>
      </c>
      <c r="R754" s="310" t="n"/>
      <c r="S754" s="249" t="n"/>
      <c r="T754" s="61">
        <f>IF(AND(R754="Yes",S754&lt;&gt;"Yes",L754&gt;0,B754&lt;&gt;"TXO"),L754,"")</f>
        <v/>
      </c>
      <c r="U754" s="61">
        <f>IF(AND(R754="Yes",S754&lt;&gt;"Yes",L754&lt;0,B754&lt;&gt;"TXO"),L754,"")</f>
        <v/>
      </c>
      <c r="V754" s="61">
        <f>IF(AND(R754="",S754&lt;&gt;"Yes",L754&gt;0,B754&lt;&gt;"TXO"),L754,"")</f>
        <v/>
      </c>
      <c r="W754" s="61">
        <f>IF(AND(R754="",S754&lt;&gt;"Yes",L754&lt;0,B754&lt;&gt;"TXO"),L754,"")</f>
        <v/>
      </c>
      <c r="X754" s="226">
        <f>IF(AND(R754="Yes",S754="Yes",L754&gt;0,B754&lt;&gt;"TXO"),L754,"")</f>
        <v/>
      </c>
      <c r="Y754" s="226">
        <f>IF(AND(R754="Yes",S754="Yes",L754&lt;0,B754&lt;&gt;"TXO"),L754,"")</f>
        <v/>
      </c>
      <c r="Z754" s="226">
        <f>IF(AND(R754="",S754="Yes",L754&gt;0,B754&lt;&gt;"TXO"),L754,"")</f>
        <v/>
      </c>
      <c r="AA754" s="226">
        <f>IF(AND(R754="",S754="Yes",L754&lt;0,B754&lt;&gt;"TXO"),L754,"")</f>
        <v/>
      </c>
    </row>
    <row r="755" hidden="1" outlineLevel="2" collapsed="1" ht="17.25" customHeight="1" thickBot="1">
      <c r="A755" s="740" t="n">
        <v>43364</v>
      </c>
      <c r="B755" s="299" t="inlineStr">
        <is>
          <t>FITX</t>
        </is>
      </c>
      <c r="C755" s="300" t="inlineStr">
        <is>
          <t>台指10</t>
        </is>
      </c>
      <c r="D755" s="300" t="inlineStr">
        <is>
          <t>平倉</t>
        </is>
      </c>
      <c r="E755" s="301" t="inlineStr">
        <is>
          <t>買</t>
        </is>
      </c>
      <c r="F755" s="300" t="inlineStr">
        <is>
          <t>-</t>
        </is>
      </c>
      <c r="G755" s="741" t="n">
        <v>1</v>
      </c>
      <c r="H755" s="741" t="n">
        <v>10891</v>
      </c>
      <c r="I755" s="741" t="n">
        <v>0</v>
      </c>
      <c r="J755" s="742" t="n">
        <v>45</v>
      </c>
      <c r="K755" s="742" t="n">
        <v>44</v>
      </c>
      <c r="L755" s="742">
        <f>IF(B755="TXO",I755-SUM(J755:K755),IF(B755="FITX",IF(D755="新倉",-SUM(J755:K755),IF(E755="賣",(H755-H754)*G755*200-SUM(J755:K755),(H754-H755)*G755*200-SUM(J755:K755))),IF(D755="新倉",-SUM(J755:K755),IF(E755="賣",(H755-H754)*G755*50-SUM(J755:K755),(H754-H755)*G755*50-SUM(J755:K755)))))</f>
        <v/>
      </c>
      <c r="M755" s="743">
        <f>L755</f>
        <v/>
      </c>
      <c r="N755" s="686">
        <f>IF(B755="TXO","",IF(D755="新倉","",IF(E755="賣",(H755-H754)*G755,(H754-H755)*G755)))</f>
        <v/>
      </c>
      <c r="O755" s="226">
        <f>ABS(I755)</f>
        <v/>
      </c>
      <c r="P755" s="667" t="n"/>
      <c r="Q755" s="310" t="inlineStr">
        <is>
          <t>拉回10MA停損</t>
        </is>
      </c>
      <c r="S755" s="249" t="n"/>
      <c r="T755" s="61">
        <f>IF(AND(R755="Yes",S755&lt;&gt;"Yes",L755&gt;0,B755&lt;&gt;"TXO"),L755,"")</f>
        <v/>
      </c>
      <c r="U755" s="61">
        <f>IF(AND(R755="Yes",S755&lt;&gt;"Yes",L755&lt;0,B755&lt;&gt;"TXO"),L755,"")</f>
        <v/>
      </c>
      <c r="V755" s="61">
        <f>IF(AND(R755="",S755&lt;&gt;"Yes",L755&gt;0,B755&lt;&gt;"TXO"),L755,"")</f>
        <v/>
      </c>
      <c r="W755" s="61">
        <f>IF(AND(R755="",S755&lt;&gt;"Yes",L755&lt;0,B755&lt;&gt;"TXO"),L755,"")</f>
        <v/>
      </c>
      <c r="X755" s="226">
        <f>IF(AND(R755="Yes",S755="Yes",L755&gt;0,B755&lt;&gt;"TXO"),L755,"")</f>
        <v/>
      </c>
      <c r="Y755" s="226">
        <f>IF(AND(R755="Yes",S755="Yes",L755&lt;0,B755&lt;&gt;"TXO"),L755,"")</f>
        <v/>
      </c>
      <c r="Z755" s="226">
        <f>IF(AND(R755="",S755="Yes",L755&gt;0,B755&lt;&gt;"TXO"),L755,"")</f>
        <v/>
      </c>
      <c r="AA755" s="226">
        <f>IF(AND(R755="",S755="Yes",L755&lt;0,B755&lt;&gt;"TXO"),L755,"")</f>
        <v/>
      </c>
    </row>
    <row r="756" hidden="1" outlineLevel="2" collapsed="1" ht="17.25" customHeight="1" thickBot="1">
      <c r="A756" s="740" t="n">
        <v>43364</v>
      </c>
      <c r="B756" s="299" t="inlineStr">
        <is>
          <t>FITX</t>
        </is>
      </c>
      <c r="C756" s="300" t="inlineStr">
        <is>
          <t>台指10</t>
        </is>
      </c>
      <c r="D756" s="300" t="inlineStr">
        <is>
          <t>新倉</t>
        </is>
      </c>
      <c r="E756" s="301" t="inlineStr">
        <is>
          <t>賣</t>
        </is>
      </c>
      <c r="F756" s="300" t="inlineStr">
        <is>
          <t>-</t>
        </is>
      </c>
      <c r="G756" s="741" t="n">
        <v>1</v>
      </c>
      <c r="H756" s="741" t="n">
        <v>10876</v>
      </c>
      <c r="I756" s="741" t="n">
        <v>0</v>
      </c>
      <c r="J756" s="742" t="n">
        <v>45</v>
      </c>
      <c r="K756" s="742" t="n">
        <v>44</v>
      </c>
      <c r="L756" s="742">
        <f>IF(B756="TXO",I756-SUM(J756:K756),IF(B756="FITX",IF(D756="新倉",-SUM(J756:K756),IF(E756="賣",(H756-H755)*G756*200-SUM(J756:K756),(H755-H756)*G756*200-SUM(J756:K756))),IF(D756="新倉",-SUM(J756:K756),IF(E756="賣",(H756-H755)*G756*50-SUM(J756:K756),(H755-H756)*G756*50-SUM(J756:K756)))))</f>
        <v/>
      </c>
      <c r="M756" s="743">
        <f>L756</f>
        <v/>
      </c>
      <c r="N756" s="686">
        <f>IF(B756="TXO","",IF(D756="新倉","",IF(E756="賣",(H756-H755)*G756,(H755-H756)*G756)))</f>
        <v/>
      </c>
      <c r="O756" s="226">
        <f>ABS(I756)</f>
        <v/>
      </c>
      <c r="P756" s="667" t="n"/>
      <c r="Q756" s="310" t="inlineStr">
        <is>
          <t>平倉後反向，再追單</t>
        </is>
      </c>
      <c r="R756" s="310" t="n"/>
      <c r="S756" s="249" t="n"/>
      <c r="T756" s="61">
        <f>IF(AND(R756="Yes",S756&lt;&gt;"Yes",L756&gt;0,B756&lt;&gt;"TXO"),L756,"")</f>
        <v/>
      </c>
      <c r="U756" s="61">
        <f>IF(AND(R756="Yes",S756&lt;&gt;"Yes",L756&lt;0,B756&lt;&gt;"TXO"),L756,"")</f>
        <v/>
      </c>
      <c r="V756" s="61">
        <f>IF(AND(R756="",S756&lt;&gt;"Yes",L756&gt;0,B756&lt;&gt;"TXO"),L756,"")</f>
        <v/>
      </c>
      <c r="W756" s="61">
        <f>IF(AND(R756="",S756&lt;&gt;"Yes",L756&lt;0,B756&lt;&gt;"TXO"),L756,"")</f>
        <v/>
      </c>
      <c r="X756" s="226">
        <f>IF(AND(R756="Yes",S756="Yes",L756&gt;0,B756&lt;&gt;"TXO"),L756,"")</f>
        <v/>
      </c>
      <c r="Y756" s="226">
        <f>IF(AND(R756="Yes",S756="Yes",L756&lt;0,B756&lt;&gt;"TXO"),L756,"")</f>
        <v/>
      </c>
      <c r="Z756" s="226">
        <f>IF(AND(R756="",S756="Yes",L756&gt;0,B756&lt;&gt;"TXO"),L756,"")</f>
        <v/>
      </c>
      <c r="AA756" s="226">
        <f>IF(AND(R756="",S756="Yes",L756&lt;0,B756&lt;&gt;"TXO"),L756,"")</f>
        <v/>
      </c>
    </row>
    <row r="757" hidden="1" outlineLevel="2" collapsed="1" ht="17.25" customHeight="1" thickBot="1">
      <c r="A757" s="740" t="n">
        <v>43364</v>
      </c>
      <c r="B757" s="299" t="inlineStr">
        <is>
          <t>FITX</t>
        </is>
      </c>
      <c r="C757" s="300" t="inlineStr">
        <is>
          <t>台指10</t>
        </is>
      </c>
      <c r="D757" s="300" t="inlineStr">
        <is>
          <t>平倉</t>
        </is>
      </c>
      <c r="E757" s="301" t="inlineStr">
        <is>
          <t>買</t>
        </is>
      </c>
      <c r="F757" s="300" t="inlineStr">
        <is>
          <t>-</t>
        </is>
      </c>
      <c r="G757" s="741" t="n">
        <v>1</v>
      </c>
      <c r="H757" s="741" t="n">
        <v>10886</v>
      </c>
      <c r="I757" s="741" t="n">
        <v>0</v>
      </c>
      <c r="J757" s="742" t="n">
        <v>45</v>
      </c>
      <c r="K757" s="742" t="n">
        <v>44</v>
      </c>
      <c r="L757" s="742">
        <f>IF(B757="TXO",I757-SUM(J757:K757),IF(B757="FITX",IF(D757="新倉",-SUM(J757:K757),IF(E757="賣",(H757-H756)*G757*200-SUM(J757:K757),(H756-H757)*G757*200-SUM(J757:K757))),IF(D757="新倉",-SUM(J757:K757),IF(E757="賣",(H757-H756)*G757*50-SUM(J757:K757),(H756-H757)*G757*50-SUM(J757:K757)))))</f>
        <v/>
      </c>
      <c r="M757" s="743">
        <f>L757</f>
        <v/>
      </c>
      <c r="N757" s="686">
        <f>IF(B757="TXO","",IF(D757="新倉","",IF(E757="賣",(H757-H756)*G757,(H756-H757)*G757)))</f>
        <v/>
      </c>
      <c r="O757" s="226">
        <f>ABS(I757)</f>
        <v/>
      </c>
      <c r="P757" s="667" t="n"/>
      <c r="Q757" s="310" t="inlineStr">
        <is>
          <t>拉回10MA停損</t>
        </is>
      </c>
      <c r="S757" s="249" t="n"/>
      <c r="T757" s="61">
        <f>IF(AND(R757="Yes",S757&lt;&gt;"Yes",L757&gt;0,B757&lt;&gt;"TXO"),L757,"")</f>
        <v/>
      </c>
      <c r="U757" s="61">
        <f>IF(AND(R757="Yes",S757&lt;&gt;"Yes",L757&lt;0,B757&lt;&gt;"TXO"),L757,"")</f>
        <v/>
      </c>
      <c r="V757" s="61">
        <f>IF(AND(R757="",S757&lt;&gt;"Yes",L757&gt;0,B757&lt;&gt;"TXO"),L757,"")</f>
        <v/>
      </c>
      <c r="W757" s="61">
        <f>IF(AND(R757="",S757&lt;&gt;"Yes",L757&lt;0,B757&lt;&gt;"TXO"),L757,"")</f>
        <v/>
      </c>
      <c r="X757" s="226">
        <f>IF(AND(R757="Yes",S757="Yes",L757&gt;0,B757&lt;&gt;"TXO"),L757,"")</f>
        <v/>
      </c>
      <c r="Y757" s="226">
        <f>IF(AND(R757="Yes",S757="Yes",L757&lt;0,B757&lt;&gt;"TXO"),L757,"")</f>
        <v/>
      </c>
      <c r="Z757" s="226">
        <f>IF(AND(R757="",S757="Yes",L757&gt;0,B757&lt;&gt;"TXO"),L757,"")</f>
        <v/>
      </c>
      <c r="AA757" s="226">
        <f>IF(AND(R757="",S757="Yes",L757&lt;0,B757&lt;&gt;"TXO"),L757,"")</f>
        <v/>
      </c>
    </row>
    <row r="758" hidden="1" outlineLevel="2" collapsed="1" ht="17.25" customHeight="1" thickBot="1">
      <c r="A758" s="740" t="n">
        <v>43364</v>
      </c>
      <c r="B758" s="299" t="inlineStr">
        <is>
          <t>FIMTX</t>
        </is>
      </c>
      <c r="C758" s="300" t="inlineStr">
        <is>
          <t>小指10</t>
        </is>
      </c>
      <c r="D758" s="300" t="inlineStr">
        <is>
          <t>新倉</t>
        </is>
      </c>
      <c r="E758" s="301" t="inlineStr">
        <is>
          <t>賣</t>
        </is>
      </c>
      <c r="F758" s="300" t="inlineStr">
        <is>
          <t>-</t>
        </is>
      </c>
      <c r="G758" s="741" t="n">
        <v>1</v>
      </c>
      <c r="H758" s="741" t="n">
        <v>10888</v>
      </c>
      <c r="I758" s="741" t="n">
        <v>0</v>
      </c>
      <c r="J758" s="742" t="n">
        <v>23</v>
      </c>
      <c r="K758" s="742" t="n">
        <v>11</v>
      </c>
      <c r="L758" s="742">
        <f>IF(B758="TXO",I758-SUM(J758:K758),IF(B758="FITX",IF(D758="新倉",-SUM(J758:K758),IF(E758="賣",(H758-H757)*G758*200-SUM(J758:K758),(H757-H758)*G758*200-SUM(J758:K758))),IF(D758="新倉",-SUM(J758:K758),IF(E758="賣",(H758-H757)*G758*50-SUM(J758:K758),(H757-H758)*G758*50-SUM(J758:K758)))))</f>
        <v/>
      </c>
      <c r="M758" s="743">
        <f>L758</f>
        <v/>
      </c>
      <c r="N758" s="686">
        <f>IF(B758="TXO","",IF(D758="新倉","",IF(E758="賣",(H758-H757)*G758,(H757-H758)*G758)))</f>
        <v/>
      </c>
      <c r="O758" s="226">
        <f>ABS(I758)</f>
        <v/>
      </c>
      <c r="P758" s="667" t="n"/>
      <c r="Q758" s="310" t="n"/>
      <c r="S758" s="249" t="n"/>
      <c r="T758" s="61">
        <f>IF(AND(R758="Yes",S758&lt;&gt;"Yes",L758&gt;0,B758&lt;&gt;"TXO"),L758,"")</f>
        <v/>
      </c>
      <c r="U758" s="61">
        <f>IF(AND(R758="Yes",S758&lt;&gt;"Yes",L758&lt;0,B758&lt;&gt;"TXO"),L758,"")</f>
        <v/>
      </c>
      <c r="V758" s="61">
        <f>IF(AND(R758="",S758&lt;&gt;"Yes",L758&gt;0,B758&lt;&gt;"TXO"),L758,"")</f>
        <v/>
      </c>
      <c r="W758" s="61">
        <f>IF(AND(R758="",S758&lt;&gt;"Yes",L758&lt;0,B758&lt;&gt;"TXO"),L758,"")</f>
        <v/>
      </c>
      <c r="X758" s="226">
        <f>IF(AND(R758="Yes",S758="Yes",L758&gt;0,B758&lt;&gt;"TXO"),L758,"")</f>
        <v/>
      </c>
      <c r="Y758" s="226">
        <f>IF(AND(R758="Yes",S758="Yes",L758&lt;0,B758&lt;&gt;"TXO"),L758,"")</f>
        <v/>
      </c>
      <c r="Z758" s="226">
        <f>IF(AND(R758="",S758="Yes",L758&gt;0,B758&lt;&gt;"TXO"),L758,"")</f>
        <v/>
      </c>
      <c r="AA758" s="226">
        <f>IF(AND(R758="",S758="Yes",L758&lt;0,B758&lt;&gt;"TXO"),L758,"")</f>
        <v/>
      </c>
    </row>
    <row r="759" hidden="1" outlineLevel="2" collapsed="1" ht="17.25" customHeight="1" thickBot="1">
      <c r="A759" s="740" t="n">
        <v>43364</v>
      </c>
      <c r="B759" s="299" t="inlineStr">
        <is>
          <t>FIMTX</t>
        </is>
      </c>
      <c r="C759" s="300" t="inlineStr">
        <is>
          <t>小指10</t>
        </is>
      </c>
      <c r="D759" s="300" t="inlineStr">
        <is>
          <t>平倉</t>
        </is>
      </c>
      <c r="E759" s="301" t="inlineStr">
        <is>
          <t>買</t>
        </is>
      </c>
      <c r="F759" s="300" t="inlineStr">
        <is>
          <t>-</t>
        </is>
      </c>
      <c r="G759" s="741" t="n">
        <v>1</v>
      </c>
      <c r="H759" s="741" t="n">
        <v>10904</v>
      </c>
      <c r="I759" s="741" t="n">
        <v>0</v>
      </c>
      <c r="J759" s="742" t="n">
        <v>23</v>
      </c>
      <c r="K759" s="742" t="n">
        <v>11</v>
      </c>
      <c r="L759" s="742">
        <f>IF(B759="TXO",I759-SUM(J759:K759),IF(B759="FITX",IF(D759="新倉",-SUM(J759:K759),IF(E759="賣",(H759-H758)*G759*200-SUM(J759:K759),(H758-H759)*G759*200-SUM(J759:K759))),IF(D759="新倉",-SUM(J759:K759),IF(E759="賣",(H759-H758)*G759*50-SUM(J759:K759),(H758-H759)*G759*50-SUM(J759:K759)))))</f>
        <v/>
      </c>
      <c r="M759" s="743">
        <f>L759</f>
        <v/>
      </c>
      <c r="N759" s="686">
        <f>IF(B759="TXO","",IF(D759="新倉","",IF(E759="賣",(H759-H758)*G759,(H758-H759)*G759)))</f>
        <v/>
      </c>
      <c r="O759" s="226">
        <f>ABS(I759)</f>
        <v/>
      </c>
      <c r="P759" s="667" t="n"/>
      <c r="Q759" s="310" t="n"/>
      <c r="S759" s="249" t="n"/>
      <c r="T759" s="61">
        <f>IF(AND(R759="Yes",S759&lt;&gt;"Yes",L759&gt;0,B759&lt;&gt;"TXO"),L759,"")</f>
        <v/>
      </c>
      <c r="U759" s="61">
        <f>IF(AND(R759="Yes",S759&lt;&gt;"Yes",L759&lt;0,B759&lt;&gt;"TXO"),L759,"")</f>
        <v/>
      </c>
      <c r="V759" s="61">
        <f>IF(AND(R759="",S759&lt;&gt;"Yes",L759&gt;0,B759&lt;&gt;"TXO"),L759,"")</f>
        <v/>
      </c>
      <c r="W759" s="61">
        <f>IF(AND(R759="",S759&lt;&gt;"Yes",L759&lt;0,B759&lt;&gt;"TXO"),L759,"")</f>
        <v/>
      </c>
      <c r="X759" s="226">
        <f>IF(AND(R759="Yes",S759="Yes",L759&gt;0,B759&lt;&gt;"TXO"),L759,"")</f>
        <v/>
      </c>
      <c r="Y759" s="226">
        <f>IF(AND(R759="Yes",S759="Yes",L759&lt;0,B759&lt;&gt;"TXO"),L759,"")</f>
        <v/>
      </c>
      <c r="Z759" s="226">
        <f>IF(AND(R759="",S759="Yes",L759&gt;0,B759&lt;&gt;"TXO"),L759,"")</f>
        <v/>
      </c>
      <c r="AA759" s="226">
        <f>IF(AND(R759="",S759="Yes",L759&lt;0,B759&lt;&gt;"TXO"),L759,"")</f>
        <v/>
      </c>
    </row>
    <row r="760" hidden="1" outlineLevel="2" ht="17.25" customHeight="1" thickBot="1">
      <c r="A760" s="740" t="n">
        <v>43364</v>
      </c>
      <c r="B760" s="299" t="inlineStr">
        <is>
          <t>FIMTX</t>
        </is>
      </c>
      <c r="C760" s="300" t="inlineStr">
        <is>
          <t>小指10</t>
        </is>
      </c>
      <c r="D760" s="300" t="inlineStr">
        <is>
          <t>新倉</t>
        </is>
      </c>
      <c r="E760" s="301" t="inlineStr">
        <is>
          <t>賣</t>
        </is>
      </c>
      <c r="F760" s="300" t="inlineStr">
        <is>
          <t>-</t>
        </is>
      </c>
      <c r="G760" s="741" t="n">
        <v>1</v>
      </c>
      <c r="H760" s="741" t="n">
        <v>10888</v>
      </c>
      <c r="I760" s="741" t="n">
        <v>0</v>
      </c>
      <c r="J760" s="742" t="n">
        <v>23</v>
      </c>
      <c r="K760" s="742" t="n">
        <v>11</v>
      </c>
      <c r="L760" s="742">
        <f>IF(B760="TXO",I760-SUM(J760:K760),IF(B760="FITX",IF(D760="新倉",-SUM(J760:K760),IF(E760="賣",(H760-H759)*G760*200-SUM(J760:K760),(H759-H760)*G760*200-SUM(J760:K760))),IF(D760="新倉",-SUM(J760:K760),IF(E760="賣",(H760-H759)*G760*50-SUM(J760:K760),(H759-H760)*G760*50-SUM(J760:K760)))))</f>
        <v/>
      </c>
      <c r="M760" s="743">
        <f>L760</f>
        <v/>
      </c>
      <c r="N760" s="686">
        <f>IF(B760="TXO","",IF(D760="新倉","",IF(E760="賣",(H760-H759)*G760,(H759-H760)*G760)))</f>
        <v/>
      </c>
      <c r="O760" s="226">
        <f>ABS(I760)</f>
        <v/>
      </c>
      <c r="P760" s="667" t="n"/>
      <c r="S760" s="739" t="n"/>
      <c r="T760" s="61">
        <f>IF(AND(R760="Yes",S760&lt;&gt;"Yes",L760&gt;0,B760&lt;&gt;"TXO"),L760,"")</f>
        <v/>
      </c>
      <c r="U760" s="61">
        <f>IF(AND(R760="Yes",S760&lt;&gt;"Yes",L760&lt;0,B760&lt;&gt;"TXO"),L760,"")</f>
        <v/>
      </c>
      <c r="V760" s="61">
        <f>IF(AND(R760="",S760&lt;&gt;"Yes",L760&gt;0,B760&lt;&gt;"TXO"),L760,"")</f>
        <v/>
      </c>
      <c r="W760" s="61">
        <f>IF(AND(R760="",S760&lt;&gt;"Yes",L760&lt;0,B760&lt;&gt;"TXO"),L760,"")</f>
        <v/>
      </c>
      <c r="X760" s="226">
        <f>IF(AND(R760="Yes",S760="Yes",L760&gt;0,B760&lt;&gt;"TXO"),L760,"")</f>
        <v/>
      </c>
      <c r="Y760" s="226">
        <f>IF(AND(R760="Yes",S760="Yes",L760&lt;0,B760&lt;&gt;"TXO"),L760,"")</f>
        <v/>
      </c>
      <c r="Z760" s="226">
        <f>IF(AND(R760="",S760="Yes",L760&gt;0,B760&lt;&gt;"TXO"),L760,"")</f>
        <v/>
      </c>
      <c r="AA760" s="226">
        <f>IF(AND(R760="",S760="Yes",L760&lt;0,B760&lt;&gt;"TXO"),L760,"")</f>
        <v/>
      </c>
    </row>
    <row r="761" hidden="1" outlineLevel="2" collapsed="1" ht="17.25" customHeight="1" thickBot="1">
      <c r="A761" s="740" t="n">
        <v>43364</v>
      </c>
      <c r="B761" s="299" t="inlineStr">
        <is>
          <t>FIMTX</t>
        </is>
      </c>
      <c r="C761" s="300" t="inlineStr">
        <is>
          <t>小指10</t>
        </is>
      </c>
      <c r="D761" s="300" t="inlineStr">
        <is>
          <t>平倉</t>
        </is>
      </c>
      <c r="E761" s="301" t="inlineStr">
        <is>
          <t>買</t>
        </is>
      </c>
      <c r="F761" s="300" t="inlineStr">
        <is>
          <t>-</t>
        </is>
      </c>
      <c r="G761" s="741" t="n">
        <v>1</v>
      </c>
      <c r="H761" s="741" t="n">
        <v>10904</v>
      </c>
      <c r="I761" s="741" t="n">
        <v>0</v>
      </c>
      <c r="J761" s="742" t="n">
        <v>23</v>
      </c>
      <c r="K761" s="742" t="n">
        <v>11</v>
      </c>
      <c r="L761" s="742">
        <f>IF(B761="TXO",I761-SUM(J761:K761),IF(B761="FITX",IF(D761="新倉",-SUM(J761:K761),IF(E761="賣",(H761-H760)*G761*200-SUM(J761:K761),(H760-H761)*G761*200-SUM(J761:K761))),IF(D761="新倉",-SUM(J761:K761),IF(E761="賣",(H761-H760)*G761*50-SUM(J761:K761),(H760-H761)*G761*50-SUM(J761:K761)))))</f>
        <v/>
      </c>
      <c r="M761" s="743">
        <f>L761</f>
        <v/>
      </c>
      <c r="N761" s="686">
        <f>IF(B761="TXO","",IF(D761="新倉","",IF(E761="賣",(H761-H760)*G761,(H760-H761)*G761)))</f>
        <v/>
      </c>
      <c r="O761" s="226">
        <f>ABS(I761)</f>
        <v/>
      </c>
      <c r="P761" s="667" t="n"/>
      <c r="S761" s="739" t="n"/>
      <c r="T761" s="61">
        <f>IF(AND(R761="Yes",S761&lt;&gt;"Yes",L761&gt;0,B761&lt;&gt;"TXO"),L761,"")</f>
        <v/>
      </c>
      <c r="U761" s="61">
        <f>IF(AND(R761="Yes",S761&lt;&gt;"Yes",L761&lt;0,B761&lt;&gt;"TXO"),L761,"")</f>
        <v/>
      </c>
      <c r="V761" s="61">
        <f>IF(AND(R761="",S761&lt;&gt;"Yes",L761&gt;0,B761&lt;&gt;"TXO"),L761,"")</f>
        <v/>
      </c>
      <c r="W761" s="61">
        <f>IF(AND(R761="",S761&lt;&gt;"Yes",L761&lt;0,B761&lt;&gt;"TXO"),L761,"")</f>
        <v/>
      </c>
      <c r="X761" s="226">
        <f>IF(AND(R761="Yes",S761="Yes",L761&gt;0,B761&lt;&gt;"TXO"),L761,"")</f>
        <v/>
      </c>
      <c r="Y761" s="226">
        <f>IF(AND(R761="Yes",S761="Yes",L761&lt;0,B761&lt;&gt;"TXO"),L761,"")</f>
        <v/>
      </c>
      <c r="Z761" s="226">
        <f>IF(AND(R761="",S761="Yes",L761&gt;0,B761&lt;&gt;"TXO"),L761,"")</f>
        <v/>
      </c>
      <c r="AA761" s="226">
        <f>IF(AND(R761="",S761="Yes",L761&lt;0,B761&lt;&gt;"TXO"),L761,"")</f>
        <v/>
      </c>
    </row>
    <row r="762" hidden="1" outlineLevel="2" collapsed="1" ht="17.25" customHeight="1" thickBot="1">
      <c r="A762" s="740" t="n">
        <v>43364</v>
      </c>
      <c r="B762" s="299" t="inlineStr">
        <is>
          <t>FIMTX</t>
        </is>
      </c>
      <c r="C762" s="300" t="inlineStr">
        <is>
          <t>小指10</t>
        </is>
      </c>
      <c r="D762" s="300" t="inlineStr">
        <is>
          <t>新倉</t>
        </is>
      </c>
      <c r="E762" s="301" t="inlineStr">
        <is>
          <t>賣</t>
        </is>
      </c>
      <c r="F762" s="300" t="inlineStr">
        <is>
          <t>-</t>
        </is>
      </c>
      <c r="G762" s="741" t="n">
        <v>1</v>
      </c>
      <c r="H762" s="741" t="n">
        <v>10900</v>
      </c>
      <c r="I762" s="741" t="n">
        <v>0</v>
      </c>
      <c r="J762" s="742" t="n">
        <v>23</v>
      </c>
      <c r="K762" s="742" t="n">
        <v>11</v>
      </c>
      <c r="L762" s="742">
        <f>IF(B762="TXO",I762-SUM(J762:K762),IF(B762="FITX",IF(D762="新倉",-SUM(J762:K762),IF(E762="賣",(H762-H761)*G762*200-SUM(J762:K762),(H761-H762)*G762*200-SUM(J762:K762))),IF(D762="新倉",-SUM(J762:K762),IF(E762="賣",(H762-H761)*G762*50-SUM(J762:K762),(H761-H762)*G762*50-SUM(J762:K762)))))</f>
        <v/>
      </c>
      <c r="M762" s="743">
        <f>L762</f>
        <v/>
      </c>
      <c r="N762" s="686">
        <f>IF(B762="TXO","",IF(D762="新倉","",IF(E762="賣",(H762-H761)*G762,(H761-H762)*G762)))</f>
        <v/>
      </c>
      <c r="O762" s="226">
        <f>ABS(I762)</f>
        <v/>
      </c>
      <c r="P762" s="667" t="n"/>
      <c r="S762" s="739" t="n"/>
      <c r="T762" s="61">
        <f>IF(AND(R762="Yes",S762&lt;&gt;"Yes",L762&gt;0,B762&lt;&gt;"TXO"),L762,"")</f>
        <v/>
      </c>
      <c r="U762" s="61">
        <f>IF(AND(R762="Yes",S762&lt;&gt;"Yes",L762&lt;0,B762&lt;&gt;"TXO"),L762,"")</f>
        <v/>
      </c>
      <c r="V762" s="61">
        <f>IF(AND(R762="",S762&lt;&gt;"Yes",L762&gt;0,B762&lt;&gt;"TXO"),L762,"")</f>
        <v/>
      </c>
      <c r="W762" s="61">
        <f>IF(AND(R762="",S762&lt;&gt;"Yes",L762&lt;0,B762&lt;&gt;"TXO"),L762,"")</f>
        <v/>
      </c>
      <c r="X762" s="226">
        <f>IF(AND(R762="Yes",S762="Yes",L762&gt;0,B762&lt;&gt;"TXO"),L762,"")</f>
        <v/>
      </c>
      <c r="Y762" s="226">
        <f>IF(AND(R762="Yes",S762="Yes",L762&lt;0,B762&lt;&gt;"TXO"),L762,"")</f>
        <v/>
      </c>
      <c r="Z762" s="226">
        <f>IF(AND(R762="",S762="Yes",L762&gt;0,B762&lt;&gt;"TXO"),L762,"")</f>
        <v/>
      </c>
      <c r="AA762" s="226">
        <f>IF(AND(R762="",S762="Yes",L762&lt;0,B762&lt;&gt;"TXO"),L762,"")</f>
        <v/>
      </c>
    </row>
    <row r="763" hidden="1" outlineLevel="2" collapsed="1" ht="17.25" customHeight="1" thickBot="1">
      <c r="A763" s="740" t="n">
        <v>43364</v>
      </c>
      <c r="B763" s="299" t="inlineStr">
        <is>
          <t>FIMTX</t>
        </is>
      </c>
      <c r="C763" s="300" t="inlineStr">
        <is>
          <t>小指10</t>
        </is>
      </c>
      <c r="D763" s="300" t="inlineStr">
        <is>
          <t>平倉</t>
        </is>
      </c>
      <c r="E763" s="301" t="inlineStr">
        <is>
          <t>買</t>
        </is>
      </c>
      <c r="F763" s="300" t="inlineStr">
        <is>
          <t>-</t>
        </is>
      </c>
      <c r="G763" s="741" t="n">
        <v>1</v>
      </c>
      <c r="H763" s="741" t="n">
        <v>10908</v>
      </c>
      <c r="I763" s="741" t="n">
        <v>0</v>
      </c>
      <c r="J763" s="742" t="n">
        <v>23</v>
      </c>
      <c r="K763" s="742" t="n">
        <v>11</v>
      </c>
      <c r="L763" s="742">
        <f>IF(B763="TXO",I763-SUM(J763:K763),IF(B763="FITX",IF(D763="新倉",-SUM(J763:K763),IF(E763="賣",(H763-H762)*G763*200-SUM(J763:K763),(H762-H763)*G763*200-SUM(J763:K763))),IF(D763="新倉",-SUM(J763:K763),IF(E763="賣",(H763-H762)*G763*50-SUM(J763:K763),(H762-H763)*G763*50-SUM(J763:K763)))))</f>
        <v/>
      </c>
      <c r="M763" s="743">
        <f>L763</f>
        <v/>
      </c>
      <c r="N763" s="686">
        <f>IF(B763="TXO","",IF(D763="新倉","",IF(E763="賣",(H763-H762)*G763,(H762-H763)*G763)))</f>
        <v/>
      </c>
      <c r="O763" s="226">
        <f>ABS(I763)</f>
        <v/>
      </c>
      <c r="P763" s="667" t="n"/>
      <c r="Q763" s="310" t="n"/>
      <c r="S763" s="739" t="n"/>
      <c r="T763" s="61">
        <f>IF(AND(R763="Yes",S763&lt;&gt;"Yes",L763&gt;0,B763&lt;&gt;"TXO"),L763,"")</f>
        <v/>
      </c>
      <c r="U763" s="61">
        <f>IF(AND(R763="Yes",S763&lt;&gt;"Yes",L763&lt;0,B763&lt;&gt;"TXO"),L763,"")</f>
        <v/>
      </c>
      <c r="V763" s="61">
        <f>IF(AND(R763="",S763&lt;&gt;"Yes",L763&gt;0,B763&lt;&gt;"TXO"),L763,"")</f>
        <v/>
      </c>
      <c r="W763" s="61">
        <f>IF(AND(R763="",S763&lt;&gt;"Yes",L763&lt;0,B763&lt;&gt;"TXO"),L763,"")</f>
        <v/>
      </c>
      <c r="X763" s="226">
        <f>IF(AND(R763="Yes",S763="Yes",L763&gt;0,B763&lt;&gt;"TXO"),L763,"")</f>
        <v/>
      </c>
      <c r="Y763" s="226">
        <f>IF(AND(R763="Yes",S763="Yes",L763&lt;0,B763&lt;&gt;"TXO"),L763,"")</f>
        <v/>
      </c>
      <c r="Z763" s="226">
        <f>IF(AND(R763="",S763="Yes",L763&gt;0,B763&lt;&gt;"TXO"),L763,"")</f>
        <v/>
      </c>
      <c r="AA763" s="226">
        <f>IF(AND(R763="",S763="Yes",L763&lt;0,B763&lt;&gt;"TXO"),L763,"")</f>
        <v/>
      </c>
    </row>
    <row r="764" hidden="1" outlineLevel="2" collapsed="1" ht="17.25" customHeight="1" thickBot="1">
      <c r="A764" s="740" t="n">
        <v>43364</v>
      </c>
      <c r="B764" s="299" t="inlineStr">
        <is>
          <t>FITX</t>
        </is>
      </c>
      <c r="C764" s="300" t="inlineStr">
        <is>
          <t>台指10</t>
        </is>
      </c>
      <c r="D764" s="300" t="inlineStr">
        <is>
          <t>新倉</t>
        </is>
      </c>
      <c r="E764" s="301" t="inlineStr">
        <is>
          <t>買</t>
        </is>
      </c>
      <c r="F764" s="300" t="inlineStr">
        <is>
          <t>-</t>
        </is>
      </c>
      <c r="G764" s="741" t="n">
        <v>1</v>
      </c>
      <c r="H764" s="741" t="n">
        <v>10906</v>
      </c>
      <c r="I764" s="741" t="n">
        <v>0</v>
      </c>
      <c r="J764" s="742" t="n">
        <v>45</v>
      </c>
      <c r="K764" s="742" t="n">
        <v>44</v>
      </c>
      <c r="L764" s="742">
        <f>IF(B764="TXO",I764-SUM(J764:K764),IF(B764="FITX",IF(D764="新倉",-SUM(J764:K764),IF(E764="賣",(H764-H763)*G764*200-SUM(J764:K764),(H763-H764)*G764*200-SUM(J764:K764))),IF(D764="新倉",-SUM(J764:K764),IF(E764="賣",(H764-H763)*G764*50-SUM(J764:K764),(H763-H764)*G764*50-SUM(J764:K764)))))</f>
        <v/>
      </c>
      <c r="M764" s="743">
        <f>L764</f>
        <v/>
      </c>
      <c r="N764" s="686">
        <f>IF(B764="TXO","",IF(D764="新倉","",IF(E764="賣",(H764-H763)*G764,(H763-H764)*G764)))</f>
        <v/>
      </c>
      <c r="O764" s="226">
        <f>ABS(I764)</f>
        <v/>
      </c>
      <c r="P764" s="667" t="n"/>
      <c r="Q764" s="310" t="n"/>
      <c r="R764" s="310" t="n"/>
      <c r="S764" s="739" t="n"/>
      <c r="T764" s="61">
        <f>IF(AND(R764="Yes",S764&lt;&gt;"Yes",L764&gt;0,B764&lt;&gt;"TXO"),L764,"")</f>
        <v/>
      </c>
      <c r="U764" s="61">
        <f>IF(AND(R764="Yes",S764&lt;&gt;"Yes",L764&lt;0,B764&lt;&gt;"TXO"),L764,"")</f>
        <v/>
      </c>
      <c r="V764" s="61">
        <f>IF(AND(R764="",S764&lt;&gt;"Yes",L764&gt;0,B764&lt;&gt;"TXO"),L764,"")</f>
        <v/>
      </c>
      <c r="W764" s="61">
        <f>IF(AND(R764="",S764&lt;&gt;"Yes",L764&lt;0,B764&lt;&gt;"TXO"),L764,"")</f>
        <v/>
      </c>
      <c r="X764" s="226">
        <f>IF(AND(R764="Yes",S764="Yes",L764&gt;0,B764&lt;&gt;"TXO"),L764,"")</f>
        <v/>
      </c>
      <c r="Y764" s="226">
        <f>IF(AND(R764="Yes",S764="Yes",L764&lt;0,B764&lt;&gt;"TXO"),L764,"")</f>
        <v/>
      </c>
      <c r="Z764" s="226">
        <f>IF(AND(R764="",S764="Yes",L764&gt;0,B764&lt;&gt;"TXO"),L764,"")</f>
        <v/>
      </c>
      <c r="AA764" s="226">
        <f>IF(AND(R764="",S764="Yes",L764&lt;0,B764&lt;&gt;"TXO"),L764,"")</f>
        <v/>
      </c>
    </row>
    <row r="765" hidden="1" outlineLevel="2" collapsed="1" ht="17.25" customHeight="1" thickBot="1">
      <c r="A765" s="740" t="n">
        <v>43364</v>
      </c>
      <c r="B765" s="299" t="inlineStr">
        <is>
          <t>FITX</t>
        </is>
      </c>
      <c r="C765" s="300" t="inlineStr">
        <is>
          <t>台指10</t>
        </is>
      </c>
      <c r="D765" s="300" t="inlineStr">
        <is>
          <t>平倉</t>
        </is>
      </c>
      <c r="E765" s="301" t="inlineStr">
        <is>
          <t>賣</t>
        </is>
      </c>
      <c r="F765" s="300" t="inlineStr">
        <is>
          <t>-</t>
        </is>
      </c>
      <c r="G765" s="741" t="n">
        <v>1</v>
      </c>
      <c r="H765" s="741" t="n">
        <v>10915</v>
      </c>
      <c r="I765" s="741" t="n">
        <v>0</v>
      </c>
      <c r="J765" s="742" t="n">
        <v>45</v>
      </c>
      <c r="K765" s="742" t="n">
        <v>44</v>
      </c>
      <c r="L765" s="742">
        <f>IF(B765="TXO",I765-SUM(J765:K765),IF(B765="FITX",IF(D765="新倉",-SUM(J765:K765),IF(E765="賣",(H765-H764)*G765*200-SUM(J765:K765),(H764-H765)*G765*200-SUM(J765:K765))),IF(D765="新倉",-SUM(J765:K765),IF(E765="賣",(H765-H764)*G765*50-SUM(J765:K765),(H764-H765)*G765*50-SUM(J765:K765)))))</f>
        <v/>
      </c>
      <c r="M765" s="743">
        <f>L765</f>
        <v/>
      </c>
      <c r="N765" s="686">
        <f>IF(B765="TXO","",IF(D765="新倉","",IF(E765="賣",(H765-H764)*G765,(H764-H765)*G765)))</f>
        <v/>
      </c>
      <c r="O765" s="226">
        <f>ABS(I765)</f>
        <v/>
      </c>
      <c r="P765" s="667" t="n"/>
      <c r="Q765" s="310" t="n"/>
      <c r="S765" s="739" t="n"/>
      <c r="T765" s="61">
        <f>IF(AND(R765="Yes",S765&lt;&gt;"Yes",L765&gt;0,B765&lt;&gt;"TXO"),L765,"")</f>
        <v/>
      </c>
      <c r="U765" s="61">
        <f>IF(AND(R765="Yes",S765&lt;&gt;"Yes",L765&lt;0,B765&lt;&gt;"TXO"),L765,"")</f>
        <v/>
      </c>
      <c r="V765" s="61">
        <f>IF(AND(R765="",S765&lt;&gt;"Yes",L765&gt;0,B765&lt;&gt;"TXO"),L765,"")</f>
        <v/>
      </c>
      <c r="W765" s="61">
        <f>IF(AND(R765="",S765&lt;&gt;"Yes",L765&lt;0,B765&lt;&gt;"TXO"),L765,"")</f>
        <v/>
      </c>
      <c r="X765" s="226">
        <f>IF(AND(R765="Yes",S765="Yes",L765&gt;0,B765&lt;&gt;"TXO"),L765,"")</f>
        <v/>
      </c>
      <c r="Y765" s="226">
        <f>IF(AND(R765="Yes",S765="Yes",L765&lt;0,B765&lt;&gt;"TXO"),L765,"")</f>
        <v/>
      </c>
      <c r="Z765" s="226">
        <f>IF(AND(R765="",S765="Yes",L765&gt;0,B765&lt;&gt;"TXO"),L765,"")</f>
        <v/>
      </c>
      <c r="AA765" s="226">
        <f>IF(AND(R765="",S765="Yes",L765&lt;0,B765&lt;&gt;"TXO"),L765,"")</f>
        <v/>
      </c>
    </row>
    <row r="766" hidden="1" outlineLevel="2" collapsed="1" ht="17.25" customHeight="1" thickBot="1">
      <c r="A766" s="740" t="n">
        <v>43364</v>
      </c>
      <c r="B766" s="299" t="inlineStr">
        <is>
          <t>FITX</t>
        </is>
      </c>
      <c r="C766" s="300" t="inlineStr">
        <is>
          <t>台指10</t>
        </is>
      </c>
      <c r="D766" s="300" t="inlineStr">
        <is>
          <t>新倉</t>
        </is>
      </c>
      <c r="E766" s="301" t="inlineStr">
        <is>
          <t>買</t>
        </is>
      </c>
      <c r="F766" s="300" t="inlineStr">
        <is>
          <t>-</t>
        </is>
      </c>
      <c r="G766" s="741" t="n">
        <v>1</v>
      </c>
      <c r="H766" s="741" t="n">
        <v>10924</v>
      </c>
      <c r="I766" s="741" t="n">
        <v>0</v>
      </c>
      <c r="J766" s="742" t="n">
        <v>45</v>
      </c>
      <c r="K766" s="742" t="n">
        <v>44</v>
      </c>
      <c r="L766" s="742">
        <f>IF(B766="TXO",I766-SUM(J766:K766),IF(B766="FITX",IF(D766="新倉",-SUM(J766:K766),IF(E766="賣",(H766-H765)*G766*200-SUM(J766:K766),(H765-H766)*G766*200-SUM(J766:K766))),IF(D766="新倉",-SUM(J766:K766),IF(E766="賣",(H766-H765)*G766*50-SUM(J766:K766),(H765-H766)*G766*50-SUM(J766:K766)))))</f>
        <v/>
      </c>
      <c r="M766" s="743">
        <f>L766</f>
        <v/>
      </c>
      <c r="N766" s="686">
        <f>IF(B766="TXO","",IF(D766="新倉","",IF(E766="賣",(H766-H765)*G766,(H765-H766)*G766)))</f>
        <v/>
      </c>
      <c r="O766" s="226">
        <f>ABS(I766)</f>
        <v/>
      </c>
      <c r="P766" s="667" t="n"/>
      <c r="R766" s="310" t="n"/>
      <c r="S766" s="739" t="n"/>
      <c r="T766" s="61">
        <f>IF(AND(R766="Yes",S766&lt;&gt;"Yes",L766&gt;0,B766&lt;&gt;"TXO"),L766,"")</f>
        <v/>
      </c>
      <c r="U766" s="61">
        <f>IF(AND(R766="Yes",S766&lt;&gt;"Yes",L766&lt;0,B766&lt;&gt;"TXO"),L766,"")</f>
        <v/>
      </c>
      <c r="V766" s="61">
        <f>IF(AND(R766="",S766&lt;&gt;"Yes",L766&gt;0,B766&lt;&gt;"TXO"),L766,"")</f>
        <v/>
      </c>
      <c r="W766" s="61">
        <f>IF(AND(R766="",S766&lt;&gt;"Yes",L766&lt;0,B766&lt;&gt;"TXO"),L766,"")</f>
        <v/>
      </c>
      <c r="X766" s="226">
        <f>IF(AND(R766="Yes",S766="Yes",L766&gt;0,B766&lt;&gt;"TXO"),L766,"")</f>
        <v/>
      </c>
      <c r="Y766" s="226">
        <f>IF(AND(R766="Yes",S766="Yes",L766&lt;0,B766&lt;&gt;"TXO"),L766,"")</f>
        <v/>
      </c>
      <c r="Z766" s="226">
        <f>IF(AND(R766="",S766="Yes",L766&gt;0,B766&lt;&gt;"TXO"),L766,"")</f>
        <v/>
      </c>
      <c r="AA766" s="226">
        <f>IF(AND(R766="",S766="Yes",L766&lt;0,B766&lt;&gt;"TXO"),L766,"")</f>
        <v/>
      </c>
    </row>
    <row r="767" hidden="1" outlineLevel="2" collapsed="1" ht="17.25" customHeight="1" thickBot="1">
      <c r="A767" s="740" t="n">
        <v>43364</v>
      </c>
      <c r="B767" s="299" t="inlineStr">
        <is>
          <t>FITX</t>
        </is>
      </c>
      <c r="C767" s="300" t="inlineStr">
        <is>
          <t>台指10</t>
        </is>
      </c>
      <c r="D767" s="300" t="inlineStr">
        <is>
          <t>平倉</t>
        </is>
      </c>
      <c r="E767" s="301" t="inlineStr">
        <is>
          <t>賣</t>
        </is>
      </c>
      <c r="F767" s="300" t="inlineStr">
        <is>
          <t>-</t>
        </is>
      </c>
      <c r="G767" s="741" t="n">
        <v>1</v>
      </c>
      <c r="H767" s="741" t="n">
        <v>10931</v>
      </c>
      <c r="I767" s="741" t="n">
        <v>0</v>
      </c>
      <c r="J767" s="742" t="n">
        <v>45</v>
      </c>
      <c r="K767" s="742" t="n">
        <v>44</v>
      </c>
      <c r="L767" s="742">
        <f>IF(B767="TXO",I767-SUM(J767:K767),IF(B767="FITX",IF(D767="新倉",-SUM(J767:K767),IF(E767="賣",(H767-H766)*G767*200-SUM(J767:K767),(H766-H767)*G767*200-SUM(J767:K767))),IF(D767="新倉",-SUM(J767:K767),IF(E767="賣",(H767-H766)*G767*50-SUM(J767:K767),(H766-H767)*G767*50-SUM(J767:K767)))))</f>
        <v/>
      </c>
      <c r="M767" s="743">
        <f>L767</f>
        <v/>
      </c>
      <c r="N767" s="686">
        <f>IF(B767="TXO","",IF(D767="新倉","",IF(E767="賣",(H767-H766)*G767,(H766-H767)*G767)))</f>
        <v/>
      </c>
      <c r="O767" s="226">
        <f>ABS(I767)</f>
        <v/>
      </c>
      <c r="P767" s="667" t="n"/>
      <c r="Q767" s="310" t="n"/>
      <c r="S767" s="739" t="n"/>
      <c r="T767" s="61">
        <f>IF(AND(R767="Yes",S767&lt;&gt;"Yes",L767&gt;0,B767&lt;&gt;"TXO"),L767,"")</f>
        <v/>
      </c>
      <c r="U767" s="61">
        <f>IF(AND(R767="Yes",S767&lt;&gt;"Yes",L767&lt;0,B767&lt;&gt;"TXO"),L767,"")</f>
        <v/>
      </c>
      <c r="V767" s="61">
        <f>IF(AND(R767="",S767&lt;&gt;"Yes",L767&gt;0,B767&lt;&gt;"TXO"),L767,"")</f>
        <v/>
      </c>
      <c r="W767" s="61">
        <f>IF(AND(R767="",S767&lt;&gt;"Yes",L767&lt;0,B767&lt;&gt;"TXO"),L767,"")</f>
        <v/>
      </c>
      <c r="X767" s="226">
        <f>IF(AND(R767="Yes",S767="Yes",L767&gt;0,B767&lt;&gt;"TXO"),L767,"")</f>
        <v/>
      </c>
      <c r="Y767" s="226">
        <f>IF(AND(R767="Yes",S767="Yes",L767&lt;0,B767&lt;&gt;"TXO"),L767,"")</f>
        <v/>
      </c>
      <c r="Z767" s="226">
        <f>IF(AND(R767="",S767="Yes",L767&gt;0,B767&lt;&gt;"TXO"),L767,"")</f>
        <v/>
      </c>
      <c r="AA767" s="226">
        <f>IF(AND(R767="",S767="Yes",L767&lt;0,B767&lt;&gt;"TXO"),L767,"")</f>
        <v/>
      </c>
    </row>
    <row r="768" hidden="1" outlineLevel="2" collapsed="1" ht="17.25" customHeight="1" thickBot="1">
      <c r="A768" s="740" t="n">
        <v>43364</v>
      </c>
      <c r="B768" s="299" t="inlineStr">
        <is>
          <t>FITX</t>
        </is>
      </c>
      <c r="C768" s="300" t="inlineStr">
        <is>
          <t>台指10</t>
        </is>
      </c>
      <c r="D768" s="300" t="inlineStr">
        <is>
          <t>新倉</t>
        </is>
      </c>
      <c r="E768" s="301" t="inlineStr">
        <is>
          <t>買</t>
        </is>
      </c>
      <c r="F768" s="300" t="inlineStr">
        <is>
          <t>-</t>
        </is>
      </c>
      <c r="G768" s="741" t="n">
        <v>1</v>
      </c>
      <c r="H768" s="741" t="n">
        <v>10931</v>
      </c>
      <c r="I768" s="741" t="n">
        <v>0</v>
      </c>
      <c r="J768" s="742" t="n">
        <v>45</v>
      </c>
      <c r="K768" s="742" t="n">
        <v>44</v>
      </c>
      <c r="L768" s="742">
        <f>IF(B768="TXO",I768-SUM(J768:K768),IF(B768="FITX",IF(D768="新倉",-SUM(J768:K768),IF(E768="賣",(H768-H767)*G768*200-SUM(J768:K768),(H767-H768)*G768*200-SUM(J768:K768))),IF(D768="新倉",-SUM(J768:K768),IF(E768="賣",(H768-H767)*G768*50-SUM(J768:K768),(H767-H768)*G768*50-SUM(J768:K768)))))</f>
        <v/>
      </c>
      <c r="M768" s="743">
        <f>L768</f>
        <v/>
      </c>
      <c r="N768" s="686">
        <f>IF(B768="TXO","",IF(D768="新倉","",IF(E768="賣",(H768-H767)*G768,(H767-H768)*G768)))</f>
        <v/>
      </c>
      <c r="O768" s="226">
        <f>ABS(I768)</f>
        <v/>
      </c>
      <c r="P768" s="667" t="n"/>
      <c r="Q768" s="310" t="n"/>
      <c r="R768" s="310" t="n"/>
      <c r="S768" s="249" t="n"/>
      <c r="T768" s="61">
        <f>IF(AND(R768="Yes",S768&lt;&gt;"Yes",L768&gt;0,B768&lt;&gt;"TXO"),L768,"")</f>
        <v/>
      </c>
      <c r="U768" s="61">
        <f>IF(AND(R768="Yes",S768&lt;&gt;"Yes",L768&lt;0,B768&lt;&gt;"TXO"),L768,"")</f>
        <v/>
      </c>
      <c r="V768" s="61">
        <f>IF(AND(R768="",S768&lt;&gt;"Yes",L768&gt;0,B768&lt;&gt;"TXO"),L768,"")</f>
        <v/>
      </c>
      <c r="W768" s="61">
        <f>IF(AND(R768="",S768&lt;&gt;"Yes",L768&lt;0,B768&lt;&gt;"TXO"),L768,"")</f>
        <v/>
      </c>
      <c r="X768" s="226">
        <f>IF(AND(R768="Yes",S768="Yes",L768&gt;0,B768&lt;&gt;"TXO"),L768,"")</f>
        <v/>
      </c>
      <c r="Y768" s="226">
        <f>IF(AND(R768="Yes",S768="Yes",L768&lt;0,B768&lt;&gt;"TXO"),L768,"")</f>
        <v/>
      </c>
      <c r="Z768" s="226">
        <f>IF(AND(R768="",S768="Yes",L768&gt;0,B768&lt;&gt;"TXO"),L768,"")</f>
        <v/>
      </c>
      <c r="AA768" s="226">
        <f>IF(AND(R768="",S768="Yes",L768&lt;0,B768&lt;&gt;"TXO"),L768,"")</f>
        <v/>
      </c>
    </row>
    <row r="769" hidden="1" outlineLevel="2" collapsed="1" ht="17.25" customHeight="1" thickBot="1">
      <c r="A769" s="740" t="n">
        <v>43364</v>
      </c>
      <c r="B769" s="299" t="inlineStr">
        <is>
          <t>FITX</t>
        </is>
      </c>
      <c r="C769" s="300" t="inlineStr">
        <is>
          <t>台指10</t>
        </is>
      </c>
      <c r="D769" s="300" t="inlineStr">
        <is>
          <t>平倉</t>
        </is>
      </c>
      <c r="E769" s="301" t="inlineStr">
        <is>
          <t>賣</t>
        </is>
      </c>
      <c r="F769" s="300" t="inlineStr">
        <is>
          <t>-</t>
        </is>
      </c>
      <c r="G769" s="741" t="n">
        <v>1</v>
      </c>
      <c r="H769" s="741" t="n">
        <v>10926</v>
      </c>
      <c r="I769" s="741" t="n">
        <v>0</v>
      </c>
      <c r="J769" s="742" t="n">
        <v>45</v>
      </c>
      <c r="K769" s="742" t="n">
        <v>44</v>
      </c>
      <c r="L769" s="742">
        <f>IF(B769="TXO",I769-SUM(J769:K769),IF(B769="FITX",IF(D769="新倉",-SUM(J769:K769),IF(E769="賣",(H769-H768)*G769*200-SUM(J769:K769),(H768-H769)*G769*200-SUM(J769:K769))),IF(D769="新倉",-SUM(J769:K769),IF(E769="賣",(H769-H768)*G769*50-SUM(J769:K769),(H768-H769)*G769*50-SUM(J769:K769)))))</f>
        <v/>
      </c>
      <c r="M769" s="743">
        <f>L769</f>
        <v/>
      </c>
      <c r="N769" s="686">
        <f>IF(B769="TXO","",IF(D769="新倉","",IF(E769="賣",(H769-H768)*G769,(H768-H769)*G769)))</f>
        <v/>
      </c>
      <c r="O769" s="226">
        <f>ABS(I769)</f>
        <v/>
      </c>
      <c r="P769" s="667" t="n"/>
      <c r="Q769" s="310" t="n"/>
      <c r="S769" s="249" t="n"/>
      <c r="T769" s="61">
        <f>IF(AND(R769="Yes",S769&lt;&gt;"Yes",L769&gt;0,B769&lt;&gt;"TXO"),L769,"")</f>
        <v/>
      </c>
      <c r="U769" s="61">
        <f>IF(AND(R769="Yes",S769&lt;&gt;"Yes",L769&lt;0,B769&lt;&gt;"TXO"),L769,"")</f>
        <v/>
      </c>
      <c r="V769" s="61">
        <f>IF(AND(R769="",S769&lt;&gt;"Yes",L769&gt;0,B769&lt;&gt;"TXO"),L769,"")</f>
        <v/>
      </c>
      <c r="W769" s="61">
        <f>IF(AND(R769="",S769&lt;&gt;"Yes",L769&lt;0,B769&lt;&gt;"TXO"),L769,"")</f>
        <v/>
      </c>
      <c r="X769" s="226">
        <f>IF(AND(R769="Yes",S769="Yes",L769&gt;0,B769&lt;&gt;"TXO"),L769,"")</f>
        <v/>
      </c>
      <c r="Y769" s="226">
        <f>IF(AND(R769="Yes",S769="Yes",L769&lt;0,B769&lt;&gt;"TXO"),L769,"")</f>
        <v/>
      </c>
      <c r="Z769" s="226">
        <f>IF(AND(R769="",S769="Yes",L769&gt;0,B769&lt;&gt;"TXO"),L769,"")</f>
        <v/>
      </c>
      <c r="AA769" s="226">
        <f>IF(AND(R769="",S769="Yes",L769&lt;0,B769&lt;&gt;"TXO"),L769,"")</f>
        <v/>
      </c>
    </row>
    <row r="770" hidden="1" outlineLevel="2" collapsed="1" ht="17.25" customHeight="1" thickBot="1">
      <c r="A770" s="740" t="n">
        <v>43364</v>
      </c>
      <c r="B770" s="299" t="inlineStr">
        <is>
          <t>FITX</t>
        </is>
      </c>
      <c r="C770" s="300" t="inlineStr">
        <is>
          <t>台指10</t>
        </is>
      </c>
      <c r="D770" s="300" t="inlineStr">
        <is>
          <t>新倉</t>
        </is>
      </c>
      <c r="E770" s="301" t="inlineStr">
        <is>
          <t>賣</t>
        </is>
      </c>
      <c r="F770" s="300" t="inlineStr">
        <is>
          <t>-</t>
        </is>
      </c>
      <c r="G770" s="741" t="n">
        <v>1</v>
      </c>
      <c r="H770" s="741" t="n">
        <v>10927</v>
      </c>
      <c r="I770" s="741" t="n">
        <v>0</v>
      </c>
      <c r="J770" s="742" t="n">
        <v>45</v>
      </c>
      <c r="K770" s="742" t="n">
        <v>44</v>
      </c>
      <c r="L770" s="742">
        <f>IF(B770="TXO",I770-SUM(J770:K770),IF(B770="FITX",IF(D770="新倉",-SUM(J770:K770),IF(E770="賣",(H770-H769)*G770*200-SUM(J770:K770),(H769-H770)*G770*200-SUM(J770:K770))),IF(D770="新倉",-SUM(J770:K770),IF(E770="賣",(H770-H769)*G770*50-SUM(J770:K770),(H769-H770)*G770*50-SUM(J770:K770)))))</f>
        <v/>
      </c>
      <c r="M770" s="743">
        <f>L770</f>
        <v/>
      </c>
      <c r="N770" s="686">
        <f>IF(B770="TXO","",IF(D770="新倉","",IF(E770="賣",(H770-H769)*G770,(H769-H770)*G770)))</f>
        <v/>
      </c>
      <c r="O770" s="226">
        <f>ABS(I770)</f>
        <v/>
      </c>
      <c r="P770" s="667" t="n"/>
      <c r="Q770" s="310" t="n"/>
      <c r="R770" s="310" t="n"/>
      <c r="S770" s="249" t="n"/>
      <c r="T770" s="61">
        <f>IF(AND(R770="Yes",S770&lt;&gt;"Yes",L770&gt;0,B770&lt;&gt;"TXO"),L770,"")</f>
        <v/>
      </c>
      <c r="U770" s="61">
        <f>IF(AND(R770="Yes",S770&lt;&gt;"Yes",L770&lt;0,B770&lt;&gt;"TXO"),L770,"")</f>
        <v/>
      </c>
      <c r="V770" s="61">
        <f>IF(AND(R770="",S770&lt;&gt;"Yes",L770&gt;0,B770&lt;&gt;"TXO"),L770,"")</f>
        <v/>
      </c>
      <c r="W770" s="61">
        <f>IF(AND(R770="",S770&lt;&gt;"Yes",L770&lt;0,B770&lt;&gt;"TXO"),L770,"")</f>
        <v/>
      </c>
      <c r="X770" s="226">
        <f>IF(AND(R770="Yes",S770="Yes",L770&gt;0,B770&lt;&gt;"TXO"),L770,"")</f>
        <v/>
      </c>
      <c r="Y770" s="226">
        <f>IF(AND(R770="Yes",S770="Yes",L770&lt;0,B770&lt;&gt;"TXO"),L770,"")</f>
        <v/>
      </c>
      <c r="Z770" s="226">
        <f>IF(AND(R770="",S770="Yes",L770&gt;0,B770&lt;&gt;"TXO"),L770,"")</f>
        <v/>
      </c>
      <c r="AA770" s="226">
        <f>IF(AND(R770="",S770="Yes",L770&lt;0,B770&lt;&gt;"TXO"),L770,"")</f>
        <v/>
      </c>
    </row>
    <row r="771" hidden="1" outlineLevel="2" collapsed="1" ht="17.25" customHeight="1" thickBot="1">
      <c r="A771" s="740" t="n">
        <v>43364</v>
      </c>
      <c r="B771" s="299" t="inlineStr">
        <is>
          <t>FITX</t>
        </is>
      </c>
      <c r="C771" s="300" t="inlineStr">
        <is>
          <t>台指10</t>
        </is>
      </c>
      <c r="D771" s="300" t="inlineStr">
        <is>
          <t>平倉</t>
        </is>
      </c>
      <c r="E771" s="301" t="inlineStr">
        <is>
          <t>買</t>
        </is>
      </c>
      <c r="F771" s="300" t="inlineStr">
        <is>
          <t>-</t>
        </is>
      </c>
      <c r="G771" s="741" t="n">
        <v>1</v>
      </c>
      <c r="H771" s="741" t="n">
        <v>10918</v>
      </c>
      <c r="I771" s="741" t="n">
        <v>0</v>
      </c>
      <c r="J771" s="742" t="n">
        <v>45</v>
      </c>
      <c r="K771" s="742" t="n">
        <v>44</v>
      </c>
      <c r="L771" s="742">
        <f>IF(B771="TXO",I771-SUM(J771:K771),IF(B771="FITX",IF(D771="新倉",-SUM(J771:K771),IF(E771="賣",(H771-H770)*G771*200-SUM(J771:K771),(H770-H771)*G771*200-SUM(J771:K771))),IF(D771="新倉",-SUM(J771:K771),IF(E771="賣",(H771-H770)*G771*50-SUM(J771:K771),(H770-H771)*G771*50-SUM(J771:K771)))))</f>
        <v/>
      </c>
      <c r="M771" s="743">
        <f>L771</f>
        <v/>
      </c>
      <c r="N771" s="686">
        <f>IF(B771="TXO","",IF(D771="新倉","",IF(E771="賣",(H771-H770)*G771,(H770-H771)*G771)))</f>
        <v/>
      </c>
      <c r="O771" s="226">
        <f>ABS(I771)</f>
        <v/>
      </c>
      <c r="P771" s="667" t="n"/>
      <c r="Q771" s="310" t="n"/>
      <c r="S771" s="249" t="n"/>
      <c r="T771" s="61">
        <f>IF(AND(R771="Yes",S771&lt;&gt;"Yes",L771&gt;0,B771&lt;&gt;"TXO"),L771,"")</f>
        <v/>
      </c>
      <c r="U771" s="61">
        <f>IF(AND(R771="Yes",S771&lt;&gt;"Yes",L771&lt;0,B771&lt;&gt;"TXO"),L771,"")</f>
        <v/>
      </c>
      <c r="V771" s="61">
        <f>IF(AND(R771="",S771&lt;&gt;"Yes",L771&gt;0,B771&lt;&gt;"TXO"),L771,"")</f>
        <v/>
      </c>
      <c r="W771" s="61">
        <f>IF(AND(R771="",S771&lt;&gt;"Yes",L771&lt;0,B771&lt;&gt;"TXO"),L771,"")</f>
        <v/>
      </c>
      <c r="X771" s="226">
        <f>IF(AND(R771="Yes",S771="Yes",L771&gt;0,B771&lt;&gt;"TXO"),L771,"")</f>
        <v/>
      </c>
      <c r="Y771" s="226">
        <f>IF(AND(R771="Yes",S771="Yes",L771&lt;0,B771&lt;&gt;"TXO"),L771,"")</f>
        <v/>
      </c>
      <c r="Z771" s="226">
        <f>IF(AND(R771="",S771="Yes",L771&gt;0,B771&lt;&gt;"TXO"),L771,"")</f>
        <v/>
      </c>
      <c r="AA771" s="226">
        <f>IF(AND(R771="",S771="Yes",L771&lt;0,B771&lt;&gt;"TXO"),L771,"")</f>
        <v/>
      </c>
    </row>
    <row r="772" hidden="1" outlineLevel="2" collapsed="1" ht="17.25" customHeight="1" thickBot="1">
      <c r="A772" s="740" t="n">
        <v>43364</v>
      </c>
      <c r="B772" s="299" t="inlineStr">
        <is>
          <t>FITX</t>
        </is>
      </c>
      <c r="C772" s="300" t="inlineStr">
        <is>
          <t>台指10</t>
        </is>
      </c>
      <c r="D772" s="300" t="inlineStr">
        <is>
          <t>新倉</t>
        </is>
      </c>
      <c r="E772" s="301" t="inlineStr">
        <is>
          <t>賣</t>
        </is>
      </c>
      <c r="F772" s="300" t="inlineStr">
        <is>
          <t>-</t>
        </is>
      </c>
      <c r="G772" s="741" t="n">
        <v>1</v>
      </c>
      <c r="H772" s="741" t="n">
        <v>10911</v>
      </c>
      <c r="I772" s="741" t="n">
        <v>0</v>
      </c>
      <c r="J772" s="742" t="n">
        <v>45</v>
      </c>
      <c r="K772" s="742" t="n">
        <v>44</v>
      </c>
      <c r="L772" s="742">
        <f>IF(B772="TXO",I772-SUM(J772:K772),IF(B772="FITX",IF(D772="新倉",-SUM(J772:K772),IF(E772="賣",(H772-H771)*G772*200-SUM(J772:K772),(H771-H772)*G772*200-SUM(J772:K772))),IF(D772="新倉",-SUM(J772:K772),IF(E772="賣",(H772-H771)*G772*50-SUM(J772:K772),(H771-H772)*G772*50-SUM(J772:K772)))))</f>
        <v/>
      </c>
      <c r="M772" s="743">
        <f>L772</f>
        <v/>
      </c>
      <c r="N772" s="686">
        <f>IF(B772="TXO","",IF(D772="新倉","",IF(E772="賣",(H772-H771)*G772,(H771-H772)*G772)))</f>
        <v/>
      </c>
      <c r="O772" s="226">
        <f>ABS(I772)</f>
        <v/>
      </c>
      <c r="P772" s="667" t="n"/>
      <c r="Q772" s="310" t="n"/>
      <c r="R772" s="310" t="n"/>
      <c r="S772" s="249" t="n"/>
      <c r="T772" s="61">
        <f>IF(AND(R772="Yes",S772&lt;&gt;"Yes",L772&gt;0,B772&lt;&gt;"TXO"),L772,"")</f>
        <v/>
      </c>
      <c r="U772" s="61">
        <f>IF(AND(R772="Yes",S772&lt;&gt;"Yes",L772&lt;0,B772&lt;&gt;"TXO"),L772,"")</f>
        <v/>
      </c>
      <c r="V772" s="61">
        <f>IF(AND(R772="",S772&lt;&gt;"Yes",L772&gt;0,B772&lt;&gt;"TXO"),L772,"")</f>
        <v/>
      </c>
      <c r="W772" s="61">
        <f>IF(AND(R772="",S772&lt;&gt;"Yes",L772&lt;0,B772&lt;&gt;"TXO"),L772,"")</f>
        <v/>
      </c>
      <c r="X772" s="226">
        <f>IF(AND(R772="Yes",S772="Yes",L772&gt;0,B772&lt;&gt;"TXO"),L772,"")</f>
        <v/>
      </c>
      <c r="Y772" s="226">
        <f>IF(AND(R772="Yes",S772="Yes",L772&lt;0,B772&lt;&gt;"TXO"),L772,"")</f>
        <v/>
      </c>
      <c r="Z772" s="226">
        <f>IF(AND(R772="",S772="Yes",L772&gt;0,B772&lt;&gt;"TXO"),L772,"")</f>
        <v/>
      </c>
      <c r="AA772" s="226">
        <f>IF(AND(R772="",S772="Yes",L772&lt;0,B772&lt;&gt;"TXO"),L772,"")</f>
        <v/>
      </c>
    </row>
    <row r="773" hidden="1" outlineLevel="2" collapsed="1" ht="17.25" customHeight="1" thickBot="1">
      <c r="A773" s="740" t="n">
        <v>43364</v>
      </c>
      <c r="B773" s="299" t="inlineStr">
        <is>
          <t>FITX</t>
        </is>
      </c>
      <c r="C773" s="300" t="inlineStr">
        <is>
          <t>台指10</t>
        </is>
      </c>
      <c r="D773" s="300" t="inlineStr">
        <is>
          <t>平倉</t>
        </is>
      </c>
      <c r="E773" s="301" t="inlineStr">
        <is>
          <t>買</t>
        </is>
      </c>
      <c r="F773" s="300" t="inlineStr">
        <is>
          <t>-</t>
        </is>
      </c>
      <c r="G773" s="741" t="n">
        <v>1</v>
      </c>
      <c r="H773" s="741" t="n">
        <v>10905</v>
      </c>
      <c r="I773" s="741" t="n">
        <v>0</v>
      </c>
      <c r="J773" s="742" t="n">
        <v>45</v>
      </c>
      <c r="K773" s="742" t="n">
        <v>44</v>
      </c>
      <c r="L773" s="742">
        <f>IF(B773="TXO",I773-SUM(J773:K773),IF(B773="FITX",IF(D773="新倉",-SUM(J773:K773),IF(E773="賣",(H773-H772)*G773*200-SUM(J773:K773),(H772-H773)*G773*200-SUM(J773:K773))),IF(D773="新倉",-SUM(J773:K773),IF(E773="賣",(H773-H772)*G773*50-SUM(J773:K773),(H772-H773)*G773*50-SUM(J773:K773)))))</f>
        <v/>
      </c>
      <c r="M773" s="743">
        <f>L773</f>
        <v/>
      </c>
      <c r="N773" s="686">
        <f>IF(B773="TXO","",IF(D773="新倉","",IF(E773="賣",(H773-H772)*G773,(H772-H773)*G773)))</f>
        <v/>
      </c>
      <c r="O773" s="226">
        <f>ABS(I773)</f>
        <v/>
      </c>
      <c r="P773" s="667" t="n"/>
      <c r="Q773" s="310" t="n"/>
      <c r="S773" s="249" t="n"/>
      <c r="T773" s="61">
        <f>IF(AND(R773="Yes",S773&lt;&gt;"Yes",L773&gt;0,B773&lt;&gt;"TXO"),L773,"")</f>
        <v/>
      </c>
      <c r="U773" s="61">
        <f>IF(AND(R773="Yes",S773&lt;&gt;"Yes",L773&lt;0,B773&lt;&gt;"TXO"),L773,"")</f>
        <v/>
      </c>
      <c r="V773" s="61">
        <f>IF(AND(R773="",S773&lt;&gt;"Yes",L773&gt;0,B773&lt;&gt;"TXO"),L773,"")</f>
        <v/>
      </c>
      <c r="W773" s="61">
        <f>IF(AND(R773="",S773&lt;&gt;"Yes",L773&lt;0,B773&lt;&gt;"TXO"),L773,"")</f>
        <v/>
      </c>
      <c r="X773" s="226">
        <f>IF(AND(R773="Yes",S773="Yes",L773&gt;0,B773&lt;&gt;"TXO"),L773,"")</f>
        <v/>
      </c>
      <c r="Y773" s="226">
        <f>IF(AND(R773="Yes",S773="Yes",L773&lt;0,B773&lt;&gt;"TXO"),L773,"")</f>
        <v/>
      </c>
      <c r="Z773" s="226">
        <f>IF(AND(R773="",S773="Yes",L773&gt;0,B773&lt;&gt;"TXO"),L773,"")</f>
        <v/>
      </c>
      <c r="AA773" s="226">
        <f>IF(AND(R773="",S773="Yes",L773&lt;0,B773&lt;&gt;"TXO"),L773,"")</f>
        <v/>
      </c>
    </row>
    <row r="774" hidden="1" outlineLevel="2" collapsed="1" ht="17.25" customHeight="1" thickBot="1">
      <c r="A774" s="740" t="n">
        <v>43364</v>
      </c>
      <c r="B774" s="299" t="inlineStr">
        <is>
          <t>FITX</t>
        </is>
      </c>
      <c r="C774" s="300" t="inlineStr">
        <is>
          <t>台指10</t>
        </is>
      </c>
      <c r="D774" s="300" t="inlineStr">
        <is>
          <t>新倉</t>
        </is>
      </c>
      <c r="E774" s="301" t="inlineStr">
        <is>
          <t>賣</t>
        </is>
      </c>
      <c r="F774" s="300" t="inlineStr">
        <is>
          <t>-</t>
        </is>
      </c>
      <c r="G774" s="741" t="n">
        <v>1</v>
      </c>
      <c r="H774" s="741" t="n">
        <v>10910</v>
      </c>
      <c r="I774" s="741" t="n">
        <v>0</v>
      </c>
      <c r="J774" s="742" t="n">
        <v>45</v>
      </c>
      <c r="K774" s="742" t="n">
        <v>44</v>
      </c>
      <c r="L774" s="742">
        <f>IF(B774="TXO",I774-SUM(J774:K774),IF(B774="FITX",IF(D774="新倉",-SUM(J774:K774),IF(E774="賣",(H774-H773)*G774*200-SUM(J774:K774),(H773-H774)*G774*200-SUM(J774:K774))),IF(D774="新倉",-SUM(J774:K774),IF(E774="賣",(H774-H773)*G774*50-SUM(J774:K774),(H773-H774)*G774*50-SUM(J774:K774)))))</f>
        <v/>
      </c>
      <c r="M774" s="743">
        <f>L774</f>
        <v/>
      </c>
      <c r="N774" s="686">
        <f>IF(B774="TXO","",IF(D774="新倉","",IF(E774="賣",(H774-H773)*G774,(H773-H774)*G774)))</f>
        <v/>
      </c>
      <c r="O774" s="226">
        <f>ABS(I774)</f>
        <v/>
      </c>
      <c r="P774" s="667" t="n"/>
      <c r="Q774" s="310" t="n"/>
      <c r="R774" s="310" t="n"/>
      <c r="S774" s="249" t="n"/>
      <c r="T774" s="61">
        <f>IF(AND(R774="Yes",S774&lt;&gt;"Yes",L774&gt;0,B774&lt;&gt;"TXO"),L774,"")</f>
        <v/>
      </c>
      <c r="U774" s="61">
        <f>IF(AND(R774="Yes",S774&lt;&gt;"Yes",L774&lt;0,B774&lt;&gt;"TXO"),L774,"")</f>
        <v/>
      </c>
      <c r="V774" s="61">
        <f>IF(AND(R774="",S774&lt;&gt;"Yes",L774&gt;0,B774&lt;&gt;"TXO"),L774,"")</f>
        <v/>
      </c>
      <c r="W774" s="61">
        <f>IF(AND(R774="",S774&lt;&gt;"Yes",L774&lt;0,B774&lt;&gt;"TXO"),L774,"")</f>
        <v/>
      </c>
      <c r="X774" s="226">
        <f>IF(AND(R774="Yes",S774="Yes",L774&gt;0,B774&lt;&gt;"TXO"),L774,"")</f>
        <v/>
      </c>
      <c r="Y774" s="226">
        <f>IF(AND(R774="Yes",S774="Yes",L774&lt;0,B774&lt;&gt;"TXO"),L774,"")</f>
        <v/>
      </c>
      <c r="Z774" s="226">
        <f>IF(AND(R774="",S774="Yes",L774&gt;0,B774&lt;&gt;"TXO"),L774,"")</f>
        <v/>
      </c>
      <c r="AA774" s="226">
        <f>IF(AND(R774="",S774="Yes",L774&lt;0,B774&lt;&gt;"TXO"),L774,"")</f>
        <v/>
      </c>
    </row>
    <row r="775" hidden="1" outlineLevel="2" collapsed="1" ht="17.25" customHeight="1" thickBot="1">
      <c r="A775" s="740" t="n">
        <v>43364</v>
      </c>
      <c r="B775" s="299" t="inlineStr">
        <is>
          <t>FITX</t>
        </is>
      </c>
      <c r="C775" s="300" t="inlineStr">
        <is>
          <t>台指10</t>
        </is>
      </c>
      <c r="D775" s="300" t="inlineStr">
        <is>
          <t>平倉</t>
        </is>
      </c>
      <c r="E775" s="301" t="inlineStr">
        <is>
          <t>買</t>
        </is>
      </c>
      <c r="F775" s="300" t="inlineStr">
        <is>
          <t>-</t>
        </is>
      </c>
      <c r="G775" s="741" t="n">
        <v>1</v>
      </c>
      <c r="H775" s="741" t="n">
        <v>10920</v>
      </c>
      <c r="I775" s="741" t="n">
        <v>0</v>
      </c>
      <c r="J775" s="742" t="n">
        <v>45</v>
      </c>
      <c r="K775" s="742" t="n">
        <v>44</v>
      </c>
      <c r="L775" s="742">
        <f>IF(B775="TXO",I775-SUM(J775:K775),IF(B775="FITX",IF(D775="新倉",-SUM(J775:K775),IF(E775="賣",(H775-H774)*G775*200-SUM(J775:K775),(H774-H775)*G775*200-SUM(J775:K775))),IF(D775="新倉",-SUM(J775:K775),IF(E775="賣",(H775-H774)*G775*50-SUM(J775:K775),(H774-H775)*G775*50-SUM(J775:K775)))))</f>
        <v/>
      </c>
      <c r="M775" s="743">
        <f>L775</f>
        <v/>
      </c>
      <c r="N775" s="686">
        <f>IF(B775="TXO","",IF(D775="新倉","",IF(E775="賣",(H775-H774)*G775,(H774-H775)*G775)))</f>
        <v/>
      </c>
      <c r="O775" s="226">
        <f>ABS(I775)</f>
        <v/>
      </c>
      <c r="P775" s="667" t="n"/>
      <c r="Q775" s="310" t="n"/>
      <c r="S775" s="249" t="n"/>
      <c r="T775" s="61">
        <f>IF(AND(R775="Yes",S775&lt;&gt;"Yes",L775&gt;0,B775&lt;&gt;"TXO"),L775,"")</f>
        <v/>
      </c>
      <c r="U775" s="61">
        <f>IF(AND(R775="Yes",S775&lt;&gt;"Yes",L775&lt;0,B775&lt;&gt;"TXO"),L775,"")</f>
        <v/>
      </c>
      <c r="V775" s="61">
        <f>IF(AND(R775="",S775&lt;&gt;"Yes",L775&gt;0,B775&lt;&gt;"TXO"),L775,"")</f>
        <v/>
      </c>
      <c r="W775" s="61">
        <f>IF(AND(R775="",S775&lt;&gt;"Yes",L775&lt;0,B775&lt;&gt;"TXO"),L775,"")</f>
        <v/>
      </c>
      <c r="X775" s="226">
        <f>IF(AND(R775="Yes",S775="Yes",L775&gt;0,B775&lt;&gt;"TXO"),L775,"")</f>
        <v/>
      </c>
      <c r="Y775" s="226">
        <f>IF(AND(R775="Yes",S775="Yes",L775&lt;0,B775&lt;&gt;"TXO"),L775,"")</f>
        <v/>
      </c>
      <c r="Z775" s="226">
        <f>IF(AND(R775="",S775="Yes",L775&gt;0,B775&lt;&gt;"TXO"),L775,"")</f>
        <v/>
      </c>
      <c r="AA775" s="226">
        <f>IF(AND(R775="",S775="Yes",L775&lt;0,B775&lt;&gt;"TXO"),L775,"")</f>
        <v/>
      </c>
    </row>
    <row r="776" hidden="1" outlineLevel="2" collapsed="1" ht="17.25" customHeight="1" thickBot="1">
      <c r="A776" s="740" t="n">
        <v>43364</v>
      </c>
      <c r="B776" s="299" t="inlineStr">
        <is>
          <t>FITX</t>
        </is>
      </c>
      <c r="C776" s="300" t="inlineStr">
        <is>
          <t>台指10</t>
        </is>
      </c>
      <c r="D776" s="300" t="inlineStr">
        <is>
          <t>新倉</t>
        </is>
      </c>
      <c r="E776" s="301" t="inlineStr">
        <is>
          <t>買</t>
        </is>
      </c>
      <c r="F776" s="300" t="inlineStr">
        <is>
          <t>-</t>
        </is>
      </c>
      <c r="G776" s="741" t="n">
        <v>1</v>
      </c>
      <c r="H776" s="741" t="n">
        <v>10926</v>
      </c>
      <c r="I776" s="741" t="n">
        <v>0</v>
      </c>
      <c r="J776" s="742" t="n">
        <v>45</v>
      </c>
      <c r="K776" s="742" t="n">
        <v>44</v>
      </c>
      <c r="L776" s="742">
        <f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/>
      </c>
      <c r="M776" s="743">
        <f>L776</f>
        <v/>
      </c>
      <c r="N776" s="686">
        <f>IF(B776="TXO","",IF(D776="新倉","",IF(E776="賣",(H776-H775)*G776,(H775-H776)*G776)))</f>
        <v/>
      </c>
      <c r="O776" s="226">
        <f>ABS(I776)</f>
        <v/>
      </c>
      <c r="P776" s="667" t="n"/>
      <c r="Q776" s="310" t="n"/>
      <c r="R776" s="310" t="n"/>
      <c r="S776" s="249" t="n"/>
      <c r="T776" s="61">
        <f>IF(AND(R776="Yes",S776&lt;&gt;"Yes",L776&gt;0,B776&lt;&gt;"TXO"),L776,"")</f>
        <v/>
      </c>
      <c r="U776" s="61">
        <f>IF(AND(R776="Yes",S776&lt;&gt;"Yes",L776&lt;0,B776&lt;&gt;"TXO"),L776,"")</f>
        <v/>
      </c>
      <c r="V776" s="61">
        <f>IF(AND(R776="",S776&lt;&gt;"Yes",L776&gt;0,B776&lt;&gt;"TXO"),L776,"")</f>
        <v/>
      </c>
      <c r="W776" s="61">
        <f>IF(AND(R776="",S776&lt;&gt;"Yes",L776&lt;0,B776&lt;&gt;"TXO"),L776,"")</f>
        <v/>
      </c>
      <c r="X776" s="226">
        <f>IF(AND(R776="Yes",S776="Yes",L776&gt;0,B776&lt;&gt;"TXO"),L776,"")</f>
        <v/>
      </c>
      <c r="Y776" s="226">
        <f>IF(AND(R776="Yes",S776="Yes",L776&lt;0,B776&lt;&gt;"TXO"),L776,"")</f>
        <v/>
      </c>
      <c r="Z776" s="226">
        <f>IF(AND(R776="",S776="Yes",L776&gt;0,B776&lt;&gt;"TXO"),L776,"")</f>
        <v/>
      </c>
      <c r="AA776" s="226">
        <f>IF(AND(R776="",S776="Yes",L776&lt;0,B776&lt;&gt;"TXO"),L776,"")</f>
        <v/>
      </c>
    </row>
    <row r="777" hidden="1" outlineLevel="2" collapsed="1" ht="17.25" customHeight="1" thickBot="1">
      <c r="A777" s="740" t="n">
        <v>43364</v>
      </c>
      <c r="B777" s="299" t="inlineStr">
        <is>
          <t>FITX</t>
        </is>
      </c>
      <c r="C777" s="300" t="inlineStr">
        <is>
          <t>台指10</t>
        </is>
      </c>
      <c r="D777" s="300" t="inlineStr">
        <is>
          <t>平倉</t>
        </is>
      </c>
      <c r="E777" s="301" t="inlineStr">
        <is>
          <t>賣</t>
        </is>
      </c>
      <c r="F777" s="300" t="inlineStr">
        <is>
          <t>-</t>
        </is>
      </c>
      <c r="G777" s="741" t="n">
        <v>1</v>
      </c>
      <c r="H777" s="741" t="n">
        <v>10920</v>
      </c>
      <c r="I777" s="741" t="n">
        <v>0</v>
      </c>
      <c r="J777" s="742" t="n">
        <v>45</v>
      </c>
      <c r="K777" s="742" t="n">
        <v>44</v>
      </c>
      <c r="L777" s="742">
        <f>IF(B777="TXO",I777-SUM(J777:K777),IF(B777="FITX",IF(D777="新倉",-SUM(J777:K777),IF(E777="賣",(H777-H776)*G777*200-SUM(J777:K777),(H776-H777)*G777*200-SUM(J777:K777))),IF(D777="新倉",-SUM(J777:K777),IF(E777="賣",(H777-H776)*G777*50-SUM(J777:K777),(H776-H777)*G777*50-SUM(J777:K777)))))</f>
        <v/>
      </c>
      <c r="M777" s="743">
        <f>L777</f>
        <v/>
      </c>
      <c r="N777" s="686">
        <f>IF(B777="TXO","",IF(D777="新倉","",IF(E777="賣",(H777-H776)*G777,(H776-H777)*G777)))</f>
        <v/>
      </c>
      <c r="O777" s="226">
        <f>ABS(I777)</f>
        <v/>
      </c>
      <c r="P777" s="667" t="n"/>
      <c r="Q777" s="310" t="n"/>
      <c r="S777" s="249" t="n"/>
      <c r="T777" s="61">
        <f>IF(AND(R777="Yes",S777&lt;&gt;"Yes",L777&gt;0,B777&lt;&gt;"TXO"),L777,"")</f>
        <v/>
      </c>
      <c r="U777" s="61">
        <f>IF(AND(R777="Yes",S777&lt;&gt;"Yes",L777&lt;0,B777&lt;&gt;"TXO"),L777,"")</f>
        <v/>
      </c>
      <c r="V777" s="61">
        <f>IF(AND(R777="",S777&lt;&gt;"Yes",L777&gt;0,B777&lt;&gt;"TXO"),L777,"")</f>
        <v/>
      </c>
      <c r="W777" s="61">
        <f>IF(AND(R777="",S777&lt;&gt;"Yes",L777&lt;0,B777&lt;&gt;"TXO"),L777,"")</f>
        <v/>
      </c>
      <c r="X777" s="226">
        <f>IF(AND(R777="Yes",S777="Yes",L777&gt;0,B777&lt;&gt;"TXO"),L777,"")</f>
        <v/>
      </c>
      <c r="Y777" s="226">
        <f>IF(AND(R777="Yes",S777="Yes",L777&lt;0,B777&lt;&gt;"TXO"),L777,"")</f>
        <v/>
      </c>
      <c r="Z777" s="226">
        <f>IF(AND(R777="",S777="Yes",L777&gt;0,B777&lt;&gt;"TXO"),L777,"")</f>
        <v/>
      </c>
      <c r="AA777" s="226">
        <f>IF(AND(R777="",S777="Yes",L777&lt;0,B777&lt;&gt;"TXO"),L777,"")</f>
        <v/>
      </c>
    </row>
    <row r="778" hidden="1" outlineLevel="2" collapsed="1" ht="17.25" customHeight="1" thickBot="1">
      <c r="A778" s="740" t="n">
        <v>43364</v>
      </c>
      <c r="B778" s="299" t="inlineStr">
        <is>
          <t>FITX</t>
        </is>
      </c>
      <c r="C778" s="300" t="inlineStr">
        <is>
          <t>台指10</t>
        </is>
      </c>
      <c r="D778" s="300" t="inlineStr">
        <is>
          <t>新倉</t>
        </is>
      </c>
      <c r="E778" s="301" t="inlineStr">
        <is>
          <t>買</t>
        </is>
      </c>
      <c r="F778" s="300" t="inlineStr">
        <is>
          <t>-</t>
        </is>
      </c>
      <c r="G778" s="741" t="n">
        <v>1</v>
      </c>
      <c r="H778" s="741" t="n">
        <v>10922</v>
      </c>
      <c r="I778" s="741" t="n">
        <v>0</v>
      </c>
      <c r="J778" s="742" t="n">
        <v>45</v>
      </c>
      <c r="K778" s="742" t="n">
        <v>44</v>
      </c>
      <c r="L778" s="742">
        <f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/>
      </c>
      <c r="M778" s="743">
        <f>L778</f>
        <v/>
      </c>
      <c r="N778" s="686">
        <f>IF(B778="TXO","",IF(D778="新倉","",IF(E778="賣",(H778-H777)*G778,(H777-H778)*G778)))</f>
        <v/>
      </c>
      <c r="O778" s="226">
        <f>ABS(I778)</f>
        <v/>
      </c>
      <c r="P778" s="667" t="n"/>
      <c r="Q778" s="310" t="n"/>
      <c r="R778" s="310" t="n"/>
      <c r="S778" s="249" t="n"/>
      <c r="T778" s="61">
        <f>IF(AND(R778="Yes",S778&lt;&gt;"Yes",L778&gt;0,B778&lt;&gt;"TXO"),L778,"")</f>
        <v/>
      </c>
      <c r="U778" s="61">
        <f>IF(AND(R778="Yes",S778&lt;&gt;"Yes",L778&lt;0,B778&lt;&gt;"TXO"),L778,"")</f>
        <v/>
      </c>
      <c r="V778" s="61">
        <f>IF(AND(R778="",S778&lt;&gt;"Yes",L778&gt;0,B778&lt;&gt;"TXO"),L778,"")</f>
        <v/>
      </c>
      <c r="W778" s="61">
        <f>IF(AND(R778="",S778&lt;&gt;"Yes",L778&lt;0,B778&lt;&gt;"TXO"),L778,"")</f>
        <v/>
      </c>
      <c r="X778" s="226">
        <f>IF(AND(R778="Yes",S778="Yes",L778&gt;0,B778&lt;&gt;"TXO"),L778,"")</f>
        <v/>
      </c>
      <c r="Y778" s="226">
        <f>IF(AND(R778="Yes",S778="Yes",L778&lt;0,B778&lt;&gt;"TXO"),L778,"")</f>
        <v/>
      </c>
      <c r="Z778" s="226">
        <f>IF(AND(R778="",S778="Yes",L778&gt;0,B778&lt;&gt;"TXO"),L778,"")</f>
        <v/>
      </c>
      <c r="AA778" s="226">
        <f>IF(AND(R778="",S778="Yes",L778&lt;0,B778&lt;&gt;"TXO"),L778,"")</f>
        <v/>
      </c>
    </row>
    <row r="779" hidden="1" outlineLevel="2" collapsed="1" ht="17.25" customHeight="1" thickBot="1">
      <c r="A779" s="740" t="n">
        <v>43364</v>
      </c>
      <c r="B779" s="299" t="inlineStr">
        <is>
          <t>FITX</t>
        </is>
      </c>
      <c r="C779" s="300" t="inlineStr">
        <is>
          <t>台指10</t>
        </is>
      </c>
      <c r="D779" s="300" t="inlineStr">
        <is>
          <t>平倉</t>
        </is>
      </c>
      <c r="E779" s="301" t="inlineStr">
        <is>
          <t>賣</t>
        </is>
      </c>
      <c r="F779" s="300" t="inlineStr">
        <is>
          <t>-</t>
        </is>
      </c>
      <c r="G779" s="741" t="n">
        <v>1</v>
      </c>
      <c r="H779" s="741" t="n">
        <v>10924</v>
      </c>
      <c r="I779" s="741" t="n">
        <v>0</v>
      </c>
      <c r="J779" s="742" t="n">
        <v>45</v>
      </c>
      <c r="K779" s="742" t="n">
        <v>44</v>
      </c>
      <c r="L779" s="742">
        <f>IF(B779="TXO",I779-SUM(J779:K779),IF(B779="FITX",IF(D779="新倉",-SUM(J779:K779),IF(E779="賣",(H779-H778)*G779*200-SUM(J779:K779),(H778-H779)*G779*200-SUM(J779:K779))),IF(D779="新倉",-SUM(J779:K779),IF(E779="賣",(H779-H778)*G779*50-SUM(J779:K779),(H778-H779)*G779*50-SUM(J779:K779)))))</f>
        <v/>
      </c>
      <c r="M779" s="743">
        <f>L779</f>
        <v/>
      </c>
      <c r="N779" s="686">
        <f>IF(B779="TXO","",IF(D779="新倉","",IF(E779="賣",(H779-H778)*G779,(H778-H779)*G779)))</f>
        <v/>
      </c>
      <c r="O779" s="226">
        <f>ABS(I779)</f>
        <v/>
      </c>
      <c r="P779" s="667" t="n"/>
      <c r="Q779" s="310" t="n"/>
      <c r="S779" s="249" t="n"/>
      <c r="T779" s="61">
        <f>IF(AND(R779="Yes",S779&lt;&gt;"Yes",L779&gt;0,B779&lt;&gt;"TXO"),L779,"")</f>
        <v/>
      </c>
      <c r="U779" s="61">
        <f>IF(AND(R779="Yes",S779&lt;&gt;"Yes",L779&lt;0,B779&lt;&gt;"TXO"),L779,"")</f>
        <v/>
      </c>
      <c r="V779" s="61">
        <f>IF(AND(R779="",S779&lt;&gt;"Yes",L779&gt;0,B779&lt;&gt;"TXO"),L779,"")</f>
        <v/>
      </c>
      <c r="W779" s="61">
        <f>IF(AND(R779="",S779&lt;&gt;"Yes",L779&lt;0,B779&lt;&gt;"TXO"),L779,"")</f>
        <v/>
      </c>
      <c r="X779" s="226">
        <f>IF(AND(R779="Yes",S779="Yes",L779&gt;0,B779&lt;&gt;"TXO"),L779,"")</f>
        <v/>
      </c>
      <c r="Y779" s="226">
        <f>IF(AND(R779="Yes",S779="Yes",L779&lt;0,B779&lt;&gt;"TXO"),L779,"")</f>
        <v/>
      </c>
      <c r="Z779" s="226">
        <f>IF(AND(R779="",S779="Yes",L779&gt;0,B779&lt;&gt;"TXO"),L779,"")</f>
        <v/>
      </c>
      <c r="AA779" s="226">
        <f>IF(AND(R779="",S779="Yes",L779&lt;0,B779&lt;&gt;"TXO"),L779,"")</f>
        <v/>
      </c>
    </row>
    <row r="780" hidden="1" outlineLevel="2" collapsed="1" ht="17.25" customHeight="1" thickBot="1">
      <c r="A780" s="740" t="n">
        <v>43364</v>
      </c>
      <c r="B780" s="299" t="inlineStr">
        <is>
          <t>FITX</t>
        </is>
      </c>
      <c r="C780" s="300" t="inlineStr">
        <is>
          <t>台指10</t>
        </is>
      </c>
      <c r="D780" s="300" t="inlineStr">
        <is>
          <t>新倉</t>
        </is>
      </c>
      <c r="E780" s="301" t="inlineStr">
        <is>
          <t>買</t>
        </is>
      </c>
      <c r="F780" s="300" t="inlineStr">
        <is>
          <t>-</t>
        </is>
      </c>
      <c r="G780" s="741" t="n">
        <v>1</v>
      </c>
      <c r="H780" s="741" t="n">
        <v>10928</v>
      </c>
      <c r="I780" s="741" t="n">
        <v>0</v>
      </c>
      <c r="J780" s="742" t="n">
        <v>45</v>
      </c>
      <c r="K780" s="742" t="n">
        <v>44</v>
      </c>
      <c r="L780" s="742">
        <f>IF(B780="TXO",I780-SUM(J780:K780),IF(B780="FITX",IF(D780="新倉",-SUM(J780:K780),IF(E780="賣",(H780-H779)*G780*200-SUM(J780:K780),(H779-H780)*G780*200-SUM(J780:K780))),IF(D780="新倉",-SUM(J780:K780),IF(E780="賣",(H780-H779)*G780*50-SUM(J780:K780),(H779-H780)*G780*50-SUM(J780:K780)))))</f>
        <v/>
      </c>
      <c r="M780" s="743">
        <f>L780</f>
        <v/>
      </c>
      <c r="N780" s="686">
        <f>IF(B780="TXO","",IF(D780="新倉","",IF(E780="賣",(H780-H779)*G780,(H779-H780)*G780)))</f>
        <v/>
      </c>
      <c r="O780" s="226">
        <f>ABS(I780)</f>
        <v/>
      </c>
      <c r="P780" s="667" t="n"/>
      <c r="Q780" s="310" t="n"/>
      <c r="R780" s="310" t="n"/>
      <c r="S780" s="249" t="n"/>
      <c r="T780" s="61">
        <f>IF(AND(R780="Yes",S780&lt;&gt;"Yes",L780&gt;0,B780&lt;&gt;"TXO"),L780,"")</f>
        <v/>
      </c>
      <c r="U780" s="61">
        <f>IF(AND(R780="Yes",S780&lt;&gt;"Yes",L780&lt;0,B780&lt;&gt;"TXO"),L780,"")</f>
        <v/>
      </c>
      <c r="V780" s="61">
        <f>IF(AND(R780="",S780&lt;&gt;"Yes",L780&gt;0,B780&lt;&gt;"TXO"),L780,"")</f>
        <v/>
      </c>
      <c r="W780" s="61">
        <f>IF(AND(R780="",S780&lt;&gt;"Yes",L780&lt;0,B780&lt;&gt;"TXO"),L780,"")</f>
        <v/>
      </c>
      <c r="X780" s="226">
        <f>IF(AND(R780="Yes",S780="Yes",L780&gt;0,B780&lt;&gt;"TXO"),L780,"")</f>
        <v/>
      </c>
      <c r="Y780" s="226">
        <f>IF(AND(R780="Yes",S780="Yes",L780&lt;0,B780&lt;&gt;"TXO"),L780,"")</f>
        <v/>
      </c>
      <c r="Z780" s="226">
        <f>IF(AND(R780="",S780="Yes",L780&gt;0,B780&lt;&gt;"TXO"),L780,"")</f>
        <v/>
      </c>
      <c r="AA780" s="226">
        <f>IF(AND(R780="",S780="Yes",L780&lt;0,B780&lt;&gt;"TXO"),L780,"")</f>
        <v/>
      </c>
    </row>
    <row r="781" hidden="1" outlineLevel="2" collapsed="1" ht="17.25" customHeight="1" thickBot="1">
      <c r="A781" s="740" t="n">
        <v>43364</v>
      </c>
      <c r="B781" s="299" t="inlineStr">
        <is>
          <t>FITX</t>
        </is>
      </c>
      <c r="C781" s="300" t="inlineStr">
        <is>
          <t>台指10</t>
        </is>
      </c>
      <c r="D781" s="300" t="inlineStr">
        <is>
          <t>平倉</t>
        </is>
      </c>
      <c r="E781" s="301" t="inlineStr">
        <is>
          <t>賣</t>
        </is>
      </c>
      <c r="F781" s="300" t="inlineStr">
        <is>
          <t>-</t>
        </is>
      </c>
      <c r="G781" s="741" t="n">
        <v>1</v>
      </c>
      <c r="H781" s="741" t="n">
        <v>10932</v>
      </c>
      <c r="I781" s="741" t="n">
        <v>0</v>
      </c>
      <c r="J781" s="742" t="n">
        <v>45</v>
      </c>
      <c r="K781" s="742" t="n">
        <v>44</v>
      </c>
      <c r="L781" s="742">
        <f>IF(B781="TXO",I781-SUM(J781:K781),IF(B781="FITX",IF(D781="新倉",-SUM(J781:K781),IF(E781="賣",(H781-H780)*G781*200-SUM(J781:K781),(H780-H781)*G781*200-SUM(J781:K781))),IF(D781="新倉",-SUM(J781:K781),IF(E781="賣",(H781-H780)*G781*50-SUM(J781:K781),(H780-H781)*G781*50-SUM(J781:K781)))))</f>
        <v/>
      </c>
      <c r="M781" s="743">
        <f>L781</f>
        <v/>
      </c>
      <c r="N781" s="686">
        <f>IF(B781="TXO","",IF(D781="新倉","",IF(E781="賣",(H781-H780)*G781,(H780-H781)*G781)))</f>
        <v/>
      </c>
      <c r="O781" s="226">
        <f>ABS(I781)</f>
        <v/>
      </c>
      <c r="P781" s="667" t="n"/>
      <c r="Q781" s="310" t="n"/>
      <c r="S781" s="249" t="n"/>
      <c r="T781" s="61">
        <f>IF(AND(R781="Yes",S781&lt;&gt;"Yes",L781&gt;0,B781&lt;&gt;"TXO"),L781,"")</f>
        <v/>
      </c>
      <c r="U781" s="61">
        <f>IF(AND(R781="Yes",S781&lt;&gt;"Yes",L781&lt;0,B781&lt;&gt;"TXO"),L781,"")</f>
        <v/>
      </c>
      <c r="V781" s="61">
        <f>IF(AND(R781="",S781&lt;&gt;"Yes",L781&gt;0,B781&lt;&gt;"TXO"),L781,"")</f>
        <v/>
      </c>
      <c r="W781" s="61">
        <f>IF(AND(R781="",S781&lt;&gt;"Yes",L781&lt;0,B781&lt;&gt;"TXO"),L781,"")</f>
        <v/>
      </c>
      <c r="X781" s="226">
        <f>IF(AND(R781="Yes",S781="Yes",L781&gt;0,B781&lt;&gt;"TXO"),L781,"")</f>
        <v/>
      </c>
      <c r="Y781" s="226">
        <f>IF(AND(R781="Yes",S781="Yes",L781&lt;0,B781&lt;&gt;"TXO"),L781,"")</f>
        <v/>
      </c>
      <c r="Z781" s="226">
        <f>IF(AND(R781="",S781="Yes",L781&gt;0,B781&lt;&gt;"TXO"),L781,"")</f>
        <v/>
      </c>
      <c r="AA781" s="226">
        <f>IF(AND(R781="",S781="Yes",L781&lt;0,B781&lt;&gt;"TXO"),L781,"")</f>
        <v/>
      </c>
    </row>
    <row r="782" hidden="1" outlineLevel="2" collapsed="1" ht="17.25" customHeight="1" thickBot="1">
      <c r="A782" s="740" t="n">
        <v>43364</v>
      </c>
      <c r="B782" s="299" t="inlineStr">
        <is>
          <t>FITX</t>
        </is>
      </c>
      <c r="C782" s="300" t="inlineStr">
        <is>
          <t>台指10</t>
        </is>
      </c>
      <c r="D782" s="300" t="inlineStr">
        <is>
          <t>新倉</t>
        </is>
      </c>
      <c r="E782" s="301" t="inlineStr">
        <is>
          <t>買</t>
        </is>
      </c>
      <c r="F782" s="300" t="inlineStr">
        <is>
          <t>-</t>
        </is>
      </c>
      <c r="G782" s="741" t="n">
        <v>1</v>
      </c>
      <c r="H782" s="741" t="n">
        <v>10938</v>
      </c>
      <c r="I782" s="741" t="n">
        <v>0</v>
      </c>
      <c r="J782" s="742" t="n">
        <v>45</v>
      </c>
      <c r="K782" s="742" t="n">
        <v>44</v>
      </c>
      <c r="L782" s="742">
        <f>IF(B782="TXO",I782-SUM(J782:K782),IF(B782="FITX",IF(D782="新倉",-SUM(J782:K782),IF(E782="賣",(H782-H781)*G782*200-SUM(J782:K782),(H781-H782)*G782*200-SUM(J782:K782))),IF(D782="新倉",-SUM(J782:K782),IF(E782="賣",(H782-H781)*G782*50-SUM(J782:K782),(H781-H782)*G782*50-SUM(J782:K782)))))</f>
        <v/>
      </c>
      <c r="M782" s="743">
        <f>L782</f>
        <v/>
      </c>
      <c r="N782" s="686">
        <f>IF(B782="TXO","",IF(D782="新倉","",IF(E782="賣",(H782-H781)*G782,(H781-H782)*G782)))</f>
        <v/>
      </c>
      <c r="O782" s="226">
        <f>ABS(I782)</f>
        <v/>
      </c>
      <c r="P782" s="667" t="n"/>
      <c r="Q782" s="310" t="n"/>
      <c r="R782" s="310" t="n"/>
      <c r="S782" s="249" t="n"/>
      <c r="T782" s="61">
        <f>IF(AND(R782="Yes",S782&lt;&gt;"Yes",L782&gt;0,B782&lt;&gt;"TXO"),L782,"")</f>
        <v/>
      </c>
      <c r="U782" s="61">
        <f>IF(AND(R782="Yes",S782&lt;&gt;"Yes",L782&lt;0,B782&lt;&gt;"TXO"),L782,"")</f>
        <v/>
      </c>
      <c r="V782" s="61">
        <f>IF(AND(R782="",S782&lt;&gt;"Yes",L782&gt;0,B782&lt;&gt;"TXO"),L782,"")</f>
        <v/>
      </c>
      <c r="W782" s="61">
        <f>IF(AND(R782="",S782&lt;&gt;"Yes",L782&lt;0,B782&lt;&gt;"TXO"),L782,"")</f>
        <v/>
      </c>
      <c r="X782" s="226">
        <f>IF(AND(R782="Yes",S782="Yes",L782&gt;0,B782&lt;&gt;"TXO"),L782,"")</f>
        <v/>
      </c>
      <c r="Y782" s="226">
        <f>IF(AND(R782="Yes",S782="Yes",L782&lt;0,B782&lt;&gt;"TXO"),L782,"")</f>
        <v/>
      </c>
      <c r="Z782" s="226">
        <f>IF(AND(R782="",S782="Yes",L782&gt;0,B782&lt;&gt;"TXO"),L782,"")</f>
        <v/>
      </c>
      <c r="AA782" s="226">
        <f>IF(AND(R782="",S782="Yes",L782&lt;0,B782&lt;&gt;"TXO"),L782,"")</f>
        <v/>
      </c>
    </row>
    <row r="783" hidden="1" outlineLevel="2" collapsed="1" ht="17.25" customHeight="1" thickBot="1">
      <c r="A783" s="740" t="n">
        <v>43364</v>
      </c>
      <c r="B783" s="299" t="inlineStr">
        <is>
          <t>FITX</t>
        </is>
      </c>
      <c r="C783" s="300" t="inlineStr">
        <is>
          <t>台指10</t>
        </is>
      </c>
      <c r="D783" s="300" t="inlineStr">
        <is>
          <t>平倉</t>
        </is>
      </c>
      <c r="E783" s="301" t="inlineStr">
        <is>
          <t>賣</t>
        </is>
      </c>
      <c r="F783" s="300" t="inlineStr">
        <is>
          <t>-</t>
        </is>
      </c>
      <c r="G783" s="741" t="n">
        <v>1</v>
      </c>
      <c r="H783" s="741" t="n">
        <v>10932</v>
      </c>
      <c r="I783" s="741" t="n">
        <v>0</v>
      </c>
      <c r="J783" s="742" t="n">
        <v>45</v>
      </c>
      <c r="K783" s="742" t="n">
        <v>44</v>
      </c>
      <c r="L783" s="742">
        <f>IF(B783="TXO",I783-SUM(J783:K783),IF(B783="FITX",IF(D783="新倉",-SUM(J783:K783),IF(E783="賣",(H783-H782)*G783*200-SUM(J783:K783),(H782-H783)*G783*200-SUM(J783:K783))),IF(D783="新倉",-SUM(J783:K783),IF(E783="賣",(H783-H782)*G783*50-SUM(J783:K783),(H782-H783)*G783*50-SUM(J783:K783)))))</f>
        <v/>
      </c>
      <c r="M783" s="743">
        <f>L783</f>
        <v/>
      </c>
      <c r="N783" s="686">
        <f>IF(B783="TXO","",IF(D783="新倉","",IF(E783="賣",(H783-H782)*G783,(H782-H783)*G783)))</f>
        <v/>
      </c>
      <c r="O783" s="226">
        <f>ABS(I783)</f>
        <v/>
      </c>
      <c r="P783" s="667" t="n"/>
      <c r="Q783" s="310" t="n"/>
      <c r="S783" s="249" t="n"/>
      <c r="T783" s="61">
        <f>IF(AND(R783="Yes",S783&lt;&gt;"Yes",L783&gt;0,B783&lt;&gt;"TXO"),L783,"")</f>
        <v/>
      </c>
      <c r="U783" s="61">
        <f>IF(AND(R783="Yes",S783&lt;&gt;"Yes",L783&lt;0,B783&lt;&gt;"TXO"),L783,"")</f>
        <v/>
      </c>
      <c r="V783" s="61">
        <f>IF(AND(R783="",S783&lt;&gt;"Yes",L783&gt;0,B783&lt;&gt;"TXO"),L783,"")</f>
        <v/>
      </c>
      <c r="W783" s="61">
        <f>IF(AND(R783="",S783&lt;&gt;"Yes",L783&lt;0,B783&lt;&gt;"TXO"),L783,"")</f>
        <v/>
      </c>
      <c r="X783" s="226">
        <f>IF(AND(R783="Yes",S783="Yes",L783&gt;0,B783&lt;&gt;"TXO"),L783,"")</f>
        <v/>
      </c>
      <c r="Y783" s="226">
        <f>IF(AND(R783="Yes",S783="Yes",L783&lt;0,B783&lt;&gt;"TXO"),L783,"")</f>
        <v/>
      </c>
      <c r="Z783" s="226">
        <f>IF(AND(R783="",S783="Yes",L783&gt;0,B783&lt;&gt;"TXO"),L783,"")</f>
        <v/>
      </c>
      <c r="AA783" s="226">
        <f>IF(AND(R783="",S783="Yes",L783&lt;0,B783&lt;&gt;"TXO"),L783,"")</f>
        <v/>
      </c>
    </row>
    <row r="784" hidden="1" outlineLevel="2" collapsed="1" ht="17.25" customHeight="1" thickBot="1">
      <c r="A784" s="740" t="n">
        <v>43364</v>
      </c>
      <c r="B784" s="299" t="inlineStr">
        <is>
          <t>FITX</t>
        </is>
      </c>
      <c r="C784" s="300" t="inlineStr">
        <is>
          <t>台指10</t>
        </is>
      </c>
      <c r="D784" s="300" t="inlineStr">
        <is>
          <t>新倉</t>
        </is>
      </c>
      <c r="E784" s="301" t="inlineStr">
        <is>
          <t>賣</t>
        </is>
      </c>
      <c r="F784" s="300" t="inlineStr">
        <is>
          <t>-</t>
        </is>
      </c>
      <c r="G784" s="741" t="n">
        <v>1</v>
      </c>
      <c r="H784" s="741" t="n">
        <v>10933</v>
      </c>
      <c r="I784" s="741" t="n">
        <v>0</v>
      </c>
      <c r="J784" s="742" t="n">
        <v>45</v>
      </c>
      <c r="K784" s="742" t="n">
        <v>44</v>
      </c>
      <c r="L784" s="742">
        <f>IF(B784="TXO",I784-SUM(J784:K784),IF(B784="FITX",IF(D784="新倉",-SUM(J784:K784),IF(E784="賣",(H784-H783)*G784*200-SUM(J784:K784),(H783-H784)*G784*200-SUM(J784:K784))),IF(D784="新倉",-SUM(J784:K784),IF(E784="賣",(H784-H783)*G784*50-SUM(J784:K784),(H783-H784)*G784*50-SUM(J784:K784)))))</f>
        <v/>
      </c>
      <c r="M784" s="743">
        <f>L784</f>
        <v/>
      </c>
      <c r="N784" s="686">
        <f>IF(B784="TXO","",IF(D784="新倉","",IF(E784="賣",(H784-H783)*G784,(H783-H784)*G784)))</f>
        <v/>
      </c>
      <c r="O784" s="226">
        <f>ABS(I784)</f>
        <v/>
      </c>
      <c r="P784" s="667" t="n"/>
      <c r="Q784" s="310" t="n"/>
      <c r="R784" s="310" t="n"/>
      <c r="S784" s="249" t="n"/>
      <c r="T784" s="61">
        <f>IF(AND(R784="Yes",S784&lt;&gt;"Yes",L784&gt;0,B784&lt;&gt;"TXO"),L784,"")</f>
        <v/>
      </c>
      <c r="U784" s="61">
        <f>IF(AND(R784="Yes",S784&lt;&gt;"Yes",L784&lt;0,B784&lt;&gt;"TXO"),L784,"")</f>
        <v/>
      </c>
      <c r="V784" s="61">
        <f>IF(AND(R784="",S784&lt;&gt;"Yes",L784&gt;0,B784&lt;&gt;"TXO"),L784,"")</f>
        <v/>
      </c>
      <c r="W784" s="61">
        <f>IF(AND(R784="",S784&lt;&gt;"Yes",L784&lt;0,B784&lt;&gt;"TXO"),L784,"")</f>
        <v/>
      </c>
      <c r="X784" s="226">
        <f>IF(AND(R784="Yes",S784="Yes",L784&gt;0,B784&lt;&gt;"TXO"),L784,"")</f>
        <v/>
      </c>
      <c r="Y784" s="226">
        <f>IF(AND(R784="Yes",S784="Yes",L784&lt;0,B784&lt;&gt;"TXO"),L784,"")</f>
        <v/>
      </c>
      <c r="Z784" s="226">
        <f>IF(AND(R784="",S784="Yes",L784&gt;0,B784&lt;&gt;"TXO"),L784,"")</f>
        <v/>
      </c>
      <c r="AA784" s="226">
        <f>IF(AND(R784="",S784="Yes",L784&lt;0,B784&lt;&gt;"TXO"),L784,"")</f>
        <v/>
      </c>
    </row>
    <row r="785" hidden="1" outlineLevel="2" collapsed="1" ht="17.25" customHeight="1" thickBot="1">
      <c r="A785" s="740" t="n">
        <v>43364</v>
      </c>
      <c r="B785" s="299" t="inlineStr">
        <is>
          <t>FITX</t>
        </is>
      </c>
      <c r="C785" s="300" t="inlineStr">
        <is>
          <t>台指10</t>
        </is>
      </c>
      <c r="D785" s="300" t="inlineStr">
        <is>
          <t>平倉</t>
        </is>
      </c>
      <c r="E785" s="301" t="inlineStr">
        <is>
          <t>買</t>
        </is>
      </c>
      <c r="F785" s="300" t="inlineStr">
        <is>
          <t>-</t>
        </is>
      </c>
      <c r="G785" s="741" t="n">
        <v>1</v>
      </c>
      <c r="H785" s="741" t="n">
        <v>10940</v>
      </c>
      <c r="I785" s="741" t="n">
        <v>0</v>
      </c>
      <c r="J785" s="742" t="n">
        <v>45</v>
      </c>
      <c r="K785" s="742" t="n">
        <v>44</v>
      </c>
      <c r="L785" s="742">
        <f>IF(B785="TXO",I785-SUM(J785:K785),IF(B785="FITX",IF(D785="新倉",-SUM(J785:K785),IF(E785="賣",(H785-H784)*G785*200-SUM(J785:K785),(H784-H785)*G785*200-SUM(J785:K785))),IF(D785="新倉",-SUM(J785:K785),IF(E785="賣",(H785-H784)*G785*50-SUM(J785:K785),(H784-H785)*G785*50-SUM(J785:K785)))))</f>
        <v/>
      </c>
      <c r="M785" s="743">
        <f>L785</f>
        <v/>
      </c>
      <c r="N785" s="686">
        <f>IF(B785="TXO","",IF(D785="新倉","",IF(E785="賣",(H785-H784)*G785,(H784-H785)*G785)))</f>
        <v/>
      </c>
      <c r="O785" s="226">
        <f>ABS(I785)</f>
        <v/>
      </c>
      <c r="P785" s="667" t="n"/>
      <c r="Q785" s="310" t="n"/>
      <c r="S785" s="249" t="n"/>
      <c r="T785" s="61">
        <f>IF(AND(R785="Yes",S785&lt;&gt;"Yes",L785&gt;0,B785&lt;&gt;"TXO"),L785,"")</f>
        <v/>
      </c>
      <c r="U785" s="61">
        <f>IF(AND(R785="Yes",S785&lt;&gt;"Yes",L785&lt;0,B785&lt;&gt;"TXO"),L785,"")</f>
        <v/>
      </c>
      <c r="V785" s="61">
        <f>IF(AND(R785="",S785&lt;&gt;"Yes",L785&gt;0,B785&lt;&gt;"TXO"),L785,"")</f>
        <v/>
      </c>
      <c r="W785" s="61">
        <f>IF(AND(R785="",S785&lt;&gt;"Yes",L785&lt;0,B785&lt;&gt;"TXO"),L785,"")</f>
        <v/>
      </c>
      <c r="X785" s="226">
        <f>IF(AND(R785="Yes",S785="Yes",L785&gt;0,B785&lt;&gt;"TXO"),L785,"")</f>
        <v/>
      </c>
      <c r="Y785" s="226">
        <f>IF(AND(R785="Yes",S785="Yes",L785&lt;0,B785&lt;&gt;"TXO"),L785,"")</f>
        <v/>
      </c>
      <c r="Z785" s="226">
        <f>IF(AND(R785="",S785="Yes",L785&gt;0,B785&lt;&gt;"TXO"),L785,"")</f>
        <v/>
      </c>
      <c r="AA785" s="226">
        <f>IF(AND(R785="",S785="Yes",L785&lt;0,B785&lt;&gt;"TXO"),L785,"")</f>
        <v/>
      </c>
    </row>
    <row r="786" hidden="1" outlineLevel="2" collapsed="1" ht="17.25" customHeight="1" thickBot="1">
      <c r="A786" s="740" t="n">
        <v>43364</v>
      </c>
      <c r="B786" s="299" t="inlineStr">
        <is>
          <t>FITX</t>
        </is>
      </c>
      <c r="C786" s="300" t="inlineStr">
        <is>
          <t>台指10</t>
        </is>
      </c>
      <c r="D786" s="300" t="inlineStr">
        <is>
          <t>新倉</t>
        </is>
      </c>
      <c r="E786" s="301" t="inlineStr">
        <is>
          <t>賣</t>
        </is>
      </c>
      <c r="F786" s="300" t="inlineStr">
        <is>
          <t>-</t>
        </is>
      </c>
      <c r="G786" s="741" t="n">
        <v>1</v>
      </c>
      <c r="H786" s="741" t="n">
        <v>10927</v>
      </c>
      <c r="I786" s="741" t="n">
        <v>0</v>
      </c>
      <c r="J786" s="742" t="n">
        <v>45</v>
      </c>
      <c r="K786" s="742" t="n">
        <v>44</v>
      </c>
      <c r="L786" s="742">
        <f>IF(B786="TXO",I786-SUM(J786:K786),IF(B786="FITX",IF(D786="新倉",-SUM(J786:K786),IF(E786="賣",(H786-H785)*G786*200-SUM(J786:K786),(H785-H786)*G786*200-SUM(J786:K786))),IF(D786="新倉",-SUM(J786:K786),IF(E786="賣",(H786-H785)*G786*50-SUM(J786:K786),(H785-H786)*G786*50-SUM(J786:K786)))))</f>
        <v/>
      </c>
      <c r="M786" s="743">
        <f>L786</f>
        <v/>
      </c>
      <c r="N786" s="686">
        <f>IF(B786="TXO","",IF(D786="新倉","",IF(E786="賣",(H786-H785)*G786,(H785-H786)*G786)))</f>
        <v/>
      </c>
      <c r="O786" s="226">
        <f>ABS(I786)</f>
        <v/>
      </c>
      <c r="P786" s="667" t="n"/>
      <c r="Q786" s="249" t="inlineStr">
        <is>
          <t>技法: 3/3 買進一口</t>
        </is>
      </c>
      <c r="R786" s="249" t="inlineStr">
        <is>
          <t>Yes</t>
        </is>
      </c>
      <c r="S786" s="249" t="n"/>
      <c r="T786" s="61">
        <f>IF(AND(R786="Yes",S786&lt;&gt;"Yes",L786&gt;0,B786&lt;&gt;"TXO"),L786,"")</f>
        <v/>
      </c>
      <c r="U786" s="61">
        <f>IF(AND(R786="Yes",S786&lt;&gt;"Yes",L786&lt;0,B786&lt;&gt;"TXO"),L786,"")</f>
        <v/>
      </c>
      <c r="V786" s="61">
        <f>IF(AND(R786="",S786&lt;&gt;"Yes",L786&gt;0,B786&lt;&gt;"TXO"),L786,"")</f>
        <v/>
      </c>
      <c r="W786" s="61">
        <f>IF(AND(R786="",S786&lt;&gt;"Yes",L786&lt;0,B786&lt;&gt;"TXO"),L786,"")</f>
        <v/>
      </c>
      <c r="X786" s="226">
        <f>IF(AND(R786="Yes",S786="Yes",L786&gt;0,B786&lt;&gt;"TXO"),L786,"")</f>
        <v/>
      </c>
      <c r="Y786" s="226">
        <f>IF(AND(R786="Yes",S786="Yes",L786&lt;0,B786&lt;&gt;"TXO"),L786,"")</f>
        <v/>
      </c>
      <c r="Z786" s="226">
        <f>IF(AND(R786="",S786="Yes",L786&gt;0,B786&lt;&gt;"TXO"),L786,"")</f>
        <v/>
      </c>
      <c r="AA786" s="226">
        <f>IF(AND(R786="",S786="Yes",L786&lt;0,B786&lt;&gt;"TXO"),L786,"")</f>
        <v/>
      </c>
    </row>
    <row r="787" hidden="1" outlineLevel="2" collapsed="1" ht="17.25" customHeight="1" thickBot="1">
      <c r="A787" s="740" t="n">
        <v>43364</v>
      </c>
      <c r="B787" s="299" t="inlineStr">
        <is>
          <t>FITX</t>
        </is>
      </c>
      <c r="C787" s="300" t="inlineStr">
        <is>
          <t>台指10</t>
        </is>
      </c>
      <c r="D787" s="300" t="inlineStr">
        <is>
          <t>平倉</t>
        </is>
      </c>
      <c r="E787" s="301" t="inlineStr">
        <is>
          <t>買</t>
        </is>
      </c>
      <c r="F787" s="300" t="inlineStr">
        <is>
          <t>-</t>
        </is>
      </c>
      <c r="G787" s="741" t="n">
        <v>1</v>
      </c>
      <c r="H787" s="741" t="n">
        <v>10937</v>
      </c>
      <c r="I787" s="741" t="n">
        <v>0</v>
      </c>
      <c r="J787" s="742" t="n">
        <v>45</v>
      </c>
      <c r="K787" s="742" t="n">
        <v>44</v>
      </c>
      <c r="L787" s="742">
        <f>IF(B787="TXO",I787-SUM(J787:K787),IF(B787="FITX",IF(D787="新倉",-SUM(J787:K787),IF(E787="賣",(H787-H786)*G787*200-SUM(J787:K787),(H786-H787)*G787*200-SUM(J787:K787))),IF(D787="新倉",-SUM(J787:K787),IF(E787="賣",(H787-H786)*G787*50-SUM(J787:K787),(H786-H787)*G787*50-SUM(J787:K787)))))</f>
        <v/>
      </c>
      <c r="M787" s="743">
        <f>L787</f>
        <v/>
      </c>
      <c r="N787" s="686">
        <f>IF(B787="TXO","",IF(D787="新倉","",IF(E787="賣",(H787-H786)*G787,(H786-H787)*G787)))</f>
        <v/>
      </c>
      <c r="O787" s="226">
        <f>ABS(I787)</f>
        <v/>
      </c>
      <c r="P787" s="667" t="n"/>
      <c r="Q787" s="297" t="inlineStr">
        <is>
          <t>拉回10MA停損</t>
        </is>
      </c>
      <c r="R787" s="249" t="inlineStr">
        <is>
          <t>Yes</t>
        </is>
      </c>
      <c r="S787" s="249" t="n"/>
      <c r="T787" s="61">
        <f>IF(AND(R787="Yes",S787&lt;&gt;"Yes",L787&gt;0,B787&lt;&gt;"TXO"),L787,"")</f>
        <v/>
      </c>
      <c r="U787" s="61">
        <f>IF(AND(R787="Yes",S787&lt;&gt;"Yes",L787&lt;0,B787&lt;&gt;"TXO"),L787,"")</f>
        <v/>
      </c>
      <c r="V787" s="61">
        <f>IF(AND(R787="",S787&lt;&gt;"Yes",L787&gt;0,B787&lt;&gt;"TXO"),L787,"")</f>
        <v/>
      </c>
      <c r="W787" s="61">
        <f>IF(AND(R787="",S787&lt;&gt;"Yes",L787&lt;0,B787&lt;&gt;"TXO"),L787,"")</f>
        <v/>
      </c>
      <c r="X787" s="226">
        <f>IF(AND(R787="Yes",S787="Yes",L787&gt;0,B787&lt;&gt;"TXO"),L787,"")</f>
        <v/>
      </c>
      <c r="Y787" s="226">
        <f>IF(AND(R787="Yes",S787="Yes",L787&lt;0,B787&lt;&gt;"TXO"),L787,"")</f>
        <v/>
      </c>
      <c r="Z787" s="226">
        <f>IF(AND(R787="",S787="Yes",L787&gt;0,B787&lt;&gt;"TXO"),L787,"")</f>
        <v/>
      </c>
      <c r="AA787" s="226">
        <f>IF(AND(R787="",S787="Yes",L787&lt;0,B787&lt;&gt;"TXO"),L787,"")</f>
        <v/>
      </c>
    </row>
    <row r="788" hidden="1" outlineLevel="2" collapsed="1" ht="17.25" customHeight="1" thickBot="1">
      <c r="A788" s="740" t="n">
        <v>43364</v>
      </c>
      <c r="B788" s="299" t="inlineStr">
        <is>
          <t>FITX</t>
        </is>
      </c>
      <c r="C788" s="300" t="inlineStr">
        <is>
          <t>台指10</t>
        </is>
      </c>
      <c r="D788" s="300" t="inlineStr">
        <is>
          <t>新倉</t>
        </is>
      </c>
      <c r="E788" s="301" t="inlineStr">
        <is>
          <t>買</t>
        </is>
      </c>
      <c r="F788" s="300" t="inlineStr">
        <is>
          <t>-</t>
        </is>
      </c>
      <c r="G788" s="741" t="n">
        <v>1</v>
      </c>
      <c r="H788" s="741" t="n">
        <v>10936</v>
      </c>
      <c r="I788" s="741" t="n">
        <v>0</v>
      </c>
      <c r="J788" s="742" t="n">
        <v>45</v>
      </c>
      <c r="K788" s="742" t="n">
        <v>44</v>
      </c>
      <c r="L788" s="742">
        <f>IF(B788="TXO",I788-SUM(J788:K788),IF(B788="FITX",IF(D788="新倉",-SUM(J788:K788),IF(E788="賣",(H788-H787)*G788*200-SUM(J788:K788),(H787-H788)*G788*200-SUM(J788:K788))),IF(D788="新倉",-SUM(J788:K788),IF(E788="賣",(H788-H787)*G788*50-SUM(J788:K788),(H787-H788)*G788*50-SUM(J788:K788)))))</f>
        <v/>
      </c>
      <c r="M788" s="743">
        <f>L788</f>
        <v/>
      </c>
      <c r="N788" s="686">
        <f>IF(B788="TXO","",IF(D788="新倉","",IF(E788="賣",(H788-H787)*G788,(H787-H788)*G788)))</f>
        <v/>
      </c>
      <c r="O788" s="226">
        <f>ABS(I788)</f>
        <v/>
      </c>
      <c r="P788" s="667" t="n"/>
      <c r="Q788" s="249" t="inlineStr">
        <is>
          <t>技法: 3/3 買進一口</t>
        </is>
      </c>
      <c r="R788" s="249" t="inlineStr">
        <is>
          <t>Yes</t>
        </is>
      </c>
      <c r="S788" s="249" t="n"/>
      <c r="T788" s="61">
        <f>IF(AND(R788="Yes",S788&lt;&gt;"Yes",L788&gt;0,B788&lt;&gt;"TXO"),L788,"")</f>
        <v/>
      </c>
      <c r="U788" s="61">
        <f>IF(AND(R788="Yes",S788&lt;&gt;"Yes",L788&lt;0,B788&lt;&gt;"TXO"),L788,"")</f>
        <v/>
      </c>
      <c r="V788" s="61">
        <f>IF(AND(R788="",S788&lt;&gt;"Yes",L788&gt;0,B788&lt;&gt;"TXO"),L788,"")</f>
        <v/>
      </c>
      <c r="W788" s="61">
        <f>IF(AND(R788="",S788&lt;&gt;"Yes",L788&lt;0,B788&lt;&gt;"TXO"),L788,"")</f>
        <v/>
      </c>
      <c r="X788" s="226">
        <f>IF(AND(R788="Yes",S788="Yes",L788&gt;0,B788&lt;&gt;"TXO"),L788,"")</f>
        <v/>
      </c>
      <c r="Y788" s="226">
        <f>IF(AND(R788="Yes",S788="Yes",L788&lt;0,B788&lt;&gt;"TXO"),L788,"")</f>
        <v/>
      </c>
      <c r="Z788" s="226">
        <f>IF(AND(R788="",S788="Yes",L788&gt;0,B788&lt;&gt;"TXO"),L788,"")</f>
        <v/>
      </c>
      <c r="AA788" s="226">
        <f>IF(AND(R788="",S788="Yes",L788&lt;0,B788&lt;&gt;"TXO"),L788,"")</f>
        <v/>
      </c>
    </row>
    <row r="789" hidden="1" outlineLevel="2" collapsed="1" ht="17.25" customHeight="1" thickBot="1">
      <c r="A789" s="740" t="n">
        <v>43364</v>
      </c>
      <c r="B789" s="299" t="inlineStr">
        <is>
          <t>FITX</t>
        </is>
      </c>
      <c r="C789" s="300" t="inlineStr">
        <is>
          <t>台指10</t>
        </is>
      </c>
      <c r="D789" s="300" t="inlineStr">
        <is>
          <t>平倉</t>
        </is>
      </c>
      <c r="E789" s="301" t="inlineStr">
        <is>
          <t>賣</t>
        </is>
      </c>
      <c r="F789" s="300" t="inlineStr">
        <is>
          <t>-</t>
        </is>
      </c>
      <c r="G789" s="741" t="n">
        <v>1</v>
      </c>
      <c r="H789" s="741" t="n">
        <v>10939</v>
      </c>
      <c r="I789" s="741" t="n">
        <v>0</v>
      </c>
      <c r="J789" s="742" t="n">
        <v>45</v>
      </c>
      <c r="K789" s="742" t="n">
        <v>44</v>
      </c>
      <c r="L789" s="742">
        <f>IF(B789="TXO",I789-SUM(J789:K789),IF(B789="FITX",IF(D789="新倉",-SUM(J789:K789),IF(E789="賣",(H789-H788)*G789*200-SUM(J789:K789),(H788-H789)*G789*200-SUM(J789:K789))),IF(D789="新倉",-SUM(J789:K789),IF(E789="賣",(H789-H788)*G789*50-SUM(J789:K789),(H788-H789)*G789*50-SUM(J789:K789)))))</f>
        <v/>
      </c>
      <c r="M789" s="743">
        <f>L789</f>
        <v/>
      </c>
      <c r="N789" s="686">
        <f>IF(B789="TXO","",IF(D789="新倉","",IF(E789="賣",(H789-H788)*G789,(H788-H789)*G789)))</f>
        <v/>
      </c>
      <c r="O789" s="226">
        <f>ABS(I789)</f>
        <v/>
      </c>
      <c r="P789" s="667" t="n"/>
      <c r="Q789" s="249" t="inlineStr">
        <is>
          <t>技法: 刺補</t>
        </is>
      </c>
      <c r="R789" s="249" t="inlineStr">
        <is>
          <t>Yes</t>
        </is>
      </c>
      <c r="S789" s="249" t="n"/>
      <c r="T789" s="61">
        <f>IF(AND(R789="Yes",S789&lt;&gt;"Yes",L789&gt;0,B789&lt;&gt;"TXO"),L789,"")</f>
        <v/>
      </c>
      <c r="U789" s="61">
        <f>IF(AND(R789="Yes",S789&lt;&gt;"Yes",L789&lt;0,B789&lt;&gt;"TXO"),L789,"")</f>
        <v/>
      </c>
      <c r="V789" s="61">
        <f>IF(AND(R789="",S789&lt;&gt;"Yes",L789&gt;0,B789&lt;&gt;"TXO"),L789,"")</f>
        <v/>
      </c>
      <c r="W789" s="61">
        <f>IF(AND(R789="",S789&lt;&gt;"Yes",L789&lt;0,B789&lt;&gt;"TXO"),L789,"")</f>
        <v/>
      </c>
      <c r="X789" s="226">
        <f>IF(AND(R789="Yes",S789="Yes",L789&gt;0,B789&lt;&gt;"TXO"),L789,"")</f>
        <v/>
      </c>
      <c r="Y789" s="226">
        <f>IF(AND(R789="Yes",S789="Yes",L789&lt;0,B789&lt;&gt;"TXO"),L789,"")</f>
        <v/>
      </c>
      <c r="Z789" s="226">
        <f>IF(AND(R789="",S789="Yes",L789&gt;0,B789&lt;&gt;"TXO"),L789,"")</f>
        <v/>
      </c>
      <c r="AA789" s="226">
        <f>IF(AND(R789="",S789="Yes",L789&lt;0,B789&lt;&gt;"TXO"),L789,"")</f>
        <v/>
      </c>
    </row>
    <row r="790" hidden="1" outlineLevel="2" collapsed="1" ht="17.25" customHeight="1" thickBot="1">
      <c r="A790" s="740" t="n">
        <v>43364</v>
      </c>
      <c r="B790" s="299" t="inlineStr">
        <is>
          <t>FITX</t>
        </is>
      </c>
      <c r="C790" s="300" t="inlineStr">
        <is>
          <t>台指10</t>
        </is>
      </c>
      <c r="D790" s="300" t="inlineStr">
        <is>
          <t>新倉</t>
        </is>
      </c>
      <c r="E790" s="301" t="inlineStr">
        <is>
          <t>買</t>
        </is>
      </c>
      <c r="F790" s="300" t="inlineStr">
        <is>
          <t>-</t>
        </is>
      </c>
      <c r="G790" s="741" t="n">
        <v>1</v>
      </c>
      <c r="H790" s="741" t="n">
        <v>10938</v>
      </c>
      <c r="I790" s="741" t="n">
        <v>0</v>
      </c>
      <c r="J790" s="742" t="n">
        <v>45</v>
      </c>
      <c r="K790" s="742" t="n">
        <v>44</v>
      </c>
      <c r="L790" s="742">
        <f>IF(B790="TXO",I790-SUM(J790:K790),IF(B790="FITX",IF(D790="新倉",-SUM(J790:K790),IF(E790="賣",(H790-H789)*G790*200-SUM(J790:K790),(H789-H790)*G790*200-SUM(J790:K790))),IF(D790="新倉",-SUM(J790:K790),IF(E790="賣",(H790-H789)*G790*50-SUM(J790:K790),(H789-H790)*G790*50-SUM(J790:K790)))))</f>
        <v/>
      </c>
      <c r="M790" s="743">
        <f>L790</f>
        <v/>
      </c>
      <c r="N790" s="686">
        <f>IF(B790="TXO","",IF(D790="新倉","",IF(E790="賣",(H790-H789)*G790,(H789-H790)*G790)))</f>
        <v/>
      </c>
      <c r="O790" s="226">
        <f>ABS(I790)</f>
        <v/>
      </c>
      <c r="P790" s="667" t="n"/>
      <c r="Q790" s="249" t="inlineStr">
        <is>
          <t>技法: 3/3 買進一口</t>
        </is>
      </c>
      <c r="R790" s="249" t="inlineStr">
        <is>
          <t>Yes</t>
        </is>
      </c>
      <c r="S790" s="249" t="n"/>
      <c r="T790" s="61">
        <f>IF(AND(R790="Yes",S790&lt;&gt;"Yes",L790&gt;0,B790&lt;&gt;"TXO"),L790,"")</f>
        <v/>
      </c>
      <c r="U790" s="61">
        <f>IF(AND(R790="Yes",S790&lt;&gt;"Yes",L790&lt;0,B790&lt;&gt;"TXO"),L790,"")</f>
        <v/>
      </c>
      <c r="V790" s="61">
        <f>IF(AND(R790="",S790&lt;&gt;"Yes",L790&gt;0,B790&lt;&gt;"TXO"),L790,"")</f>
        <v/>
      </c>
      <c r="W790" s="61">
        <f>IF(AND(R790="",S790&lt;&gt;"Yes",L790&lt;0,B790&lt;&gt;"TXO"),L790,"")</f>
        <v/>
      </c>
      <c r="X790" s="226">
        <f>IF(AND(R790="Yes",S790="Yes",L790&gt;0,B790&lt;&gt;"TXO"),L790,"")</f>
        <v/>
      </c>
      <c r="Y790" s="226">
        <f>IF(AND(R790="Yes",S790="Yes",L790&lt;0,B790&lt;&gt;"TXO"),L790,"")</f>
        <v/>
      </c>
      <c r="Z790" s="226">
        <f>IF(AND(R790="",S790="Yes",L790&gt;0,B790&lt;&gt;"TXO"),L790,"")</f>
        <v/>
      </c>
      <c r="AA790" s="226">
        <f>IF(AND(R790="",S790="Yes",L790&lt;0,B790&lt;&gt;"TXO"),L790,"")</f>
        <v/>
      </c>
    </row>
    <row r="791" hidden="1" outlineLevel="2" collapsed="1" ht="17.25" customHeight="1" thickBot="1">
      <c r="A791" s="740" t="n">
        <v>43364</v>
      </c>
      <c r="B791" s="299" t="inlineStr">
        <is>
          <t>FITX</t>
        </is>
      </c>
      <c r="C791" s="300" t="inlineStr">
        <is>
          <t>台指10</t>
        </is>
      </c>
      <c r="D791" s="300" t="inlineStr">
        <is>
          <t>平倉</t>
        </is>
      </c>
      <c r="E791" s="301" t="inlineStr">
        <is>
          <t>賣</t>
        </is>
      </c>
      <c r="F791" s="300" t="inlineStr">
        <is>
          <t>-</t>
        </is>
      </c>
      <c r="G791" s="741" t="n">
        <v>1</v>
      </c>
      <c r="H791" s="741" t="n">
        <v>10941</v>
      </c>
      <c r="I791" s="741" t="n">
        <v>0</v>
      </c>
      <c r="J791" s="742" t="n">
        <v>45</v>
      </c>
      <c r="K791" s="742" t="n">
        <v>44</v>
      </c>
      <c r="L791" s="742">
        <f>IF(B791="TXO",I791-SUM(J791:K791),IF(B791="FITX",IF(D791="新倉",-SUM(J791:K791),IF(E791="賣",(H791-H790)*G791*200-SUM(J791:K791),(H790-H791)*G791*200-SUM(J791:K791))),IF(D791="新倉",-SUM(J791:K791),IF(E791="賣",(H791-H790)*G791*50-SUM(J791:K791),(H790-H791)*G791*50-SUM(J791:K791)))))</f>
        <v/>
      </c>
      <c r="M791" s="743">
        <f>L791</f>
        <v/>
      </c>
      <c r="N791" s="686">
        <f>IF(B791="TXO","",IF(D791="新倉","",IF(E791="賣",(H791-H790)*G791,(H790-H791)*G791)))</f>
        <v/>
      </c>
      <c r="O791" s="226">
        <f>ABS(I791)</f>
        <v/>
      </c>
      <c r="P791" s="667" t="n"/>
      <c r="Q791" s="249" t="inlineStr">
        <is>
          <t>技法: 刺補</t>
        </is>
      </c>
      <c r="R791" s="249" t="inlineStr">
        <is>
          <t>Yes</t>
        </is>
      </c>
      <c r="S791" s="249" t="n"/>
      <c r="T791" s="61">
        <f>IF(AND(R791="Yes",S791&lt;&gt;"Yes",L791&gt;0,B791&lt;&gt;"TXO"),L791,"")</f>
        <v/>
      </c>
      <c r="U791" s="61">
        <f>IF(AND(R791="Yes",S791&lt;&gt;"Yes",L791&lt;0,B791&lt;&gt;"TXO"),L791,"")</f>
        <v/>
      </c>
      <c r="V791" s="61">
        <f>IF(AND(R791="",S791&lt;&gt;"Yes",L791&gt;0,B791&lt;&gt;"TXO"),L791,"")</f>
        <v/>
      </c>
      <c r="W791" s="61">
        <f>IF(AND(R791="",S791&lt;&gt;"Yes",L791&lt;0,B791&lt;&gt;"TXO"),L791,"")</f>
        <v/>
      </c>
      <c r="X791" s="226">
        <f>IF(AND(R791="Yes",S791="Yes",L791&gt;0,B791&lt;&gt;"TXO"),L791,"")</f>
        <v/>
      </c>
      <c r="Y791" s="226">
        <f>IF(AND(R791="Yes",S791="Yes",L791&lt;0,B791&lt;&gt;"TXO"),L791,"")</f>
        <v/>
      </c>
      <c r="Z791" s="226">
        <f>IF(AND(R791="",S791="Yes",L791&gt;0,B791&lt;&gt;"TXO"),L791,"")</f>
        <v/>
      </c>
      <c r="AA791" s="226">
        <f>IF(AND(R791="",S791="Yes",L791&lt;0,B791&lt;&gt;"TXO"),L791,"")</f>
        <v/>
      </c>
    </row>
    <row r="792" hidden="1" outlineLevel="2" collapsed="1" ht="17.25" customHeight="1" thickBot="1">
      <c r="A792" s="740" t="n">
        <v>43364</v>
      </c>
      <c r="B792" s="299" t="inlineStr">
        <is>
          <t>FITX</t>
        </is>
      </c>
      <c r="C792" s="300" t="inlineStr">
        <is>
          <t>台指10</t>
        </is>
      </c>
      <c r="D792" s="300" t="inlineStr">
        <is>
          <t>新倉</t>
        </is>
      </c>
      <c r="E792" s="301" t="inlineStr">
        <is>
          <t>賣</t>
        </is>
      </c>
      <c r="F792" s="300" t="inlineStr">
        <is>
          <t>-</t>
        </is>
      </c>
      <c r="G792" s="741" t="n">
        <v>1</v>
      </c>
      <c r="H792" s="741" t="n">
        <v>10955</v>
      </c>
      <c r="I792" s="741" t="n">
        <v>0</v>
      </c>
      <c r="J792" s="742" t="n">
        <v>45</v>
      </c>
      <c r="K792" s="742" t="n">
        <v>44</v>
      </c>
      <c r="L792" s="742">
        <f>IF(B792="TXO",I792-SUM(J792:K792),IF(B792="FITX",IF(D792="新倉",-SUM(J792:K792),IF(E792="賣",(H792-H791)*G792*200-SUM(J792:K792),(H791-H792)*G792*200-SUM(J792:K792))),IF(D792="新倉",-SUM(J792:K792),IF(E792="賣",(H792-H791)*G792*50-SUM(J792:K792),(H791-H792)*G792*50-SUM(J792:K792)))))</f>
        <v/>
      </c>
      <c r="M792" s="743">
        <f>L792</f>
        <v/>
      </c>
      <c r="N792" s="686">
        <f>IF(B792="TXO","",IF(D792="新倉","",IF(E792="賣",(H792-H791)*G792,(H791-H792)*G792)))</f>
        <v/>
      </c>
      <c r="O792" s="226">
        <f>ABS(I792)</f>
        <v/>
      </c>
      <c r="P792" s="667" t="n"/>
      <c r="Q792" s="249" t="inlineStr">
        <is>
          <t>技法: 3/3 買進一口</t>
        </is>
      </c>
      <c r="R792" s="249" t="inlineStr">
        <is>
          <t>Yes</t>
        </is>
      </c>
      <c r="S792" s="249" t="inlineStr">
        <is>
          <t>Yes</t>
        </is>
      </c>
      <c r="T792" s="61">
        <f>IF(AND(R792="Yes",S792&lt;&gt;"Yes",L792&gt;0,B792&lt;&gt;"TXO"),L792,"")</f>
        <v/>
      </c>
      <c r="U792" s="61">
        <f>IF(AND(R792="Yes",S792&lt;&gt;"Yes",L792&lt;0,B792&lt;&gt;"TXO"),L792,"")</f>
        <v/>
      </c>
      <c r="V792" s="61">
        <f>IF(AND(R792="",S792&lt;&gt;"Yes",L792&gt;0,B792&lt;&gt;"TXO"),L792,"")</f>
        <v/>
      </c>
      <c r="W792" s="61">
        <f>IF(AND(R792="",S792&lt;&gt;"Yes",L792&lt;0,B792&lt;&gt;"TXO"),L792,"")</f>
        <v/>
      </c>
      <c r="X792" s="226">
        <f>IF(AND(R792="Yes",S792="Yes",L792&gt;0,B792&lt;&gt;"TXO"),L792,"")</f>
        <v/>
      </c>
      <c r="Y792" s="226">
        <f>IF(AND(R792="Yes",S792="Yes",L792&lt;0,B792&lt;&gt;"TXO"),L792,"")</f>
        <v/>
      </c>
      <c r="Z792" s="226">
        <f>IF(AND(R792="",S792="Yes",L792&gt;0,B792&lt;&gt;"TXO"),L792,"")</f>
        <v/>
      </c>
      <c r="AA792" s="226">
        <f>IF(AND(R792="",S792="Yes",L792&lt;0,B792&lt;&gt;"TXO"),L792,"")</f>
        <v/>
      </c>
    </row>
    <row r="793" hidden="1" outlineLevel="2" collapsed="1" ht="17.25" customHeight="1" thickBot="1">
      <c r="A793" s="740" t="n">
        <v>43364</v>
      </c>
      <c r="B793" s="299" t="inlineStr">
        <is>
          <t>FITX</t>
        </is>
      </c>
      <c r="C793" s="300" t="inlineStr">
        <is>
          <t>台指10</t>
        </is>
      </c>
      <c r="D793" s="300" t="inlineStr">
        <is>
          <t>平倉</t>
        </is>
      </c>
      <c r="E793" s="301" t="inlineStr">
        <is>
          <t>買</t>
        </is>
      </c>
      <c r="F793" s="300" t="inlineStr">
        <is>
          <t>-</t>
        </is>
      </c>
      <c r="G793" s="741" t="n">
        <v>1</v>
      </c>
      <c r="H793" s="741" t="n">
        <v>10953</v>
      </c>
      <c r="I793" s="741" t="n">
        <v>0</v>
      </c>
      <c r="J793" s="742" t="n">
        <v>45</v>
      </c>
      <c r="K793" s="742" t="n">
        <v>44</v>
      </c>
      <c r="L793" s="742">
        <f>IF(B793="TXO",I793-SUM(J793:K793),IF(B793="FITX",IF(D793="新倉",-SUM(J793:K793),IF(E793="賣",(H793-H792)*G793*200-SUM(J793:K793),(H792-H793)*G793*200-SUM(J793:K793))),IF(D793="新倉",-SUM(J793:K793),IF(E793="賣",(H793-H792)*G793*50-SUM(J793:K793),(H792-H793)*G793*50-SUM(J793:K793)))))</f>
        <v/>
      </c>
      <c r="M793" s="743">
        <f>L793</f>
        <v/>
      </c>
      <c r="N793" s="686">
        <f>IF(B793="TXO","",IF(D793="新倉","",IF(E793="賣",(H793-H792)*G793,(H792-H793)*G793)))</f>
        <v/>
      </c>
      <c r="O793" s="226">
        <f>ABS(I793)</f>
        <v/>
      </c>
      <c r="P793" s="667" t="n"/>
      <c r="Q793" s="249" t="inlineStr">
        <is>
          <t>技法: 刺補</t>
        </is>
      </c>
      <c r="R793" s="249" t="inlineStr">
        <is>
          <t>Yes</t>
        </is>
      </c>
      <c r="S793" s="249" t="inlineStr">
        <is>
          <t>Yes</t>
        </is>
      </c>
      <c r="T793" s="61">
        <f>IF(AND(R793="Yes",S793&lt;&gt;"Yes",L793&gt;0,B793&lt;&gt;"TXO"),L793,"")</f>
        <v/>
      </c>
      <c r="U793" s="61">
        <f>IF(AND(R793="Yes",S793&lt;&gt;"Yes",L793&lt;0,B793&lt;&gt;"TXO"),L793,"")</f>
        <v/>
      </c>
      <c r="V793" s="61">
        <f>IF(AND(R793="",S793&lt;&gt;"Yes",L793&gt;0,B793&lt;&gt;"TXO"),L793,"")</f>
        <v/>
      </c>
      <c r="W793" s="61">
        <f>IF(AND(R793="",S793&lt;&gt;"Yes",L793&lt;0,B793&lt;&gt;"TXO"),L793,"")</f>
        <v/>
      </c>
      <c r="X793" s="226">
        <f>IF(AND(R793="Yes",S793="Yes",L793&gt;0,B793&lt;&gt;"TXO"),L793,"")</f>
        <v/>
      </c>
      <c r="Y793" s="226">
        <f>IF(AND(R793="Yes",S793="Yes",L793&lt;0,B793&lt;&gt;"TXO"),L793,"")</f>
        <v/>
      </c>
      <c r="Z793" s="226">
        <f>IF(AND(R793="",S793="Yes",L793&gt;0,B793&lt;&gt;"TXO"),L793,"")</f>
        <v/>
      </c>
      <c r="AA793" s="226">
        <f>IF(AND(R793="",S793="Yes",L793&lt;0,B793&lt;&gt;"TXO"),L793,"")</f>
        <v/>
      </c>
    </row>
    <row r="794" hidden="1" outlineLevel="2" collapsed="1" ht="17.25" customHeight="1" thickBot="1">
      <c r="A794" s="740" t="n">
        <v>43364</v>
      </c>
      <c r="B794" s="299" t="inlineStr">
        <is>
          <t>FITX</t>
        </is>
      </c>
      <c r="C794" s="300" t="inlineStr">
        <is>
          <t>台指10</t>
        </is>
      </c>
      <c r="D794" s="300" t="inlineStr">
        <is>
          <t>新倉</t>
        </is>
      </c>
      <c r="E794" s="301" t="inlineStr">
        <is>
          <t>賣</t>
        </is>
      </c>
      <c r="F794" s="300" t="inlineStr">
        <is>
          <t>-</t>
        </is>
      </c>
      <c r="G794" s="741" t="n">
        <v>1</v>
      </c>
      <c r="H794" s="741" t="n">
        <v>10957</v>
      </c>
      <c r="I794" s="741" t="n">
        <v>0</v>
      </c>
      <c r="J794" s="742" t="n">
        <v>45</v>
      </c>
      <c r="K794" s="742" t="n">
        <v>44</v>
      </c>
      <c r="L794" s="742">
        <f>IF(B794="TXO",I794-SUM(J794:K794),IF(B794="FITX",IF(D794="新倉",-SUM(J794:K794),IF(E794="賣",(H794-H793)*G794*200-SUM(J794:K794),(H793-H794)*G794*200-SUM(J794:K794))),IF(D794="新倉",-SUM(J794:K794),IF(E794="賣",(H794-H793)*G794*50-SUM(J794:K794),(H793-H794)*G794*50-SUM(J794:K794)))))</f>
        <v/>
      </c>
      <c r="M794" s="743">
        <f>L794</f>
        <v/>
      </c>
      <c r="N794" s="686">
        <f>IF(B794="TXO","",IF(D794="新倉","",IF(E794="賣",(H794-H793)*G794,(H793-H794)*G794)))</f>
        <v/>
      </c>
      <c r="O794" s="226">
        <f>ABS(I794)</f>
        <v/>
      </c>
      <c r="P794" s="667" t="n"/>
      <c r="Q794" s="310" t="inlineStr">
        <is>
          <t>追單</t>
        </is>
      </c>
      <c r="S794" s="249" t="n"/>
      <c r="T794" s="61">
        <f>IF(AND(R794="Yes",S794&lt;&gt;"Yes",L794&gt;0,B794&lt;&gt;"TXO"),L794,"")</f>
        <v/>
      </c>
      <c r="U794" s="61">
        <f>IF(AND(R794="Yes",S794&lt;&gt;"Yes",L794&lt;0,B794&lt;&gt;"TXO"),L794,"")</f>
        <v/>
      </c>
      <c r="V794" s="61">
        <f>IF(AND(R794="",S794&lt;&gt;"Yes",L794&gt;0,B794&lt;&gt;"TXO"),L794,"")</f>
        <v/>
      </c>
      <c r="W794" s="61">
        <f>IF(AND(R794="",S794&lt;&gt;"Yes",L794&lt;0,B794&lt;&gt;"TXO"),L794,"")</f>
        <v/>
      </c>
      <c r="X794" s="226">
        <f>IF(AND(R794="Yes",S794="Yes",L794&gt;0,B794&lt;&gt;"TXO"),L794,"")</f>
        <v/>
      </c>
      <c r="Y794" s="226">
        <f>IF(AND(R794="Yes",S794="Yes",L794&lt;0,B794&lt;&gt;"TXO"),L794,"")</f>
        <v/>
      </c>
      <c r="Z794" s="226">
        <f>IF(AND(R794="",S794="Yes",L794&gt;0,B794&lt;&gt;"TXO"),L794,"")</f>
        <v/>
      </c>
      <c r="AA794" s="226">
        <f>IF(AND(R794="",S794="Yes",L794&lt;0,B794&lt;&gt;"TXO"),L794,"")</f>
        <v/>
      </c>
    </row>
    <row r="795" hidden="1" outlineLevel="2" collapsed="1" ht="17.25" customHeight="1" thickBot="1">
      <c r="A795" s="740" t="n">
        <v>43364</v>
      </c>
      <c r="B795" s="299" t="inlineStr">
        <is>
          <t>FITX</t>
        </is>
      </c>
      <c r="C795" s="300" t="inlineStr">
        <is>
          <t>台指10</t>
        </is>
      </c>
      <c r="D795" s="300" t="inlineStr">
        <is>
          <t>平倉</t>
        </is>
      </c>
      <c r="E795" s="301" t="inlineStr">
        <is>
          <t>買</t>
        </is>
      </c>
      <c r="F795" s="300" t="inlineStr">
        <is>
          <t>-</t>
        </is>
      </c>
      <c r="G795" s="741" t="n">
        <v>1</v>
      </c>
      <c r="H795" s="741" t="n">
        <v>10967</v>
      </c>
      <c r="I795" s="741" t="n">
        <v>0</v>
      </c>
      <c r="J795" s="742" t="n">
        <v>45</v>
      </c>
      <c r="K795" s="742" t="n">
        <v>44</v>
      </c>
      <c r="L795" s="742">
        <f>IF(B795="TXO",I795-SUM(J795:K795),IF(B795="FITX",IF(D795="新倉",-SUM(J795:K795),IF(E795="賣",(H795-H794)*G795*200-SUM(J795:K795),(H794-H795)*G795*200-SUM(J795:K795))),IF(D795="新倉",-SUM(J795:K795),IF(E795="賣",(H795-H794)*G795*50-SUM(J795:K795),(H794-H795)*G795*50-SUM(J795:K795)))))</f>
        <v/>
      </c>
      <c r="M795" s="743">
        <f>L795</f>
        <v/>
      </c>
      <c r="N795" s="686">
        <f>IF(B795="TXO","",IF(D795="新倉","",IF(E795="賣",(H795-H794)*G795,(H794-H795)*G795)))</f>
        <v/>
      </c>
      <c r="O795" s="226">
        <f>ABS(I795)</f>
        <v/>
      </c>
      <c r="P795" s="667" t="n"/>
      <c r="Q795" s="311" t="inlineStr">
        <is>
          <t>拉回10MA沒停損，遇到停電</t>
        </is>
      </c>
      <c r="S795" s="249" t="n"/>
      <c r="T795" s="61">
        <f>IF(AND(R795="Yes",S795&lt;&gt;"Yes",L795&gt;0,B795&lt;&gt;"TXO"),L795,"")</f>
        <v/>
      </c>
      <c r="U795" s="61">
        <f>IF(AND(R795="Yes",S795&lt;&gt;"Yes",L795&lt;0,B795&lt;&gt;"TXO"),L795,"")</f>
        <v/>
      </c>
      <c r="V795" s="61">
        <f>IF(AND(R795="",S795&lt;&gt;"Yes",L795&gt;0,B795&lt;&gt;"TXO"),L795,"")</f>
        <v/>
      </c>
      <c r="W795" s="61">
        <f>IF(AND(R795="",S795&lt;&gt;"Yes",L795&lt;0,B795&lt;&gt;"TXO"),L795,"")</f>
        <v/>
      </c>
      <c r="X795" s="226">
        <f>IF(AND(R795="Yes",S795="Yes",L795&gt;0,B795&lt;&gt;"TXO"),L795,"")</f>
        <v/>
      </c>
      <c r="Y795" s="226">
        <f>IF(AND(R795="Yes",S795="Yes",L795&lt;0,B795&lt;&gt;"TXO"),L795,"")</f>
        <v/>
      </c>
      <c r="Z795" s="226">
        <f>IF(AND(R795="",S795="Yes",L795&gt;0,B795&lt;&gt;"TXO"),L795,"")</f>
        <v/>
      </c>
      <c r="AA795" s="226">
        <f>IF(AND(R795="",S795="Yes",L795&lt;0,B795&lt;&gt;"TXO"),L795,"")</f>
        <v/>
      </c>
    </row>
    <row r="796" hidden="1" outlineLevel="2" collapsed="1" ht="17.25" customHeight="1" thickBot="1">
      <c r="A796" s="740" t="n">
        <v>43364</v>
      </c>
      <c r="B796" s="299" t="inlineStr">
        <is>
          <t>FITX</t>
        </is>
      </c>
      <c r="C796" s="300" t="inlineStr">
        <is>
          <t>台指10</t>
        </is>
      </c>
      <c r="D796" s="300" t="inlineStr">
        <is>
          <t>新倉</t>
        </is>
      </c>
      <c r="E796" s="301" t="inlineStr">
        <is>
          <t>買</t>
        </is>
      </c>
      <c r="F796" s="300" t="inlineStr">
        <is>
          <t>-</t>
        </is>
      </c>
      <c r="G796" s="741" t="n">
        <v>1</v>
      </c>
      <c r="H796" s="741" t="n">
        <v>10968</v>
      </c>
      <c r="I796" s="741" t="n">
        <v>0</v>
      </c>
      <c r="J796" s="742" t="n">
        <v>45</v>
      </c>
      <c r="K796" s="742" t="n">
        <v>44</v>
      </c>
      <c r="L796" s="742">
        <f>IF(B796="TXO",I796-SUM(J796:K796),IF(B796="FITX",IF(D796="新倉",-SUM(J796:K796),IF(E796="賣",(H796-H795)*G796*200-SUM(J796:K796),(H795-H796)*G796*200-SUM(J796:K796))),IF(D796="新倉",-SUM(J796:K796),IF(E796="賣",(H796-H795)*G796*50-SUM(J796:K796),(H795-H796)*G796*50-SUM(J796:K796)))))</f>
        <v/>
      </c>
      <c r="M796" s="743">
        <f>L796</f>
        <v/>
      </c>
      <c r="N796" s="686">
        <f>IF(B796="TXO","",IF(D796="新倉","",IF(E796="賣",(H796-H795)*G796,(H795-H796)*G796)))</f>
        <v/>
      </c>
      <c r="O796" s="226">
        <f>ABS(I796)</f>
        <v/>
      </c>
      <c r="P796" s="667" t="n"/>
      <c r="Q796" s="315" t="inlineStr">
        <is>
          <t>技法: 3/3 買進一口</t>
        </is>
      </c>
      <c r="R796" s="249" t="inlineStr">
        <is>
          <t>Yes</t>
        </is>
      </c>
      <c r="S796" s="249" t="inlineStr">
        <is>
          <t>Yes</t>
        </is>
      </c>
      <c r="T796" s="61">
        <f>IF(AND(R796="Yes",S796&lt;&gt;"Yes",L796&gt;0,B796&lt;&gt;"TXO"),L796,"")</f>
        <v/>
      </c>
      <c r="U796" s="61">
        <f>IF(AND(R796="Yes",S796&lt;&gt;"Yes",L796&lt;0,B796&lt;&gt;"TXO"),L796,"")</f>
        <v/>
      </c>
      <c r="V796" s="61">
        <f>IF(AND(R796="",S796&lt;&gt;"Yes",L796&gt;0,B796&lt;&gt;"TXO"),L796,"")</f>
        <v/>
      </c>
      <c r="W796" s="61">
        <f>IF(AND(R796="",S796&lt;&gt;"Yes",L796&lt;0,B796&lt;&gt;"TXO"),L796,"")</f>
        <v/>
      </c>
      <c r="X796" s="226">
        <f>IF(AND(R796="Yes",S796="Yes",L796&gt;0,B796&lt;&gt;"TXO"),L796,"")</f>
        <v/>
      </c>
      <c r="Y796" s="226">
        <f>IF(AND(R796="Yes",S796="Yes",L796&lt;0,B796&lt;&gt;"TXO"),L796,"")</f>
        <v/>
      </c>
      <c r="Z796" s="226">
        <f>IF(AND(R796="",S796="Yes",L796&gt;0,B796&lt;&gt;"TXO"),L796,"")</f>
        <v/>
      </c>
      <c r="AA796" s="226">
        <f>IF(AND(R796="",S796="Yes",L796&lt;0,B796&lt;&gt;"TXO"),L796,"")</f>
        <v/>
      </c>
    </row>
    <row r="797" hidden="1" outlineLevel="2" collapsed="1" ht="17.25" customHeight="1" thickBot="1">
      <c r="A797" s="740" t="n">
        <v>43364</v>
      </c>
      <c r="B797" s="299" t="inlineStr">
        <is>
          <t>FITX</t>
        </is>
      </c>
      <c r="C797" s="300" t="inlineStr">
        <is>
          <t>台指10</t>
        </is>
      </c>
      <c r="D797" s="300" t="inlineStr">
        <is>
          <t>平倉</t>
        </is>
      </c>
      <c r="E797" s="301" t="inlineStr">
        <is>
          <t>賣</t>
        </is>
      </c>
      <c r="F797" s="300" t="inlineStr">
        <is>
          <t>-</t>
        </is>
      </c>
      <c r="G797" s="741" t="n">
        <v>1</v>
      </c>
      <c r="H797" s="741" t="n">
        <v>10964</v>
      </c>
      <c r="I797" s="741" t="n">
        <v>0</v>
      </c>
      <c r="J797" s="742" t="n">
        <v>45</v>
      </c>
      <c r="K797" s="742" t="n">
        <v>44</v>
      </c>
      <c r="L797" s="742">
        <f>IF(B797="TXO",I797-SUM(J797:K797),IF(B797="FITX",IF(D797="新倉",-SUM(J797:K797),IF(E797="賣",(H797-H796)*G797*200-SUM(J797:K797),(H796-H797)*G797*200-SUM(J797:K797))),IF(D797="新倉",-SUM(J797:K797),IF(E797="賣",(H797-H796)*G797*50-SUM(J797:K797),(H796-H797)*G797*50-SUM(J797:K797)))))</f>
        <v/>
      </c>
      <c r="M797" s="743">
        <f>L797</f>
        <v/>
      </c>
      <c r="N797" s="686">
        <f>IF(B797="TXO","",IF(D797="新倉","",IF(E797="賣",(H797-H796)*G797,(H796-H797)*G797)))</f>
        <v/>
      </c>
      <c r="O797" s="226">
        <f>ABS(I797)</f>
        <v/>
      </c>
      <c r="P797" s="667" t="n"/>
      <c r="Q797" s="310" t="inlineStr">
        <is>
          <t>跌破10MA停損</t>
        </is>
      </c>
      <c r="R797" s="249" t="inlineStr">
        <is>
          <t>Yes</t>
        </is>
      </c>
      <c r="S797" s="249" t="inlineStr">
        <is>
          <t>Yes</t>
        </is>
      </c>
      <c r="T797" s="61">
        <f>IF(AND(R797="Yes",S797&lt;&gt;"Yes",L797&gt;0,B797&lt;&gt;"TXO"),L797,"")</f>
        <v/>
      </c>
      <c r="U797" s="61">
        <f>IF(AND(R797="Yes",S797&lt;&gt;"Yes",L797&lt;0,B797&lt;&gt;"TXO"),L797,"")</f>
        <v/>
      </c>
      <c r="V797" s="61">
        <f>IF(AND(R797="",S797&lt;&gt;"Yes",L797&gt;0,B797&lt;&gt;"TXO"),L797,"")</f>
        <v/>
      </c>
      <c r="W797" s="61">
        <f>IF(AND(R797="",S797&lt;&gt;"Yes",L797&lt;0,B797&lt;&gt;"TXO"),L797,"")</f>
        <v/>
      </c>
      <c r="X797" s="226">
        <f>IF(AND(R797="Yes",S797="Yes",L797&gt;0,B797&lt;&gt;"TXO"),L797,"")</f>
        <v/>
      </c>
      <c r="Y797" s="226">
        <f>IF(AND(R797="Yes",S797="Yes",L797&lt;0,B797&lt;&gt;"TXO"),L797,"")</f>
        <v/>
      </c>
      <c r="Z797" s="226">
        <f>IF(AND(R797="",S797="Yes",L797&gt;0,B797&lt;&gt;"TXO"),L797,"")</f>
        <v/>
      </c>
      <c r="AA797" s="226">
        <f>IF(AND(R797="",S797="Yes",L797&lt;0,B797&lt;&gt;"TXO"),L797,"")</f>
        <v/>
      </c>
    </row>
    <row r="798" hidden="1" outlineLevel="2" collapsed="1" ht="17.25" customHeight="1" thickBot="1">
      <c r="A798" s="740" t="n">
        <v>43364</v>
      </c>
      <c r="B798" s="299" t="inlineStr">
        <is>
          <t>FITX</t>
        </is>
      </c>
      <c r="C798" s="300" t="inlineStr">
        <is>
          <t>台指10</t>
        </is>
      </c>
      <c r="D798" s="300" t="inlineStr">
        <is>
          <t>新倉</t>
        </is>
      </c>
      <c r="E798" s="301" t="inlineStr">
        <is>
          <t>賣</t>
        </is>
      </c>
      <c r="F798" s="300" t="inlineStr">
        <is>
          <t>-</t>
        </is>
      </c>
      <c r="G798" s="741" t="n">
        <v>1</v>
      </c>
      <c r="H798" s="741" t="n">
        <v>10962</v>
      </c>
      <c r="I798" s="741" t="n">
        <v>0</v>
      </c>
      <c r="J798" s="742" t="n">
        <v>45</v>
      </c>
      <c r="K798" s="742" t="n">
        <v>44</v>
      </c>
      <c r="L798" s="742">
        <f>IF(B798="TXO",I798-SUM(J798:K798),IF(B798="FITX",IF(D798="新倉",-SUM(J798:K798),IF(E798="賣",(H798-H797)*G798*200-SUM(J798:K798),(H797-H798)*G798*200-SUM(J798:K798))),IF(D798="新倉",-SUM(J798:K798),IF(E798="賣",(H798-H797)*G798*50-SUM(J798:K798),(H797-H798)*G798*50-SUM(J798:K798)))))</f>
        <v/>
      </c>
      <c r="M798" s="743">
        <f>L798</f>
        <v/>
      </c>
      <c r="N798" s="686">
        <f>IF(B798="TXO","",IF(D798="新倉","",IF(E798="賣",(H798-H797)*G798,(H797-H798)*G798)))</f>
        <v/>
      </c>
      <c r="O798" s="226">
        <f>ABS(I798)</f>
        <v/>
      </c>
      <c r="P798" s="667" t="n"/>
      <c r="Q798" s="249" t="inlineStr">
        <is>
          <t>技法: 3/3 買進一口</t>
        </is>
      </c>
      <c r="R798" s="249" t="inlineStr">
        <is>
          <t>Yes</t>
        </is>
      </c>
      <c r="S798" s="249" t="inlineStr">
        <is>
          <t>Yes</t>
        </is>
      </c>
      <c r="T798" s="61">
        <f>IF(AND(R798="Yes",S798&lt;&gt;"Yes",L798&gt;0,B798&lt;&gt;"TXO"),L798,"")</f>
        <v/>
      </c>
      <c r="U798" s="61">
        <f>IF(AND(R798="Yes",S798&lt;&gt;"Yes",L798&lt;0,B798&lt;&gt;"TXO"),L798,"")</f>
        <v/>
      </c>
      <c r="V798" s="61">
        <f>IF(AND(R798="",S798&lt;&gt;"Yes",L798&gt;0,B798&lt;&gt;"TXO"),L798,"")</f>
        <v/>
      </c>
      <c r="W798" s="61">
        <f>IF(AND(R798="",S798&lt;&gt;"Yes",L798&lt;0,B798&lt;&gt;"TXO"),L798,"")</f>
        <v/>
      </c>
      <c r="X798" s="226">
        <f>IF(AND(R798="Yes",S798="Yes",L798&gt;0,B798&lt;&gt;"TXO"),L798,"")</f>
        <v/>
      </c>
      <c r="Y798" s="226">
        <f>IF(AND(R798="Yes",S798="Yes",L798&lt;0,B798&lt;&gt;"TXO"),L798,"")</f>
        <v/>
      </c>
      <c r="Z798" s="226">
        <f>IF(AND(R798="",S798="Yes",L798&gt;0,B798&lt;&gt;"TXO"),L798,"")</f>
        <v/>
      </c>
      <c r="AA798" s="226">
        <f>IF(AND(R798="",S798="Yes",L798&lt;0,B798&lt;&gt;"TXO"),L798,"")</f>
        <v/>
      </c>
    </row>
    <row r="799" hidden="1" outlineLevel="2" collapsed="1" ht="17.25" customHeight="1" thickBot="1">
      <c r="A799" s="740" t="n">
        <v>43364</v>
      </c>
      <c r="B799" s="299" t="inlineStr">
        <is>
          <t>FITX</t>
        </is>
      </c>
      <c r="C799" s="300" t="inlineStr">
        <is>
          <t>台指10</t>
        </is>
      </c>
      <c r="D799" s="300" t="inlineStr">
        <is>
          <t>平倉</t>
        </is>
      </c>
      <c r="E799" s="301" t="inlineStr">
        <is>
          <t>買</t>
        </is>
      </c>
      <c r="F799" s="300" t="inlineStr">
        <is>
          <t>-</t>
        </is>
      </c>
      <c r="G799" s="741" t="n">
        <v>1</v>
      </c>
      <c r="H799" s="741" t="n">
        <v>10960</v>
      </c>
      <c r="I799" s="741" t="n">
        <v>0</v>
      </c>
      <c r="J799" s="742" t="n">
        <v>45</v>
      </c>
      <c r="K799" s="742" t="n">
        <v>44</v>
      </c>
      <c r="L799" s="742">
        <f>IF(B799="TXO",I799-SUM(J799:K799),IF(B799="FITX",IF(D799="新倉",-SUM(J799:K799),IF(E799="賣",(H799-H798)*G799*200-SUM(J799:K799),(H798-H799)*G799*200-SUM(J799:K799))),IF(D799="新倉",-SUM(J799:K799),IF(E799="賣",(H799-H798)*G799*50-SUM(J799:K799),(H798-H799)*G799*50-SUM(J799:K799)))))</f>
        <v/>
      </c>
      <c r="M799" s="743">
        <f>L799</f>
        <v/>
      </c>
      <c r="N799" s="686">
        <f>IF(B799="TXO","",IF(D799="新倉","",IF(E799="賣",(H799-H798)*G799,(H798-H799)*G799)))</f>
        <v/>
      </c>
      <c r="O799" s="226">
        <f>ABS(I799)</f>
        <v/>
      </c>
      <c r="P799" s="667" t="n"/>
      <c r="Q799" s="249" t="inlineStr">
        <is>
          <t>技法: 移動式停利</t>
        </is>
      </c>
      <c r="R799" s="249" t="inlineStr">
        <is>
          <t>Yes</t>
        </is>
      </c>
      <c r="S799" s="249" t="inlineStr">
        <is>
          <t>Yes</t>
        </is>
      </c>
      <c r="T799" s="61">
        <f>IF(AND(R799="Yes",S799&lt;&gt;"Yes",L799&gt;0,B799&lt;&gt;"TXO"),L799,"")</f>
        <v/>
      </c>
      <c r="U799" s="61">
        <f>IF(AND(R799="Yes",S799&lt;&gt;"Yes",L799&lt;0,B799&lt;&gt;"TXO"),L799,"")</f>
        <v/>
      </c>
      <c r="V799" s="61">
        <f>IF(AND(R799="",S799&lt;&gt;"Yes",L799&gt;0,B799&lt;&gt;"TXO"),L799,"")</f>
        <v/>
      </c>
      <c r="W799" s="61">
        <f>IF(AND(R799="",S799&lt;&gt;"Yes",L799&lt;0,B799&lt;&gt;"TXO"),L799,"")</f>
        <v/>
      </c>
      <c r="X799" s="226">
        <f>IF(AND(R799="Yes",S799="Yes",L799&gt;0,B799&lt;&gt;"TXO"),L799,"")</f>
        <v/>
      </c>
      <c r="Y799" s="226">
        <f>IF(AND(R799="Yes",S799="Yes",L799&lt;0,B799&lt;&gt;"TXO"),L799,"")</f>
        <v/>
      </c>
      <c r="Z799" s="226">
        <f>IF(AND(R799="",S799="Yes",L799&gt;0,B799&lt;&gt;"TXO"),L799,"")</f>
        <v/>
      </c>
      <c r="AA799" s="226">
        <f>IF(AND(R799="",S799="Yes",L799&lt;0,B799&lt;&gt;"TXO"),L799,"")</f>
        <v/>
      </c>
    </row>
    <row r="800" hidden="1" outlineLevel="1" ht="33.75" customHeight="1" thickBot="1">
      <c r="A800" s="696" t="n">
        <v>43368</v>
      </c>
      <c r="B800" s="234" t="inlineStr">
        <is>
          <t>FITX</t>
        </is>
      </c>
      <c r="C800" s="229" t="inlineStr">
        <is>
          <t>台指10</t>
        </is>
      </c>
      <c r="D800" s="229" t="inlineStr">
        <is>
          <t>新倉</t>
        </is>
      </c>
      <c r="E800" s="257" t="inlineStr">
        <is>
          <t>買</t>
        </is>
      </c>
      <c r="F800" s="229" t="inlineStr">
        <is>
          <t>-</t>
        </is>
      </c>
      <c r="G800" s="697" t="n">
        <v>1</v>
      </c>
      <c r="H800" s="697" t="n">
        <v>10974</v>
      </c>
      <c r="I800" s="697" t="n">
        <v>0</v>
      </c>
      <c r="J800" s="585" t="n">
        <v>45</v>
      </c>
      <c r="K800" s="585" t="n">
        <v>44</v>
      </c>
      <c r="L800" s="585">
        <f>IF(B800="TXO",I800-SUM(J800:K800),IF(B800="FITX",IF(D800="新倉",-SUM(J800:K800),IF(E800="賣",(H800-H799)*G800*200-SUM(J800:K800),(H799-H800)*G800*200-SUM(J800:K800))),IF(D800="新倉",-SUM(J800:K800),IF(E800="賣",(H800-H799)*G800*50-SUM(J800:K800),(H799-H800)*G800*50-SUM(J800:K800)))))</f>
        <v/>
      </c>
      <c r="M800" s="699">
        <f>L800</f>
        <v/>
      </c>
      <c r="N800" s="686">
        <f>IF(B800="TXO","",IF(D800="新倉","",IF(E800="賣",(H800-H799)*G800,(H799-H800)*G800)))</f>
        <v/>
      </c>
      <c r="O800" s="226">
        <f>ABS(I800)</f>
        <v/>
      </c>
      <c r="P800" s="667">
        <f>SUM(L800:L805)</f>
        <v/>
      </c>
      <c r="Q800" s="249" t="inlineStr">
        <is>
          <t>技法: 籌碼三強，突破開盤高點下多單</t>
        </is>
      </c>
      <c r="R800" s="249" t="inlineStr">
        <is>
          <t>Yes</t>
        </is>
      </c>
      <c r="S800" s="739" t="n"/>
      <c r="T800" s="61">
        <f>IF(AND(R800="Yes",S800&lt;&gt;"Yes",L800&gt;0,B800&lt;&gt;"TXO"),L800,"")</f>
        <v/>
      </c>
      <c r="U800" s="61">
        <f>IF(AND(R800="Yes",S800&lt;&gt;"Yes",L800&lt;0,B800&lt;&gt;"TXO"),L800,"")</f>
        <v/>
      </c>
      <c r="V800" s="61">
        <f>IF(AND(R800="",S800&lt;&gt;"Yes",L800&gt;0,B800&lt;&gt;"TXO"),L800,"")</f>
        <v/>
      </c>
      <c r="W800" s="61">
        <f>IF(AND(R800="",S800&lt;&gt;"Yes",L800&lt;0,B800&lt;&gt;"TXO"),L800,"")</f>
        <v/>
      </c>
      <c r="X800" s="226">
        <f>IF(AND(R800="Yes",S800="Yes",L800&gt;0,B800&lt;&gt;"TXO"),L800,"")</f>
        <v/>
      </c>
      <c r="Y800" s="226">
        <f>IF(AND(R800="Yes",S800="Yes",L800&lt;0,B800&lt;&gt;"TXO"),L800,"")</f>
        <v/>
      </c>
      <c r="Z800" s="226">
        <f>IF(AND(R800="",S800="Yes",L800&gt;0,B800&lt;&gt;"TXO"),L800,"")</f>
        <v/>
      </c>
      <c r="AA800" s="226">
        <f>IF(AND(R800="",S800="Yes",L800&lt;0,B800&lt;&gt;"TXO"),L800,"")</f>
        <v/>
      </c>
    </row>
    <row r="801" hidden="1" outlineLevel="2" ht="17.25" customHeight="1" thickBot="1">
      <c r="A801" s="696" t="n">
        <v>43368</v>
      </c>
      <c r="B801" s="234" t="inlineStr">
        <is>
          <t>FITX</t>
        </is>
      </c>
      <c r="C801" s="229" t="inlineStr">
        <is>
          <t>台指10</t>
        </is>
      </c>
      <c r="D801" s="229" t="inlineStr">
        <is>
          <t>平倉</t>
        </is>
      </c>
      <c r="E801" s="257" t="inlineStr">
        <is>
          <t>賣</t>
        </is>
      </c>
      <c r="F801" s="229" t="inlineStr">
        <is>
          <t>-</t>
        </is>
      </c>
      <c r="G801" s="697" t="n">
        <v>1</v>
      </c>
      <c r="H801" s="697" t="n">
        <v>10980</v>
      </c>
      <c r="I801" s="697" t="n">
        <v>0</v>
      </c>
      <c r="J801" s="585" t="n">
        <v>45</v>
      </c>
      <c r="K801" s="585" t="n">
        <v>44</v>
      </c>
      <c r="L801" s="585">
        <f>IF(B801="TXO",I801-SUM(J801:K801),IF(B801="FITX",IF(D801="新倉",-SUM(J801:K801),IF(E801="賣",(H801-H800)*G801*200-SUM(J801:K801),(H800-H801)*G801*200-SUM(J801:K801))),IF(D801="新倉",-SUM(J801:K801),IF(E801="賣",(H801-H800)*G801*50-SUM(J801:K801),(H800-H801)*G801*50-SUM(J801:K801)))))</f>
        <v/>
      </c>
      <c r="M801" s="699">
        <f>L801</f>
        <v/>
      </c>
      <c r="N801" s="686">
        <f>IF(B801="TXO","",IF(D801="新倉","",IF(E801="賣",(H801-H800)*G801,(H800-H801)*G801)))</f>
        <v/>
      </c>
      <c r="O801" s="226">
        <f>ABS(I801)</f>
        <v/>
      </c>
      <c r="P801" s="667" t="n"/>
      <c r="Q801" s="249" t="inlineStr">
        <is>
          <t>技法: 刺補</t>
        </is>
      </c>
      <c r="R801" s="249" t="inlineStr">
        <is>
          <t>Yes</t>
        </is>
      </c>
      <c r="S801" s="739" t="n"/>
      <c r="T801" s="61">
        <f>IF(AND(R801="Yes",S801&lt;&gt;"Yes",L801&gt;0,B801&lt;&gt;"TXO"),L801,"")</f>
        <v/>
      </c>
      <c r="U801" s="61">
        <f>IF(AND(R801="Yes",S801&lt;&gt;"Yes",L801&lt;0,B801&lt;&gt;"TXO"),L801,"")</f>
        <v/>
      </c>
      <c r="V801" s="61">
        <f>IF(AND(R801="",S801&lt;&gt;"Yes",L801&gt;0,B801&lt;&gt;"TXO"),L801,"")</f>
        <v/>
      </c>
      <c r="W801" s="61">
        <f>IF(AND(R801="",S801&lt;&gt;"Yes",L801&lt;0,B801&lt;&gt;"TXO"),L801,"")</f>
        <v/>
      </c>
      <c r="X801" s="226">
        <f>IF(AND(R801="Yes",S801="Yes",L801&gt;0,B801&lt;&gt;"TXO"),L801,"")</f>
        <v/>
      </c>
      <c r="Y801" s="226">
        <f>IF(AND(R801="Yes",S801="Yes",L801&lt;0,B801&lt;&gt;"TXO"),L801,"")</f>
        <v/>
      </c>
      <c r="Z801" s="226">
        <f>IF(AND(R801="",S801="Yes",L801&gt;0,B801&lt;&gt;"TXO"),L801,"")</f>
        <v/>
      </c>
      <c r="AA801" s="226">
        <f>IF(AND(R801="",S801="Yes",L801&lt;0,B801&lt;&gt;"TXO"),L801,"")</f>
        <v/>
      </c>
    </row>
    <row r="802" hidden="1" outlineLevel="2" ht="17.25" customHeight="1" thickBot="1">
      <c r="A802" s="696" t="n">
        <v>43368</v>
      </c>
      <c r="B802" s="234" t="inlineStr">
        <is>
          <t>FITX</t>
        </is>
      </c>
      <c r="C802" s="229" t="inlineStr">
        <is>
          <t>台指10</t>
        </is>
      </c>
      <c r="D802" s="229" t="inlineStr">
        <is>
          <t>新倉</t>
        </is>
      </c>
      <c r="E802" s="257" t="inlineStr">
        <is>
          <t>買</t>
        </is>
      </c>
      <c r="F802" s="229" t="inlineStr">
        <is>
          <t>-</t>
        </is>
      </c>
      <c r="G802" s="697" t="n">
        <v>1</v>
      </c>
      <c r="H802" s="697" t="n">
        <v>10976</v>
      </c>
      <c r="I802" s="697" t="n">
        <v>0</v>
      </c>
      <c r="J802" s="585" t="n">
        <v>45</v>
      </c>
      <c r="K802" s="585" t="n">
        <v>44</v>
      </c>
      <c r="L802" s="585">
        <f>IF(B802="TXO",I802-SUM(J802:K802),IF(B802="FITX",IF(D802="新倉",-SUM(J802:K802),IF(E802="賣",(H802-H801)*G802*200-SUM(J802:K802),(H801-H802)*G802*200-SUM(J802:K802))),IF(D802="新倉",-SUM(J802:K802),IF(E802="賣",(H802-H801)*G802*50-SUM(J802:K802),(H801-H802)*G802*50-SUM(J802:K802)))))</f>
        <v/>
      </c>
      <c r="M802" s="699">
        <f>L802</f>
        <v/>
      </c>
      <c r="N802" s="686">
        <f>IF(B802="TXO","",IF(D802="新倉","",IF(E802="賣",(H802-H801)*G802,(H801-H802)*G802)))</f>
        <v/>
      </c>
      <c r="O802" s="226">
        <f>ABS(I802)</f>
        <v/>
      </c>
      <c r="P802" s="667" t="n"/>
      <c r="Q802" s="310" t="inlineStr">
        <is>
          <t>太早下單，訊號消失</t>
        </is>
      </c>
      <c r="S802" s="739" t="n"/>
      <c r="T802" s="61">
        <f>IF(AND(R802="Yes",S802&lt;&gt;"Yes",L802&gt;0,B802&lt;&gt;"TXO"),L802,"")</f>
        <v/>
      </c>
      <c r="U802" s="61">
        <f>IF(AND(R802="Yes",S802&lt;&gt;"Yes",L802&lt;0,B802&lt;&gt;"TXO"),L802,"")</f>
        <v/>
      </c>
      <c r="V802" s="61">
        <f>IF(AND(R802="",S802&lt;&gt;"Yes",L802&gt;0,B802&lt;&gt;"TXO"),L802,"")</f>
        <v/>
      </c>
      <c r="W802" s="61">
        <f>IF(AND(R802="",S802&lt;&gt;"Yes",L802&lt;0,B802&lt;&gt;"TXO"),L802,"")</f>
        <v/>
      </c>
      <c r="X802" s="226">
        <f>IF(AND(R802="Yes",S802="Yes",L802&gt;0,B802&lt;&gt;"TXO"),L802,"")</f>
        <v/>
      </c>
      <c r="Y802" s="226">
        <f>IF(AND(R802="Yes",S802="Yes",L802&lt;0,B802&lt;&gt;"TXO"),L802,"")</f>
        <v/>
      </c>
      <c r="Z802" s="226">
        <f>IF(AND(R802="",S802="Yes",L802&gt;0,B802&lt;&gt;"TXO"),L802,"")</f>
        <v/>
      </c>
      <c r="AA802" s="226">
        <f>IF(AND(R802="",S802="Yes",L802&lt;0,B802&lt;&gt;"TXO"),L802,"")</f>
        <v/>
      </c>
    </row>
    <row r="803" hidden="1" outlineLevel="2" ht="17.25" customHeight="1" thickBot="1">
      <c r="A803" s="696" t="n">
        <v>43368</v>
      </c>
      <c r="B803" s="234" t="inlineStr">
        <is>
          <t>FITX</t>
        </is>
      </c>
      <c r="C803" s="229" t="inlineStr">
        <is>
          <t>台指10</t>
        </is>
      </c>
      <c r="D803" s="229" t="inlineStr">
        <is>
          <t>平倉</t>
        </is>
      </c>
      <c r="E803" s="257" t="inlineStr">
        <is>
          <t>賣</t>
        </is>
      </c>
      <c r="F803" s="229" t="inlineStr">
        <is>
          <t>-</t>
        </is>
      </c>
      <c r="G803" s="697" t="n">
        <v>1</v>
      </c>
      <c r="H803" s="697" t="n">
        <v>10980</v>
      </c>
      <c r="I803" s="697" t="n">
        <v>0</v>
      </c>
      <c r="J803" s="585" t="n">
        <v>45</v>
      </c>
      <c r="K803" s="585" t="n">
        <v>44</v>
      </c>
      <c r="L803" s="585">
        <f>IF(B803="TXO",I803-SUM(J803:K803),IF(B803="FITX",IF(D803="新倉",-SUM(J803:K803),IF(E803="賣",(H803-H802)*G803*200-SUM(J803:K803),(H802-H803)*G803*200-SUM(J803:K803))),IF(D803="新倉",-SUM(J803:K803),IF(E803="賣",(H803-H802)*G803*50-SUM(J803:K803),(H802-H803)*G803*50-SUM(J803:K803)))))</f>
        <v/>
      </c>
      <c r="M803" s="699">
        <f>L803</f>
        <v/>
      </c>
      <c r="N803" s="686">
        <f>IF(B803="TXO","",IF(D803="新倉","",IF(E803="賣",(H803-H802)*G803,(H802-H803)*G803)))</f>
        <v/>
      </c>
      <c r="O803" s="226">
        <f>ABS(I803)</f>
        <v/>
      </c>
      <c r="P803" s="667" t="n"/>
      <c r="Q803" s="311" t="inlineStr">
        <is>
          <t>顧小孩，設4點停利，關機</t>
        </is>
      </c>
      <c r="R803" s="311" t="n"/>
      <c r="S803" s="739" t="n"/>
      <c r="T803" s="61">
        <f>IF(AND(R803="Yes",S803&lt;&gt;"Yes",L803&gt;0,B803&lt;&gt;"TXO"),L803,"")</f>
        <v/>
      </c>
      <c r="U803" s="61">
        <f>IF(AND(R803="Yes",S803&lt;&gt;"Yes",L803&lt;0,B803&lt;&gt;"TXO"),L803,"")</f>
        <v/>
      </c>
      <c r="V803" s="61">
        <f>IF(AND(R803="",S803&lt;&gt;"Yes",L803&gt;0,B803&lt;&gt;"TXO"),L803,"")</f>
        <v/>
      </c>
      <c r="W803" s="61">
        <f>IF(AND(R803="",S803&lt;&gt;"Yes",L803&lt;0,B803&lt;&gt;"TXO"),L803,"")</f>
        <v/>
      </c>
      <c r="X803" s="226">
        <f>IF(AND(R803="Yes",S803="Yes",L803&gt;0,B803&lt;&gt;"TXO"),L803,"")</f>
        <v/>
      </c>
      <c r="Y803" s="226">
        <f>IF(AND(R803="Yes",S803="Yes",L803&lt;0,B803&lt;&gt;"TXO"),L803,"")</f>
        <v/>
      </c>
      <c r="Z803" s="226">
        <f>IF(AND(R803="",S803="Yes",L803&gt;0,B803&lt;&gt;"TXO"),L803,"")</f>
        <v/>
      </c>
      <c r="AA803" s="226">
        <f>IF(AND(R803="",S803="Yes",L803&lt;0,B803&lt;&gt;"TXO"),L803,"")</f>
        <v/>
      </c>
    </row>
    <row r="804" hidden="1" outlineLevel="2" ht="17.25" customHeight="1" thickBot="1">
      <c r="A804" s="696" t="n">
        <v>43368</v>
      </c>
      <c r="B804" s="234" t="inlineStr">
        <is>
          <t>FITX</t>
        </is>
      </c>
      <c r="C804" s="229" t="inlineStr">
        <is>
          <t>台指10</t>
        </is>
      </c>
      <c r="D804" s="229" t="inlineStr">
        <is>
          <t>新倉</t>
        </is>
      </c>
      <c r="E804" s="257" t="inlineStr">
        <is>
          <t>賣</t>
        </is>
      </c>
      <c r="F804" s="229" t="inlineStr">
        <is>
          <t>-</t>
        </is>
      </c>
      <c r="G804" s="697" t="n">
        <v>1</v>
      </c>
      <c r="H804" s="697" t="n">
        <v>10972</v>
      </c>
      <c r="I804" s="697" t="n">
        <v>0</v>
      </c>
      <c r="J804" s="585" t="n">
        <v>45</v>
      </c>
      <c r="K804" s="585" t="n">
        <v>44</v>
      </c>
      <c r="L804" s="585">
        <f>IF(B804="TXO",I804-SUM(J804:K804),IF(B804="FITX",IF(D804="新倉",-SUM(J804:K804),IF(E804="賣",(H804-H803)*G804*200-SUM(J804:K804),(H803-H804)*G804*200-SUM(J804:K804))),IF(D804="新倉",-SUM(J804:K804),IF(E804="賣",(H804-H803)*G804*50-SUM(J804:K804),(H803-H804)*G804*50-SUM(J804:K804)))))</f>
        <v/>
      </c>
      <c r="M804" s="699">
        <f>L804</f>
        <v/>
      </c>
      <c r="N804" s="686">
        <f>IF(B804="TXO","",IF(D804="新倉","",IF(E804="賣",(H804-H803)*G804,(H803-H804)*G804)))</f>
        <v/>
      </c>
      <c r="O804" s="226">
        <f>ABS(I804)</f>
        <v/>
      </c>
      <c r="P804" s="667" t="n"/>
      <c r="Q804" s="249" t="inlineStr">
        <is>
          <t>技法: 3/3 買進一口</t>
        </is>
      </c>
      <c r="R804" s="249" t="inlineStr">
        <is>
          <t>Yes</t>
        </is>
      </c>
      <c r="S804" s="249" t="inlineStr">
        <is>
          <t>Yes</t>
        </is>
      </c>
      <c r="T804" s="61">
        <f>IF(AND(R804="Yes",S804&lt;&gt;"Yes",L804&gt;0,B804&lt;&gt;"TXO"),L804,"")</f>
        <v/>
      </c>
      <c r="U804" s="61">
        <f>IF(AND(R804="Yes",S804&lt;&gt;"Yes",L804&lt;0,B804&lt;&gt;"TXO"),L804,"")</f>
        <v/>
      </c>
      <c r="V804" s="61">
        <f>IF(AND(R804="",S804&lt;&gt;"Yes",L804&gt;0,B804&lt;&gt;"TXO"),L804,"")</f>
        <v/>
      </c>
      <c r="W804" s="61">
        <f>IF(AND(R804="",S804&lt;&gt;"Yes",L804&lt;0,B804&lt;&gt;"TXO"),L804,"")</f>
        <v/>
      </c>
      <c r="X804" s="226">
        <f>IF(AND(R804="Yes",S804="Yes",L804&gt;0,B804&lt;&gt;"TXO"),L804,"")</f>
        <v/>
      </c>
      <c r="Y804" s="226">
        <f>IF(AND(R804="Yes",S804="Yes",L804&lt;0,B804&lt;&gt;"TXO"),L804,"")</f>
        <v/>
      </c>
      <c r="Z804" s="226">
        <f>IF(AND(R804="",S804="Yes",L804&gt;0,B804&lt;&gt;"TXO"),L804,"")</f>
        <v/>
      </c>
      <c r="AA804" s="226">
        <f>IF(AND(R804="",S804="Yes",L804&lt;0,B804&lt;&gt;"TXO"),L804,"")</f>
        <v/>
      </c>
    </row>
    <row r="805" hidden="1" outlineLevel="2" ht="17.25" customHeight="1" thickBot="1">
      <c r="A805" s="696" t="n">
        <v>43368</v>
      </c>
      <c r="B805" s="234" t="inlineStr">
        <is>
          <t>FITX</t>
        </is>
      </c>
      <c r="C805" s="229" t="inlineStr">
        <is>
          <t>台指10</t>
        </is>
      </c>
      <c r="D805" s="229" t="inlineStr">
        <is>
          <t>平倉</t>
        </is>
      </c>
      <c r="E805" s="257" t="inlineStr">
        <is>
          <t>買</t>
        </is>
      </c>
      <c r="F805" s="229" t="inlineStr">
        <is>
          <t>-</t>
        </is>
      </c>
      <c r="G805" s="697" t="n">
        <v>1</v>
      </c>
      <c r="H805" s="697" t="n">
        <v>10968</v>
      </c>
      <c r="I805" s="697" t="n">
        <v>0</v>
      </c>
      <c r="J805" s="585" t="n">
        <v>45</v>
      </c>
      <c r="K805" s="585" t="n">
        <v>44</v>
      </c>
      <c r="L805" s="585">
        <f>IF(B805="TXO",I805-SUM(J805:K805),IF(B805="FITX",IF(D805="新倉",-SUM(J805:K805),IF(E805="賣",(H805-H804)*G805*200-SUM(J805:K805),(H804-H805)*G805*200-SUM(J805:K805))),IF(D805="新倉",-SUM(J805:K805),IF(E805="賣",(H805-H804)*G805*50-SUM(J805:K805),(H804-H805)*G805*50-SUM(J805:K805)))))</f>
        <v/>
      </c>
      <c r="M805" s="699">
        <f>L805</f>
        <v/>
      </c>
      <c r="N805" s="686">
        <f>IF(B805="TXO","",IF(D805="新倉","",IF(E805="賣",(H805-H804)*G805,(H804-H805)*G805)))</f>
        <v/>
      </c>
      <c r="O805" s="226">
        <f>ABS(I805)</f>
        <v/>
      </c>
      <c r="P805" s="667" t="n"/>
      <c r="Q805" s="249" t="inlineStr">
        <is>
          <t>技法: 刺補</t>
        </is>
      </c>
      <c r="R805" s="249" t="inlineStr">
        <is>
          <t>Yes</t>
        </is>
      </c>
      <c r="S805" s="249" t="inlineStr">
        <is>
          <t>Yes</t>
        </is>
      </c>
      <c r="T805" s="61">
        <f>IF(AND(R805="Yes",S805&lt;&gt;"Yes",L805&gt;0,B805&lt;&gt;"TXO"),L805,"")</f>
        <v/>
      </c>
      <c r="U805" s="61">
        <f>IF(AND(R805="Yes",S805&lt;&gt;"Yes",L805&lt;0,B805&lt;&gt;"TXO"),L805,"")</f>
        <v/>
      </c>
      <c r="V805" s="61">
        <f>IF(AND(R805="",S805&lt;&gt;"Yes",L805&gt;0,B805&lt;&gt;"TXO"),L805,"")</f>
        <v/>
      </c>
      <c r="W805" s="61">
        <f>IF(AND(R805="",S805&lt;&gt;"Yes",L805&lt;0,B805&lt;&gt;"TXO"),L805,"")</f>
        <v/>
      </c>
      <c r="X805" s="226">
        <f>IF(AND(R805="Yes",S805="Yes",L805&gt;0,B805&lt;&gt;"TXO"),L805,"")</f>
        <v/>
      </c>
      <c r="Y805" s="226">
        <f>IF(AND(R805="Yes",S805="Yes",L805&lt;0,B805&lt;&gt;"TXO"),L805,"")</f>
        <v/>
      </c>
      <c r="Z805" s="226">
        <f>IF(AND(R805="",S805="Yes",L805&gt;0,B805&lt;&gt;"TXO"),L805,"")</f>
        <v/>
      </c>
      <c r="AA805" s="226">
        <f>IF(AND(R805="",S805="Yes",L805&lt;0,B805&lt;&gt;"TXO"),L805,"")</f>
        <v/>
      </c>
    </row>
    <row r="806" hidden="1" outlineLevel="1" collapsed="1" ht="17.25" customHeight="1" thickBot="1">
      <c r="A806" s="740" t="n">
        <v>43369</v>
      </c>
      <c r="B806" s="299" t="inlineStr">
        <is>
          <t>FIMTX</t>
        </is>
      </c>
      <c r="C806" s="300" t="inlineStr">
        <is>
          <t>小指10</t>
        </is>
      </c>
      <c r="D806" s="300" t="inlineStr">
        <is>
          <t>新倉</t>
        </is>
      </c>
      <c r="E806" s="301" t="inlineStr">
        <is>
          <t>賣</t>
        </is>
      </c>
      <c r="F806" s="300" t="inlineStr">
        <is>
          <t>-</t>
        </is>
      </c>
      <c r="G806" s="741" t="n">
        <v>2</v>
      </c>
      <c r="H806" s="741" t="n">
        <v>10966</v>
      </c>
      <c r="I806" s="741" t="n">
        <v>0</v>
      </c>
      <c r="J806" s="742" t="n">
        <v>46</v>
      </c>
      <c r="K806" s="742" t="n">
        <v>22</v>
      </c>
      <c r="L806" s="742">
        <f>IF(B806="TXO",I806-SUM(J806:K806),IF(B806="FITX",IF(D806="新倉",-SUM(J806:K806),IF(E806="賣",(H806-H805)*G806*200-SUM(J806:K806),(H805-H806)*G806*200-SUM(J806:K806))),IF(D806="新倉",-SUM(J806:K806),IF(E806="賣",(H806-H805)*G806*50-SUM(J806:K806),(H805-H806)*G806*50-SUM(J806:K806)))))</f>
        <v/>
      </c>
      <c r="M806" s="743">
        <f>L806</f>
        <v/>
      </c>
      <c r="N806" s="686">
        <f>IF(B806="TXO","",IF(D806="新倉","",IF(E806="賣",(H806-H805)*G806,(H805-H806)*G806)))</f>
        <v/>
      </c>
      <c r="O806" s="226">
        <f>ABS(I806)</f>
        <v/>
      </c>
      <c r="P806" s="667">
        <f>SUM(L806:L807)</f>
        <v/>
      </c>
      <c r="Q806" s="249" t="inlineStr">
        <is>
          <t>技法: 3/3 買進一口</t>
        </is>
      </c>
      <c r="S806" s="249" t="n"/>
      <c r="T806" s="61">
        <f>IF(AND(R806="Yes",S806&lt;&gt;"Yes",L806&gt;0,B806&lt;&gt;"TXO"),L806,"")</f>
        <v/>
      </c>
      <c r="U806" s="61">
        <f>IF(AND(R806="Yes",S806&lt;&gt;"Yes",L806&lt;0,B806&lt;&gt;"TXO"),L806,"")</f>
        <v/>
      </c>
      <c r="V806" s="61">
        <f>IF(AND(R806="",S806&lt;&gt;"Yes",L806&gt;0,B806&lt;&gt;"TXO"),L806,"")</f>
        <v/>
      </c>
      <c r="W806" s="61">
        <f>IF(AND(R806="",S806&lt;&gt;"Yes",L806&lt;0,B806&lt;&gt;"TXO"),L806,"")</f>
        <v/>
      </c>
      <c r="X806" s="226">
        <f>IF(AND(R806="Yes",S806="Yes",L806&gt;0,B806&lt;&gt;"TXO"),L806,"")</f>
        <v/>
      </c>
      <c r="Y806" s="226">
        <f>IF(AND(R806="Yes",S806="Yes",L806&lt;0,B806&lt;&gt;"TXO"),L806,"")</f>
        <v/>
      </c>
      <c r="Z806" s="226">
        <f>IF(AND(R806="",S806="Yes",L806&gt;0,B806&lt;&gt;"TXO"),L806,"")</f>
        <v/>
      </c>
      <c r="AA806" s="226">
        <f>IF(AND(R806="",S806="Yes",L806&lt;0,B806&lt;&gt;"TXO"),L806,"")</f>
        <v/>
      </c>
    </row>
    <row r="807" hidden="1" outlineLevel="1" ht="33.75" customHeight="1" thickBot="1">
      <c r="A807" s="740" t="n">
        <v>43369</v>
      </c>
      <c r="B807" s="299" t="inlineStr">
        <is>
          <t>FIMTX</t>
        </is>
      </c>
      <c r="C807" s="300" t="inlineStr">
        <is>
          <t>小指10</t>
        </is>
      </c>
      <c r="D807" s="300" t="inlineStr">
        <is>
          <t>平倉</t>
        </is>
      </c>
      <c r="E807" s="301" t="inlineStr">
        <is>
          <t>買</t>
        </is>
      </c>
      <c r="F807" s="300" t="inlineStr">
        <is>
          <t>-</t>
        </is>
      </c>
      <c r="G807" s="741" t="n">
        <v>2</v>
      </c>
      <c r="H807" s="741" t="n">
        <v>10961</v>
      </c>
      <c r="I807" s="741" t="n">
        <v>0</v>
      </c>
      <c r="J807" s="742" t="n">
        <v>46</v>
      </c>
      <c r="K807" s="742" t="n">
        <v>22</v>
      </c>
      <c r="L807" s="742">
        <f>IF(B807="TXO",I807-SUM(J807:K807),IF(B807="FITX",IF(D807="新倉",-SUM(J807:K807),IF(E807="賣",(H807-H806)*G807*200-SUM(J807:K807),(H806-H807)*G807*200-SUM(J807:K807))),IF(D807="新倉",-SUM(J807:K807),IF(E807="賣",(H807-H806)*G807*50-SUM(J807:K807),(H806-H807)*G807*50-SUM(J807:K807)))))</f>
        <v/>
      </c>
      <c r="M807" s="743">
        <f>L807</f>
        <v/>
      </c>
      <c r="N807" s="686">
        <f>IF(B807="TXO","",IF(D807="新倉","",IF(E807="賣",(H807-H806)*G807,(H806-H807)*G807)))</f>
        <v/>
      </c>
      <c r="O807" s="226">
        <f>ABS(I807)</f>
        <v/>
      </c>
      <c r="P807" s="667" t="n"/>
      <c r="Q807" s="310" t="inlineStr">
        <is>
          <t>結算日震盪，拉回不停損，設5點停利</t>
        </is>
      </c>
      <c r="S807" s="249" t="n"/>
      <c r="T807" s="61">
        <f>IF(AND(R807="Yes",S807&lt;&gt;"Yes",L807&gt;0,B807&lt;&gt;"TXO"),L807,"")</f>
        <v/>
      </c>
      <c r="U807" s="61">
        <f>IF(AND(R807="Yes",S807&lt;&gt;"Yes",L807&lt;0,B807&lt;&gt;"TXO"),L807,"")</f>
        <v/>
      </c>
      <c r="V807" s="61">
        <f>IF(AND(R807="",S807&lt;&gt;"Yes",L807&gt;0,B807&lt;&gt;"TXO"),L807,"")</f>
        <v/>
      </c>
      <c r="W807" s="61">
        <f>IF(AND(R807="",S807&lt;&gt;"Yes",L807&lt;0,B807&lt;&gt;"TXO"),L807,"")</f>
        <v/>
      </c>
      <c r="X807" s="226">
        <f>IF(AND(R807="Yes",S807="Yes",L807&gt;0,B807&lt;&gt;"TXO"),L807,"")</f>
        <v/>
      </c>
      <c r="Y807" s="226">
        <f>IF(AND(R807="Yes",S807="Yes",L807&lt;0,B807&lt;&gt;"TXO"),L807,"")</f>
        <v/>
      </c>
      <c r="Z807" s="226">
        <f>IF(AND(R807="",S807="Yes",L807&gt;0,B807&lt;&gt;"TXO"),L807,"")</f>
        <v/>
      </c>
      <c r="AA807" s="226">
        <f>IF(AND(R807="",S807="Yes",L807&lt;0,B807&lt;&gt;"TXO"),L807,"")</f>
        <v/>
      </c>
    </row>
    <row r="808" hidden="1" outlineLevel="1" ht="17.25" customHeight="1" thickBot="1">
      <c r="A808" s="696" t="n">
        <v>43370</v>
      </c>
      <c r="B808" s="234" t="inlineStr">
        <is>
          <t>FITX</t>
        </is>
      </c>
      <c r="C808" s="229" t="inlineStr">
        <is>
          <t>台指10</t>
        </is>
      </c>
      <c r="D808" s="229" t="inlineStr">
        <is>
          <t>新倉</t>
        </is>
      </c>
      <c r="E808" s="257" t="inlineStr">
        <is>
          <t>買</t>
        </is>
      </c>
      <c r="F808" s="229" t="inlineStr">
        <is>
          <t>-</t>
        </is>
      </c>
      <c r="G808" s="697" t="n">
        <v>1</v>
      </c>
      <c r="H808" s="697" t="n">
        <v>10987</v>
      </c>
      <c r="I808" s="697" t="n">
        <v>0</v>
      </c>
      <c r="J808" s="585" t="n">
        <v>45</v>
      </c>
      <c r="K808" s="585" t="n">
        <v>44</v>
      </c>
      <c r="L808" s="585">
        <f>IF(B808="TXO",I808-SUM(J808:K808),IF(B808="FITX",IF(D808="新倉",-SUM(J808:K808),IF(E808="賣",(H808-H807)*G808*200-SUM(J808:K808),(H807-H808)*G808*200-SUM(J808:K808))),IF(D808="新倉",-SUM(J808:K808),IF(E808="賣",(H808-H807)*G808*50-SUM(J808:K808),(H807-H808)*G808*50-SUM(J808:K808)))))</f>
        <v/>
      </c>
      <c r="M808" s="699">
        <f>L808</f>
        <v/>
      </c>
      <c r="N808" s="686">
        <f>IF(B808="TXO","",IF(D808="新倉","",IF(E808="賣",(H808-H807)*G808,(H807-H808)*G808)))</f>
        <v/>
      </c>
      <c r="O808" s="226">
        <f>ABS(I808)</f>
        <v/>
      </c>
      <c r="P808" s="667">
        <f>SUM(L808:L827)</f>
        <v/>
      </c>
      <c r="Q808" s="249" t="inlineStr">
        <is>
          <t>技法: 3/3 買進一口</t>
        </is>
      </c>
      <c r="R808" s="249" t="inlineStr">
        <is>
          <t>Yes</t>
        </is>
      </c>
      <c r="S808" s="249" t="n"/>
      <c r="T808" s="61">
        <f>IF(AND(R808="Yes",S808&lt;&gt;"Yes",L808&gt;0,B808&lt;&gt;"TXO"),L808,"")</f>
        <v/>
      </c>
      <c r="U808" s="61">
        <f>IF(AND(R808="Yes",S808&lt;&gt;"Yes",L808&lt;0,B808&lt;&gt;"TXO"),L808,"")</f>
        <v/>
      </c>
      <c r="V808" s="61">
        <f>IF(AND(R808="",S808&lt;&gt;"Yes",L808&gt;0,B808&lt;&gt;"TXO"),L808,"")</f>
        <v/>
      </c>
      <c r="W808" s="61">
        <f>IF(AND(R808="",S808&lt;&gt;"Yes",L808&lt;0,B808&lt;&gt;"TXO"),L808,"")</f>
        <v/>
      </c>
      <c r="X808" s="226">
        <f>IF(AND(R808="Yes",S808="Yes",L808&gt;0,B808&lt;&gt;"TXO"),L808,"")</f>
        <v/>
      </c>
      <c r="Y808" s="226">
        <f>IF(AND(R808="Yes",S808="Yes",L808&lt;0,B808&lt;&gt;"TXO"),L808,"")</f>
        <v/>
      </c>
      <c r="Z808" s="226">
        <f>IF(AND(R808="",S808="Yes",L808&gt;0,B808&lt;&gt;"TXO"),L808,"")</f>
        <v/>
      </c>
      <c r="AA808" s="226">
        <f>IF(AND(R808="",S808="Yes",L808&lt;0,B808&lt;&gt;"TXO"),L808,"")</f>
        <v/>
      </c>
    </row>
    <row r="809" hidden="1" outlineLevel="2" ht="17.25" customHeight="1" thickBot="1">
      <c r="A809" s="696" t="n">
        <v>43370</v>
      </c>
      <c r="B809" s="234" t="inlineStr">
        <is>
          <t>FITX</t>
        </is>
      </c>
      <c r="C809" s="229" t="inlineStr">
        <is>
          <t>台指10</t>
        </is>
      </c>
      <c r="D809" s="229" t="inlineStr">
        <is>
          <t>平倉</t>
        </is>
      </c>
      <c r="E809" s="257" t="inlineStr">
        <is>
          <t>賣</t>
        </is>
      </c>
      <c r="F809" s="229" t="inlineStr">
        <is>
          <t>-</t>
        </is>
      </c>
      <c r="G809" s="697" t="n">
        <v>1</v>
      </c>
      <c r="H809" s="697" t="n">
        <v>10992</v>
      </c>
      <c r="I809" s="697" t="n">
        <v>0</v>
      </c>
      <c r="J809" s="585" t="n">
        <v>45</v>
      </c>
      <c r="K809" s="585" t="n">
        <v>44</v>
      </c>
      <c r="L809" s="585">
        <f>IF(B809="TXO",I809-SUM(J809:K809),IF(B809="FITX",IF(D809="新倉",-SUM(J809:K809),IF(E809="賣",(H809-H808)*G809*200-SUM(J809:K809),(H808-H809)*G809*200-SUM(J809:K809))),IF(D809="新倉",-SUM(J809:K809),IF(E809="賣",(H809-H808)*G809*50-SUM(J809:K809),(H808-H809)*G809*50-SUM(J809:K809)))))</f>
        <v/>
      </c>
      <c r="M809" s="699">
        <f>L809</f>
        <v/>
      </c>
      <c r="N809" s="686">
        <f>IF(B809="TXO","",IF(D809="新倉","",IF(E809="賣",(H809-H808)*G809,(H808-H809)*G809)))</f>
        <v/>
      </c>
      <c r="O809" s="226">
        <f>ABS(I809)</f>
        <v/>
      </c>
      <c r="P809" s="667" t="n"/>
      <c r="Q809" s="249" t="inlineStr">
        <is>
          <t>技法: 刺補</t>
        </is>
      </c>
      <c r="R809" s="249" t="inlineStr">
        <is>
          <t>Yes</t>
        </is>
      </c>
      <c r="S809" s="249" t="n"/>
      <c r="T809" s="61">
        <f>IF(AND(R809="Yes",S809&lt;&gt;"Yes",L809&gt;0,B809&lt;&gt;"TXO"),L809,"")</f>
        <v/>
      </c>
      <c r="U809" s="61">
        <f>IF(AND(R809="Yes",S809&lt;&gt;"Yes",L809&lt;0,B809&lt;&gt;"TXO"),L809,"")</f>
        <v/>
      </c>
      <c r="V809" s="61">
        <f>IF(AND(R809="",S809&lt;&gt;"Yes",L809&gt;0,B809&lt;&gt;"TXO"),L809,"")</f>
        <v/>
      </c>
      <c r="W809" s="61">
        <f>IF(AND(R809="",S809&lt;&gt;"Yes",L809&lt;0,B809&lt;&gt;"TXO"),L809,"")</f>
        <v/>
      </c>
      <c r="X809" s="226">
        <f>IF(AND(R809="Yes",S809="Yes",L809&gt;0,B809&lt;&gt;"TXO"),L809,"")</f>
        <v/>
      </c>
      <c r="Y809" s="226">
        <f>IF(AND(R809="Yes",S809="Yes",L809&lt;0,B809&lt;&gt;"TXO"),L809,"")</f>
        <v/>
      </c>
      <c r="Z809" s="226">
        <f>IF(AND(R809="",S809="Yes",L809&gt;0,B809&lt;&gt;"TXO"),L809,"")</f>
        <v/>
      </c>
      <c r="AA809" s="226">
        <f>IF(AND(R809="",S809="Yes",L809&lt;0,B809&lt;&gt;"TXO"),L809,"")</f>
        <v/>
      </c>
    </row>
    <row r="810" hidden="1" outlineLevel="2" ht="17.25" customHeight="1" thickBot="1">
      <c r="A810" s="696" t="n">
        <v>43370</v>
      </c>
      <c r="B810" s="234" t="inlineStr">
        <is>
          <t>FITX</t>
        </is>
      </c>
      <c r="C810" s="229" t="inlineStr">
        <is>
          <t>台指10</t>
        </is>
      </c>
      <c r="D810" s="229" t="inlineStr">
        <is>
          <t>新倉</t>
        </is>
      </c>
      <c r="E810" s="257" t="inlineStr">
        <is>
          <t>買</t>
        </is>
      </c>
      <c r="F810" s="229" t="inlineStr">
        <is>
          <t>-</t>
        </is>
      </c>
      <c r="G810" s="697" t="n">
        <v>1</v>
      </c>
      <c r="H810" s="697" t="n">
        <v>10999</v>
      </c>
      <c r="I810" s="697" t="n">
        <v>0</v>
      </c>
      <c r="J810" s="585" t="n">
        <v>45</v>
      </c>
      <c r="K810" s="585" t="n">
        <v>44</v>
      </c>
      <c r="L810" s="585">
        <f>IF(B810="TXO",I810-SUM(J810:K810),IF(B810="FITX",IF(D810="新倉",-SUM(J810:K810),IF(E810="賣",(H810-H809)*G810*200-SUM(J810:K810),(H809-H810)*G810*200-SUM(J810:K810))),IF(D810="新倉",-SUM(J810:K810),IF(E810="賣",(H810-H809)*G810*50-SUM(J810:K810),(H809-H810)*G810*50-SUM(J810:K810)))))</f>
        <v/>
      </c>
      <c r="M810" s="699">
        <f>L810</f>
        <v/>
      </c>
      <c r="N810" s="686">
        <f>IF(B810="TXO","",IF(D810="新倉","",IF(E810="賣",(H810-H809)*G810,(H809-H810)*G810)))</f>
        <v/>
      </c>
      <c r="O810" s="226">
        <f>ABS(I810)</f>
        <v/>
      </c>
      <c r="P810" s="667" t="n"/>
      <c r="Q810" s="249" t="inlineStr">
        <is>
          <t>技法: 3/3 買進一口</t>
        </is>
      </c>
      <c r="R810" s="249" t="inlineStr">
        <is>
          <t>Yes</t>
        </is>
      </c>
      <c r="S810" s="249" t="n"/>
      <c r="T810" s="61">
        <f>IF(AND(R810="Yes",S810&lt;&gt;"Yes",L810&gt;0,B810&lt;&gt;"TXO"),L810,"")</f>
        <v/>
      </c>
      <c r="U810" s="61">
        <f>IF(AND(R810="Yes",S810&lt;&gt;"Yes",L810&lt;0,B810&lt;&gt;"TXO"),L810,"")</f>
        <v/>
      </c>
      <c r="V810" s="61">
        <f>IF(AND(R810="",S810&lt;&gt;"Yes",L810&gt;0,B810&lt;&gt;"TXO"),L810,"")</f>
        <v/>
      </c>
      <c r="W810" s="61">
        <f>IF(AND(R810="",S810&lt;&gt;"Yes",L810&lt;0,B810&lt;&gt;"TXO"),L810,"")</f>
        <v/>
      </c>
      <c r="X810" s="226">
        <f>IF(AND(R810="Yes",S810="Yes",L810&gt;0,B810&lt;&gt;"TXO"),L810,"")</f>
        <v/>
      </c>
      <c r="Y810" s="226">
        <f>IF(AND(R810="Yes",S810="Yes",L810&lt;0,B810&lt;&gt;"TXO"),L810,"")</f>
        <v/>
      </c>
      <c r="Z810" s="226">
        <f>IF(AND(R810="",S810="Yes",L810&gt;0,B810&lt;&gt;"TXO"),L810,"")</f>
        <v/>
      </c>
      <c r="AA810" s="226">
        <f>IF(AND(R810="",S810="Yes",L810&lt;0,B810&lt;&gt;"TXO"),L810,"")</f>
        <v/>
      </c>
    </row>
    <row r="811" hidden="1" outlineLevel="2" ht="17.25" customHeight="1" thickBot="1">
      <c r="A811" s="696" t="n">
        <v>43370</v>
      </c>
      <c r="B811" s="234" t="inlineStr">
        <is>
          <t>FITX</t>
        </is>
      </c>
      <c r="C811" s="229" t="inlineStr">
        <is>
          <t>台指10</t>
        </is>
      </c>
      <c r="D811" s="229" t="inlineStr">
        <is>
          <t>平倉</t>
        </is>
      </c>
      <c r="E811" s="257" t="inlineStr">
        <is>
          <t>賣</t>
        </is>
      </c>
      <c r="F811" s="229" t="inlineStr">
        <is>
          <t>-</t>
        </is>
      </c>
      <c r="G811" s="697" t="n">
        <v>1</v>
      </c>
      <c r="H811" s="697" t="n">
        <v>11004</v>
      </c>
      <c r="I811" s="697" t="n">
        <v>0</v>
      </c>
      <c r="J811" s="585" t="n">
        <v>45</v>
      </c>
      <c r="K811" s="585" t="n">
        <v>44</v>
      </c>
      <c r="L811" s="585">
        <f>IF(B811="TXO",I811-SUM(J811:K811),IF(B811="FITX",IF(D811="新倉",-SUM(J811:K811),IF(E811="賣",(H811-H810)*G811*200-SUM(J811:K811),(H810-H811)*G811*200-SUM(J811:K811))),IF(D811="新倉",-SUM(J811:K811),IF(E811="賣",(H811-H810)*G811*50-SUM(J811:K811),(H810-H811)*G811*50-SUM(J811:K811)))))</f>
        <v/>
      </c>
      <c r="M811" s="699">
        <f>L811</f>
        <v/>
      </c>
      <c r="N811" s="686">
        <f>IF(B811="TXO","",IF(D811="新倉","",IF(E811="賣",(H811-H810)*G811,(H810-H811)*G811)))</f>
        <v/>
      </c>
      <c r="O811" s="226">
        <f>ABS(I811)</f>
        <v/>
      </c>
      <c r="P811" s="667" t="n"/>
      <c r="Q811" s="249" t="inlineStr">
        <is>
          <t>技法: 刺補</t>
        </is>
      </c>
      <c r="R811" s="249" t="inlineStr">
        <is>
          <t>Yes</t>
        </is>
      </c>
      <c r="S811" s="249" t="n"/>
      <c r="T811" s="61">
        <f>IF(AND(R811="Yes",S811&lt;&gt;"Yes",L811&gt;0,B811&lt;&gt;"TXO"),L811,"")</f>
        <v/>
      </c>
      <c r="U811" s="61">
        <f>IF(AND(R811="Yes",S811&lt;&gt;"Yes",L811&lt;0,B811&lt;&gt;"TXO"),L811,"")</f>
        <v/>
      </c>
      <c r="V811" s="61">
        <f>IF(AND(R811="",S811&lt;&gt;"Yes",L811&gt;0,B811&lt;&gt;"TXO"),L811,"")</f>
        <v/>
      </c>
      <c r="W811" s="61">
        <f>IF(AND(R811="",S811&lt;&gt;"Yes",L811&lt;0,B811&lt;&gt;"TXO"),L811,"")</f>
        <v/>
      </c>
      <c r="X811" s="226">
        <f>IF(AND(R811="Yes",S811="Yes",L811&gt;0,B811&lt;&gt;"TXO"),L811,"")</f>
        <v/>
      </c>
      <c r="Y811" s="226">
        <f>IF(AND(R811="Yes",S811="Yes",L811&lt;0,B811&lt;&gt;"TXO"),L811,"")</f>
        <v/>
      </c>
      <c r="Z811" s="226">
        <f>IF(AND(R811="",S811="Yes",L811&gt;0,B811&lt;&gt;"TXO"),L811,"")</f>
        <v/>
      </c>
      <c r="AA811" s="226">
        <f>IF(AND(R811="",S811="Yes",L811&lt;0,B811&lt;&gt;"TXO"),L811,"")</f>
        <v/>
      </c>
    </row>
    <row r="812" hidden="1" outlineLevel="2" ht="17.25" customHeight="1" thickBot="1">
      <c r="A812" s="696" t="n">
        <v>43370</v>
      </c>
      <c r="B812" s="234" t="inlineStr">
        <is>
          <t>FITX</t>
        </is>
      </c>
      <c r="C812" s="229" t="inlineStr">
        <is>
          <t>台指10</t>
        </is>
      </c>
      <c r="D812" s="229" t="inlineStr">
        <is>
          <t>新倉</t>
        </is>
      </c>
      <c r="E812" s="257" t="inlineStr">
        <is>
          <t>買</t>
        </is>
      </c>
      <c r="F812" s="229" t="inlineStr">
        <is>
          <t>-</t>
        </is>
      </c>
      <c r="G812" s="697" t="n">
        <v>1</v>
      </c>
      <c r="H812" s="697" t="n">
        <v>11010</v>
      </c>
      <c r="I812" s="697" t="n">
        <v>0</v>
      </c>
      <c r="J812" s="585" t="n">
        <v>45</v>
      </c>
      <c r="K812" s="585" t="n">
        <v>44</v>
      </c>
      <c r="L812" s="585">
        <f>IF(B812="TXO",I812-SUM(J812:K812),IF(B812="FITX",IF(D812="新倉",-SUM(J812:K812),IF(E812="賣",(H812-H811)*G812*200-SUM(J812:K812),(H811-H812)*G812*200-SUM(J812:K812))),IF(D812="新倉",-SUM(J812:K812),IF(E812="賣",(H812-H811)*G812*50-SUM(J812:K812),(H811-H812)*G812*50-SUM(J812:K812)))))</f>
        <v/>
      </c>
      <c r="M812" s="699">
        <f>L812</f>
        <v/>
      </c>
      <c r="N812" s="686">
        <f>IF(B812="TXO","",IF(D812="新倉","",IF(E812="賣",(H812-H811)*G812,(H811-H812)*G812)))</f>
        <v/>
      </c>
      <c r="O812" s="226">
        <f>ABS(I812)</f>
        <v/>
      </c>
      <c r="P812" s="667" t="n"/>
      <c r="Q812" s="310" t="inlineStr">
        <is>
          <t>上漲，追單</t>
        </is>
      </c>
      <c r="S812" s="249" t="n"/>
      <c r="T812" s="61">
        <f>IF(AND(R812="Yes",S812&lt;&gt;"Yes",L812&gt;0,B812&lt;&gt;"TXO"),L812,"")</f>
        <v/>
      </c>
      <c r="U812" s="61">
        <f>IF(AND(R812="Yes",S812&lt;&gt;"Yes",L812&lt;0,B812&lt;&gt;"TXO"),L812,"")</f>
        <v/>
      </c>
      <c r="V812" s="61">
        <f>IF(AND(R812="",S812&lt;&gt;"Yes",L812&gt;0,B812&lt;&gt;"TXO"),L812,"")</f>
        <v/>
      </c>
      <c r="W812" s="61">
        <f>IF(AND(R812="",S812&lt;&gt;"Yes",L812&lt;0,B812&lt;&gt;"TXO"),L812,"")</f>
        <v/>
      </c>
      <c r="X812" s="226">
        <f>IF(AND(R812="Yes",S812="Yes",L812&gt;0,B812&lt;&gt;"TXO"),L812,"")</f>
        <v/>
      </c>
      <c r="Y812" s="226">
        <f>IF(AND(R812="Yes",S812="Yes",L812&lt;0,B812&lt;&gt;"TXO"),L812,"")</f>
        <v/>
      </c>
      <c r="Z812" s="226">
        <f>IF(AND(R812="",S812="Yes",L812&gt;0,B812&lt;&gt;"TXO"),L812,"")</f>
        <v/>
      </c>
      <c r="AA812" s="226">
        <f>IF(AND(R812="",S812="Yes",L812&lt;0,B812&lt;&gt;"TXO"),L812,"")</f>
        <v/>
      </c>
    </row>
    <row r="813" hidden="1" outlineLevel="2" ht="17.25" customHeight="1" thickBot="1">
      <c r="A813" s="696" t="n">
        <v>43370</v>
      </c>
      <c r="B813" s="234" t="inlineStr">
        <is>
          <t>FITX</t>
        </is>
      </c>
      <c r="C813" s="229" t="inlineStr">
        <is>
          <t>台指10</t>
        </is>
      </c>
      <c r="D813" s="229" t="inlineStr">
        <is>
          <t>平倉</t>
        </is>
      </c>
      <c r="E813" s="257" t="inlineStr">
        <is>
          <t>賣</t>
        </is>
      </c>
      <c r="F813" s="229" t="inlineStr">
        <is>
          <t>-</t>
        </is>
      </c>
      <c r="G813" s="697" t="n">
        <v>1</v>
      </c>
      <c r="H813" s="752" t="n">
        <v>11015</v>
      </c>
      <c r="I813" s="697" t="n">
        <v>0</v>
      </c>
      <c r="J813" s="585" t="n">
        <v>45</v>
      </c>
      <c r="K813" s="585" t="n">
        <v>44</v>
      </c>
      <c r="L813" s="585">
        <f>IF(B813="TXO",I813-SUM(J813:K813),IF(B813="FITX",IF(D813="新倉",-SUM(J813:K813),IF(E813="賣",(H813-H812)*G813*200-SUM(J813:K813),(H812-H813)*G813*200-SUM(J813:K813))),IF(D813="新倉",-SUM(J813:K813),IF(E813="賣",(H813-H812)*G813*50-SUM(J813:K813),(H812-H813)*G813*50-SUM(J813:K813)))))</f>
        <v/>
      </c>
      <c r="M813" s="699">
        <f>L813</f>
        <v/>
      </c>
      <c r="N813" s="686">
        <f>IF(B813="TXO","",IF(D813="新倉","",IF(E813="賣",(H813-H812)*G813,(H812-H813)*G813)))</f>
        <v/>
      </c>
      <c r="O813" s="226">
        <f>ABS(I813)</f>
        <v/>
      </c>
      <c r="P813" s="667" t="n"/>
      <c r="Q813" s="310" t="inlineStr">
        <is>
          <t>下跌不停損，設5點停利</t>
        </is>
      </c>
      <c r="S813" s="249" t="n"/>
      <c r="T813" s="61">
        <f>IF(AND(R813="Yes",S813&lt;&gt;"Yes",L813&gt;0,B813&lt;&gt;"TXO"),L813,"")</f>
        <v/>
      </c>
      <c r="U813" s="61">
        <f>IF(AND(R813="Yes",S813&lt;&gt;"Yes",L813&lt;0,B813&lt;&gt;"TXO"),L813,"")</f>
        <v/>
      </c>
      <c r="V813" s="61">
        <f>IF(AND(R813="",S813&lt;&gt;"Yes",L813&gt;0,B813&lt;&gt;"TXO"),L813,"")</f>
        <v/>
      </c>
      <c r="W813" s="61">
        <f>IF(AND(R813="",S813&lt;&gt;"Yes",L813&lt;0,B813&lt;&gt;"TXO"),L813,"")</f>
        <v/>
      </c>
      <c r="X813" s="226">
        <f>IF(AND(R813="Yes",S813="Yes",L813&gt;0,B813&lt;&gt;"TXO"),L813,"")</f>
        <v/>
      </c>
      <c r="Y813" s="226">
        <f>IF(AND(R813="Yes",S813="Yes",L813&lt;0,B813&lt;&gt;"TXO"),L813,"")</f>
        <v/>
      </c>
      <c r="Z813" s="226">
        <f>IF(AND(R813="",S813="Yes",L813&gt;0,B813&lt;&gt;"TXO"),L813,"")</f>
        <v/>
      </c>
      <c r="AA813" s="226">
        <f>IF(AND(R813="",S813="Yes",L813&lt;0,B813&lt;&gt;"TXO"),L813,"")</f>
        <v/>
      </c>
    </row>
    <row r="814" hidden="1" outlineLevel="2" ht="17.25" customHeight="1" thickBot="1">
      <c r="A814" s="696" t="n">
        <v>43370</v>
      </c>
      <c r="B814" s="234" t="inlineStr">
        <is>
          <t>FIMTX</t>
        </is>
      </c>
      <c r="C814" s="229" t="inlineStr">
        <is>
          <t>小指10</t>
        </is>
      </c>
      <c r="D814" s="229" t="inlineStr">
        <is>
          <t>新倉</t>
        </is>
      </c>
      <c r="E814" s="257" t="inlineStr">
        <is>
          <t>賣</t>
        </is>
      </c>
      <c r="F814" s="229" t="inlineStr">
        <is>
          <t>-</t>
        </is>
      </c>
      <c r="G814" s="697" t="n">
        <v>1</v>
      </c>
      <c r="H814" s="697" t="n">
        <v>10993</v>
      </c>
      <c r="I814" s="697" t="n">
        <v>0</v>
      </c>
      <c r="J814" s="585" t="n">
        <v>23</v>
      </c>
      <c r="K814" s="585" t="n">
        <v>11</v>
      </c>
      <c r="L814" s="585">
        <f>IF(B814="TXO",I814-SUM(J814:K814),IF(B814="FITX",IF(D814="新倉",-SUM(J814:K814),IF(E814="賣",(H814-H813)*G814*200-SUM(J814:K814),(H813-H814)*G814*200-SUM(J814:K814))),IF(D814="新倉",-SUM(J814:K814),IF(E814="賣",(H814-H813)*G814*50-SUM(J814:K814),(H813-H814)*G814*50-SUM(J814:K814)))))</f>
        <v/>
      </c>
      <c r="M814" s="699">
        <f>L814</f>
        <v/>
      </c>
      <c r="N814" s="686">
        <f>IF(B814="TXO","",IF(D814="新倉","",IF(E814="賣",(H814-H813)*G814,(H813-H814)*G814)))</f>
        <v/>
      </c>
      <c r="O814" s="226">
        <f>ABS(I814)</f>
        <v/>
      </c>
      <c r="P814" s="667" t="n"/>
      <c r="Q814" s="310" t="inlineStr">
        <is>
          <t>破10MA追空</t>
        </is>
      </c>
      <c r="S814" s="249" t="n"/>
      <c r="T814" s="61">
        <f>IF(AND(R814="Yes",S814&lt;&gt;"Yes",L814&gt;0,B814&lt;&gt;"TXO"),L814,"")</f>
        <v/>
      </c>
      <c r="U814" s="61">
        <f>IF(AND(R814="Yes",S814&lt;&gt;"Yes",L814&lt;0,B814&lt;&gt;"TXO"),L814,"")</f>
        <v/>
      </c>
      <c r="V814" s="61">
        <f>IF(AND(R814="",S814&lt;&gt;"Yes",L814&gt;0,B814&lt;&gt;"TXO"),L814,"")</f>
        <v/>
      </c>
      <c r="W814" s="61">
        <f>IF(AND(R814="",S814&lt;&gt;"Yes",L814&lt;0,B814&lt;&gt;"TXO"),L814,"")</f>
        <v/>
      </c>
      <c r="X814" s="226">
        <f>IF(AND(R814="Yes",S814="Yes",L814&gt;0,B814&lt;&gt;"TXO"),L814,"")</f>
        <v/>
      </c>
      <c r="Y814" s="226">
        <f>IF(AND(R814="Yes",S814="Yes",L814&lt;0,B814&lt;&gt;"TXO"),L814,"")</f>
        <v/>
      </c>
      <c r="Z814" s="226">
        <f>IF(AND(R814="",S814="Yes",L814&gt;0,B814&lt;&gt;"TXO"),L814,"")</f>
        <v/>
      </c>
      <c r="AA814" s="226">
        <f>IF(AND(R814="",S814="Yes",L814&lt;0,B814&lt;&gt;"TXO"),L814,"")</f>
        <v/>
      </c>
    </row>
    <row r="815" hidden="1" outlineLevel="2" ht="17.25" customHeight="1" thickBot="1">
      <c r="A815" s="696" t="n">
        <v>43370</v>
      </c>
      <c r="B815" s="234" t="inlineStr">
        <is>
          <t>FIMTX</t>
        </is>
      </c>
      <c r="C815" s="229" t="inlineStr">
        <is>
          <t>小指10</t>
        </is>
      </c>
      <c r="D815" s="229" t="inlineStr">
        <is>
          <t>平倉</t>
        </is>
      </c>
      <c r="E815" s="257" t="inlineStr">
        <is>
          <t>買</t>
        </is>
      </c>
      <c r="F815" s="229" t="inlineStr">
        <is>
          <t>-</t>
        </is>
      </c>
      <c r="G815" s="697" t="n">
        <v>1</v>
      </c>
      <c r="H815" s="697" t="n">
        <v>10986</v>
      </c>
      <c r="I815" s="697" t="n">
        <v>0</v>
      </c>
      <c r="J815" s="585" t="n">
        <v>23</v>
      </c>
      <c r="K815" s="585" t="n">
        <v>11</v>
      </c>
      <c r="L815" s="585">
        <f>IF(B815="TXO",I815-SUM(J815:K815),IF(B815="FITX",IF(D815="新倉",-SUM(J815:K815),IF(E815="賣",(H815-H814)*G815*200-SUM(J815:K815),(H814-H815)*G815*200-SUM(J815:K815))),IF(D815="新倉",-SUM(J815:K815),IF(E815="賣",(H815-H814)*G815*50-SUM(J815:K815),(H814-H815)*G815*50-SUM(J815:K815)))))</f>
        <v/>
      </c>
      <c r="M815" s="699">
        <f>L815</f>
        <v/>
      </c>
      <c r="N815" s="686">
        <f>IF(B815="TXO","",IF(D815="新倉","",IF(E815="賣",(H815-H814)*G815,(H814-H815)*G815)))</f>
        <v/>
      </c>
      <c r="O815" s="226">
        <f>ABS(I815)</f>
        <v/>
      </c>
      <c r="P815" s="667" t="n"/>
      <c r="Q815" s="311" t="inlineStr">
        <is>
          <t>設5點停利</t>
        </is>
      </c>
      <c r="S815" s="249" t="n"/>
      <c r="T815" s="61">
        <f>IF(AND(R815="Yes",S815&lt;&gt;"Yes",L815&gt;0,B815&lt;&gt;"TXO"),L815,"")</f>
        <v/>
      </c>
      <c r="U815" s="61">
        <f>IF(AND(R815="Yes",S815&lt;&gt;"Yes",L815&lt;0,B815&lt;&gt;"TXO"),L815,"")</f>
        <v/>
      </c>
      <c r="V815" s="61">
        <f>IF(AND(R815="",S815&lt;&gt;"Yes",L815&gt;0,B815&lt;&gt;"TXO"),L815,"")</f>
        <v/>
      </c>
      <c r="W815" s="61">
        <f>IF(AND(R815="",S815&lt;&gt;"Yes",L815&lt;0,B815&lt;&gt;"TXO"),L815,"")</f>
        <v/>
      </c>
      <c r="X815" s="226">
        <f>IF(AND(R815="Yes",S815="Yes",L815&gt;0,B815&lt;&gt;"TXO"),L815,"")</f>
        <v/>
      </c>
      <c r="Y815" s="226">
        <f>IF(AND(R815="Yes",S815="Yes",L815&lt;0,B815&lt;&gt;"TXO"),L815,"")</f>
        <v/>
      </c>
      <c r="Z815" s="226">
        <f>IF(AND(R815="",S815="Yes",L815&gt;0,B815&lt;&gt;"TXO"),L815,"")</f>
        <v/>
      </c>
      <c r="AA815" s="226">
        <f>IF(AND(R815="",S815="Yes",L815&lt;0,B815&lt;&gt;"TXO"),L815,"")</f>
        <v/>
      </c>
    </row>
    <row r="816" hidden="1" outlineLevel="2" ht="17.25" customHeight="1" thickBot="1">
      <c r="A816" s="696" t="n">
        <v>43370</v>
      </c>
      <c r="B816" s="234" t="inlineStr">
        <is>
          <t>FIMTX</t>
        </is>
      </c>
      <c r="C816" s="229" t="inlineStr">
        <is>
          <t>小指10</t>
        </is>
      </c>
      <c r="D816" s="229" t="inlineStr">
        <is>
          <t>新倉</t>
        </is>
      </c>
      <c r="E816" s="257" t="inlineStr">
        <is>
          <t>賣</t>
        </is>
      </c>
      <c r="F816" s="229" t="inlineStr">
        <is>
          <t>-</t>
        </is>
      </c>
      <c r="G816" s="697" t="n">
        <v>1</v>
      </c>
      <c r="H816" s="697" t="n">
        <v>10991</v>
      </c>
      <c r="I816" s="697" t="n">
        <v>0</v>
      </c>
      <c r="J816" s="585" t="n">
        <v>23</v>
      </c>
      <c r="K816" s="585" t="n">
        <v>11</v>
      </c>
      <c r="L816" s="585">
        <f>IF(B816="TXO",I816-SUM(J816:K816),IF(B816="FITX",IF(D816="新倉",-SUM(J816:K816),IF(E816="賣",(H816-H815)*G816*200-SUM(J816:K816),(H815-H816)*G816*200-SUM(J816:K816))),IF(D816="新倉",-SUM(J816:K816),IF(E816="賣",(H816-H815)*G816*50-SUM(J816:K816),(H815-H816)*G816*50-SUM(J816:K816)))))</f>
        <v/>
      </c>
      <c r="M816" s="699">
        <f>L816</f>
        <v/>
      </c>
      <c r="N816" s="686">
        <f>IF(B816="TXO","",IF(D816="新倉","",IF(E816="賣",(H816-H815)*G816,(H815-H816)*G816)))</f>
        <v/>
      </c>
      <c r="O816" s="226">
        <f>ABS(I816)</f>
        <v/>
      </c>
      <c r="P816" s="667" t="n"/>
      <c r="Q816" s="311" t="inlineStr">
        <is>
          <t>破10MA追空</t>
        </is>
      </c>
      <c r="S816" s="249" t="n"/>
      <c r="T816" s="61">
        <f>IF(AND(R816="Yes",S816&lt;&gt;"Yes",L816&gt;0,B816&lt;&gt;"TXO"),L816,"")</f>
        <v/>
      </c>
      <c r="U816" s="61">
        <f>IF(AND(R816="Yes",S816&lt;&gt;"Yes",L816&lt;0,B816&lt;&gt;"TXO"),L816,"")</f>
        <v/>
      </c>
      <c r="V816" s="61">
        <f>IF(AND(R816="",S816&lt;&gt;"Yes",L816&gt;0,B816&lt;&gt;"TXO"),L816,"")</f>
        <v/>
      </c>
      <c r="W816" s="61">
        <f>IF(AND(R816="",S816&lt;&gt;"Yes",L816&lt;0,B816&lt;&gt;"TXO"),L816,"")</f>
        <v/>
      </c>
      <c r="X816" s="226">
        <f>IF(AND(R816="Yes",S816="Yes",L816&gt;0,B816&lt;&gt;"TXO"),L816,"")</f>
        <v/>
      </c>
      <c r="Y816" s="226">
        <f>IF(AND(R816="Yes",S816="Yes",L816&lt;0,B816&lt;&gt;"TXO"),L816,"")</f>
        <v/>
      </c>
      <c r="Z816" s="226">
        <f>IF(AND(R816="",S816="Yes",L816&gt;0,B816&lt;&gt;"TXO"),L816,"")</f>
        <v/>
      </c>
      <c r="AA816" s="226">
        <f>IF(AND(R816="",S816="Yes",L816&lt;0,B816&lt;&gt;"TXO"),L816,"")</f>
        <v/>
      </c>
    </row>
    <row r="817" hidden="1" outlineLevel="2" ht="17.25" customHeight="1" thickBot="1">
      <c r="A817" s="696" t="n">
        <v>43370</v>
      </c>
      <c r="B817" s="234" t="inlineStr">
        <is>
          <t>FIMTX</t>
        </is>
      </c>
      <c r="C817" s="229" t="inlineStr">
        <is>
          <t>小指10</t>
        </is>
      </c>
      <c r="D817" s="229" t="inlineStr">
        <is>
          <t>平倉</t>
        </is>
      </c>
      <c r="E817" s="257" t="inlineStr">
        <is>
          <t>買</t>
        </is>
      </c>
      <c r="F817" s="229" t="inlineStr">
        <is>
          <t>-</t>
        </is>
      </c>
      <c r="G817" s="697" t="n">
        <v>1</v>
      </c>
      <c r="H817" s="697" t="n">
        <v>10984</v>
      </c>
      <c r="I817" s="697" t="n">
        <v>0</v>
      </c>
      <c r="J817" s="585" t="n">
        <v>23</v>
      </c>
      <c r="K817" s="585" t="n">
        <v>11</v>
      </c>
      <c r="L817" s="585">
        <f>IF(B817="TXO",I817-SUM(J817:K817),IF(B817="FITX",IF(D817="新倉",-SUM(J817:K817),IF(E817="賣",(H817-H816)*G817*200-SUM(J817:K817),(H816-H817)*G817*200-SUM(J817:K817))),IF(D817="新倉",-SUM(J817:K817),IF(E817="賣",(H817-H816)*G817*50-SUM(J817:K817),(H816-H817)*G817*50-SUM(J817:K817)))))</f>
        <v/>
      </c>
      <c r="M817" s="699">
        <f>L817</f>
        <v/>
      </c>
      <c r="N817" s="686">
        <f>IF(B817="TXO","",IF(D817="新倉","",IF(E817="賣",(H817-H816)*G817,(H816-H817)*G817)))</f>
        <v/>
      </c>
      <c r="O817" s="226">
        <f>ABS(I817)</f>
        <v/>
      </c>
      <c r="P817" s="667" t="n"/>
      <c r="Q817" s="311" t="inlineStr">
        <is>
          <t>設5點停利</t>
        </is>
      </c>
      <c r="S817" s="249" t="n"/>
      <c r="T817" s="61">
        <f>IF(AND(R817="Yes",S817&lt;&gt;"Yes",L817&gt;0,B817&lt;&gt;"TXO"),L817,"")</f>
        <v/>
      </c>
      <c r="U817" s="61">
        <f>IF(AND(R817="Yes",S817&lt;&gt;"Yes",L817&lt;0,B817&lt;&gt;"TXO"),L817,"")</f>
        <v/>
      </c>
      <c r="V817" s="61">
        <f>IF(AND(R817="",S817&lt;&gt;"Yes",L817&gt;0,B817&lt;&gt;"TXO"),L817,"")</f>
        <v/>
      </c>
      <c r="W817" s="61">
        <f>IF(AND(R817="",S817&lt;&gt;"Yes",L817&lt;0,B817&lt;&gt;"TXO"),L817,"")</f>
        <v/>
      </c>
      <c r="X817" s="226">
        <f>IF(AND(R817="Yes",S817="Yes",L817&gt;0,B817&lt;&gt;"TXO"),L817,"")</f>
        <v/>
      </c>
      <c r="Y817" s="226">
        <f>IF(AND(R817="Yes",S817="Yes",L817&lt;0,B817&lt;&gt;"TXO"),L817,"")</f>
        <v/>
      </c>
      <c r="Z817" s="226">
        <f>IF(AND(R817="",S817="Yes",L817&gt;0,B817&lt;&gt;"TXO"),L817,"")</f>
        <v/>
      </c>
      <c r="AA817" s="226">
        <f>IF(AND(R817="",S817="Yes",L817&lt;0,B817&lt;&gt;"TXO"),L817,"")</f>
        <v/>
      </c>
    </row>
    <row r="818" hidden="1" outlineLevel="2" ht="17.25" customHeight="1" thickBot="1">
      <c r="A818" s="696" t="n">
        <v>43370</v>
      </c>
      <c r="B818" s="234" t="inlineStr">
        <is>
          <t>FIMTX</t>
        </is>
      </c>
      <c r="C818" s="229" t="inlineStr">
        <is>
          <t>小指10</t>
        </is>
      </c>
      <c r="D818" s="229" t="inlineStr">
        <is>
          <t>新倉</t>
        </is>
      </c>
      <c r="E818" s="257" t="inlineStr">
        <is>
          <t>賣</t>
        </is>
      </c>
      <c r="F818" s="229" t="inlineStr">
        <is>
          <t>-</t>
        </is>
      </c>
      <c r="G818" s="697" t="n">
        <v>1</v>
      </c>
      <c r="H818" s="697" t="n">
        <v>10976</v>
      </c>
      <c r="I818" s="697" t="n">
        <v>0</v>
      </c>
      <c r="J818" s="585" t="n">
        <v>23</v>
      </c>
      <c r="K818" s="585" t="n">
        <v>11</v>
      </c>
      <c r="L818" s="585">
        <f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/>
      </c>
      <c r="M818" s="699">
        <f>L818</f>
        <v/>
      </c>
      <c r="N818" s="686">
        <f>IF(B818="TXO","",IF(D818="新倉","",IF(E818="賣",(H818-H817)*G818,(H817-H818)*G818)))</f>
        <v/>
      </c>
      <c r="O818" s="226">
        <f>ABS(I818)</f>
        <v/>
      </c>
      <c r="P818" s="667" t="n"/>
      <c r="Q818" s="310" t="inlineStr">
        <is>
          <t>3/3 買進一口，碰下通道不應進場</t>
        </is>
      </c>
      <c r="S818" s="249" t="n"/>
      <c r="T818" s="61">
        <f>IF(AND(R818="Yes",S818&lt;&gt;"Yes",L818&gt;0,B818&lt;&gt;"TXO"),L818,"")</f>
        <v/>
      </c>
      <c r="U818" s="61">
        <f>IF(AND(R818="Yes",S818&lt;&gt;"Yes",L818&lt;0,B818&lt;&gt;"TXO"),L818,"")</f>
        <v/>
      </c>
      <c r="V818" s="61">
        <f>IF(AND(R818="",S818&lt;&gt;"Yes",L818&gt;0,B818&lt;&gt;"TXO"),L818,"")</f>
        <v/>
      </c>
      <c r="W818" s="61">
        <f>IF(AND(R818="",S818&lt;&gt;"Yes",L818&lt;0,B818&lt;&gt;"TXO"),L818,"")</f>
        <v/>
      </c>
      <c r="X818" s="226">
        <f>IF(AND(R818="Yes",S818="Yes",L818&gt;0,B818&lt;&gt;"TXO"),L818,"")</f>
        <v/>
      </c>
      <c r="Y818" s="226">
        <f>IF(AND(R818="Yes",S818="Yes",L818&lt;0,B818&lt;&gt;"TXO"),L818,"")</f>
        <v/>
      </c>
      <c r="Z818" s="226">
        <f>IF(AND(R818="",S818="Yes",L818&gt;0,B818&lt;&gt;"TXO"),L818,"")</f>
        <v/>
      </c>
      <c r="AA818" s="226">
        <f>IF(AND(R818="",S818="Yes",L818&lt;0,B818&lt;&gt;"TXO"),L818,"")</f>
        <v/>
      </c>
    </row>
    <row r="819" hidden="1" outlineLevel="2" ht="17.25" customHeight="1" thickBot="1">
      <c r="A819" s="696" t="n">
        <v>43370</v>
      </c>
      <c r="B819" s="234" t="inlineStr">
        <is>
          <t>FIMTX</t>
        </is>
      </c>
      <c r="C819" s="229" t="inlineStr">
        <is>
          <t>小指10</t>
        </is>
      </c>
      <c r="D819" s="229" t="inlineStr">
        <is>
          <t>平倉</t>
        </is>
      </c>
      <c r="E819" s="257" t="inlineStr">
        <is>
          <t>買</t>
        </is>
      </c>
      <c r="F819" s="229" t="inlineStr">
        <is>
          <t>-</t>
        </is>
      </c>
      <c r="G819" s="697" t="n">
        <v>1</v>
      </c>
      <c r="H819" s="752" t="n">
        <v>11004</v>
      </c>
      <c r="I819" s="697" t="n">
        <v>0</v>
      </c>
      <c r="J819" s="585" t="n">
        <v>23</v>
      </c>
      <c r="K819" s="585" t="n">
        <v>11</v>
      </c>
      <c r="L819" s="585">
        <f>IF(B819="TXO",I819-SUM(J819:K819),IF(B819="FITX",IF(D819="新倉",-SUM(J819:K819),IF(E819="賣",(H819-H818)*G819*200-SUM(J819:K819),(H818-H819)*G819*200-SUM(J819:K819))),IF(D819="新倉",-SUM(J819:K819),IF(E819="賣",(H819-H818)*G819*50-SUM(J819:K819),(H818-H819)*G819*50-SUM(J819:K819)))))</f>
        <v/>
      </c>
      <c r="M819" s="699">
        <f>L819</f>
        <v/>
      </c>
      <c r="N819" s="686">
        <f>IF(B819="TXO","",IF(D819="新倉","",IF(E819="賣",(H819-H818)*G819,(H818-H819)*G819)))</f>
        <v/>
      </c>
      <c r="O819" s="226">
        <f>ABS(I819)</f>
        <v/>
      </c>
      <c r="P819" s="667" t="n"/>
      <c r="Q819" s="310" t="inlineStr">
        <is>
          <t>拉回不停損，設5點停利</t>
        </is>
      </c>
      <c r="S819" s="249" t="n"/>
      <c r="T819" s="61">
        <f>IF(AND(R819="Yes",S819&lt;&gt;"Yes",L819&gt;0,B819&lt;&gt;"TXO"),L819,"")</f>
        <v/>
      </c>
      <c r="U819" s="61">
        <f>IF(AND(R819="Yes",S819&lt;&gt;"Yes",L819&lt;0,B819&lt;&gt;"TXO"),L819,"")</f>
        <v/>
      </c>
      <c r="V819" s="61">
        <f>IF(AND(R819="",S819&lt;&gt;"Yes",L819&gt;0,B819&lt;&gt;"TXO"),L819,"")</f>
        <v/>
      </c>
      <c r="W819" s="61">
        <f>IF(AND(R819="",S819&lt;&gt;"Yes",L819&lt;0,B819&lt;&gt;"TXO"),L819,"")</f>
        <v/>
      </c>
      <c r="X819" s="226">
        <f>IF(AND(R819="Yes",S819="Yes",L819&gt;0,B819&lt;&gt;"TXO"),L819,"")</f>
        <v/>
      </c>
      <c r="Y819" s="226">
        <f>IF(AND(R819="Yes",S819="Yes",L819&lt;0,B819&lt;&gt;"TXO"),L819,"")</f>
        <v/>
      </c>
      <c r="Z819" s="226">
        <f>IF(AND(R819="",S819="Yes",L819&gt;0,B819&lt;&gt;"TXO"),L819,"")</f>
        <v/>
      </c>
      <c r="AA819" s="226">
        <f>IF(AND(R819="",S819="Yes",L819&lt;0,B819&lt;&gt;"TXO"),L819,"")</f>
        <v/>
      </c>
    </row>
    <row r="820" hidden="1" outlineLevel="2" ht="17.25" customHeight="1" thickBot="1">
      <c r="A820" s="696" t="n">
        <v>43370</v>
      </c>
      <c r="B820" s="234" t="inlineStr">
        <is>
          <t>FIMTX</t>
        </is>
      </c>
      <c r="C820" s="229" t="inlineStr">
        <is>
          <t>小指10</t>
        </is>
      </c>
      <c r="D820" s="229" t="inlineStr">
        <is>
          <t>新倉</t>
        </is>
      </c>
      <c r="E820" s="257" t="inlineStr">
        <is>
          <t>賣</t>
        </is>
      </c>
      <c r="F820" s="229" t="inlineStr">
        <is>
          <t>-</t>
        </is>
      </c>
      <c r="G820" s="697" t="n">
        <v>1</v>
      </c>
      <c r="H820" s="697" t="n">
        <v>10976</v>
      </c>
      <c r="I820" s="697" t="n">
        <v>0</v>
      </c>
      <c r="J820" s="585" t="n">
        <v>23</v>
      </c>
      <c r="K820" s="585" t="n">
        <v>11</v>
      </c>
      <c r="L820" s="585">
        <f>IF(B820="TXO",I820-SUM(J820:K820),IF(B820="FITX",IF(D820="新倉",-SUM(J820:K820),IF(E820="賣",(H820-H819)*G820*200-SUM(J820:K820),(H819-H820)*G820*200-SUM(J820:K820))),IF(D820="新倉",-SUM(J820:K820),IF(E820="賣",(H820-H819)*G820*50-SUM(J820:K820),(H819-H820)*G820*50-SUM(J820:K820)))))</f>
        <v/>
      </c>
      <c r="M820" s="699">
        <f>L820</f>
        <v/>
      </c>
      <c r="N820" s="686">
        <f>IF(B820="TXO","",IF(D820="新倉","",IF(E820="賣",(H820-H819)*G820,(H819-H820)*G820)))</f>
        <v/>
      </c>
      <c r="O820" s="226">
        <f>ABS(I820)</f>
        <v/>
      </c>
      <c r="P820" s="667" t="n"/>
      <c r="Q820" s="310" t="inlineStr">
        <is>
          <t>3/3 買進一口，碰下通道不應進場</t>
        </is>
      </c>
      <c r="S820" s="249" t="n"/>
      <c r="T820" s="61">
        <f>IF(AND(R820="Yes",S820&lt;&gt;"Yes",L820&gt;0,B820&lt;&gt;"TXO"),L820,"")</f>
        <v/>
      </c>
      <c r="U820" s="61">
        <f>IF(AND(R820="Yes",S820&lt;&gt;"Yes",L820&lt;0,B820&lt;&gt;"TXO"),L820,"")</f>
        <v/>
      </c>
      <c r="V820" s="61">
        <f>IF(AND(R820="",S820&lt;&gt;"Yes",L820&gt;0,B820&lt;&gt;"TXO"),L820,"")</f>
        <v/>
      </c>
      <c r="W820" s="61">
        <f>IF(AND(R820="",S820&lt;&gt;"Yes",L820&lt;0,B820&lt;&gt;"TXO"),L820,"")</f>
        <v/>
      </c>
      <c r="X820" s="226">
        <f>IF(AND(R820="Yes",S820="Yes",L820&gt;0,B820&lt;&gt;"TXO"),L820,"")</f>
        <v/>
      </c>
      <c r="Y820" s="226">
        <f>IF(AND(R820="Yes",S820="Yes",L820&lt;0,B820&lt;&gt;"TXO"),L820,"")</f>
        <v/>
      </c>
      <c r="Z820" s="226">
        <f>IF(AND(R820="",S820="Yes",L820&gt;0,B820&lt;&gt;"TXO"),L820,"")</f>
        <v/>
      </c>
      <c r="AA820" s="226">
        <f>IF(AND(R820="",S820="Yes",L820&lt;0,B820&lt;&gt;"TXO"),L820,"")</f>
        <v/>
      </c>
    </row>
    <row r="821" hidden="1" outlineLevel="2" ht="17.25" customHeight="1" thickBot="1">
      <c r="A821" s="696" t="n">
        <v>43370</v>
      </c>
      <c r="B821" s="234" t="inlineStr">
        <is>
          <t>FIMTX</t>
        </is>
      </c>
      <c r="C821" s="229" t="inlineStr">
        <is>
          <t>小指10</t>
        </is>
      </c>
      <c r="D821" s="229" t="inlineStr">
        <is>
          <t>平倉</t>
        </is>
      </c>
      <c r="E821" s="257" t="inlineStr">
        <is>
          <t>買</t>
        </is>
      </c>
      <c r="F821" s="229" t="inlineStr">
        <is>
          <t>-</t>
        </is>
      </c>
      <c r="G821" s="697" t="n">
        <v>1</v>
      </c>
      <c r="H821" s="752" t="n">
        <v>11002</v>
      </c>
      <c r="I821" s="697" t="n">
        <v>0</v>
      </c>
      <c r="J821" s="585" t="n">
        <v>23</v>
      </c>
      <c r="K821" s="585" t="n">
        <v>11</v>
      </c>
      <c r="L821" s="585">
        <f>IF(B821="TXO",I821-SUM(J821:K821),IF(B821="FITX",IF(D821="新倉",-SUM(J821:K821),IF(E821="賣",(H821-H820)*G821*200-SUM(J821:K821),(H820-H821)*G821*200-SUM(J821:K821))),IF(D821="新倉",-SUM(J821:K821),IF(E821="賣",(H821-H820)*G821*50-SUM(J821:K821),(H820-H821)*G821*50-SUM(J821:K821)))))</f>
        <v/>
      </c>
      <c r="M821" s="699">
        <f>L821</f>
        <v/>
      </c>
      <c r="N821" s="686">
        <f>IF(B821="TXO","",IF(D821="新倉","",IF(E821="賣",(H821-H820)*G821,(H820-H821)*G821)))</f>
        <v/>
      </c>
      <c r="O821" s="226">
        <f>ABS(I821)</f>
        <v/>
      </c>
      <c r="P821" s="667" t="n"/>
      <c r="Q821" s="310" t="inlineStr">
        <is>
          <t>拉回不停損，設5點停利</t>
        </is>
      </c>
      <c r="S821" s="249" t="n"/>
      <c r="T821" s="61">
        <f>IF(AND(R821="Yes",S821&lt;&gt;"Yes",L821&gt;0,B821&lt;&gt;"TXO"),L821,"")</f>
        <v/>
      </c>
      <c r="U821" s="61">
        <f>IF(AND(R821="Yes",S821&lt;&gt;"Yes",L821&lt;0,B821&lt;&gt;"TXO"),L821,"")</f>
        <v/>
      </c>
      <c r="V821" s="61">
        <f>IF(AND(R821="",S821&lt;&gt;"Yes",L821&gt;0,B821&lt;&gt;"TXO"),L821,"")</f>
        <v/>
      </c>
      <c r="W821" s="61">
        <f>IF(AND(R821="",S821&lt;&gt;"Yes",L821&lt;0,B821&lt;&gt;"TXO"),L821,"")</f>
        <v/>
      </c>
      <c r="X821" s="226">
        <f>IF(AND(R821="Yes",S821="Yes",L821&gt;0,B821&lt;&gt;"TXO"),L821,"")</f>
        <v/>
      </c>
      <c r="Y821" s="226">
        <f>IF(AND(R821="Yes",S821="Yes",L821&lt;0,B821&lt;&gt;"TXO"),L821,"")</f>
        <v/>
      </c>
      <c r="Z821" s="226">
        <f>IF(AND(R821="",S821="Yes",L821&gt;0,B821&lt;&gt;"TXO"),L821,"")</f>
        <v/>
      </c>
      <c r="AA821" s="226">
        <f>IF(AND(R821="",S821="Yes",L821&lt;0,B821&lt;&gt;"TXO"),L821,"")</f>
        <v/>
      </c>
    </row>
    <row r="822" hidden="1" outlineLevel="2" ht="17.25" customHeight="1" thickBot="1">
      <c r="A822" s="696" t="n">
        <v>43370</v>
      </c>
      <c r="B822" s="234" t="inlineStr">
        <is>
          <t>FIMTX</t>
        </is>
      </c>
      <c r="C822" s="229" t="inlineStr">
        <is>
          <t>小指10</t>
        </is>
      </c>
      <c r="D822" s="229" t="inlineStr">
        <is>
          <t>新倉</t>
        </is>
      </c>
      <c r="E822" s="257" t="inlineStr">
        <is>
          <t>買</t>
        </is>
      </c>
      <c r="F822" s="229" t="inlineStr">
        <is>
          <t>-</t>
        </is>
      </c>
      <c r="G822" s="697" t="n">
        <v>1</v>
      </c>
      <c r="H822" s="697" t="n">
        <v>11004</v>
      </c>
      <c r="I822" s="697" t="n">
        <v>0</v>
      </c>
      <c r="J822" s="585" t="n">
        <v>23</v>
      </c>
      <c r="K822" s="585" t="n">
        <v>11</v>
      </c>
      <c r="L822" s="585">
        <f>IF(B822="TXO",I822-SUM(J822:K822),IF(B822="FITX",IF(D822="新倉",-SUM(J822:K822),IF(E822="賣",(H822-H821)*G822*200-SUM(J822:K822),(H821-H822)*G822*200-SUM(J822:K822))),IF(D822="新倉",-SUM(J822:K822),IF(E822="賣",(H822-H821)*G822*50-SUM(J822:K822),(H821-H822)*G822*50-SUM(J822:K822)))))</f>
        <v/>
      </c>
      <c r="M822" s="699">
        <f>L822</f>
        <v/>
      </c>
      <c r="N822" s="686">
        <f>IF(B822="TXO","",IF(D822="新倉","",IF(E822="賣",(H822-H821)*G822,(H821-H822)*G822)))</f>
        <v/>
      </c>
      <c r="O822" s="226">
        <f>ABS(I822)</f>
        <v/>
      </c>
      <c r="P822" s="667" t="n"/>
      <c r="Q822" s="310" t="n"/>
      <c r="S822" s="249" t="n"/>
      <c r="T822" s="61">
        <f>IF(AND(R822="Yes",S822&lt;&gt;"Yes",L822&gt;0,B822&lt;&gt;"TXO"),L822,"")</f>
        <v/>
      </c>
      <c r="U822" s="61">
        <f>IF(AND(R822="Yes",S822&lt;&gt;"Yes",L822&lt;0,B822&lt;&gt;"TXO"),L822,"")</f>
        <v/>
      </c>
      <c r="V822" s="61">
        <f>IF(AND(R822="",S822&lt;&gt;"Yes",L822&gt;0,B822&lt;&gt;"TXO"),L822,"")</f>
        <v/>
      </c>
      <c r="W822" s="61">
        <f>IF(AND(R822="",S822&lt;&gt;"Yes",L822&lt;0,B822&lt;&gt;"TXO"),L822,"")</f>
        <v/>
      </c>
      <c r="X822" s="226">
        <f>IF(AND(R822="Yes",S822="Yes",L822&gt;0,B822&lt;&gt;"TXO"),L822,"")</f>
        <v/>
      </c>
      <c r="Y822" s="226">
        <f>IF(AND(R822="Yes",S822="Yes",L822&lt;0,B822&lt;&gt;"TXO"),L822,"")</f>
        <v/>
      </c>
      <c r="Z822" s="226">
        <f>IF(AND(R822="",S822="Yes",L822&gt;0,B822&lt;&gt;"TXO"),L822,"")</f>
        <v/>
      </c>
      <c r="AA822" s="226">
        <f>IF(AND(R822="",S822="Yes",L822&lt;0,B822&lt;&gt;"TXO"),L822,"")</f>
        <v/>
      </c>
    </row>
    <row r="823" hidden="1" outlineLevel="2" ht="17.25" customHeight="1" thickBot="1">
      <c r="A823" s="696" t="n">
        <v>43370</v>
      </c>
      <c r="B823" s="234" t="inlineStr">
        <is>
          <t>FIMTX</t>
        </is>
      </c>
      <c r="C823" s="229" t="inlineStr">
        <is>
          <t>小指10</t>
        </is>
      </c>
      <c r="D823" s="229" t="inlineStr">
        <is>
          <t>平倉</t>
        </is>
      </c>
      <c r="E823" s="257" t="inlineStr">
        <is>
          <t>賣</t>
        </is>
      </c>
      <c r="F823" s="229" t="inlineStr">
        <is>
          <t>-</t>
        </is>
      </c>
      <c r="G823" s="697" t="n">
        <v>1</v>
      </c>
      <c r="H823" s="752" t="n">
        <v>11012</v>
      </c>
      <c r="I823" s="697" t="n">
        <v>0</v>
      </c>
      <c r="J823" s="585" t="n">
        <v>23</v>
      </c>
      <c r="K823" s="585" t="n">
        <v>11</v>
      </c>
      <c r="L823" s="585">
        <f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/>
      </c>
      <c r="M823" s="699">
        <f>L823</f>
        <v/>
      </c>
      <c r="N823" s="686">
        <f>IF(B823="TXO","",IF(D823="新倉","",IF(E823="賣",(H823-H822)*G823,(H822-H823)*G823)))</f>
        <v/>
      </c>
      <c r="O823" s="226">
        <f>ABS(I823)</f>
        <v/>
      </c>
      <c r="P823" s="667" t="n"/>
      <c r="Q823" s="310" t="n"/>
      <c r="S823" s="249" t="n"/>
      <c r="T823" s="61">
        <f>IF(AND(R823="Yes",S823&lt;&gt;"Yes",L823&gt;0,B823&lt;&gt;"TXO"),L823,"")</f>
        <v/>
      </c>
      <c r="U823" s="61">
        <f>IF(AND(R823="Yes",S823&lt;&gt;"Yes",L823&lt;0,B823&lt;&gt;"TXO"),L823,"")</f>
        <v/>
      </c>
      <c r="V823" s="61">
        <f>IF(AND(R823="",S823&lt;&gt;"Yes",L823&gt;0,B823&lt;&gt;"TXO"),L823,"")</f>
        <v/>
      </c>
      <c r="W823" s="61">
        <f>IF(AND(R823="",S823&lt;&gt;"Yes",L823&lt;0,B823&lt;&gt;"TXO"),L823,"")</f>
        <v/>
      </c>
      <c r="X823" s="226">
        <f>IF(AND(R823="Yes",S823="Yes",L823&gt;0,B823&lt;&gt;"TXO"),L823,"")</f>
        <v/>
      </c>
      <c r="Y823" s="226">
        <f>IF(AND(R823="Yes",S823="Yes",L823&lt;0,B823&lt;&gt;"TXO"),L823,"")</f>
        <v/>
      </c>
      <c r="Z823" s="226">
        <f>IF(AND(R823="",S823="Yes",L823&gt;0,B823&lt;&gt;"TXO"),L823,"")</f>
        <v/>
      </c>
      <c r="AA823" s="226">
        <f>IF(AND(R823="",S823="Yes",L823&lt;0,B823&lt;&gt;"TXO"),L823,"")</f>
        <v/>
      </c>
    </row>
    <row r="824" hidden="1" outlineLevel="2" ht="17.25" customHeight="1" thickBot="1">
      <c r="A824" s="696" t="n">
        <v>43370</v>
      </c>
      <c r="B824" s="234" t="inlineStr">
        <is>
          <t>FIMTX</t>
        </is>
      </c>
      <c r="C824" s="229" t="inlineStr">
        <is>
          <t>小指10</t>
        </is>
      </c>
      <c r="D824" s="229" t="inlineStr">
        <is>
          <t>新倉</t>
        </is>
      </c>
      <c r="E824" s="257" t="inlineStr">
        <is>
          <t>買</t>
        </is>
      </c>
      <c r="F824" s="229" t="inlineStr">
        <is>
          <t>-</t>
        </is>
      </c>
      <c r="G824" s="697" t="n">
        <v>1</v>
      </c>
      <c r="H824" s="697" t="n">
        <v>11004</v>
      </c>
      <c r="I824" s="697" t="n">
        <v>0</v>
      </c>
      <c r="J824" s="585" t="n">
        <v>23</v>
      </c>
      <c r="K824" s="585" t="n">
        <v>11</v>
      </c>
      <c r="L824" s="585">
        <f>IF(B824="TXO",I824-SUM(J824:K824),IF(B824="FITX",IF(D824="新倉",-SUM(J824:K824),IF(E824="賣",(H824-H823)*G824*200-SUM(J824:K824),(H823-H824)*G824*200-SUM(J824:K824))),IF(D824="新倉",-SUM(J824:K824),IF(E824="賣",(H824-H823)*G824*50-SUM(J824:K824),(H823-H824)*G824*50-SUM(J824:K824)))))</f>
        <v/>
      </c>
      <c r="M824" s="699">
        <f>L824</f>
        <v/>
      </c>
      <c r="N824" s="686">
        <f>IF(B824="TXO","",IF(D824="新倉","",IF(E824="賣",(H824-H823)*G824,(H823-H824)*G824)))</f>
        <v/>
      </c>
      <c r="O824" s="226">
        <f>ABS(I824)</f>
        <v/>
      </c>
      <c r="P824" s="667" t="n"/>
      <c r="Q824" s="310" t="n"/>
      <c r="S824" s="249" t="n"/>
      <c r="T824" s="61">
        <f>IF(AND(R824="Yes",S824&lt;&gt;"Yes",L824&gt;0,B824&lt;&gt;"TXO"),L824,"")</f>
        <v/>
      </c>
      <c r="U824" s="61">
        <f>IF(AND(R824="Yes",S824&lt;&gt;"Yes",L824&lt;0,B824&lt;&gt;"TXO"),L824,"")</f>
        <v/>
      </c>
      <c r="V824" s="61">
        <f>IF(AND(R824="",S824&lt;&gt;"Yes",L824&gt;0,B824&lt;&gt;"TXO"),L824,"")</f>
        <v/>
      </c>
      <c r="W824" s="61">
        <f>IF(AND(R824="",S824&lt;&gt;"Yes",L824&lt;0,B824&lt;&gt;"TXO"),L824,"")</f>
        <v/>
      </c>
      <c r="X824" s="226">
        <f>IF(AND(R824="Yes",S824="Yes",L824&gt;0,B824&lt;&gt;"TXO"),L824,"")</f>
        <v/>
      </c>
      <c r="Y824" s="226">
        <f>IF(AND(R824="Yes",S824="Yes",L824&lt;0,B824&lt;&gt;"TXO"),L824,"")</f>
        <v/>
      </c>
      <c r="Z824" s="226">
        <f>IF(AND(R824="",S824="Yes",L824&gt;0,B824&lt;&gt;"TXO"),L824,"")</f>
        <v/>
      </c>
      <c r="AA824" s="226">
        <f>IF(AND(R824="",S824="Yes",L824&lt;0,B824&lt;&gt;"TXO"),L824,"")</f>
        <v/>
      </c>
    </row>
    <row r="825" hidden="1" outlineLevel="2" ht="17.25" customHeight="1" thickBot="1">
      <c r="A825" s="696" t="n">
        <v>43370</v>
      </c>
      <c r="B825" s="234" t="inlineStr">
        <is>
          <t>FIMTX</t>
        </is>
      </c>
      <c r="C825" s="229" t="inlineStr">
        <is>
          <t>小指10</t>
        </is>
      </c>
      <c r="D825" s="229" t="inlineStr">
        <is>
          <t>平倉</t>
        </is>
      </c>
      <c r="E825" s="257" t="inlineStr">
        <is>
          <t>賣</t>
        </is>
      </c>
      <c r="F825" s="229" t="inlineStr">
        <is>
          <t>-</t>
        </is>
      </c>
      <c r="G825" s="697" t="n">
        <v>1</v>
      </c>
      <c r="H825" s="697" t="n">
        <v>11007</v>
      </c>
      <c r="I825" s="697" t="n">
        <v>0</v>
      </c>
      <c r="J825" s="585" t="n">
        <v>23</v>
      </c>
      <c r="K825" s="585" t="n">
        <v>11</v>
      </c>
      <c r="L825" s="585">
        <f>IF(B825="TXO",I825-SUM(J825:K825),IF(B825="FITX",IF(D825="新倉",-SUM(J825:K825),IF(E825="賣",(H825-H824)*G825*200-SUM(J825:K825),(H824-H825)*G825*200-SUM(J825:K825))),IF(D825="新倉",-SUM(J825:K825),IF(E825="賣",(H825-H824)*G825*50-SUM(J825:K825),(H824-H825)*G825*50-SUM(J825:K825)))))</f>
        <v/>
      </c>
      <c r="M825" s="699">
        <f>L825</f>
        <v/>
      </c>
      <c r="N825" s="686">
        <f>IF(B825="TXO","",IF(D825="新倉","",IF(E825="賣",(H825-H824)*G825,(H824-H825)*G825)))</f>
        <v/>
      </c>
      <c r="O825" s="226">
        <f>ABS(I825)</f>
        <v/>
      </c>
      <c r="P825" s="667" t="n"/>
      <c r="Q825" s="310" t="n"/>
      <c r="S825" s="249" t="n"/>
      <c r="T825" s="61">
        <f>IF(AND(R825="Yes",S825&lt;&gt;"Yes",L825&gt;0,B825&lt;&gt;"TXO"),L825,"")</f>
        <v/>
      </c>
      <c r="U825" s="61">
        <f>IF(AND(R825="Yes",S825&lt;&gt;"Yes",L825&lt;0,B825&lt;&gt;"TXO"),L825,"")</f>
        <v/>
      </c>
      <c r="V825" s="61">
        <f>IF(AND(R825="",S825&lt;&gt;"Yes",L825&gt;0,B825&lt;&gt;"TXO"),L825,"")</f>
        <v/>
      </c>
      <c r="W825" s="61">
        <f>IF(AND(R825="",S825&lt;&gt;"Yes",L825&lt;0,B825&lt;&gt;"TXO"),L825,"")</f>
        <v/>
      </c>
      <c r="X825" s="226">
        <f>IF(AND(R825="Yes",S825="Yes",L825&gt;0,B825&lt;&gt;"TXO"),L825,"")</f>
        <v/>
      </c>
      <c r="Y825" s="226">
        <f>IF(AND(R825="Yes",S825="Yes",L825&lt;0,B825&lt;&gt;"TXO"),L825,"")</f>
        <v/>
      </c>
      <c r="Z825" s="226">
        <f>IF(AND(R825="",S825="Yes",L825&gt;0,B825&lt;&gt;"TXO"),L825,"")</f>
        <v/>
      </c>
      <c r="AA825" s="226">
        <f>IF(AND(R825="",S825="Yes",L825&lt;0,B825&lt;&gt;"TXO"),L825,"")</f>
        <v/>
      </c>
    </row>
    <row r="826" hidden="1" outlineLevel="2" ht="17.25" customHeight="1" thickBot="1">
      <c r="A826" s="696" t="n">
        <v>43370</v>
      </c>
      <c r="B826" s="234" t="inlineStr">
        <is>
          <t>FIMTX</t>
        </is>
      </c>
      <c r="C826" s="229" t="inlineStr">
        <is>
          <t>小指10</t>
        </is>
      </c>
      <c r="D826" s="229" t="inlineStr">
        <is>
          <t>新倉</t>
        </is>
      </c>
      <c r="E826" s="257" t="inlineStr">
        <is>
          <t>買</t>
        </is>
      </c>
      <c r="F826" s="229" t="inlineStr">
        <is>
          <t>-</t>
        </is>
      </c>
      <c r="G826" s="697" t="n">
        <v>1</v>
      </c>
      <c r="H826" s="697" t="n">
        <v>11011</v>
      </c>
      <c r="I826" s="697" t="n">
        <v>0</v>
      </c>
      <c r="J826" s="585" t="n">
        <v>23</v>
      </c>
      <c r="K826" s="585" t="n">
        <v>11</v>
      </c>
      <c r="L826" s="585">
        <f>IF(B826="TXO",I826-SUM(J826:K826),IF(B826="FITX",IF(D826="新倉",-SUM(J826:K826),IF(E826="賣",(H826-H825)*G826*200-SUM(J826:K826),(H825-H826)*G826*200-SUM(J826:K826))),IF(D826="新倉",-SUM(J826:K826),IF(E826="賣",(H826-H825)*G826*50-SUM(J826:K826),(H825-H826)*G826*50-SUM(J826:K826)))))</f>
        <v/>
      </c>
      <c r="M826" s="699">
        <f>L826</f>
        <v/>
      </c>
      <c r="N826" s="686">
        <f>IF(B826="TXO","",IF(D826="新倉","",IF(E826="賣",(H826-H825)*G826,(H825-H826)*G826)))</f>
        <v/>
      </c>
      <c r="O826" s="226">
        <f>ABS(I826)</f>
        <v/>
      </c>
      <c r="P826" s="667" t="n"/>
      <c r="Q826" s="249" t="inlineStr">
        <is>
          <t>技法: 3/3 買進一口</t>
        </is>
      </c>
      <c r="S826" s="249" t="inlineStr">
        <is>
          <t>Yes</t>
        </is>
      </c>
      <c r="T826" s="61">
        <f>IF(AND(R826="Yes",S826&lt;&gt;"Yes",L826&gt;0,B826&lt;&gt;"TXO"),L826,"")</f>
        <v/>
      </c>
      <c r="U826" s="61">
        <f>IF(AND(R826="Yes",S826&lt;&gt;"Yes",L826&lt;0,B826&lt;&gt;"TXO"),L826,"")</f>
        <v/>
      </c>
      <c r="V826" s="61">
        <f>IF(AND(R826="",S826&lt;&gt;"Yes",L826&gt;0,B826&lt;&gt;"TXO"),L826,"")</f>
        <v/>
      </c>
      <c r="W826" s="61">
        <f>IF(AND(R826="",S826&lt;&gt;"Yes",L826&lt;0,B826&lt;&gt;"TXO"),L826,"")</f>
        <v/>
      </c>
      <c r="X826" s="226">
        <f>IF(AND(R826="Yes",S826="Yes",L826&gt;0,B826&lt;&gt;"TXO"),L826,"")</f>
        <v/>
      </c>
      <c r="Y826" s="226">
        <f>IF(AND(R826="Yes",S826="Yes",L826&lt;0,B826&lt;&gt;"TXO"),L826,"")</f>
        <v/>
      </c>
      <c r="Z826" s="226">
        <f>IF(AND(R826="",S826="Yes",L826&gt;0,B826&lt;&gt;"TXO"),L826,"")</f>
        <v/>
      </c>
      <c r="AA826" s="226">
        <f>IF(AND(R826="",S826="Yes",L826&lt;0,B826&lt;&gt;"TXO"),L826,"")</f>
        <v/>
      </c>
    </row>
    <row r="827" hidden="1" outlineLevel="2" ht="17.25" customHeight="1" thickBot="1">
      <c r="A827" s="696" t="n">
        <v>43370</v>
      </c>
      <c r="B827" s="234" t="inlineStr">
        <is>
          <t>FIMTX</t>
        </is>
      </c>
      <c r="C827" s="229" t="inlineStr">
        <is>
          <t>小指10</t>
        </is>
      </c>
      <c r="D827" s="229" t="inlineStr">
        <is>
          <t>平倉</t>
        </is>
      </c>
      <c r="E827" s="257" t="inlineStr">
        <is>
          <t>賣</t>
        </is>
      </c>
      <c r="F827" s="229" t="inlineStr">
        <is>
          <t>-</t>
        </is>
      </c>
      <c r="G827" s="697" t="n">
        <v>1</v>
      </c>
      <c r="H827" s="697" t="n">
        <v>11016</v>
      </c>
      <c r="I827" s="697" t="n">
        <v>0</v>
      </c>
      <c r="J827" s="585" t="n">
        <v>23</v>
      </c>
      <c r="K827" s="585" t="n">
        <v>11</v>
      </c>
      <c r="L827" s="585">
        <f>IF(B827="TXO",I827-SUM(J827:K827),IF(B827="FITX",IF(D827="新倉",-SUM(J827:K827),IF(E827="賣",(H827-H826)*G827*200-SUM(J827:K827),(H826-H827)*G827*200-SUM(J827:K827))),IF(D827="新倉",-SUM(J827:K827),IF(E827="賣",(H827-H826)*G827*50-SUM(J827:K827),(H826-H827)*G827*50-SUM(J827:K827)))))</f>
        <v/>
      </c>
      <c r="M827" s="699">
        <f>L827</f>
        <v/>
      </c>
      <c r="N827" s="686">
        <f>IF(B827="TXO","",IF(D827="新倉","",IF(E827="賣",(H827-H826)*G827,(H826-H827)*G827)))</f>
        <v/>
      </c>
      <c r="O827" s="226">
        <f>ABS(I827)</f>
        <v/>
      </c>
      <c r="P827" s="667" t="n"/>
      <c r="Q827" s="249" t="inlineStr">
        <is>
          <t>技法: 移動式停利</t>
        </is>
      </c>
      <c r="S827" s="249" t="inlineStr">
        <is>
          <t>Yes</t>
        </is>
      </c>
      <c r="T827" s="61">
        <f>IF(AND(R827="Yes",S827&lt;&gt;"Yes",L827&gt;0,B827&lt;&gt;"TXO"),L827,"")</f>
        <v/>
      </c>
      <c r="U827" s="61">
        <f>IF(AND(R827="Yes",S827&lt;&gt;"Yes",L827&lt;0,B827&lt;&gt;"TXO"),L827,"")</f>
        <v/>
      </c>
      <c r="V827" s="61">
        <f>IF(AND(R827="",S827&lt;&gt;"Yes",L827&gt;0,B827&lt;&gt;"TXO"),L827,"")</f>
        <v/>
      </c>
      <c r="W827" s="61">
        <f>IF(AND(R827="",S827&lt;&gt;"Yes",L827&lt;0,B827&lt;&gt;"TXO"),L827,"")</f>
        <v/>
      </c>
      <c r="X827" s="226">
        <f>IF(AND(R827="Yes",S827="Yes",L827&gt;0,B827&lt;&gt;"TXO"),L827,"")</f>
        <v/>
      </c>
      <c r="Y827" s="226">
        <f>IF(AND(R827="Yes",S827="Yes",L827&lt;0,B827&lt;&gt;"TXO"),L827,"")</f>
        <v/>
      </c>
      <c r="Z827" s="226">
        <f>IF(AND(R827="",S827="Yes",L827&gt;0,B827&lt;&gt;"TXO"),L827,"")</f>
        <v/>
      </c>
      <c r="AA827" s="226">
        <f>IF(AND(R827="",S827="Yes",L827&lt;0,B827&lt;&gt;"TXO"),L827,"")</f>
        <v/>
      </c>
    </row>
    <row r="828" hidden="1" outlineLevel="1" ht="17.25" customHeight="1" thickBot="1">
      <c r="A828" s="740" t="n">
        <v>43371</v>
      </c>
      <c r="B828" s="299" t="inlineStr">
        <is>
          <t>FIMTX</t>
        </is>
      </c>
      <c r="C828" s="300" t="inlineStr">
        <is>
          <t>小指10</t>
        </is>
      </c>
      <c r="D828" s="300" t="inlineStr">
        <is>
          <t>新倉</t>
        </is>
      </c>
      <c r="E828" s="301" t="inlineStr">
        <is>
          <t>買</t>
        </is>
      </c>
      <c r="F828" s="300" t="inlineStr">
        <is>
          <t>-</t>
        </is>
      </c>
      <c r="G828" s="741" t="n">
        <v>1</v>
      </c>
      <c r="H828" s="741" t="n">
        <v>11017</v>
      </c>
      <c r="I828" s="741" t="n">
        <v>0</v>
      </c>
      <c r="J828" s="742" t="n">
        <v>23</v>
      </c>
      <c r="K828" s="742" t="n">
        <v>11</v>
      </c>
      <c r="L828" s="742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/>
      </c>
      <c r="M828" s="743">
        <f>L828</f>
        <v/>
      </c>
      <c r="N828" s="686">
        <f>IF(B828="TXO","",IF(D828="新倉","",IF(E828="賣",(H828-H545)*G828,(H545-H828)*G828)))</f>
        <v/>
      </c>
      <c r="O828" s="226">
        <f>ABS(I828)</f>
        <v/>
      </c>
      <c r="P828" s="667">
        <f>SUM(L828:L863)</f>
        <v/>
      </c>
      <c r="Q828" s="249" t="inlineStr">
        <is>
          <t>趨勢向上，試單</t>
        </is>
      </c>
      <c r="S828" s="249" t="n"/>
      <c r="T828" s="61">
        <f>IF(AND(R828="Yes",S828&lt;&gt;"Yes",L828&gt;0,B828&lt;&gt;"TXO"),L828,"")</f>
        <v/>
      </c>
      <c r="U828" s="61">
        <f>IF(AND(R828="Yes",S828&lt;&gt;"Yes",L828&lt;0,B828&lt;&gt;"TXO"),L828,"")</f>
        <v/>
      </c>
      <c r="V828" s="61">
        <f>IF(AND(R828="",S828&lt;&gt;"Yes",L828&gt;0,B828&lt;&gt;"TXO"),L828,"")</f>
        <v/>
      </c>
      <c r="W828" s="61">
        <f>IF(AND(R828="",S828&lt;&gt;"Yes",L828&lt;0,B828&lt;&gt;"TXO"),L828,"")</f>
        <v/>
      </c>
      <c r="X828" s="226">
        <f>IF(AND(R828="Yes",S828="Yes",L828&gt;0,B828&lt;&gt;"TXO"),L828,"")</f>
        <v/>
      </c>
      <c r="Y828" s="226">
        <f>IF(AND(R828="Yes",S828="Yes",L828&lt;0,B828&lt;&gt;"TXO"),L828,"")</f>
        <v/>
      </c>
      <c r="Z828" s="226">
        <f>IF(AND(R828="",S828="Yes",L828&gt;0,B828&lt;&gt;"TXO"),L828,"")</f>
        <v/>
      </c>
      <c r="AA828" s="226">
        <f>IF(AND(R828="",S828="Yes",L828&lt;0,B828&lt;&gt;"TXO"),L828,"")</f>
        <v/>
      </c>
    </row>
    <row r="829" hidden="1" outlineLevel="2" ht="17.25" customHeight="1" thickBot="1">
      <c r="A829" s="740" t="n">
        <v>43371</v>
      </c>
      <c r="B829" s="299" t="inlineStr">
        <is>
          <t>FIMTX</t>
        </is>
      </c>
      <c r="C829" s="300" t="inlineStr">
        <is>
          <t>小指10</t>
        </is>
      </c>
      <c r="D829" s="300" t="inlineStr">
        <is>
          <t>平倉</t>
        </is>
      </c>
      <c r="E829" s="301" t="inlineStr">
        <is>
          <t>賣</t>
        </is>
      </c>
      <c r="F829" s="300" t="inlineStr">
        <is>
          <t>-</t>
        </is>
      </c>
      <c r="G829" s="741" t="n">
        <v>1</v>
      </c>
      <c r="H829" s="741" t="n">
        <v>11019</v>
      </c>
      <c r="I829" s="741" t="n">
        <v>0</v>
      </c>
      <c r="J829" s="742" t="n">
        <v>23</v>
      </c>
      <c r="K829" s="742" t="n">
        <v>11</v>
      </c>
      <c r="L829" s="742">
        <f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/>
      </c>
      <c r="M829" s="743">
        <f>L829</f>
        <v/>
      </c>
      <c r="N829" s="686">
        <f>IF(B829="TXO","",IF(D829="新倉","",IF(E829="賣",(H829-H828)*G829,(H828-H829)*G829)))</f>
        <v/>
      </c>
      <c r="O829" s="226">
        <f>ABS(I829)</f>
        <v/>
      </c>
      <c r="P829" s="667" t="n"/>
      <c r="Q829" s="249" t="inlineStr">
        <is>
          <t>移動式停利，洗出場</t>
        </is>
      </c>
      <c r="S829" s="249" t="n"/>
      <c r="T829" s="61">
        <f>IF(AND(R829="Yes",S829&lt;&gt;"Yes",L829&gt;0,B829&lt;&gt;"TXO"),L829,"")</f>
        <v/>
      </c>
      <c r="U829" s="61">
        <f>IF(AND(R829="Yes",S829&lt;&gt;"Yes",L829&lt;0,B829&lt;&gt;"TXO"),L829,"")</f>
        <v/>
      </c>
      <c r="V829" s="61">
        <f>IF(AND(R829="",S829&lt;&gt;"Yes",L829&gt;0,B829&lt;&gt;"TXO"),L829,"")</f>
        <v/>
      </c>
      <c r="W829" s="61">
        <f>IF(AND(R829="",S829&lt;&gt;"Yes",L829&lt;0,B829&lt;&gt;"TXO"),L829,"")</f>
        <v/>
      </c>
      <c r="X829" s="226">
        <f>IF(AND(R829="Yes",S829="Yes",L829&gt;0,B829&lt;&gt;"TXO"),L829,"")</f>
        <v/>
      </c>
      <c r="Y829" s="226">
        <f>IF(AND(R829="Yes",S829="Yes",L829&lt;0,B829&lt;&gt;"TXO"),L829,"")</f>
        <v/>
      </c>
      <c r="Z829" s="226">
        <f>IF(AND(R829="",S829="Yes",L829&gt;0,B829&lt;&gt;"TXO"),L829,"")</f>
        <v/>
      </c>
      <c r="AA829" s="226">
        <f>IF(AND(R829="",S829="Yes",L829&lt;0,B829&lt;&gt;"TXO"),L829,"")</f>
        <v/>
      </c>
    </row>
    <row r="830" hidden="1" outlineLevel="2" collapsed="1" ht="17.25" customHeight="1" thickBot="1">
      <c r="A830" s="740" t="n">
        <v>43371</v>
      </c>
      <c r="B830" s="299" t="inlineStr">
        <is>
          <t>FIMTX</t>
        </is>
      </c>
      <c r="C830" s="300" t="inlineStr">
        <is>
          <t>小指10</t>
        </is>
      </c>
      <c r="D830" s="300" t="inlineStr">
        <is>
          <t>新倉</t>
        </is>
      </c>
      <c r="E830" s="301" t="inlineStr">
        <is>
          <t>買</t>
        </is>
      </c>
      <c r="F830" s="300" t="inlineStr">
        <is>
          <t>-</t>
        </is>
      </c>
      <c r="G830" s="741" t="n">
        <v>1</v>
      </c>
      <c r="H830" s="741" t="n">
        <v>11037</v>
      </c>
      <c r="I830" s="741" t="n">
        <v>0</v>
      </c>
      <c r="J830" s="742" t="n">
        <v>23</v>
      </c>
      <c r="K830" s="742" t="n">
        <v>11</v>
      </c>
      <c r="L830" s="742">
        <f>IF(B830="TXO",I830-SUM(J830:K830),IF(B830="FITX",IF(D830="新倉",-SUM(J830:K830),IF(E830="賣",(H830-H829)*G830*200-SUM(J830:K830),(H829-H830)*G830*200-SUM(J830:K830))),IF(D830="新倉",-SUM(J830:K830),IF(E830="賣",(H830-H829)*G830*50-SUM(J830:K830),(H829-H830)*G830*50-SUM(J830:K830)))))</f>
        <v/>
      </c>
      <c r="M830" s="743">
        <f>L830</f>
        <v/>
      </c>
      <c r="N830" s="686">
        <f>IF(B830="TXO","",IF(D830="新倉","",IF(E830="賣",(H830-H829)*G830,(H829-H830)*G830)))</f>
        <v/>
      </c>
      <c r="O830" s="226">
        <f>ABS(I830)</f>
        <v/>
      </c>
      <c r="P830" s="667" t="n"/>
      <c r="Q830" s="249" t="inlineStr">
        <is>
          <t>前一單被洗出場，追漲</t>
        </is>
      </c>
      <c r="S830" s="249" t="n"/>
      <c r="T830" s="61">
        <f>IF(AND(R830="Yes",S830&lt;&gt;"Yes",L830&gt;0,B830&lt;&gt;"TXO"),L830,"")</f>
        <v/>
      </c>
      <c r="U830" s="61">
        <f>IF(AND(R830="Yes",S830&lt;&gt;"Yes",L830&lt;0,B830&lt;&gt;"TXO"),L830,"")</f>
        <v/>
      </c>
      <c r="V830" s="61">
        <f>IF(AND(R830="",S830&lt;&gt;"Yes",L830&gt;0,B830&lt;&gt;"TXO"),L830,"")</f>
        <v/>
      </c>
      <c r="W830" s="61">
        <f>IF(AND(R830="",S830&lt;&gt;"Yes",L830&lt;0,B830&lt;&gt;"TXO"),L830,"")</f>
        <v/>
      </c>
      <c r="X830" s="226">
        <f>IF(AND(R830="Yes",S830="Yes",L830&gt;0,B830&lt;&gt;"TXO"),L830,"")</f>
        <v/>
      </c>
      <c r="Y830" s="226">
        <f>IF(AND(R830="Yes",S830="Yes",L830&lt;0,B830&lt;&gt;"TXO"),L830,"")</f>
        <v/>
      </c>
      <c r="Z830" s="226">
        <f>IF(AND(R830="",S830="Yes",L830&gt;0,B830&lt;&gt;"TXO"),L830,"")</f>
        <v/>
      </c>
      <c r="AA830" s="226">
        <f>IF(AND(R830="",S830="Yes",L830&lt;0,B830&lt;&gt;"TXO"),L830,"")</f>
        <v/>
      </c>
    </row>
    <row r="831" hidden="1" outlineLevel="2" ht="17.25" customHeight="1" thickBot="1">
      <c r="A831" s="740" t="n">
        <v>43371</v>
      </c>
      <c r="B831" s="299" t="inlineStr">
        <is>
          <t>FIMTX</t>
        </is>
      </c>
      <c r="C831" s="300" t="inlineStr">
        <is>
          <t>小指10</t>
        </is>
      </c>
      <c r="D831" s="300" t="inlineStr">
        <is>
          <t>平倉</t>
        </is>
      </c>
      <c r="E831" s="301" t="inlineStr">
        <is>
          <t>賣</t>
        </is>
      </c>
      <c r="F831" s="300" t="inlineStr">
        <is>
          <t>-</t>
        </is>
      </c>
      <c r="G831" s="741" t="n">
        <v>1</v>
      </c>
      <c r="H831" s="741" t="n">
        <v>11028</v>
      </c>
      <c r="I831" s="741" t="n">
        <v>0</v>
      </c>
      <c r="J831" s="742" t="n">
        <v>23</v>
      </c>
      <c r="K831" s="742" t="n">
        <v>11</v>
      </c>
      <c r="L831" s="742">
        <f>IF(B831="TXO",I831-SUM(J831:K831),IF(B831="FITX",IF(D831="新倉",-SUM(J831:K831),IF(E831="賣",(H831-H830)*G831*200-SUM(J831:K831),(H830-H831)*G831*200-SUM(J831:K831))),IF(D831="新倉",-SUM(J831:K831),IF(E831="賣",(H831-H830)*G831*50-SUM(J831:K831),(H830-H831)*G831*50-SUM(J831:K831)))))</f>
        <v/>
      </c>
      <c r="M831" s="743">
        <f>L831</f>
        <v/>
      </c>
      <c r="N831" s="686">
        <f>IF(B831="TXO","",IF(D831="新倉","",IF(E831="賣",(H831-H830)*G831,(H830-H831)*G831)))</f>
        <v/>
      </c>
      <c r="O831" s="226">
        <f>ABS(I831)</f>
        <v/>
      </c>
      <c r="P831" s="667" t="n"/>
      <c r="Q831" s="310" t="inlineStr">
        <is>
          <t>碰10MA卻不停損</t>
        </is>
      </c>
      <c r="S831" s="249" t="n"/>
      <c r="T831" s="61">
        <f>IF(AND(R831="Yes",S831&lt;&gt;"Yes",L831&gt;0,B831&lt;&gt;"TXO"),L831,"")</f>
        <v/>
      </c>
      <c r="U831" s="61">
        <f>IF(AND(R831="Yes",S831&lt;&gt;"Yes",L831&lt;0,B831&lt;&gt;"TXO"),L831,"")</f>
        <v/>
      </c>
      <c r="V831" s="61">
        <f>IF(AND(R831="",S831&lt;&gt;"Yes",L831&gt;0,B831&lt;&gt;"TXO"),L831,"")</f>
        <v/>
      </c>
      <c r="W831" s="61">
        <f>IF(AND(R831="",S831&lt;&gt;"Yes",L831&lt;0,B831&lt;&gt;"TXO"),L831,"")</f>
        <v/>
      </c>
      <c r="X831" s="226">
        <f>IF(AND(R831="Yes",S831="Yes",L831&gt;0,B831&lt;&gt;"TXO"),L831,"")</f>
        <v/>
      </c>
      <c r="Y831" s="226">
        <f>IF(AND(R831="Yes",S831="Yes",L831&lt;0,B831&lt;&gt;"TXO"),L831,"")</f>
        <v/>
      </c>
      <c r="Z831" s="226">
        <f>IF(AND(R831="",S831="Yes",L831&gt;0,B831&lt;&gt;"TXO"),L831,"")</f>
        <v/>
      </c>
      <c r="AA831" s="226">
        <f>IF(AND(R831="",S831="Yes",L831&lt;0,B831&lt;&gt;"TXO"),L831,"")</f>
        <v/>
      </c>
    </row>
    <row r="832" hidden="1" outlineLevel="2" collapsed="1" ht="17.25" customHeight="1" thickBot="1">
      <c r="A832" s="740" t="n">
        <v>43371</v>
      </c>
      <c r="B832" s="299" t="inlineStr">
        <is>
          <t>FIMTX</t>
        </is>
      </c>
      <c r="C832" s="300" t="inlineStr">
        <is>
          <t>小指10</t>
        </is>
      </c>
      <c r="D832" s="300" t="inlineStr">
        <is>
          <t>新倉</t>
        </is>
      </c>
      <c r="E832" s="301" t="inlineStr">
        <is>
          <t>買</t>
        </is>
      </c>
      <c r="F832" s="300" t="inlineStr">
        <is>
          <t>-</t>
        </is>
      </c>
      <c r="G832" s="741" t="n">
        <v>1</v>
      </c>
      <c r="H832" s="741" t="n">
        <v>11035</v>
      </c>
      <c r="I832" s="741" t="n">
        <v>0</v>
      </c>
      <c r="J832" s="742" t="n">
        <v>23</v>
      </c>
      <c r="K832" s="742" t="n">
        <v>11</v>
      </c>
      <c r="L832" s="742">
        <f>IF(B832="TXO",I832-SUM(J832:K832),IF(B832="FITX",IF(D832="新倉",-SUM(J832:K832),IF(E832="賣",(H832-H831)*G832*200-SUM(J832:K832),(H831-H832)*G832*200-SUM(J832:K832))),IF(D832="新倉",-SUM(J832:K832),IF(E832="賣",(H832-H831)*G832*50-SUM(J832:K832),(H831-H832)*G832*50-SUM(J832:K832)))))</f>
        <v/>
      </c>
      <c r="M832" s="743">
        <f>L832</f>
        <v/>
      </c>
      <c r="N832" s="686">
        <f>IF(B832="TXO","",IF(D832="新倉","",IF(E832="賣",(H832-H831)*G832,(H831-H832)*G832)))</f>
        <v/>
      </c>
      <c r="O832" s="226">
        <f>ABS(I832)</f>
        <v/>
      </c>
      <c r="P832" s="667" t="n"/>
      <c r="Q832" s="249" t="inlineStr">
        <is>
          <t>加碼攤平</t>
        </is>
      </c>
      <c r="S832" s="249" t="n"/>
      <c r="T832" s="61">
        <f>IF(AND(R832="Yes",S832&lt;&gt;"Yes",L832&gt;0,B832&lt;&gt;"TXO"),L832,"")</f>
        <v/>
      </c>
      <c r="U832" s="61">
        <f>IF(AND(R832="Yes",S832&lt;&gt;"Yes",L832&lt;0,B832&lt;&gt;"TXO"),L832,"")</f>
        <v/>
      </c>
      <c r="V832" s="61">
        <f>IF(AND(R832="",S832&lt;&gt;"Yes",L832&gt;0,B832&lt;&gt;"TXO"),L832,"")</f>
        <v/>
      </c>
      <c r="W832" s="61">
        <f>IF(AND(R832="",S832&lt;&gt;"Yes",L832&lt;0,B832&lt;&gt;"TXO"),L832,"")</f>
        <v/>
      </c>
      <c r="X832" s="226">
        <f>IF(AND(R832="Yes",S832="Yes",L832&gt;0,B832&lt;&gt;"TXO"),L832,"")</f>
        <v/>
      </c>
      <c r="Y832" s="226">
        <f>IF(AND(R832="Yes",S832="Yes",L832&lt;0,B832&lt;&gt;"TXO"),L832,"")</f>
        <v/>
      </c>
      <c r="Z832" s="226">
        <f>IF(AND(R832="",S832="Yes",L832&gt;0,B832&lt;&gt;"TXO"),L832,"")</f>
        <v/>
      </c>
      <c r="AA832" s="226">
        <f>IF(AND(R832="",S832="Yes",L832&lt;0,B832&lt;&gt;"TXO"),L832,"")</f>
        <v/>
      </c>
    </row>
    <row r="833" hidden="1" outlineLevel="2" ht="17.25" customHeight="1" thickBot="1">
      <c r="A833" s="740" t="n">
        <v>43371</v>
      </c>
      <c r="B833" s="299" t="inlineStr">
        <is>
          <t>FIMTX</t>
        </is>
      </c>
      <c r="C833" s="300" t="inlineStr">
        <is>
          <t>小指10</t>
        </is>
      </c>
      <c r="D833" s="300" t="inlineStr">
        <is>
          <t>平倉</t>
        </is>
      </c>
      <c r="E833" s="301" t="inlineStr">
        <is>
          <t>賣</t>
        </is>
      </c>
      <c r="F833" s="300" t="inlineStr">
        <is>
          <t>-</t>
        </is>
      </c>
      <c r="G833" s="741" t="n">
        <v>1</v>
      </c>
      <c r="H833" s="741" t="n">
        <v>11017</v>
      </c>
      <c r="I833" s="741" t="n">
        <v>0</v>
      </c>
      <c r="J833" s="742" t="n">
        <v>23</v>
      </c>
      <c r="K833" s="742" t="n">
        <v>11</v>
      </c>
      <c r="L833" s="742">
        <f>IF(B833="TXO",I833-SUM(J833:K833),IF(B833="FITX",IF(D833="新倉",-SUM(J833:K833),IF(E833="賣",(H833-H832)*G833*200-SUM(J833:K833),(H832-H833)*G833*200-SUM(J833:K833))),IF(D833="新倉",-SUM(J833:K833),IF(E833="賣",(H833-H832)*G833*50-SUM(J833:K833),(H832-H833)*G833*50-SUM(J833:K833)))))</f>
        <v/>
      </c>
      <c r="M833" s="743">
        <f>L833</f>
        <v/>
      </c>
      <c r="N833" s="686">
        <f>IF(B833="TXO","",IF(D833="新倉","",IF(E833="賣",(H833-H832)*G833,(H832-H833)*G833)))</f>
        <v/>
      </c>
      <c r="O833" s="226">
        <f>ABS(I833)</f>
        <v/>
      </c>
      <c r="P833" s="667" t="n"/>
      <c r="Q833" s="310" t="inlineStr">
        <is>
          <t>碰10MA卻不停損</t>
        </is>
      </c>
      <c r="S833" s="249" t="n"/>
      <c r="T833" s="61">
        <f>IF(AND(R833="Yes",S833&lt;&gt;"Yes",L833&gt;0,B833&lt;&gt;"TXO"),L833,"")</f>
        <v/>
      </c>
      <c r="U833" s="61">
        <f>IF(AND(R833="Yes",S833&lt;&gt;"Yes",L833&lt;0,B833&lt;&gt;"TXO"),L833,"")</f>
        <v/>
      </c>
      <c r="V833" s="61">
        <f>IF(AND(R833="",S833&lt;&gt;"Yes",L833&gt;0,B833&lt;&gt;"TXO"),L833,"")</f>
        <v/>
      </c>
      <c r="W833" s="61">
        <f>IF(AND(R833="",S833&lt;&gt;"Yes",L833&lt;0,B833&lt;&gt;"TXO"),L833,"")</f>
        <v/>
      </c>
      <c r="X833" s="226">
        <f>IF(AND(R833="Yes",S833="Yes",L833&gt;0,B833&lt;&gt;"TXO"),L833,"")</f>
        <v/>
      </c>
      <c r="Y833" s="226">
        <f>IF(AND(R833="Yes",S833="Yes",L833&lt;0,B833&lt;&gt;"TXO"),L833,"")</f>
        <v/>
      </c>
      <c r="Z833" s="226">
        <f>IF(AND(R833="",S833="Yes",L833&gt;0,B833&lt;&gt;"TXO"),L833,"")</f>
        <v/>
      </c>
      <c r="AA833" s="226">
        <f>IF(AND(R833="",S833="Yes",L833&lt;0,B833&lt;&gt;"TXO"),L833,"")</f>
        <v/>
      </c>
    </row>
    <row r="834" hidden="1" outlineLevel="2" collapsed="1" ht="17.25" customHeight="1" thickBot="1">
      <c r="A834" s="740" t="n">
        <v>43371</v>
      </c>
      <c r="B834" s="299" t="inlineStr">
        <is>
          <t>FIMTX</t>
        </is>
      </c>
      <c r="C834" s="300" t="inlineStr">
        <is>
          <t>小指10</t>
        </is>
      </c>
      <c r="D834" s="300" t="inlineStr">
        <is>
          <t>新倉</t>
        </is>
      </c>
      <c r="E834" s="301" t="inlineStr">
        <is>
          <t>買</t>
        </is>
      </c>
      <c r="F834" s="300" t="inlineStr">
        <is>
          <t>-</t>
        </is>
      </c>
      <c r="G834" s="741" t="n">
        <v>1</v>
      </c>
      <c r="H834" s="741" t="n">
        <v>11030</v>
      </c>
      <c r="I834" s="741" t="n">
        <v>0</v>
      </c>
      <c r="J834" s="742" t="n">
        <v>23</v>
      </c>
      <c r="K834" s="742" t="n">
        <v>11</v>
      </c>
      <c r="L834" s="742">
        <f>IF(B834="TXO",I834-SUM(J834:K834),IF(B834="FITX",IF(D834="新倉",-SUM(J834:K834),IF(E834="賣",(H834-H833)*G834*200-SUM(J834:K834),(H833-H834)*G834*200-SUM(J834:K834))),IF(D834="新倉",-SUM(J834:K834),IF(E834="賣",(H834-H833)*G834*50-SUM(J834:K834),(H833-H834)*G834*50-SUM(J834:K834)))))</f>
        <v/>
      </c>
      <c r="M834" s="743">
        <f>L834</f>
        <v/>
      </c>
      <c r="N834" s="686">
        <f>IF(B834="TXO","",IF(D834="新倉","",IF(E834="賣",(H834-H833)*G834,(H833-H834)*G834)))</f>
        <v/>
      </c>
      <c r="O834" s="226">
        <f>ABS(I834)</f>
        <v/>
      </c>
      <c r="P834" s="667" t="n"/>
      <c r="Q834" s="249" t="inlineStr">
        <is>
          <t>加碼攤平</t>
        </is>
      </c>
      <c r="S834" s="249" t="n"/>
      <c r="T834" s="61">
        <f>IF(AND(R834="Yes",S834&lt;&gt;"Yes",L834&gt;0,B834&lt;&gt;"TXO"),L834,"")</f>
        <v/>
      </c>
      <c r="U834" s="61">
        <f>IF(AND(R834="Yes",S834&lt;&gt;"Yes",L834&lt;0,B834&lt;&gt;"TXO"),L834,"")</f>
        <v/>
      </c>
      <c r="V834" s="61">
        <f>IF(AND(R834="",S834&lt;&gt;"Yes",L834&gt;0,B834&lt;&gt;"TXO"),L834,"")</f>
        <v/>
      </c>
      <c r="W834" s="61">
        <f>IF(AND(R834="",S834&lt;&gt;"Yes",L834&lt;0,B834&lt;&gt;"TXO"),L834,"")</f>
        <v/>
      </c>
      <c r="X834" s="226">
        <f>IF(AND(R834="Yes",S834="Yes",L834&gt;0,B834&lt;&gt;"TXO"),L834,"")</f>
        <v/>
      </c>
      <c r="Y834" s="226">
        <f>IF(AND(R834="Yes",S834="Yes",L834&lt;0,B834&lt;&gt;"TXO"),L834,"")</f>
        <v/>
      </c>
      <c r="Z834" s="226">
        <f>IF(AND(R834="",S834="Yes",L834&gt;0,B834&lt;&gt;"TXO"),L834,"")</f>
        <v/>
      </c>
      <c r="AA834" s="226">
        <f>IF(AND(R834="",S834="Yes",L834&lt;0,B834&lt;&gt;"TXO"),L834,"")</f>
        <v/>
      </c>
    </row>
    <row r="835" hidden="1" outlineLevel="2" ht="17.25" customHeight="1" thickBot="1">
      <c r="A835" s="740" t="n">
        <v>43371</v>
      </c>
      <c r="B835" s="299" t="inlineStr">
        <is>
          <t>FIMTX</t>
        </is>
      </c>
      <c r="C835" s="300" t="inlineStr">
        <is>
          <t>小指10</t>
        </is>
      </c>
      <c r="D835" s="300" t="inlineStr">
        <is>
          <t>平倉</t>
        </is>
      </c>
      <c r="E835" s="301" t="inlineStr">
        <is>
          <t>賣</t>
        </is>
      </c>
      <c r="F835" s="300" t="inlineStr">
        <is>
          <t>-</t>
        </is>
      </c>
      <c r="G835" s="741" t="n">
        <v>1</v>
      </c>
      <c r="H835" s="741" t="n">
        <v>11013</v>
      </c>
      <c r="I835" s="741" t="n">
        <v>0</v>
      </c>
      <c r="J835" s="742" t="n">
        <v>23</v>
      </c>
      <c r="K835" s="742" t="n">
        <v>11</v>
      </c>
      <c r="L835" s="742">
        <f>IF(B835="TXO",I835-SUM(J835:K835),IF(B835="FITX",IF(D835="新倉",-SUM(J835:K835),IF(E835="賣",(H835-H834)*G835*200-SUM(J835:K835),(H834-H835)*G835*200-SUM(J835:K835))),IF(D835="新倉",-SUM(J835:K835),IF(E835="賣",(H835-H834)*G835*50-SUM(J835:K835),(H834-H835)*G835*50-SUM(J835:K835)))))</f>
        <v/>
      </c>
      <c r="M835" s="743">
        <f>L835</f>
        <v/>
      </c>
      <c r="N835" s="686">
        <f>IF(B835="TXO","",IF(D835="新倉","",IF(E835="賣",(H835-H834)*G835,(H834-H835)*G835)))</f>
        <v/>
      </c>
      <c r="O835" s="226">
        <f>ABS(I835)</f>
        <v/>
      </c>
      <c r="P835" s="667" t="n"/>
      <c r="Q835" s="310" t="inlineStr">
        <is>
          <t>碰10MA卻不停損</t>
        </is>
      </c>
      <c r="S835" s="249" t="n"/>
      <c r="T835" s="61">
        <f>IF(AND(R835="Yes",S835&lt;&gt;"Yes",L835&gt;0,B835&lt;&gt;"TXO"),L835,"")</f>
        <v/>
      </c>
      <c r="U835" s="61">
        <f>IF(AND(R835="Yes",S835&lt;&gt;"Yes",L835&lt;0,B835&lt;&gt;"TXO"),L835,"")</f>
        <v/>
      </c>
      <c r="V835" s="61">
        <f>IF(AND(R835="",S835&lt;&gt;"Yes",L835&gt;0,B835&lt;&gt;"TXO"),L835,"")</f>
        <v/>
      </c>
      <c r="W835" s="61">
        <f>IF(AND(R835="",S835&lt;&gt;"Yes",L835&lt;0,B835&lt;&gt;"TXO"),L835,"")</f>
        <v/>
      </c>
      <c r="X835" s="226">
        <f>IF(AND(R835="Yes",S835="Yes",L835&gt;0,B835&lt;&gt;"TXO"),L835,"")</f>
        <v/>
      </c>
      <c r="Y835" s="226">
        <f>IF(AND(R835="Yes",S835="Yes",L835&lt;0,B835&lt;&gt;"TXO"),L835,"")</f>
        <v/>
      </c>
      <c r="Z835" s="226">
        <f>IF(AND(R835="",S835="Yes",L835&gt;0,B835&lt;&gt;"TXO"),L835,"")</f>
        <v/>
      </c>
      <c r="AA835" s="226">
        <f>IF(AND(R835="",S835="Yes",L835&lt;0,B835&lt;&gt;"TXO"),L835,"")</f>
        <v/>
      </c>
    </row>
    <row r="836" hidden="1" outlineLevel="2" collapsed="1" ht="17.25" customHeight="1" thickBot="1">
      <c r="A836" s="740" t="n">
        <v>43371</v>
      </c>
      <c r="B836" s="299" t="inlineStr">
        <is>
          <t>FIMTX</t>
        </is>
      </c>
      <c r="C836" s="300" t="inlineStr">
        <is>
          <t>小指10</t>
        </is>
      </c>
      <c r="D836" s="300" t="inlineStr">
        <is>
          <t>新倉</t>
        </is>
      </c>
      <c r="E836" s="301" t="inlineStr">
        <is>
          <t>買</t>
        </is>
      </c>
      <c r="F836" s="300" t="inlineStr">
        <is>
          <t>-</t>
        </is>
      </c>
      <c r="G836" s="741" t="n">
        <v>1</v>
      </c>
      <c r="H836" s="741" t="n">
        <v>11023</v>
      </c>
      <c r="I836" s="741" t="n">
        <v>0</v>
      </c>
      <c r="J836" s="742" t="n">
        <v>23</v>
      </c>
      <c r="K836" s="742" t="n">
        <v>11</v>
      </c>
      <c r="L836" s="742">
        <f>IF(B836="TXO",I836-SUM(J836:K836),IF(B836="FITX",IF(D836="新倉",-SUM(J836:K836),IF(E836="賣",(H836-H835)*G836*200-SUM(J836:K836),(H835-H836)*G836*200-SUM(J836:K836))),IF(D836="新倉",-SUM(J836:K836),IF(E836="賣",(H836-H835)*G836*50-SUM(J836:K836),(H835-H836)*G836*50-SUM(J836:K836)))))</f>
        <v/>
      </c>
      <c r="M836" s="743">
        <f>L836</f>
        <v/>
      </c>
      <c r="N836" s="686">
        <f>IF(B836="TXO","",IF(D836="新倉","",IF(E836="賣",(H836-H835)*G836,(H835-H836)*G836)))</f>
        <v/>
      </c>
      <c r="O836" s="226">
        <f>ABS(I836)</f>
        <v/>
      </c>
      <c r="P836" s="667" t="n"/>
      <c r="Q836" s="249" t="inlineStr">
        <is>
          <t>加碼攤平</t>
        </is>
      </c>
      <c r="S836" s="249" t="n"/>
      <c r="T836" s="61">
        <f>IF(AND(R836="Yes",S836&lt;&gt;"Yes",L836&gt;0,B836&lt;&gt;"TXO"),L836,"")</f>
        <v/>
      </c>
      <c r="U836" s="61">
        <f>IF(AND(R836="Yes",S836&lt;&gt;"Yes",L836&lt;0,B836&lt;&gt;"TXO"),L836,"")</f>
        <v/>
      </c>
      <c r="V836" s="61">
        <f>IF(AND(R836="",S836&lt;&gt;"Yes",L836&gt;0,B836&lt;&gt;"TXO"),L836,"")</f>
        <v/>
      </c>
      <c r="W836" s="61">
        <f>IF(AND(R836="",S836&lt;&gt;"Yes",L836&lt;0,B836&lt;&gt;"TXO"),L836,"")</f>
        <v/>
      </c>
      <c r="X836" s="226">
        <f>IF(AND(R836="Yes",S836="Yes",L836&gt;0,B836&lt;&gt;"TXO"),L836,"")</f>
        <v/>
      </c>
      <c r="Y836" s="226">
        <f>IF(AND(R836="Yes",S836="Yes",L836&lt;0,B836&lt;&gt;"TXO"),L836,"")</f>
        <v/>
      </c>
      <c r="Z836" s="226">
        <f>IF(AND(R836="",S836="Yes",L836&gt;0,B836&lt;&gt;"TXO"),L836,"")</f>
        <v/>
      </c>
      <c r="AA836" s="226">
        <f>IF(AND(R836="",S836="Yes",L836&lt;0,B836&lt;&gt;"TXO"),L836,"")</f>
        <v/>
      </c>
    </row>
    <row r="837" hidden="1" outlineLevel="2" ht="17.25" customHeight="1" thickBot="1">
      <c r="A837" s="740" t="n">
        <v>43371</v>
      </c>
      <c r="B837" s="299" t="inlineStr">
        <is>
          <t>FIMTX</t>
        </is>
      </c>
      <c r="C837" s="300" t="inlineStr">
        <is>
          <t>小指10</t>
        </is>
      </c>
      <c r="D837" s="300" t="inlineStr">
        <is>
          <t>平倉</t>
        </is>
      </c>
      <c r="E837" s="301" t="inlineStr">
        <is>
          <t>賣</t>
        </is>
      </c>
      <c r="F837" s="300" t="inlineStr">
        <is>
          <t>-</t>
        </is>
      </c>
      <c r="G837" s="741" t="n">
        <v>1</v>
      </c>
      <c r="H837" s="741" t="n">
        <v>11013</v>
      </c>
      <c r="I837" s="741" t="n">
        <v>0</v>
      </c>
      <c r="J837" s="742" t="n">
        <v>23</v>
      </c>
      <c r="K837" s="742" t="n">
        <v>11</v>
      </c>
      <c r="L837" s="742">
        <f>IF(B837="TXO",I837-SUM(J837:K837),IF(B837="FITX",IF(D837="新倉",-SUM(J837:K837),IF(E837="賣",(H837-H836)*G837*200-SUM(J837:K837),(H836-H837)*G837*200-SUM(J837:K837))),IF(D837="新倉",-SUM(J837:K837),IF(E837="賣",(H837-H836)*G837*50-SUM(J837:K837),(H836-H837)*G837*50-SUM(J837:K837)))))</f>
        <v/>
      </c>
      <c r="M837" s="743">
        <f>L837</f>
        <v/>
      </c>
      <c r="N837" s="686">
        <f>IF(B837="TXO","",IF(D837="新倉","",IF(E837="賣",(H837-H836)*G837,(H836-H837)*G837)))</f>
        <v/>
      </c>
      <c r="O837" s="226">
        <f>ABS(I837)</f>
        <v/>
      </c>
      <c r="P837" s="667" t="n"/>
      <c r="Q837" s="310" t="inlineStr">
        <is>
          <t>碰10MA卻不停損</t>
        </is>
      </c>
      <c r="S837" s="249" t="n"/>
      <c r="T837" s="61">
        <f>IF(AND(R837="Yes",S837&lt;&gt;"Yes",L837&gt;0,B837&lt;&gt;"TXO"),L837,"")</f>
        <v/>
      </c>
      <c r="U837" s="61">
        <f>IF(AND(R837="Yes",S837&lt;&gt;"Yes",L837&lt;0,B837&lt;&gt;"TXO"),L837,"")</f>
        <v/>
      </c>
      <c r="V837" s="61">
        <f>IF(AND(R837="",S837&lt;&gt;"Yes",L837&gt;0,B837&lt;&gt;"TXO"),L837,"")</f>
        <v/>
      </c>
      <c r="W837" s="61">
        <f>IF(AND(R837="",S837&lt;&gt;"Yes",L837&lt;0,B837&lt;&gt;"TXO"),L837,"")</f>
        <v/>
      </c>
      <c r="X837" s="226">
        <f>IF(AND(R837="Yes",S837="Yes",L837&gt;0,B837&lt;&gt;"TXO"),L837,"")</f>
        <v/>
      </c>
      <c r="Y837" s="226">
        <f>IF(AND(R837="Yes",S837="Yes",L837&lt;0,B837&lt;&gt;"TXO"),L837,"")</f>
        <v/>
      </c>
      <c r="Z837" s="226">
        <f>IF(AND(R837="",S837="Yes",L837&gt;0,B837&lt;&gt;"TXO"),L837,"")</f>
        <v/>
      </c>
      <c r="AA837" s="226">
        <f>IF(AND(R837="",S837="Yes",L837&lt;0,B837&lt;&gt;"TXO"),L837,"")</f>
        <v/>
      </c>
    </row>
    <row r="838" hidden="1" outlineLevel="2" collapsed="1" ht="17.25" customHeight="1" thickBot="1">
      <c r="A838" s="740" t="n">
        <v>43371</v>
      </c>
      <c r="B838" s="299" t="inlineStr">
        <is>
          <t>FIMTX</t>
        </is>
      </c>
      <c r="C838" s="300" t="inlineStr">
        <is>
          <t>小指10</t>
        </is>
      </c>
      <c r="D838" s="300" t="inlineStr">
        <is>
          <t>新倉</t>
        </is>
      </c>
      <c r="E838" s="301" t="inlineStr">
        <is>
          <t>賣</t>
        </is>
      </c>
      <c r="F838" s="300" t="inlineStr">
        <is>
          <t>-</t>
        </is>
      </c>
      <c r="G838" s="741" t="n">
        <v>1</v>
      </c>
      <c r="H838" s="741" t="n">
        <v>11016</v>
      </c>
      <c r="I838" s="741" t="n">
        <v>0</v>
      </c>
      <c r="J838" s="742" t="n">
        <v>23</v>
      </c>
      <c r="K838" s="742" t="n">
        <v>11</v>
      </c>
      <c r="L838" s="742">
        <f>IF(B838="TXO",I838-SUM(J838:K838),IF(B838="FITX",IF(D838="新倉",-SUM(J838:K838),IF(E838="賣",(H838-H837)*G838*200-SUM(J838:K838),(H837-H838)*G838*200-SUM(J838:K838))),IF(D838="新倉",-SUM(J838:K838),IF(E838="賣",(H838-H837)*G838*50-SUM(J838:K838),(H837-H838)*G838*50-SUM(J838:K838)))))</f>
        <v/>
      </c>
      <c r="M838" s="743">
        <f>L838</f>
        <v/>
      </c>
      <c r="N838" s="686">
        <f>IF(B838="TXO","",IF(D838="新倉","",IF(E838="賣",(H838-H837)*G838,(H837-H838)*G838)))</f>
        <v/>
      </c>
      <c r="O838" s="226">
        <f>ABS(I838)</f>
        <v/>
      </c>
      <c r="P838" s="667" t="n"/>
      <c r="Q838" s="249" t="inlineStr">
        <is>
          <t>技法: 3/3 買進三口</t>
        </is>
      </c>
      <c r="R838" s="249" t="inlineStr">
        <is>
          <t>Yes</t>
        </is>
      </c>
      <c r="S838" s="249" t="n"/>
      <c r="T838" s="61">
        <f>IF(AND(R838="Yes",S838&lt;&gt;"Yes",L838&gt;0,B838&lt;&gt;"TXO"),L838,"")</f>
        <v/>
      </c>
      <c r="U838" s="61">
        <f>IF(AND(R838="Yes",S838&lt;&gt;"Yes",L838&lt;0,B838&lt;&gt;"TXO"),L838,"")</f>
        <v/>
      </c>
      <c r="V838" s="61">
        <f>IF(AND(R838="",S838&lt;&gt;"Yes",L838&gt;0,B838&lt;&gt;"TXO"),L838,"")</f>
        <v/>
      </c>
      <c r="W838" s="61">
        <f>IF(AND(R838="",S838&lt;&gt;"Yes",L838&lt;0,B838&lt;&gt;"TXO"),L838,"")</f>
        <v/>
      </c>
      <c r="X838" s="226">
        <f>IF(AND(R838="Yes",S838="Yes",L838&gt;0,B838&lt;&gt;"TXO"),L838,"")</f>
        <v/>
      </c>
      <c r="Y838" s="226">
        <f>IF(AND(R838="Yes",S838="Yes",L838&lt;0,B838&lt;&gt;"TXO"),L838,"")</f>
        <v/>
      </c>
      <c r="Z838" s="226">
        <f>IF(AND(R838="",S838="Yes",L838&gt;0,B838&lt;&gt;"TXO"),L838,"")</f>
        <v/>
      </c>
      <c r="AA838" s="226">
        <f>IF(AND(R838="",S838="Yes",L838&lt;0,B838&lt;&gt;"TXO"),L838,"")</f>
        <v/>
      </c>
    </row>
    <row r="839" hidden="1" outlineLevel="2" ht="17.25" customHeight="1" thickBot="1">
      <c r="A839" s="740" t="n">
        <v>43371</v>
      </c>
      <c r="B839" s="299" t="inlineStr">
        <is>
          <t>FIMTX</t>
        </is>
      </c>
      <c r="C839" s="300" t="inlineStr">
        <is>
          <t>小指10</t>
        </is>
      </c>
      <c r="D839" s="300" t="inlineStr">
        <is>
          <t>平倉</t>
        </is>
      </c>
      <c r="E839" s="301" t="inlineStr">
        <is>
          <t>買</t>
        </is>
      </c>
      <c r="F839" s="300" t="inlineStr">
        <is>
          <t>-</t>
        </is>
      </c>
      <c r="G839" s="741" t="n">
        <v>1</v>
      </c>
      <c r="H839" s="741" t="n">
        <v>11010</v>
      </c>
      <c r="I839" s="741" t="n">
        <v>0</v>
      </c>
      <c r="J839" s="742" t="n">
        <v>23</v>
      </c>
      <c r="K839" s="742" t="n">
        <v>11</v>
      </c>
      <c r="L839" s="742">
        <f>IF(B839="TXO",I839-SUM(J839:K839),IF(B839="FITX",IF(D839="新倉",-SUM(J839:K839),IF(E839="賣",(H839-H838)*G839*200-SUM(J839:K839),(H838-H839)*G839*200-SUM(J839:K839))),IF(D839="新倉",-SUM(J839:K839),IF(E839="賣",(H839-H838)*G839*50-SUM(J839:K839),(H838-H839)*G839*50-SUM(J839:K839)))))</f>
        <v/>
      </c>
      <c r="M839" s="743">
        <f>L839</f>
        <v/>
      </c>
      <c r="N839" s="686">
        <f>IF(B839="TXO","",IF(D839="新倉","",IF(E839="賣",(H839-H838)*G839,(H838-H839)*G839)))</f>
        <v/>
      </c>
      <c r="O839" s="226">
        <f>ABS(I839)</f>
        <v/>
      </c>
      <c r="P839" s="667" t="n"/>
      <c r="Q839" s="249" t="inlineStr">
        <is>
          <t>技法: 刺補</t>
        </is>
      </c>
      <c r="R839" s="249" t="inlineStr">
        <is>
          <t>Yes</t>
        </is>
      </c>
      <c r="S839" s="249" t="n"/>
      <c r="T839" s="61">
        <f>IF(AND(R839="Yes",S839&lt;&gt;"Yes",L839&gt;0,B839&lt;&gt;"TXO"),L839,"")</f>
        <v/>
      </c>
      <c r="U839" s="61">
        <f>IF(AND(R839="Yes",S839&lt;&gt;"Yes",L839&lt;0,B839&lt;&gt;"TXO"),L839,"")</f>
        <v/>
      </c>
      <c r="V839" s="61">
        <f>IF(AND(R839="",S839&lt;&gt;"Yes",L839&gt;0,B839&lt;&gt;"TXO"),L839,"")</f>
        <v/>
      </c>
      <c r="W839" s="61">
        <f>IF(AND(R839="",S839&lt;&gt;"Yes",L839&lt;0,B839&lt;&gt;"TXO"),L839,"")</f>
        <v/>
      </c>
      <c r="X839" s="226">
        <f>IF(AND(R839="Yes",S839="Yes",L839&gt;0,B839&lt;&gt;"TXO"),L839,"")</f>
        <v/>
      </c>
      <c r="Y839" s="226">
        <f>IF(AND(R839="Yes",S839="Yes",L839&lt;0,B839&lt;&gt;"TXO"),L839,"")</f>
        <v/>
      </c>
      <c r="Z839" s="226">
        <f>IF(AND(R839="",S839="Yes",L839&gt;0,B839&lt;&gt;"TXO"),L839,"")</f>
        <v/>
      </c>
      <c r="AA839" s="226">
        <f>IF(AND(R839="",S839="Yes",L839&lt;0,B839&lt;&gt;"TXO"),L839,"")</f>
        <v/>
      </c>
    </row>
    <row r="840" hidden="1" outlineLevel="2" collapsed="1" ht="17.25" customHeight="1" thickBot="1">
      <c r="A840" s="740" t="n">
        <v>43371</v>
      </c>
      <c r="B840" s="299" t="inlineStr">
        <is>
          <t>FIMTX</t>
        </is>
      </c>
      <c r="C840" s="300" t="inlineStr">
        <is>
          <t>小指10</t>
        </is>
      </c>
      <c r="D840" s="300" t="inlineStr">
        <is>
          <t>新倉</t>
        </is>
      </c>
      <c r="E840" s="301" t="inlineStr">
        <is>
          <t>賣</t>
        </is>
      </c>
      <c r="F840" s="300" t="inlineStr">
        <is>
          <t>-</t>
        </is>
      </c>
      <c r="G840" s="741" t="n">
        <v>1</v>
      </c>
      <c r="H840" s="741" t="n">
        <v>11016</v>
      </c>
      <c r="I840" s="741" t="n">
        <v>0</v>
      </c>
      <c r="J840" s="742" t="n">
        <v>23</v>
      </c>
      <c r="K840" s="742" t="n">
        <v>11</v>
      </c>
      <c r="L840" s="742">
        <f>IF(B840="TXO",I840-SUM(J840:K840),IF(B840="FITX",IF(D840="新倉",-SUM(J840:K840),IF(E840="賣",(H840-H839)*G840*200-SUM(J840:K840),(H839-H840)*G840*200-SUM(J840:K840))),IF(D840="新倉",-SUM(J840:K840),IF(E840="賣",(H840-H839)*G840*50-SUM(J840:K840),(H839-H840)*G840*50-SUM(J840:K840)))))</f>
        <v/>
      </c>
      <c r="M840" s="743">
        <f>L840</f>
        <v/>
      </c>
      <c r="N840" s="686">
        <f>IF(B840="TXO","",IF(D840="新倉","",IF(E840="賣",(H840-H839)*G840,(H839-H840)*G840)))</f>
        <v/>
      </c>
      <c r="O840" s="226">
        <f>ABS(I840)</f>
        <v/>
      </c>
      <c r="P840" s="667" t="n"/>
      <c r="R840" s="249" t="inlineStr">
        <is>
          <t>Yes</t>
        </is>
      </c>
      <c r="S840" s="249" t="n"/>
      <c r="T840" s="61">
        <f>IF(AND(R840="Yes",S840&lt;&gt;"Yes",L840&gt;0,B840&lt;&gt;"TXO"),L840,"")</f>
        <v/>
      </c>
      <c r="U840" s="61">
        <f>IF(AND(R840="Yes",S840&lt;&gt;"Yes",L840&lt;0,B840&lt;&gt;"TXO"),L840,"")</f>
        <v/>
      </c>
      <c r="V840" s="61">
        <f>IF(AND(R840="",S840&lt;&gt;"Yes",L840&gt;0,B840&lt;&gt;"TXO"),L840,"")</f>
        <v/>
      </c>
      <c r="W840" s="61">
        <f>IF(AND(R840="",S840&lt;&gt;"Yes",L840&lt;0,B840&lt;&gt;"TXO"),L840,"")</f>
        <v/>
      </c>
      <c r="X840" s="226">
        <f>IF(AND(R840="Yes",S840="Yes",L840&gt;0,B840&lt;&gt;"TXO"),L840,"")</f>
        <v/>
      </c>
      <c r="Y840" s="226">
        <f>IF(AND(R840="Yes",S840="Yes",L840&lt;0,B840&lt;&gt;"TXO"),L840,"")</f>
        <v/>
      </c>
      <c r="Z840" s="226">
        <f>IF(AND(R840="",S840="Yes",L840&gt;0,B840&lt;&gt;"TXO"),L840,"")</f>
        <v/>
      </c>
      <c r="AA840" s="226">
        <f>IF(AND(R840="",S840="Yes",L840&lt;0,B840&lt;&gt;"TXO"),L840,"")</f>
        <v/>
      </c>
    </row>
    <row r="841" hidden="1" outlineLevel="2" ht="50.25" customHeight="1" thickBot="1">
      <c r="A841" s="740" t="n">
        <v>43371</v>
      </c>
      <c r="B841" s="299" t="inlineStr">
        <is>
          <t>FIMTX</t>
        </is>
      </c>
      <c r="C841" s="300" t="inlineStr">
        <is>
          <t>小指10</t>
        </is>
      </c>
      <c r="D841" s="300" t="inlineStr">
        <is>
          <t>平倉</t>
        </is>
      </c>
      <c r="E841" s="301" t="inlineStr">
        <is>
          <t>買</t>
        </is>
      </c>
      <c r="F841" s="300" t="inlineStr">
        <is>
          <t>-</t>
        </is>
      </c>
      <c r="G841" s="741" t="n">
        <v>1</v>
      </c>
      <c r="H841" s="741" t="n">
        <v>10985</v>
      </c>
      <c r="I841" s="741" t="n">
        <v>0</v>
      </c>
      <c r="J841" s="742" t="n">
        <v>23</v>
      </c>
      <c r="K841" s="742" t="n">
        <v>11</v>
      </c>
      <c r="L841" s="742">
        <f>IF(B841="TXO",I841-SUM(J841:K841),IF(B841="FITX",IF(D841="新倉",-SUM(J841:K841),IF(E841="賣",(H841-H840)*G841*200-SUM(J841:K841),(H840-H841)*G841*200-SUM(J841:K841))),IF(D841="新倉",-SUM(J841:K841),IF(E841="賣",(H841-H840)*G841*50-SUM(J841:K841),(H840-H841)*G841*50-SUM(J841:K841)))))</f>
        <v/>
      </c>
      <c r="M841" s="743">
        <f>L841</f>
        <v/>
      </c>
      <c r="N841" s="686">
        <f>IF(B841="TXO","",IF(D841="新倉","",IF(E841="賣",(H841-H840)*G841,(H840-H841)*G841)))</f>
        <v/>
      </c>
      <c r="O841" s="226">
        <f>ABS(I841)</f>
        <v/>
      </c>
      <c r="P841" s="667" t="n"/>
      <c r="Q841" s="249" t="inlineStr">
        <is>
          <t>技法: 移動式停利
(要設觸價單，否則會直接市價單平倉)</t>
        </is>
      </c>
      <c r="R841" s="249" t="inlineStr">
        <is>
          <t>Yes</t>
        </is>
      </c>
      <c r="S841" s="249" t="n"/>
      <c r="T841" s="61">
        <f>IF(AND(R841="Yes",S841&lt;&gt;"Yes",L841&gt;0,B841&lt;&gt;"TXO"),L841,"")</f>
        <v/>
      </c>
      <c r="U841" s="61">
        <f>IF(AND(R841="Yes",S841&lt;&gt;"Yes",L841&lt;0,B841&lt;&gt;"TXO"),L841,"")</f>
        <v/>
      </c>
      <c r="V841" s="61">
        <f>IF(AND(R841="",S841&lt;&gt;"Yes",L841&gt;0,B841&lt;&gt;"TXO"),L841,"")</f>
        <v/>
      </c>
      <c r="W841" s="61">
        <f>IF(AND(R841="",S841&lt;&gt;"Yes",L841&lt;0,B841&lt;&gt;"TXO"),L841,"")</f>
        <v/>
      </c>
      <c r="X841" s="226">
        <f>IF(AND(R841="Yes",S841="Yes",L841&gt;0,B841&lt;&gt;"TXO"),L841,"")</f>
        <v/>
      </c>
      <c r="Y841" s="226">
        <f>IF(AND(R841="Yes",S841="Yes",L841&lt;0,B841&lt;&gt;"TXO"),L841,"")</f>
        <v/>
      </c>
      <c r="Z841" s="226">
        <f>IF(AND(R841="",S841="Yes",L841&gt;0,B841&lt;&gt;"TXO"),L841,"")</f>
        <v/>
      </c>
      <c r="AA841" s="226">
        <f>IF(AND(R841="",S841="Yes",L841&lt;0,B841&lt;&gt;"TXO"),L841,"")</f>
        <v/>
      </c>
    </row>
    <row r="842" hidden="1" outlineLevel="2" collapsed="1" ht="17.25" customHeight="1" thickBot="1">
      <c r="A842" s="740" t="n">
        <v>43371</v>
      </c>
      <c r="B842" s="299" t="inlineStr">
        <is>
          <t>FIMTX</t>
        </is>
      </c>
      <c r="C842" s="300" t="inlineStr">
        <is>
          <t>小指10</t>
        </is>
      </c>
      <c r="D842" s="300" t="inlineStr">
        <is>
          <t>新倉</t>
        </is>
      </c>
      <c r="E842" s="301" t="inlineStr">
        <is>
          <t>賣</t>
        </is>
      </c>
      <c r="F842" s="300" t="inlineStr">
        <is>
          <t>-</t>
        </is>
      </c>
      <c r="G842" s="741" t="n">
        <v>1</v>
      </c>
      <c r="H842" s="741" t="n">
        <v>11016</v>
      </c>
      <c r="I842" s="741" t="n">
        <v>0</v>
      </c>
      <c r="J842" s="742" t="n">
        <v>23</v>
      </c>
      <c r="K842" s="742" t="n">
        <v>11</v>
      </c>
      <c r="L842" s="742">
        <f>IF(B842="TXO",I842-SUM(J842:K842),IF(B842="FITX",IF(D842="新倉",-SUM(J842:K842),IF(E842="賣",(H842-H841)*G842*200-SUM(J842:K842),(H841-H842)*G842*200-SUM(J842:K842))),IF(D842="新倉",-SUM(J842:K842),IF(E842="賣",(H842-H841)*G842*50-SUM(J842:K842),(H841-H842)*G842*50-SUM(J842:K842)))))</f>
        <v/>
      </c>
      <c r="M842" s="743">
        <f>L842</f>
        <v/>
      </c>
      <c r="N842" s="686">
        <f>IF(B842="TXO","",IF(D842="新倉","",IF(E842="賣",(H842-H841)*G842,(H841-H842)*G842)))</f>
        <v/>
      </c>
      <c r="O842" s="226">
        <f>ABS(I842)</f>
        <v/>
      </c>
      <c r="P842" s="667" t="n"/>
      <c r="R842" s="249" t="inlineStr">
        <is>
          <t>Yes</t>
        </is>
      </c>
      <c r="S842" s="249" t="n"/>
      <c r="T842" s="61">
        <f>IF(AND(R842="Yes",S842&lt;&gt;"Yes",L842&gt;0,B842&lt;&gt;"TXO"),L842,"")</f>
        <v/>
      </c>
      <c r="U842" s="61">
        <f>IF(AND(R842="Yes",S842&lt;&gt;"Yes",L842&lt;0,B842&lt;&gt;"TXO"),L842,"")</f>
        <v/>
      </c>
      <c r="V842" s="61">
        <f>IF(AND(R842="",S842&lt;&gt;"Yes",L842&gt;0,B842&lt;&gt;"TXO"),L842,"")</f>
        <v/>
      </c>
      <c r="W842" s="61">
        <f>IF(AND(R842="",S842&lt;&gt;"Yes",L842&lt;0,B842&lt;&gt;"TXO"),L842,"")</f>
        <v/>
      </c>
      <c r="X842" s="226">
        <f>IF(AND(R842="Yes",S842="Yes",L842&gt;0,B842&lt;&gt;"TXO"),L842,"")</f>
        <v/>
      </c>
      <c r="Y842" s="226">
        <f>IF(AND(R842="Yes",S842="Yes",L842&lt;0,B842&lt;&gt;"TXO"),L842,"")</f>
        <v/>
      </c>
      <c r="Z842" s="226">
        <f>IF(AND(R842="",S842="Yes",L842&gt;0,B842&lt;&gt;"TXO"),L842,"")</f>
        <v/>
      </c>
      <c r="AA842" s="226">
        <f>IF(AND(R842="",S842="Yes",L842&lt;0,B842&lt;&gt;"TXO"),L842,"")</f>
        <v/>
      </c>
    </row>
    <row r="843" hidden="1" outlineLevel="2" ht="17.25" customHeight="1" thickBot="1">
      <c r="A843" s="740" t="n">
        <v>43371</v>
      </c>
      <c r="B843" s="299" t="inlineStr">
        <is>
          <t>FIMTX</t>
        </is>
      </c>
      <c r="C843" s="300" t="inlineStr">
        <is>
          <t>小指10</t>
        </is>
      </c>
      <c r="D843" s="300" t="inlineStr">
        <is>
          <t>平倉</t>
        </is>
      </c>
      <c r="E843" s="301" t="inlineStr">
        <is>
          <t>買</t>
        </is>
      </c>
      <c r="F843" s="300" t="inlineStr">
        <is>
          <t>-</t>
        </is>
      </c>
      <c r="G843" s="741" t="n">
        <v>1</v>
      </c>
      <c r="H843" s="741" t="n">
        <v>10990</v>
      </c>
      <c r="I843" s="741" t="n">
        <v>0</v>
      </c>
      <c r="J843" s="742" t="n">
        <v>23</v>
      </c>
      <c r="K843" s="742" t="n">
        <v>11</v>
      </c>
      <c r="L843" s="742">
        <f>IF(B843="TXO",I843-SUM(J843:K843),IF(B843="FITX",IF(D843="新倉",-SUM(J843:K843),IF(E843="賣",(H843-H842)*G843*200-SUM(J843:K843),(H842-H843)*G843*200-SUM(J843:K843))),IF(D843="新倉",-SUM(J843:K843),IF(E843="賣",(H843-H842)*G843*50-SUM(J843:K843),(H842-H843)*G843*50-SUM(J843:K843)))))</f>
        <v/>
      </c>
      <c r="M843" s="743">
        <f>L843</f>
        <v/>
      </c>
      <c r="N843" s="686">
        <f>IF(B843="TXO","",IF(D843="新倉","",IF(E843="賣",(H843-H842)*G843,(H842-H843)*G843)))</f>
        <v/>
      </c>
      <c r="O843" s="226">
        <f>ABS(I843)</f>
        <v/>
      </c>
      <c r="P843" s="667" t="n"/>
      <c r="Q843" s="249" t="inlineStr">
        <is>
          <t>技法: 移動式停利</t>
        </is>
      </c>
      <c r="R843" s="249" t="inlineStr">
        <is>
          <t>Yes</t>
        </is>
      </c>
      <c r="S843" s="249" t="n"/>
      <c r="T843" s="61">
        <f>IF(AND(R843="Yes",S843&lt;&gt;"Yes",L843&gt;0,B843&lt;&gt;"TXO"),L843,"")</f>
        <v/>
      </c>
      <c r="U843" s="61">
        <f>IF(AND(R843="Yes",S843&lt;&gt;"Yes",L843&lt;0,B843&lt;&gt;"TXO"),L843,"")</f>
        <v/>
      </c>
      <c r="V843" s="61">
        <f>IF(AND(R843="",S843&lt;&gt;"Yes",L843&gt;0,B843&lt;&gt;"TXO"),L843,"")</f>
        <v/>
      </c>
      <c r="W843" s="61">
        <f>IF(AND(R843="",S843&lt;&gt;"Yes",L843&lt;0,B843&lt;&gt;"TXO"),L843,"")</f>
        <v/>
      </c>
      <c r="X843" s="226">
        <f>IF(AND(R843="Yes",S843="Yes",L843&gt;0,B843&lt;&gt;"TXO"),L843,"")</f>
        <v/>
      </c>
      <c r="Y843" s="226">
        <f>IF(AND(R843="Yes",S843="Yes",L843&lt;0,B843&lt;&gt;"TXO"),L843,"")</f>
        <v/>
      </c>
      <c r="Z843" s="226">
        <f>IF(AND(R843="",S843="Yes",L843&gt;0,B843&lt;&gt;"TXO"),L843,"")</f>
        <v/>
      </c>
      <c r="AA843" s="226">
        <f>IF(AND(R843="",S843="Yes",L843&lt;0,B843&lt;&gt;"TXO"),L843,"")</f>
        <v/>
      </c>
    </row>
    <row r="844" hidden="1" outlineLevel="2" collapsed="1" ht="17.25" customHeight="1" thickBot="1">
      <c r="A844" s="740" t="n">
        <v>43371</v>
      </c>
      <c r="B844" s="299" t="inlineStr">
        <is>
          <t>FIMTX</t>
        </is>
      </c>
      <c r="C844" s="300" t="inlineStr">
        <is>
          <t>小指10</t>
        </is>
      </c>
      <c r="D844" s="300" t="inlineStr">
        <is>
          <t>新倉</t>
        </is>
      </c>
      <c r="E844" s="301" t="inlineStr">
        <is>
          <t>賣</t>
        </is>
      </c>
      <c r="F844" s="300" t="inlineStr">
        <is>
          <t>-</t>
        </is>
      </c>
      <c r="G844" s="741" t="n">
        <v>1</v>
      </c>
      <c r="H844" s="741" t="n">
        <v>10973</v>
      </c>
      <c r="I844" s="741" t="n">
        <v>0</v>
      </c>
      <c r="J844" s="742" t="n">
        <v>23</v>
      </c>
      <c r="K844" s="742" t="n">
        <v>11</v>
      </c>
      <c r="L844" s="742">
        <f>IF(B844="TXO",I844-SUM(J844:K844),IF(B844="FITX",IF(D844="新倉",-SUM(J844:K844),IF(E844="賣",(H844-H843)*G844*200-SUM(J844:K844),(H843-H844)*G844*200-SUM(J844:K844))),IF(D844="新倉",-SUM(J844:K844),IF(E844="賣",(H844-H843)*G844*50-SUM(J844:K844),(H843-H844)*G844*50-SUM(J844:K844)))))</f>
        <v/>
      </c>
      <c r="M844" s="743">
        <f>L844</f>
        <v/>
      </c>
      <c r="N844" s="686">
        <f>IF(B844="TXO","",IF(D844="新倉","",IF(E844="賣",(H844-H843)*G844,(H843-H844)*G844)))</f>
        <v/>
      </c>
      <c r="O844" s="226">
        <f>ABS(I844)</f>
        <v/>
      </c>
      <c r="P844" s="667" t="n"/>
      <c r="Q844" s="311" t="inlineStr">
        <is>
          <t>急殺，追單</t>
        </is>
      </c>
      <c r="S844" s="249" t="n"/>
      <c r="T844" s="61">
        <f>IF(AND(R844="Yes",S844&lt;&gt;"Yes",L844&gt;0,B844&lt;&gt;"TXO"),L844,"")</f>
        <v/>
      </c>
      <c r="U844" s="61">
        <f>IF(AND(R844="Yes",S844&lt;&gt;"Yes",L844&lt;0,B844&lt;&gt;"TXO"),L844,"")</f>
        <v/>
      </c>
      <c r="V844" s="61">
        <f>IF(AND(R844="",S844&lt;&gt;"Yes",L844&gt;0,B844&lt;&gt;"TXO"),L844,"")</f>
        <v/>
      </c>
      <c r="W844" s="61">
        <f>IF(AND(R844="",S844&lt;&gt;"Yes",L844&lt;0,B844&lt;&gt;"TXO"),L844,"")</f>
        <v/>
      </c>
      <c r="X844" s="226">
        <f>IF(AND(R844="Yes",S844="Yes",L844&gt;0,B844&lt;&gt;"TXO"),L844,"")</f>
        <v/>
      </c>
      <c r="Y844" s="226">
        <f>IF(AND(R844="Yes",S844="Yes",L844&lt;0,B844&lt;&gt;"TXO"),L844,"")</f>
        <v/>
      </c>
      <c r="Z844" s="226">
        <f>IF(AND(R844="",S844="Yes",L844&gt;0,B844&lt;&gt;"TXO"),L844,"")</f>
        <v/>
      </c>
      <c r="AA844" s="226">
        <f>IF(AND(R844="",S844="Yes",L844&lt;0,B844&lt;&gt;"TXO"),L844,"")</f>
        <v/>
      </c>
    </row>
    <row r="845" hidden="1" outlineLevel="2" ht="17.25" customHeight="1" thickBot="1">
      <c r="A845" s="740" t="n">
        <v>43371</v>
      </c>
      <c r="B845" s="299" t="inlineStr">
        <is>
          <t>FIMTX</t>
        </is>
      </c>
      <c r="C845" s="300" t="inlineStr">
        <is>
          <t>小指10</t>
        </is>
      </c>
      <c r="D845" s="300" t="inlineStr">
        <is>
          <t>平倉</t>
        </is>
      </c>
      <c r="E845" s="301" t="inlineStr">
        <is>
          <t>買</t>
        </is>
      </c>
      <c r="F845" s="300" t="inlineStr">
        <is>
          <t>-</t>
        </is>
      </c>
      <c r="G845" s="741" t="n">
        <v>1</v>
      </c>
      <c r="H845" s="741" t="n">
        <v>10946</v>
      </c>
      <c r="I845" s="741" t="n">
        <v>0</v>
      </c>
      <c r="J845" s="742" t="n">
        <v>23</v>
      </c>
      <c r="K845" s="742" t="n">
        <v>11</v>
      </c>
      <c r="L845" s="742">
        <f>IF(B845="TXO",I845-SUM(J845:K845),IF(B845="FITX",IF(D845="新倉",-SUM(J845:K845),IF(E845="賣",(H845-H844)*G845*200-SUM(J845:K845),(H844-H845)*G845*200-SUM(J845:K845))),IF(D845="新倉",-SUM(J845:K845),IF(E845="賣",(H845-H844)*G845*50-SUM(J845:K845),(H844-H845)*G845*50-SUM(J845:K845)))))</f>
        <v/>
      </c>
      <c r="M845" s="743">
        <f>L845</f>
        <v/>
      </c>
      <c r="N845" s="686">
        <f>IF(B845="TXO","",IF(D845="新倉","",IF(E845="賣",(H845-H844)*G845,(H844-H845)*G845)))</f>
        <v/>
      </c>
      <c r="O845" s="226">
        <f>ABS(I845)</f>
        <v/>
      </c>
      <c r="P845" s="667" t="n"/>
      <c r="Q845" s="311" t="inlineStr">
        <is>
          <t>元大移動式停利</t>
        </is>
      </c>
      <c r="S845" s="249" t="n"/>
      <c r="T845" s="61">
        <f>IF(AND(R845="Yes",S845&lt;&gt;"Yes",L845&gt;0,B845&lt;&gt;"TXO"),L845,"")</f>
        <v/>
      </c>
      <c r="U845" s="61">
        <f>IF(AND(R845="Yes",S845&lt;&gt;"Yes",L845&lt;0,B845&lt;&gt;"TXO"),L845,"")</f>
        <v/>
      </c>
      <c r="V845" s="61">
        <f>IF(AND(R845="",S845&lt;&gt;"Yes",L845&gt;0,B845&lt;&gt;"TXO"),L845,"")</f>
        <v/>
      </c>
      <c r="W845" s="61">
        <f>IF(AND(R845="",S845&lt;&gt;"Yes",L845&lt;0,B845&lt;&gt;"TXO"),L845,"")</f>
        <v/>
      </c>
      <c r="X845" s="226">
        <f>IF(AND(R845="Yes",S845="Yes",L845&gt;0,B845&lt;&gt;"TXO"),L845,"")</f>
        <v/>
      </c>
      <c r="Y845" s="226">
        <f>IF(AND(R845="Yes",S845="Yes",L845&lt;0,B845&lt;&gt;"TXO"),L845,"")</f>
        <v/>
      </c>
      <c r="Z845" s="226">
        <f>IF(AND(R845="",S845="Yes",L845&gt;0,B845&lt;&gt;"TXO"),L845,"")</f>
        <v/>
      </c>
      <c r="AA845" s="226">
        <f>IF(AND(R845="",S845="Yes",L845&lt;0,B845&lt;&gt;"TXO"),L845,"")</f>
        <v/>
      </c>
    </row>
    <row r="846" hidden="1" outlineLevel="2" collapsed="1" ht="17.25" customHeight="1" thickBot="1">
      <c r="A846" s="740" t="n">
        <v>43371</v>
      </c>
      <c r="B846" s="299" t="inlineStr">
        <is>
          <t>FIMTX</t>
        </is>
      </c>
      <c r="C846" s="300" t="inlineStr">
        <is>
          <t>小指10</t>
        </is>
      </c>
      <c r="D846" s="300" t="inlineStr">
        <is>
          <t>新倉</t>
        </is>
      </c>
      <c r="E846" s="301" t="inlineStr">
        <is>
          <t>賣</t>
        </is>
      </c>
      <c r="F846" s="300" t="inlineStr">
        <is>
          <t>-</t>
        </is>
      </c>
      <c r="G846" s="741" t="n">
        <v>1</v>
      </c>
      <c r="H846" s="741" t="n">
        <v>10946</v>
      </c>
      <c r="I846" s="741" t="n">
        <v>0</v>
      </c>
      <c r="J846" s="742" t="n">
        <v>23</v>
      </c>
      <c r="K846" s="742" t="n">
        <v>11</v>
      </c>
      <c r="L846" s="742">
        <f>IF(B846="TXO",I846-SUM(J846:K846),IF(B846="FITX",IF(D846="新倉",-SUM(J846:K846),IF(E846="賣",(H846-H845)*G846*200-SUM(J846:K846),(H845-H846)*G846*200-SUM(J846:K846))),IF(D846="新倉",-SUM(J846:K846),IF(E846="賣",(H846-H845)*G846*50-SUM(J846:K846),(H845-H846)*G846*50-SUM(J846:K846)))))</f>
        <v/>
      </c>
      <c r="M846" s="743">
        <f>L846</f>
        <v/>
      </c>
      <c r="N846" s="686">
        <f>IF(B846="TXO","",IF(D846="新倉","",IF(E846="賣",(H846-H845)*G846,(H845-H846)*G846)))</f>
        <v/>
      </c>
      <c r="O846" s="226">
        <f>ABS(I846)</f>
        <v/>
      </c>
      <c r="P846" s="667" t="n"/>
      <c r="Q846" s="311" t="inlineStr">
        <is>
          <t>急殺，追單，手連點，下了兩口</t>
        </is>
      </c>
      <c r="S846" s="249" t="n"/>
      <c r="T846" s="61">
        <f>IF(AND(R846="Yes",S846&lt;&gt;"Yes",L846&gt;0,B846&lt;&gt;"TXO"),L846,"")</f>
        <v/>
      </c>
      <c r="U846" s="61">
        <f>IF(AND(R846="Yes",S846&lt;&gt;"Yes",L846&lt;0,B846&lt;&gt;"TXO"),L846,"")</f>
        <v/>
      </c>
      <c r="V846" s="61">
        <f>IF(AND(R846="",S846&lt;&gt;"Yes",L846&gt;0,B846&lt;&gt;"TXO"),L846,"")</f>
        <v/>
      </c>
      <c r="W846" s="61">
        <f>IF(AND(R846="",S846&lt;&gt;"Yes",L846&lt;0,B846&lt;&gt;"TXO"),L846,"")</f>
        <v/>
      </c>
      <c r="X846" s="226">
        <f>IF(AND(R846="Yes",S846="Yes",L846&gt;0,B846&lt;&gt;"TXO"),L846,"")</f>
        <v/>
      </c>
      <c r="Y846" s="226">
        <f>IF(AND(R846="Yes",S846="Yes",L846&lt;0,B846&lt;&gt;"TXO"),L846,"")</f>
        <v/>
      </c>
      <c r="Z846" s="226">
        <f>IF(AND(R846="",S846="Yes",L846&gt;0,B846&lt;&gt;"TXO"),L846,"")</f>
        <v/>
      </c>
      <c r="AA846" s="226">
        <f>IF(AND(R846="",S846="Yes",L846&lt;0,B846&lt;&gt;"TXO"),L846,"")</f>
        <v/>
      </c>
    </row>
    <row r="847" hidden="1" outlineLevel="2" ht="17.25" customHeight="1" thickBot="1">
      <c r="A847" s="740" t="n">
        <v>43371</v>
      </c>
      <c r="B847" s="299" t="inlineStr">
        <is>
          <t>FIMTX</t>
        </is>
      </c>
      <c r="C847" s="300" t="inlineStr">
        <is>
          <t>小指10</t>
        </is>
      </c>
      <c r="D847" s="300" t="inlineStr">
        <is>
          <t>平倉</t>
        </is>
      </c>
      <c r="E847" s="301" t="inlineStr">
        <is>
          <t>買</t>
        </is>
      </c>
      <c r="F847" s="300" t="inlineStr">
        <is>
          <t>-</t>
        </is>
      </c>
      <c r="G847" s="741" t="n">
        <v>1</v>
      </c>
      <c r="H847" s="741" t="n">
        <v>10955</v>
      </c>
      <c r="I847" s="741" t="n">
        <v>0</v>
      </c>
      <c r="J847" s="742" t="n">
        <v>23</v>
      </c>
      <c r="K847" s="742" t="n">
        <v>11</v>
      </c>
      <c r="L847" s="742">
        <f>IF(B847="TXO",I847-SUM(J847:K847),IF(B847="FITX",IF(D847="新倉",-SUM(J847:K847),IF(E847="賣",(H847-H846)*G847*200-SUM(J847:K847),(H846-H847)*G847*200-SUM(J847:K847))),IF(D847="新倉",-SUM(J847:K847),IF(E847="賣",(H847-H846)*G847*50-SUM(J847:K847),(H846-H847)*G847*50-SUM(J847:K847)))))</f>
        <v/>
      </c>
      <c r="M847" s="743">
        <f>L847</f>
        <v/>
      </c>
      <c r="N847" s="686">
        <f>IF(B847="TXO","",IF(D847="新倉","",IF(E847="賣",(H847-H846)*G847,(H846-H847)*G847)))</f>
        <v/>
      </c>
      <c r="O847" s="226">
        <f>ABS(I847)</f>
        <v/>
      </c>
      <c r="P847" s="667" t="n"/>
      <c r="Q847" s="311" t="inlineStr">
        <is>
          <t>先停損一口</t>
        </is>
      </c>
      <c r="S847" s="249" t="n"/>
      <c r="T847" s="61">
        <f>IF(AND(R847="Yes",S847&lt;&gt;"Yes",L847&gt;0,B847&lt;&gt;"TXO"),L847,"")</f>
        <v/>
      </c>
      <c r="U847" s="61">
        <f>IF(AND(R847="Yes",S847&lt;&gt;"Yes",L847&lt;0,B847&lt;&gt;"TXO"),L847,"")</f>
        <v/>
      </c>
      <c r="V847" s="61">
        <f>IF(AND(R847="",S847&lt;&gt;"Yes",L847&gt;0,B847&lt;&gt;"TXO"),L847,"")</f>
        <v/>
      </c>
      <c r="W847" s="61">
        <f>IF(AND(R847="",S847&lt;&gt;"Yes",L847&lt;0,B847&lt;&gt;"TXO"),L847,"")</f>
        <v/>
      </c>
      <c r="X847" s="226">
        <f>IF(AND(R847="Yes",S847="Yes",L847&gt;0,B847&lt;&gt;"TXO"),L847,"")</f>
        <v/>
      </c>
      <c r="Y847" s="226">
        <f>IF(AND(R847="Yes",S847="Yes",L847&lt;0,B847&lt;&gt;"TXO"),L847,"")</f>
        <v/>
      </c>
      <c r="Z847" s="226">
        <f>IF(AND(R847="",S847="Yes",L847&gt;0,B847&lt;&gt;"TXO"),L847,"")</f>
        <v/>
      </c>
      <c r="AA847" s="226">
        <f>IF(AND(R847="",S847="Yes",L847&lt;0,B847&lt;&gt;"TXO"),L847,"")</f>
        <v/>
      </c>
    </row>
    <row r="848" hidden="1" outlineLevel="2" collapsed="1" ht="17.25" customHeight="1" thickBot="1">
      <c r="A848" s="740" t="n">
        <v>43371</v>
      </c>
      <c r="B848" s="299" t="inlineStr">
        <is>
          <t>FIMTX</t>
        </is>
      </c>
      <c r="C848" s="300" t="inlineStr">
        <is>
          <t>小指10</t>
        </is>
      </c>
      <c r="D848" s="300" t="inlineStr">
        <is>
          <t>新倉</t>
        </is>
      </c>
      <c r="E848" s="301" t="inlineStr">
        <is>
          <t>賣</t>
        </is>
      </c>
      <c r="F848" s="300" t="inlineStr">
        <is>
          <t>-</t>
        </is>
      </c>
      <c r="G848" s="741" t="n">
        <v>1</v>
      </c>
      <c r="H848" s="741" t="n">
        <v>10946</v>
      </c>
      <c r="I848" s="741" t="n">
        <v>0</v>
      </c>
      <c r="J848" s="742" t="n">
        <v>23</v>
      </c>
      <c r="K848" s="742" t="n">
        <v>11</v>
      </c>
      <c r="L848" s="742">
        <f>IF(B848="TXO",I848-SUM(J848:K848),IF(B848="FITX",IF(D848="新倉",-SUM(J848:K848),IF(E848="賣",(H848-H847)*G848*200-SUM(J848:K848),(H847-H848)*G848*200-SUM(J848:K848))),IF(D848="新倉",-SUM(J848:K848),IF(E848="賣",(H848-H847)*G848*50-SUM(J848:K848),(H847-H848)*G848*50-SUM(J848:K848)))))</f>
        <v/>
      </c>
      <c r="M848" s="743">
        <f>L848</f>
        <v/>
      </c>
      <c r="N848" s="686">
        <f>IF(B848="TXO","",IF(D848="新倉","",IF(E848="賣",(H848-H847)*G848,(H847-H848)*G848)))</f>
        <v/>
      </c>
      <c r="O848" s="226">
        <f>ABS(I848)</f>
        <v/>
      </c>
      <c r="P848" s="667" t="n"/>
      <c r="Q848" s="317" t="n"/>
      <c r="S848" s="249" t="n"/>
      <c r="T848" s="61">
        <f>IF(AND(R848="Yes",S848&lt;&gt;"Yes",L848&gt;0,B848&lt;&gt;"TXO"),L848,"")</f>
        <v/>
      </c>
      <c r="U848" s="61">
        <f>IF(AND(R848="Yes",S848&lt;&gt;"Yes",L848&lt;0,B848&lt;&gt;"TXO"),L848,"")</f>
        <v/>
      </c>
      <c r="V848" s="61">
        <f>IF(AND(R848="",S848&lt;&gt;"Yes",L848&gt;0,B848&lt;&gt;"TXO"),L848,"")</f>
        <v/>
      </c>
      <c r="W848" s="61">
        <f>IF(AND(R848="",S848&lt;&gt;"Yes",L848&lt;0,B848&lt;&gt;"TXO"),L848,"")</f>
        <v/>
      </c>
      <c r="X848" s="226">
        <f>IF(AND(R848="Yes",S848="Yes",L848&gt;0,B848&lt;&gt;"TXO"),L848,"")</f>
        <v/>
      </c>
      <c r="Y848" s="226">
        <f>IF(AND(R848="Yes",S848="Yes",L848&lt;0,B848&lt;&gt;"TXO"),L848,"")</f>
        <v/>
      </c>
      <c r="Z848" s="226">
        <f>IF(AND(R848="",S848="Yes",L848&gt;0,B848&lt;&gt;"TXO"),L848,"")</f>
        <v/>
      </c>
      <c r="AA848" s="226">
        <f>IF(AND(R848="",S848="Yes",L848&lt;0,B848&lt;&gt;"TXO"),L848,"")</f>
        <v/>
      </c>
    </row>
    <row r="849" hidden="1" outlineLevel="2" ht="17.25" customHeight="1" thickBot="1">
      <c r="A849" s="740" t="n">
        <v>43371</v>
      </c>
      <c r="B849" s="299" t="inlineStr">
        <is>
          <t>FIMTX</t>
        </is>
      </c>
      <c r="C849" s="300" t="inlineStr">
        <is>
          <t>小指10</t>
        </is>
      </c>
      <c r="D849" s="300" t="inlineStr">
        <is>
          <t>平倉</t>
        </is>
      </c>
      <c r="E849" s="301" t="inlineStr">
        <is>
          <t>買</t>
        </is>
      </c>
      <c r="F849" s="300" t="inlineStr">
        <is>
          <t>-</t>
        </is>
      </c>
      <c r="G849" s="741" t="n">
        <v>1</v>
      </c>
      <c r="H849" s="741" t="n">
        <v>10954</v>
      </c>
      <c r="I849" s="741" t="n">
        <v>0</v>
      </c>
      <c r="J849" s="742" t="n">
        <v>23</v>
      </c>
      <c r="K849" s="742" t="n">
        <v>11</v>
      </c>
      <c r="L849" s="742">
        <f>IF(B849="TXO",I849-SUM(J849:K849),IF(B849="FITX",IF(D849="新倉",-SUM(J849:K849),IF(E849="賣",(H849-H848)*G849*200-SUM(J849:K849),(H848-H849)*G849*200-SUM(J849:K849))),IF(D849="新倉",-SUM(J849:K849),IF(E849="賣",(H849-H848)*G849*50-SUM(J849:K849),(H848-H849)*G849*50-SUM(J849:K849)))))</f>
        <v/>
      </c>
      <c r="M849" s="743">
        <f>L849</f>
        <v/>
      </c>
      <c r="N849" s="686">
        <f>IF(B849="TXO","",IF(D849="新倉","",IF(E849="賣",(H849-H848)*G849,(H848-H849)*G849)))</f>
        <v/>
      </c>
      <c r="O849" s="226">
        <f>ABS(I849)</f>
        <v/>
      </c>
      <c r="P849" s="667" t="n"/>
      <c r="Q849" s="311" t="inlineStr">
        <is>
          <t>手抖，點到平倉</t>
        </is>
      </c>
      <c r="S849" s="249" t="n"/>
      <c r="T849" s="61">
        <f>IF(AND(R849="Yes",S849&lt;&gt;"Yes",L849&gt;0,B849&lt;&gt;"TXO"),L849,"")</f>
        <v/>
      </c>
      <c r="U849" s="61">
        <f>IF(AND(R849="Yes",S849&lt;&gt;"Yes",L849&lt;0,B849&lt;&gt;"TXO"),L849,"")</f>
        <v/>
      </c>
      <c r="V849" s="61">
        <f>IF(AND(R849="",S849&lt;&gt;"Yes",L849&gt;0,B849&lt;&gt;"TXO"),L849,"")</f>
        <v/>
      </c>
      <c r="W849" s="61">
        <f>IF(AND(R849="",S849&lt;&gt;"Yes",L849&lt;0,B849&lt;&gt;"TXO"),L849,"")</f>
        <v/>
      </c>
      <c r="X849" s="226">
        <f>IF(AND(R849="Yes",S849="Yes",L849&gt;0,B849&lt;&gt;"TXO"),L849,"")</f>
        <v/>
      </c>
      <c r="Y849" s="226">
        <f>IF(AND(R849="Yes",S849="Yes",L849&lt;0,B849&lt;&gt;"TXO"),L849,"")</f>
        <v/>
      </c>
      <c r="Z849" s="226">
        <f>IF(AND(R849="",S849="Yes",L849&gt;0,B849&lt;&gt;"TXO"),L849,"")</f>
        <v/>
      </c>
      <c r="AA849" s="226">
        <f>IF(AND(R849="",S849="Yes",L849&lt;0,B849&lt;&gt;"TXO"),L849,"")</f>
        <v/>
      </c>
    </row>
    <row r="850" hidden="1" outlineLevel="2" collapsed="1" ht="17.25" customHeight="1" thickBot="1">
      <c r="A850" s="740" t="n">
        <v>43371</v>
      </c>
      <c r="B850" s="299" t="inlineStr">
        <is>
          <t>FIMTX</t>
        </is>
      </c>
      <c r="C850" s="300" t="inlineStr">
        <is>
          <t>小指10</t>
        </is>
      </c>
      <c r="D850" s="300" t="inlineStr">
        <is>
          <t>新倉</t>
        </is>
      </c>
      <c r="E850" s="301" t="inlineStr">
        <is>
          <t>賣</t>
        </is>
      </c>
      <c r="F850" s="300" t="inlineStr">
        <is>
          <t>-</t>
        </is>
      </c>
      <c r="G850" s="741" t="n">
        <v>1</v>
      </c>
      <c r="H850" s="741" t="n">
        <v>10952</v>
      </c>
      <c r="I850" s="741" t="n">
        <v>0</v>
      </c>
      <c r="J850" s="742" t="n">
        <v>23</v>
      </c>
      <c r="K850" s="742" t="n">
        <v>11</v>
      </c>
      <c r="L850" s="742">
        <f>IF(B850="TXO",I850-SUM(J850:K850),IF(B850="FITX",IF(D850="新倉",-SUM(J850:K850),IF(E850="賣",(H850-H849)*G850*200-SUM(J850:K850),(H849-H850)*G850*200-SUM(J850:K850))),IF(D850="新倉",-SUM(J850:K850),IF(E850="賣",(H850-H849)*G850*50-SUM(J850:K850),(H849-H850)*G850*50-SUM(J850:K850)))))</f>
        <v/>
      </c>
      <c r="M850" s="743">
        <f>L850</f>
        <v/>
      </c>
      <c r="N850" s="686">
        <f>IF(B850="TXO","",IF(D850="新倉","",IF(E850="賣",(H850-H849)*G850,(H849-H850)*G850)))</f>
        <v/>
      </c>
      <c r="O850" s="226">
        <f>ABS(I850)</f>
        <v/>
      </c>
      <c r="P850" s="667" t="n"/>
      <c r="Q850" s="311" t="inlineStr">
        <is>
          <t>再追單</t>
        </is>
      </c>
      <c r="S850" s="249" t="n"/>
      <c r="T850" s="61">
        <f>IF(AND(R850="Yes",S850&lt;&gt;"Yes",L850&gt;0,B850&lt;&gt;"TXO"),L850,"")</f>
        <v/>
      </c>
      <c r="U850" s="61">
        <f>IF(AND(R850="Yes",S850&lt;&gt;"Yes",L850&lt;0,B850&lt;&gt;"TXO"),L850,"")</f>
        <v/>
      </c>
      <c r="V850" s="61">
        <f>IF(AND(R850="",S850&lt;&gt;"Yes",L850&gt;0,B850&lt;&gt;"TXO"),L850,"")</f>
        <v/>
      </c>
      <c r="W850" s="61">
        <f>IF(AND(R850="",S850&lt;&gt;"Yes",L850&lt;0,B850&lt;&gt;"TXO"),L850,"")</f>
        <v/>
      </c>
      <c r="X850" s="226">
        <f>IF(AND(R850="Yes",S850="Yes",L850&gt;0,B850&lt;&gt;"TXO"),L850,"")</f>
        <v/>
      </c>
      <c r="Y850" s="226">
        <f>IF(AND(R850="Yes",S850="Yes",L850&lt;0,B850&lt;&gt;"TXO"),L850,"")</f>
        <v/>
      </c>
      <c r="Z850" s="226">
        <f>IF(AND(R850="",S850="Yes",L850&gt;0,B850&lt;&gt;"TXO"),L850,"")</f>
        <v/>
      </c>
      <c r="AA850" s="226">
        <f>IF(AND(R850="",S850="Yes",L850&lt;0,B850&lt;&gt;"TXO"),L850,"")</f>
        <v/>
      </c>
    </row>
    <row r="851" hidden="1" outlineLevel="2" ht="17.25" customHeight="1" thickBot="1">
      <c r="A851" s="740" t="n">
        <v>43371</v>
      </c>
      <c r="B851" s="299" t="inlineStr">
        <is>
          <t>FIMTX</t>
        </is>
      </c>
      <c r="C851" s="300" t="inlineStr">
        <is>
          <t>小指10</t>
        </is>
      </c>
      <c r="D851" s="300" t="inlineStr">
        <is>
          <t>平倉</t>
        </is>
      </c>
      <c r="E851" s="301" t="inlineStr">
        <is>
          <t>買</t>
        </is>
      </c>
      <c r="F851" s="300" t="inlineStr">
        <is>
          <t>-</t>
        </is>
      </c>
      <c r="G851" s="741" t="n">
        <v>1</v>
      </c>
      <c r="H851" s="741" t="n">
        <v>10944</v>
      </c>
      <c r="I851" s="741" t="n">
        <v>0</v>
      </c>
      <c r="J851" s="742" t="n">
        <v>23</v>
      </c>
      <c r="K851" s="742" t="n">
        <v>11</v>
      </c>
      <c r="L851" s="742">
        <f>IF(B851="TXO",I851-SUM(J851:K851),IF(B851="FITX",IF(D851="新倉",-SUM(J851:K851),IF(E851="賣",(H851-H850)*G851*200-SUM(J851:K851),(H850-H851)*G851*200-SUM(J851:K851))),IF(D851="新倉",-SUM(J851:K851),IF(E851="賣",(H851-H850)*G851*50-SUM(J851:K851),(H850-H851)*G851*50-SUM(J851:K851)))))</f>
        <v/>
      </c>
      <c r="M851" s="743">
        <f>L851</f>
        <v/>
      </c>
      <c r="N851" s="686">
        <f>IF(B851="TXO","",IF(D851="新倉","",IF(E851="賣",(H851-H850)*G851,(H850-H851)*G851)))</f>
        <v/>
      </c>
      <c r="O851" s="226">
        <f>ABS(I851)</f>
        <v/>
      </c>
      <c r="P851" s="667" t="n"/>
      <c r="Q851" s="311" t="inlineStr">
        <is>
          <t>元大移動式停利</t>
        </is>
      </c>
      <c r="S851" s="249" t="n"/>
      <c r="T851" s="61">
        <f>IF(AND(R851="Yes",S851&lt;&gt;"Yes",L851&gt;0,B851&lt;&gt;"TXO"),L851,"")</f>
        <v/>
      </c>
      <c r="U851" s="61">
        <f>IF(AND(R851="Yes",S851&lt;&gt;"Yes",L851&lt;0,B851&lt;&gt;"TXO"),L851,"")</f>
        <v/>
      </c>
      <c r="V851" s="61">
        <f>IF(AND(R851="",S851&lt;&gt;"Yes",L851&gt;0,B851&lt;&gt;"TXO"),L851,"")</f>
        <v/>
      </c>
      <c r="W851" s="61">
        <f>IF(AND(R851="",S851&lt;&gt;"Yes",L851&lt;0,B851&lt;&gt;"TXO"),L851,"")</f>
        <v/>
      </c>
      <c r="X851" s="226">
        <f>IF(AND(R851="Yes",S851="Yes",L851&gt;0,B851&lt;&gt;"TXO"),L851,"")</f>
        <v/>
      </c>
      <c r="Y851" s="226">
        <f>IF(AND(R851="Yes",S851="Yes",L851&lt;0,B851&lt;&gt;"TXO"),L851,"")</f>
        <v/>
      </c>
      <c r="Z851" s="226">
        <f>IF(AND(R851="",S851="Yes",L851&gt;0,B851&lt;&gt;"TXO"),L851,"")</f>
        <v/>
      </c>
      <c r="AA851" s="226">
        <f>IF(AND(R851="",S851="Yes",L851&lt;0,B851&lt;&gt;"TXO"),L851,"")</f>
        <v/>
      </c>
    </row>
    <row r="852" hidden="1" outlineLevel="2" collapsed="1" ht="17.25" customHeight="1" thickBot="1">
      <c r="A852" s="740" t="n">
        <v>43371</v>
      </c>
      <c r="B852" s="299" t="inlineStr">
        <is>
          <t>FITX</t>
        </is>
      </c>
      <c r="C852" s="300" t="inlineStr">
        <is>
          <t>台指10</t>
        </is>
      </c>
      <c r="D852" s="300" t="inlineStr">
        <is>
          <t>新倉</t>
        </is>
      </c>
      <c r="E852" s="301" t="inlineStr">
        <is>
          <t>賣</t>
        </is>
      </c>
      <c r="F852" s="300" t="inlineStr">
        <is>
          <t>-</t>
        </is>
      </c>
      <c r="G852" s="741" t="n">
        <v>1</v>
      </c>
      <c r="H852" s="741" t="n">
        <v>10942</v>
      </c>
      <c r="I852" s="741" t="n">
        <v>0</v>
      </c>
      <c r="J852" s="742" t="n">
        <v>45</v>
      </c>
      <c r="K852" s="742" t="n">
        <v>44</v>
      </c>
      <c r="L852" s="742">
        <f>IF(B852="TXO",I852-SUM(J852:K852),IF(B852="FITX",IF(D852="新倉",-SUM(J852:K852),IF(E852="賣",(H852-H851)*G852*200-SUM(J852:K852),(H851-H852)*G852*200-SUM(J852:K852))),IF(D852="新倉",-SUM(J852:K852),IF(E852="賣",(H852-H851)*G852*50-SUM(J852:K852),(H851-H852)*G852*50-SUM(J852:K852)))))</f>
        <v/>
      </c>
      <c r="M852" s="743">
        <f>L852</f>
        <v/>
      </c>
      <c r="N852" s="686">
        <f>IF(B852="TXO","",IF(D852="新倉","",IF(E852="賣",(H852-H851)*G852,(H851-H852)*G852)))</f>
        <v/>
      </c>
      <c r="O852" s="226">
        <f>ABS(I852)</f>
        <v/>
      </c>
      <c r="P852" s="667" t="n"/>
      <c r="Q852" s="311" t="inlineStr">
        <is>
          <t>急殺，追單</t>
        </is>
      </c>
      <c r="S852" s="249" t="n"/>
      <c r="T852" s="61">
        <f>IF(AND(R852="Yes",S852&lt;&gt;"Yes",L852&gt;0,B852&lt;&gt;"TXO"),L852,"")</f>
        <v/>
      </c>
      <c r="U852" s="61">
        <f>IF(AND(R852="Yes",S852&lt;&gt;"Yes",L852&lt;0,B852&lt;&gt;"TXO"),L852,"")</f>
        <v/>
      </c>
      <c r="V852" s="61">
        <f>IF(AND(R852="",S852&lt;&gt;"Yes",L852&gt;0,B852&lt;&gt;"TXO"),L852,"")</f>
        <v/>
      </c>
      <c r="W852" s="61">
        <f>IF(AND(R852="",S852&lt;&gt;"Yes",L852&lt;0,B852&lt;&gt;"TXO"),L852,"")</f>
        <v/>
      </c>
      <c r="X852" s="226">
        <f>IF(AND(R852="Yes",S852="Yes",L852&gt;0,B852&lt;&gt;"TXO"),L852,"")</f>
        <v/>
      </c>
      <c r="Y852" s="226">
        <f>IF(AND(R852="Yes",S852="Yes",L852&lt;0,B852&lt;&gt;"TXO"),L852,"")</f>
        <v/>
      </c>
      <c r="Z852" s="226">
        <f>IF(AND(R852="",S852="Yes",L852&gt;0,B852&lt;&gt;"TXO"),L852,"")</f>
        <v/>
      </c>
      <c r="AA852" s="226">
        <f>IF(AND(R852="",S852="Yes",L852&lt;0,B852&lt;&gt;"TXO"),L852,"")</f>
        <v/>
      </c>
    </row>
    <row r="853" hidden="1" outlineLevel="2" ht="17.25" customHeight="1" thickBot="1">
      <c r="A853" s="740" t="n">
        <v>43371</v>
      </c>
      <c r="B853" s="299" t="inlineStr">
        <is>
          <t>FITX</t>
        </is>
      </c>
      <c r="C853" s="300" t="inlineStr">
        <is>
          <t>台指10</t>
        </is>
      </c>
      <c r="D853" s="300" t="inlineStr">
        <is>
          <t>平倉</t>
        </is>
      </c>
      <c r="E853" s="301" t="inlineStr">
        <is>
          <t>買</t>
        </is>
      </c>
      <c r="F853" s="300" t="inlineStr">
        <is>
          <t>-</t>
        </is>
      </c>
      <c r="G853" s="741" t="n">
        <v>1</v>
      </c>
      <c r="H853" s="741" t="n">
        <v>10928</v>
      </c>
      <c r="I853" s="741" t="n">
        <v>0</v>
      </c>
      <c r="J853" s="742" t="n">
        <v>45</v>
      </c>
      <c r="K853" s="742" t="n">
        <v>44</v>
      </c>
      <c r="L853" s="742">
        <f>IF(B853="TXO",I853-SUM(J853:K853),IF(B853="FITX",IF(D853="新倉",-SUM(J853:K853),IF(E853="賣",(H853-H852)*G853*200-SUM(J853:K853),(H852-H853)*G853*200-SUM(J853:K853))),IF(D853="新倉",-SUM(J853:K853),IF(E853="賣",(H853-H852)*G853*50-SUM(J853:K853),(H852-H853)*G853*50-SUM(J853:K853)))))</f>
        <v/>
      </c>
      <c r="M853" s="743">
        <f>L853</f>
        <v/>
      </c>
      <c r="N853" s="686">
        <f>IF(B853="TXO","",IF(D853="新倉","",IF(E853="賣",(H853-H852)*G853,(H852-H853)*G853)))</f>
        <v/>
      </c>
      <c r="O853" s="226">
        <f>ABS(I853)</f>
        <v/>
      </c>
      <c r="P853" s="667" t="n"/>
      <c r="Q853" s="311" t="inlineStr">
        <is>
          <t>元大移動式停利</t>
        </is>
      </c>
      <c r="S853" s="249" t="n"/>
      <c r="T853" s="61">
        <f>IF(AND(R853="Yes",S853&lt;&gt;"Yes",L853&gt;0,B853&lt;&gt;"TXO"),L853,"")</f>
        <v/>
      </c>
      <c r="U853" s="61">
        <f>IF(AND(R853="Yes",S853&lt;&gt;"Yes",L853&lt;0,B853&lt;&gt;"TXO"),L853,"")</f>
        <v/>
      </c>
      <c r="V853" s="61">
        <f>IF(AND(R853="",S853&lt;&gt;"Yes",L853&gt;0,B853&lt;&gt;"TXO"),L853,"")</f>
        <v/>
      </c>
      <c r="W853" s="61">
        <f>IF(AND(R853="",S853&lt;&gt;"Yes",L853&lt;0,B853&lt;&gt;"TXO"),L853,"")</f>
        <v/>
      </c>
      <c r="X853" s="226">
        <f>IF(AND(R853="Yes",S853="Yes",L853&gt;0,B853&lt;&gt;"TXO"),L853,"")</f>
        <v/>
      </c>
      <c r="Y853" s="226">
        <f>IF(AND(R853="Yes",S853="Yes",L853&lt;0,B853&lt;&gt;"TXO"),L853,"")</f>
        <v/>
      </c>
      <c r="Z853" s="226">
        <f>IF(AND(R853="",S853="Yes",L853&gt;0,B853&lt;&gt;"TXO"),L853,"")</f>
        <v/>
      </c>
      <c r="AA853" s="226">
        <f>IF(AND(R853="",S853="Yes",L853&lt;0,B853&lt;&gt;"TXO"),L853,"")</f>
        <v/>
      </c>
    </row>
    <row r="854" hidden="1" outlineLevel="2" collapsed="1" ht="17.25" customHeight="1" thickBot="1">
      <c r="A854" s="740" t="n">
        <v>43371</v>
      </c>
      <c r="B854" s="299" t="inlineStr">
        <is>
          <t>FITX</t>
        </is>
      </c>
      <c r="C854" s="300" t="inlineStr">
        <is>
          <t>台指10</t>
        </is>
      </c>
      <c r="D854" s="300" t="inlineStr">
        <is>
          <t>新倉</t>
        </is>
      </c>
      <c r="E854" s="301" t="inlineStr">
        <is>
          <t>賣</t>
        </is>
      </c>
      <c r="F854" s="300" t="inlineStr">
        <is>
          <t>-</t>
        </is>
      </c>
      <c r="G854" s="741" t="n">
        <v>1</v>
      </c>
      <c r="H854" s="741" t="n">
        <v>10922</v>
      </c>
      <c r="I854" s="741" t="n">
        <v>0</v>
      </c>
      <c r="J854" s="742" t="n">
        <v>45</v>
      </c>
      <c r="K854" s="742" t="n">
        <v>44</v>
      </c>
      <c r="L854" s="742">
        <f>IF(B854="TXO",I854-SUM(J854:K854),IF(B854="FITX",IF(D854="新倉",-SUM(J854:K854),IF(E854="賣",(H854-H853)*G854*200-SUM(J854:K854),(H853-H854)*G854*200-SUM(J854:K854))),IF(D854="新倉",-SUM(J854:K854),IF(E854="賣",(H854-H853)*G854*50-SUM(J854:K854),(H853-H854)*G854*50-SUM(J854:K854)))))</f>
        <v/>
      </c>
      <c r="M854" s="743">
        <f>L854</f>
        <v/>
      </c>
      <c r="N854" s="686">
        <f>IF(B854="TXO","",IF(D854="新倉","",IF(E854="賣",(H854-H853)*G854,(H853-H854)*G854)))</f>
        <v/>
      </c>
      <c r="O854" s="226">
        <f>ABS(I854)</f>
        <v/>
      </c>
      <c r="P854" s="667" t="n"/>
      <c r="Q854" s="311" t="inlineStr">
        <is>
          <t>被洗出場，再追單</t>
        </is>
      </c>
      <c r="S854" s="249" t="n"/>
      <c r="T854" s="61">
        <f>IF(AND(R854="Yes",S854&lt;&gt;"Yes",L854&gt;0,B854&lt;&gt;"TXO"),L854,"")</f>
        <v/>
      </c>
      <c r="U854" s="61">
        <f>IF(AND(R854="Yes",S854&lt;&gt;"Yes",L854&lt;0,B854&lt;&gt;"TXO"),L854,"")</f>
        <v/>
      </c>
      <c r="V854" s="61">
        <f>IF(AND(R854="",S854&lt;&gt;"Yes",L854&gt;0,B854&lt;&gt;"TXO"),L854,"")</f>
        <v/>
      </c>
      <c r="W854" s="61">
        <f>IF(AND(R854="",S854&lt;&gt;"Yes",L854&lt;0,B854&lt;&gt;"TXO"),L854,"")</f>
        <v/>
      </c>
      <c r="X854" s="226">
        <f>IF(AND(R854="Yes",S854="Yes",L854&gt;0,B854&lt;&gt;"TXO"),L854,"")</f>
        <v/>
      </c>
      <c r="Y854" s="226">
        <f>IF(AND(R854="Yes",S854="Yes",L854&lt;0,B854&lt;&gt;"TXO"),L854,"")</f>
        <v/>
      </c>
      <c r="Z854" s="226">
        <f>IF(AND(R854="",S854="Yes",L854&gt;0,B854&lt;&gt;"TXO"),L854,"")</f>
        <v/>
      </c>
      <c r="AA854" s="226">
        <f>IF(AND(R854="",S854="Yes",L854&lt;0,B854&lt;&gt;"TXO"),L854,"")</f>
        <v/>
      </c>
    </row>
    <row r="855" hidden="1" outlineLevel="2" ht="17.25" customHeight="1" thickBot="1">
      <c r="A855" s="740" t="n">
        <v>43371</v>
      </c>
      <c r="B855" s="299" t="inlineStr">
        <is>
          <t>FITX</t>
        </is>
      </c>
      <c r="C855" s="300" t="inlineStr">
        <is>
          <t>台指10</t>
        </is>
      </c>
      <c r="D855" s="300" t="inlineStr">
        <is>
          <t>平倉</t>
        </is>
      </c>
      <c r="E855" s="301" t="inlineStr">
        <is>
          <t>買</t>
        </is>
      </c>
      <c r="F855" s="300" t="inlineStr">
        <is>
          <t>-</t>
        </is>
      </c>
      <c r="G855" s="741" t="n">
        <v>1</v>
      </c>
      <c r="H855" s="741" t="n">
        <v>10940</v>
      </c>
      <c r="I855" s="741" t="n">
        <v>0</v>
      </c>
      <c r="J855" s="742" t="n">
        <v>45</v>
      </c>
      <c r="K855" s="742" t="n">
        <v>44</v>
      </c>
      <c r="L855" s="742">
        <f>IF(B855="TXO",I855-SUM(J855:K855),IF(B855="FITX",IF(D855="新倉",-SUM(J855:K855),IF(E855="賣",(H855-H854)*G855*200-SUM(J855:K855),(H854-H855)*G855*200-SUM(J855:K855))),IF(D855="新倉",-SUM(J855:K855),IF(E855="賣",(H855-H854)*G855*50-SUM(J855:K855),(H854-H855)*G855*50-SUM(J855:K855)))))</f>
        <v/>
      </c>
      <c r="M855" s="743">
        <f>L855</f>
        <v/>
      </c>
      <c r="N855" s="686">
        <f>IF(B855="TXO","",IF(D855="新倉","",IF(E855="賣",(H855-H854)*G855,(H854-H855)*G855)))</f>
        <v/>
      </c>
      <c r="O855" s="226">
        <f>ABS(I855)</f>
        <v/>
      </c>
      <c r="P855" s="667" t="n"/>
      <c r="Q855" s="311" t="inlineStr">
        <is>
          <t>停損</t>
        </is>
      </c>
      <c r="S855" s="249" t="n"/>
      <c r="T855" s="61">
        <f>IF(AND(R855="Yes",S855&lt;&gt;"Yes",L855&gt;0,B855&lt;&gt;"TXO"),L855,"")</f>
        <v/>
      </c>
      <c r="U855" s="61">
        <f>IF(AND(R855="Yes",S855&lt;&gt;"Yes",L855&lt;0,B855&lt;&gt;"TXO"),L855,"")</f>
        <v/>
      </c>
      <c r="V855" s="61">
        <f>IF(AND(R855="",S855&lt;&gt;"Yes",L855&gt;0,B855&lt;&gt;"TXO"),L855,"")</f>
        <v/>
      </c>
      <c r="W855" s="61">
        <f>IF(AND(R855="",S855&lt;&gt;"Yes",L855&lt;0,B855&lt;&gt;"TXO"),L855,"")</f>
        <v/>
      </c>
      <c r="X855" s="226">
        <f>IF(AND(R855="Yes",S855="Yes",L855&gt;0,B855&lt;&gt;"TXO"),L855,"")</f>
        <v/>
      </c>
      <c r="Y855" s="226">
        <f>IF(AND(R855="Yes",S855="Yes",L855&lt;0,B855&lt;&gt;"TXO"),L855,"")</f>
        <v/>
      </c>
      <c r="Z855" s="226">
        <f>IF(AND(R855="",S855="Yes",L855&gt;0,B855&lt;&gt;"TXO"),L855,"")</f>
        <v/>
      </c>
      <c r="AA855" s="226">
        <f>IF(AND(R855="",S855="Yes",L855&lt;0,B855&lt;&gt;"TXO"),L855,"")</f>
        <v/>
      </c>
    </row>
    <row r="856" hidden="1" outlineLevel="2" collapsed="1" ht="17.25" customHeight="1" thickBot="1">
      <c r="A856" s="740" t="n">
        <v>43371</v>
      </c>
      <c r="B856" s="299" t="inlineStr">
        <is>
          <t>FITX</t>
        </is>
      </c>
      <c r="C856" s="300" t="inlineStr">
        <is>
          <t>台指10</t>
        </is>
      </c>
      <c r="D856" s="300" t="inlineStr">
        <is>
          <t>新倉</t>
        </is>
      </c>
      <c r="E856" s="301" t="inlineStr">
        <is>
          <t>賣</t>
        </is>
      </c>
      <c r="F856" s="300" t="inlineStr">
        <is>
          <t>-</t>
        </is>
      </c>
      <c r="G856" s="741" t="n">
        <v>1</v>
      </c>
      <c r="H856" s="741" t="n">
        <v>10941</v>
      </c>
      <c r="I856" s="741" t="n">
        <v>0</v>
      </c>
      <c r="J856" s="742" t="n">
        <v>45</v>
      </c>
      <c r="K856" s="742" t="n">
        <v>44</v>
      </c>
      <c r="L856" s="742">
        <f>IF(B856="TXO",I856-SUM(J856:K856),IF(B856="FITX",IF(D856="新倉",-SUM(J856:K856),IF(E856="賣",(H856-H855)*G856*200-SUM(J856:K856),(H855-H856)*G856*200-SUM(J856:K856))),IF(D856="新倉",-SUM(J856:K856),IF(E856="賣",(H856-H855)*G856*50-SUM(J856:K856),(H855-H856)*G856*50-SUM(J856:K856)))))</f>
        <v/>
      </c>
      <c r="M856" s="743">
        <f>L856</f>
        <v/>
      </c>
      <c r="N856" s="686">
        <f>IF(B856="TXO","",IF(D856="新倉","",IF(E856="賣",(H856-H855)*G856,(H855-H856)*G856)))</f>
        <v/>
      </c>
      <c r="O856" s="226">
        <f>ABS(I856)</f>
        <v/>
      </c>
      <c r="P856" s="667" t="n"/>
      <c r="Q856" s="311" t="inlineStr">
        <is>
          <t>被洗出場，再追單</t>
        </is>
      </c>
      <c r="S856" s="249" t="n"/>
      <c r="T856" s="61">
        <f>IF(AND(R856="Yes",S856&lt;&gt;"Yes",L856&gt;0,B856&lt;&gt;"TXO"),L856,"")</f>
        <v/>
      </c>
      <c r="U856" s="61">
        <f>IF(AND(R856="Yes",S856&lt;&gt;"Yes",L856&lt;0,B856&lt;&gt;"TXO"),L856,"")</f>
        <v/>
      </c>
      <c r="V856" s="61">
        <f>IF(AND(R856="",S856&lt;&gt;"Yes",L856&gt;0,B856&lt;&gt;"TXO"),L856,"")</f>
        <v/>
      </c>
      <c r="W856" s="61">
        <f>IF(AND(R856="",S856&lt;&gt;"Yes",L856&lt;0,B856&lt;&gt;"TXO"),L856,"")</f>
        <v/>
      </c>
      <c r="X856" s="226">
        <f>IF(AND(R856="Yes",S856="Yes",L856&gt;0,B856&lt;&gt;"TXO"),L856,"")</f>
        <v/>
      </c>
      <c r="Y856" s="226">
        <f>IF(AND(R856="Yes",S856="Yes",L856&lt;0,B856&lt;&gt;"TXO"),L856,"")</f>
        <v/>
      </c>
      <c r="Z856" s="226">
        <f>IF(AND(R856="",S856="Yes",L856&gt;0,B856&lt;&gt;"TXO"),L856,"")</f>
        <v/>
      </c>
      <c r="AA856" s="226">
        <f>IF(AND(R856="",S856="Yes",L856&lt;0,B856&lt;&gt;"TXO"),L856,"")</f>
        <v/>
      </c>
    </row>
    <row r="857" hidden="1" outlineLevel="2" ht="17.25" customHeight="1" thickBot="1">
      <c r="A857" s="740" t="n">
        <v>43371</v>
      </c>
      <c r="B857" s="299" t="inlineStr">
        <is>
          <t>FITX</t>
        </is>
      </c>
      <c r="C857" s="300" t="inlineStr">
        <is>
          <t>台指10</t>
        </is>
      </c>
      <c r="D857" s="300" t="inlineStr">
        <is>
          <t>平倉</t>
        </is>
      </c>
      <c r="E857" s="301" t="inlineStr">
        <is>
          <t>買</t>
        </is>
      </c>
      <c r="F857" s="300" t="inlineStr">
        <is>
          <t>-</t>
        </is>
      </c>
      <c r="G857" s="741" t="n">
        <v>1</v>
      </c>
      <c r="H857" s="741" t="n">
        <v>10951</v>
      </c>
      <c r="I857" s="741" t="n">
        <v>0</v>
      </c>
      <c r="J857" s="742" t="n">
        <v>45</v>
      </c>
      <c r="K857" s="742" t="n">
        <v>44</v>
      </c>
      <c r="L857" s="742">
        <f>IF(B857="TXO",I857-SUM(J857:K857),IF(B857="FITX",IF(D857="新倉",-SUM(J857:K857),IF(E857="賣",(H857-H856)*G857*200-SUM(J857:K857),(H856-H857)*G857*200-SUM(J857:K857))),IF(D857="新倉",-SUM(J857:K857),IF(E857="賣",(H857-H856)*G857*50-SUM(J857:K857),(H856-H857)*G857*50-SUM(J857:K857)))))</f>
        <v/>
      </c>
      <c r="M857" s="743">
        <f>L857</f>
        <v/>
      </c>
      <c r="N857" s="686">
        <f>IF(B857="TXO","",IF(D857="新倉","",IF(E857="賣",(H857-H856)*G857,(H856-H857)*G857)))</f>
        <v/>
      </c>
      <c r="O857" s="226">
        <f>ABS(I857)</f>
        <v/>
      </c>
      <c r="P857" s="667" t="n"/>
      <c r="Q857" s="311" t="inlineStr">
        <is>
          <t>停損</t>
        </is>
      </c>
      <c r="S857" s="249" t="n"/>
      <c r="T857" s="61">
        <f>IF(AND(R857="Yes",S857&lt;&gt;"Yes",L857&gt;0,B857&lt;&gt;"TXO"),L857,"")</f>
        <v/>
      </c>
      <c r="U857" s="61">
        <f>IF(AND(R857="Yes",S857&lt;&gt;"Yes",L857&lt;0,B857&lt;&gt;"TXO"),L857,"")</f>
        <v/>
      </c>
      <c r="V857" s="61">
        <f>IF(AND(R857="",S857&lt;&gt;"Yes",L857&gt;0,B857&lt;&gt;"TXO"),L857,"")</f>
        <v/>
      </c>
      <c r="W857" s="61">
        <f>IF(AND(R857="",S857&lt;&gt;"Yes",L857&lt;0,B857&lt;&gt;"TXO"),L857,"")</f>
        <v/>
      </c>
      <c r="X857" s="226">
        <f>IF(AND(R857="Yes",S857="Yes",L857&gt;0,B857&lt;&gt;"TXO"),L857,"")</f>
        <v/>
      </c>
      <c r="Y857" s="226">
        <f>IF(AND(R857="Yes",S857="Yes",L857&lt;0,B857&lt;&gt;"TXO"),L857,"")</f>
        <v/>
      </c>
      <c r="Z857" s="226">
        <f>IF(AND(R857="",S857="Yes",L857&gt;0,B857&lt;&gt;"TXO"),L857,"")</f>
        <v/>
      </c>
      <c r="AA857" s="226">
        <f>IF(AND(R857="",S857="Yes",L857&lt;0,B857&lt;&gt;"TXO"),L857,"")</f>
        <v/>
      </c>
    </row>
    <row r="858" hidden="1" outlineLevel="2" collapsed="1" ht="33.75" customHeight="1" thickBot="1">
      <c r="A858" s="740" t="n">
        <v>43371</v>
      </c>
      <c r="B858" s="299" t="inlineStr">
        <is>
          <t>FITX</t>
        </is>
      </c>
      <c r="C858" s="300" t="inlineStr">
        <is>
          <t>台指10</t>
        </is>
      </c>
      <c r="D858" s="300" t="inlineStr">
        <is>
          <t>新倉</t>
        </is>
      </c>
      <c r="E858" s="301" t="inlineStr">
        <is>
          <t>買</t>
        </is>
      </c>
      <c r="F858" s="300" t="inlineStr">
        <is>
          <t>-</t>
        </is>
      </c>
      <c r="G858" s="741" t="n">
        <v>1</v>
      </c>
      <c r="H858" s="741" t="n">
        <v>10950</v>
      </c>
      <c r="I858" s="741" t="n">
        <v>0</v>
      </c>
      <c r="J858" s="742" t="n">
        <v>45</v>
      </c>
      <c r="K858" s="742" t="n">
        <v>44</v>
      </c>
      <c r="L858" s="742">
        <f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/>
      </c>
      <c r="M858" s="743">
        <f>L858</f>
        <v/>
      </c>
      <c r="N858" s="686">
        <f>IF(B858="TXO","",IF(D858="新倉","",IF(E858="賣",(H858-H857)*G858,(H857-H858)*G858)))</f>
        <v/>
      </c>
      <c r="O858" s="226">
        <f>ABS(I858)</f>
        <v/>
      </c>
      <c r="P858" s="667" t="n"/>
      <c r="Q858" s="249" t="inlineStr">
        <is>
          <t>技法: 3/3 買進一口
太早下單訊號消失</t>
        </is>
      </c>
      <c r="S858" s="249" t="n"/>
      <c r="T858" s="61">
        <f>IF(AND(R858="Yes",S858&lt;&gt;"Yes",L858&gt;0,B858&lt;&gt;"TXO"),L858,"")</f>
        <v/>
      </c>
      <c r="U858" s="61">
        <f>IF(AND(R858="Yes",S858&lt;&gt;"Yes",L858&lt;0,B858&lt;&gt;"TXO"),L858,"")</f>
        <v/>
      </c>
      <c r="V858" s="61">
        <f>IF(AND(R858="",S858&lt;&gt;"Yes",L858&gt;0,B858&lt;&gt;"TXO"),L858,"")</f>
        <v/>
      </c>
      <c r="W858" s="61">
        <f>IF(AND(R858="",S858&lt;&gt;"Yes",L858&lt;0,B858&lt;&gt;"TXO"),L858,"")</f>
        <v/>
      </c>
      <c r="X858" s="226">
        <f>IF(AND(R858="Yes",S858="Yes",L858&gt;0,B858&lt;&gt;"TXO"),L858,"")</f>
        <v/>
      </c>
      <c r="Y858" s="226">
        <f>IF(AND(R858="Yes",S858="Yes",L858&lt;0,B858&lt;&gt;"TXO"),L858,"")</f>
        <v/>
      </c>
      <c r="Z858" s="226">
        <f>IF(AND(R858="",S858="Yes",L858&gt;0,B858&lt;&gt;"TXO"),L858,"")</f>
        <v/>
      </c>
      <c r="AA858" s="226">
        <f>IF(AND(R858="",S858="Yes",L858&lt;0,B858&lt;&gt;"TXO"),L858,"")</f>
        <v/>
      </c>
    </row>
    <row r="859" hidden="1" outlineLevel="2" ht="17.25" customHeight="1" thickBot="1">
      <c r="A859" s="740" t="n">
        <v>43371</v>
      </c>
      <c r="B859" s="299" t="inlineStr">
        <is>
          <t>FITX</t>
        </is>
      </c>
      <c r="C859" s="300" t="inlineStr">
        <is>
          <t>台指10</t>
        </is>
      </c>
      <c r="D859" s="300" t="inlineStr">
        <is>
          <t>平倉</t>
        </is>
      </c>
      <c r="E859" s="301" t="inlineStr">
        <is>
          <t>賣</t>
        </is>
      </c>
      <c r="F859" s="300" t="inlineStr">
        <is>
          <t>-</t>
        </is>
      </c>
      <c r="G859" s="741" t="n">
        <v>1</v>
      </c>
      <c r="H859" s="741" t="n">
        <v>10947</v>
      </c>
      <c r="I859" s="741" t="n">
        <v>0</v>
      </c>
      <c r="J859" s="742" t="n">
        <v>45</v>
      </c>
      <c r="K859" s="742" t="n">
        <v>44</v>
      </c>
      <c r="L859" s="742">
        <f>IF(B859="TXO",I859-SUM(J859:K859),IF(B859="FITX",IF(D859="新倉",-SUM(J859:K859),IF(E859="賣",(H859-H858)*G859*200-SUM(J859:K859),(H858-H859)*G859*200-SUM(J859:K859))),IF(D859="新倉",-SUM(J859:K859),IF(E859="賣",(H859-H858)*G859*50-SUM(J859:K859),(H858-H859)*G859*50-SUM(J859:K859)))))</f>
        <v/>
      </c>
      <c r="M859" s="743">
        <f>L859</f>
        <v/>
      </c>
      <c r="N859" s="686">
        <f>IF(B859="TXO","",IF(D859="新倉","",IF(E859="賣",(H859-H858)*G859,(H858-H859)*G859)))</f>
        <v/>
      </c>
      <c r="O859" s="226">
        <f>ABS(I859)</f>
        <v/>
      </c>
      <c r="P859" s="667" t="n"/>
      <c r="Q859" s="311" t="inlineStr">
        <is>
          <t>停損</t>
        </is>
      </c>
      <c r="S859" s="249" t="n"/>
      <c r="T859" s="61">
        <f>IF(AND(R859="Yes",S859&lt;&gt;"Yes",L859&gt;0,B859&lt;&gt;"TXO"),L859,"")</f>
        <v/>
      </c>
      <c r="U859" s="61">
        <f>IF(AND(R859="Yes",S859&lt;&gt;"Yes",L859&lt;0,B859&lt;&gt;"TXO"),L859,"")</f>
        <v/>
      </c>
      <c r="V859" s="61">
        <f>IF(AND(R859="",S859&lt;&gt;"Yes",L859&gt;0,B859&lt;&gt;"TXO"),L859,"")</f>
        <v/>
      </c>
      <c r="W859" s="61">
        <f>IF(AND(R859="",S859&lt;&gt;"Yes",L859&lt;0,B859&lt;&gt;"TXO"),L859,"")</f>
        <v/>
      </c>
      <c r="X859" s="226">
        <f>IF(AND(R859="Yes",S859="Yes",L859&gt;0,B859&lt;&gt;"TXO"),L859,"")</f>
        <v/>
      </c>
      <c r="Y859" s="226">
        <f>IF(AND(R859="Yes",S859="Yes",L859&lt;0,B859&lt;&gt;"TXO"),L859,"")</f>
        <v/>
      </c>
      <c r="Z859" s="226">
        <f>IF(AND(R859="",S859="Yes",L859&gt;0,B859&lt;&gt;"TXO"),L859,"")</f>
        <v/>
      </c>
      <c r="AA859" s="226">
        <f>IF(AND(R859="",S859="Yes",L859&lt;0,B859&lt;&gt;"TXO"),L859,"")</f>
        <v/>
      </c>
    </row>
    <row r="860" hidden="1" outlineLevel="2" collapsed="1" ht="17.25" customHeight="1" thickBot="1">
      <c r="A860" s="740" t="n">
        <v>43371</v>
      </c>
      <c r="B860" s="299" t="inlineStr">
        <is>
          <t>FIMTX</t>
        </is>
      </c>
      <c r="C860" s="300" t="inlineStr">
        <is>
          <t>小指10</t>
        </is>
      </c>
      <c r="D860" s="300" t="inlineStr">
        <is>
          <t>新倉</t>
        </is>
      </c>
      <c r="E860" s="301" t="inlineStr">
        <is>
          <t>賣</t>
        </is>
      </c>
      <c r="F860" s="300" t="inlineStr">
        <is>
          <t>-</t>
        </is>
      </c>
      <c r="G860" s="741" t="n">
        <v>3</v>
      </c>
      <c r="H860" s="741" t="n">
        <v>10940</v>
      </c>
      <c r="I860" s="741" t="n">
        <v>0</v>
      </c>
      <c r="J860" s="742" t="n">
        <v>69</v>
      </c>
      <c r="K860" s="742" t="n">
        <v>33</v>
      </c>
      <c r="L860" s="742">
        <f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/>
      </c>
      <c r="M860" s="743">
        <f>L860</f>
        <v/>
      </c>
      <c r="N860" s="686">
        <f>IF(B860="TXO","",IF(D860="新倉","",IF(E860="賣",(H860-H859)*G860,(H859-H860)*G860)))</f>
        <v/>
      </c>
      <c r="O860" s="226">
        <f>ABS(I860)</f>
        <v/>
      </c>
      <c r="P860" s="667" t="n"/>
      <c r="Q860" s="249" t="inlineStr">
        <is>
          <t>技法: 3/3 買進三口</t>
        </is>
      </c>
      <c r="R860" s="249" t="inlineStr">
        <is>
          <t>Yes</t>
        </is>
      </c>
      <c r="S860" s="249" t="n"/>
      <c r="T860" s="61">
        <f>IF(AND(R860="Yes",S860&lt;&gt;"Yes",L860&gt;0,B860&lt;&gt;"TXO"),L860,"")</f>
        <v/>
      </c>
      <c r="U860" s="61">
        <f>IF(AND(R860="Yes",S860&lt;&gt;"Yes",L860&lt;0,B860&lt;&gt;"TXO"),L860,"")</f>
        <v/>
      </c>
      <c r="V860" s="61">
        <f>IF(AND(R860="",S860&lt;&gt;"Yes",L860&gt;0,B860&lt;&gt;"TXO"),L860,"")</f>
        <v/>
      </c>
      <c r="W860" s="61">
        <f>IF(AND(R860="",S860&lt;&gt;"Yes",L860&lt;0,B860&lt;&gt;"TXO"),L860,"")</f>
        <v/>
      </c>
      <c r="X860" s="226">
        <f>IF(AND(R860="Yes",S860="Yes",L860&gt;0,B860&lt;&gt;"TXO"),L860,"")</f>
        <v/>
      </c>
      <c r="Y860" s="226">
        <f>IF(AND(R860="Yes",S860="Yes",L860&lt;0,B860&lt;&gt;"TXO"),L860,"")</f>
        <v/>
      </c>
      <c r="Z860" s="226">
        <f>IF(AND(R860="",S860="Yes",L860&gt;0,B860&lt;&gt;"TXO"),L860,"")</f>
        <v/>
      </c>
      <c r="AA860" s="226">
        <f>IF(AND(R860="",S860="Yes",L860&lt;0,B860&lt;&gt;"TXO"),L860,"")</f>
        <v/>
      </c>
    </row>
    <row r="861" hidden="1" outlineLevel="2" ht="17.25" customHeight="1" thickBot="1">
      <c r="A861" s="740" t="n">
        <v>43371</v>
      </c>
      <c r="B861" s="299" t="inlineStr">
        <is>
          <t>FIMTX</t>
        </is>
      </c>
      <c r="C861" s="300" t="inlineStr">
        <is>
          <t>小指10</t>
        </is>
      </c>
      <c r="D861" s="300" t="inlineStr">
        <is>
          <t>平倉</t>
        </is>
      </c>
      <c r="E861" s="301" t="inlineStr">
        <is>
          <t>買</t>
        </is>
      </c>
      <c r="F861" s="300" t="inlineStr">
        <is>
          <t>-</t>
        </is>
      </c>
      <c r="G861" s="741" t="n">
        <v>3</v>
      </c>
      <c r="H861" s="741" t="n">
        <v>10950</v>
      </c>
      <c r="I861" s="741" t="n">
        <v>0</v>
      </c>
      <c r="J861" s="742" t="n">
        <v>69</v>
      </c>
      <c r="K861" s="742" t="n">
        <v>33</v>
      </c>
      <c r="L861" s="742">
        <f>IF(B861="TXO",I861-SUM(J861:K861),IF(B861="FITX",IF(D861="新倉",-SUM(J861:K861),IF(E861="賣",(H861-H860)*G861*200-SUM(J861:K861),(H860-H861)*G861*200-SUM(J861:K861))),IF(D861="新倉",-SUM(J861:K861),IF(E861="賣",(H861-H860)*G861*50-SUM(J861:K861),(H860-H861)*G861*50-SUM(J861:K861)))))</f>
        <v/>
      </c>
      <c r="M861" s="743">
        <f>L861</f>
        <v/>
      </c>
      <c r="N861" s="686">
        <f>IF(B861="TXO","",IF(D861="新倉","",IF(E861="賣",(H861-H860)*G861,(H860-H861)*G861)))</f>
        <v/>
      </c>
      <c r="O861" s="226">
        <f>ABS(I861)</f>
        <v/>
      </c>
      <c r="P861" s="667" t="n"/>
      <c r="Q861" s="310" t="inlineStr">
        <is>
          <t>碰10MA停損</t>
        </is>
      </c>
      <c r="R861" s="249" t="inlineStr">
        <is>
          <t>Yes</t>
        </is>
      </c>
      <c r="S861" s="249" t="n"/>
      <c r="T861" s="61">
        <f>IF(AND(R861="Yes",S861&lt;&gt;"Yes",L861&gt;0,B861&lt;&gt;"TXO"),L861,"")</f>
        <v/>
      </c>
      <c r="U861" s="61">
        <f>IF(AND(R861="Yes",S861&lt;&gt;"Yes",L861&lt;0,B861&lt;&gt;"TXO"),L861,"")</f>
        <v/>
      </c>
      <c r="V861" s="61">
        <f>IF(AND(R861="",S861&lt;&gt;"Yes",L861&gt;0,B861&lt;&gt;"TXO"),L861,"")</f>
        <v/>
      </c>
      <c r="W861" s="61">
        <f>IF(AND(R861="",S861&lt;&gt;"Yes",L861&lt;0,B861&lt;&gt;"TXO"),L861,"")</f>
        <v/>
      </c>
      <c r="X861" s="226">
        <f>IF(AND(R861="Yes",S861="Yes",L861&gt;0,B861&lt;&gt;"TXO"),L861,"")</f>
        <v/>
      </c>
      <c r="Y861" s="226">
        <f>IF(AND(R861="Yes",S861="Yes",L861&lt;0,B861&lt;&gt;"TXO"),L861,"")</f>
        <v/>
      </c>
      <c r="Z861" s="226">
        <f>IF(AND(R861="",S861="Yes",L861&gt;0,B861&lt;&gt;"TXO"),L861,"")</f>
        <v/>
      </c>
      <c r="AA861" s="226">
        <f>IF(AND(R861="",S861="Yes",L861&lt;0,B861&lt;&gt;"TXO"),L861,"")</f>
        <v/>
      </c>
    </row>
    <row r="862" hidden="1" outlineLevel="2" collapsed="1" ht="17.25" customHeight="1" thickBot="1">
      <c r="A862" s="740" t="n">
        <v>43371</v>
      </c>
      <c r="B862" s="299" t="inlineStr">
        <is>
          <t>FIMTX</t>
        </is>
      </c>
      <c r="C862" s="300" t="inlineStr">
        <is>
          <t>小指10</t>
        </is>
      </c>
      <c r="D862" s="300" t="inlineStr">
        <is>
          <t>新倉</t>
        </is>
      </c>
      <c r="E862" s="301" t="inlineStr">
        <is>
          <t>賣</t>
        </is>
      </c>
      <c r="F862" s="300" t="inlineStr">
        <is>
          <t>-</t>
        </is>
      </c>
      <c r="G862" s="741" t="n">
        <v>7</v>
      </c>
      <c r="H862" s="741" t="n">
        <v>10960</v>
      </c>
      <c r="I862" s="741" t="n">
        <v>0</v>
      </c>
      <c r="J862" s="742" t="n">
        <v>161</v>
      </c>
      <c r="K862" s="742" t="n">
        <v>77</v>
      </c>
      <c r="L862" s="742">
        <f>IF(B862="TXO",I862-SUM(J862:K862),IF(B862="FITX",IF(D862="新倉",-SUM(J862:K862),IF(E862="賣",(H862-H861)*G862*200-SUM(J862:K862),(H861-H862)*G862*200-SUM(J862:K862))),IF(D862="新倉",-SUM(J862:K862),IF(E862="賣",(H862-H861)*G862*50-SUM(J862:K862),(H861-H862)*G862*50-SUM(J862:K862)))))</f>
        <v/>
      </c>
      <c r="M862" s="743">
        <f>L862</f>
        <v/>
      </c>
      <c r="N862" s="686">
        <f>IF(B862="TXO","",IF(D862="新倉","",IF(E862="賣",(H862-H861)*G862,(H861-H862)*G862)))</f>
        <v/>
      </c>
      <c r="O862" s="226">
        <f>ABS(I862)</f>
        <v/>
      </c>
      <c r="P862" s="667" t="n"/>
      <c r="Q862" s="249" t="inlineStr">
        <is>
          <t>技法: 3/3 買進三口</t>
        </is>
      </c>
      <c r="R862" s="249" t="inlineStr">
        <is>
          <t>Yes</t>
        </is>
      </c>
      <c r="S862" s="249" t="n"/>
      <c r="T862" s="61">
        <f>IF(AND(R862="Yes",S862&lt;&gt;"Yes",L862&gt;0,B862&lt;&gt;"TXO"),L862,"")</f>
        <v/>
      </c>
      <c r="U862" s="61">
        <f>IF(AND(R862="Yes",S862&lt;&gt;"Yes",L862&lt;0,B862&lt;&gt;"TXO"),L862,"")</f>
        <v/>
      </c>
      <c r="V862" s="61">
        <f>IF(AND(R862="",S862&lt;&gt;"Yes",L862&gt;0,B862&lt;&gt;"TXO"),L862,"")</f>
        <v/>
      </c>
      <c r="W862" s="61">
        <f>IF(AND(R862="",S862&lt;&gt;"Yes",L862&lt;0,B862&lt;&gt;"TXO"),L862,"")</f>
        <v/>
      </c>
      <c r="X862" s="226">
        <f>IF(AND(R862="Yes",S862="Yes",L862&gt;0,B862&lt;&gt;"TXO"),L862,"")</f>
        <v/>
      </c>
      <c r="Y862" s="226">
        <f>IF(AND(R862="Yes",S862="Yes",L862&lt;0,B862&lt;&gt;"TXO"),L862,"")</f>
        <v/>
      </c>
      <c r="Z862" s="226">
        <f>IF(AND(R862="",S862="Yes",L862&gt;0,B862&lt;&gt;"TXO"),L862,"")</f>
        <v/>
      </c>
      <c r="AA862" s="226">
        <f>IF(AND(R862="",S862="Yes",L862&lt;0,B862&lt;&gt;"TXO"),L862,"")</f>
        <v/>
      </c>
    </row>
    <row r="863" hidden="1" outlineLevel="2" ht="17.25" customHeight="1" thickBot="1">
      <c r="A863" s="740" t="n">
        <v>43371</v>
      </c>
      <c r="B863" s="299" t="inlineStr">
        <is>
          <t>FIMTX</t>
        </is>
      </c>
      <c r="C863" s="300" t="inlineStr">
        <is>
          <t>小指10</t>
        </is>
      </c>
      <c r="D863" s="300" t="inlineStr">
        <is>
          <t>平倉</t>
        </is>
      </c>
      <c r="E863" s="301" t="inlineStr">
        <is>
          <t>買</t>
        </is>
      </c>
      <c r="F863" s="300" t="inlineStr">
        <is>
          <t>-</t>
        </is>
      </c>
      <c r="G863" s="741" t="n">
        <v>7</v>
      </c>
      <c r="H863" s="741" t="n">
        <v>10963</v>
      </c>
      <c r="I863" s="741" t="n">
        <v>0</v>
      </c>
      <c r="J863" s="742" t="n">
        <v>161</v>
      </c>
      <c r="K863" s="742" t="n">
        <v>77</v>
      </c>
      <c r="L863" s="742">
        <f>IF(B863="TXO",I863-SUM(J863:K863),IF(B863="FITX",IF(D863="新倉",-SUM(J863:K863),IF(E863="賣",(H863-H862)*G863*200-SUM(J863:K863),(H862-H863)*G863*200-SUM(J863:K863))),IF(D863="新倉",-SUM(J863:K863),IF(E863="賣",(H863-H862)*G863*50-SUM(J863:K863),(H862-H863)*G863*50-SUM(J863:K863)))))</f>
        <v/>
      </c>
      <c r="M863" s="743">
        <f>L863</f>
        <v/>
      </c>
      <c r="N863" s="686">
        <f>IF(B863="TXO","",IF(D863="新倉","",IF(E863="賣",(H863-H862)*G863,(H862-H863)*G863)))</f>
        <v/>
      </c>
      <c r="O863" s="226">
        <f>ABS(I863)</f>
        <v/>
      </c>
      <c r="P863" s="667" t="n"/>
      <c r="Q863" s="310" t="inlineStr">
        <is>
          <t>碰10MA停損</t>
        </is>
      </c>
      <c r="R863" s="249" t="inlineStr">
        <is>
          <t>Yes</t>
        </is>
      </c>
      <c r="S863" s="249" t="n"/>
      <c r="T863" s="61">
        <f>IF(AND(R863="Yes",S863&lt;&gt;"Yes",L863&gt;0,B863&lt;&gt;"TXO"),L863,"")</f>
        <v/>
      </c>
      <c r="U863" s="61">
        <f>IF(AND(R863="Yes",S863&lt;&gt;"Yes",L863&lt;0,B863&lt;&gt;"TXO"),L863,"")</f>
        <v/>
      </c>
      <c r="V863" s="61">
        <f>IF(AND(R863="",S863&lt;&gt;"Yes",L863&gt;0,B863&lt;&gt;"TXO"),L863,"")</f>
        <v/>
      </c>
      <c r="W863" s="61">
        <f>IF(AND(R863="",S863&lt;&gt;"Yes",L863&lt;0,B863&lt;&gt;"TXO"),L863,"")</f>
        <v/>
      </c>
      <c r="X863" s="226">
        <f>IF(AND(R863="Yes",S863="Yes",L863&gt;0,B863&lt;&gt;"TXO"),L863,"")</f>
        <v/>
      </c>
      <c r="Y863" s="226">
        <f>IF(AND(R863="Yes",S863="Yes",L863&lt;0,B863&lt;&gt;"TXO"),L863,"")</f>
        <v/>
      </c>
      <c r="Z863" s="226">
        <f>IF(AND(R863="",S863="Yes",L863&gt;0,B863&lt;&gt;"TXO"),L863,"")</f>
        <v/>
      </c>
      <c r="AA863" s="226">
        <f>IF(AND(R863="",S863="Yes",L863&lt;0,B863&lt;&gt;"TXO"),L863,"")</f>
        <v/>
      </c>
    </row>
    <row r="864" ht="17.25" customHeight="1" thickBot="1">
      <c r="A864" s="273" t="inlineStr">
        <is>
          <t>9月總計</t>
        </is>
      </c>
      <c r="B864" s="274" t="n"/>
      <c r="C864" s="274" t="n"/>
      <c r="D864" s="274" t="n"/>
      <c r="E864" s="274" t="n"/>
      <c r="F864" s="274" t="n"/>
      <c r="G864" s="715" t="n"/>
      <c r="H864" s="715" t="n"/>
      <c r="I864" s="715" t="n"/>
      <c r="J864" s="716" t="n"/>
      <c r="K864" s="715" t="n"/>
      <c r="L864" s="717">
        <f>SUM(L542:L863)</f>
        <v/>
      </c>
      <c r="M864" s="751">
        <f>SUM(M542:M863)</f>
        <v/>
      </c>
      <c r="N864" s="666" t="n"/>
      <c r="P864" s="744" t="n"/>
      <c r="R864" s="717">
        <f>SUMIF(R546:R863,"Yes",L546:L863)</f>
        <v/>
      </c>
      <c r="S864" s="739" t="n"/>
      <c r="T864" s="61">
        <f>IF(AND(R864="Yes",S864&lt;&gt;"Yes",L864&gt;0,B864&lt;&gt;"TXO"),L864,"")</f>
        <v/>
      </c>
      <c r="U864" s="61">
        <f>IF(AND(R864="Yes",S864&lt;&gt;"Yes",L864&lt;0,B864&lt;&gt;"TXO"),L864,"")</f>
        <v/>
      </c>
      <c r="V864" s="61">
        <f>IF(AND(R864="",S864&lt;&gt;"Yes",L864&gt;0,B864&lt;&gt;"TXO"),L864,"")</f>
        <v/>
      </c>
      <c r="W864" s="61">
        <f>IF(AND(R864="",S864&lt;&gt;"Yes",L864&lt;0,B864&lt;&gt;"TXO"),L864,"")</f>
        <v/>
      </c>
      <c r="X864" s="226">
        <f>IF(AND(R864="Yes",S864="Yes",L864&gt;0,B864&lt;&gt;"TXO"),L864,"")</f>
        <v/>
      </c>
      <c r="Y864" s="226">
        <f>IF(AND(R864="Yes",S864="Yes",L864&lt;0,B864&lt;&gt;"TXO"),L864,"")</f>
        <v/>
      </c>
      <c r="Z864" s="226">
        <f>IF(AND(R864="",S864="Yes",L864&gt;0,B864&lt;&gt;"TXO"),L864,"")</f>
        <v/>
      </c>
      <c r="AA864" s="226">
        <f>IF(AND(R864="",S864="Yes",L864&lt;0,B864&lt;&gt;"TXO"),L864,"")</f>
        <v/>
      </c>
    </row>
    <row r="865" ht="17.25" customHeight="1" thickBot="1">
      <c r="A865" s="718" t="n">
        <v>43379</v>
      </c>
      <c r="B865" s="292" t="n"/>
      <c r="C865" s="292" t="inlineStr">
        <is>
          <t>富邦個人信貸</t>
        </is>
      </c>
      <c r="D865" s="292" t="n"/>
      <c r="E865" s="292" t="n"/>
      <c r="F865" s="292" t="n"/>
      <c r="G865" s="719" t="n"/>
      <c r="H865" s="719" t="n"/>
      <c r="I865" s="719" t="n"/>
      <c r="J865" s="720" t="n"/>
      <c r="K865" s="719" t="n"/>
      <c r="L865" s="720" t="n"/>
      <c r="M865" s="721" t="n">
        <v>-1078</v>
      </c>
      <c r="N865" s="666" t="n"/>
      <c r="P865" s="722" t="n"/>
      <c r="Q865" s="249" t="inlineStr">
        <is>
          <t>利息</t>
        </is>
      </c>
      <c r="S865" s="739" t="n"/>
      <c r="T865" s="61">
        <f>IF(AND(R865="Yes",S865&lt;&gt;"Yes",L865&gt;0,B865&lt;&gt;"TXO"),L865,"")</f>
        <v/>
      </c>
      <c r="U865" s="61">
        <f>IF(AND(R865="Yes",S865&lt;&gt;"Yes",L865&lt;0,B865&lt;&gt;"TXO"),L865,"")</f>
        <v/>
      </c>
      <c r="V865" s="61">
        <f>IF(AND(R865="",S865&lt;&gt;"Yes",L865&gt;0,B865&lt;&gt;"TXO"),L865,"")</f>
        <v/>
      </c>
      <c r="W865" s="61">
        <f>IF(AND(R865="",S865&lt;&gt;"Yes",L865&lt;0,B865&lt;&gt;"TXO"),L865,"")</f>
        <v/>
      </c>
      <c r="X865" s="226">
        <f>IF(AND(R865="Yes",S865="Yes",L865&gt;0,B865&lt;&gt;"TXO"),L865,"")</f>
        <v/>
      </c>
      <c r="Y865" s="226">
        <f>IF(AND(R865="Yes",S865="Yes",L865&lt;0,B865&lt;&gt;"TXO"),L865,"")</f>
        <v/>
      </c>
      <c r="Z865" s="226">
        <f>IF(AND(R865="",S865="Yes",L865&gt;0,B865&lt;&gt;"TXO"),L865,"")</f>
        <v/>
      </c>
      <c r="AA865" s="226">
        <f>IF(AND(R865="",S865="Yes",L865&lt;0,B865&lt;&gt;"TXO"),L865,"")</f>
        <v/>
      </c>
    </row>
    <row r="866" ht="17.25" customHeight="1" thickBot="1">
      <c r="A866" s="718" t="n">
        <v>43388</v>
      </c>
      <c r="B866" s="292" t="n"/>
      <c r="C866" s="292" t="inlineStr">
        <is>
          <t>富邦個人信貸</t>
        </is>
      </c>
      <c r="D866" s="292" t="n"/>
      <c r="E866" s="292" t="n"/>
      <c r="F866" s="292" t="n"/>
      <c r="G866" s="719" t="n"/>
      <c r="H866" s="719" t="n"/>
      <c r="I866" s="719" t="n"/>
      <c r="J866" s="720" t="n"/>
      <c r="K866" s="719" t="n"/>
      <c r="L866" s="720" t="n"/>
      <c r="M866" s="721" t="n">
        <v>-305</v>
      </c>
      <c r="N866" s="666" t="n"/>
      <c r="P866" s="722" t="n"/>
      <c r="Q866" s="249" t="inlineStr">
        <is>
          <t>利息-結清</t>
        </is>
      </c>
      <c r="S866" s="739" t="n"/>
      <c r="T866" s="61">
        <f>IF(AND(R866="Yes",S866&lt;&gt;"Yes",L866&gt;0,B866&lt;&gt;"TXO"),L866,"")</f>
        <v/>
      </c>
      <c r="U866" s="61">
        <f>IF(AND(R866="Yes",S866&lt;&gt;"Yes",L866&lt;0,B866&lt;&gt;"TXO"),L866,"")</f>
        <v/>
      </c>
      <c r="V866" s="61">
        <f>IF(AND(R866="",S866&lt;&gt;"Yes",L866&gt;0,B866&lt;&gt;"TXO"),L866,"")</f>
        <v/>
      </c>
      <c r="W866" s="61">
        <f>IF(AND(R866="",S866&lt;&gt;"Yes",L866&lt;0,B866&lt;&gt;"TXO"),L866,"")</f>
        <v/>
      </c>
      <c r="X866" s="226">
        <f>IF(AND(R866="Yes",S866="Yes",L866&gt;0,B866&lt;&gt;"TXO"),L866,"")</f>
        <v/>
      </c>
      <c r="Y866" s="226">
        <f>IF(AND(R866="Yes",S866="Yes",L866&lt;0,B866&lt;&gt;"TXO"),L866,"")</f>
        <v/>
      </c>
      <c r="Z866" s="226">
        <f>IF(AND(R866="",S866="Yes",L866&gt;0,B866&lt;&gt;"TXO"),L866,"")</f>
        <v/>
      </c>
      <c r="AA866" s="226">
        <f>IF(AND(R866="",S866="Yes",L866&lt;0,B866&lt;&gt;"TXO"),L866,"")</f>
        <v/>
      </c>
    </row>
    <row r="867" ht="17.25" customHeight="1" thickBot="1">
      <c r="A867" s="718" t="n">
        <v>43387</v>
      </c>
      <c r="B867" s="292" t="n"/>
      <c r="C867" s="292" t="inlineStr">
        <is>
          <t>XQ 學院版</t>
        </is>
      </c>
      <c r="D867" s="292" t="n"/>
      <c r="E867" s="292" t="n"/>
      <c r="F867" s="292" t="n"/>
      <c r="G867" s="719" t="n"/>
      <c r="H867" s="719" t="n"/>
      <c r="I867" s="719" t="n"/>
      <c r="J867" s="720" t="n"/>
      <c r="K867" s="719" t="n"/>
      <c r="L867" s="720" t="n"/>
      <c r="M867" s="721">
        <f>-4457*0.965</f>
        <v/>
      </c>
      <c r="N867" s="666" t="n"/>
      <c r="P867" s="722" t="n"/>
      <c r="Q867" s="249" t="inlineStr">
        <is>
          <t>49888分12期, 每期4457</t>
        </is>
      </c>
      <c r="S867" s="739" t="n"/>
      <c r="T867" s="61" t="n"/>
      <c r="U867" s="61" t="n"/>
      <c r="V867" s="61" t="n"/>
      <c r="W867" s="61" t="n"/>
    </row>
    <row r="868" ht="17.25" customHeight="1" thickBot="1">
      <c r="A868" s="718" t="n">
        <v>43392</v>
      </c>
      <c r="B868" s="292" t="n"/>
      <c r="C868" s="292" t="inlineStr">
        <is>
          <t>阿水制霸班</t>
        </is>
      </c>
      <c r="D868" s="292" t="n"/>
      <c r="E868" s="292" t="n"/>
      <c r="F868" s="292" t="n"/>
      <c r="G868" s="719" t="n"/>
      <c r="H868" s="719" t="n"/>
      <c r="I868" s="719" t="n"/>
      <c r="J868" s="720" t="n"/>
      <c r="K868" s="719" t="n"/>
      <c r="L868" s="720" t="n"/>
      <c r="M868" s="721" t="n">
        <v>-4490</v>
      </c>
      <c r="N868" s="666" t="n"/>
      <c r="P868" s="722" t="n"/>
      <c r="Q868" s="249" t="inlineStr">
        <is>
          <t>53888分12期, 每期4490, 12-11</t>
        </is>
      </c>
      <c r="S868" s="739" t="n"/>
    </row>
    <row r="869" ht="17.25" customHeight="1" thickBot="1">
      <c r="A869" s="718" t="n">
        <v>43393</v>
      </c>
      <c r="B869" s="292" t="n"/>
      <c r="C869" s="318" t="inlineStr">
        <is>
          <t>保單借款利息</t>
        </is>
      </c>
      <c r="D869" s="292" t="n"/>
      <c r="E869" s="292" t="n"/>
      <c r="F869" s="292" t="n"/>
      <c r="G869" s="719" t="n"/>
      <c r="H869" s="719" t="n"/>
      <c r="I869" s="719" t="n"/>
      <c r="J869" s="720" t="n"/>
      <c r="K869" s="719" t="n"/>
      <c r="L869" s="720" t="n"/>
      <c r="M869" s="721" t="n">
        <v>-764</v>
      </c>
      <c r="N869" s="666" t="n"/>
      <c r="P869" s="722" t="n"/>
      <c r="S869" s="739" t="n"/>
    </row>
    <row r="870" collapsed="1" ht="17.25" customHeight="1" thickBot="1">
      <c r="A870" s="718" t="n">
        <v>43187</v>
      </c>
      <c r="B870" s="292" t="n"/>
      <c r="C870" s="292" t="inlineStr">
        <is>
          <t>阿水財經四班</t>
        </is>
      </c>
      <c r="D870" s="292" t="n"/>
      <c r="E870" s="292" t="n"/>
      <c r="F870" s="292" t="n"/>
      <c r="G870" s="719" t="n"/>
      <c r="H870" s="719" t="n"/>
      <c r="I870" s="719" t="n"/>
      <c r="J870" s="720" t="n"/>
      <c r="K870" s="719" t="n"/>
      <c r="L870" s="720" t="n"/>
      <c r="M870" s="721">
        <f>-5000*0.965</f>
        <v/>
      </c>
      <c r="N870" s="666" t="n"/>
      <c r="P870" s="722" t="n"/>
      <c r="Q870" s="249" t="inlineStr">
        <is>
          <t>60000分12期, 每期5000</t>
        </is>
      </c>
      <c r="S870" s="739" t="n"/>
      <c r="T870" s="61">
        <f>IF(AND(R870="Yes",S870&lt;&gt;"Yes",L870&gt;0,B870&lt;&gt;"TXO"),L870,"")</f>
        <v/>
      </c>
    </row>
    <row r="871" hidden="1" outlineLevel="1" ht="66.75" customHeight="1" thickBot="1">
      <c r="A871" s="740" t="n">
        <v>43374</v>
      </c>
      <c r="B871" s="299" t="inlineStr">
        <is>
          <t>FIMTX</t>
        </is>
      </c>
      <c r="C871" s="300" t="inlineStr">
        <is>
          <t>小指10</t>
        </is>
      </c>
      <c r="D871" s="300" t="inlineStr">
        <is>
          <t>新倉</t>
        </is>
      </c>
      <c r="E871" s="301" t="inlineStr">
        <is>
          <t>賣</t>
        </is>
      </c>
      <c r="F871" s="300" t="inlineStr">
        <is>
          <t>-</t>
        </is>
      </c>
      <c r="G871" s="741" t="n">
        <v>1</v>
      </c>
      <c r="H871" s="741" t="n">
        <v>10975</v>
      </c>
      <c r="I871" s="741" t="n">
        <v>0</v>
      </c>
      <c r="J871" s="742" t="n">
        <v>23</v>
      </c>
      <c r="K871" s="742" t="n">
        <v>11</v>
      </c>
      <c r="L871" s="742">
        <f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/>
      </c>
      <c r="M871" s="743">
        <f>L871</f>
        <v/>
      </c>
      <c r="N871" s="686">
        <f>IF(B871="TXO","",IF(D871="新倉","",IF(E871="賣",(H871-H864)*G871,(H864-H871)*G871)))</f>
        <v/>
      </c>
      <c r="O871" s="226">
        <f>ABS(I871)</f>
        <v/>
      </c>
      <c r="P871" s="667">
        <f>SUM(L871:L890)</f>
        <v/>
      </c>
      <c r="Q871" s="249" t="inlineStr">
        <is>
          <t>技法: 籌碼三弱，跌破開盤低點下空單
5分K未跑完就下單，5分K跑完時已拉回</t>
        </is>
      </c>
      <c r="S871" s="739" t="n"/>
      <c r="T871" s="61">
        <f>IF(AND(R871="Yes",S871&lt;&gt;"Yes",L871&gt;0,B871&lt;&gt;"TXO"),L871,"")</f>
        <v/>
      </c>
      <c r="U871" s="61">
        <f>IF(AND(R871="Yes",S871&lt;&gt;"Yes",L871&lt;0,B871&lt;&gt;"TXO"),L871,"")</f>
        <v/>
      </c>
      <c r="V871" s="61">
        <f>IF(AND(R871="",S871&lt;&gt;"Yes",L871&gt;0,B871&lt;&gt;"TXO"),L871,"")</f>
        <v/>
      </c>
      <c r="W871" s="61">
        <f>IF(AND(R871="",S871&lt;&gt;"Yes",L871&lt;0,B871&lt;&gt;"TXO"),L871,"")</f>
        <v/>
      </c>
      <c r="X871" s="226">
        <f>IF(AND(R871="Yes",S871="Yes",L871&gt;0,B871&lt;&gt;"TXO"),L871,"")</f>
        <v/>
      </c>
      <c r="Y871" s="226">
        <f>IF(AND(R871="Yes",S871="Yes",L871&lt;0,B871&lt;&gt;"TXO"),L871,"")</f>
        <v/>
      </c>
      <c r="Z871" s="226">
        <f>IF(AND(R871="",S871="Yes",L871&gt;0,B871&lt;&gt;"TXO"),L871,"")</f>
        <v/>
      </c>
      <c r="AA871" s="226">
        <f>IF(AND(R871="",S871="Yes",L871&lt;0,B871&lt;&gt;"TXO"),L871,"")</f>
        <v/>
      </c>
    </row>
    <row r="872" hidden="1" outlineLevel="2" collapsed="1" ht="17.25" customHeight="1" thickBot="1">
      <c r="A872" s="740" t="n">
        <v>43374</v>
      </c>
      <c r="B872" s="299" t="inlineStr">
        <is>
          <t>FIMTX</t>
        </is>
      </c>
      <c r="C872" s="300" t="inlineStr">
        <is>
          <t>小指10</t>
        </is>
      </c>
      <c r="D872" s="300" t="inlineStr">
        <is>
          <t>平倉</t>
        </is>
      </c>
      <c r="E872" s="301" t="inlineStr">
        <is>
          <t>買</t>
        </is>
      </c>
      <c r="F872" s="300" t="inlineStr">
        <is>
          <t>-</t>
        </is>
      </c>
      <c r="G872" s="741" t="n">
        <v>1</v>
      </c>
      <c r="H872" s="741" t="n">
        <v>10989</v>
      </c>
      <c r="I872" s="741" t="n">
        <v>0</v>
      </c>
      <c r="J872" s="742" t="n">
        <v>23</v>
      </c>
      <c r="K872" s="742" t="n">
        <v>11</v>
      </c>
      <c r="L872" s="742">
        <f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/>
      </c>
      <c r="M872" s="743">
        <f>L872</f>
        <v/>
      </c>
      <c r="N872" s="686">
        <f>IF(B872="TXO","",IF(D872="新倉","",IF(E872="賣",(H872-H871)*G872,(H871-H872)*G872)))</f>
        <v/>
      </c>
      <c r="O872" s="226">
        <f>ABS(I872)</f>
        <v/>
      </c>
      <c r="P872" s="667" t="n"/>
      <c r="Q872" s="249" t="inlineStr">
        <is>
          <t>停損</t>
        </is>
      </c>
      <c r="S872" s="739" t="n"/>
      <c r="T872" s="61">
        <f>IF(AND(R872="Yes",S872&lt;&gt;"Yes",L872&gt;0,B872&lt;&gt;"TXO"),L872,"")</f>
        <v/>
      </c>
      <c r="U872" s="61">
        <f>IF(AND(R872="Yes",S872&lt;&gt;"Yes",L872&lt;0,B872&lt;&gt;"TXO"),L872,"")</f>
        <v/>
      </c>
      <c r="V872" s="61">
        <f>IF(AND(R872="",S872&lt;&gt;"Yes",L872&gt;0,B872&lt;&gt;"TXO"),L872,"")</f>
        <v/>
      </c>
      <c r="W872" s="61">
        <f>IF(AND(R872="",S872&lt;&gt;"Yes",L872&lt;0,B872&lt;&gt;"TXO"),L872,"")</f>
        <v/>
      </c>
      <c r="X872" s="226">
        <f>IF(AND(R872="Yes",S872="Yes",L872&gt;0,B872&lt;&gt;"TXO"),L872,"")</f>
        <v/>
      </c>
      <c r="Y872" s="226">
        <f>IF(AND(R872="Yes",S872="Yes",L872&lt;0,B872&lt;&gt;"TXO"),L872,"")</f>
        <v/>
      </c>
      <c r="Z872" s="226">
        <f>IF(AND(R872="",S872="Yes",L872&gt;0,B872&lt;&gt;"TXO"),L872,"")</f>
        <v/>
      </c>
      <c r="AA872" s="226">
        <f>IF(AND(R872="",S872="Yes",L872&lt;0,B872&lt;&gt;"TXO"),L872,"")</f>
        <v/>
      </c>
    </row>
    <row r="873" hidden="1" outlineLevel="2" collapsed="1" ht="17.25" customHeight="1" thickBot="1">
      <c r="A873" s="740" t="n">
        <v>43374</v>
      </c>
      <c r="B873" s="299" t="inlineStr">
        <is>
          <t>FIMTX</t>
        </is>
      </c>
      <c r="C873" s="300" t="inlineStr">
        <is>
          <t>小指10</t>
        </is>
      </c>
      <c r="D873" s="300" t="inlineStr">
        <is>
          <t>新倉</t>
        </is>
      </c>
      <c r="E873" s="301" t="inlineStr">
        <is>
          <t>買</t>
        </is>
      </c>
      <c r="F873" s="300" t="inlineStr">
        <is>
          <t>-</t>
        </is>
      </c>
      <c r="G873" s="741" t="n">
        <v>1</v>
      </c>
      <c r="H873" s="741" t="n">
        <v>10985</v>
      </c>
      <c r="I873" s="741" t="n">
        <v>0</v>
      </c>
      <c r="J873" s="742" t="n">
        <v>23</v>
      </c>
      <c r="K873" s="742" t="n">
        <v>11</v>
      </c>
      <c r="L873" s="742">
        <f>IF(B873="TXO",I873-SUM(J873:K873),IF(B873="FITX",IF(D873="新倉",-SUM(J873:K873),IF(E873="賣",(H873-H872)*G873*200-SUM(J873:K873),(H872-H873)*G873*200-SUM(J873:K873))),IF(D873="新倉",-SUM(J873:K873),IF(E873="賣",(H873-H872)*G873*50-SUM(J873:K873),(H872-H873)*G873*50-SUM(J873:K873)))))</f>
        <v/>
      </c>
      <c r="M873" s="743">
        <f>L873</f>
        <v/>
      </c>
      <c r="N873" s="686">
        <f>IF(B873="TXO","",IF(D873="新倉","",IF(E873="賣",(H873-H872)*G873,(H872-H873)*G873)))</f>
        <v/>
      </c>
      <c r="O873" s="226">
        <f>ABS(I873)</f>
        <v/>
      </c>
      <c r="P873" s="667" t="n"/>
      <c r="Q873" s="249" t="inlineStr">
        <is>
          <t>技法: 3/3 買進三口</t>
        </is>
      </c>
      <c r="R873" s="249" t="inlineStr">
        <is>
          <t>Yes</t>
        </is>
      </c>
      <c r="S873" s="739" t="n"/>
      <c r="T873" s="61">
        <f>IF(AND(R873="Yes",S873&lt;&gt;"Yes",L873&gt;0,B873&lt;&gt;"TXO"),L873,"")</f>
        <v/>
      </c>
      <c r="U873" s="61">
        <f>IF(AND(R873="Yes",S873&lt;&gt;"Yes",L873&lt;0,B873&lt;&gt;"TXO"),L873,"")</f>
        <v/>
      </c>
      <c r="V873" s="61">
        <f>IF(AND(R873="",S873&lt;&gt;"Yes",L873&gt;0,B873&lt;&gt;"TXO"),L873,"")</f>
        <v/>
      </c>
      <c r="W873" s="61">
        <f>IF(AND(R873="",S873&lt;&gt;"Yes",L873&lt;0,B873&lt;&gt;"TXO"),L873,"")</f>
        <v/>
      </c>
      <c r="X873" s="226">
        <f>IF(AND(R873="Yes",S873="Yes",L873&gt;0,B873&lt;&gt;"TXO"),L873,"")</f>
        <v/>
      </c>
      <c r="Y873" s="226">
        <f>IF(AND(R873="Yes",S873="Yes",L873&lt;0,B873&lt;&gt;"TXO"),L873,"")</f>
        <v/>
      </c>
      <c r="Z873" s="226">
        <f>IF(AND(R873="",S873="Yes",L873&gt;0,B873&lt;&gt;"TXO"),L873,"")</f>
        <v/>
      </c>
      <c r="AA873" s="226">
        <f>IF(AND(R873="",S873="Yes",L873&lt;0,B873&lt;&gt;"TXO"),L873,"")</f>
        <v/>
      </c>
    </row>
    <row r="874" hidden="1" outlineLevel="2" collapsed="1" ht="17.25" customHeight="1" thickBot="1">
      <c r="A874" s="740" t="n">
        <v>43374</v>
      </c>
      <c r="B874" s="299" t="inlineStr">
        <is>
          <t>FIMTX</t>
        </is>
      </c>
      <c r="C874" s="300" t="inlineStr">
        <is>
          <t>小指10</t>
        </is>
      </c>
      <c r="D874" s="300" t="inlineStr">
        <is>
          <t>平倉</t>
        </is>
      </c>
      <c r="E874" s="301" t="inlineStr">
        <is>
          <t>賣</t>
        </is>
      </c>
      <c r="F874" s="300" t="inlineStr">
        <is>
          <t>-</t>
        </is>
      </c>
      <c r="G874" s="741" t="n">
        <v>1</v>
      </c>
      <c r="H874" s="741" t="n">
        <v>10997</v>
      </c>
      <c r="I874" s="741" t="n">
        <v>0</v>
      </c>
      <c r="J874" s="742" t="n">
        <v>23</v>
      </c>
      <c r="K874" s="742" t="n">
        <v>11</v>
      </c>
      <c r="L874" s="742">
        <f>IF(B874="TXO",I874-SUM(J874:K874),IF(B874="FITX",IF(D874="新倉",-SUM(J874:K874),IF(E874="賣",(H874-H873)*G874*200-SUM(J874:K874),(H873-H874)*G874*200-SUM(J874:K874))),IF(D874="新倉",-SUM(J874:K874),IF(E874="賣",(H874-H873)*G874*50-SUM(J874:K874),(H873-H874)*G874*50-SUM(J874:K874)))))</f>
        <v/>
      </c>
      <c r="M874" s="743">
        <f>L874</f>
        <v/>
      </c>
      <c r="N874" s="686">
        <f>IF(B874="TXO","",IF(D874="新倉","",IF(E874="賣",(H874-H873)*G874,(H873-H874)*G874)))</f>
        <v/>
      </c>
      <c r="O874" s="226">
        <f>ABS(I874)</f>
        <v/>
      </c>
      <c r="P874" s="667" t="n"/>
      <c r="Q874" s="249" t="inlineStr">
        <is>
          <t>技法: 刺補</t>
        </is>
      </c>
      <c r="R874" s="249" t="inlineStr">
        <is>
          <t>Yes</t>
        </is>
      </c>
      <c r="S874" s="739" t="n"/>
      <c r="T874" s="61">
        <f>IF(AND(R874="Yes",S874&lt;&gt;"Yes",L874&gt;0,B874&lt;&gt;"TXO"),L874,"")</f>
        <v/>
      </c>
      <c r="U874" s="61">
        <f>IF(AND(R874="Yes",S874&lt;&gt;"Yes",L874&lt;0,B874&lt;&gt;"TXO"),L874,"")</f>
        <v/>
      </c>
      <c r="V874" s="61">
        <f>IF(AND(R874="",S874&lt;&gt;"Yes",L874&gt;0,B874&lt;&gt;"TXO"),L874,"")</f>
        <v/>
      </c>
      <c r="W874" s="61">
        <f>IF(AND(R874="",S874&lt;&gt;"Yes",L874&lt;0,B874&lt;&gt;"TXO"),L874,"")</f>
        <v/>
      </c>
      <c r="X874" s="226">
        <f>IF(AND(R874="Yes",S874="Yes",L874&gt;0,B874&lt;&gt;"TXO"),L874,"")</f>
        <v/>
      </c>
      <c r="Y874" s="226">
        <f>IF(AND(R874="Yes",S874="Yes",L874&lt;0,B874&lt;&gt;"TXO"),L874,"")</f>
        <v/>
      </c>
      <c r="Z874" s="226">
        <f>IF(AND(R874="",S874="Yes",L874&gt;0,B874&lt;&gt;"TXO"),L874,"")</f>
        <v/>
      </c>
      <c r="AA874" s="226">
        <f>IF(AND(R874="",S874="Yes",L874&lt;0,B874&lt;&gt;"TXO"),L874,"")</f>
        <v/>
      </c>
    </row>
    <row r="875" hidden="1" outlineLevel="2" collapsed="1" ht="17.25" customHeight="1" thickBot="1">
      <c r="A875" s="740" t="n">
        <v>43374</v>
      </c>
      <c r="B875" s="299" t="inlineStr">
        <is>
          <t>FIMTX</t>
        </is>
      </c>
      <c r="C875" s="300" t="inlineStr">
        <is>
          <t>小指10</t>
        </is>
      </c>
      <c r="D875" s="300" t="inlineStr">
        <is>
          <t>新倉</t>
        </is>
      </c>
      <c r="E875" s="301" t="inlineStr">
        <is>
          <t>買</t>
        </is>
      </c>
      <c r="F875" s="300" t="inlineStr">
        <is>
          <t>-</t>
        </is>
      </c>
      <c r="G875" s="741" t="n">
        <v>1</v>
      </c>
      <c r="H875" s="741" t="n">
        <v>10985</v>
      </c>
      <c r="I875" s="741" t="n">
        <v>0</v>
      </c>
      <c r="J875" s="742" t="n">
        <v>23</v>
      </c>
      <c r="K875" s="742" t="n">
        <v>11</v>
      </c>
      <c r="L875" s="742">
        <f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/>
      </c>
      <c r="M875" s="743">
        <f>L875</f>
        <v/>
      </c>
      <c r="N875" s="686">
        <f>IF(B875="TXO","",IF(D875="新倉","",IF(E875="賣",(H875-H874)*G875,(H874-H875)*G875)))</f>
        <v/>
      </c>
      <c r="O875" s="226">
        <f>ABS(I875)</f>
        <v/>
      </c>
      <c r="P875" s="667" t="n"/>
      <c r="R875" s="249" t="inlineStr">
        <is>
          <t>Yes</t>
        </is>
      </c>
      <c r="S875" s="739" t="n"/>
      <c r="T875" s="61">
        <f>IF(AND(R875="Yes",S875&lt;&gt;"Yes",L875&gt;0,B875&lt;&gt;"TXO"),L875,"")</f>
        <v/>
      </c>
      <c r="U875" s="61">
        <f>IF(AND(R875="Yes",S875&lt;&gt;"Yes",L875&lt;0,B875&lt;&gt;"TXO"),L875,"")</f>
        <v/>
      </c>
      <c r="V875" s="61">
        <f>IF(AND(R875="",S875&lt;&gt;"Yes",L875&gt;0,B875&lt;&gt;"TXO"),L875,"")</f>
        <v/>
      </c>
      <c r="W875" s="61">
        <f>IF(AND(R875="",S875&lt;&gt;"Yes",L875&lt;0,B875&lt;&gt;"TXO"),L875,"")</f>
        <v/>
      </c>
      <c r="X875" s="226">
        <f>IF(AND(R875="Yes",S875="Yes",L875&gt;0,B875&lt;&gt;"TXO"),L875,"")</f>
        <v/>
      </c>
      <c r="Y875" s="226">
        <f>IF(AND(R875="Yes",S875="Yes",L875&lt;0,B875&lt;&gt;"TXO"),L875,"")</f>
        <v/>
      </c>
      <c r="Z875" s="226">
        <f>IF(AND(R875="",S875="Yes",L875&gt;0,B875&lt;&gt;"TXO"),L875,"")</f>
        <v/>
      </c>
      <c r="AA875" s="226">
        <f>IF(AND(R875="",S875="Yes",L875&lt;0,B875&lt;&gt;"TXO"),L875,"")</f>
        <v/>
      </c>
    </row>
    <row r="876" hidden="1" outlineLevel="2" collapsed="1" ht="17.25" customHeight="1" thickBot="1">
      <c r="A876" s="740" t="n">
        <v>43374</v>
      </c>
      <c r="B876" s="299" t="inlineStr">
        <is>
          <t>FIMTX</t>
        </is>
      </c>
      <c r="C876" s="300" t="inlineStr">
        <is>
          <t>小指10</t>
        </is>
      </c>
      <c r="D876" s="300" t="inlineStr">
        <is>
          <t>平倉</t>
        </is>
      </c>
      <c r="E876" s="301" t="inlineStr">
        <is>
          <t>賣</t>
        </is>
      </c>
      <c r="F876" s="300" t="inlineStr">
        <is>
          <t>-</t>
        </is>
      </c>
      <c r="G876" s="741" t="n">
        <v>1</v>
      </c>
      <c r="H876" s="741" t="n">
        <v>11014</v>
      </c>
      <c r="I876" s="741" t="n">
        <v>0</v>
      </c>
      <c r="J876" s="742" t="n">
        <v>23</v>
      </c>
      <c r="K876" s="742" t="n">
        <v>11</v>
      </c>
      <c r="L876" s="742">
        <f>IF(B876="TXO",I876-SUM(J876:K876),IF(B876="FITX",IF(D876="新倉",-SUM(J876:K876),IF(E876="賣",(H876-H875)*G876*200-SUM(J876:K876),(H875-H876)*G876*200-SUM(J876:K876))),IF(D876="新倉",-SUM(J876:K876),IF(E876="賣",(H876-H875)*G876*50-SUM(J876:K876),(H875-H876)*G876*50-SUM(J876:K876)))))</f>
        <v/>
      </c>
      <c r="M876" s="743">
        <f>L876</f>
        <v/>
      </c>
      <c r="N876" s="686">
        <f>IF(B876="TXO","",IF(D876="新倉","",IF(E876="賣",(H876-H875)*G876,(H875-H876)*G876)))</f>
        <v/>
      </c>
      <c r="O876" s="226">
        <f>ABS(I876)</f>
        <v/>
      </c>
      <c r="P876" s="667" t="n"/>
      <c r="Q876" s="249" t="inlineStr">
        <is>
          <t>技法: 刺補</t>
        </is>
      </c>
      <c r="R876" s="249" t="inlineStr">
        <is>
          <t>Yes</t>
        </is>
      </c>
      <c r="S876" s="739" t="n"/>
      <c r="T876" s="61">
        <f>IF(AND(R876="Yes",S876&lt;&gt;"Yes",L876&gt;0,B876&lt;&gt;"TXO"),L876,"")</f>
        <v/>
      </c>
      <c r="U876" s="61">
        <f>IF(AND(R876="Yes",S876&lt;&gt;"Yes",L876&lt;0,B876&lt;&gt;"TXO"),L876,"")</f>
        <v/>
      </c>
      <c r="V876" s="61">
        <f>IF(AND(R876="",S876&lt;&gt;"Yes",L876&gt;0,B876&lt;&gt;"TXO"),L876,"")</f>
        <v/>
      </c>
      <c r="W876" s="61">
        <f>IF(AND(R876="",S876&lt;&gt;"Yes",L876&lt;0,B876&lt;&gt;"TXO"),L876,"")</f>
        <v/>
      </c>
      <c r="X876" s="226">
        <f>IF(AND(R876="Yes",S876="Yes",L876&gt;0,B876&lt;&gt;"TXO"),L876,"")</f>
        <v/>
      </c>
      <c r="Y876" s="226">
        <f>IF(AND(R876="Yes",S876="Yes",L876&lt;0,B876&lt;&gt;"TXO"),L876,"")</f>
        <v/>
      </c>
      <c r="Z876" s="226">
        <f>IF(AND(R876="",S876="Yes",L876&gt;0,B876&lt;&gt;"TXO"),L876,"")</f>
        <v/>
      </c>
      <c r="AA876" s="226">
        <f>IF(AND(R876="",S876="Yes",L876&lt;0,B876&lt;&gt;"TXO"),L876,"")</f>
        <v/>
      </c>
    </row>
    <row r="877" hidden="1" outlineLevel="2" collapsed="1" ht="17.25" customHeight="1" thickBot="1">
      <c r="A877" s="740" t="n">
        <v>43374</v>
      </c>
      <c r="B877" s="299" t="inlineStr">
        <is>
          <t>FIMTX</t>
        </is>
      </c>
      <c r="C877" s="300" t="inlineStr">
        <is>
          <t>小指10</t>
        </is>
      </c>
      <c r="D877" s="300" t="inlineStr">
        <is>
          <t>新倉</t>
        </is>
      </c>
      <c r="E877" s="301" t="inlineStr">
        <is>
          <t>買</t>
        </is>
      </c>
      <c r="F877" s="300" t="inlineStr">
        <is>
          <t>-</t>
        </is>
      </c>
      <c r="G877" s="741" t="n">
        <v>1</v>
      </c>
      <c r="H877" s="741" t="n">
        <v>10985</v>
      </c>
      <c r="I877" s="741" t="n">
        <v>0</v>
      </c>
      <c r="J877" s="742" t="n">
        <v>23</v>
      </c>
      <c r="K877" s="742" t="n">
        <v>11</v>
      </c>
      <c r="L877" s="742">
        <f>IF(B877="TXO",I877-SUM(J877:K877),IF(B877="FITX",IF(D877="新倉",-SUM(J877:K877),IF(E877="賣",(H877-H876)*G877*200-SUM(J877:K877),(H876-H877)*G877*200-SUM(J877:K877))),IF(D877="新倉",-SUM(J877:K877),IF(E877="賣",(H877-H876)*G877*50-SUM(J877:K877),(H876-H877)*G877*50-SUM(J877:K877)))))</f>
        <v/>
      </c>
      <c r="M877" s="743">
        <f>L877</f>
        <v/>
      </c>
      <c r="N877" s="686">
        <f>IF(B877="TXO","",IF(D877="新倉","",IF(E877="賣",(H877-H876)*G877,(H876-H877)*G877)))</f>
        <v/>
      </c>
      <c r="O877" s="226">
        <f>ABS(I877)</f>
        <v/>
      </c>
      <c r="P877" s="667" t="n"/>
      <c r="R877" s="249" t="inlineStr">
        <is>
          <t>Yes</t>
        </is>
      </c>
      <c r="S877" s="739" t="n"/>
      <c r="T877" s="61">
        <f>IF(AND(R877="Yes",S877&lt;&gt;"Yes",L877&gt;0,B877&lt;&gt;"TXO"),L877,"")</f>
        <v/>
      </c>
      <c r="U877" s="61">
        <f>IF(AND(R877="Yes",S877&lt;&gt;"Yes",L877&lt;0,B877&lt;&gt;"TXO"),L877,"")</f>
        <v/>
      </c>
      <c r="V877" s="61">
        <f>IF(AND(R877="",S877&lt;&gt;"Yes",L877&gt;0,B877&lt;&gt;"TXO"),L877,"")</f>
        <v/>
      </c>
      <c r="W877" s="61">
        <f>IF(AND(R877="",S877&lt;&gt;"Yes",L877&lt;0,B877&lt;&gt;"TXO"),L877,"")</f>
        <v/>
      </c>
      <c r="X877" s="226">
        <f>IF(AND(R877="Yes",S877="Yes",L877&gt;0,B877&lt;&gt;"TXO"),L877,"")</f>
        <v/>
      </c>
      <c r="Y877" s="226">
        <f>IF(AND(R877="Yes",S877="Yes",L877&lt;0,B877&lt;&gt;"TXO"),L877,"")</f>
        <v/>
      </c>
      <c r="Z877" s="226">
        <f>IF(AND(R877="",S877="Yes",L877&gt;0,B877&lt;&gt;"TXO"),L877,"")</f>
        <v/>
      </c>
      <c r="AA877" s="226">
        <f>IF(AND(R877="",S877="Yes",L877&lt;0,B877&lt;&gt;"TXO"),L877,"")</f>
        <v/>
      </c>
    </row>
    <row r="878" hidden="1" outlineLevel="2" collapsed="1" ht="17.25" customHeight="1" thickBot="1">
      <c r="A878" s="740" t="n">
        <v>43374</v>
      </c>
      <c r="B878" s="299" t="inlineStr">
        <is>
          <t>FIMTX</t>
        </is>
      </c>
      <c r="C878" s="300" t="inlineStr">
        <is>
          <t>小指10</t>
        </is>
      </c>
      <c r="D878" s="300" t="inlineStr">
        <is>
          <t>平倉</t>
        </is>
      </c>
      <c r="E878" s="301" t="inlineStr">
        <is>
          <t>賣</t>
        </is>
      </c>
      <c r="F878" s="300" t="inlineStr">
        <is>
          <t>-</t>
        </is>
      </c>
      <c r="G878" s="741" t="n">
        <v>1</v>
      </c>
      <c r="H878" s="741" t="n">
        <v>11006</v>
      </c>
      <c r="I878" s="741" t="n">
        <v>0</v>
      </c>
      <c r="J878" s="742" t="n">
        <v>23</v>
      </c>
      <c r="K878" s="742" t="n">
        <v>11</v>
      </c>
      <c r="L878" s="742">
        <f>IF(B878="TXO",I878-SUM(J878:K878),IF(B878="FITX",IF(D878="新倉",-SUM(J878:K878),IF(E878="賣",(H878-H877)*G878*200-SUM(J878:K878),(H877-H878)*G878*200-SUM(J878:K878))),IF(D878="新倉",-SUM(J878:K878),IF(E878="賣",(H878-H877)*G878*50-SUM(J878:K878),(H877-H878)*G878*50-SUM(J878:K878)))))</f>
        <v/>
      </c>
      <c r="M878" s="743">
        <f>L878</f>
        <v/>
      </c>
      <c r="N878" s="686">
        <f>IF(B878="TXO","",IF(D878="新倉","",IF(E878="賣",(H878-H877)*G878,(H877-H878)*G878)))</f>
        <v/>
      </c>
      <c r="O878" s="226">
        <f>ABS(I878)</f>
        <v/>
      </c>
      <c r="P878" s="667" t="n"/>
      <c r="Q878" s="249" t="inlineStr">
        <is>
          <t>技法: 移動式停利</t>
        </is>
      </c>
      <c r="R878" s="249" t="inlineStr">
        <is>
          <t>Yes</t>
        </is>
      </c>
      <c r="S878" s="739" t="n"/>
      <c r="T878" s="61">
        <f>IF(AND(R878="Yes",S878&lt;&gt;"Yes",L878&gt;0,B878&lt;&gt;"TXO"),L878,"")</f>
        <v/>
      </c>
      <c r="U878" s="61">
        <f>IF(AND(R878="Yes",S878&lt;&gt;"Yes",L878&lt;0,B878&lt;&gt;"TXO"),L878,"")</f>
        <v/>
      </c>
      <c r="V878" s="61">
        <f>IF(AND(R878="",S878&lt;&gt;"Yes",L878&gt;0,B878&lt;&gt;"TXO"),L878,"")</f>
        <v/>
      </c>
      <c r="W878" s="61">
        <f>IF(AND(R878="",S878&lt;&gt;"Yes",L878&lt;0,B878&lt;&gt;"TXO"),L878,"")</f>
        <v/>
      </c>
      <c r="X878" s="226">
        <f>IF(AND(R878="Yes",S878="Yes",L878&gt;0,B878&lt;&gt;"TXO"),L878,"")</f>
        <v/>
      </c>
      <c r="Y878" s="226">
        <f>IF(AND(R878="Yes",S878="Yes",L878&lt;0,B878&lt;&gt;"TXO"),L878,"")</f>
        <v/>
      </c>
      <c r="Z878" s="226">
        <f>IF(AND(R878="",S878="Yes",L878&gt;0,B878&lt;&gt;"TXO"),L878,"")</f>
        <v/>
      </c>
      <c r="AA878" s="226">
        <f>IF(AND(R878="",S878="Yes",L878&lt;0,B878&lt;&gt;"TXO"),L878,"")</f>
        <v/>
      </c>
    </row>
    <row r="879" hidden="1" outlineLevel="2" collapsed="1" ht="17.25" customHeight="1" thickBot="1">
      <c r="A879" s="740" t="n">
        <v>43374</v>
      </c>
      <c r="B879" s="299" t="inlineStr">
        <is>
          <t>FIMTX</t>
        </is>
      </c>
      <c r="C879" s="300" t="inlineStr">
        <is>
          <t>小指10</t>
        </is>
      </c>
      <c r="D879" s="300" t="inlineStr">
        <is>
          <t>新倉</t>
        </is>
      </c>
      <c r="E879" s="301" t="inlineStr">
        <is>
          <t>買</t>
        </is>
      </c>
      <c r="F879" s="300" t="inlineStr">
        <is>
          <t>-</t>
        </is>
      </c>
      <c r="G879" s="741" t="n">
        <v>1</v>
      </c>
      <c r="H879" s="741" t="n">
        <v>11011</v>
      </c>
      <c r="I879" s="741" t="n">
        <v>0</v>
      </c>
      <c r="J879" s="742" t="n">
        <v>23</v>
      </c>
      <c r="K879" s="742" t="n">
        <v>11</v>
      </c>
      <c r="L879" s="742">
        <f>IF(B879="TXO",I879-SUM(J879:K879),IF(B879="FITX",IF(D879="新倉",-SUM(J879:K879),IF(E879="賣",(H879-H878)*G879*200-SUM(J879:K879),(H878-H879)*G879*200-SUM(J879:K879))),IF(D879="新倉",-SUM(J879:K879),IF(E879="賣",(H879-H878)*G879*50-SUM(J879:K879),(H878-H879)*G879*50-SUM(J879:K879)))))</f>
        <v/>
      </c>
      <c r="M879" s="743">
        <f>L879</f>
        <v/>
      </c>
      <c r="N879" s="686">
        <f>IF(B879="TXO","",IF(D879="新倉","",IF(E879="賣",(H879-H878)*G879,(H878-H879)*G879)))</f>
        <v/>
      </c>
      <c r="O879" s="226">
        <f>ABS(I879)</f>
        <v/>
      </c>
      <c r="P879" s="667" t="n"/>
      <c r="Q879" s="249" t="inlineStr">
        <is>
          <t>技法: 3/3 買進一口</t>
        </is>
      </c>
      <c r="R879" s="249" t="inlineStr">
        <is>
          <t>Yes</t>
        </is>
      </c>
      <c r="S879" s="739" t="n"/>
      <c r="T879" s="61">
        <f>IF(AND(R879="Yes",S879&lt;&gt;"Yes",L879&gt;0,B879&lt;&gt;"TXO"),L879,"")</f>
        <v/>
      </c>
      <c r="U879" s="61">
        <f>IF(AND(R879="Yes",S879&lt;&gt;"Yes",L879&lt;0,B879&lt;&gt;"TXO"),L879,"")</f>
        <v/>
      </c>
      <c r="V879" s="61">
        <f>IF(AND(R879="",S879&lt;&gt;"Yes",L879&gt;0,B879&lt;&gt;"TXO"),L879,"")</f>
        <v/>
      </c>
      <c r="W879" s="61">
        <f>IF(AND(R879="",S879&lt;&gt;"Yes",L879&lt;0,B879&lt;&gt;"TXO"),L879,"")</f>
        <v/>
      </c>
      <c r="X879" s="226">
        <f>IF(AND(R879="Yes",S879="Yes",L879&gt;0,B879&lt;&gt;"TXO"),L879,"")</f>
        <v/>
      </c>
      <c r="Y879" s="226">
        <f>IF(AND(R879="Yes",S879="Yes",L879&lt;0,B879&lt;&gt;"TXO"),L879,"")</f>
        <v/>
      </c>
      <c r="Z879" s="226">
        <f>IF(AND(R879="",S879="Yes",L879&gt;0,B879&lt;&gt;"TXO"),L879,"")</f>
        <v/>
      </c>
      <c r="AA879" s="226">
        <f>IF(AND(R879="",S879="Yes",L879&lt;0,B879&lt;&gt;"TXO"),L879,"")</f>
        <v/>
      </c>
    </row>
    <row r="880" hidden="1" outlineLevel="2" collapsed="1" ht="17.25" customHeight="1" thickBot="1">
      <c r="A880" s="740" t="n">
        <v>43374</v>
      </c>
      <c r="B880" s="299" t="inlineStr">
        <is>
          <t>FIMTX</t>
        </is>
      </c>
      <c r="C880" s="300" t="inlineStr">
        <is>
          <t>小指10</t>
        </is>
      </c>
      <c r="D880" s="300" t="inlineStr">
        <is>
          <t>平倉</t>
        </is>
      </c>
      <c r="E880" s="301" t="inlineStr">
        <is>
          <t>賣</t>
        </is>
      </c>
      <c r="F880" s="300" t="inlineStr">
        <is>
          <t>-</t>
        </is>
      </c>
      <c r="G880" s="741" t="n">
        <v>1</v>
      </c>
      <c r="H880" s="741" t="n">
        <v>11008</v>
      </c>
      <c r="I880" s="741" t="n">
        <v>0</v>
      </c>
      <c r="J880" s="742" t="n">
        <v>23</v>
      </c>
      <c r="K880" s="742" t="n">
        <v>11</v>
      </c>
      <c r="L880" s="742">
        <f>IF(B880="TXO",I880-SUM(J880:K880),IF(B880="FITX",IF(D880="新倉",-SUM(J880:K880),IF(E880="賣",(H880-H879)*G880*200-SUM(J880:K880),(H879-H880)*G880*200-SUM(J880:K880))),IF(D880="新倉",-SUM(J880:K880),IF(E880="賣",(H880-H879)*G880*50-SUM(J880:K880),(H879-H880)*G880*50-SUM(J880:K880)))))</f>
        <v/>
      </c>
      <c r="M880" s="743">
        <f>L880</f>
        <v/>
      </c>
      <c r="N880" s="686">
        <f>IF(B880="TXO","",IF(D880="新倉","",IF(E880="賣",(H880-H879)*G880,(H879-H880)*G880)))</f>
        <v/>
      </c>
      <c r="O880" s="226">
        <f>ABS(I880)</f>
        <v/>
      </c>
      <c r="P880" s="667" t="n"/>
      <c r="Q880" s="249" t="inlineStr">
        <is>
          <t>技法: 碰10MA停損</t>
        </is>
      </c>
      <c r="R880" s="249" t="inlineStr">
        <is>
          <t>Yes</t>
        </is>
      </c>
      <c r="S880" s="739" t="n"/>
      <c r="T880" s="61">
        <f>IF(AND(R880="Yes",S880&lt;&gt;"Yes",L880&gt;0,B880&lt;&gt;"TXO"),L880,"")</f>
        <v/>
      </c>
      <c r="U880" s="61">
        <f>IF(AND(R880="Yes",S880&lt;&gt;"Yes",L880&lt;0,B880&lt;&gt;"TXO"),L880,"")</f>
        <v/>
      </c>
      <c r="V880" s="61">
        <f>IF(AND(R880="",S880&lt;&gt;"Yes",L880&gt;0,B880&lt;&gt;"TXO"),L880,"")</f>
        <v/>
      </c>
      <c r="W880" s="61">
        <f>IF(AND(R880="",S880&lt;&gt;"Yes",L880&lt;0,B880&lt;&gt;"TXO"),L880,"")</f>
        <v/>
      </c>
      <c r="X880" s="226">
        <f>IF(AND(R880="Yes",S880="Yes",L880&gt;0,B880&lt;&gt;"TXO"),L880,"")</f>
        <v/>
      </c>
      <c r="Y880" s="226">
        <f>IF(AND(R880="Yes",S880="Yes",L880&lt;0,B880&lt;&gt;"TXO"),L880,"")</f>
        <v/>
      </c>
      <c r="Z880" s="226">
        <f>IF(AND(R880="",S880="Yes",L880&gt;0,B880&lt;&gt;"TXO"),L880,"")</f>
        <v/>
      </c>
      <c r="AA880" s="226">
        <f>IF(AND(R880="",S880="Yes",L880&lt;0,B880&lt;&gt;"TXO"),L880,"")</f>
        <v/>
      </c>
    </row>
    <row r="881" hidden="1" outlineLevel="2" collapsed="1" ht="17.25" customHeight="1" thickBot="1">
      <c r="A881" s="740" t="n">
        <v>43374</v>
      </c>
      <c r="B881" s="299" t="inlineStr">
        <is>
          <t>FIMTX</t>
        </is>
      </c>
      <c r="C881" s="300" t="inlineStr">
        <is>
          <t>小指10</t>
        </is>
      </c>
      <c r="D881" s="300" t="inlineStr">
        <is>
          <t>新倉</t>
        </is>
      </c>
      <c r="E881" s="301" t="inlineStr">
        <is>
          <t>賣</t>
        </is>
      </c>
      <c r="F881" s="300" t="inlineStr">
        <is>
          <t>-</t>
        </is>
      </c>
      <c r="G881" s="741" t="n">
        <v>1</v>
      </c>
      <c r="H881" s="741" t="n">
        <v>11007</v>
      </c>
      <c r="I881" s="741" t="n">
        <v>0</v>
      </c>
      <c r="J881" s="742" t="n">
        <v>23</v>
      </c>
      <c r="K881" s="742" t="n">
        <v>11</v>
      </c>
      <c r="L881" s="742">
        <f>IF(B881="TXO",I881-SUM(J881:K881),IF(B881="FITX",IF(D881="新倉",-SUM(J881:K881),IF(E881="賣",(H881-H880)*G881*200-SUM(J881:K881),(H880-H881)*G881*200-SUM(J881:K881))),IF(D881="新倉",-SUM(J881:K881),IF(E881="賣",(H881-H880)*G881*50-SUM(J881:K881),(H880-H881)*G881*50-SUM(J881:K881)))))</f>
        <v/>
      </c>
      <c r="M881" s="743">
        <f>L881</f>
        <v/>
      </c>
      <c r="N881" s="686">
        <f>IF(B881="TXO","",IF(D881="新倉","",IF(E881="賣",(H881-H880)*G881,(H880-H881)*G881)))</f>
        <v/>
      </c>
      <c r="O881" s="226">
        <f>ABS(I881)</f>
        <v/>
      </c>
      <c r="P881" s="667">
        <f>SUM(L881:L890)</f>
        <v/>
      </c>
      <c r="S881" s="249" t="inlineStr">
        <is>
          <t>Yes</t>
        </is>
      </c>
      <c r="T881" s="61">
        <f>IF(AND(R881="Yes",S881&lt;&gt;"Yes",L881&gt;0,B881&lt;&gt;"TXO"),L881,"")</f>
        <v/>
      </c>
      <c r="U881" s="61">
        <f>IF(AND(R881="Yes",S881&lt;&gt;"Yes",L881&lt;0,B881&lt;&gt;"TXO"),L881,"")</f>
        <v/>
      </c>
      <c r="V881" s="61">
        <f>IF(AND(R881="",S881&lt;&gt;"Yes",L881&gt;0,B881&lt;&gt;"TXO"),L881,"")</f>
        <v/>
      </c>
      <c r="W881" s="61">
        <f>IF(AND(R881="",S881&lt;&gt;"Yes",L881&lt;0,B881&lt;&gt;"TXO"),L881,"")</f>
        <v/>
      </c>
      <c r="X881" s="226">
        <f>IF(AND(R881="Yes",S881="Yes",L881&gt;0,B881&lt;&gt;"TXO"),L881,"")</f>
        <v/>
      </c>
      <c r="Y881" s="226">
        <f>IF(AND(R881="Yes",S881="Yes",L881&lt;0,B881&lt;&gt;"TXO"),L881,"")</f>
        <v/>
      </c>
      <c r="Z881" s="226">
        <f>IF(AND(R881="",S881="Yes",L881&gt;0,B881&lt;&gt;"TXO"),L881,"")</f>
        <v/>
      </c>
      <c r="AA881" s="226">
        <f>IF(AND(R881="",S881="Yes",L881&lt;0,B881&lt;&gt;"TXO"),L881,"")</f>
        <v/>
      </c>
    </row>
    <row r="882" hidden="1" outlineLevel="2" collapsed="1" ht="17.25" customHeight="1" thickBot="1">
      <c r="A882" s="740" t="n">
        <v>43374</v>
      </c>
      <c r="B882" s="299" t="inlineStr">
        <is>
          <t>FIMTX</t>
        </is>
      </c>
      <c r="C882" s="300" t="inlineStr">
        <is>
          <t>小指10</t>
        </is>
      </c>
      <c r="D882" s="300" t="inlineStr">
        <is>
          <t>平倉</t>
        </is>
      </c>
      <c r="E882" s="301" t="inlineStr">
        <is>
          <t>買</t>
        </is>
      </c>
      <c r="F882" s="300" t="inlineStr">
        <is>
          <t>-</t>
        </is>
      </c>
      <c r="G882" s="741" t="n">
        <v>1</v>
      </c>
      <c r="H882" s="741" t="n">
        <v>11012</v>
      </c>
      <c r="I882" s="741" t="n">
        <v>0</v>
      </c>
      <c r="J882" s="742" t="n">
        <v>23</v>
      </c>
      <c r="K882" s="742" t="n">
        <v>11</v>
      </c>
      <c r="L882" s="742">
        <f>IF(B882="TXO",I882-SUM(J882:K882),IF(B882="FITX",IF(D882="新倉",-SUM(J882:K882),IF(E882="賣",(H882-H881)*G882*200-SUM(J882:K882),(H881-H882)*G882*200-SUM(J882:K882))),IF(D882="新倉",-SUM(J882:K882),IF(E882="賣",(H882-H881)*G882*50-SUM(J882:K882),(H881-H882)*G882*50-SUM(J882:K882)))))</f>
        <v/>
      </c>
      <c r="M882" s="743">
        <f>L882</f>
        <v/>
      </c>
      <c r="N882" s="686">
        <f>IF(B882="TXO","",IF(D882="新倉","",IF(E882="賣",(H882-H881)*G882,(H881-H882)*G882)))</f>
        <v/>
      </c>
      <c r="O882" s="226">
        <f>ABS(I882)</f>
        <v/>
      </c>
      <c r="P882" s="667" t="n"/>
      <c r="S882" s="249" t="inlineStr">
        <is>
          <t>Yes</t>
        </is>
      </c>
      <c r="T882" s="61">
        <f>IF(AND(R882="Yes",S882&lt;&gt;"Yes",L882&gt;0,B882&lt;&gt;"TXO"),L882,"")</f>
        <v/>
      </c>
      <c r="U882" s="61">
        <f>IF(AND(R882="Yes",S882&lt;&gt;"Yes",L882&lt;0,B882&lt;&gt;"TXO"),L882,"")</f>
        <v/>
      </c>
      <c r="V882" s="61">
        <f>IF(AND(R882="",S882&lt;&gt;"Yes",L882&gt;0,B882&lt;&gt;"TXO"),L882,"")</f>
        <v/>
      </c>
      <c r="W882" s="61">
        <f>IF(AND(R882="",S882&lt;&gt;"Yes",L882&lt;0,B882&lt;&gt;"TXO"),L882,"")</f>
        <v/>
      </c>
      <c r="X882" s="226">
        <f>IF(AND(R882="Yes",S882="Yes",L882&gt;0,B882&lt;&gt;"TXO"),L882,"")</f>
        <v/>
      </c>
      <c r="Y882" s="226">
        <f>IF(AND(R882="Yes",S882="Yes",L882&lt;0,B882&lt;&gt;"TXO"),L882,"")</f>
        <v/>
      </c>
      <c r="Z882" s="226">
        <f>IF(AND(R882="",S882="Yes",L882&gt;0,B882&lt;&gt;"TXO"),L882,"")</f>
        <v/>
      </c>
      <c r="AA882" s="226">
        <f>IF(AND(R882="",S882="Yes",L882&lt;0,B882&lt;&gt;"TXO"),L882,"")</f>
        <v/>
      </c>
    </row>
    <row r="883" hidden="1" outlineLevel="2" collapsed="1" ht="17.25" customHeight="1" thickBot="1">
      <c r="A883" s="740" t="n">
        <v>43374</v>
      </c>
      <c r="B883" s="299" t="inlineStr">
        <is>
          <t>FIMTX</t>
        </is>
      </c>
      <c r="C883" s="300" t="inlineStr">
        <is>
          <t>小指10</t>
        </is>
      </c>
      <c r="D883" s="300" t="inlineStr">
        <is>
          <t>新倉</t>
        </is>
      </c>
      <c r="E883" s="301" t="inlineStr">
        <is>
          <t>買</t>
        </is>
      </c>
      <c r="F883" s="300" t="inlineStr">
        <is>
          <t>-</t>
        </is>
      </c>
      <c r="G883" s="741" t="n">
        <v>1</v>
      </c>
      <c r="H883" s="741" t="n">
        <v>11012</v>
      </c>
      <c r="I883" s="741" t="n">
        <v>0</v>
      </c>
      <c r="J883" s="742" t="n">
        <v>23</v>
      </c>
      <c r="K883" s="742" t="n">
        <v>11</v>
      </c>
      <c r="L883" s="742">
        <f>IF(B883="TXO",I883-SUM(J883:K883),IF(B883="FITX",IF(D883="新倉",-SUM(J883:K883),IF(E883="賣",(H883-H882)*G883*200-SUM(J883:K883),(H882-H883)*G883*200-SUM(J883:K883))),IF(D883="新倉",-SUM(J883:K883),IF(E883="賣",(H883-H882)*G883*50-SUM(J883:K883),(H882-H883)*G883*50-SUM(J883:K883)))))</f>
        <v/>
      </c>
      <c r="M883" s="743">
        <f>L883</f>
        <v/>
      </c>
      <c r="N883" s="686">
        <f>IF(B883="TXO","",IF(D883="新倉","",IF(E883="賣",(H883-H882)*G883,(H882-H883)*G883)))</f>
        <v/>
      </c>
      <c r="O883" s="226">
        <f>ABS(I883)</f>
        <v/>
      </c>
      <c r="P883" s="667" t="n"/>
      <c r="S883" s="249" t="inlineStr">
        <is>
          <t>Yes</t>
        </is>
      </c>
      <c r="T883" s="61">
        <f>IF(AND(R883="Yes",S883&lt;&gt;"Yes",L883&gt;0,B883&lt;&gt;"TXO"),L883,"")</f>
        <v/>
      </c>
      <c r="U883" s="61">
        <f>IF(AND(R883="Yes",S883&lt;&gt;"Yes",L883&lt;0,B883&lt;&gt;"TXO"),L883,"")</f>
        <v/>
      </c>
      <c r="V883" s="61">
        <f>IF(AND(R883="",S883&lt;&gt;"Yes",L883&gt;0,B883&lt;&gt;"TXO"),L883,"")</f>
        <v/>
      </c>
      <c r="W883" s="61">
        <f>IF(AND(R883="",S883&lt;&gt;"Yes",L883&lt;0,B883&lt;&gt;"TXO"),L883,"")</f>
        <v/>
      </c>
      <c r="X883" s="226">
        <f>IF(AND(R883="Yes",S883="Yes",L883&gt;0,B883&lt;&gt;"TXO"),L883,"")</f>
        <v/>
      </c>
      <c r="Y883" s="226">
        <f>IF(AND(R883="Yes",S883="Yes",L883&lt;0,B883&lt;&gt;"TXO"),L883,"")</f>
        <v/>
      </c>
      <c r="Z883" s="226">
        <f>IF(AND(R883="",S883="Yes",L883&gt;0,B883&lt;&gt;"TXO"),L883,"")</f>
        <v/>
      </c>
      <c r="AA883" s="226">
        <f>IF(AND(R883="",S883="Yes",L883&lt;0,B883&lt;&gt;"TXO"),L883,"")</f>
        <v/>
      </c>
    </row>
    <row r="884" hidden="1" outlineLevel="2" collapsed="1" ht="17.25" customHeight="1" thickBot="1">
      <c r="A884" s="740" t="n">
        <v>43374</v>
      </c>
      <c r="B884" s="299" t="inlineStr">
        <is>
          <t>FIMTX</t>
        </is>
      </c>
      <c r="C884" s="300" t="inlineStr">
        <is>
          <t>小指10</t>
        </is>
      </c>
      <c r="D884" s="300" t="inlineStr">
        <is>
          <t>平倉</t>
        </is>
      </c>
      <c r="E884" s="301" t="inlineStr">
        <is>
          <t>賣</t>
        </is>
      </c>
      <c r="F884" s="300" t="inlineStr">
        <is>
          <t>-</t>
        </is>
      </c>
      <c r="G884" s="741" t="n">
        <v>1</v>
      </c>
      <c r="H884" s="741" t="n">
        <v>11010</v>
      </c>
      <c r="I884" s="741" t="n">
        <v>0</v>
      </c>
      <c r="J884" s="742" t="n">
        <v>23</v>
      </c>
      <c r="K884" s="742" t="n">
        <v>11</v>
      </c>
      <c r="L884" s="742">
        <f>IF(B884="TXO",I884-SUM(J884:K884),IF(B884="FITX",IF(D884="新倉",-SUM(J884:K884),IF(E884="賣",(H884-H883)*G884*200-SUM(J884:K884),(H883-H884)*G884*200-SUM(J884:K884))),IF(D884="新倉",-SUM(J884:K884),IF(E884="賣",(H884-H883)*G884*50-SUM(J884:K884),(H883-H884)*G884*50-SUM(J884:K884)))))</f>
        <v/>
      </c>
      <c r="M884" s="743">
        <f>L884</f>
        <v/>
      </c>
      <c r="N884" s="686">
        <f>IF(B884="TXO","",IF(D884="新倉","",IF(E884="賣",(H884-H883)*G884,(H883-H884)*G884)))</f>
        <v/>
      </c>
      <c r="O884" s="226">
        <f>ABS(I884)</f>
        <v/>
      </c>
      <c r="P884" s="667" t="n"/>
      <c r="S884" s="249" t="inlineStr">
        <is>
          <t>Yes</t>
        </is>
      </c>
      <c r="T884" s="61">
        <f>IF(AND(R884="Yes",S884&lt;&gt;"Yes",L884&gt;0,B884&lt;&gt;"TXO"),L884,"")</f>
        <v/>
      </c>
      <c r="U884" s="61">
        <f>IF(AND(R884="Yes",S884&lt;&gt;"Yes",L884&lt;0,B884&lt;&gt;"TXO"),L884,"")</f>
        <v/>
      </c>
      <c r="V884" s="61">
        <f>IF(AND(R884="",S884&lt;&gt;"Yes",L884&gt;0,B884&lt;&gt;"TXO"),L884,"")</f>
        <v/>
      </c>
      <c r="W884" s="61">
        <f>IF(AND(R884="",S884&lt;&gt;"Yes",L884&lt;0,B884&lt;&gt;"TXO"),L884,"")</f>
        <v/>
      </c>
      <c r="X884" s="226">
        <f>IF(AND(R884="Yes",S884="Yes",L884&gt;0,B884&lt;&gt;"TXO"),L884,"")</f>
        <v/>
      </c>
      <c r="Y884" s="226">
        <f>IF(AND(R884="Yes",S884="Yes",L884&lt;0,B884&lt;&gt;"TXO"),L884,"")</f>
        <v/>
      </c>
      <c r="Z884" s="226">
        <f>IF(AND(R884="",S884="Yes",L884&gt;0,B884&lt;&gt;"TXO"),L884,"")</f>
        <v/>
      </c>
      <c r="AA884" s="226">
        <f>IF(AND(R884="",S884="Yes",L884&lt;0,B884&lt;&gt;"TXO"),L884,"")</f>
        <v/>
      </c>
    </row>
    <row r="885" hidden="1" outlineLevel="2" collapsed="1" ht="17.25" customHeight="1" thickBot="1">
      <c r="A885" s="740" t="n">
        <v>43374</v>
      </c>
      <c r="B885" s="299" t="inlineStr">
        <is>
          <t>FITX</t>
        </is>
      </c>
      <c r="C885" s="300" t="inlineStr">
        <is>
          <t>台指10</t>
        </is>
      </c>
      <c r="D885" s="300" t="inlineStr">
        <is>
          <t>新倉</t>
        </is>
      </c>
      <c r="E885" s="301" t="inlineStr">
        <is>
          <t>買</t>
        </is>
      </c>
      <c r="F885" s="300" t="inlineStr">
        <is>
          <t>-</t>
        </is>
      </c>
      <c r="G885" s="741" t="n">
        <v>1</v>
      </c>
      <c r="H885" s="741" t="n">
        <v>11017</v>
      </c>
      <c r="I885" s="741" t="n">
        <v>0</v>
      </c>
      <c r="J885" s="742" t="n">
        <v>45</v>
      </c>
      <c r="K885" s="742" t="n">
        <v>44</v>
      </c>
      <c r="L885" s="742">
        <f>IF(B885="TXO",I885-SUM(J885:K885),IF(B885="FITX",IF(D885="新倉",-SUM(J885:K885),IF(E885="賣",(H885-H884)*G885*200-SUM(J885:K885),(H884-H885)*G885*200-SUM(J885:K885))),IF(D885="新倉",-SUM(J885:K885),IF(E885="賣",(H885-H884)*G885*50-SUM(J885:K885),(H884-H885)*G885*50-SUM(J885:K885)))))</f>
        <v/>
      </c>
      <c r="M885" s="743">
        <f>L885</f>
        <v/>
      </c>
      <c r="N885" s="686">
        <f>IF(B885="TXO","",IF(D885="新倉","",IF(E885="賣",(H885-H884)*G885,(H884-H885)*G885)))</f>
        <v/>
      </c>
      <c r="O885" s="226">
        <f>ABS(I885)</f>
        <v/>
      </c>
      <c r="P885" s="667" t="n"/>
      <c r="Q885" s="249" t="inlineStr">
        <is>
          <t>技法: 3/3 買進一口</t>
        </is>
      </c>
      <c r="R885" s="249" t="inlineStr">
        <is>
          <t>Yes</t>
        </is>
      </c>
      <c r="S885" s="249" t="inlineStr">
        <is>
          <t>Yes</t>
        </is>
      </c>
      <c r="T885" s="61">
        <f>IF(AND(R885="Yes",S885&lt;&gt;"Yes",L885&gt;0,B885&lt;&gt;"TXO"),L885,"")</f>
        <v/>
      </c>
      <c r="U885" s="61">
        <f>IF(AND(R885="Yes",S885&lt;&gt;"Yes",L885&lt;0,B885&lt;&gt;"TXO"),L885,"")</f>
        <v/>
      </c>
      <c r="V885" s="61">
        <f>IF(AND(R885="",S885&lt;&gt;"Yes",L885&gt;0,B885&lt;&gt;"TXO"),L885,"")</f>
        <v/>
      </c>
      <c r="W885" s="61">
        <f>IF(AND(R885="",S885&lt;&gt;"Yes",L885&lt;0,B885&lt;&gt;"TXO"),L885,"")</f>
        <v/>
      </c>
      <c r="X885" s="226">
        <f>IF(AND(R885="Yes",S885="Yes",L885&gt;0,B885&lt;&gt;"TXO"),L885,"")</f>
        <v/>
      </c>
      <c r="Y885" s="226">
        <f>IF(AND(R885="Yes",S885="Yes",L885&lt;0,B885&lt;&gt;"TXO"),L885,"")</f>
        <v/>
      </c>
      <c r="Z885" s="226">
        <f>IF(AND(R885="",S885="Yes",L885&gt;0,B885&lt;&gt;"TXO"),L885,"")</f>
        <v/>
      </c>
      <c r="AA885" s="226">
        <f>IF(AND(R885="",S885="Yes",L885&lt;0,B885&lt;&gt;"TXO"),L885,"")</f>
        <v/>
      </c>
    </row>
    <row r="886" hidden="1" outlineLevel="2" collapsed="1" ht="17.25" customHeight="1" thickBot="1">
      <c r="A886" s="740" t="n">
        <v>43374</v>
      </c>
      <c r="B886" s="299" t="inlineStr">
        <is>
          <t>FITX</t>
        </is>
      </c>
      <c r="C886" s="300" t="inlineStr">
        <is>
          <t>台指10</t>
        </is>
      </c>
      <c r="D886" s="300" t="inlineStr">
        <is>
          <t>平倉</t>
        </is>
      </c>
      <c r="E886" s="301" t="inlineStr">
        <is>
          <t>賣</t>
        </is>
      </c>
      <c r="F886" s="300" t="inlineStr">
        <is>
          <t>-</t>
        </is>
      </c>
      <c r="G886" s="741" t="n">
        <v>1</v>
      </c>
      <c r="H886" s="741" t="n">
        <v>11016</v>
      </c>
      <c r="I886" s="741" t="n">
        <v>0</v>
      </c>
      <c r="J886" s="742" t="n">
        <v>45</v>
      </c>
      <c r="K886" s="742" t="n">
        <v>44</v>
      </c>
      <c r="L886" s="742">
        <f>IF(B886="TXO",I886-SUM(J886:K886),IF(B886="FITX",IF(D886="新倉",-SUM(J886:K886),IF(E886="賣",(H886-H885)*G886*200-SUM(J886:K886),(H885-H886)*G886*200-SUM(J886:K886))),IF(D886="新倉",-SUM(J886:K886),IF(E886="賣",(H886-H885)*G886*50-SUM(J886:K886),(H885-H886)*G886*50-SUM(J886:K886)))))</f>
        <v/>
      </c>
      <c r="M886" s="743">
        <f>L886</f>
        <v/>
      </c>
      <c r="N886" s="686">
        <f>IF(B886="TXO","",IF(D886="新倉","",IF(E886="賣",(H886-H885)*G886,(H885-H886)*G886)))</f>
        <v/>
      </c>
      <c r="O886" s="226">
        <f>ABS(I886)</f>
        <v/>
      </c>
      <c r="P886" s="667" t="n"/>
      <c r="Q886" s="249" t="inlineStr">
        <is>
          <t>技法: 碰10MA停損</t>
        </is>
      </c>
      <c r="R886" s="249" t="inlineStr">
        <is>
          <t>Yes</t>
        </is>
      </c>
      <c r="S886" s="249" t="inlineStr">
        <is>
          <t>Yes</t>
        </is>
      </c>
      <c r="T886" s="61">
        <f>IF(AND(R886="Yes",S886&lt;&gt;"Yes",L886&gt;0,B886&lt;&gt;"TXO"),L886,"")</f>
        <v/>
      </c>
      <c r="U886" s="61">
        <f>IF(AND(R886="Yes",S886&lt;&gt;"Yes",L886&lt;0,B886&lt;&gt;"TXO"),L886,"")</f>
        <v/>
      </c>
      <c r="V886" s="61">
        <f>IF(AND(R886="",S886&lt;&gt;"Yes",L886&gt;0,B886&lt;&gt;"TXO"),L886,"")</f>
        <v/>
      </c>
      <c r="W886" s="61">
        <f>IF(AND(R886="",S886&lt;&gt;"Yes",L886&lt;0,B886&lt;&gt;"TXO"),L886,"")</f>
        <v/>
      </c>
      <c r="X886" s="226">
        <f>IF(AND(R886="Yes",S886="Yes",L886&gt;0,B886&lt;&gt;"TXO"),L886,"")</f>
        <v/>
      </c>
      <c r="Y886" s="226">
        <f>IF(AND(R886="Yes",S886="Yes",L886&lt;0,B886&lt;&gt;"TXO"),L886,"")</f>
        <v/>
      </c>
      <c r="Z886" s="226">
        <f>IF(AND(R886="",S886="Yes",L886&gt;0,B886&lt;&gt;"TXO"),L886,"")</f>
        <v/>
      </c>
      <c r="AA886" s="226">
        <f>IF(AND(R886="",S886="Yes",L886&lt;0,B886&lt;&gt;"TXO"),L886,"")</f>
        <v/>
      </c>
    </row>
    <row r="887" hidden="1" outlineLevel="2" collapsed="1" ht="17.25" customHeight="1" thickBot="1">
      <c r="A887" s="740" t="n">
        <v>43374</v>
      </c>
      <c r="B887" s="299" t="inlineStr">
        <is>
          <t>FITX</t>
        </is>
      </c>
      <c r="C887" s="300" t="inlineStr">
        <is>
          <t>台指10</t>
        </is>
      </c>
      <c r="D887" s="300" t="inlineStr">
        <is>
          <t>新倉</t>
        </is>
      </c>
      <c r="E887" s="301" t="inlineStr">
        <is>
          <t>買</t>
        </is>
      </c>
      <c r="F887" s="300" t="inlineStr">
        <is>
          <t>-</t>
        </is>
      </c>
      <c r="G887" s="741" t="n">
        <v>1</v>
      </c>
      <c r="H887" s="741" t="n">
        <v>11021</v>
      </c>
      <c r="I887" s="741" t="n">
        <v>0</v>
      </c>
      <c r="J887" s="742" t="n">
        <v>45</v>
      </c>
      <c r="K887" s="742" t="n">
        <v>44</v>
      </c>
      <c r="L887" s="742">
        <f>IF(B887="TXO",I887-SUM(J887:K887),IF(B887="FITX",IF(D887="新倉",-SUM(J887:K887),IF(E887="賣",(H887-H886)*G887*200-SUM(J887:K887),(H886-H887)*G887*200-SUM(J887:K887))),IF(D887="新倉",-SUM(J887:K887),IF(E887="賣",(H887-H886)*G887*50-SUM(J887:K887),(H886-H887)*G887*50-SUM(J887:K887)))))</f>
        <v/>
      </c>
      <c r="M887" s="743">
        <f>L887</f>
        <v/>
      </c>
      <c r="N887" s="686">
        <f>IF(B887="TXO","",IF(D887="新倉","",IF(E887="賣",(H887-H886)*G887,(H886-H887)*G887)))</f>
        <v/>
      </c>
      <c r="O887" s="226">
        <f>ABS(I887)</f>
        <v/>
      </c>
      <c r="P887" s="667" t="n"/>
      <c r="S887" s="249" t="inlineStr">
        <is>
          <t>Yes</t>
        </is>
      </c>
      <c r="T887" s="61">
        <f>IF(AND(R887="Yes",S887&lt;&gt;"Yes",L887&gt;0,B887&lt;&gt;"TXO"),L887,"")</f>
        <v/>
      </c>
      <c r="U887" s="61">
        <f>IF(AND(R887="Yes",S887&lt;&gt;"Yes",L887&lt;0,B887&lt;&gt;"TXO"),L887,"")</f>
        <v/>
      </c>
      <c r="V887" s="61">
        <f>IF(AND(R887="",S887&lt;&gt;"Yes",L887&gt;0,B887&lt;&gt;"TXO"),L887,"")</f>
        <v/>
      </c>
      <c r="W887" s="61">
        <f>IF(AND(R887="",S887&lt;&gt;"Yes",L887&lt;0,B887&lt;&gt;"TXO"),L887,"")</f>
        <v/>
      </c>
      <c r="X887" s="226">
        <f>IF(AND(R887="Yes",S887="Yes",L887&gt;0,B887&lt;&gt;"TXO"),L887,"")</f>
        <v/>
      </c>
      <c r="Y887" s="226">
        <f>IF(AND(R887="Yes",S887="Yes",L887&lt;0,B887&lt;&gt;"TXO"),L887,"")</f>
        <v/>
      </c>
      <c r="Z887" s="226">
        <f>IF(AND(R887="",S887="Yes",L887&gt;0,B887&lt;&gt;"TXO"),L887,"")</f>
        <v/>
      </c>
      <c r="AA887" s="226">
        <f>IF(AND(R887="",S887="Yes",L887&lt;0,B887&lt;&gt;"TXO"),L887,"")</f>
        <v/>
      </c>
    </row>
    <row r="888" hidden="1" outlineLevel="2" collapsed="1" ht="17.25" customHeight="1" thickBot="1">
      <c r="A888" s="740" t="n">
        <v>43374</v>
      </c>
      <c r="B888" s="299" t="inlineStr">
        <is>
          <t>FITX</t>
        </is>
      </c>
      <c r="C888" s="300" t="inlineStr">
        <is>
          <t>台指10</t>
        </is>
      </c>
      <c r="D888" s="300" t="inlineStr">
        <is>
          <t>平倉</t>
        </is>
      </c>
      <c r="E888" s="301" t="inlineStr">
        <is>
          <t>賣</t>
        </is>
      </c>
      <c r="F888" s="300" t="inlineStr">
        <is>
          <t>-</t>
        </is>
      </c>
      <c r="G888" s="741" t="n">
        <v>1</v>
      </c>
      <c r="H888" s="741" t="n">
        <v>11015</v>
      </c>
      <c r="I888" s="741" t="n">
        <v>0</v>
      </c>
      <c r="J888" s="742" t="n">
        <v>45</v>
      </c>
      <c r="K888" s="742" t="n">
        <v>44</v>
      </c>
      <c r="L888" s="742">
        <f>IF(B888="TXO",I888-SUM(J888:K888),IF(B888="FITX",IF(D888="新倉",-SUM(J888:K888),IF(E888="賣",(H888-H887)*G888*200-SUM(J888:K888),(H887-H888)*G888*200-SUM(J888:K888))),IF(D888="新倉",-SUM(J888:K888),IF(E888="賣",(H888-H887)*G888*50-SUM(J888:K888),(H887-H888)*G888*50-SUM(J888:K888)))))</f>
        <v/>
      </c>
      <c r="M888" s="743">
        <f>L888</f>
        <v/>
      </c>
      <c r="N888" s="686">
        <f>IF(B888="TXO","",IF(D888="新倉","",IF(E888="賣",(H888-H887)*G888,(H887-H888)*G888)))</f>
        <v/>
      </c>
      <c r="O888" s="226">
        <f>ABS(I888)</f>
        <v/>
      </c>
      <c r="P888" s="667" t="n"/>
      <c r="S888" s="249" t="inlineStr">
        <is>
          <t>Yes</t>
        </is>
      </c>
      <c r="T888" s="61">
        <f>IF(AND(R888="Yes",S888&lt;&gt;"Yes",L888&gt;0,B888&lt;&gt;"TXO"),L888,"")</f>
        <v/>
      </c>
      <c r="U888" s="61">
        <f>IF(AND(R888="Yes",S888&lt;&gt;"Yes",L888&lt;0,B888&lt;&gt;"TXO"),L888,"")</f>
        <v/>
      </c>
      <c r="V888" s="61">
        <f>IF(AND(R888="",S888&lt;&gt;"Yes",L888&gt;0,B888&lt;&gt;"TXO"),L888,"")</f>
        <v/>
      </c>
      <c r="W888" s="61">
        <f>IF(AND(R888="",S888&lt;&gt;"Yes",L888&lt;0,B888&lt;&gt;"TXO"),L888,"")</f>
        <v/>
      </c>
      <c r="X888" s="226">
        <f>IF(AND(R888="Yes",S888="Yes",L888&gt;0,B888&lt;&gt;"TXO"),L888,"")</f>
        <v/>
      </c>
      <c r="Y888" s="226">
        <f>IF(AND(R888="Yes",S888="Yes",L888&lt;0,B888&lt;&gt;"TXO"),L888,"")</f>
        <v/>
      </c>
      <c r="Z888" s="226">
        <f>IF(AND(R888="",S888="Yes",L888&gt;0,B888&lt;&gt;"TXO"),L888,"")</f>
        <v/>
      </c>
      <c r="AA888" s="226">
        <f>IF(AND(R888="",S888="Yes",L888&lt;0,B888&lt;&gt;"TXO"),L888,"")</f>
        <v/>
      </c>
    </row>
    <row r="889" hidden="1" outlineLevel="2" collapsed="1" ht="17.25" customHeight="1" thickBot="1">
      <c r="A889" s="740" t="n">
        <v>43374</v>
      </c>
      <c r="B889" s="299" t="inlineStr">
        <is>
          <t>FITX</t>
        </is>
      </c>
      <c r="C889" s="300" t="inlineStr">
        <is>
          <t>台指10</t>
        </is>
      </c>
      <c r="D889" s="300" t="inlineStr">
        <is>
          <t>新倉</t>
        </is>
      </c>
      <c r="E889" s="301" t="inlineStr">
        <is>
          <t>賣</t>
        </is>
      </c>
      <c r="F889" s="300" t="inlineStr">
        <is>
          <t>-</t>
        </is>
      </c>
      <c r="G889" s="741" t="n">
        <v>1</v>
      </c>
      <c r="H889" s="741" t="n">
        <v>11015</v>
      </c>
      <c r="I889" s="741" t="n">
        <v>0</v>
      </c>
      <c r="J889" s="742" t="n">
        <v>45</v>
      </c>
      <c r="K889" s="742" t="n">
        <v>44</v>
      </c>
      <c r="L889" s="742">
        <f>IF(B889="TXO",I889-SUM(J889:K889),IF(B889="FITX",IF(D889="新倉",-SUM(J889:K889),IF(E889="賣",(H889-H888)*G889*200-SUM(J889:K889),(H888-H889)*G889*200-SUM(J889:K889))),IF(D889="新倉",-SUM(J889:K889),IF(E889="賣",(H889-H888)*G889*50-SUM(J889:K889),(H888-H889)*G889*50-SUM(J889:K889)))))</f>
        <v/>
      </c>
      <c r="M889" s="743">
        <f>L889</f>
        <v/>
      </c>
      <c r="N889" s="686">
        <f>IF(B889="TXO","",IF(D889="新倉","",IF(E889="賣",(H889-H888)*G889,(H888-H889)*G889)))</f>
        <v/>
      </c>
      <c r="O889" s="226">
        <f>ABS(I889)</f>
        <v/>
      </c>
      <c r="P889" s="667" t="n"/>
      <c r="Q889" s="249" t="inlineStr">
        <is>
          <t>技法: 3/3 買進一口</t>
        </is>
      </c>
      <c r="R889" s="249" t="inlineStr">
        <is>
          <t>Yes</t>
        </is>
      </c>
      <c r="S889" s="249" t="inlineStr">
        <is>
          <t>Yes</t>
        </is>
      </c>
      <c r="T889" s="61">
        <f>IF(AND(R889="Yes",S889&lt;&gt;"Yes",L889&gt;0,B889&lt;&gt;"TXO"),L889,"")</f>
        <v/>
      </c>
      <c r="U889" s="61">
        <f>IF(AND(R889="Yes",S889&lt;&gt;"Yes",L889&lt;0,B889&lt;&gt;"TXO"),L889,"")</f>
        <v/>
      </c>
      <c r="V889" s="61">
        <f>IF(AND(R889="",S889&lt;&gt;"Yes",L889&gt;0,B889&lt;&gt;"TXO"),L889,"")</f>
        <v/>
      </c>
      <c r="W889" s="61">
        <f>IF(AND(R889="",S889&lt;&gt;"Yes",L889&lt;0,B889&lt;&gt;"TXO"),L889,"")</f>
        <v/>
      </c>
      <c r="X889" s="226">
        <f>IF(AND(R889="Yes",S889="Yes",L889&gt;0,B889&lt;&gt;"TXO"),L889,"")</f>
        <v/>
      </c>
      <c r="Y889" s="226">
        <f>IF(AND(R889="Yes",S889="Yes",L889&lt;0,B889&lt;&gt;"TXO"),L889,"")</f>
        <v/>
      </c>
      <c r="Z889" s="226">
        <f>IF(AND(R889="",S889="Yes",L889&gt;0,B889&lt;&gt;"TXO"),L889,"")</f>
        <v/>
      </c>
      <c r="AA889" s="226">
        <f>IF(AND(R889="",S889="Yes",L889&lt;0,B889&lt;&gt;"TXO"),L889,"")</f>
        <v/>
      </c>
    </row>
    <row r="890" hidden="1" outlineLevel="2" collapsed="1" ht="17.25" customHeight="1" thickBot="1">
      <c r="A890" s="740" t="n">
        <v>43374</v>
      </c>
      <c r="B890" s="299" t="inlineStr">
        <is>
          <t>FITX</t>
        </is>
      </c>
      <c r="C890" s="300" t="inlineStr">
        <is>
          <t>台指10</t>
        </is>
      </c>
      <c r="D890" s="300" t="inlineStr">
        <is>
          <t>平倉</t>
        </is>
      </c>
      <c r="E890" s="301" t="inlineStr">
        <is>
          <t>買</t>
        </is>
      </c>
      <c r="F890" s="300" t="inlineStr">
        <is>
          <t>-</t>
        </is>
      </c>
      <c r="G890" s="741" t="n">
        <v>1</v>
      </c>
      <c r="H890" s="741" t="n">
        <v>11013</v>
      </c>
      <c r="I890" s="741" t="n">
        <v>0</v>
      </c>
      <c r="J890" s="742" t="n">
        <v>45</v>
      </c>
      <c r="K890" s="742" t="n">
        <v>44</v>
      </c>
      <c r="L890" s="742">
        <f>IF(B890="TXO",I890-SUM(J890:K890),IF(B890="FITX",IF(D890="新倉",-SUM(J890:K890),IF(E890="賣",(H890-H889)*G890*200-SUM(J890:K890),(H889-H890)*G890*200-SUM(J890:K890))),IF(D890="新倉",-SUM(J890:K890),IF(E890="賣",(H890-H889)*G890*50-SUM(J890:K890),(H889-H890)*G890*50-SUM(J890:K890)))))</f>
        <v/>
      </c>
      <c r="M890" s="743">
        <f>L890</f>
        <v/>
      </c>
      <c r="N890" s="686">
        <f>IF(B890="TXO","",IF(D890="新倉","",IF(E890="賣",(H890-H889)*G890,(H889-H890)*G890)))</f>
        <v/>
      </c>
      <c r="O890" s="226">
        <f>ABS(I890)</f>
        <v/>
      </c>
      <c r="P890" s="667" t="n"/>
      <c r="Q890" s="249" t="inlineStr">
        <is>
          <t>技法: 刺補</t>
        </is>
      </c>
      <c r="R890" s="249" t="inlineStr">
        <is>
          <t>Yes</t>
        </is>
      </c>
      <c r="S890" s="249" t="inlineStr">
        <is>
          <t>Yes</t>
        </is>
      </c>
      <c r="T890" s="61">
        <f>IF(AND(R890="Yes",S890&lt;&gt;"Yes",L890&gt;0,B890&lt;&gt;"TXO"),L890,"")</f>
        <v/>
      </c>
      <c r="U890" s="61">
        <f>IF(AND(R890="Yes",S890&lt;&gt;"Yes",L890&lt;0,B890&lt;&gt;"TXO"),L890,"")</f>
        <v/>
      </c>
      <c r="V890" s="61">
        <f>IF(AND(R890="",S890&lt;&gt;"Yes",L890&gt;0,B890&lt;&gt;"TXO"),L890,"")</f>
        <v/>
      </c>
      <c r="W890" s="61">
        <f>IF(AND(R890="",S890&lt;&gt;"Yes",L890&lt;0,B890&lt;&gt;"TXO"),L890,"")</f>
        <v/>
      </c>
      <c r="X890" s="226">
        <f>IF(AND(R890="Yes",S890="Yes",L890&gt;0,B890&lt;&gt;"TXO"),L890,"")</f>
        <v/>
      </c>
      <c r="Y890" s="226">
        <f>IF(AND(R890="Yes",S890="Yes",L890&lt;0,B890&lt;&gt;"TXO"),L890,"")</f>
        <v/>
      </c>
      <c r="Z890" s="226">
        <f>IF(AND(R890="",S890="Yes",L890&gt;0,B890&lt;&gt;"TXO"),L890,"")</f>
        <v/>
      </c>
      <c r="AA890" s="226">
        <f>IF(AND(R890="",S890="Yes",L890&lt;0,B890&lt;&gt;"TXO"),L890,"")</f>
        <v/>
      </c>
    </row>
    <row r="891" hidden="1" outlineLevel="1" ht="17.25" customHeight="1" thickBot="1">
      <c r="A891" s="696" t="n">
        <v>43375</v>
      </c>
      <c r="B891" s="234" t="inlineStr">
        <is>
          <t>FIMTX</t>
        </is>
      </c>
      <c r="C891" s="229" t="inlineStr">
        <is>
          <t>小指10</t>
        </is>
      </c>
      <c r="D891" s="229" t="inlineStr">
        <is>
          <t>新倉</t>
        </is>
      </c>
      <c r="E891" s="257" t="inlineStr">
        <is>
          <t>賣</t>
        </is>
      </c>
      <c r="F891" s="229" t="inlineStr">
        <is>
          <t>-</t>
        </is>
      </c>
      <c r="G891" s="697" t="n">
        <v>1</v>
      </c>
      <c r="H891" s="697" t="n">
        <v>10912</v>
      </c>
      <c r="I891" s="697" t="n">
        <v>0</v>
      </c>
      <c r="J891" s="585" t="n">
        <v>23</v>
      </c>
      <c r="K891" s="585" t="n">
        <v>11</v>
      </c>
      <c r="L891" s="585">
        <f>IF(B891="TXO",I891-SUM(J891:K891),IF(B891="FITX",IF(D891="新倉",-SUM(J891:K891),IF(E891="賣",(H891-H890)*G891*200-SUM(J891:K891),(H890-H891)*G891*200-SUM(J891:K891))),IF(D891="新倉",-SUM(J891:K891),IF(E891="賣",(H891-H890)*G891*50-SUM(J891:K891),(H890-H891)*G891*50-SUM(J891:K891)))))</f>
        <v/>
      </c>
      <c r="M891" s="699">
        <f>L891</f>
        <v/>
      </c>
      <c r="N891" s="686">
        <f>IF(B891="TXO","",IF(D891="新倉","",IF(E891="賣",(H891-H890)*G891,(H890-H891)*G891)))</f>
        <v/>
      </c>
      <c r="O891" s="226">
        <f>ABS(I891)</f>
        <v/>
      </c>
      <c r="P891" s="667">
        <f>SUM(L891:L906)</f>
        <v/>
      </c>
      <c r="S891" s="739" t="n"/>
      <c r="T891" s="61">
        <f>IF(AND(R891="Yes",S891&lt;&gt;"Yes",L891&gt;0,B891&lt;&gt;"TXO"),L891,"")</f>
        <v/>
      </c>
      <c r="U891" s="61">
        <f>IF(AND(R891="Yes",S891&lt;&gt;"Yes",L891&lt;0,B891&lt;&gt;"TXO"),L891,"")</f>
        <v/>
      </c>
      <c r="V891" s="61">
        <f>IF(AND(R891="",S891&lt;&gt;"Yes",L891&gt;0,B891&lt;&gt;"TXO"),L891,"")</f>
        <v/>
      </c>
      <c r="W891" s="61">
        <f>IF(AND(R891="",S891&lt;&gt;"Yes",L891&lt;0,B891&lt;&gt;"TXO"),L891,"")</f>
        <v/>
      </c>
      <c r="X891" s="226">
        <f>IF(AND(R891="Yes",S891="Yes",L891&gt;0,B891&lt;&gt;"TXO"),L891,"")</f>
        <v/>
      </c>
      <c r="Y891" s="226">
        <f>IF(AND(R891="Yes",S891="Yes",L891&lt;0,B891&lt;&gt;"TXO"),L891,"")</f>
        <v/>
      </c>
      <c r="Z891" s="226">
        <f>IF(AND(R891="",S891="Yes",L891&gt;0,B891&lt;&gt;"TXO"),L891,"")</f>
        <v/>
      </c>
      <c r="AA891" s="226">
        <f>IF(AND(R891="",S891="Yes",L891&lt;0,B891&lt;&gt;"TXO"),L891,"")</f>
        <v/>
      </c>
    </row>
    <row r="892" hidden="1" outlineLevel="2" ht="17.25" customHeight="1" thickBot="1">
      <c r="A892" s="696" t="n">
        <v>43375</v>
      </c>
      <c r="B892" s="234" t="inlineStr">
        <is>
          <t>FIMTX</t>
        </is>
      </c>
      <c r="C892" s="229" t="inlineStr">
        <is>
          <t>小指10</t>
        </is>
      </c>
      <c r="D892" s="229" t="inlineStr">
        <is>
          <t>平倉</t>
        </is>
      </c>
      <c r="E892" s="257" t="inlineStr">
        <is>
          <t>買</t>
        </is>
      </c>
      <c r="F892" s="229" t="inlineStr">
        <is>
          <t>-</t>
        </is>
      </c>
      <c r="G892" s="697" t="n">
        <v>1</v>
      </c>
      <c r="H892" s="697" t="n">
        <v>10893</v>
      </c>
      <c r="I892" s="697" t="n">
        <v>0</v>
      </c>
      <c r="J892" s="585" t="n">
        <v>23</v>
      </c>
      <c r="K892" s="585" t="n">
        <v>11</v>
      </c>
      <c r="L892" s="585">
        <f>IF(B892="TXO",I892-SUM(J892:K892),IF(B892="FITX",IF(D892="新倉",-SUM(J892:K892),IF(E892="賣",(H892-H891)*G892*200-SUM(J892:K892),(H891-H892)*G892*200-SUM(J892:K892))),IF(D892="新倉",-SUM(J892:K892),IF(E892="賣",(H892-H891)*G892*50-SUM(J892:K892),(H891-H892)*G892*50-SUM(J892:K892)))))</f>
        <v/>
      </c>
      <c r="M892" s="699">
        <f>L892</f>
        <v/>
      </c>
      <c r="N892" s="686">
        <f>IF(B892="TXO","",IF(D892="新倉","",IF(E892="賣",(H892-H891)*G892,(H891-H892)*G892)))</f>
        <v/>
      </c>
      <c r="O892" s="226">
        <f>ABS(I892)</f>
        <v/>
      </c>
      <c r="P892" s="667" t="n"/>
      <c r="S892" s="739" t="n"/>
      <c r="T892" s="61">
        <f>IF(AND(R892="Yes",S892&lt;&gt;"Yes",L892&gt;0,B892&lt;&gt;"TXO"),L892,"")</f>
        <v/>
      </c>
      <c r="U892" s="61">
        <f>IF(AND(R892="Yes",S892&lt;&gt;"Yes",L892&lt;0,B892&lt;&gt;"TXO"),L892,"")</f>
        <v/>
      </c>
      <c r="V892" s="61">
        <f>IF(AND(R892="",S892&lt;&gt;"Yes",L892&gt;0,B892&lt;&gt;"TXO"),L892,"")</f>
        <v/>
      </c>
      <c r="W892" s="61">
        <f>IF(AND(R892="",S892&lt;&gt;"Yes",L892&lt;0,B892&lt;&gt;"TXO"),L892,"")</f>
        <v/>
      </c>
      <c r="X892" s="226">
        <f>IF(AND(R892="Yes",S892="Yes",L892&gt;0,B892&lt;&gt;"TXO"),L892,"")</f>
        <v/>
      </c>
      <c r="Y892" s="226">
        <f>IF(AND(R892="Yes",S892="Yes",L892&lt;0,B892&lt;&gt;"TXO"),L892,"")</f>
        <v/>
      </c>
      <c r="Z892" s="226">
        <f>IF(AND(R892="",S892="Yes",L892&gt;0,B892&lt;&gt;"TXO"),L892,"")</f>
        <v/>
      </c>
      <c r="AA892" s="226">
        <f>IF(AND(R892="",S892="Yes",L892&lt;0,B892&lt;&gt;"TXO"),L892,"")</f>
        <v/>
      </c>
    </row>
    <row r="893" hidden="1" outlineLevel="2" ht="17.25" customHeight="1" thickBot="1">
      <c r="A893" s="696" t="n">
        <v>43375</v>
      </c>
      <c r="B893" s="234" t="inlineStr">
        <is>
          <t>FIMTX</t>
        </is>
      </c>
      <c r="C893" s="229" t="inlineStr">
        <is>
          <t>小指10</t>
        </is>
      </c>
      <c r="D893" s="229" t="inlineStr">
        <is>
          <t>新倉</t>
        </is>
      </c>
      <c r="E893" s="257" t="inlineStr">
        <is>
          <t>賣</t>
        </is>
      </c>
      <c r="F893" s="229" t="inlineStr">
        <is>
          <t>-</t>
        </is>
      </c>
      <c r="G893" s="697" t="n">
        <v>1</v>
      </c>
      <c r="H893" s="697" t="n">
        <v>10915</v>
      </c>
      <c r="I893" s="697" t="n">
        <v>0</v>
      </c>
      <c r="J893" s="585" t="n">
        <v>23</v>
      </c>
      <c r="K893" s="585" t="n">
        <v>11</v>
      </c>
      <c r="L893" s="585">
        <f>IF(B893="TXO",I893-SUM(J893:K893),IF(B893="FITX",IF(D893="新倉",-SUM(J893:K893),IF(E893="賣",(H893-H892)*G893*200-SUM(J893:K893),(H892-H893)*G893*200-SUM(J893:K893))),IF(D893="新倉",-SUM(J893:K893),IF(E893="賣",(H893-H892)*G893*50-SUM(J893:K893),(H892-H893)*G893*50-SUM(J893:K893)))))</f>
        <v/>
      </c>
      <c r="M893" s="699">
        <f>L893</f>
        <v/>
      </c>
      <c r="N893" s="686">
        <f>IF(B893="TXO","",IF(D893="新倉","",IF(E893="賣",(H893-H892)*G893,(H892-H893)*G893)))</f>
        <v/>
      </c>
      <c r="O893" s="226">
        <f>ABS(I893)</f>
        <v/>
      </c>
      <c r="P893" s="667" t="n"/>
      <c r="Q893" s="310" t="n"/>
      <c r="S893" s="739" t="n"/>
      <c r="T893" s="61">
        <f>IF(AND(R893="Yes",S893&lt;&gt;"Yes",L893&gt;0,B893&lt;&gt;"TXO"),L893,"")</f>
        <v/>
      </c>
      <c r="U893" s="61">
        <f>IF(AND(R893="Yes",S893&lt;&gt;"Yes",L893&lt;0,B893&lt;&gt;"TXO"),L893,"")</f>
        <v/>
      </c>
      <c r="V893" s="61">
        <f>IF(AND(R893="",S893&lt;&gt;"Yes",L893&gt;0,B893&lt;&gt;"TXO"),L893,"")</f>
        <v/>
      </c>
      <c r="W893" s="61">
        <f>IF(AND(R893="",S893&lt;&gt;"Yes",L893&lt;0,B893&lt;&gt;"TXO"),L893,"")</f>
        <v/>
      </c>
      <c r="X893" s="226">
        <f>IF(AND(R893="Yes",S893="Yes",L893&gt;0,B893&lt;&gt;"TXO"),L893,"")</f>
        <v/>
      </c>
      <c r="Y893" s="226">
        <f>IF(AND(R893="Yes",S893="Yes",L893&lt;0,B893&lt;&gt;"TXO"),L893,"")</f>
        <v/>
      </c>
      <c r="Z893" s="226">
        <f>IF(AND(R893="",S893="Yes",L893&gt;0,B893&lt;&gt;"TXO"),L893,"")</f>
        <v/>
      </c>
      <c r="AA893" s="226">
        <f>IF(AND(R893="",S893="Yes",L893&lt;0,B893&lt;&gt;"TXO"),L893,"")</f>
        <v/>
      </c>
    </row>
    <row r="894" hidden="1" outlineLevel="2" ht="17.25" customHeight="1" thickBot="1">
      <c r="A894" s="696" t="n">
        <v>43375</v>
      </c>
      <c r="B894" s="234" t="inlineStr">
        <is>
          <t>FIMTX</t>
        </is>
      </c>
      <c r="C894" s="229" t="inlineStr">
        <is>
          <t>小指10</t>
        </is>
      </c>
      <c r="D894" s="229" t="inlineStr">
        <is>
          <t>平倉</t>
        </is>
      </c>
      <c r="E894" s="257" t="inlineStr">
        <is>
          <t>買</t>
        </is>
      </c>
      <c r="F894" s="229" t="inlineStr">
        <is>
          <t>-</t>
        </is>
      </c>
      <c r="G894" s="697" t="n">
        <v>1</v>
      </c>
      <c r="H894" s="697" t="n">
        <v>10893</v>
      </c>
      <c r="I894" s="697" t="n">
        <v>0</v>
      </c>
      <c r="J894" s="585" t="n">
        <v>23</v>
      </c>
      <c r="K894" s="585" t="n">
        <v>11</v>
      </c>
      <c r="L894" s="585">
        <f>IF(B894="TXO",I894-SUM(J894:K894),IF(B894="FITX",IF(D894="新倉",-SUM(J894:K894),IF(E894="賣",(H894-H893)*G894*200-SUM(J894:K894),(H893-H894)*G894*200-SUM(J894:K894))),IF(D894="新倉",-SUM(J894:K894),IF(E894="賣",(H894-H893)*G894*50-SUM(J894:K894),(H893-H894)*G894*50-SUM(J894:K894)))))</f>
        <v/>
      </c>
      <c r="M894" s="699">
        <f>L894</f>
        <v/>
      </c>
      <c r="N894" s="686">
        <f>IF(B894="TXO","",IF(D894="新倉","",IF(E894="賣",(H894-H893)*G894,(H893-H894)*G894)))</f>
        <v/>
      </c>
      <c r="O894" s="226">
        <f>ABS(I894)</f>
        <v/>
      </c>
      <c r="P894" s="667" t="n"/>
      <c r="Q894" s="311" t="n"/>
      <c r="R894" s="311" t="n"/>
      <c r="S894" s="739" t="n"/>
      <c r="T894" s="61">
        <f>IF(AND(R894="Yes",S894&lt;&gt;"Yes",L894&gt;0,B894&lt;&gt;"TXO"),L894,"")</f>
        <v/>
      </c>
      <c r="U894" s="61">
        <f>IF(AND(R894="Yes",S894&lt;&gt;"Yes",L894&lt;0,B894&lt;&gt;"TXO"),L894,"")</f>
        <v/>
      </c>
      <c r="V894" s="61">
        <f>IF(AND(R894="",S894&lt;&gt;"Yes",L894&gt;0,B894&lt;&gt;"TXO"),L894,"")</f>
        <v/>
      </c>
      <c r="W894" s="61">
        <f>IF(AND(R894="",S894&lt;&gt;"Yes",L894&lt;0,B894&lt;&gt;"TXO"),L894,"")</f>
        <v/>
      </c>
      <c r="X894" s="226">
        <f>IF(AND(R894="Yes",S894="Yes",L894&gt;0,B894&lt;&gt;"TXO"),L894,"")</f>
        <v/>
      </c>
      <c r="Y894" s="226">
        <f>IF(AND(R894="Yes",S894="Yes",L894&lt;0,B894&lt;&gt;"TXO"),L894,"")</f>
        <v/>
      </c>
      <c r="Z894" s="226">
        <f>IF(AND(R894="",S894="Yes",L894&gt;0,B894&lt;&gt;"TXO"),L894,"")</f>
        <v/>
      </c>
      <c r="AA894" s="226">
        <f>IF(AND(R894="",S894="Yes",L894&lt;0,B894&lt;&gt;"TXO"),L894,"")</f>
        <v/>
      </c>
    </row>
    <row r="895" hidden="1" outlineLevel="2" ht="17.25" customHeight="1" thickBot="1">
      <c r="A895" s="696" t="n">
        <v>43375</v>
      </c>
      <c r="B895" s="234" t="inlineStr">
        <is>
          <t>FIMTX</t>
        </is>
      </c>
      <c r="C895" s="229" t="inlineStr">
        <is>
          <t>小指10</t>
        </is>
      </c>
      <c r="D895" s="229" t="inlineStr">
        <is>
          <t>新倉</t>
        </is>
      </c>
      <c r="E895" s="257" t="inlineStr">
        <is>
          <t>賣</t>
        </is>
      </c>
      <c r="F895" s="229" t="inlineStr">
        <is>
          <t>-</t>
        </is>
      </c>
      <c r="G895" s="697" t="n">
        <v>1</v>
      </c>
      <c r="H895" s="697" t="n">
        <v>10876</v>
      </c>
      <c r="I895" s="697" t="n">
        <v>0</v>
      </c>
      <c r="J895" s="585" t="n">
        <v>23</v>
      </c>
      <c r="K895" s="585" t="n">
        <v>11</v>
      </c>
      <c r="L895" s="585">
        <f>IF(B895="TXO",I895-SUM(J895:K895),IF(B895="FITX",IF(D895="新倉",-SUM(J895:K895),IF(E895="賣",(H895-H894)*G895*200-SUM(J895:K895),(H894-H895)*G895*200-SUM(J895:K895))),IF(D895="新倉",-SUM(J895:K895),IF(E895="賣",(H895-H894)*G895*50-SUM(J895:K895),(H894-H895)*G895*50-SUM(J895:K895)))))</f>
        <v/>
      </c>
      <c r="M895" s="699">
        <f>L895</f>
        <v/>
      </c>
      <c r="N895" s="686">
        <f>IF(B895="TXO","",IF(D895="新倉","",IF(E895="賣",(H895-H894)*G895,(H894-H895)*G895)))</f>
        <v/>
      </c>
      <c r="O895" s="226">
        <f>ABS(I895)</f>
        <v/>
      </c>
      <c r="P895" s="667" t="n"/>
      <c r="Q895" s="310" t="n"/>
      <c r="S895" s="739" t="n"/>
      <c r="T895" s="61">
        <f>IF(AND(R895="Yes",S895&lt;&gt;"Yes",L895&gt;0,B895&lt;&gt;"TXO"),L895,"")</f>
        <v/>
      </c>
      <c r="U895" s="61">
        <f>IF(AND(R895="Yes",S895&lt;&gt;"Yes",L895&lt;0,B895&lt;&gt;"TXO"),L895,"")</f>
        <v/>
      </c>
      <c r="V895" s="61">
        <f>IF(AND(R895="",S895&lt;&gt;"Yes",L895&gt;0,B895&lt;&gt;"TXO"),L895,"")</f>
        <v/>
      </c>
      <c r="W895" s="61">
        <f>IF(AND(R895="",S895&lt;&gt;"Yes",L895&lt;0,B895&lt;&gt;"TXO"),L895,"")</f>
        <v/>
      </c>
      <c r="X895" s="226">
        <f>IF(AND(R895="Yes",S895="Yes",L895&gt;0,B895&lt;&gt;"TXO"),L895,"")</f>
        <v/>
      </c>
      <c r="Y895" s="226">
        <f>IF(AND(R895="Yes",S895="Yes",L895&lt;0,B895&lt;&gt;"TXO"),L895,"")</f>
        <v/>
      </c>
      <c r="Z895" s="226">
        <f>IF(AND(R895="",S895="Yes",L895&gt;0,B895&lt;&gt;"TXO"),L895,"")</f>
        <v/>
      </c>
      <c r="AA895" s="226">
        <f>IF(AND(R895="",S895="Yes",L895&lt;0,B895&lt;&gt;"TXO"),L895,"")</f>
        <v/>
      </c>
    </row>
    <row r="896" hidden="1" outlineLevel="2" ht="17.25" customHeight="1" thickBot="1">
      <c r="A896" s="696" t="n">
        <v>43375</v>
      </c>
      <c r="B896" s="234" t="inlineStr">
        <is>
          <t>FIMTX</t>
        </is>
      </c>
      <c r="C896" s="229" t="inlineStr">
        <is>
          <t>小指10</t>
        </is>
      </c>
      <c r="D896" s="229" t="inlineStr">
        <is>
          <t>平倉</t>
        </is>
      </c>
      <c r="E896" s="257" t="inlineStr">
        <is>
          <t>買</t>
        </is>
      </c>
      <c r="F896" s="229" t="inlineStr">
        <is>
          <t>-</t>
        </is>
      </c>
      <c r="G896" s="697" t="n">
        <v>1</v>
      </c>
      <c r="H896" s="697" t="n">
        <v>10891</v>
      </c>
      <c r="I896" s="697" t="n">
        <v>0</v>
      </c>
      <c r="J896" s="585" t="n">
        <v>23</v>
      </c>
      <c r="K896" s="585" t="n">
        <v>11</v>
      </c>
      <c r="L896" s="585">
        <f>IF(B896="TXO",I896-SUM(J896:K896),IF(B896="FITX",IF(D896="新倉",-SUM(J896:K896),IF(E896="賣",(H896-H895)*G896*200-SUM(J896:K896),(H895-H896)*G896*200-SUM(J896:K896))),IF(D896="新倉",-SUM(J896:K896),IF(E896="賣",(H896-H895)*G896*50-SUM(J896:K896),(H895-H896)*G896*50-SUM(J896:K896)))))</f>
        <v/>
      </c>
      <c r="M896" s="699">
        <f>L896</f>
        <v/>
      </c>
      <c r="N896" s="686">
        <f>IF(B896="TXO","",IF(D896="新倉","",IF(E896="賣",(H896-H895)*G896,(H895-H896)*G896)))</f>
        <v/>
      </c>
      <c r="O896" s="226">
        <f>ABS(I896)</f>
        <v/>
      </c>
      <c r="P896" s="667" t="n"/>
      <c r="Q896" s="311" t="n"/>
      <c r="R896" s="311" t="n"/>
      <c r="S896" s="739" t="n"/>
      <c r="T896" s="61">
        <f>IF(AND(R896="Yes",S896&lt;&gt;"Yes",L896&gt;0,B896&lt;&gt;"TXO"),L896,"")</f>
        <v/>
      </c>
      <c r="U896" s="61">
        <f>IF(AND(R896="Yes",S896&lt;&gt;"Yes",L896&lt;0,B896&lt;&gt;"TXO"),L896,"")</f>
        <v/>
      </c>
      <c r="V896" s="61">
        <f>IF(AND(R896="",S896&lt;&gt;"Yes",L896&gt;0,B896&lt;&gt;"TXO"),L896,"")</f>
        <v/>
      </c>
      <c r="W896" s="61">
        <f>IF(AND(R896="",S896&lt;&gt;"Yes",L896&lt;0,B896&lt;&gt;"TXO"),L896,"")</f>
        <v/>
      </c>
      <c r="X896" s="226">
        <f>IF(AND(R896="Yes",S896="Yes",L896&gt;0,B896&lt;&gt;"TXO"),L896,"")</f>
        <v/>
      </c>
      <c r="Y896" s="226">
        <f>IF(AND(R896="Yes",S896="Yes",L896&lt;0,B896&lt;&gt;"TXO"),L896,"")</f>
        <v/>
      </c>
      <c r="Z896" s="226">
        <f>IF(AND(R896="",S896="Yes",L896&gt;0,B896&lt;&gt;"TXO"),L896,"")</f>
        <v/>
      </c>
      <c r="AA896" s="226">
        <f>IF(AND(R896="",S896="Yes",L896&lt;0,B896&lt;&gt;"TXO"),L896,"")</f>
        <v/>
      </c>
    </row>
    <row r="897" hidden="1" outlineLevel="2" ht="17.25" customHeight="1" thickBot="1">
      <c r="A897" s="696" t="n">
        <v>43375</v>
      </c>
      <c r="B897" s="234" t="inlineStr">
        <is>
          <t>FIMTX</t>
        </is>
      </c>
      <c r="C897" s="229" t="inlineStr">
        <is>
          <t>小指10</t>
        </is>
      </c>
      <c r="D897" s="229" t="inlineStr">
        <is>
          <t>新倉</t>
        </is>
      </c>
      <c r="E897" s="257" t="inlineStr">
        <is>
          <t>買</t>
        </is>
      </c>
      <c r="F897" s="229" t="inlineStr">
        <is>
          <t>-</t>
        </is>
      </c>
      <c r="G897" s="697" t="n">
        <v>1</v>
      </c>
      <c r="H897" s="697" t="n">
        <v>10891</v>
      </c>
      <c r="I897" s="697" t="n">
        <v>0</v>
      </c>
      <c r="J897" s="585" t="n">
        <v>23</v>
      </c>
      <c r="K897" s="585" t="n">
        <v>11</v>
      </c>
      <c r="L897" s="585">
        <f>IF(B897="TXO",I897-SUM(J897:K897),IF(B897="FITX",IF(D897="新倉",-SUM(J897:K897),IF(E897="賣",(H897-H896)*G897*200-SUM(J897:K897),(H896-H897)*G897*200-SUM(J897:K897))),IF(D897="新倉",-SUM(J897:K897),IF(E897="賣",(H897-H896)*G897*50-SUM(J897:K897),(H896-H897)*G897*50-SUM(J897:K897)))))</f>
        <v/>
      </c>
      <c r="M897" s="699">
        <f>L897</f>
        <v/>
      </c>
      <c r="N897" s="686">
        <f>IF(B897="TXO","",IF(D897="新倉","",IF(E897="賣",(H897-H896)*G897,(H896-H897)*G897)))</f>
        <v/>
      </c>
      <c r="O897" s="226">
        <f>ABS(I897)</f>
        <v/>
      </c>
      <c r="P897" s="667">
        <f>SUM(L897:L900)</f>
        <v/>
      </c>
      <c r="Q897" s="249" t="inlineStr">
        <is>
          <t>技法: 3/3 買進一口</t>
        </is>
      </c>
      <c r="R897" s="249" t="inlineStr">
        <is>
          <t>Yes</t>
        </is>
      </c>
      <c r="S897" s="249" t="inlineStr">
        <is>
          <t>Yes</t>
        </is>
      </c>
      <c r="T897" s="61">
        <f>IF(AND(R897="Yes",S897&lt;&gt;"Yes",L897&gt;0,B897&lt;&gt;"TXO"),L897,"")</f>
        <v/>
      </c>
      <c r="U897" s="61">
        <f>IF(AND(R897="Yes",S897&lt;&gt;"Yes",L897&lt;0,B897&lt;&gt;"TXO"),L897,"")</f>
        <v/>
      </c>
      <c r="V897" s="61">
        <f>IF(AND(R897="",S897&lt;&gt;"Yes",L897&gt;0,B897&lt;&gt;"TXO"),L897,"")</f>
        <v/>
      </c>
      <c r="W897" s="61">
        <f>IF(AND(R897="",S897&lt;&gt;"Yes",L897&lt;0,B897&lt;&gt;"TXO"),L897,"")</f>
        <v/>
      </c>
      <c r="X897" s="226">
        <f>IF(AND(R897="Yes",S897="Yes",L897&gt;0,B897&lt;&gt;"TXO"),L897,"")</f>
        <v/>
      </c>
      <c r="Y897" s="226">
        <f>IF(AND(R897="Yes",S897="Yes",L897&lt;0,B897&lt;&gt;"TXO"),L897,"")</f>
        <v/>
      </c>
      <c r="Z897" s="226">
        <f>IF(AND(R897="",S897="Yes",L897&gt;0,B897&lt;&gt;"TXO"),L897,"")</f>
        <v/>
      </c>
      <c r="AA897" s="226">
        <f>IF(AND(R897="",S897="Yes",L897&lt;0,B897&lt;&gt;"TXO"),L897,"")</f>
        <v/>
      </c>
    </row>
    <row r="898" hidden="1" outlineLevel="2" ht="17.25" customHeight="1" thickBot="1">
      <c r="A898" s="696" t="n">
        <v>43375</v>
      </c>
      <c r="B898" s="234" t="inlineStr">
        <is>
          <t>FIMTX</t>
        </is>
      </c>
      <c r="C898" s="229" t="inlineStr">
        <is>
          <t>小指10</t>
        </is>
      </c>
      <c r="D898" s="229" t="inlineStr">
        <is>
          <t>平倉</t>
        </is>
      </c>
      <c r="E898" s="257" t="inlineStr">
        <is>
          <t>賣</t>
        </is>
      </c>
      <c r="F898" s="229" t="inlineStr">
        <is>
          <t>-</t>
        </is>
      </c>
      <c r="G898" s="697" t="n">
        <v>1</v>
      </c>
      <c r="H898" s="697" t="n">
        <v>10896</v>
      </c>
      <c r="I898" s="697" t="n">
        <v>0</v>
      </c>
      <c r="J898" s="585" t="n">
        <v>23</v>
      </c>
      <c r="K898" s="585" t="n">
        <v>11</v>
      </c>
      <c r="L898" s="585">
        <f>IF(B898="TXO",I898-SUM(J898:K898),IF(B898="FITX",IF(D898="新倉",-SUM(J898:K898),IF(E898="賣",(H898-H897)*G898*200-SUM(J898:K898),(H897-H898)*G898*200-SUM(J898:K898))),IF(D898="新倉",-SUM(J898:K898),IF(E898="賣",(H898-H897)*G898*50-SUM(J898:K898),(H897-H898)*G898*50-SUM(J898:K898)))))</f>
        <v/>
      </c>
      <c r="M898" s="699">
        <f>L898</f>
        <v/>
      </c>
      <c r="N898" s="686">
        <f>IF(B898="TXO","",IF(D898="新倉","",IF(E898="賣",(H898-H897)*G898,(H897-H898)*G898)))</f>
        <v/>
      </c>
      <c r="O898" s="226">
        <f>ABS(I898)</f>
        <v/>
      </c>
      <c r="P898" s="667" t="n"/>
      <c r="Q898" s="249" t="inlineStr">
        <is>
          <t>技法: 刺補</t>
        </is>
      </c>
      <c r="R898" s="249" t="inlineStr">
        <is>
          <t>Yes</t>
        </is>
      </c>
      <c r="S898" s="249" t="inlineStr">
        <is>
          <t>Yes</t>
        </is>
      </c>
      <c r="T898" s="61">
        <f>IF(AND(R898="Yes",S898&lt;&gt;"Yes",L898&gt;0,B898&lt;&gt;"TXO"),L898,"")</f>
        <v/>
      </c>
      <c r="U898" s="61">
        <f>IF(AND(R898="Yes",S898&lt;&gt;"Yes",L898&lt;0,B898&lt;&gt;"TXO"),L898,"")</f>
        <v/>
      </c>
      <c r="V898" s="61">
        <f>IF(AND(R898="",S898&lt;&gt;"Yes",L898&gt;0,B898&lt;&gt;"TXO"),L898,"")</f>
        <v/>
      </c>
      <c r="W898" s="61">
        <f>IF(AND(R898="",S898&lt;&gt;"Yes",L898&lt;0,B898&lt;&gt;"TXO"),L898,"")</f>
        <v/>
      </c>
      <c r="X898" s="226">
        <f>IF(AND(R898="Yes",S898="Yes",L898&gt;0,B898&lt;&gt;"TXO"),L898,"")</f>
        <v/>
      </c>
      <c r="Y898" s="226">
        <f>IF(AND(R898="Yes",S898="Yes",L898&lt;0,B898&lt;&gt;"TXO"),L898,"")</f>
        <v/>
      </c>
      <c r="Z898" s="226">
        <f>IF(AND(R898="",S898="Yes",L898&gt;0,B898&lt;&gt;"TXO"),L898,"")</f>
        <v/>
      </c>
      <c r="AA898" s="226">
        <f>IF(AND(R898="",S898="Yes",L898&lt;0,B898&lt;&gt;"TXO"),L898,"")</f>
        <v/>
      </c>
    </row>
    <row r="899" hidden="1" outlineLevel="2" ht="17.25" customHeight="1" thickBot="1">
      <c r="A899" s="696" t="n">
        <v>43375</v>
      </c>
      <c r="B899" s="234" t="inlineStr">
        <is>
          <t>FIMTX</t>
        </is>
      </c>
      <c r="C899" s="229" t="inlineStr">
        <is>
          <t>小指10</t>
        </is>
      </c>
      <c r="D899" s="229" t="inlineStr">
        <is>
          <t>新倉</t>
        </is>
      </c>
      <c r="E899" s="257" t="inlineStr">
        <is>
          <t>買</t>
        </is>
      </c>
      <c r="F899" s="229" t="inlineStr">
        <is>
          <t>-</t>
        </is>
      </c>
      <c r="G899" s="697" t="n">
        <v>1</v>
      </c>
      <c r="H899" s="697" t="n">
        <v>10894</v>
      </c>
      <c r="I899" s="697" t="n">
        <v>0</v>
      </c>
      <c r="J899" s="585" t="n">
        <v>23</v>
      </c>
      <c r="K899" s="585" t="n">
        <v>11</v>
      </c>
      <c r="L899" s="585">
        <f>IF(B899="TXO",I899-SUM(J899:K899),IF(B899="FITX",IF(D899="新倉",-SUM(J899:K899),IF(E899="賣",(H899-H898)*G899*200-SUM(J899:K899),(H898-H899)*G899*200-SUM(J899:K899))),IF(D899="新倉",-SUM(J899:K899),IF(E899="賣",(H899-H898)*G899*50-SUM(J899:K899),(H898-H899)*G899*50-SUM(J899:K899)))))</f>
        <v/>
      </c>
      <c r="M899" s="699">
        <f>L899</f>
        <v/>
      </c>
      <c r="N899" s="686">
        <f>IF(B899="TXO","",IF(D899="新倉","",IF(E899="賣",(H899-H898)*G899,(H898-H899)*G899)))</f>
        <v/>
      </c>
      <c r="O899" s="226">
        <f>ABS(I899)</f>
        <v/>
      </c>
      <c r="P899" s="667" t="n"/>
      <c r="Q899" s="249" t="inlineStr">
        <is>
          <t>技法: 3/3 買進一口</t>
        </is>
      </c>
      <c r="R899" s="249" t="inlineStr">
        <is>
          <t>Yes</t>
        </is>
      </c>
      <c r="S899" s="249" t="inlineStr">
        <is>
          <t>Yes</t>
        </is>
      </c>
      <c r="T899" s="61">
        <f>IF(AND(R899="Yes",S899&lt;&gt;"Yes",L899&gt;0,B899&lt;&gt;"TXO"),L899,"")</f>
        <v/>
      </c>
      <c r="U899" s="61">
        <f>IF(AND(R899="Yes",S899&lt;&gt;"Yes",L899&lt;0,B899&lt;&gt;"TXO"),L899,"")</f>
        <v/>
      </c>
      <c r="V899" s="61">
        <f>IF(AND(R899="",S899&lt;&gt;"Yes",L899&gt;0,B899&lt;&gt;"TXO"),L899,"")</f>
        <v/>
      </c>
      <c r="W899" s="61">
        <f>IF(AND(R899="",S899&lt;&gt;"Yes",L899&lt;0,B899&lt;&gt;"TXO"),L899,"")</f>
        <v/>
      </c>
      <c r="X899" s="226">
        <f>IF(AND(R899="Yes",S899="Yes",L899&gt;0,B899&lt;&gt;"TXO"),L899,"")</f>
        <v/>
      </c>
      <c r="Y899" s="226">
        <f>IF(AND(R899="Yes",S899="Yes",L899&lt;0,B899&lt;&gt;"TXO"),L899,"")</f>
        <v/>
      </c>
      <c r="Z899" s="226">
        <f>IF(AND(R899="",S899="Yes",L899&gt;0,B899&lt;&gt;"TXO"),L899,"")</f>
        <v/>
      </c>
      <c r="AA899" s="226">
        <f>IF(AND(R899="",S899="Yes",L899&lt;0,B899&lt;&gt;"TXO"),L899,"")</f>
        <v/>
      </c>
    </row>
    <row r="900" hidden="1" outlineLevel="2" ht="17.25" customHeight="1" thickBot="1">
      <c r="A900" s="696" t="n">
        <v>43375</v>
      </c>
      <c r="B900" s="234" t="inlineStr">
        <is>
          <t>FIMTX</t>
        </is>
      </c>
      <c r="C900" s="229" t="inlineStr">
        <is>
          <t>小指10</t>
        </is>
      </c>
      <c r="D900" s="229" t="inlineStr">
        <is>
          <t>平倉</t>
        </is>
      </c>
      <c r="E900" s="257" t="inlineStr">
        <is>
          <t>賣</t>
        </is>
      </c>
      <c r="F900" s="229" t="inlineStr">
        <is>
          <t>-</t>
        </is>
      </c>
      <c r="G900" s="697" t="n">
        <v>1</v>
      </c>
      <c r="H900" s="697" t="n">
        <v>10892</v>
      </c>
      <c r="I900" s="697" t="n">
        <v>0</v>
      </c>
      <c r="J900" s="585" t="n">
        <v>23</v>
      </c>
      <c r="K900" s="585" t="n">
        <v>11</v>
      </c>
      <c r="L900" s="585">
        <f>IF(B900="TXO",I900-SUM(J900:K900),IF(B900="FITX",IF(D900="新倉",-SUM(J900:K900),IF(E900="賣",(H900-H899)*G900*200-SUM(J900:K900),(H899-H900)*G900*200-SUM(J900:K900))),IF(D900="新倉",-SUM(J900:K900),IF(E900="賣",(H900-H899)*G900*50-SUM(J900:K900),(H899-H900)*G900*50-SUM(J900:K900)))))</f>
        <v/>
      </c>
      <c r="M900" s="699">
        <f>L900</f>
        <v/>
      </c>
      <c r="N900" s="686">
        <f>IF(B900="TXO","",IF(D900="新倉","",IF(E900="賣",(H900-H899)*G900,(H899-H900)*G900)))</f>
        <v/>
      </c>
      <c r="O900" s="226">
        <f>ABS(I900)</f>
        <v/>
      </c>
      <c r="P900" s="667" t="n"/>
      <c r="Q900" s="249" t="inlineStr">
        <is>
          <t>技法: 碰10MA停損</t>
        </is>
      </c>
      <c r="R900" s="249" t="inlineStr">
        <is>
          <t>Yes</t>
        </is>
      </c>
      <c r="S900" s="249" t="inlineStr">
        <is>
          <t>Yes</t>
        </is>
      </c>
      <c r="T900" s="61">
        <f>IF(AND(R900="Yes",S900&lt;&gt;"Yes",L900&gt;0,B900&lt;&gt;"TXO"),L900,"")</f>
        <v/>
      </c>
      <c r="U900" s="61">
        <f>IF(AND(R900="Yes",S900&lt;&gt;"Yes",L900&lt;0,B900&lt;&gt;"TXO"),L900,"")</f>
        <v/>
      </c>
      <c r="V900" s="61">
        <f>IF(AND(R900="",S900&lt;&gt;"Yes",L900&gt;0,B900&lt;&gt;"TXO"),L900,"")</f>
        <v/>
      </c>
      <c r="W900" s="61">
        <f>IF(AND(R900="",S900&lt;&gt;"Yes",L900&lt;0,B900&lt;&gt;"TXO"),L900,"")</f>
        <v/>
      </c>
      <c r="X900" s="226">
        <f>IF(AND(R900="Yes",S900="Yes",L900&gt;0,B900&lt;&gt;"TXO"),L900,"")</f>
        <v/>
      </c>
      <c r="Y900" s="226">
        <f>IF(AND(R900="Yes",S900="Yes",L900&lt;0,B900&lt;&gt;"TXO"),L900,"")</f>
        <v/>
      </c>
      <c r="Z900" s="226">
        <f>IF(AND(R900="",S900="Yes",L900&gt;0,B900&lt;&gt;"TXO"),L900,"")</f>
        <v/>
      </c>
      <c r="AA900" s="226">
        <f>IF(AND(R900="",S900="Yes",L900&lt;0,B900&lt;&gt;"TXO"),L900,"")</f>
        <v/>
      </c>
    </row>
    <row r="901" hidden="1" outlineLevel="2" ht="17.25" customHeight="1" thickBot="1">
      <c r="A901" s="696" t="n">
        <v>43375</v>
      </c>
      <c r="B901" s="234" t="inlineStr">
        <is>
          <t>FIMTX</t>
        </is>
      </c>
      <c r="C901" s="229" t="inlineStr">
        <is>
          <t>小指10</t>
        </is>
      </c>
      <c r="D901" s="229" t="inlineStr">
        <is>
          <t>新倉</t>
        </is>
      </c>
      <c r="E901" s="257" t="inlineStr">
        <is>
          <t>賣</t>
        </is>
      </c>
      <c r="F901" s="229" t="inlineStr">
        <is>
          <t>-</t>
        </is>
      </c>
      <c r="G901" s="697" t="n">
        <v>1</v>
      </c>
      <c r="H901" s="697" t="n">
        <v>11012</v>
      </c>
      <c r="I901" s="697" t="n">
        <v>0</v>
      </c>
      <c r="J901" s="585" t="n">
        <v>18</v>
      </c>
      <c r="K901" s="585" t="n">
        <v>11</v>
      </c>
      <c r="L901" s="585">
        <f>IF(B901="TXO",I901-SUM(J901:K901),IF(B901="FITX",IF(D901="新倉",-SUM(J901:K901),IF(E901="賣",(H901-H900)*G901*200-SUM(J901:K901),(H900-H901)*G901*200-SUM(J901:K901))),IF(D901="新倉",-SUM(J901:K901),IF(E901="賣",(H901-H900)*G901*50-SUM(J901:K901),(H900-H901)*G901*50-SUM(J901:K901)))))</f>
        <v/>
      </c>
      <c r="M901" s="699">
        <f>L901</f>
        <v/>
      </c>
      <c r="N901" s="686">
        <f>IF(B901="TXO","",IF(D901="新倉","",IF(E901="賣",(H901-H900)*G901,(H900-H901)*G901)))</f>
        <v/>
      </c>
      <c r="O901" s="226">
        <f>ABS(I901)</f>
        <v/>
      </c>
      <c r="P901" s="667" t="n"/>
      <c r="Q901" s="310" t="n"/>
      <c r="S901" s="739" t="n"/>
      <c r="T901" s="61">
        <f>IF(AND(R901="Yes",S901&lt;&gt;"Yes",L901&gt;0,B901&lt;&gt;"TXO"),L901,"")</f>
        <v/>
      </c>
      <c r="U901" s="61">
        <f>IF(AND(R901="Yes",S901&lt;&gt;"Yes",L901&lt;0,B901&lt;&gt;"TXO"),L901,"")</f>
        <v/>
      </c>
      <c r="V901" s="61">
        <f>IF(AND(R901="",S901&lt;&gt;"Yes",L901&gt;0,B901&lt;&gt;"TXO"),L901,"")</f>
        <v/>
      </c>
      <c r="W901" s="61">
        <f>IF(AND(R901="",S901&lt;&gt;"Yes",L901&lt;0,B901&lt;&gt;"TXO"),L901,"")</f>
        <v/>
      </c>
      <c r="X901" s="226">
        <f>IF(AND(R901="Yes",S901="Yes",L901&gt;0,B901&lt;&gt;"TXO"),L901,"")</f>
        <v/>
      </c>
      <c r="Y901" s="226">
        <f>IF(AND(R901="Yes",S901="Yes",L901&lt;0,B901&lt;&gt;"TXO"),L901,"")</f>
        <v/>
      </c>
      <c r="Z901" s="226">
        <f>IF(AND(R901="",S901="Yes",L901&gt;0,B901&lt;&gt;"TXO"),L901,"")</f>
        <v/>
      </c>
      <c r="AA901" s="226">
        <f>IF(AND(R901="",S901="Yes",L901&lt;0,B901&lt;&gt;"TXO"),L901,"")</f>
        <v/>
      </c>
    </row>
    <row r="902" hidden="1" outlineLevel="2" ht="17.25" customHeight="1" thickBot="1">
      <c r="A902" s="696" t="n">
        <v>43375</v>
      </c>
      <c r="B902" s="234" t="inlineStr">
        <is>
          <t>FIMTX</t>
        </is>
      </c>
      <c r="C902" s="229" t="inlineStr">
        <is>
          <t>小指10</t>
        </is>
      </c>
      <c r="D902" s="229" t="inlineStr">
        <is>
          <t>平倉</t>
        </is>
      </c>
      <c r="E902" s="257" t="inlineStr">
        <is>
          <t>買</t>
        </is>
      </c>
      <c r="F902" s="229" t="inlineStr">
        <is>
          <t>-</t>
        </is>
      </c>
      <c r="G902" s="697" t="n">
        <v>1</v>
      </c>
      <c r="H902" s="697" t="n">
        <v>11007</v>
      </c>
      <c r="I902" s="697" t="n">
        <v>0</v>
      </c>
      <c r="J902" s="585" t="n">
        <v>18</v>
      </c>
      <c r="K902" s="585" t="n">
        <v>11</v>
      </c>
      <c r="L902" s="585">
        <f>IF(B902="TXO",I902-SUM(J902:K902),IF(B902="FITX",IF(D902="新倉",-SUM(J902:K902),IF(E902="賣",(H902-H901)*G902*200-SUM(J902:K902),(H901-H902)*G902*200-SUM(J902:K902))),IF(D902="新倉",-SUM(J902:K902),IF(E902="賣",(H902-H901)*G902*50-SUM(J902:K902),(H901-H902)*G902*50-SUM(J902:K902)))))</f>
        <v/>
      </c>
      <c r="M902" s="699">
        <f>L902</f>
        <v/>
      </c>
      <c r="N902" s="686">
        <f>IF(B902="TXO","",IF(D902="新倉","",IF(E902="賣",(H902-H901)*G902,(H901-H902)*G902)))</f>
        <v/>
      </c>
      <c r="O902" s="226">
        <f>ABS(I902)</f>
        <v/>
      </c>
      <c r="P902" s="667" t="n"/>
      <c r="Q902" s="311" t="n"/>
      <c r="R902" s="311" t="n"/>
      <c r="S902" s="739" t="n"/>
      <c r="T902" s="61">
        <f>IF(AND(R902="Yes",S902&lt;&gt;"Yes",L902&gt;0,B902&lt;&gt;"TXO"),L902,"")</f>
        <v/>
      </c>
      <c r="U902" s="61">
        <f>IF(AND(R902="Yes",S902&lt;&gt;"Yes",L902&lt;0,B902&lt;&gt;"TXO"),L902,"")</f>
        <v/>
      </c>
      <c r="V902" s="61">
        <f>IF(AND(R902="",S902&lt;&gt;"Yes",L902&gt;0,B902&lt;&gt;"TXO"),L902,"")</f>
        <v/>
      </c>
      <c r="W902" s="61">
        <f>IF(AND(R902="",S902&lt;&gt;"Yes",L902&lt;0,B902&lt;&gt;"TXO"),L902,"")</f>
        <v/>
      </c>
      <c r="X902" s="226">
        <f>IF(AND(R902="Yes",S902="Yes",L902&gt;0,B902&lt;&gt;"TXO"),L902,"")</f>
        <v/>
      </c>
      <c r="Y902" s="226">
        <f>IF(AND(R902="Yes",S902="Yes",L902&lt;0,B902&lt;&gt;"TXO"),L902,"")</f>
        <v/>
      </c>
      <c r="Z902" s="226">
        <f>IF(AND(R902="",S902="Yes",L902&gt;0,B902&lt;&gt;"TXO"),L902,"")</f>
        <v/>
      </c>
      <c r="AA902" s="226">
        <f>IF(AND(R902="",S902="Yes",L902&lt;0,B902&lt;&gt;"TXO"),L902,"")</f>
        <v/>
      </c>
    </row>
    <row r="903" hidden="1" outlineLevel="2" ht="17.25" customHeight="1" thickBot="1">
      <c r="A903" s="696" t="n">
        <v>43375</v>
      </c>
      <c r="B903" s="234" t="inlineStr">
        <is>
          <t>FIMTX</t>
        </is>
      </c>
      <c r="C903" s="229" t="inlineStr">
        <is>
          <t>小指10</t>
        </is>
      </c>
      <c r="D903" s="229" t="inlineStr">
        <is>
          <t>新倉</t>
        </is>
      </c>
      <c r="E903" s="257" t="inlineStr">
        <is>
          <t>賣</t>
        </is>
      </c>
      <c r="F903" s="229" t="inlineStr">
        <is>
          <t>-</t>
        </is>
      </c>
      <c r="G903" s="697" t="n">
        <v>1</v>
      </c>
      <c r="H903" s="697" t="n">
        <v>11009</v>
      </c>
      <c r="I903" s="697" t="n">
        <v>0</v>
      </c>
      <c r="J903" s="585" t="n">
        <v>18</v>
      </c>
      <c r="K903" s="585" t="n">
        <v>11</v>
      </c>
      <c r="L903" s="585">
        <f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/>
      </c>
      <c r="M903" s="699">
        <f>L903</f>
        <v/>
      </c>
      <c r="N903" s="686">
        <f>IF(B903="TXO","",IF(D903="新倉","",IF(E903="賣",(H903-H902)*G903,(H902-H903)*G903)))</f>
        <v/>
      </c>
      <c r="O903" s="226">
        <f>ABS(I903)</f>
        <v/>
      </c>
      <c r="P903" s="667">
        <f>SUM(L903:L906)</f>
        <v/>
      </c>
      <c r="S903" s="249" t="inlineStr">
        <is>
          <t>Yes</t>
        </is>
      </c>
      <c r="T903" s="61">
        <f>IF(AND(R903="Yes",S903&lt;&gt;"Yes",L903&gt;0,B903&lt;&gt;"TXO"),L903,"")</f>
        <v/>
      </c>
      <c r="U903" s="61">
        <f>IF(AND(R903="Yes",S903&lt;&gt;"Yes",L903&lt;0,B903&lt;&gt;"TXO"),L903,"")</f>
        <v/>
      </c>
      <c r="V903" s="61">
        <f>IF(AND(R903="",S903&lt;&gt;"Yes",L903&gt;0,B903&lt;&gt;"TXO"),L903,"")</f>
        <v/>
      </c>
      <c r="W903" s="61">
        <f>IF(AND(R903="",S903&lt;&gt;"Yes",L903&lt;0,B903&lt;&gt;"TXO"),L903,"")</f>
        <v/>
      </c>
      <c r="X903" s="226">
        <f>IF(AND(R903="Yes",S903="Yes",L903&gt;0,B903&lt;&gt;"TXO"),L903,"")</f>
        <v/>
      </c>
      <c r="Y903" s="226">
        <f>IF(AND(R903="Yes",S903="Yes",L903&lt;0,B903&lt;&gt;"TXO"),L903,"")</f>
        <v/>
      </c>
      <c r="Z903" s="226">
        <f>IF(AND(R903="",S903="Yes",L903&gt;0,B903&lt;&gt;"TXO"),L903,"")</f>
        <v/>
      </c>
      <c r="AA903" s="226">
        <f>IF(AND(R903="",S903="Yes",L903&lt;0,B903&lt;&gt;"TXO"),L903,"")</f>
        <v/>
      </c>
    </row>
    <row r="904" hidden="1" outlineLevel="2" ht="17.25" customHeight="1" thickBot="1">
      <c r="A904" s="696" t="n">
        <v>43375</v>
      </c>
      <c r="B904" s="234" t="inlineStr">
        <is>
          <t>FIMTX</t>
        </is>
      </c>
      <c r="C904" s="229" t="inlineStr">
        <is>
          <t>小指10</t>
        </is>
      </c>
      <c r="D904" s="229" t="inlineStr">
        <is>
          <t>平倉</t>
        </is>
      </c>
      <c r="E904" s="257" t="inlineStr">
        <is>
          <t>買</t>
        </is>
      </c>
      <c r="F904" s="229" t="inlineStr">
        <is>
          <t>-</t>
        </is>
      </c>
      <c r="G904" s="697" t="n">
        <v>1</v>
      </c>
      <c r="H904" s="697" t="n">
        <v>11011</v>
      </c>
      <c r="I904" s="697" t="n">
        <v>0</v>
      </c>
      <c r="J904" s="585" t="n">
        <v>18</v>
      </c>
      <c r="K904" s="585" t="n">
        <v>11</v>
      </c>
      <c r="L904" s="585">
        <f>IF(B904="TXO",I904-SUM(J904:K904),IF(B904="FITX",IF(D904="新倉",-SUM(J904:K904),IF(E904="賣",(H904-H903)*G904*200-SUM(J904:K904),(H903-H904)*G904*200-SUM(J904:K904))),IF(D904="新倉",-SUM(J904:K904),IF(E904="賣",(H904-H903)*G904*50-SUM(J904:K904),(H903-H904)*G904*50-SUM(J904:K904)))))</f>
        <v/>
      </c>
      <c r="M904" s="699">
        <f>L904</f>
        <v/>
      </c>
      <c r="N904" s="686">
        <f>IF(B904="TXO","",IF(D904="新倉","",IF(E904="賣",(H904-H903)*G904,(H903-H904)*G904)))</f>
        <v/>
      </c>
      <c r="O904" s="226">
        <f>ABS(I904)</f>
        <v/>
      </c>
      <c r="P904" s="667" t="n"/>
      <c r="S904" s="249" t="inlineStr">
        <is>
          <t>Yes</t>
        </is>
      </c>
      <c r="T904" s="61">
        <f>IF(AND(R904="Yes",S904&lt;&gt;"Yes",L904&gt;0,B904&lt;&gt;"TXO"),L904,"")</f>
        <v/>
      </c>
      <c r="U904" s="61">
        <f>IF(AND(R904="Yes",S904&lt;&gt;"Yes",L904&lt;0,B904&lt;&gt;"TXO"),L904,"")</f>
        <v/>
      </c>
      <c r="V904" s="61">
        <f>IF(AND(R904="",S904&lt;&gt;"Yes",L904&gt;0,B904&lt;&gt;"TXO"),L904,"")</f>
        <v/>
      </c>
      <c r="W904" s="61">
        <f>IF(AND(R904="",S904&lt;&gt;"Yes",L904&lt;0,B904&lt;&gt;"TXO"),L904,"")</f>
        <v/>
      </c>
      <c r="X904" s="226">
        <f>IF(AND(R904="Yes",S904="Yes",L904&gt;0,B904&lt;&gt;"TXO"),L904,"")</f>
        <v/>
      </c>
      <c r="Y904" s="226">
        <f>IF(AND(R904="Yes",S904="Yes",L904&lt;0,B904&lt;&gt;"TXO"),L904,"")</f>
        <v/>
      </c>
      <c r="Z904" s="226">
        <f>IF(AND(R904="",S904="Yes",L904&gt;0,B904&lt;&gt;"TXO"),L904,"")</f>
        <v/>
      </c>
      <c r="AA904" s="226">
        <f>IF(AND(R904="",S904="Yes",L904&lt;0,B904&lt;&gt;"TXO"),L904,"")</f>
        <v/>
      </c>
    </row>
    <row r="905" hidden="1" outlineLevel="2" ht="17.25" customHeight="1" thickBot="1">
      <c r="A905" s="696" t="n">
        <v>43375</v>
      </c>
      <c r="B905" s="234" t="inlineStr">
        <is>
          <t>FIMTX</t>
        </is>
      </c>
      <c r="C905" s="229" t="inlineStr">
        <is>
          <t>小指10</t>
        </is>
      </c>
      <c r="D905" s="229" t="inlineStr">
        <is>
          <t>新倉</t>
        </is>
      </c>
      <c r="E905" s="257" t="inlineStr">
        <is>
          <t>賣</t>
        </is>
      </c>
      <c r="F905" s="229" t="inlineStr">
        <is>
          <t>-</t>
        </is>
      </c>
      <c r="G905" s="697" t="n">
        <v>1</v>
      </c>
      <c r="H905" s="697" t="n">
        <v>11014</v>
      </c>
      <c r="I905" s="697" t="n">
        <v>0</v>
      </c>
      <c r="J905" s="585" t="n">
        <v>18</v>
      </c>
      <c r="K905" s="585" t="n">
        <v>11</v>
      </c>
      <c r="L905" s="585">
        <f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/>
      </c>
      <c r="M905" s="699">
        <f>L905</f>
        <v/>
      </c>
      <c r="N905" s="686">
        <f>IF(B905="TXO","",IF(D905="新倉","",IF(E905="賣",(H905-H904)*G905,(H904-H905)*G905)))</f>
        <v/>
      </c>
      <c r="O905" s="226">
        <f>ABS(I905)</f>
        <v/>
      </c>
      <c r="P905" s="667" t="n"/>
      <c r="S905" s="249" t="inlineStr">
        <is>
          <t>Yes</t>
        </is>
      </c>
      <c r="T905" s="61">
        <f>IF(AND(R905="Yes",S905&lt;&gt;"Yes",L905&gt;0,B905&lt;&gt;"TXO"),L905,"")</f>
        <v/>
      </c>
      <c r="U905" s="61">
        <f>IF(AND(R905="Yes",S905&lt;&gt;"Yes",L905&lt;0,B905&lt;&gt;"TXO"),L905,"")</f>
        <v/>
      </c>
      <c r="V905" s="61">
        <f>IF(AND(R905="",S905&lt;&gt;"Yes",L905&gt;0,B905&lt;&gt;"TXO"),L905,"")</f>
        <v/>
      </c>
      <c r="W905" s="61">
        <f>IF(AND(R905="",S905&lt;&gt;"Yes",L905&lt;0,B905&lt;&gt;"TXO"),L905,"")</f>
        <v/>
      </c>
      <c r="X905" s="226">
        <f>IF(AND(R905="Yes",S905="Yes",L905&gt;0,B905&lt;&gt;"TXO"),L905,"")</f>
        <v/>
      </c>
      <c r="Y905" s="226">
        <f>IF(AND(R905="Yes",S905="Yes",L905&lt;0,B905&lt;&gt;"TXO"),L905,"")</f>
        <v/>
      </c>
      <c r="Z905" s="226">
        <f>IF(AND(R905="",S905="Yes",L905&gt;0,B905&lt;&gt;"TXO"),L905,"")</f>
        <v/>
      </c>
      <c r="AA905" s="226">
        <f>IF(AND(R905="",S905="Yes",L905&lt;0,B905&lt;&gt;"TXO"),L905,"")</f>
        <v/>
      </c>
    </row>
    <row r="906" hidden="1" outlineLevel="2" ht="17.25" customHeight="1" thickBot="1">
      <c r="A906" s="696" t="n">
        <v>43375</v>
      </c>
      <c r="B906" s="234" t="inlineStr">
        <is>
          <t>FIMTX</t>
        </is>
      </c>
      <c r="C906" s="229" t="inlineStr">
        <is>
          <t>小指10</t>
        </is>
      </c>
      <c r="D906" s="229" t="inlineStr">
        <is>
          <t>平倉</t>
        </is>
      </c>
      <c r="E906" s="257" t="inlineStr">
        <is>
          <t>買</t>
        </is>
      </c>
      <c r="F906" s="229" t="inlineStr">
        <is>
          <t>-</t>
        </is>
      </c>
      <c r="G906" s="697" t="n">
        <v>1</v>
      </c>
      <c r="H906" s="697" t="n">
        <v>11012</v>
      </c>
      <c r="I906" s="697" t="n">
        <v>0</v>
      </c>
      <c r="J906" s="585" t="n">
        <v>18</v>
      </c>
      <c r="K906" s="585" t="n">
        <v>11</v>
      </c>
      <c r="L906" s="585">
        <f>IF(B906="TXO",I906-SUM(J906:K906),IF(B906="FITX",IF(D906="新倉",-SUM(J906:K906),IF(E906="賣",(H906-H905)*G906*200-SUM(J906:K906),(H905-H906)*G906*200-SUM(J906:K906))),IF(D906="新倉",-SUM(J906:K906),IF(E906="賣",(H906-H905)*G906*50-SUM(J906:K906),(H905-H906)*G906*50-SUM(J906:K906)))))</f>
        <v/>
      </c>
      <c r="M906" s="699">
        <f>L906</f>
        <v/>
      </c>
      <c r="N906" s="686">
        <f>IF(B906="TXO","",IF(D906="新倉","",IF(E906="賣",(H906-H905)*G906,(H905-H906)*G906)))</f>
        <v/>
      </c>
      <c r="O906" s="226">
        <f>ABS(I906)</f>
        <v/>
      </c>
      <c r="P906" s="667" t="n"/>
      <c r="S906" s="249" t="inlineStr">
        <is>
          <t>Yes</t>
        </is>
      </c>
      <c r="T906" s="61">
        <f>IF(AND(R906="Yes",S906&lt;&gt;"Yes",L906&gt;0,B906&lt;&gt;"TXO"),L906,"")</f>
        <v/>
      </c>
      <c r="U906" s="61">
        <f>IF(AND(R906="Yes",S906&lt;&gt;"Yes",L906&lt;0,B906&lt;&gt;"TXO"),L906,"")</f>
        <v/>
      </c>
      <c r="V906" s="61">
        <f>IF(AND(R906="",S906&lt;&gt;"Yes",L906&gt;0,B906&lt;&gt;"TXO"),L906,"")</f>
        <v/>
      </c>
      <c r="W906" s="61">
        <f>IF(AND(R906="",S906&lt;&gt;"Yes",L906&lt;0,B906&lt;&gt;"TXO"),L906,"")</f>
        <v/>
      </c>
      <c r="X906" s="226">
        <f>IF(AND(R906="Yes",S906="Yes",L906&gt;0,B906&lt;&gt;"TXO"),L906,"")</f>
        <v/>
      </c>
      <c r="Y906" s="226">
        <f>IF(AND(R906="Yes",S906="Yes",L906&lt;0,B906&lt;&gt;"TXO"),L906,"")</f>
        <v/>
      </c>
      <c r="Z906" s="226">
        <f>IF(AND(R906="",S906="Yes",L906&gt;0,B906&lt;&gt;"TXO"),L906,"")</f>
        <v/>
      </c>
      <c r="AA906" s="226">
        <f>IF(AND(R906="",S906="Yes",L906&lt;0,B906&lt;&gt;"TXO"),L906,"")</f>
        <v/>
      </c>
    </row>
    <row r="907" hidden="1" outlineLevel="1" ht="33.75" customHeight="1" thickBot="1">
      <c r="A907" s="740" t="n">
        <v>43376</v>
      </c>
      <c r="B907" s="299" t="inlineStr">
        <is>
          <t>FIMTX</t>
        </is>
      </c>
      <c r="C907" s="300" t="inlineStr">
        <is>
          <t>小指10</t>
        </is>
      </c>
      <c r="D907" s="300" t="inlineStr">
        <is>
          <t>新倉</t>
        </is>
      </c>
      <c r="E907" s="301" t="inlineStr">
        <is>
          <t>賣</t>
        </is>
      </c>
      <c r="F907" s="300" t="inlineStr">
        <is>
          <t>-</t>
        </is>
      </c>
      <c r="G907" s="741" t="n">
        <v>1</v>
      </c>
      <c r="H907" s="741" t="n">
        <v>10876</v>
      </c>
      <c r="I907" s="741" t="n">
        <v>0</v>
      </c>
      <c r="J907" s="742" t="n">
        <v>23</v>
      </c>
      <c r="K907" s="742" t="n">
        <v>11</v>
      </c>
      <c r="L907" s="742">
        <f>IF(B907="TXO",I907-SUM(J907:K907),IF(B907="FITX",IF(D907="新倉",-SUM(J907:K907),IF(E907="賣",(H907-H906)*G907*200-SUM(J907:K907),(H906-H907)*G907*200-SUM(J907:K907))),IF(D907="新倉",-SUM(J907:K907),IF(E907="賣",(H907-H906)*G907*50-SUM(J907:K907),(H906-H907)*G907*50-SUM(J907:K907)))))</f>
        <v/>
      </c>
      <c r="M907" s="743">
        <f>L907</f>
        <v/>
      </c>
      <c r="N907" s="686">
        <f>IF(B907="TXO","",IF(D907="新倉","",IF(E907="賣",(H907-H906)*G907,(H906-H907)*G907)))</f>
        <v/>
      </c>
      <c r="O907" s="226">
        <f>ABS(I907)</f>
        <v/>
      </c>
      <c r="P907" s="667">
        <f>SUM(L907:L918)</f>
        <v/>
      </c>
      <c r="Q907" s="310" t="inlineStr">
        <is>
          <t>3/3 沒買進，追跌，離10MA超過10點且接近下通道</t>
        </is>
      </c>
      <c r="S907" s="739" t="n"/>
      <c r="T907" s="61">
        <f>IF(AND(R907="Yes",S907&lt;&gt;"Yes",L907&gt;0,B907&lt;&gt;"TXO"),L907,"")</f>
        <v/>
      </c>
      <c r="U907" s="61">
        <f>IF(AND(R907="Yes",S907&lt;&gt;"Yes",L907&lt;0,B907&lt;&gt;"TXO"),L907,"")</f>
        <v/>
      </c>
      <c r="V907" s="61">
        <f>IF(AND(R907="",S907&lt;&gt;"Yes",L907&gt;0,B907&lt;&gt;"TXO"),L907,"")</f>
        <v/>
      </c>
      <c r="W907" s="61">
        <f>IF(AND(R907="",S907&lt;&gt;"Yes",L907&lt;0,B907&lt;&gt;"TXO"),L907,"")</f>
        <v/>
      </c>
      <c r="X907" s="226">
        <f>IF(AND(R907="Yes",S907="Yes",L907&gt;0,B907&lt;&gt;"TXO"),L907,"")</f>
        <v/>
      </c>
      <c r="Y907" s="226">
        <f>IF(AND(R907="Yes",S907="Yes",L907&lt;0,B907&lt;&gt;"TXO"),L907,"")</f>
        <v/>
      </c>
      <c r="Z907" s="226">
        <f>IF(AND(R907="",S907="Yes",L907&gt;0,B907&lt;&gt;"TXO"),L907,"")</f>
        <v/>
      </c>
      <c r="AA907" s="226">
        <f>IF(AND(R907="",S907="Yes",L907&lt;0,B907&lt;&gt;"TXO"),L907,"")</f>
        <v/>
      </c>
    </row>
    <row r="908" hidden="1" outlineLevel="2" collapsed="1" ht="17.25" customHeight="1" thickBot="1">
      <c r="A908" s="740" t="n">
        <v>43376</v>
      </c>
      <c r="B908" s="299" t="inlineStr">
        <is>
          <t>FIMTX</t>
        </is>
      </c>
      <c r="C908" s="300" t="inlineStr">
        <is>
          <t>小指10</t>
        </is>
      </c>
      <c r="D908" s="300" t="inlineStr">
        <is>
          <t>平倉</t>
        </is>
      </c>
      <c r="E908" s="301" t="inlineStr">
        <is>
          <t>買</t>
        </is>
      </c>
      <c r="F908" s="300" t="inlineStr">
        <is>
          <t>-</t>
        </is>
      </c>
      <c r="G908" s="741" t="n">
        <v>1</v>
      </c>
      <c r="H908" s="741" t="n">
        <v>10870</v>
      </c>
      <c r="I908" s="741" t="n">
        <v>0</v>
      </c>
      <c r="J908" s="742" t="n">
        <v>23</v>
      </c>
      <c r="K908" s="742" t="n">
        <v>11</v>
      </c>
      <c r="L908" s="742">
        <f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/>
      </c>
      <c r="M908" s="743">
        <f>L908</f>
        <v/>
      </c>
      <c r="N908" s="686">
        <f>IF(B908="TXO","",IF(D908="新倉","",IF(E908="賣",(H908-H907)*G908,(H907-H908)*G908)))</f>
        <v/>
      </c>
      <c r="O908" s="226">
        <f>ABS(I908)</f>
        <v/>
      </c>
      <c r="P908" s="667" t="n"/>
      <c r="Q908" s="249" t="inlineStr">
        <is>
          <t>技法: 刺補</t>
        </is>
      </c>
      <c r="S908" s="739" t="n"/>
      <c r="T908" s="61">
        <f>IF(AND(R908="Yes",S908&lt;&gt;"Yes",L908&gt;0,B908&lt;&gt;"TXO"),L908,"")</f>
        <v/>
      </c>
      <c r="U908" s="61">
        <f>IF(AND(R908="Yes",S908&lt;&gt;"Yes",L908&lt;0,B908&lt;&gt;"TXO"),L908,"")</f>
        <v/>
      </c>
      <c r="V908" s="61">
        <f>IF(AND(R908="",S908&lt;&gt;"Yes",L908&gt;0,B908&lt;&gt;"TXO"),L908,"")</f>
        <v/>
      </c>
      <c r="W908" s="61">
        <f>IF(AND(R908="",S908&lt;&gt;"Yes",L908&lt;0,B908&lt;&gt;"TXO"),L908,"")</f>
        <v/>
      </c>
      <c r="X908" s="226">
        <f>IF(AND(R908="Yes",S908="Yes",L908&gt;0,B908&lt;&gt;"TXO"),L908,"")</f>
        <v/>
      </c>
      <c r="Y908" s="226">
        <f>IF(AND(R908="Yes",S908="Yes",L908&lt;0,B908&lt;&gt;"TXO"),L908,"")</f>
        <v/>
      </c>
      <c r="Z908" s="226">
        <f>IF(AND(R908="",S908="Yes",L908&gt;0,B908&lt;&gt;"TXO"),L908,"")</f>
        <v/>
      </c>
      <c r="AA908" s="226">
        <f>IF(AND(R908="",S908="Yes",L908&lt;0,B908&lt;&gt;"TXO"),L908,"")</f>
        <v/>
      </c>
    </row>
    <row r="909" hidden="1" outlineLevel="2" collapsed="1" ht="17.25" customHeight="1" thickBot="1">
      <c r="A909" s="740" t="n">
        <v>43376</v>
      </c>
      <c r="B909" s="299" t="inlineStr">
        <is>
          <t>FIMTX</t>
        </is>
      </c>
      <c r="C909" s="300" t="inlineStr">
        <is>
          <t>小指10</t>
        </is>
      </c>
      <c r="D909" s="300" t="inlineStr">
        <is>
          <t>新倉</t>
        </is>
      </c>
      <c r="E909" s="301" t="inlineStr">
        <is>
          <t>賣</t>
        </is>
      </c>
      <c r="F909" s="300" t="inlineStr">
        <is>
          <t>-</t>
        </is>
      </c>
      <c r="G909" s="741" t="n">
        <v>1</v>
      </c>
      <c r="H909" s="741" t="n">
        <v>10881</v>
      </c>
      <c r="I909" s="741" t="n">
        <v>0</v>
      </c>
      <c r="J909" s="742" t="n">
        <v>23</v>
      </c>
      <c r="K909" s="742" t="n">
        <v>11</v>
      </c>
      <c r="L909" s="742">
        <f>IF(B909="TXO",I909-SUM(J909:K909),IF(B909="FITX",IF(D909="新倉",-SUM(J909:K909),IF(E909="賣",(H909-H908)*G909*200-SUM(J909:K909),(H908-H909)*G909*200-SUM(J909:K909))),IF(D909="新倉",-SUM(J909:K909),IF(E909="賣",(H909-H908)*G909*50-SUM(J909:K909),(H908-H909)*G909*50-SUM(J909:K909)))))</f>
        <v/>
      </c>
      <c r="M909" s="743">
        <f>L909</f>
        <v/>
      </c>
      <c r="N909" s="686">
        <f>IF(B909="TXO","",IF(D909="新倉","",IF(E909="賣",(H909-H908)*G909,(H908-H909)*G909)))</f>
        <v/>
      </c>
      <c r="O909" s="226">
        <f>ABS(I909)</f>
        <v/>
      </c>
      <c r="P909" s="667" t="n"/>
      <c r="Q909" s="310" t="inlineStr">
        <is>
          <t>拉回，加碼</t>
        </is>
      </c>
      <c r="S909" s="739" t="n"/>
      <c r="T909" s="61">
        <f>IF(AND(R909="Yes",S909&lt;&gt;"Yes",L909&gt;0,B909&lt;&gt;"TXO"),L909,"")</f>
        <v/>
      </c>
      <c r="U909" s="61">
        <f>IF(AND(R909="Yes",S909&lt;&gt;"Yes",L909&lt;0,B909&lt;&gt;"TXO"),L909,"")</f>
        <v/>
      </c>
      <c r="V909" s="61">
        <f>IF(AND(R909="",S909&lt;&gt;"Yes",L909&gt;0,B909&lt;&gt;"TXO"),L909,"")</f>
        <v/>
      </c>
      <c r="W909" s="61">
        <f>IF(AND(R909="",S909&lt;&gt;"Yes",L909&lt;0,B909&lt;&gt;"TXO"),L909,"")</f>
        <v/>
      </c>
      <c r="X909" s="226">
        <f>IF(AND(R909="Yes",S909="Yes",L909&gt;0,B909&lt;&gt;"TXO"),L909,"")</f>
        <v/>
      </c>
      <c r="Y909" s="226">
        <f>IF(AND(R909="Yes",S909="Yes",L909&lt;0,B909&lt;&gt;"TXO"),L909,"")</f>
        <v/>
      </c>
      <c r="Z909" s="226">
        <f>IF(AND(R909="",S909="Yes",L909&gt;0,B909&lt;&gt;"TXO"),L909,"")</f>
        <v/>
      </c>
      <c r="AA909" s="226">
        <f>IF(AND(R909="",S909="Yes",L909&lt;0,B909&lt;&gt;"TXO"),L909,"")</f>
        <v/>
      </c>
    </row>
    <row r="910" hidden="1" outlineLevel="2" collapsed="1" ht="17.25" customHeight="1" thickBot="1">
      <c r="A910" s="740" t="n">
        <v>43376</v>
      </c>
      <c r="B910" s="299" t="inlineStr">
        <is>
          <t>FIMTX</t>
        </is>
      </c>
      <c r="C910" s="300" t="inlineStr">
        <is>
          <t>小指10</t>
        </is>
      </c>
      <c r="D910" s="300" t="inlineStr">
        <is>
          <t>平倉</t>
        </is>
      </c>
      <c r="E910" s="301" t="inlineStr">
        <is>
          <t>買</t>
        </is>
      </c>
      <c r="F910" s="300" t="inlineStr">
        <is>
          <t>-</t>
        </is>
      </c>
      <c r="G910" s="741" t="n">
        <v>1</v>
      </c>
      <c r="H910" s="741" t="n">
        <v>10866</v>
      </c>
      <c r="I910" s="741" t="n">
        <v>0</v>
      </c>
      <c r="J910" s="742" t="n">
        <v>23</v>
      </c>
      <c r="K910" s="742" t="n">
        <v>11</v>
      </c>
      <c r="L910" s="742">
        <f>IF(B910="TXO",I910-SUM(J910:K910),IF(B910="FITX",IF(D910="新倉",-SUM(J910:K910),IF(E910="賣",(H910-H909)*G910*200-SUM(J910:K910),(H909-H910)*G910*200-SUM(J910:K910))),IF(D910="新倉",-SUM(J910:K910),IF(E910="賣",(H910-H909)*G910*50-SUM(J910:K910),(H909-H910)*G910*50-SUM(J910:K910)))))</f>
        <v/>
      </c>
      <c r="M910" s="743">
        <f>L910</f>
        <v/>
      </c>
      <c r="N910" s="686">
        <f>IF(B910="TXO","",IF(D910="新倉","",IF(E910="賣",(H910-H909)*G910,(H909-H910)*G910)))</f>
        <v/>
      </c>
      <c r="O910" s="226">
        <f>ABS(I910)</f>
        <v/>
      </c>
      <c r="P910" s="667" t="n"/>
      <c r="Q910" s="249" t="inlineStr">
        <is>
          <t>元大移動式停利</t>
        </is>
      </c>
      <c r="S910" s="739" t="n"/>
      <c r="T910" s="61">
        <f>IF(AND(R910="Yes",S910&lt;&gt;"Yes",L910&gt;0,B910&lt;&gt;"TXO"),L910,"")</f>
        <v/>
      </c>
      <c r="U910" s="61">
        <f>IF(AND(R910="Yes",S910&lt;&gt;"Yes",L910&lt;0,B910&lt;&gt;"TXO"),L910,"")</f>
        <v/>
      </c>
      <c r="V910" s="61">
        <f>IF(AND(R910="",S910&lt;&gt;"Yes",L910&gt;0,B910&lt;&gt;"TXO"),L910,"")</f>
        <v/>
      </c>
      <c r="W910" s="61">
        <f>IF(AND(R910="",S910&lt;&gt;"Yes",L910&lt;0,B910&lt;&gt;"TXO"),L910,"")</f>
        <v/>
      </c>
      <c r="X910" s="226">
        <f>IF(AND(R910="Yes",S910="Yes",L910&gt;0,B910&lt;&gt;"TXO"),L910,"")</f>
        <v/>
      </c>
      <c r="Y910" s="226">
        <f>IF(AND(R910="Yes",S910="Yes",L910&lt;0,B910&lt;&gt;"TXO"),L910,"")</f>
        <v/>
      </c>
      <c r="Z910" s="226">
        <f>IF(AND(R910="",S910="Yes",L910&gt;0,B910&lt;&gt;"TXO"),L910,"")</f>
        <v/>
      </c>
      <c r="AA910" s="226">
        <f>IF(AND(R910="",S910="Yes",L910&lt;0,B910&lt;&gt;"TXO"),L910,"")</f>
        <v/>
      </c>
    </row>
    <row r="911" hidden="1" outlineLevel="2" collapsed="1" ht="17.25" customHeight="1" thickBot="1">
      <c r="A911" s="740" t="n">
        <v>43376</v>
      </c>
      <c r="B911" s="299" t="inlineStr">
        <is>
          <t>FIMTX</t>
        </is>
      </c>
      <c r="C911" s="300" t="inlineStr">
        <is>
          <t>小指10</t>
        </is>
      </c>
      <c r="D911" s="300" t="inlineStr">
        <is>
          <t>新倉</t>
        </is>
      </c>
      <c r="E911" s="301" t="inlineStr">
        <is>
          <t>賣</t>
        </is>
      </c>
      <c r="F911" s="300" t="inlineStr">
        <is>
          <t>-</t>
        </is>
      </c>
      <c r="G911" s="741" t="n">
        <v>1</v>
      </c>
      <c r="H911" s="741" t="n">
        <v>10857</v>
      </c>
      <c r="I911" s="741" t="n">
        <v>0</v>
      </c>
      <c r="J911" s="742" t="n">
        <v>23</v>
      </c>
      <c r="K911" s="742" t="n">
        <v>11</v>
      </c>
      <c r="L911" s="742">
        <f>IF(B911="TXO",I911-SUM(J911:K911),IF(B911="FITX",IF(D911="新倉",-SUM(J911:K911),IF(E911="賣",(H911-H910)*G911*200-SUM(J911:K911),(H910-H911)*G911*200-SUM(J911:K911))),IF(D911="新倉",-SUM(J911:K911),IF(E911="賣",(H911-H910)*G911*50-SUM(J911:K911),(H910-H911)*G911*50-SUM(J911:K911)))))</f>
        <v/>
      </c>
      <c r="M911" s="743">
        <f>L911</f>
        <v/>
      </c>
      <c r="N911" s="686">
        <f>IF(B911="TXO","",IF(D911="新倉","",IF(E911="賣",(H911-H910)*G911,(H910-H911)*G911)))</f>
        <v/>
      </c>
      <c r="O911" s="226">
        <f>ABS(I911)</f>
        <v/>
      </c>
      <c r="P911" s="667">
        <f>SUM(L911:L918)</f>
        <v/>
      </c>
      <c r="Q911" s="249" t="inlineStr">
        <is>
          <t>技法: 3/3 買進二口</t>
        </is>
      </c>
      <c r="R911" s="249" t="inlineStr">
        <is>
          <t>Yes</t>
        </is>
      </c>
      <c r="S911" s="249" t="inlineStr">
        <is>
          <t>Yes</t>
        </is>
      </c>
      <c r="T911" s="61">
        <f>IF(AND(R911="Yes",S911&lt;&gt;"Yes",L911&gt;0,B911&lt;&gt;"TXO"),L911,"")</f>
        <v/>
      </c>
      <c r="U911" s="61">
        <f>IF(AND(R911="Yes",S911&lt;&gt;"Yes",L911&lt;0,B911&lt;&gt;"TXO"),L911,"")</f>
        <v/>
      </c>
      <c r="V911" s="61">
        <f>IF(AND(R911="",S911&lt;&gt;"Yes",L911&gt;0,B911&lt;&gt;"TXO"),L911,"")</f>
        <v/>
      </c>
      <c r="W911" s="61">
        <f>IF(AND(R911="",S911&lt;&gt;"Yes",L911&lt;0,B911&lt;&gt;"TXO"),L911,"")</f>
        <v/>
      </c>
      <c r="X911" s="226">
        <f>IF(AND(R911="Yes",S911="Yes",L911&gt;0,B911&lt;&gt;"TXO"),L911,"")</f>
        <v/>
      </c>
      <c r="Y911" s="226">
        <f>IF(AND(R911="Yes",S911="Yes",L911&lt;0,B911&lt;&gt;"TXO"),L911,"")</f>
        <v/>
      </c>
      <c r="Z911" s="226">
        <f>IF(AND(R911="",S911="Yes",L911&gt;0,B911&lt;&gt;"TXO"),L911,"")</f>
        <v/>
      </c>
      <c r="AA911" s="226">
        <f>IF(AND(R911="",S911="Yes",L911&lt;0,B911&lt;&gt;"TXO"),L911,"")</f>
        <v/>
      </c>
    </row>
    <row r="912" hidden="1" outlineLevel="2" collapsed="1" ht="17.25" customHeight="1" thickBot="1">
      <c r="A912" s="740" t="n">
        <v>43376</v>
      </c>
      <c r="B912" s="299" t="inlineStr">
        <is>
          <t>FIMTX</t>
        </is>
      </c>
      <c r="C912" s="300" t="inlineStr">
        <is>
          <t>小指10</t>
        </is>
      </c>
      <c r="D912" s="300" t="inlineStr">
        <is>
          <t>平倉</t>
        </is>
      </c>
      <c r="E912" s="301" t="inlineStr">
        <is>
          <t>買</t>
        </is>
      </c>
      <c r="F912" s="300" t="inlineStr">
        <is>
          <t>-</t>
        </is>
      </c>
      <c r="G912" s="741" t="n">
        <v>1</v>
      </c>
      <c r="H912" s="741" t="n">
        <v>10862</v>
      </c>
      <c r="I912" s="741" t="n">
        <v>0</v>
      </c>
      <c r="J912" s="742" t="n">
        <v>23</v>
      </c>
      <c r="K912" s="742" t="n">
        <v>11</v>
      </c>
      <c r="L912" s="742">
        <f>IF(B912="TXO",I912-SUM(J912:K912),IF(B912="FITX",IF(D912="新倉",-SUM(J912:K912),IF(E912="賣",(H912-H911)*G912*200-SUM(J912:K912),(H911-H912)*G912*200-SUM(J912:K912))),IF(D912="新倉",-SUM(J912:K912),IF(E912="賣",(H912-H911)*G912*50-SUM(J912:K912),(H911-H912)*G912*50-SUM(J912:K912)))))</f>
        <v/>
      </c>
      <c r="M912" s="743">
        <f>L912</f>
        <v/>
      </c>
      <c r="N912" s="686">
        <f>IF(B912="TXO","",IF(D912="新倉","",IF(E912="賣",(H912-H911)*G912,(H911-H912)*G912)))</f>
        <v/>
      </c>
      <c r="O912" s="226">
        <f>ABS(I912)</f>
        <v/>
      </c>
      <c r="P912" s="667" t="n"/>
      <c r="Q912" s="249" t="inlineStr">
        <is>
          <t>技法: 碰10MA停損</t>
        </is>
      </c>
      <c r="R912" s="249" t="inlineStr">
        <is>
          <t>Yes</t>
        </is>
      </c>
      <c r="S912" s="249" t="inlineStr">
        <is>
          <t>Yes</t>
        </is>
      </c>
      <c r="T912" s="61">
        <f>IF(AND(R912="Yes",S912&lt;&gt;"Yes",L912&gt;0,B912&lt;&gt;"TXO"),L912,"")</f>
        <v/>
      </c>
      <c r="U912" s="61">
        <f>IF(AND(R912="Yes",S912&lt;&gt;"Yes",L912&lt;0,B912&lt;&gt;"TXO"),L912,"")</f>
        <v/>
      </c>
      <c r="V912" s="61">
        <f>IF(AND(R912="",S912&lt;&gt;"Yes",L912&gt;0,B912&lt;&gt;"TXO"),L912,"")</f>
        <v/>
      </c>
      <c r="W912" s="61">
        <f>IF(AND(R912="",S912&lt;&gt;"Yes",L912&lt;0,B912&lt;&gt;"TXO"),L912,"")</f>
        <v/>
      </c>
      <c r="X912" s="226">
        <f>IF(AND(R912="Yes",S912="Yes",L912&gt;0,B912&lt;&gt;"TXO"),L912,"")</f>
        <v/>
      </c>
      <c r="Y912" s="226">
        <f>IF(AND(R912="Yes",S912="Yes",L912&lt;0,B912&lt;&gt;"TXO"),L912,"")</f>
        <v/>
      </c>
      <c r="Z912" s="226">
        <f>IF(AND(R912="",S912="Yes",L912&gt;0,B912&lt;&gt;"TXO"),L912,"")</f>
        <v/>
      </c>
      <c r="AA912" s="226">
        <f>IF(AND(R912="",S912="Yes",L912&lt;0,B912&lt;&gt;"TXO"),L912,"")</f>
        <v/>
      </c>
    </row>
    <row r="913" hidden="1" outlineLevel="2" collapsed="1" ht="17.25" customHeight="1" thickBot="1">
      <c r="A913" s="740" t="n">
        <v>43376</v>
      </c>
      <c r="B913" s="299" t="inlineStr">
        <is>
          <t>FIMTX</t>
        </is>
      </c>
      <c r="C913" s="300" t="inlineStr">
        <is>
          <t>小指10</t>
        </is>
      </c>
      <c r="D913" s="300" t="inlineStr">
        <is>
          <t>新倉</t>
        </is>
      </c>
      <c r="E913" s="301" t="inlineStr">
        <is>
          <t>賣</t>
        </is>
      </c>
      <c r="F913" s="300" t="inlineStr">
        <is>
          <t>-</t>
        </is>
      </c>
      <c r="G913" s="741" t="n">
        <v>1</v>
      </c>
      <c r="H913" s="741" t="n">
        <v>10859</v>
      </c>
      <c r="I913" s="741" t="n">
        <v>0</v>
      </c>
      <c r="J913" s="742" t="n">
        <v>23</v>
      </c>
      <c r="K913" s="742" t="n">
        <v>11</v>
      </c>
      <c r="L913" s="742">
        <f>IF(B913="TXO",I913-SUM(J913:K913),IF(B913="FITX",IF(D913="新倉",-SUM(J913:K913),IF(E913="賣",(H913-H912)*G913*200-SUM(J913:K913),(H912-H913)*G913*200-SUM(J913:K913))),IF(D913="新倉",-SUM(J913:K913),IF(E913="賣",(H913-H912)*G913*50-SUM(J913:K913),(H912-H913)*G913*50-SUM(J913:K913)))))</f>
        <v/>
      </c>
      <c r="M913" s="743">
        <f>L913</f>
        <v/>
      </c>
      <c r="N913" s="686">
        <f>IF(B913="TXO","",IF(D913="新倉","",IF(E913="賣",(H913-H912)*G913,(H912-H913)*G913)))</f>
        <v/>
      </c>
      <c r="O913" s="226">
        <f>ABS(I913)</f>
        <v/>
      </c>
      <c r="P913" s="667" t="n"/>
      <c r="R913" s="249" t="inlineStr">
        <is>
          <t>Yes</t>
        </is>
      </c>
      <c r="S913" s="249" t="inlineStr">
        <is>
          <t>Yes</t>
        </is>
      </c>
      <c r="T913" s="61">
        <f>IF(AND(R913="Yes",S913&lt;&gt;"Yes",L913&gt;0,B913&lt;&gt;"TXO"),L913,"")</f>
        <v/>
      </c>
      <c r="U913" s="61">
        <f>IF(AND(R913="Yes",S913&lt;&gt;"Yes",L913&lt;0,B913&lt;&gt;"TXO"),L913,"")</f>
        <v/>
      </c>
      <c r="V913" s="61">
        <f>IF(AND(R913="",S913&lt;&gt;"Yes",L913&gt;0,B913&lt;&gt;"TXO"),L913,"")</f>
        <v/>
      </c>
      <c r="W913" s="61">
        <f>IF(AND(R913="",S913&lt;&gt;"Yes",L913&lt;0,B913&lt;&gt;"TXO"),L913,"")</f>
        <v/>
      </c>
      <c r="X913" s="226">
        <f>IF(AND(R913="Yes",S913="Yes",L913&gt;0,B913&lt;&gt;"TXO"),L913,"")</f>
        <v/>
      </c>
      <c r="Y913" s="226">
        <f>IF(AND(R913="Yes",S913="Yes",L913&lt;0,B913&lt;&gt;"TXO"),L913,"")</f>
        <v/>
      </c>
      <c r="Z913" s="226">
        <f>IF(AND(R913="",S913="Yes",L913&gt;0,B913&lt;&gt;"TXO"),L913,"")</f>
        <v/>
      </c>
      <c r="AA913" s="226">
        <f>IF(AND(R913="",S913="Yes",L913&lt;0,B913&lt;&gt;"TXO"),L913,"")</f>
        <v/>
      </c>
    </row>
    <row r="914" hidden="1" outlineLevel="2" collapsed="1" ht="17.25" customHeight="1" thickBot="1">
      <c r="A914" s="740" t="n">
        <v>43376</v>
      </c>
      <c r="B914" s="299" t="inlineStr">
        <is>
          <t>FIMTX</t>
        </is>
      </c>
      <c r="C914" s="300" t="inlineStr">
        <is>
          <t>小指10</t>
        </is>
      </c>
      <c r="D914" s="300" t="inlineStr">
        <is>
          <t>平倉</t>
        </is>
      </c>
      <c r="E914" s="301" t="inlineStr">
        <is>
          <t>買</t>
        </is>
      </c>
      <c r="F914" s="300" t="inlineStr">
        <is>
          <t>-</t>
        </is>
      </c>
      <c r="G914" s="741" t="n">
        <v>1</v>
      </c>
      <c r="H914" s="741" t="n">
        <v>10862</v>
      </c>
      <c r="I914" s="741" t="n">
        <v>0</v>
      </c>
      <c r="J914" s="742" t="n">
        <v>23</v>
      </c>
      <c r="K914" s="742" t="n">
        <v>11</v>
      </c>
      <c r="L914" s="742">
        <f>IF(B914="TXO",I914-SUM(J914:K914),IF(B914="FITX",IF(D914="新倉",-SUM(J914:K914),IF(E914="賣",(H914-H913)*G914*200-SUM(J914:K914),(H913-H914)*G914*200-SUM(J914:K914))),IF(D914="新倉",-SUM(J914:K914),IF(E914="賣",(H914-H913)*G914*50-SUM(J914:K914),(H913-H914)*G914*50-SUM(J914:K914)))))</f>
        <v/>
      </c>
      <c r="M914" s="743">
        <f>L914</f>
        <v/>
      </c>
      <c r="N914" s="686">
        <f>IF(B914="TXO","",IF(D914="新倉","",IF(E914="賣",(H914-H913)*G914,(H913-H914)*G914)))</f>
        <v/>
      </c>
      <c r="O914" s="226">
        <f>ABS(I914)</f>
        <v/>
      </c>
      <c r="P914" s="667" t="n"/>
      <c r="Q914" s="249" t="inlineStr">
        <is>
          <t>技法: 碰10MA停損</t>
        </is>
      </c>
      <c r="R914" s="249" t="inlineStr">
        <is>
          <t>Yes</t>
        </is>
      </c>
      <c r="S914" s="249" t="inlineStr">
        <is>
          <t>Yes</t>
        </is>
      </c>
      <c r="T914" s="61">
        <f>IF(AND(R914="Yes",S914&lt;&gt;"Yes",L914&gt;0,B914&lt;&gt;"TXO"),L914,"")</f>
        <v/>
      </c>
      <c r="U914" s="61">
        <f>IF(AND(R914="Yes",S914&lt;&gt;"Yes",L914&lt;0,B914&lt;&gt;"TXO"),L914,"")</f>
        <v/>
      </c>
      <c r="V914" s="61">
        <f>IF(AND(R914="",S914&lt;&gt;"Yes",L914&gt;0,B914&lt;&gt;"TXO"),L914,"")</f>
        <v/>
      </c>
      <c r="W914" s="61">
        <f>IF(AND(R914="",S914&lt;&gt;"Yes",L914&lt;0,B914&lt;&gt;"TXO"),L914,"")</f>
        <v/>
      </c>
      <c r="X914" s="226">
        <f>IF(AND(R914="Yes",S914="Yes",L914&gt;0,B914&lt;&gt;"TXO"),L914,"")</f>
        <v/>
      </c>
      <c r="Y914" s="226">
        <f>IF(AND(R914="Yes",S914="Yes",L914&lt;0,B914&lt;&gt;"TXO"),L914,"")</f>
        <v/>
      </c>
      <c r="Z914" s="226">
        <f>IF(AND(R914="",S914="Yes",L914&gt;0,B914&lt;&gt;"TXO"),L914,"")</f>
        <v/>
      </c>
      <c r="AA914" s="226">
        <f>IF(AND(R914="",S914="Yes",L914&lt;0,B914&lt;&gt;"TXO"),L914,"")</f>
        <v/>
      </c>
    </row>
    <row r="915" hidden="1" outlineLevel="2" collapsed="1" ht="17.25" customHeight="1" thickBot="1">
      <c r="A915" s="740" t="n">
        <v>43376</v>
      </c>
      <c r="B915" s="299" t="inlineStr">
        <is>
          <t>FIMTX</t>
        </is>
      </c>
      <c r="C915" s="300" t="inlineStr">
        <is>
          <t>小指10</t>
        </is>
      </c>
      <c r="D915" s="300" t="inlineStr">
        <is>
          <t>新倉</t>
        </is>
      </c>
      <c r="E915" s="301" t="inlineStr">
        <is>
          <t>買</t>
        </is>
      </c>
      <c r="F915" s="300" t="inlineStr">
        <is>
          <t>-</t>
        </is>
      </c>
      <c r="G915" s="741" t="n">
        <v>1</v>
      </c>
      <c r="H915" s="741" t="n">
        <v>10865</v>
      </c>
      <c r="I915" s="741" t="n">
        <v>0</v>
      </c>
      <c r="J915" s="742" t="n">
        <v>23</v>
      </c>
      <c r="K915" s="742" t="n">
        <v>11</v>
      </c>
      <c r="L915" s="742">
        <f>IF(B915="TXO",I915-SUM(J915:K915),IF(B915="FITX",IF(D915="新倉",-SUM(J915:K915),IF(E915="賣",(H915-H914)*G915*200-SUM(J915:K915),(H914-H915)*G915*200-SUM(J915:K915))),IF(D915="新倉",-SUM(J915:K915),IF(E915="賣",(H915-H914)*G915*50-SUM(J915:K915),(H914-H915)*G915*50-SUM(J915:K915)))))</f>
        <v/>
      </c>
      <c r="M915" s="743">
        <f>L915</f>
        <v/>
      </c>
      <c r="N915" s="686">
        <f>IF(B915="TXO","",IF(D915="新倉","",IF(E915="賣",(H915-H914)*G915,(H914-H915)*G915)))</f>
        <v/>
      </c>
      <c r="O915" s="226">
        <f>ABS(I915)</f>
        <v/>
      </c>
      <c r="P915" s="667" t="n"/>
      <c r="Q915" s="249" t="inlineStr">
        <is>
          <t>技法: 3/3 買進二口</t>
        </is>
      </c>
      <c r="R915" s="249" t="inlineStr">
        <is>
          <t>Yes</t>
        </is>
      </c>
      <c r="S915" s="249" t="inlineStr">
        <is>
          <t>Yes</t>
        </is>
      </c>
      <c r="T915" s="61">
        <f>IF(AND(R915="Yes",S915&lt;&gt;"Yes",L915&gt;0,B915&lt;&gt;"TXO"),L915,"")</f>
        <v/>
      </c>
      <c r="U915" s="61">
        <f>IF(AND(R915="Yes",S915&lt;&gt;"Yes",L915&lt;0,B915&lt;&gt;"TXO"),L915,"")</f>
        <v/>
      </c>
      <c r="V915" s="61">
        <f>IF(AND(R915="",S915&lt;&gt;"Yes",L915&gt;0,B915&lt;&gt;"TXO"),L915,"")</f>
        <v/>
      </c>
      <c r="W915" s="61">
        <f>IF(AND(R915="",S915&lt;&gt;"Yes",L915&lt;0,B915&lt;&gt;"TXO"),L915,"")</f>
        <v/>
      </c>
      <c r="X915" s="226">
        <f>IF(AND(R915="Yes",S915="Yes",L915&gt;0,B915&lt;&gt;"TXO"),L915,"")</f>
        <v/>
      </c>
      <c r="Y915" s="226">
        <f>IF(AND(R915="Yes",S915="Yes",L915&lt;0,B915&lt;&gt;"TXO"),L915,"")</f>
        <v/>
      </c>
      <c r="Z915" s="226">
        <f>IF(AND(R915="",S915="Yes",L915&gt;0,B915&lt;&gt;"TXO"),L915,"")</f>
        <v/>
      </c>
      <c r="AA915" s="226">
        <f>IF(AND(R915="",S915="Yes",L915&lt;0,B915&lt;&gt;"TXO"),L915,"")</f>
        <v/>
      </c>
    </row>
    <row r="916" hidden="1" outlineLevel="2" collapsed="1" ht="17.25" customHeight="1" thickBot="1">
      <c r="A916" s="740" t="n">
        <v>43376</v>
      </c>
      <c r="B916" s="299" t="inlineStr">
        <is>
          <t>FIMTX</t>
        </is>
      </c>
      <c r="C916" s="300" t="inlineStr">
        <is>
          <t>小指10</t>
        </is>
      </c>
      <c r="D916" s="300" t="inlineStr">
        <is>
          <t>平倉</t>
        </is>
      </c>
      <c r="E916" s="301" t="inlineStr">
        <is>
          <t>賣</t>
        </is>
      </c>
      <c r="F916" s="300" t="inlineStr">
        <is>
          <t>-</t>
        </is>
      </c>
      <c r="G916" s="741" t="n">
        <v>1</v>
      </c>
      <c r="H916" s="741" t="n">
        <v>10867</v>
      </c>
      <c r="I916" s="741" t="n">
        <v>0</v>
      </c>
      <c r="J916" s="742" t="n">
        <v>23</v>
      </c>
      <c r="K916" s="742" t="n">
        <v>11</v>
      </c>
      <c r="L916" s="742">
        <f>IF(B916="TXO",I916-SUM(J916:K916),IF(B916="FITX",IF(D916="新倉",-SUM(J916:K916),IF(E916="賣",(H916-H915)*G916*200-SUM(J916:K916),(H915-H916)*G916*200-SUM(J916:K916))),IF(D916="新倉",-SUM(J916:K916),IF(E916="賣",(H916-H915)*G916*50-SUM(J916:K916),(H915-H916)*G916*50-SUM(J916:K916)))))</f>
        <v/>
      </c>
      <c r="M916" s="743">
        <f>L916</f>
        <v/>
      </c>
      <c r="N916" s="686">
        <f>IF(B916="TXO","",IF(D916="新倉","",IF(E916="賣",(H916-H915)*G916,(H915-H916)*G916)))</f>
        <v/>
      </c>
      <c r="O916" s="226">
        <f>ABS(I916)</f>
        <v/>
      </c>
      <c r="P916" s="667" t="n"/>
      <c r="Q916" s="249" t="inlineStr">
        <is>
          <t>技法: 刺補</t>
        </is>
      </c>
      <c r="R916" s="249" t="inlineStr">
        <is>
          <t>Yes</t>
        </is>
      </c>
      <c r="S916" s="249" t="inlineStr">
        <is>
          <t>Yes</t>
        </is>
      </c>
      <c r="T916" s="61">
        <f>IF(AND(R916="Yes",S916&lt;&gt;"Yes",L916&gt;0,B916&lt;&gt;"TXO"),L916,"")</f>
        <v/>
      </c>
      <c r="U916" s="61">
        <f>IF(AND(R916="Yes",S916&lt;&gt;"Yes",L916&lt;0,B916&lt;&gt;"TXO"),L916,"")</f>
        <v/>
      </c>
      <c r="V916" s="61">
        <f>IF(AND(R916="",S916&lt;&gt;"Yes",L916&gt;0,B916&lt;&gt;"TXO"),L916,"")</f>
        <v/>
      </c>
      <c r="W916" s="61">
        <f>IF(AND(R916="",S916&lt;&gt;"Yes",L916&lt;0,B916&lt;&gt;"TXO"),L916,"")</f>
        <v/>
      </c>
      <c r="X916" s="226">
        <f>IF(AND(R916="Yes",S916="Yes",L916&gt;0,B916&lt;&gt;"TXO"),L916,"")</f>
        <v/>
      </c>
      <c r="Y916" s="226">
        <f>IF(AND(R916="Yes",S916="Yes",L916&lt;0,B916&lt;&gt;"TXO"),L916,"")</f>
        <v/>
      </c>
      <c r="Z916" s="226">
        <f>IF(AND(R916="",S916="Yes",L916&gt;0,B916&lt;&gt;"TXO"),L916,"")</f>
        <v/>
      </c>
      <c r="AA916" s="226">
        <f>IF(AND(R916="",S916="Yes",L916&lt;0,B916&lt;&gt;"TXO"),L916,"")</f>
        <v/>
      </c>
    </row>
    <row r="917" hidden="1" outlineLevel="2" collapsed="1" ht="17.25" customHeight="1" thickBot="1">
      <c r="A917" s="740" t="n">
        <v>43376</v>
      </c>
      <c r="B917" s="299" t="inlineStr">
        <is>
          <t>FIMTX</t>
        </is>
      </c>
      <c r="C917" s="300" t="inlineStr">
        <is>
          <t>小指10</t>
        </is>
      </c>
      <c r="D917" s="300" t="inlineStr">
        <is>
          <t>新倉</t>
        </is>
      </c>
      <c r="E917" s="301" t="inlineStr">
        <is>
          <t>買</t>
        </is>
      </c>
      <c r="F917" s="300" t="inlineStr">
        <is>
          <t>-</t>
        </is>
      </c>
      <c r="G917" s="741" t="n">
        <v>1</v>
      </c>
      <c r="H917" s="741" t="n">
        <v>10865</v>
      </c>
      <c r="I917" s="741" t="n">
        <v>0</v>
      </c>
      <c r="J917" s="742" t="n">
        <v>23</v>
      </c>
      <c r="K917" s="742" t="n">
        <v>11</v>
      </c>
      <c r="L917" s="742">
        <f>IF(B917="TXO",I917-SUM(J917:K917),IF(B917="FITX",IF(D917="新倉",-SUM(J917:K917),IF(E917="賣",(H917-H916)*G917*200-SUM(J917:K917),(H916-H917)*G917*200-SUM(J917:K917))),IF(D917="新倉",-SUM(J917:K917),IF(E917="賣",(H917-H916)*G917*50-SUM(J917:K917),(H916-H917)*G917*50-SUM(J917:K917)))))</f>
        <v/>
      </c>
      <c r="M917" s="743">
        <f>L917</f>
        <v/>
      </c>
      <c r="N917" s="686">
        <f>IF(B917="TXO","",IF(D917="新倉","",IF(E917="賣",(H917-H916)*G917,(H916-H917)*G917)))</f>
        <v/>
      </c>
      <c r="O917" s="226">
        <f>ABS(I917)</f>
        <v/>
      </c>
      <c r="P917" s="667" t="n"/>
      <c r="R917" s="249" t="inlineStr">
        <is>
          <t>Yes</t>
        </is>
      </c>
      <c r="S917" s="249" t="inlineStr">
        <is>
          <t>Yes</t>
        </is>
      </c>
      <c r="T917" s="61">
        <f>IF(AND(R917="Yes",S917&lt;&gt;"Yes",L917&gt;0,B917&lt;&gt;"TXO"),L917,"")</f>
        <v/>
      </c>
      <c r="U917" s="61">
        <f>IF(AND(R917="Yes",S917&lt;&gt;"Yes",L917&lt;0,B917&lt;&gt;"TXO"),L917,"")</f>
        <v/>
      </c>
      <c r="V917" s="61">
        <f>IF(AND(R917="",S917&lt;&gt;"Yes",L917&gt;0,B917&lt;&gt;"TXO"),L917,"")</f>
        <v/>
      </c>
      <c r="W917" s="61">
        <f>IF(AND(R917="",S917&lt;&gt;"Yes",L917&lt;0,B917&lt;&gt;"TXO"),L917,"")</f>
        <v/>
      </c>
      <c r="X917" s="226">
        <f>IF(AND(R917="Yes",S917="Yes",L917&gt;0,B917&lt;&gt;"TXO"),L917,"")</f>
        <v/>
      </c>
      <c r="Y917" s="226">
        <f>IF(AND(R917="Yes",S917="Yes",L917&lt;0,B917&lt;&gt;"TXO"),L917,"")</f>
        <v/>
      </c>
      <c r="Z917" s="226">
        <f>IF(AND(R917="",S917="Yes",L917&gt;0,B917&lt;&gt;"TXO"),L917,"")</f>
        <v/>
      </c>
      <c r="AA917" s="226">
        <f>IF(AND(R917="",S917="Yes",L917&lt;0,B917&lt;&gt;"TXO"),L917,"")</f>
        <v/>
      </c>
    </row>
    <row r="918" hidden="1" outlineLevel="2" collapsed="1" ht="17.25" customHeight="1" thickBot="1">
      <c r="A918" s="740" t="n">
        <v>43376</v>
      </c>
      <c r="B918" s="299" t="inlineStr">
        <is>
          <t>FIMTX</t>
        </is>
      </c>
      <c r="C918" s="300" t="inlineStr">
        <is>
          <t>小指10</t>
        </is>
      </c>
      <c r="D918" s="300" t="inlineStr">
        <is>
          <t>平倉</t>
        </is>
      </c>
      <c r="E918" s="301" t="inlineStr">
        <is>
          <t>賣</t>
        </is>
      </c>
      <c r="F918" s="300" t="inlineStr">
        <is>
          <t>-</t>
        </is>
      </c>
      <c r="G918" s="741" t="n">
        <v>1</v>
      </c>
      <c r="H918" s="741" t="n">
        <v>10862</v>
      </c>
      <c r="I918" s="741" t="n">
        <v>0</v>
      </c>
      <c r="J918" s="742" t="n">
        <v>23</v>
      </c>
      <c r="K918" s="742" t="n">
        <v>11</v>
      </c>
      <c r="L918" s="742">
        <f>IF(B918="TXO",I918-SUM(J918:K918),IF(B918="FITX",IF(D918="新倉",-SUM(J918:K918),IF(E918="賣",(H918-H917)*G918*200-SUM(J918:K918),(H917-H918)*G918*200-SUM(J918:K918))),IF(D918="新倉",-SUM(J918:K918),IF(E918="賣",(H918-H917)*G918*50-SUM(J918:K918),(H917-H918)*G918*50-SUM(J918:K918)))))</f>
        <v/>
      </c>
      <c r="M918" s="743">
        <f>L918</f>
        <v/>
      </c>
      <c r="N918" s="686">
        <f>IF(B918="TXO","",IF(D918="新倉","",IF(E918="賣",(H918-H917)*G918,(H917-H918)*G918)))</f>
        <v/>
      </c>
      <c r="O918" s="226">
        <f>ABS(I918)</f>
        <v/>
      </c>
      <c r="P918" s="667" t="n"/>
      <c r="Q918" s="249" t="inlineStr">
        <is>
          <t>技法: 碰10MA停損</t>
        </is>
      </c>
      <c r="R918" s="249" t="inlineStr">
        <is>
          <t>Yes</t>
        </is>
      </c>
      <c r="S918" s="249" t="inlineStr">
        <is>
          <t>Yes</t>
        </is>
      </c>
      <c r="T918" s="61">
        <f>IF(AND(R918="Yes",S918&lt;&gt;"Yes",L918&gt;0,B918&lt;&gt;"TXO"),L918,"")</f>
        <v/>
      </c>
      <c r="U918" s="61">
        <f>IF(AND(R918="Yes",S918&lt;&gt;"Yes",L918&lt;0,B918&lt;&gt;"TXO"),L918,"")</f>
        <v/>
      </c>
      <c r="V918" s="61">
        <f>IF(AND(R918="",S918&lt;&gt;"Yes",L918&gt;0,B918&lt;&gt;"TXO"),L918,"")</f>
        <v/>
      </c>
      <c r="W918" s="61">
        <f>IF(AND(R918="",S918&lt;&gt;"Yes",L918&lt;0,B918&lt;&gt;"TXO"),L918,"")</f>
        <v/>
      </c>
      <c r="X918" s="226">
        <f>IF(AND(R918="Yes",S918="Yes",L918&gt;0,B918&lt;&gt;"TXO"),L918,"")</f>
        <v/>
      </c>
      <c r="Y918" s="226">
        <f>IF(AND(R918="Yes",S918="Yes",L918&lt;0,B918&lt;&gt;"TXO"),L918,"")</f>
        <v/>
      </c>
      <c r="Z918" s="226">
        <f>IF(AND(R918="",S918="Yes",L918&gt;0,B918&lt;&gt;"TXO"),L918,"")</f>
        <v/>
      </c>
      <c r="AA918" s="226">
        <f>IF(AND(R918="",S918="Yes",L918&lt;0,B918&lt;&gt;"TXO"),L918,"")</f>
        <v/>
      </c>
    </row>
    <row r="919" hidden="1" outlineLevel="1" ht="17.25" customHeight="1" thickBot="1">
      <c r="A919" s="696" t="n">
        <v>43377</v>
      </c>
      <c r="B919" s="234" t="inlineStr">
        <is>
          <t>FIMTX</t>
        </is>
      </c>
      <c r="C919" s="229" t="inlineStr">
        <is>
          <t>小指10</t>
        </is>
      </c>
      <c r="D919" s="229" t="inlineStr">
        <is>
          <t>新倉</t>
        </is>
      </c>
      <c r="E919" s="257" t="inlineStr">
        <is>
          <t>賣</t>
        </is>
      </c>
      <c r="F919" s="229" t="inlineStr">
        <is>
          <t>-</t>
        </is>
      </c>
      <c r="G919" s="697" t="n">
        <v>1</v>
      </c>
      <c r="H919" s="697" t="n">
        <v>10603</v>
      </c>
      <c r="I919" s="697" t="n">
        <v>0</v>
      </c>
      <c r="J919" s="585" t="n">
        <v>23</v>
      </c>
      <c r="K919" s="585" t="n">
        <v>11</v>
      </c>
      <c r="L919" s="585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/>
      </c>
      <c r="M919" s="699">
        <f>L919</f>
        <v/>
      </c>
      <c r="N919" s="686">
        <f>IF(B919="TXO","",IF(D919="新倉","",IF(E919="賣",(H919-H918)*G919,(H918-H919)*G919)))</f>
        <v/>
      </c>
      <c r="O919" s="226">
        <f>ABS(I919)</f>
        <v/>
      </c>
      <c r="P919" s="667">
        <f>SUM(L919:L967)</f>
        <v/>
      </c>
      <c r="S919" s="739" t="n"/>
      <c r="T919" s="61">
        <f>IF(AND(R919="Yes",S919&lt;&gt;"Yes",L919&gt;0,B919&lt;&gt;"TXO"),L919,"")</f>
        <v/>
      </c>
      <c r="U919" s="61">
        <f>IF(AND(R919="Yes",S919&lt;&gt;"Yes",L919&lt;0,B919&lt;&gt;"TXO"),L919,"")</f>
        <v/>
      </c>
      <c r="V919" s="61">
        <f>IF(AND(R919="",S919&lt;&gt;"Yes",L919&gt;0,B919&lt;&gt;"TXO"),L919,"")</f>
        <v/>
      </c>
      <c r="W919" s="61">
        <f>IF(AND(R919="",S919&lt;&gt;"Yes",L919&lt;0,B919&lt;&gt;"TXO"),L919,"")</f>
        <v/>
      </c>
      <c r="X919" s="226">
        <f>IF(AND(R919="Yes",S919="Yes",L919&gt;0,B919&lt;&gt;"TXO"),L919,"")</f>
        <v/>
      </c>
      <c r="Y919" s="226">
        <f>IF(AND(R919="Yes",S919="Yes",L919&lt;0,B919&lt;&gt;"TXO"),L919,"")</f>
        <v/>
      </c>
      <c r="Z919" s="226">
        <f>IF(AND(R919="",S919="Yes",L919&gt;0,B919&lt;&gt;"TXO"),L919,"")</f>
        <v/>
      </c>
      <c r="AA919" s="226">
        <f>IF(AND(R919="",S919="Yes",L919&lt;0,B919&lt;&gt;"TXO"),L919,"")</f>
        <v/>
      </c>
    </row>
    <row r="920" hidden="1" outlineLevel="2" ht="17.25" customHeight="1" thickBot="1">
      <c r="A920" s="696" t="n">
        <v>43377</v>
      </c>
      <c r="B920" s="234" t="inlineStr">
        <is>
          <t>FIMTX</t>
        </is>
      </c>
      <c r="C920" s="229" t="inlineStr">
        <is>
          <t>小指10</t>
        </is>
      </c>
      <c r="D920" s="229" t="inlineStr">
        <is>
          <t>平倉</t>
        </is>
      </c>
      <c r="E920" s="257" t="inlineStr">
        <is>
          <t>買</t>
        </is>
      </c>
      <c r="F920" s="229" t="inlineStr">
        <is>
          <t>-</t>
        </is>
      </c>
      <c r="G920" s="697" t="n">
        <v>1</v>
      </c>
      <c r="H920" s="697" t="n">
        <v>10600</v>
      </c>
      <c r="I920" s="697" t="n">
        <v>0</v>
      </c>
      <c r="J920" s="585" t="n">
        <v>23</v>
      </c>
      <c r="K920" s="585" t="n">
        <v>11</v>
      </c>
      <c r="L920" s="585">
        <f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/>
      </c>
      <c r="M920" s="699">
        <f>L920</f>
        <v/>
      </c>
      <c r="N920" s="686">
        <f>IF(B920="TXO","",IF(D920="新倉","",IF(E920="賣",(H920-H919)*G920,(H919-H920)*G920)))</f>
        <v/>
      </c>
      <c r="O920" s="226">
        <f>ABS(I920)</f>
        <v/>
      </c>
      <c r="P920" s="667" t="n"/>
      <c r="S920" s="739" t="n"/>
      <c r="T920" s="61">
        <f>IF(AND(R920="Yes",S920&lt;&gt;"Yes",L920&gt;0,B920&lt;&gt;"TXO"),L920,"")</f>
        <v/>
      </c>
      <c r="U920" s="61">
        <f>IF(AND(R920="Yes",S920&lt;&gt;"Yes",L920&lt;0,B920&lt;&gt;"TXO"),L920,"")</f>
        <v/>
      </c>
      <c r="V920" s="61">
        <f>IF(AND(R920="",S920&lt;&gt;"Yes",L920&gt;0,B920&lt;&gt;"TXO"),L920,"")</f>
        <v/>
      </c>
      <c r="W920" s="61">
        <f>IF(AND(R920="",S920&lt;&gt;"Yes",L920&lt;0,B920&lt;&gt;"TXO"),L920,"")</f>
        <v/>
      </c>
      <c r="X920" s="226">
        <f>IF(AND(R920="Yes",S920="Yes",L920&gt;0,B920&lt;&gt;"TXO"),L920,"")</f>
        <v/>
      </c>
      <c r="Y920" s="226">
        <f>IF(AND(R920="Yes",S920="Yes",L920&lt;0,B920&lt;&gt;"TXO"),L920,"")</f>
        <v/>
      </c>
      <c r="Z920" s="226">
        <f>IF(AND(R920="",S920="Yes",L920&gt;0,B920&lt;&gt;"TXO"),L920,"")</f>
        <v/>
      </c>
      <c r="AA920" s="226">
        <f>IF(AND(R920="",S920="Yes",L920&lt;0,B920&lt;&gt;"TXO"),L920,"")</f>
        <v/>
      </c>
    </row>
    <row r="921" hidden="1" outlineLevel="2" ht="17.25" customHeight="1" thickBot="1">
      <c r="A921" s="696" t="n">
        <v>43377</v>
      </c>
      <c r="B921" s="234" t="inlineStr">
        <is>
          <t>FIMTX</t>
        </is>
      </c>
      <c r="C921" s="229" t="inlineStr">
        <is>
          <t>小指10</t>
        </is>
      </c>
      <c r="D921" s="229" t="inlineStr">
        <is>
          <t>新倉</t>
        </is>
      </c>
      <c r="E921" s="257" t="inlineStr">
        <is>
          <t>賣</t>
        </is>
      </c>
      <c r="F921" s="229" t="inlineStr">
        <is>
          <t>-</t>
        </is>
      </c>
      <c r="G921" s="697" t="n">
        <v>3</v>
      </c>
      <c r="H921" s="697" t="n">
        <v>10601</v>
      </c>
      <c r="I921" s="697" t="n">
        <v>0</v>
      </c>
      <c r="J921" s="585" t="n">
        <v>69</v>
      </c>
      <c r="K921" s="585" t="n">
        <v>33</v>
      </c>
      <c r="L921" s="585">
        <f>IF(B921="TXO",I921-SUM(J921:K921),IF(B921="FITX",IF(D921="新倉",-SUM(J921:K921),IF(E921="賣",(H921-H920)*G921*200-SUM(J921:K921),(H920-H921)*G921*200-SUM(J921:K921))),IF(D921="新倉",-SUM(J921:K921),IF(E921="賣",(H921-H920)*G921*50-SUM(J921:K921),(H920-H921)*G921*50-SUM(J921:K921)))))</f>
        <v/>
      </c>
      <c r="M921" s="699">
        <f>L921</f>
        <v/>
      </c>
      <c r="N921" s="686">
        <f>IF(B921="TXO","",IF(D921="新倉","",IF(E921="賣",(H921-H920)*G921,(H920-H921)*G921)))</f>
        <v/>
      </c>
      <c r="O921" s="226">
        <f>ABS(I921)</f>
        <v/>
      </c>
      <c r="P921" s="667" t="n"/>
      <c r="S921" s="739" t="n"/>
      <c r="T921" s="61">
        <f>IF(AND(R921="Yes",S921&lt;&gt;"Yes",L921&gt;0,B921&lt;&gt;"TXO"),L921,"")</f>
        <v/>
      </c>
      <c r="U921" s="61">
        <f>IF(AND(R921="Yes",S921&lt;&gt;"Yes",L921&lt;0,B921&lt;&gt;"TXO"),L921,"")</f>
        <v/>
      </c>
      <c r="V921" s="61">
        <f>IF(AND(R921="",S921&lt;&gt;"Yes",L921&gt;0,B921&lt;&gt;"TXO"),L921,"")</f>
        <v/>
      </c>
      <c r="W921" s="61">
        <f>IF(AND(R921="",S921&lt;&gt;"Yes",L921&lt;0,B921&lt;&gt;"TXO"),L921,"")</f>
        <v/>
      </c>
      <c r="X921" s="226">
        <f>IF(AND(R921="Yes",S921="Yes",L921&gt;0,B921&lt;&gt;"TXO"),L921,"")</f>
        <v/>
      </c>
      <c r="Y921" s="226">
        <f>IF(AND(R921="Yes",S921="Yes",L921&lt;0,B921&lt;&gt;"TXO"),L921,"")</f>
        <v/>
      </c>
      <c r="Z921" s="226">
        <f>IF(AND(R921="",S921="Yes",L921&gt;0,B921&lt;&gt;"TXO"),L921,"")</f>
        <v/>
      </c>
      <c r="AA921" s="226">
        <f>IF(AND(R921="",S921="Yes",L921&lt;0,B921&lt;&gt;"TXO"),L921,"")</f>
        <v/>
      </c>
    </row>
    <row r="922" hidden="1" outlineLevel="2" ht="17.25" customHeight="1" thickBot="1">
      <c r="A922" s="696" t="n">
        <v>43377</v>
      </c>
      <c r="B922" s="234" t="inlineStr">
        <is>
          <t>FIMTX</t>
        </is>
      </c>
      <c r="C922" s="229" t="inlineStr">
        <is>
          <t>小指10</t>
        </is>
      </c>
      <c r="D922" s="229" t="inlineStr">
        <is>
          <t>平倉</t>
        </is>
      </c>
      <c r="E922" s="257" t="inlineStr">
        <is>
          <t>買</t>
        </is>
      </c>
      <c r="F922" s="229" t="inlineStr">
        <is>
          <t>-</t>
        </is>
      </c>
      <c r="G922" s="697" t="n">
        <v>3</v>
      </c>
      <c r="H922" s="697" t="n">
        <v>10616</v>
      </c>
      <c r="I922" s="697" t="n">
        <v>0</v>
      </c>
      <c r="J922" s="585" t="n">
        <v>69</v>
      </c>
      <c r="K922" s="585" t="n">
        <v>33</v>
      </c>
      <c r="L922" s="585">
        <f>IF(B922="TXO",I922-SUM(J922:K922),IF(B922="FITX",IF(D922="新倉",-SUM(J922:K922),IF(E922="賣",(H922-H921)*G922*200-SUM(J922:K922),(H921-H922)*G922*200-SUM(J922:K922))),IF(D922="新倉",-SUM(J922:K922),IF(E922="賣",(H922-H921)*G922*50-SUM(J922:K922),(H921-H922)*G922*50-SUM(J922:K922)))))</f>
        <v/>
      </c>
      <c r="M922" s="699">
        <f>L922</f>
        <v/>
      </c>
      <c r="N922" s="686">
        <f>IF(B922="TXO","",IF(D922="新倉","",IF(E922="賣",(H922-H921)*G922,(H921-H922)*G922)))</f>
        <v/>
      </c>
      <c r="O922" s="226">
        <f>ABS(I922)</f>
        <v/>
      </c>
      <c r="P922" s="667" t="n"/>
      <c r="S922" s="739" t="n"/>
      <c r="T922" s="61">
        <f>IF(AND(R922="Yes",S922&lt;&gt;"Yes",L922&gt;0,B922&lt;&gt;"TXO"),L922,"")</f>
        <v/>
      </c>
      <c r="U922" s="61">
        <f>IF(AND(R922="Yes",S922&lt;&gt;"Yes",L922&lt;0,B922&lt;&gt;"TXO"),L922,"")</f>
        <v/>
      </c>
      <c r="V922" s="61">
        <f>IF(AND(R922="",S922&lt;&gt;"Yes",L922&gt;0,B922&lt;&gt;"TXO"),L922,"")</f>
        <v/>
      </c>
      <c r="W922" s="61">
        <f>IF(AND(R922="",S922&lt;&gt;"Yes",L922&lt;0,B922&lt;&gt;"TXO"),L922,"")</f>
        <v/>
      </c>
      <c r="X922" s="226">
        <f>IF(AND(R922="Yes",S922="Yes",L922&gt;0,B922&lt;&gt;"TXO"),L922,"")</f>
        <v/>
      </c>
      <c r="Y922" s="226">
        <f>IF(AND(R922="Yes",S922="Yes",L922&lt;0,B922&lt;&gt;"TXO"),L922,"")</f>
        <v/>
      </c>
      <c r="Z922" s="226">
        <f>IF(AND(R922="",S922="Yes",L922&gt;0,B922&lt;&gt;"TXO"),L922,"")</f>
        <v/>
      </c>
      <c r="AA922" s="226">
        <f>IF(AND(R922="",S922="Yes",L922&lt;0,B922&lt;&gt;"TXO"),L922,"")</f>
        <v/>
      </c>
    </row>
    <row r="923" hidden="1" outlineLevel="2" ht="17.25" customHeight="1" thickBot="1">
      <c r="A923" s="696" t="n">
        <v>43377</v>
      </c>
      <c r="B923" s="234" t="inlineStr">
        <is>
          <t>TXO</t>
        </is>
      </c>
      <c r="C923" s="229" t="inlineStr">
        <is>
          <t>台指選W2 10 10400 P</t>
        </is>
      </c>
      <c r="D923" s="229" t="inlineStr">
        <is>
          <t>新倉</t>
        </is>
      </c>
      <c r="E923" s="257" t="inlineStr">
        <is>
          <t>買</t>
        </is>
      </c>
      <c r="F923" s="229" t="inlineStr">
        <is>
          <t>-</t>
        </is>
      </c>
      <c r="G923" s="697" t="n">
        <v>1</v>
      </c>
      <c r="H923" s="697" t="n">
        <v>18</v>
      </c>
      <c r="I923" s="697" t="n">
        <v>-900</v>
      </c>
      <c r="J923" s="585" t="n">
        <v>18</v>
      </c>
      <c r="K923" s="585" t="n">
        <v>1</v>
      </c>
      <c r="L923" s="585">
        <f>IF(B923="TXO",I923-SUM(J923:K923),IF(B923="FITX",IF(D923="新倉",-SUM(J923:K923),IF(E923="賣",(H923-H922)*G923*200-SUM(J923:K923),(H922-H923)*G923*200-SUM(J923:K923))),IF(D923="新倉",-SUM(J923:K923),IF(E923="賣",(H923-H922)*G923*50-SUM(J923:K923),(H922-H923)*G923*50-SUM(J923:K923)))))</f>
        <v/>
      </c>
      <c r="M923" s="699">
        <f>L923</f>
        <v/>
      </c>
      <c r="N923" s="686">
        <f>IF(B923="TXO","",IF(D923="新倉","",IF(E923="賣",(H923-H922)*G923,(H922-H923)*G923)))</f>
        <v/>
      </c>
      <c r="O923" s="226">
        <f>ABS(I923)</f>
        <v/>
      </c>
      <c r="P923" s="667" t="n"/>
      <c r="S923" s="739" t="n"/>
      <c r="T923" s="61">
        <f>IF(AND(R923="Yes",S923&lt;&gt;"Yes",L923&gt;0,B923&lt;&gt;"TXO"),L923,"")</f>
        <v/>
      </c>
      <c r="U923" s="61">
        <f>IF(AND(R923="Yes",S923&lt;&gt;"Yes",L923&lt;0,B923&lt;&gt;"TXO"),L923,"")</f>
        <v/>
      </c>
      <c r="V923" s="61">
        <f>IF(AND(R923="",S923&lt;&gt;"Yes",L923&gt;0,B923&lt;&gt;"TXO"),L923,"")</f>
        <v/>
      </c>
      <c r="W923" s="61">
        <f>IF(AND(R923="",S923&lt;&gt;"Yes",L923&lt;0,B923&lt;&gt;"TXO"),L923,"")</f>
        <v/>
      </c>
      <c r="X923" s="226">
        <f>IF(AND(R923="Yes",S923="Yes",L923&gt;0,B923&lt;&gt;"TXO"),L923,"")</f>
        <v/>
      </c>
      <c r="Y923" s="226">
        <f>IF(AND(R923="Yes",S923="Yes",L923&lt;0,B923&lt;&gt;"TXO"),L923,"")</f>
        <v/>
      </c>
      <c r="Z923" s="226">
        <f>IF(AND(R923="",S923="Yes",L923&gt;0,B923&lt;&gt;"TXO"),L923,"")</f>
        <v/>
      </c>
      <c r="AA923" s="226">
        <f>IF(AND(R923="",S923="Yes",L923&lt;0,B923&lt;&gt;"TXO"),L923,"")</f>
        <v/>
      </c>
    </row>
    <row r="924" hidden="1" outlineLevel="2" ht="17.25" customHeight="1" thickBot="1">
      <c r="A924" s="696" t="n">
        <v>43377</v>
      </c>
      <c r="B924" s="234" t="inlineStr">
        <is>
          <t>TXO</t>
        </is>
      </c>
      <c r="C924" s="229" t="inlineStr">
        <is>
          <t>台指選W2 10 10300 P</t>
        </is>
      </c>
      <c r="D924" s="229" t="inlineStr">
        <is>
          <t>新倉</t>
        </is>
      </c>
      <c r="E924" s="257" t="inlineStr">
        <is>
          <t>買</t>
        </is>
      </c>
      <c r="F924" s="229" t="inlineStr">
        <is>
          <t>-</t>
        </is>
      </c>
      <c r="G924" s="697" t="n">
        <v>5</v>
      </c>
      <c r="H924" s="697" t="n">
        <v>8</v>
      </c>
      <c r="I924" s="697" t="n">
        <v>-2000</v>
      </c>
      <c r="J924" s="585" t="n">
        <v>90</v>
      </c>
      <c r="K924" s="585" t="n">
        <v>0</v>
      </c>
      <c r="L924" s="585">
        <f>IF(B924="TXO",I924-SUM(J924:K924),IF(B924="FITX",IF(D924="新倉",-SUM(J924:K924),IF(E924="賣",(H924-H923)*G924*200-SUM(J924:K924),(H923-H924)*G924*200-SUM(J924:K924))),IF(D924="新倉",-SUM(J924:K924),IF(E924="賣",(H924-H923)*G924*50-SUM(J924:K924),(H923-H924)*G924*50-SUM(J924:K924)))))</f>
        <v/>
      </c>
      <c r="M924" s="699">
        <f>L924</f>
        <v/>
      </c>
      <c r="N924" s="686">
        <f>IF(B924="TXO","",IF(D924="新倉","",IF(E924="賣",(H924-H923)*G924,(H923-H924)*G924)))</f>
        <v/>
      </c>
      <c r="O924" s="226">
        <f>ABS(I924)</f>
        <v/>
      </c>
      <c r="P924" s="667" t="n"/>
      <c r="S924" s="739" t="n"/>
      <c r="T924" s="61">
        <f>IF(AND(R924="Yes",S924&lt;&gt;"Yes",L924&gt;0,B924&lt;&gt;"TXO"),L924,"")</f>
        <v/>
      </c>
      <c r="U924" s="61">
        <f>IF(AND(R924="Yes",S924&lt;&gt;"Yes",L924&lt;0,B924&lt;&gt;"TXO"),L924,"")</f>
        <v/>
      </c>
      <c r="V924" s="61">
        <f>IF(AND(R924="",S924&lt;&gt;"Yes",L924&gt;0,B924&lt;&gt;"TXO"),L924,"")</f>
        <v/>
      </c>
      <c r="W924" s="61">
        <f>IF(AND(R924="",S924&lt;&gt;"Yes",L924&lt;0,B924&lt;&gt;"TXO"),L924,"")</f>
        <v/>
      </c>
      <c r="X924" s="226">
        <f>IF(AND(R924="Yes",S924="Yes",L924&gt;0,B924&lt;&gt;"TXO"),L924,"")</f>
        <v/>
      </c>
      <c r="Y924" s="226">
        <f>IF(AND(R924="Yes",S924="Yes",L924&lt;0,B924&lt;&gt;"TXO"),L924,"")</f>
        <v/>
      </c>
      <c r="Z924" s="226">
        <f>IF(AND(R924="",S924="Yes",L924&gt;0,B924&lt;&gt;"TXO"),L924,"")</f>
        <v/>
      </c>
      <c r="AA924" s="226">
        <f>IF(AND(R924="",S924="Yes",L924&lt;0,B924&lt;&gt;"TXO"),L924,"")</f>
        <v/>
      </c>
    </row>
    <row r="925" hidden="1" outlineLevel="2" ht="17.25" customHeight="1" thickBot="1">
      <c r="A925" s="696" t="n">
        <v>43377</v>
      </c>
      <c r="B925" s="234" t="inlineStr">
        <is>
          <t>TXO</t>
        </is>
      </c>
      <c r="C925" s="229" t="inlineStr">
        <is>
          <t>台指選W2 10 10300 P</t>
        </is>
      </c>
      <c r="D925" s="229" t="inlineStr">
        <is>
          <t>新倉</t>
        </is>
      </c>
      <c r="E925" s="257" t="inlineStr">
        <is>
          <t>買</t>
        </is>
      </c>
      <c r="F925" s="229" t="inlineStr">
        <is>
          <t>-</t>
        </is>
      </c>
      <c r="G925" s="697" t="n">
        <v>1</v>
      </c>
      <c r="H925" s="697" t="n">
        <v>8.6</v>
      </c>
      <c r="I925" s="697" t="n">
        <v>-430</v>
      </c>
      <c r="J925" s="585" t="n">
        <v>18</v>
      </c>
      <c r="K925" s="585" t="n">
        <v>0</v>
      </c>
      <c r="L925" s="585">
        <f>IF(B925="TXO",I925-SUM(J925:K925),IF(B925="FITX",IF(D925="新倉",-SUM(J925:K925),IF(E925="賣",(H925-H924)*G925*200-SUM(J925:K925),(H924-H925)*G925*200-SUM(J925:K925))),IF(D925="新倉",-SUM(J925:K925),IF(E925="賣",(H925-H924)*G925*50-SUM(J925:K925),(H924-H925)*G925*50-SUM(J925:K925)))))</f>
        <v/>
      </c>
      <c r="M925" s="699">
        <f>L925</f>
        <v/>
      </c>
      <c r="N925" s="686">
        <f>IF(B925="TXO","",IF(D925="新倉","",IF(E925="賣",(H925-H924)*G925,(H924-H925)*G925)))</f>
        <v/>
      </c>
      <c r="O925" s="226">
        <f>ABS(I925)</f>
        <v/>
      </c>
      <c r="P925" s="667" t="n"/>
      <c r="S925" s="739" t="n"/>
      <c r="T925" s="61">
        <f>IF(AND(R925="Yes",S925&lt;&gt;"Yes",L925&gt;0,B925&lt;&gt;"TXO"),L925,"")</f>
        <v/>
      </c>
      <c r="U925" s="61">
        <f>IF(AND(R925="Yes",S925&lt;&gt;"Yes",L925&lt;0,B925&lt;&gt;"TXO"),L925,"")</f>
        <v/>
      </c>
      <c r="V925" s="61">
        <f>IF(AND(R925="",S925&lt;&gt;"Yes",L925&gt;0,B925&lt;&gt;"TXO"),L925,"")</f>
        <v/>
      </c>
      <c r="W925" s="61">
        <f>IF(AND(R925="",S925&lt;&gt;"Yes",L925&lt;0,B925&lt;&gt;"TXO"),L925,"")</f>
        <v/>
      </c>
      <c r="X925" s="226">
        <f>IF(AND(R925="Yes",S925="Yes",L925&gt;0,B925&lt;&gt;"TXO"),L925,"")</f>
        <v/>
      </c>
      <c r="Y925" s="226">
        <f>IF(AND(R925="Yes",S925="Yes",L925&lt;0,B925&lt;&gt;"TXO"),L925,"")</f>
        <v/>
      </c>
      <c r="Z925" s="226">
        <f>IF(AND(R925="",S925="Yes",L925&gt;0,B925&lt;&gt;"TXO"),L925,"")</f>
        <v/>
      </c>
      <c r="AA925" s="226">
        <f>IF(AND(R925="",S925="Yes",L925&lt;0,B925&lt;&gt;"TXO"),L925,"")</f>
        <v/>
      </c>
    </row>
    <row r="926" hidden="1" outlineLevel="2" ht="17.25" customHeight="1" thickBot="1">
      <c r="A926" s="696" t="n">
        <v>43377</v>
      </c>
      <c r="B926" s="234" t="inlineStr">
        <is>
          <t>TXO</t>
        </is>
      </c>
      <c r="C926" s="229" t="inlineStr">
        <is>
          <t>台指選W2 10 10300 P</t>
        </is>
      </c>
      <c r="D926" s="229" t="inlineStr">
        <is>
          <t>新倉</t>
        </is>
      </c>
      <c r="E926" s="257" t="inlineStr">
        <is>
          <t>買</t>
        </is>
      </c>
      <c r="F926" s="229" t="inlineStr">
        <is>
          <t>-</t>
        </is>
      </c>
      <c r="G926" s="697" t="n">
        <v>1</v>
      </c>
      <c r="H926" s="697" t="n">
        <v>8.800000000000001</v>
      </c>
      <c r="I926" s="697" t="n">
        <v>-440</v>
      </c>
      <c r="J926" s="585" t="n">
        <v>18</v>
      </c>
      <c r="K926" s="585" t="n">
        <v>0</v>
      </c>
      <c r="L926" s="585">
        <f>IF(B926="TXO",I926-SUM(J926:K926),IF(B926="FITX",IF(D926="新倉",-SUM(J926:K926),IF(E926="賣",(H926-H925)*G926*200-SUM(J926:K926),(H925-H926)*G926*200-SUM(J926:K926))),IF(D926="新倉",-SUM(J926:K926),IF(E926="賣",(H926-H925)*G926*50-SUM(J926:K926),(H925-H926)*G926*50-SUM(J926:K926)))))</f>
        <v/>
      </c>
      <c r="M926" s="699">
        <f>L926</f>
        <v/>
      </c>
      <c r="N926" s="686">
        <f>IF(B926="TXO","",IF(D926="新倉","",IF(E926="賣",(H926-H925)*G926,(H925-H926)*G926)))</f>
        <v/>
      </c>
      <c r="O926" s="226">
        <f>ABS(I926)</f>
        <v/>
      </c>
      <c r="P926" s="667" t="n"/>
      <c r="S926" s="739" t="n"/>
      <c r="T926" s="61">
        <f>IF(AND(R926="Yes",S926&lt;&gt;"Yes",L926&gt;0,B926&lt;&gt;"TXO"),L926,"")</f>
        <v/>
      </c>
      <c r="U926" s="61">
        <f>IF(AND(R926="Yes",S926&lt;&gt;"Yes",L926&lt;0,B926&lt;&gt;"TXO"),L926,"")</f>
        <v/>
      </c>
      <c r="V926" s="61">
        <f>IF(AND(R926="",S926&lt;&gt;"Yes",L926&gt;0,B926&lt;&gt;"TXO"),L926,"")</f>
        <v/>
      </c>
      <c r="W926" s="61">
        <f>IF(AND(R926="",S926&lt;&gt;"Yes",L926&lt;0,B926&lt;&gt;"TXO"),L926,"")</f>
        <v/>
      </c>
      <c r="X926" s="226">
        <f>IF(AND(R926="Yes",S926="Yes",L926&gt;0,B926&lt;&gt;"TXO"),L926,"")</f>
        <v/>
      </c>
      <c r="Y926" s="226">
        <f>IF(AND(R926="Yes",S926="Yes",L926&lt;0,B926&lt;&gt;"TXO"),L926,"")</f>
        <v/>
      </c>
      <c r="Z926" s="226">
        <f>IF(AND(R926="",S926="Yes",L926&gt;0,B926&lt;&gt;"TXO"),L926,"")</f>
        <v/>
      </c>
      <c r="AA926" s="226">
        <f>IF(AND(R926="",S926="Yes",L926&lt;0,B926&lt;&gt;"TXO"),L926,"")</f>
        <v/>
      </c>
    </row>
    <row r="927" hidden="1" outlineLevel="2" ht="17.25" customHeight="1" thickBot="1">
      <c r="A927" s="696" t="n">
        <v>43377</v>
      </c>
      <c r="B927" s="234" t="inlineStr">
        <is>
          <t>TXO</t>
        </is>
      </c>
      <c r="C927" s="229" t="inlineStr">
        <is>
          <t>台指選W2 10 10300 P</t>
        </is>
      </c>
      <c r="D927" s="229" t="inlineStr">
        <is>
          <t>新倉</t>
        </is>
      </c>
      <c r="E927" s="257" t="inlineStr">
        <is>
          <t>買</t>
        </is>
      </c>
      <c r="F927" s="229" t="inlineStr">
        <is>
          <t>-</t>
        </is>
      </c>
      <c r="G927" s="697" t="n">
        <v>1</v>
      </c>
      <c r="H927" s="697" t="n">
        <v>9</v>
      </c>
      <c r="I927" s="697" t="n">
        <v>-450</v>
      </c>
      <c r="J927" s="585" t="n">
        <v>18</v>
      </c>
      <c r="K927" s="585" t="n">
        <v>0</v>
      </c>
      <c r="L927" s="585">
        <f>IF(B927="TXO",I927-SUM(J927:K927),IF(B927="FITX",IF(D927="新倉",-SUM(J927:K927),IF(E927="賣",(H927-H926)*G927*200-SUM(J927:K927),(H926-H927)*G927*200-SUM(J927:K927))),IF(D927="新倉",-SUM(J927:K927),IF(E927="賣",(H927-H926)*G927*50-SUM(J927:K927),(H926-H927)*G927*50-SUM(J927:K927)))))</f>
        <v/>
      </c>
      <c r="M927" s="699">
        <f>L927</f>
        <v/>
      </c>
      <c r="N927" s="686">
        <f>IF(B927="TXO","",IF(D927="新倉","",IF(E927="賣",(H927-H926)*G927,(H926-H927)*G927)))</f>
        <v/>
      </c>
      <c r="O927" s="226">
        <f>ABS(I927)</f>
        <v/>
      </c>
      <c r="P927" s="667" t="n"/>
      <c r="S927" s="739" t="n"/>
      <c r="T927" s="61">
        <f>IF(AND(R927="Yes",S927&lt;&gt;"Yes",L927&gt;0,B927&lt;&gt;"TXO"),L927,"")</f>
        <v/>
      </c>
      <c r="U927" s="61">
        <f>IF(AND(R927="Yes",S927&lt;&gt;"Yes",L927&lt;0,B927&lt;&gt;"TXO"),L927,"")</f>
        <v/>
      </c>
      <c r="V927" s="61">
        <f>IF(AND(R927="",S927&lt;&gt;"Yes",L927&gt;0,B927&lt;&gt;"TXO"),L927,"")</f>
        <v/>
      </c>
      <c r="W927" s="61">
        <f>IF(AND(R927="",S927&lt;&gt;"Yes",L927&lt;0,B927&lt;&gt;"TXO"),L927,"")</f>
        <v/>
      </c>
      <c r="X927" s="226">
        <f>IF(AND(R927="Yes",S927="Yes",L927&gt;0,B927&lt;&gt;"TXO"),L927,"")</f>
        <v/>
      </c>
      <c r="Y927" s="226">
        <f>IF(AND(R927="Yes",S927="Yes",L927&lt;0,B927&lt;&gt;"TXO"),L927,"")</f>
        <v/>
      </c>
      <c r="Z927" s="226">
        <f>IF(AND(R927="",S927="Yes",L927&gt;0,B927&lt;&gt;"TXO"),L927,"")</f>
        <v/>
      </c>
      <c r="AA927" s="226">
        <f>IF(AND(R927="",S927="Yes",L927&lt;0,B927&lt;&gt;"TXO"),L927,"")</f>
        <v/>
      </c>
    </row>
    <row r="928" hidden="1" outlineLevel="2" ht="17.25" customHeight="1" thickBot="1">
      <c r="A928" s="696" t="n">
        <v>43377</v>
      </c>
      <c r="B928" s="234" t="inlineStr">
        <is>
          <t>TXO</t>
        </is>
      </c>
      <c r="C928" s="229" t="inlineStr">
        <is>
          <t>台指選W2 10 10300 P</t>
        </is>
      </c>
      <c r="D928" s="229" t="inlineStr">
        <is>
          <t>新倉</t>
        </is>
      </c>
      <c r="E928" s="257" t="inlineStr">
        <is>
          <t>買</t>
        </is>
      </c>
      <c r="F928" s="229" t="inlineStr">
        <is>
          <t>-</t>
        </is>
      </c>
      <c r="G928" s="697" t="n">
        <v>4</v>
      </c>
      <c r="H928" s="697" t="n">
        <v>7</v>
      </c>
      <c r="I928" s="697" t="n">
        <v>-1400</v>
      </c>
      <c r="J928" s="585" t="n">
        <v>72</v>
      </c>
      <c r="K928" s="585" t="n">
        <v>0</v>
      </c>
      <c r="L928" s="585">
        <f>IF(B928="TXO",I928-SUM(J928:K928),IF(B928="FITX",IF(D928="新倉",-SUM(J928:K928),IF(E928="賣",(H928-H927)*G928*200-SUM(J928:K928),(H927-H928)*G928*200-SUM(J928:K928))),IF(D928="新倉",-SUM(J928:K928),IF(E928="賣",(H928-H927)*G928*50-SUM(J928:K928),(H927-H928)*G928*50-SUM(J928:K928)))))</f>
        <v/>
      </c>
      <c r="M928" s="699">
        <f>L928</f>
        <v/>
      </c>
      <c r="N928" s="686">
        <f>IF(B928="TXO","",IF(D928="新倉","",IF(E928="賣",(H928-H927)*G928,(H927-H928)*G928)))</f>
        <v/>
      </c>
      <c r="O928" s="226">
        <f>ABS(I928)</f>
        <v/>
      </c>
      <c r="P928" s="667" t="n"/>
      <c r="S928" s="739" t="n"/>
      <c r="T928" s="61">
        <f>IF(AND(R928="Yes",S928&lt;&gt;"Yes",L928&gt;0,B928&lt;&gt;"TXO"),L928,"")</f>
        <v/>
      </c>
      <c r="U928" s="61">
        <f>IF(AND(R928="Yes",S928&lt;&gt;"Yes",L928&lt;0,B928&lt;&gt;"TXO"),L928,"")</f>
        <v/>
      </c>
      <c r="V928" s="61">
        <f>IF(AND(R928="",S928&lt;&gt;"Yes",L928&gt;0,B928&lt;&gt;"TXO"),L928,"")</f>
        <v/>
      </c>
      <c r="W928" s="61">
        <f>IF(AND(R928="",S928&lt;&gt;"Yes",L928&lt;0,B928&lt;&gt;"TXO"),L928,"")</f>
        <v/>
      </c>
      <c r="X928" s="226">
        <f>IF(AND(R928="Yes",S928="Yes",L928&gt;0,B928&lt;&gt;"TXO"),L928,"")</f>
        <v/>
      </c>
      <c r="Y928" s="226">
        <f>IF(AND(R928="Yes",S928="Yes",L928&lt;0,B928&lt;&gt;"TXO"),L928,"")</f>
        <v/>
      </c>
      <c r="Z928" s="226">
        <f>IF(AND(R928="",S928="Yes",L928&gt;0,B928&lt;&gt;"TXO"),L928,"")</f>
        <v/>
      </c>
      <c r="AA928" s="226">
        <f>IF(AND(R928="",S928="Yes",L928&lt;0,B928&lt;&gt;"TXO"),L928,"")</f>
        <v/>
      </c>
    </row>
    <row r="929" hidden="1" outlineLevel="2" ht="17.25" customHeight="1" thickBot="1">
      <c r="A929" s="696" t="n">
        <v>43377</v>
      </c>
      <c r="B929" s="234" t="inlineStr">
        <is>
          <t>TXO</t>
        </is>
      </c>
      <c r="C929" s="229" t="inlineStr">
        <is>
          <t>台指選W2 10 10300 P</t>
        </is>
      </c>
      <c r="D929" s="229" t="inlineStr">
        <is>
          <t>新倉</t>
        </is>
      </c>
      <c r="E929" s="257" t="inlineStr">
        <is>
          <t>買</t>
        </is>
      </c>
      <c r="F929" s="229" t="inlineStr">
        <is>
          <t>-</t>
        </is>
      </c>
      <c r="G929" s="697" t="n">
        <v>1</v>
      </c>
      <c r="H929" s="697" t="n">
        <v>7</v>
      </c>
      <c r="I929" s="697" t="n">
        <v>-350</v>
      </c>
      <c r="J929" s="585" t="n">
        <v>18</v>
      </c>
      <c r="K929" s="585" t="n">
        <v>0</v>
      </c>
      <c r="L929" s="585">
        <f>IF(B929="TXO",I929-SUM(J929:K929),IF(B929="FITX",IF(D929="新倉",-SUM(J929:K929),IF(E929="賣",(H929-H928)*G929*200-SUM(J929:K929),(H928-H929)*G929*200-SUM(J929:K929))),IF(D929="新倉",-SUM(J929:K929),IF(E929="賣",(H929-H928)*G929*50-SUM(J929:K929),(H928-H929)*G929*50-SUM(J929:K929)))))</f>
        <v/>
      </c>
      <c r="M929" s="699">
        <f>L929</f>
        <v/>
      </c>
      <c r="N929" s="686">
        <f>IF(B929="TXO","",IF(D929="新倉","",IF(E929="賣",(H929-H928)*G929,(H928-H929)*G929)))</f>
        <v/>
      </c>
      <c r="O929" s="226">
        <f>ABS(I929)</f>
        <v/>
      </c>
      <c r="P929" s="667" t="n"/>
      <c r="S929" s="739" t="n"/>
      <c r="T929" s="61">
        <f>IF(AND(R929="Yes",S929&lt;&gt;"Yes",L929&gt;0,B929&lt;&gt;"TXO"),L929,"")</f>
        <v/>
      </c>
      <c r="U929" s="61">
        <f>IF(AND(R929="Yes",S929&lt;&gt;"Yes",L929&lt;0,B929&lt;&gt;"TXO"),L929,"")</f>
        <v/>
      </c>
      <c r="V929" s="61">
        <f>IF(AND(R929="",S929&lt;&gt;"Yes",L929&gt;0,B929&lt;&gt;"TXO"),L929,"")</f>
        <v/>
      </c>
      <c r="W929" s="61">
        <f>IF(AND(R929="",S929&lt;&gt;"Yes",L929&lt;0,B929&lt;&gt;"TXO"),L929,"")</f>
        <v/>
      </c>
      <c r="X929" s="226">
        <f>IF(AND(R929="Yes",S929="Yes",L929&gt;0,B929&lt;&gt;"TXO"),L929,"")</f>
        <v/>
      </c>
      <c r="Y929" s="226">
        <f>IF(AND(R929="Yes",S929="Yes",L929&lt;0,B929&lt;&gt;"TXO"),L929,"")</f>
        <v/>
      </c>
      <c r="Z929" s="226">
        <f>IF(AND(R929="",S929="Yes",L929&gt;0,B929&lt;&gt;"TXO"),L929,"")</f>
        <v/>
      </c>
      <c r="AA929" s="226">
        <f>IF(AND(R929="",S929="Yes",L929&lt;0,B929&lt;&gt;"TXO"),L929,"")</f>
        <v/>
      </c>
    </row>
    <row r="930" hidden="1" outlineLevel="2" ht="17.25" customHeight="1" thickBot="1">
      <c r="A930" s="696" t="n">
        <v>43377</v>
      </c>
      <c r="B930" s="234" t="inlineStr">
        <is>
          <t>TXO</t>
        </is>
      </c>
      <c r="C930" s="229" t="inlineStr">
        <is>
          <t>台指選W2 10 10400 P</t>
        </is>
      </c>
      <c r="D930" s="229" t="inlineStr">
        <is>
          <t>新倉</t>
        </is>
      </c>
      <c r="E930" s="257" t="inlineStr">
        <is>
          <t>買</t>
        </is>
      </c>
      <c r="F930" s="229" t="inlineStr">
        <is>
          <t>-</t>
        </is>
      </c>
      <c r="G930" s="697" t="n">
        <v>1</v>
      </c>
      <c r="H930" s="697" t="n">
        <v>16</v>
      </c>
      <c r="I930" s="697" t="n">
        <v>-800</v>
      </c>
      <c r="J930" s="585" t="n">
        <v>18</v>
      </c>
      <c r="K930" s="585" t="n">
        <v>1</v>
      </c>
      <c r="L930" s="585">
        <f>IF(B930="TXO",I930-SUM(J930:K930),IF(B930="FITX",IF(D930="新倉",-SUM(J930:K930),IF(E930="賣",(H930-H929)*G930*200-SUM(J930:K930),(H929-H930)*G930*200-SUM(J930:K930))),IF(D930="新倉",-SUM(J930:K930),IF(E930="賣",(H930-H929)*G930*50-SUM(J930:K930),(H929-H930)*G930*50-SUM(J930:K930)))))</f>
        <v/>
      </c>
      <c r="M930" s="699">
        <f>L930</f>
        <v/>
      </c>
      <c r="N930" s="686">
        <f>IF(B930="TXO","",IF(D930="新倉","",IF(E930="賣",(H930-H929)*G930,(H929-H930)*G930)))</f>
        <v/>
      </c>
      <c r="O930" s="226">
        <f>ABS(I930)</f>
        <v/>
      </c>
      <c r="P930" s="667" t="n"/>
      <c r="S930" s="739" t="n"/>
      <c r="T930" s="61">
        <f>IF(AND(R930="Yes",S930&lt;&gt;"Yes",L930&gt;0,B930&lt;&gt;"TXO"),L930,"")</f>
        <v/>
      </c>
      <c r="U930" s="61">
        <f>IF(AND(R930="Yes",S930&lt;&gt;"Yes",L930&lt;0,B930&lt;&gt;"TXO"),L930,"")</f>
        <v/>
      </c>
      <c r="V930" s="61">
        <f>IF(AND(R930="",S930&lt;&gt;"Yes",L930&gt;0,B930&lt;&gt;"TXO"),L930,"")</f>
        <v/>
      </c>
      <c r="W930" s="61">
        <f>IF(AND(R930="",S930&lt;&gt;"Yes",L930&lt;0,B930&lt;&gt;"TXO"),L930,"")</f>
        <v/>
      </c>
      <c r="X930" s="226">
        <f>IF(AND(R930="Yes",S930="Yes",L930&gt;0,B930&lt;&gt;"TXO"),L930,"")</f>
        <v/>
      </c>
      <c r="Y930" s="226">
        <f>IF(AND(R930="Yes",S930="Yes",L930&lt;0,B930&lt;&gt;"TXO"),L930,"")</f>
        <v/>
      </c>
      <c r="Z930" s="226">
        <f>IF(AND(R930="",S930="Yes",L930&gt;0,B930&lt;&gt;"TXO"),L930,"")</f>
        <v/>
      </c>
      <c r="AA930" s="226">
        <f>IF(AND(R930="",S930="Yes",L930&lt;0,B930&lt;&gt;"TXO"),L930,"")</f>
        <v/>
      </c>
    </row>
    <row r="931" hidden="1" outlineLevel="2" ht="17.25" customHeight="1" thickBot="1">
      <c r="A931" s="696" t="n">
        <v>43377</v>
      </c>
      <c r="B931" s="234" t="inlineStr">
        <is>
          <t>TXO</t>
        </is>
      </c>
      <c r="C931" s="229" t="inlineStr">
        <is>
          <t>台指選W2 10 10400 P</t>
        </is>
      </c>
      <c r="D931" s="229" t="inlineStr">
        <is>
          <t>新倉</t>
        </is>
      </c>
      <c r="E931" s="257" t="inlineStr">
        <is>
          <t>買</t>
        </is>
      </c>
      <c r="F931" s="229" t="inlineStr">
        <is>
          <t>-</t>
        </is>
      </c>
      <c r="G931" s="697" t="n">
        <v>2</v>
      </c>
      <c r="H931" s="697" t="n">
        <v>14</v>
      </c>
      <c r="I931" s="697" t="n">
        <v>-1400</v>
      </c>
      <c r="J931" s="585" t="n">
        <v>36</v>
      </c>
      <c r="K931" s="585" t="n">
        <v>2</v>
      </c>
      <c r="L931" s="585">
        <f>IF(B931="TXO",I931-SUM(J931:K931),IF(B931="FITX",IF(D931="新倉",-SUM(J931:K931),IF(E931="賣",(H931-H930)*G931*200-SUM(J931:K931),(H930-H931)*G931*200-SUM(J931:K931))),IF(D931="新倉",-SUM(J931:K931),IF(E931="賣",(H931-H930)*G931*50-SUM(J931:K931),(H930-H931)*G931*50-SUM(J931:K931)))))</f>
        <v/>
      </c>
      <c r="M931" s="699">
        <f>L931</f>
        <v/>
      </c>
      <c r="N931" s="686">
        <f>IF(B931="TXO","",IF(D931="新倉","",IF(E931="賣",(H931-H930)*G931,(H930-H931)*G931)))</f>
        <v/>
      </c>
      <c r="O931" s="226">
        <f>ABS(I931)</f>
        <v/>
      </c>
      <c r="P931" s="667" t="n"/>
      <c r="S931" s="739" t="n"/>
      <c r="T931" s="61">
        <f>IF(AND(R931="Yes",S931&lt;&gt;"Yes",L931&gt;0,B931&lt;&gt;"TXO"),L931,"")</f>
        <v/>
      </c>
      <c r="U931" s="61">
        <f>IF(AND(R931="Yes",S931&lt;&gt;"Yes",L931&lt;0,B931&lt;&gt;"TXO"),L931,"")</f>
        <v/>
      </c>
      <c r="V931" s="61">
        <f>IF(AND(R931="",S931&lt;&gt;"Yes",L931&gt;0,B931&lt;&gt;"TXO"),L931,"")</f>
        <v/>
      </c>
      <c r="W931" s="61">
        <f>IF(AND(R931="",S931&lt;&gt;"Yes",L931&lt;0,B931&lt;&gt;"TXO"),L931,"")</f>
        <v/>
      </c>
      <c r="X931" s="226">
        <f>IF(AND(R931="Yes",S931="Yes",L931&gt;0,B931&lt;&gt;"TXO"),L931,"")</f>
        <v/>
      </c>
      <c r="Y931" s="226">
        <f>IF(AND(R931="Yes",S931="Yes",L931&lt;0,B931&lt;&gt;"TXO"),L931,"")</f>
        <v/>
      </c>
      <c r="Z931" s="226">
        <f>IF(AND(R931="",S931="Yes",L931&gt;0,B931&lt;&gt;"TXO"),L931,"")</f>
        <v/>
      </c>
      <c r="AA931" s="226">
        <f>IF(AND(R931="",S931="Yes",L931&lt;0,B931&lt;&gt;"TXO"),L931,"")</f>
        <v/>
      </c>
    </row>
    <row r="932" hidden="1" outlineLevel="2" ht="17.25" customHeight="1" thickBot="1">
      <c r="A932" s="696" t="n">
        <v>43377</v>
      </c>
      <c r="B932" s="234" t="inlineStr">
        <is>
          <t>TXO</t>
        </is>
      </c>
      <c r="C932" s="229" t="inlineStr">
        <is>
          <t>台指選W2 10 10400 P</t>
        </is>
      </c>
      <c r="D932" s="229" t="inlineStr">
        <is>
          <t>新倉</t>
        </is>
      </c>
      <c r="E932" s="257" t="inlineStr">
        <is>
          <t>買</t>
        </is>
      </c>
      <c r="F932" s="229" t="inlineStr">
        <is>
          <t>-</t>
        </is>
      </c>
      <c r="G932" s="697" t="n">
        <v>1</v>
      </c>
      <c r="H932" s="697" t="n">
        <v>15</v>
      </c>
      <c r="I932" s="697" t="n">
        <v>-750</v>
      </c>
      <c r="J932" s="585" t="n">
        <v>18</v>
      </c>
      <c r="K932" s="585" t="n">
        <v>1</v>
      </c>
      <c r="L932" s="585">
        <f>IF(B932="TXO",I932-SUM(J932:K932),IF(B932="FITX",IF(D932="新倉",-SUM(J932:K932),IF(E932="賣",(H932-H931)*G932*200-SUM(J932:K932),(H931-H932)*G932*200-SUM(J932:K932))),IF(D932="新倉",-SUM(J932:K932),IF(E932="賣",(H932-H931)*G932*50-SUM(J932:K932),(H931-H932)*G932*50-SUM(J932:K932)))))</f>
        <v/>
      </c>
      <c r="M932" s="699">
        <f>L932</f>
        <v/>
      </c>
      <c r="N932" s="686">
        <f>IF(B932="TXO","",IF(D932="新倉","",IF(E932="賣",(H932-H931)*G932,(H931-H932)*G932)))</f>
        <v/>
      </c>
      <c r="O932" s="226">
        <f>ABS(I932)</f>
        <v/>
      </c>
      <c r="P932" s="667" t="n"/>
      <c r="S932" s="739" t="n"/>
      <c r="T932" s="61">
        <f>IF(AND(R932="Yes",S932&lt;&gt;"Yes",L932&gt;0,B932&lt;&gt;"TXO"),L932,"")</f>
        <v/>
      </c>
      <c r="U932" s="61">
        <f>IF(AND(R932="Yes",S932&lt;&gt;"Yes",L932&lt;0,B932&lt;&gt;"TXO"),L932,"")</f>
        <v/>
      </c>
      <c r="V932" s="61">
        <f>IF(AND(R932="",S932&lt;&gt;"Yes",L932&gt;0,B932&lt;&gt;"TXO"),L932,"")</f>
        <v/>
      </c>
      <c r="W932" s="61">
        <f>IF(AND(R932="",S932&lt;&gt;"Yes",L932&lt;0,B932&lt;&gt;"TXO"),L932,"")</f>
        <v/>
      </c>
      <c r="X932" s="226">
        <f>IF(AND(R932="Yes",S932="Yes",L932&gt;0,B932&lt;&gt;"TXO"),L932,"")</f>
        <v/>
      </c>
      <c r="Y932" s="226">
        <f>IF(AND(R932="Yes",S932="Yes",L932&lt;0,B932&lt;&gt;"TXO"),L932,"")</f>
        <v/>
      </c>
      <c r="Z932" s="226">
        <f>IF(AND(R932="",S932="Yes",L932&gt;0,B932&lt;&gt;"TXO"),L932,"")</f>
        <v/>
      </c>
      <c r="AA932" s="226">
        <f>IF(AND(R932="",S932="Yes",L932&lt;0,B932&lt;&gt;"TXO"),L932,"")</f>
        <v/>
      </c>
    </row>
    <row r="933" hidden="1" outlineLevel="2" ht="17.25" customHeight="1" thickBot="1">
      <c r="A933" s="696" t="n">
        <v>43377</v>
      </c>
      <c r="B933" s="234" t="inlineStr">
        <is>
          <t>TXO</t>
        </is>
      </c>
      <c r="C933" s="229" t="inlineStr">
        <is>
          <t>台指選W2 10 10400 P</t>
        </is>
      </c>
      <c r="D933" s="229" t="inlineStr">
        <is>
          <t>新倉</t>
        </is>
      </c>
      <c r="E933" s="257" t="inlineStr">
        <is>
          <t>買</t>
        </is>
      </c>
      <c r="F933" s="229" t="inlineStr">
        <is>
          <t>-</t>
        </is>
      </c>
      <c r="G933" s="697" t="n">
        <v>1</v>
      </c>
      <c r="H933" s="697" t="n">
        <v>15</v>
      </c>
      <c r="I933" s="697" t="n">
        <v>-750</v>
      </c>
      <c r="J933" s="585" t="n">
        <v>18</v>
      </c>
      <c r="K933" s="585" t="n">
        <v>1</v>
      </c>
      <c r="L933" s="585">
        <f>IF(B933="TXO",I933-SUM(J933:K933),IF(B933="FITX",IF(D933="新倉",-SUM(J933:K933),IF(E933="賣",(H933-H932)*G933*200-SUM(J933:K933),(H932-H933)*G933*200-SUM(J933:K933))),IF(D933="新倉",-SUM(J933:K933),IF(E933="賣",(H933-H932)*G933*50-SUM(J933:K933),(H932-H933)*G933*50-SUM(J933:K933)))))</f>
        <v/>
      </c>
      <c r="M933" s="699">
        <f>L933</f>
        <v/>
      </c>
      <c r="N933" s="686">
        <f>IF(B933="TXO","",IF(D933="新倉","",IF(E933="賣",(H933-H932)*G933,(H932-H933)*G933)))</f>
        <v/>
      </c>
      <c r="O933" s="226">
        <f>ABS(I933)</f>
        <v/>
      </c>
      <c r="P933" s="667" t="n"/>
      <c r="S933" s="739" t="n"/>
      <c r="T933" s="61">
        <f>IF(AND(R933="Yes",S933&lt;&gt;"Yes",L933&gt;0,B933&lt;&gt;"TXO"),L933,"")</f>
        <v/>
      </c>
      <c r="U933" s="61">
        <f>IF(AND(R933="Yes",S933&lt;&gt;"Yes",L933&lt;0,B933&lt;&gt;"TXO"),L933,"")</f>
        <v/>
      </c>
      <c r="V933" s="61">
        <f>IF(AND(R933="",S933&lt;&gt;"Yes",L933&gt;0,B933&lt;&gt;"TXO"),L933,"")</f>
        <v/>
      </c>
      <c r="W933" s="61">
        <f>IF(AND(R933="",S933&lt;&gt;"Yes",L933&lt;0,B933&lt;&gt;"TXO"),L933,"")</f>
        <v/>
      </c>
      <c r="X933" s="226">
        <f>IF(AND(R933="Yes",S933="Yes",L933&gt;0,B933&lt;&gt;"TXO"),L933,"")</f>
        <v/>
      </c>
      <c r="Y933" s="226">
        <f>IF(AND(R933="Yes",S933="Yes",L933&lt;0,B933&lt;&gt;"TXO"),L933,"")</f>
        <v/>
      </c>
      <c r="Z933" s="226">
        <f>IF(AND(R933="",S933="Yes",L933&gt;0,B933&lt;&gt;"TXO"),L933,"")</f>
        <v/>
      </c>
      <c r="AA933" s="226">
        <f>IF(AND(R933="",S933="Yes",L933&lt;0,B933&lt;&gt;"TXO"),L933,"")</f>
        <v/>
      </c>
    </row>
    <row r="934" hidden="1" outlineLevel="2" ht="17.25" customHeight="1" thickBot="1">
      <c r="A934" s="696" t="n">
        <v>43377</v>
      </c>
      <c r="B934" s="234" t="inlineStr">
        <is>
          <t>TXO</t>
        </is>
      </c>
      <c r="C934" s="229" t="inlineStr">
        <is>
          <t>台指選W2 10 10700 P</t>
        </is>
      </c>
      <c r="D934" s="229" t="inlineStr">
        <is>
          <t>新倉</t>
        </is>
      </c>
      <c r="E934" s="257" t="inlineStr">
        <is>
          <t>買</t>
        </is>
      </c>
      <c r="F934" s="229" t="inlineStr">
        <is>
          <t>-</t>
        </is>
      </c>
      <c r="G934" s="697" t="n">
        <v>1</v>
      </c>
      <c r="H934" s="697" t="n">
        <v>124</v>
      </c>
      <c r="I934" s="697" t="n">
        <v>-6200</v>
      </c>
      <c r="J934" s="585" t="n">
        <v>18</v>
      </c>
      <c r="K934" s="585" t="n">
        <v>6</v>
      </c>
      <c r="L934" s="585">
        <f>IF(B934="TXO",I934-SUM(J934:K934),IF(B934="FITX",IF(D934="新倉",-SUM(J934:K934),IF(E934="賣",(H934-H933)*G934*200-SUM(J934:K934),(H933-H934)*G934*200-SUM(J934:K934))),IF(D934="新倉",-SUM(J934:K934),IF(E934="賣",(H934-H933)*G934*50-SUM(J934:K934),(H933-H934)*G934*50-SUM(J934:K934)))))</f>
        <v/>
      </c>
      <c r="M934" s="699">
        <f>L934</f>
        <v/>
      </c>
      <c r="N934" s="686">
        <f>IF(B934="TXO","",IF(D934="新倉","",IF(E934="賣",(H934-H933)*G934,(H933-H934)*G934)))</f>
        <v/>
      </c>
      <c r="O934" s="226">
        <f>ABS(I934)</f>
        <v/>
      </c>
      <c r="P934" s="667" t="n"/>
      <c r="S934" s="739" t="n"/>
      <c r="T934" s="61">
        <f>IF(AND(R934="Yes",S934&lt;&gt;"Yes",L934&gt;0,B934&lt;&gt;"TXO"),L934,"")</f>
        <v/>
      </c>
      <c r="U934" s="61">
        <f>IF(AND(R934="Yes",S934&lt;&gt;"Yes",L934&lt;0,B934&lt;&gt;"TXO"),L934,"")</f>
        <v/>
      </c>
      <c r="V934" s="61">
        <f>IF(AND(R934="",S934&lt;&gt;"Yes",L934&gt;0,B934&lt;&gt;"TXO"),L934,"")</f>
        <v/>
      </c>
      <c r="W934" s="61">
        <f>IF(AND(R934="",S934&lt;&gt;"Yes",L934&lt;0,B934&lt;&gt;"TXO"),L934,"")</f>
        <v/>
      </c>
      <c r="X934" s="226">
        <f>IF(AND(R934="Yes",S934="Yes",L934&gt;0,B934&lt;&gt;"TXO"),L934,"")</f>
        <v/>
      </c>
      <c r="Y934" s="226">
        <f>IF(AND(R934="Yes",S934="Yes",L934&lt;0,B934&lt;&gt;"TXO"),L934,"")</f>
        <v/>
      </c>
      <c r="Z934" s="226">
        <f>IF(AND(R934="",S934="Yes",L934&gt;0,B934&lt;&gt;"TXO"),L934,"")</f>
        <v/>
      </c>
      <c r="AA934" s="226">
        <f>IF(AND(R934="",S934="Yes",L934&lt;0,B934&lt;&gt;"TXO"),L934,"")</f>
        <v/>
      </c>
    </row>
    <row r="935" hidden="1" outlineLevel="2" ht="17.25" customHeight="1" thickBot="1">
      <c r="A935" s="696" t="n">
        <v>43377</v>
      </c>
      <c r="B935" s="234" t="inlineStr">
        <is>
          <t>TXO</t>
        </is>
      </c>
      <c r="C935" s="229" t="inlineStr">
        <is>
          <t>台指選W2 10 10700 P</t>
        </is>
      </c>
      <c r="D935" s="229" t="inlineStr">
        <is>
          <t>新倉</t>
        </is>
      </c>
      <c r="E935" s="257" t="inlineStr">
        <is>
          <t>買</t>
        </is>
      </c>
      <c r="F935" s="229" t="inlineStr">
        <is>
          <t>-</t>
        </is>
      </c>
      <c r="G935" s="697" t="n">
        <v>1</v>
      </c>
      <c r="H935" s="697" t="n">
        <v>100</v>
      </c>
      <c r="I935" s="697" t="n">
        <v>-5000</v>
      </c>
      <c r="J935" s="585" t="n">
        <v>18</v>
      </c>
      <c r="K935" s="585" t="n">
        <v>5</v>
      </c>
      <c r="L935" s="585">
        <f>IF(B935="TXO",I935-SUM(J935:K935),IF(B935="FITX",IF(D935="新倉",-SUM(J935:K935),IF(E935="賣",(H935-H934)*G935*200-SUM(J935:K935),(H934-H935)*G935*200-SUM(J935:K935))),IF(D935="新倉",-SUM(J935:K935),IF(E935="賣",(H935-H934)*G935*50-SUM(J935:K935),(H934-H935)*G935*50-SUM(J935:K935)))))</f>
        <v/>
      </c>
      <c r="M935" s="699">
        <f>L935</f>
        <v/>
      </c>
      <c r="N935" s="686">
        <f>IF(B935="TXO","",IF(D935="新倉","",IF(E935="賣",(H935-H934)*G935,(H934-H935)*G935)))</f>
        <v/>
      </c>
      <c r="O935" s="226">
        <f>ABS(I935)</f>
        <v/>
      </c>
      <c r="P935" s="667" t="n"/>
      <c r="S935" s="739" t="n"/>
      <c r="T935" s="61">
        <f>IF(AND(R935="Yes",S935&lt;&gt;"Yes",L935&gt;0,B935&lt;&gt;"TXO"),L935,"")</f>
        <v/>
      </c>
      <c r="U935" s="61">
        <f>IF(AND(R935="Yes",S935&lt;&gt;"Yes",L935&lt;0,B935&lt;&gt;"TXO"),L935,"")</f>
        <v/>
      </c>
      <c r="V935" s="61">
        <f>IF(AND(R935="",S935&lt;&gt;"Yes",L935&gt;0,B935&lt;&gt;"TXO"),L935,"")</f>
        <v/>
      </c>
      <c r="W935" s="61">
        <f>IF(AND(R935="",S935&lt;&gt;"Yes",L935&lt;0,B935&lt;&gt;"TXO"),L935,"")</f>
        <v/>
      </c>
      <c r="X935" s="226">
        <f>IF(AND(R935="Yes",S935="Yes",L935&gt;0,B935&lt;&gt;"TXO"),L935,"")</f>
        <v/>
      </c>
      <c r="Y935" s="226">
        <f>IF(AND(R935="Yes",S935="Yes",L935&lt;0,B935&lt;&gt;"TXO"),L935,"")</f>
        <v/>
      </c>
      <c r="Z935" s="226">
        <f>IF(AND(R935="",S935="Yes",L935&gt;0,B935&lt;&gt;"TXO"),L935,"")</f>
        <v/>
      </c>
      <c r="AA935" s="226">
        <f>IF(AND(R935="",S935="Yes",L935&lt;0,B935&lt;&gt;"TXO"),L935,"")</f>
        <v/>
      </c>
    </row>
    <row r="936" hidden="1" outlineLevel="2" ht="17.25" customHeight="1" thickBot="1">
      <c r="A936" s="696" t="n">
        <v>43377</v>
      </c>
      <c r="B936" s="234" t="inlineStr">
        <is>
          <t>TXO</t>
        </is>
      </c>
      <c r="C936" s="229" t="inlineStr">
        <is>
          <t>台指選W2 10 10650 P</t>
        </is>
      </c>
      <c r="D936" s="229" t="inlineStr">
        <is>
          <t>新倉</t>
        </is>
      </c>
      <c r="E936" s="257" t="inlineStr">
        <is>
          <t>買</t>
        </is>
      </c>
      <c r="F936" s="229" t="inlineStr">
        <is>
          <t>-</t>
        </is>
      </c>
      <c r="G936" s="697" t="n">
        <v>1</v>
      </c>
      <c r="H936" s="697" t="n">
        <v>80</v>
      </c>
      <c r="I936" s="697" t="n">
        <v>-4000</v>
      </c>
      <c r="J936" s="585" t="n">
        <v>18</v>
      </c>
      <c r="K936" s="585" t="n">
        <v>4</v>
      </c>
      <c r="L936" s="585">
        <f>IF(B936="TXO",I936-SUM(J936:K936),IF(B936="FITX",IF(D936="新倉",-SUM(J936:K936),IF(E936="賣",(H936-H935)*G936*200-SUM(J936:K936),(H935-H936)*G936*200-SUM(J936:K936))),IF(D936="新倉",-SUM(J936:K936),IF(E936="賣",(H936-H935)*G936*50-SUM(J936:K936),(H935-H936)*G936*50-SUM(J936:K936)))))</f>
        <v/>
      </c>
      <c r="M936" s="699">
        <f>L936</f>
        <v/>
      </c>
      <c r="N936" s="686">
        <f>IF(B936="TXO","",IF(D936="新倉","",IF(E936="賣",(H936-H935)*G936,(H935-H936)*G936)))</f>
        <v/>
      </c>
      <c r="O936" s="226">
        <f>ABS(I936)</f>
        <v/>
      </c>
      <c r="P936" s="667" t="n"/>
      <c r="S936" s="739" t="n"/>
      <c r="T936" s="61">
        <f>IF(AND(R936="Yes",S936&lt;&gt;"Yes",L936&gt;0,B936&lt;&gt;"TXO"),L936,"")</f>
        <v/>
      </c>
      <c r="U936" s="61">
        <f>IF(AND(R936="Yes",S936&lt;&gt;"Yes",L936&lt;0,B936&lt;&gt;"TXO"),L936,"")</f>
        <v/>
      </c>
      <c r="V936" s="61">
        <f>IF(AND(R936="",S936&lt;&gt;"Yes",L936&gt;0,B936&lt;&gt;"TXO"),L936,"")</f>
        <v/>
      </c>
      <c r="W936" s="61">
        <f>IF(AND(R936="",S936&lt;&gt;"Yes",L936&lt;0,B936&lt;&gt;"TXO"),L936,"")</f>
        <v/>
      </c>
      <c r="X936" s="226">
        <f>IF(AND(R936="Yes",S936="Yes",L936&gt;0,B936&lt;&gt;"TXO"),L936,"")</f>
        <v/>
      </c>
      <c r="Y936" s="226">
        <f>IF(AND(R936="Yes",S936="Yes",L936&lt;0,B936&lt;&gt;"TXO"),L936,"")</f>
        <v/>
      </c>
      <c r="Z936" s="226">
        <f>IF(AND(R936="",S936="Yes",L936&gt;0,B936&lt;&gt;"TXO"),L936,"")</f>
        <v/>
      </c>
      <c r="AA936" s="226">
        <f>IF(AND(R936="",S936="Yes",L936&lt;0,B936&lt;&gt;"TXO"),L936,"")</f>
        <v/>
      </c>
    </row>
    <row r="937" hidden="1" outlineLevel="2" ht="17.25" customHeight="1" thickBot="1">
      <c r="A937" s="696" t="n">
        <v>43377</v>
      </c>
      <c r="B937" s="234" t="inlineStr">
        <is>
          <t>TXO</t>
        </is>
      </c>
      <c r="C937" s="229" t="inlineStr">
        <is>
          <t>台指選W2 10 10600 P</t>
        </is>
      </c>
      <c r="D937" s="229" t="inlineStr">
        <is>
          <t>新倉</t>
        </is>
      </c>
      <c r="E937" s="257" t="inlineStr">
        <is>
          <t>買</t>
        </is>
      </c>
      <c r="F937" s="229" t="inlineStr">
        <is>
          <t>-</t>
        </is>
      </c>
      <c r="G937" s="697" t="n">
        <v>1</v>
      </c>
      <c r="H937" s="697" t="n">
        <v>55</v>
      </c>
      <c r="I937" s="697" t="n">
        <v>-2750</v>
      </c>
      <c r="J937" s="585" t="n">
        <v>18</v>
      </c>
      <c r="K937" s="585" t="n">
        <v>3</v>
      </c>
      <c r="L937" s="585">
        <f>IF(B937="TXO",I937-SUM(J937:K937),IF(B937="FITX",IF(D937="新倉",-SUM(J937:K937),IF(E937="賣",(H937-H936)*G937*200-SUM(J937:K937),(H936-H937)*G937*200-SUM(J937:K937))),IF(D937="新倉",-SUM(J937:K937),IF(E937="賣",(H937-H936)*G937*50-SUM(J937:K937),(H936-H937)*G937*50-SUM(J937:K937)))))</f>
        <v/>
      </c>
      <c r="M937" s="699">
        <f>L937</f>
        <v/>
      </c>
      <c r="N937" s="686">
        <f>IF(B937="TXO","",IF(D937="新倉","",IF(E937="賣",(H937-H936)*G937,(H936-H937)*G937)))</f>
        <v/>
      </c>
      <c r="O937" s="226">
        <f>ABS(I937)</f>
        <v/>
      </c>
      <c r="P937" s="667" t="n"/>
      <c r="S937" s="739" t="n"/>
      <c r="T937" s="61">
        <f>IF(AND(R937="Yes",S937&lt;&gt;"Yes",L937&gt;0,B937&lt;&gt;"TXO"),L937,"")</f>
        <v/>
      </c>
      <c r="U937" s="61">
        <f>IF(AND(R937="Yes",S937&lt;&gt;"Yes",L937&lt;0,B937&lt;&gt;"TXO"),L937,"")</f>
        <v/>
      </c>
      <c r="V937" s="61">
        <f>IF(AND(R937="",S937&lt;&gt;"Yes",L937&gt;0,B937&lt;&gt;"TXO"),L937,"")</f>
        <v/>
      </c>
      <c r="W937" s="61">
        <f>IF(AND(R937="",S937&lt;&gt;"Yes",L937&lt;0,B937&lt;&gt;"TXO"),L937,"")</f>
        <v/>
      </c>
      <c r="X937" s="226">
        <f>IF(AND(R937="Yes",S937="Yes",L937&gt;0,B937&lt;&gt;"TXO"),L937,"")</f>
        <v/>
      </c>
      <c r="Y937" s="226">
        <f>IF(AND(R937="Yes",S937="Yes",L937&lt;0,B937&lt;&gt;"TXO"),L937,"")</f>
        <v/>
      </c>
      <c r="Z937" s="226">
        <f>IF(AND(R937="",S937="Yes",L937&gt;0,B937&lt;&gt;"TXO"),L937,"")</f>
        <v/>
      </c>
      <c r="AA937" s="226">
        <f>IF(AND(R937="",S937="Yes",L937&lt;0,B937&lt;&gt;"TXO"),L937,"")</f>
        <v/>
      </c>
    </row>
    <row r="938" hidden="1" outlineLevel="2" ht="17.25" customHeight="1" thickBot="1">
      <c r="A938" s="696" t="n">
        <v>43377</v>
      </c>
      <c r="B938" s="234" t="inlineStr">
        <is>
          <t>TXO</t>
        </is>
      </c>
      <c r="C938" s="229" t="inlineStr">
        <is>
          <t>台指選W2 10 10550 P</t>
        </is>
      </c>
      <c r="D938" s="229" t="inlineStr">
        <is>
          <t>新倉</t>
        </is>
      </c>
      <c r="E938" s="257" t="inlineStr">
        <is>
          <t>買</t>
        </is>
      </c>
      <c r="F938" s="229" t="inlineStr">
        <is>
          <t>-</t>
        </is>
      </c>
      <c r="G938" s="697" t="n">
        <v>1</v>
      </c>
      <c r="H938" s="697" t="n">
        <v>40</v>
      </c>
      <c r="I938" s="697" t="n">
        <v>-2000</v>
      </c>
      <c r="J938" s="585" t="n">
        <v>18</v>
      </c>
      <c r="K938" s="585" t="n">
        <v>2</v>
      </c>
      <c r="L938" s="585">
        <f>IF(B938="TXO",I938-SUM(J938:K938),IF(B938="FITX",IF(D938="新倉",-SUM(J938:K938),IF(E938="賣",(H938-H937)*G938*200-SUM(J938:K938),(H937-H938)*G938*200-SUM(J938:K938))),IF(D938="新倉",-SUM(J938:K938),IF(E938="賣",(H938-H937)*G938*50-SUM(J938:K938),(H937-H938)*G938*50-SUM(J938:K938)))))</f>
        <v/>
      </c>
      <c r="M938" s="699">
        <f>L938</f>
        <v/>
      </c>
      <c r="N938" s="686">
        <f>IF(B938="TXO","",IF(D938="新倉","",IF(E938="賣",(H938-H937)*G938,(H937-H938)*G938)))</f>
        <v/>
      </c>
      <c r="O938" s="226">
        <f>ABS(I938)</f>
        <v/>
      </c>
      <c r="P938" s="667" t="n"/>
      <c r="S938" s="739" t="n"/>
      <c r="T938" s="61">
        <f>IF(AND(R938="Yes",S938&lt;&gt;"Yes",L938&gt;0,B938&lt;&gt;"TXO"),L938,"")</f>
        <v/>
      </c>
      <c r="U938" s="61">
        <f>IF(AND(R938="Yes",S938&lt;&gt;"Yes",L938&lt;0,B938&lt;&gt;"TXO"),L938,"")</f>
        <v/>
      </c>
      <c r="V938" s="61">
        <f>IF(AND(R938="",S938&lt;&gt;"Yes",L938&gt;0,B938&lt;&gt;"TXO"),L938,"")</f>
        <v/>
      </c>
      <c r="W938" s="61">
        <f>IF(AND(R938="",S938&lt;&gt;"Yes",L938&lt;0,B938&lt;&gt;"TXO"),L938,"")</f>
        <v/>
      </c>
      <c r="X938" s="226">
        <f>IF(AND(R938="Yes",S938="Yes",L938&gt;0,B938&lt;&gt;"TXO"),L938,"")</f>
        <v/>
      </c>
      <c r="Y938" s="226">
        <f>IF(AND(R938="Yes",S938="Yes",L938&lt;0,B938&lt;&gt;"TXO"),L938,"")</f>
        <v/>
      </c>
      <c r="Z938" s="226">
        <f>IF(AND(R938="",S938="Yes",L938&gt;0,B938&lt;&gt;"TXO"),L938,"")</f>
        <v/>
      </c>
      <c r="AA938" s="226">
        <f>IF(AND(R938="",S938="Yes",L938&lt;0,B938&lt;&gt;"TXO"),L938,"")</f>
        <v/>
      </c>
    </row>
    <row r="939" hidden="1" outlineLevel="2" ht="17.25" customHeight="1" thickBot="1">
      <c r="A939" s="696" t="n">
        <v>43377</v>
      </c>
      <c r="B939" s="234" t="inlineStr">
        <is>
          <t>TXO</t>
        </is>
      </c>
      <c r="C939" s="229" t="inlineStr">
        <is>
          <t>台指選W2 10 10500 P</t>
        </is>
      </c>
      <c r="D939" s="229" t="inlineStr">
        <is>
          <t>新倉</t>
        </is>
      </c>
      <c r="E939" s="257" t="inlineStr">
        <is>
          <t>買</t>
        </is>
      </c>
      <c r="F939" s="229" t="inlineStr">
        <is>
          <t>-</t>
        </is>
      </c>
      <c r="G939" s="697" t="n">
        <v>1</v>
      </c>
      <c r="H939" s="697" t="n">
        <v>30</v>
      </c>
      <c r="I939" s="697" t="n">
        <v>-1500</v>
      </c>
      <c r="J939" s="585" t="n">
        <v>18</v>
      </c>
      <c r="K939" s="585" t="n">
        <v>2</v>
      </c>
      <c r="L939" s="585">
        <f>IF(B939="TXO",I939-SUM(J939:K939),IF(B939="FITX",IF(D939="新倉",-SUM(J939:K939),IF(E939="賣",(H939-H938)*G939*200-SUM(J939:K939),(H938-H939)*G939*200-SUM(J939:K939))),IF(D939="新倉",-SUM(J939:K939),IF(E939="賣",(H939-H938)*G939*50-SUM(J939:K939),(H938-H939)*G939*50-SUM(J939:K939)))))</f>
        <v/>
      </c>
      <c r="M939" s="699">
        <f>L939</f>
        <v/>
      </c>
      <c r="N939" s="686">
        <f>IF(B939="TXO","",IF(D939="新倉","",IF(E939="賣",(H939-H938)*G939,(H938-H939)*G939)))</f>
        <v/>
      </c>
      <c r="O939" s="226">
        <f>ABS(I939)</f>
        <v/>
      </c>
      <c r="P939" s="667" t="n"/>
      <c r="S939" s="739" t="n"/>
      <c r="T939" s="61">
        <f>IF(AND(R939="Yes",S939&lt;&gt;"Yes",L939&gt;0,B939&lt;&gt;"TXO"),L939,"")</f>
        <v/>
      </c>
      <c r="U939" s="61">
        <f>IF(AND(R939="Yes",S939&lt;&gt;"Yes",L939&lt;0,B939&lt;&gt;"TXO"),L939,"")</f>
        <v/>
      </c>
      <c r="V939" s="61">
        <f>IF(AND(R939="",S939&lt;&gt;"Yes",L939&gt;0,B939&lt;&gt;"TXO"),L939,"")</f>
        <v/>
      </c>
      <c r="W939" s="61">
        <f>IF(AND(R939="",S939&lt;&gt;"Yes",L939&lt;0,B939&lt;&gt;"TXO"),L939,"")</f>
        <v/>
      </c>
      <c r="X939" s="226">
        <f>IF(AND(R939="Yes",S939="Yes",L939&gt;0,B939&lt;&gt;"TXO"),L939,"")</f>
        <v/>
      </c>
      <c r="Y939" s="226">
        <f>IF(AND(R939="Yes",S939="Yes",L939&lt;0,B939&lt;&gt;"TXO"),L939,"")</f>
        <v/>
      </c>
      <c r="Z939" s="226">
        <f>IF(AND(R939="",S939="Yes",L939&gt;0,B939&lt;&gt;"TXO"),L939,"")</f>
        <v/>
      </c>
      <c r="AA939" s="226">
        <f>IF(AND(R939="",S939="Yes",L939&lt;0,B939&lt;&gt;"TXO"),L939,"")</f>
        <v/>
      </c>
    </row>
    <row r="940" hidden="1" outlineLevel="2" ht="17.25" customHeight="1" thickBot="1">
      <c r="A940" s="696" t="n">
        <v>43377</v>
      </c>
      <c r="B940" s="234" t="inlineStr">
        <is>
          <t>TXO</t>
        </is>
      </c>
      <c r="C940" s="229" t="inlineStr">
        <is>
          <t>台指選W2 10 10500 P</t>
        </is>
      </c>
      <c r="D940" s="229" t="inlineStr">
        <is>
          <t>新倉</t>
        </is>
      </c>
      <c r="E940" s="257" t="inlineStr">
        <is>
          <t>買</t>
        </is>
      </c>
      <c r="F940" s="229" t="inlineStr">
        <is>
          <t>-</t>
        </is>
      </c>
      <c r="G940" s="697" t="n">
        <v>1</v>
      </c>
      <c r="H940" s="697" t="n">
        <v>37.5</v>
      </c>
      <c r="I940" s="697" t="n">
        <v>-1875</v>
      </c>
      <c r="J940" s="585" t="n">
        <v>18</v>
      </c>
      <c r="K940" s="585" t="n">
        <v>2</v>
      </c>
      <c r="L940" s="585">
        <f>IF(B940="TXO",I940-SUM(J940:K940),IF(B940="FITX",IF(D940="新倉",-SUM(J940:K940),IF(E940="賣",(H940-H939)*G940*200-SUM(J940:K940),(H939-H940)*G940*200-SUM(J940:K940))),IF(D940="新倉",-SUM(J940:K940),IF(E940="賣",(H940-H939)*G940*50-SUM(J940:K940),(H939-H940)*G940*50-SUM(J940:K940)))))</f>
        <v/>
      </c>
      <c r="M940" s="699">
        <f>L940</f>
        <v/>
      </c>
      <c r="N940" s="686">
        <f>IF(B940="TXO","",IF(D940="新倉","",IF(E940="賣",(H940-H939)*G940,(H939-H940)*G940)))</f>
        <v/>
      </c>
      <c r="O940" s="226">
        <f>ABS(I940)</f>
        <v/>
      </c>
      <c r="P940" s="667" t="n"/>
      <c r="S940" s="739" t="n"/>
      <c r="T940" s="61">
        <f>IF(AND(R940="Yes",S940&lt;&gt;"Yes",L940&gt;0,B940&lt;&gt;"TXO"),L940,"")</f>
        <v/>
      </c>
      <c r="U940" s="61">
        <f>IF(AND(R940="Yes",S940&lt;&gt;"Yes",L940&lt;0,B940&lt;&gt;"TXO"),L940,"")</f>
        <v/>
      </c>
      <c r="V940" s="61">
        <f>IF(AND(R940="",S940&lt;&gt;"Yes",L940&gt;0,B940&lt;&gt;"TXO"),L940,"")</f>
        <v/>
      </c>
      <c r="W940" s="61">
        <f>IF(AND(R940="",S940&lt;&gt;"Yes",L940&lt;0,B940&lt;&gt;"TXO"),L940,"")</f>
        <v/>
      </c>
      <c r="X940" s="226">
        <f>IF(AND(R940="Yes",S940="Yes",L940&gt;0,B940&lt;&gt;"TXO"),L940,"")</f>
        <v/>
      </c>
      <c r="Y940" s="226">
        <f>IF(AND(R940="Yes",S940="Yes",L940&lt;0,B940&lt;&gt;"TXO"),L940,"")</f>
        <v/>
      </c>
      <c r="Z940" s="226">
        <f>IF(AND(R940="",S940="Yes",L940&gt;0,B940&lt;&gt;"TXO"),L940,"")</f>
        <v/>
      </c>
      <c r="AA940" s="226">
        <f>IF(AND(R940="",S940="Yes",L940&lt;0,B940&lt;&gt;"TXO"),L940,"")</f>
        <v/>
      </c>
    </row>
    <row r="941" hidden="1" outlineLevel="2" ht="17.25" customHeight="1" thickBot="1">
      <c r="A941" s="696" t="n">
        <v>43378</v>
      </c>
      <c r="B941" s="234" t="inlineStr">
        <is>
          <t>TXO</t>
        </is>
      </c>
      <c r="C941" s="229" t="inlineStr">
        <is>
          <t>台指選W2 10 10700 P</t>
        </is>
      </c>
      <c r="D941" s="229" t="inlineStr">
        <is>
          <t>平倉</t>
        </is>
      </c>
      <c r="E941" s="257" t="inlineStr">
        <is>
          <t>賣</t>
        </is>
      </c>
      <c r="F941" s="229" t="inlineStr">
        <is>
          <t>-</t>
        </is>
      </c>
      <c r="G941" s="697" t="n">
        <v>1</v>
      </c>
      <c r="H941" s="697" t="n">
        <v>173</v>
      </c>
      <c r="I941" s="697" t="n">
        <v>8650</v>
      </c>
      <c r="J941" s="585" t="n">
        <v>18</v>
      </c>
      <c r="K941" s="585" t="n">
        <v>9</v>
      </c>
      <c r="L941" s="585">
        <f>IF(B941="TXO",I941-SUM(J941:K941),IF(B941="FITX",IF(D941="新倉",-SUM(J941:K941),IF(E941="賣",(H941-H940)*G941*200-SUM(J941:K941),(H940-H941)*G941*200-SUM(J941:K941))),IF(D941="新倉",-SUM(J941:K941),IF(E941="賣",(H941-H940)*G941*50-SUM(J941:K941),(H940-H941)*G941*50-SUM(J941:K941)))))</f>
        <v/>
      </c>
      <c r="M941" s="699">
        <f>L941</f>
        <v/>
      </c>
      <c r="N941" s="686">
        <f>IF(B941="TXO","",IF(D941="新倉","",IF(E941="賣",(H941-H940)*G941,(H940-H941)*G941)))</f>
        <v/>
      </c>
      <c r="O941" s="226">
        <f>ABS(I941)</f>
        <v/>
      </c>
      <c r="P941" s="667" t="n"/>
      <c r="S941" s="739" t="n"/>
      <c r="T941" s="61">
        <f>IF(AND(R941="Yes",S941&lt;&gt;"Yes",L941&gt;0,B941&lt;&gt;"TXO"),L941,"")</f>
        <v/>
      </c>
      <c r="U941" s="61">
        <f>IF(AND(R941="Yes",S941&lt;&gt;"Yes",L941&lt;0,B941&lt;&gt;"TXO"),L941,"")</f>
        <v/>
      </c>
      <c r="V941" s="61">
        <f>IF(AND(R941="",S941&lt;&gt;"Yes",L941&gt;0,B941&lt;&gt;"TXO"),L941,"")</f>
        <v/>
      </c>
      <c r="W941" s="61">
        <f>IF(AND(R941="",S941&lt;&gt;"Yes",L941&lt;0,B941&lt;&gt;"TXO"),L941,"")</f>
        <v/>
      </c>
      <c r="X941" s="226">
        <f>IF(AND(R941="Yes",S941="Yes",L941&gt;0,B941&lt;&gt;"TXO"),L941,"")</f>
        <v/>
      </c>
      <c r="Y941" s="226">
        <f>IF(AND(R941="Yes",S941="Yes",L941&lt;0,B941&lt;&gt;"TXO"),L941,"")</f>
        <v/>
      </c>
      <c r="Z941" s="226">
        <f>IF(AND(R941="",S941="Yes",L941&gt;0,B941&lt;&gt;"TXO"),L941,"")</f>
        <v/>
      </c>
      <c r="AA941" s="226">
        <f>IF(AND(R941="",S941="Yes",L941&lt;0,B941&lt;&gt;"TXO"),L941,"")</f>
        <v/>
      </c>
    </row>
    <row r="942" hidden="1" outlineLevel="2" ht="17.25" customHeight="1" thickBot="1">
      <c r="A942" s="696" t="n">
        <v>43378</v>
      </c>
      <c r="B942" s="234" t="inlineStr">
        <is>
          <t>TXO</t>
        </is>
      </c>
      <c r="C942" s="229" t="inlineStr">
        <is>
          <t>台指選W2 10 10700 P</t>
        </is>
      </c>
      <c r="D942" s="229" t="inlineStr">
        <is>
          <t>平倉</t>
        </is>
      </c>
      <c r="E942" s="257" t="inlineStr">
        <is>
          <t>賣</t>
        </is>
      </c>
      <c r="F942" s="229" t="inlineStr">
        <is>
          <t>-</t>
        </is>
      </c>
      <c r="G942" s="697" t="n">
        <v>1</v>
      </c>
      <c r="H942" s="697" t="n">
        <v>173</v>
      </c>
      <c r="I942" s="697" t="n">
        <v>8650</v>
      </c>
      <c r="J942" s="585" t="n">
        <v>18</v>
      </c>
      <c r="K942" s="585" t="n">
        <v>9</v>
      </c>
      <c r="L942" s="585">
        <f>IF(B942="TXO",I942-SUM(J942:K942),IF(B942="FITX",IF(D942="新倉",-SUM(J942:K942),IF(E942="賣",(H942-H941)*G942*200-SUM(J942:K942),(H941-H942)*G942*200-SUM(J942:K942))),IF(D942="新倉",-SUM(J942:K942),IF(E942="賣",(H942-H941)*G942*50-SUM(J942:K942),(H941-H942)*G942*50-SUM(J942:K942)))))</f>
        <v/>
      </c>
      <c r="M942" s="699">
        <f>L942</f>
        <v/>
      </c>
      <c r="N942" s="686">
        <f>IF(B942="TXO","",IF(D942="新倉","",IF(E942="賣",(H942-H941)*G942,(H941-H942)*G942)))</f>
        <v/>
      </c>
      <c r="O942" s="226">
        <f>ABS(I942)</f>
        <v/>
      </c>
      <c r="P942" s="667" t="n"/>
      <c r="S942" s="739" t="n"/>
      <c r="T942" s="61">
        <f>IF(AND(R942="Yes",S942&lt;&gt;"Yes",L942&gt;0,B942&lt;&gt;"TXO"),L942,"")</f>
        <v/>
      </c>
      <c r="U942" s="61">
        <f>IF(AND(R942="Yes",S942&lt;&gt;"Yes",L942&lt;0,B942&lt;&gt;"TXO"),L942,"")</f>
        <v/>
      </c>
      <c r="V942" s="61">
        <f>IF(AND(R942="",S942&lt;&gt;"Yes",L942&gt;0,B942&lt;&gt;"TXO"),L942,"")</f>
        <v/>
      </c>
      <c r="W942" s="61">
        <f>IF(AND(R942="",S942&lt;&gt;"Yes",L942&lt;0,B942&lt;&gt;"TXO"),L942,"")</f>
        <v/>
      </c>
      <c r="X942" s="226">
        <f>IF(AND(R942="Yes",S942="Yes",L942&gt;0,B942&lt;&gt;"TXO"),L942,"")</f>
        <v/>
      </c>
      <c r="Y942" s="226">
        <f>IF(AND(R942="Yes",S942="Yes",L942&lt;0,B942&lt;&gt;"TXO"),L942,"")</f>
        <v/>
      </c>
      <c r="Z942" s="226">
        <f>IF(AND(R942="",S942="Yes",L942&gt;0,B942&lt;&gt;"TXO"),L942,"")</f>
        <v/>
      </c>
      <c r="AA942" s="226">
        <f>IF(AND(R942="",S942="Yes",L942&lt;0,B942&lt;&gt;"TXO"),L942,"")</f>
        <v/>
      </c>
    </row>
    <row r="943" hidden="1" outlineLevel="2" ht="17.25" customHeight="1" thickBot="1">
      <c r="A943" s="696" t="n">
        <v>43378</v>
      </c>
      <c r="B943" s="234" t="inlineStr">
        <is>
          <t>TXO</t>
        </is>
      </c>
      <c r="C943" s="229" t="inlineStr">
        <is>
          <t>台指選W2 10 10500 P</t>
        </is>
      </c>
      <c r="D943" s="229" t="inlineStr">
        <is>
          <t>平倉</t>
        </is>
      </c>
      <c r="E943" s="257" t="inlineStr">
        <is>
          <t>賣</t>
        </is>
      </c>
      <c r="F943" s="229" t="inlineStr">
        <is>
          <t>-</t>
        </is>
      </c>
      <c r="G943" s="697" t="n">
        <v>1</v>
      </c>
      <c r="H943" s="697" t="n">
        <v>49</v>
      </c>
      <c r="I943" s="697" t="n">
        <v>2450</v>
      </c>
      <c r="J943" s="585" t="n">
        <v>18</v>
      </c>
      <c r="K943" s="585" t="n">
        <v>2</v>
      </c>
      <c r="L943" s="585">
        <f>IF(B943="TXO",I943-SUM(J943:K943),IF(B943="FITX",IF(D943="新倉",-SUM(J943:K943),IF(E943="賣",(H943-H942)*G943*200-SUM(J943:K943),(H942-H943)*G943*200-SUM(J943:K943))),IF(D943="新倉",-SUM(J943:K943),IF(E943="賣",(H943-H942)*G943*50-SUM(J943:K943),(H942-H943)*G943*50-SUM(J943:K943)))))</f>
        <v/>
      </c>
      <c r="M943" s="699">
        <f>L943</f>
        <v/>
      </c>
      <c r="N943" s="686">
        <f>IF(B943="TXO","",IF(D943="新倉","",IF(E943="賣",(H943-H942)*G943,(H942-H943)*G943)))</f>
        <v/>
      </c>
      <c r="O943" s="226">
        <f>ABS(I943)</f>
        <v/>
      </c>
      <c r="P943" s="667" t="n"/>
      <c r="S943" s="739" t="n"/>
      <c r="T943" s="61">
        <f>IF(AND(R943="Yes",S943&lt;&gt;"Yes",L943&gt;0,B943&lt;&gt;"TXO"),L943,"")</f>
        <v/>
      </c>
      <c r="U943" s="61">
        <f>IF(AND(R943="Yes",S943&lt;&gt;"Yes",L943&lt;0,B943&lt;&gt;"TXO"),L943,"")</f>
        <v/>
      </c>
      <c r="V943" s="61">
        <f>IF(AND(R943="",S943&lt;&gt;"Yes",L943&gt;0,B943&lt;&gt;"TXO"),L943,"")</f>
        <v/>
      </c>
      <c r="W943" s="61">
        <f>IF(AND(R943="",S943&lt;&gt;"Yes",L943&lt;0,B943&lt;&gt;"TXO"),L943,"")</f>
        <v/>
      </c>
      <c r="X943" s="226">
        <f>IF(AND(R943="Yes",S943="Yes",L943&gt;0,B943&lt;&gt;"TXO"),L943,"")</f>
        <v/>
      </c>
      <c r="Y943" s="226">
        <f>IF(AND(R943="Yes",S943="Yes",L943&lt;0,B943&lt;&gt;"TXO"),L943,"")</f>
        <v/>
      </c>
      <c r="Z943" s="226">
        <f>IF(AND(R943="",S943="Yes",L943&gt;0,B943&lt;&gt;"TXO"),L943,"")</f>
        <v/>
      </c>
      <c r="AA943" s="226">
        <f>IF(AND(R943="",S943="Yes",L943&lt;0,B943&lt;&gt;"TXO"),L943,"")</f>
        <v/>
      </c>
    </row>
    <row r="944" hidden="1" outlineLevel="2" ht="17.25" customHeight="1" thickBot="1">
      <c r="A944" s="696" t="n">
        <v>43378</v>
      </c>
      <c r="B944" s="234" t="inlineStr">
        <is>
          <t>TXO</t>
        </is>
      </c>
      <c r="C944" s="229" t="inlineStr">
        <is>
          <t>台指選W2 10 10500 P</t>
        </is>
      </c>
      <c r="D944" s="229" t="inlineStr">
        <is>
          <t>平倉</t>
        </is>
      </c>
      <c r="E944" s="257" t="inlineStr">
        <is>
          <t>賣</t>
        </is>
      </c>
      <c r="F944" s="229" t="inlineStr">
        <is>
          <t>-</t>
        </is>
      </c>
      <c r="G944" s="697" t="n">
        <v>1</v>
      </c>
      <c r="H944" s="697" t="n">
        <v>49</v>
      </c>
      <c r="I944" s="697" t="n">
        <v>2450</v>
      </c>
      <c r="J944" s="585" t="n">
        <v>18</v>
      </c>
      <c r="K944" s="585" t="n">
        <v>2</v>
      </c>
      <c r="L944" s="585">
        <f>IF(B944="TXO",I944-SUM(J944:K944),IF(B944="FITX",IF(D944="新倉",-SUM(J944:K944),IF(E944="賣",(H944-H943)*G944*200-SUM(J944:K944),(H943-H944)*G944*200-SUM(J944:K944))),IF(D944="新倉",-SUM(J944:K944),IF(E944="賣",(H944-H943)*G944*50-SUM(J944:K944),(H943-H944)*G944*50-SUM(J944:K944)))))</f>
        <v/>
      </c>
      <c r="M944" s="699">
        <f>L944</f>
        <v/>
      </c>
      <c r="N944" s="686">
        <f>IF(B944="TXO","",IF(D944="新倉","",IF(E944="賣",(H944-H943)*G944,(H943-H944)*G944)))</f>
        <v/>
      </c>
      <c r="O944" s="226">
        <f>ABS(I944)</f>
        <v/>
      </c>
      <c r="P944" s="667" t="n"/>
      <c r="S944" s="739" t="n"/>
      <c r="T944" s="61">
        <f>IF(AND(R944="Yes",S944&lt;&gt;"Yes",L944&gt;0,B944&lt;&gt;"TXO"),L944,"")</f>
        <v/>
      </c>
      <c r="U944" s="61">
        <f>IF(AND(R944="Yes",S944&lt;&gt;"Yes",L944&lt;0,B944&lt;&gt;"TXO"),L944,"")</f>
        <v/>
      </c>
      <c r="V944" s="61">
        <f>IF(AND(R944="",S944&lt;&gt;"Yes",L944&gt;0,B944&lt;&gt;"TXO"),L944,"")</f>
        <v/>
      </c>
      <c r="W944" s="61">
        <f>IF(AND(R944="",S944&lt;&gt;"Yes",L944&lt;0,B944&lt;&gt;"TXO"),L944,"")</f>
        <v/>
      </c>
      <c r="X944" s="226">
        <f>IF(AND(R944="Yes",S944="Yes",L944&gt;0,B944&lt;&gt;"TXO"),L944,"")</f>
        <v/>
      </c>
      <c r="Y944" s="226">
        <f>IF(AND(R944="Yes",S944="Yes",L944&lt;0,B944&lt;&gt;"TXO"),L944,"")</f>
        <v/>
      </c>
      <c r="Z944" s="226">
        <f>IF(AND(R944="",S944="Yes",L944&gt;0,B944&lt;&gt;"TXO"),L944,"")</f>
        <v/>
      </c>
      <c r="AA944" s="226">
        <f>IF(AND(R944="",S944="Yes",L944&lt;0,B944&lt;&gt;"TXO"),L944,"")</f>
        <v/>
      </c>
    </row>
    <row r="945" hidden="1" outlineLevel="2" ht="17.25" customHeight="1" thickBot="1">
      <c r="A945" s="696" t="n">
        <v>43378</v>
      </c>
      <c r="B945" s="234" t="inlineStr">
        <is>
          <t>TXO</t>
        </is>
      </c>
      <c r="C945" s="229" t="inlineStr">
        <is>
          <t>台指選W2 10 10650 P</t>
        </is>
      </c>
      <c r="D945" s="229" t="inlineStr">
        <is>
          <t>平倉</t>
        </is>
      </c>
      <c r="E945" s="257" t="inlineStr">
        <is>
          <t>賣</t>
        </is>
      </c>
      <c r="F945" s="229" t="inlineStr">
        <is>
          <t>-</t>
        </is>
      </c>
      <c r="G945" s="697" t="n">
        <v>1</v>
      </c>
      <c r="H945" s="697" t="n">
        <v>117</v>
      </c>
      <c r="I945" s="697" t="n">
        <v>5850</v>
      </c>
      <c r="J945" s="585" t="n">
        <v>18</v>
      </c>
      <c r="K945" s="585" t="n">
        <v>6</v>
      </c>
      <c r="L945" s="585">
        <f>IF(B945="TXO",I945-SUM(J945:K945),IF(B945="FITX",IF(D945="新倉",-SUM(J945:K945),IF(E945="賣",(H945-H944)*G945*200-SUM(J945:K945),(H944-H945)*G945*200-SUM(J945:K945))),IF(D945="新倉",-SUM(J945:K945),IF(E945="賣",(H945-H944)*G945*50-SUM(J945:K945),(H944-H945)*G945*50-SUM(J945:K945)))))</f>
        <v/>
      </c>
      <c r="M945" s="699">
        <f>L945</f>
        <v/>
      </c>
      <c r="N945" s="686">
        <f>IF(B945="TXO","",IF(D945="新倉","",IF(E945="賣",(H945-H944)*G945,(H944-H945)*G945)))</f>
        <v/>
      </c>
      <c r="O945" s="226">
        <f>ABS(I945)</f>
        <v/>
      </c>
      <c r="P945" s="667" t="n"/>
      <c r="S945" s="739" t="n"/>
      <c r="T945" s="61">
        <f>IF(AND(R945="Yes",S945&lt;&gt;"Yes",L945&gt;0,B945&lt;&gt;"TXO"),L945,"")</f>
        <v/>
      </c>
      <c r="U945" s="61">
        <f>IF(AND(R945="Yes",S945&lt;&gt;"Yes",L945&lt;0,B945&lt;&gt;"TXO"),L945,"")</f>
        <v/>
      </c>
      <c r="V945" s="61">
        <f>IF(AND(R945="",S945&lt;&gt;"Yes",L945&gt;0,B945&lt;&gt;"TXO"),L945,"")</f>
        <v/>
      </c>
      <c r="W945" s="61">
        <f>IF(AND(R945="",S945&lt;&gt;"Yes",L945&lt;0,B945&lt;&gt;"TXO"),L945,"")</f>
        <v/>
      </c>
      <c r="X945" s="226">
        <f>IF(AND(R945="Yes",S945="Yes",L945&gt;0,B945&lt;&gt;"TXO"),L945,"")</f>
        <v/>
      </c>
      <c r="Y945" s="226">
        <f>IF(AND(R945="Yes",S945="Yes",L945&lt;0,B945&lt;&gt;"TXO"),L945,"")</f>
        <v/>
      </c>
      <c r="Z945" s="226">
        <f>IF(AND(R945="",S945="Yes",L945&gt;0,B945&lt;&gt;"TXO"),L945,"")</f>
        <v/>
      </c>
      <c r="AA945" s="226">
        <f>IF(AND(R945="",S945="Yes",L945&lt;0,B945&lt;&gt;"TXO"),L945,"")</f>
        <v/>
      </c>
    </row>
    <row r="946" hidden="1" outlineLevel="2" ht="17.25" customHeight="1" thickBot="1">
      <c r="A946" s="696" t="n">
        <v>43378</v>
      </c>
      <c r="B946" s="234" t="inlineStr">
        <is>
          <t>TXO</t>
        </is>
      </c>
      <c r="C946" s="229" t="inlineStr">
        <is>
          <t>台指選W2 10 10400 P</t>
        </is>
      </c>
      <c r="D946" s="229" t="inlineStr">
        <is>
          <t>平倉</t>
        </is>
      </c>
      <c r="E946" s="257" t="inlineStr">
        <is>
          <t>賣</t>
        </is>
      </c>
      <c r="F946" s="229" t="inlineStr">
        <is>
          <t>-</t>
        </is>
      </c>
      <c r="G946" s="697" t="n">
        <v>1</v>
      </c>
      <c r="H946" s="697" t="n">
        <v>22.5</v>
      </c>
      <c r="I946" s="697" t="n">
        <v>1125</v>
      </c>
      <c r="J946" s="585" t="n">
        <v>18</v>
      </c>
      <c r="K946" s="585" t="n">
        <v>1</v>
      </c>
      <c r="L946" s="585">
        <f>IF(B946="TXO",I946-SUM(J946:K946),IF(B946="FITX",IF(D946="新倉",-SUM(J946:K946),IF(E946="賣",(H946-H945)*G946*200-SUM(J946:K946),(H945-H946)*G946*200-SUM(J946:K946))),IF(D946="新倉",-SUM(J946:K946),IF(E946="賣",(H946-H945)*G946*50-SUM(J946:K946),(H945-H946)*G946*50-SUM(J946:K946)))))</f>
        <v/>
      </c>
      <c r="M946" s="699">
        <f>L946</f>
        <v/>
      </c>
      <c r="N946" s="686">
        <f>IF(B946="TXO","",IF(D946="新倉","",IF(E946="賣",(H946-H945)*G946,(H945-H946)*G946)))</f>
        <v/>
      </c>
      <c r="O946" s="226">
        <f>ABS(I946)</f>
        <v/>
      </c>
      <c r="P946" s="667" t="n"/>
      <c r="S946" s="739" t="n"/>
      <c r="T946" s="61">
        <f>IF(AND(R946="Yes",S946&lt;&gt;"Yes",L946&gt;0,B946&lt;&gt;"TXO"),L946,"")</f>
        <v/>
      </c>
      <c r="U946" s="61">
        <f>IF(AND(R946="Yes",S946&lt;&gt;"Yes",L946&lt;0,B946&lt;&gt;"TXO"),L946,"")</f>
        <v/>
      </c>
      <c r="V946" s="61">
        <f>IF(AND(R946="",S946&lt;&gt;"Yes",L946&gt;0,B946&lt;&gt;"TXO"),L946,"")</f>
        <v/>
      </c>
      <c r="W946" s="61">
        <f>IF(AND(R946="",S946&lt;&gt;"Yes",L946&lt;0,B946&lt;&gt;"TXO"),L946,"")</f>
        <v/>
      </c>
      <c r="X946" s="226">
        <f>IF(AND(R946="Yes",S946="Yes",L946&gt;0,B946&lt;&gt;"TXO"),L946,"")</f>
        <v/>
      </c>
      <c r="Y946" s="226">
        <f>IF(AND(R946="Yes",S946="Yes",L946&lt;0,B946&lt;&gt;"TXO"),L946,"")</f>
        <v/>
      </c>
      <c r="Z946" s="226">
        <f>IF(AND(R946="",S946="Yes",L946&gt;0,B946&lt;&gt;"TXO"),L946,"")</f>
        <v/>
      </c>
      <c r="AA946" s="226">
        <f>IF(AND(R946="",S946="Yes",L946&lt;0,B946&lt;&gt;"TXO"),L946,"")</f>
        <v/>
      </c>
    </row>
    <row r="947" hidden="1" outlineLevel="2" ht="17.25" customHeight="1" thickBot="1">
      <c r="A947" s="696" t="n">
        <v>43378</v>
      </c>
      <c r="B947" s="234" t="inlineStr">
        <is>
          <t>TXO</t>
        </is>
      </c>
      <c r="C947" s="229" t="inlineStr">
        <is>
          <t>台指選W2 10 10400 P</t>
        </is>
      </c>
      <c r="D947" s="229" t="inlineStr">
        <is>
          <t>平倉</t>
        </is>
      </c>
      <c r="E947" s="257" t="inlineStr">
        <is>
          <t>賣</t>
        </is>
      </c>
      <c r="F947" s="229" t="inlineStr">
        <is>
          <t>-</t>
        </is>
      </c>
      <c r="G947" s="697" t="n">
        <v>1</v>
      </c>
      <c r="H947" s="697" t="n">
        <v>22.5</v>
      </c>
      <c r="I947" s="697" t="n">
        <v>1125</v>
      </c>
      <c r="J947" s="585" t="n">
        <v>18</v>
      </c>
      <c r="K947" s="585" t="n">
        <v>1</v>
      </c>
      <c r="L947" s="585">
        <f>IF(B947="TXO",I947-SUM(J947:K947),IF(B947="FITX",IF(D947="新倉",-SUM(J947:K947),IF(E947="賣",(H947-H946)*G947*200-SUM(J947:K947),(H946-H947)*G947*200-SUM(J947:K947))),IF(D947="新倉",-SUM(J947:K947),IF(E947="賣",(H947-H946)*G947*50-SUM(J947:K947),(H946-H947)*G947*50-SUM(J947:K947)))))</f>
        <v/>
      </c>
      <c r="M947" s="699">
        <f>L947</f>
        <v/>
      </c>
      <c r="N947" s="686">
        <f>IF(B947="TXO","",IF(D947="新倉","",IF(E947="賣",(H947-H946)*G947,(H946-H947)*G947)))</f>
        <v/>
      </c>
      <c r="O947" s="226">
        <f>ABS(I947)</f>
        <v/>
      </c>
      <c r="P947" s="667" t="n"/>
      <c r="S947" s="739" t="n"/>
      <c r="T947" s="61">
        <f>IF(AND(R947="Yes",S947&lt;&gt;"Yes",L947&gt;0,B947&lt;&gt;"TXO"),L947,"")</f>
        <v/>
      </c>
      <c r="U947" s="61">
        <f>IF(AND(R947="Yes",S947&lt;&gt;"Yes",L947&lt;0,B947&lt;&gt;"TXO"),L947,"")</f>
        <v/>
      </c>
      <c r="V947" s="61">
        <f>IF(AND(R947="",S947&lt;&gt;"Yes",L947&gt;0,B947&lt;&gt;"TXO"),L947,"")</f>
        <v/>
      </c>
      <c r="W947" s="61">
        <f>IF(AND(R947="",S947&lt;&gt;"Yes",L947&lt;0,B947&lt;&gt;"TXO"),L947,"")</f>
        <v/>
      </c>
      <c r="X947" s="226">
        <f>IF(AND(R947="Yes",S947="Yes",L947&gt;0,B947&lt;&gt;"TXO"),L947,"")</f>
        <v/>
      </c>
      <c r="Y947" s="226">
        <f>IF(AND(R947="Yes",S947="Yes",L947&lt;0,B947&lt;&gt;"TXO"),L947,"")</f>
        <v/>
      </c>
      <c r="Z947" s="226">
        <f>IF(AND(R947="",S947="Yes",L947&gt;0,B947&lt;&gt;"TXO"),L947,"")</f>
        <v/>
      </c>
      <c r="AA947" s="226">
        <f>IF(AND(R947="",S947="Yes",L947&lt;0,B947&lt;&gt;"TXO"),L947,"")</f>
        <v/>
      </c>
    </row>
    <row r="948" hidden="1" outlineLevel="2" ht="17.25" customHeight="1" thickBot="1">
      <c r="A948" s="696" t="n">
        <v>43378</v>
      </c>
      <c r="B948" s="234" t="inlineStr">
        <is>
          <t>TXO</t>
        </is>
      </c>
      <c r="C948" s="229" t="inlineStr">
        <is>
          <t>台指選W2 10 10400 P</t>
        </is>
      </c>
      <c r="D948" s="229" t="inlineStr">
        <is>
          <t>平倉</t>
        </is>
      </c>
      <c r="E948" s="257" t="inlineStr">
        <is>
          <t>賣</t>
        </is>
      </c>
      <c r="F948" s="229" t="inlineStr">
        <is>
          <t>-</t>
        </is>
      </c>
      <c r="G948" s="697" t="n">
        <v>1</v>
      </c>
      <c r="H948" s="697" t="n">
        <v>22.5</v>
      </c>
      <c r="I948" s="697" t="n">
        <v>1125</v>
      </c>
      <c r="J948" s="585" t="n">
        <v>18</v>
      </c>
      <c r="K948" s="585" t="n">
        <v>1</v>
      </c>
      <c r="L948" s="585">
        <f>IF(B948="TXO",I948-SUM(J948:K948),IF(B948="FITX",IF(D948="新倉",-SUM(J948:K948),IF(E948="賣",(H948-H947)*G948*200-SUM(J948:K948),(H947-H948)*G948*200-SUM(J948:K948))),IF(D948="新倉",-SUM(J948:K948),IF(E948="賣",(H948-H947)*G948*50-SUM(J948:K948),(H947-H948)*G948*50-SUM(J948:K948)))))</f>
        <v/>
      </c>
      <c r="M948" s="699">
        <f>L948</f>
        <v/>
      </c>
      <c r="N948" s="686">
        <f>IF(B948="TXO","",IF(D948="新倉","",IF(E948="賣",(H948-H947)*G948,(H947-H948)*G948)))</f>
        <v/>
      </c>
      <c r="O948" s="226">
        <f>ABS(I948)</f>
        <v/>
      </c>
      <c r="P948" s="667" t="n"/>
      <c r="S948" s="739" t="n"/>
      <c r="T948" s="61">
        <f>IF(AND(R948="Yes",S948&lt;&gt;"Yes",L948&gt;0,B948&lt;&gt;"TXO"),L948,"")</f>
        <v/>
      </c>
      <c r="U948" s="61">
        <f>IF(AND(R948="Yes",S948&lt;&gt;"Yes",L948&lt;0,B948&lt;&gt;"TXO"),L948,"")</f>
        <v/>
      </c>
      <c r="V948" s="61">
        <f>IF(AND(R948="",S948&lt;&gt;"Yes",L948&gt;0,B948&lt;&gt;"TXO"),L948,"")</f>
        <v/>
      </c>
      <c r="W948" s="61">
        <f>IF(AND(R948="",S948&lt;&gt;"Yes",L948&lt;0,B948&lt;&gt;"TXO"),L948,"")</f>
        <v/>
      </c>
      <c r="X948" s="226">
        <f>IF(AND(R948="Yes",S948="Yes",L948&gt;0,B948&lt;&gt;"TXO"),L948,"")</f>
        <v/>
      </c>
      <c r="Y948" s="226">
        <f>IF(AND(R948="Yes",S948="Yes",L948&lt;0,B948&lt;&gt;"TXO"),L948,"")</f>
        <v/>
      </c>
      <c r="Z948" s="226">
        <f>IF(AND(R948="",S948="Yes",L948&gt;0,B948&lt;&gt;"TXO"),L948,"")</f>
        <v/>
      </c>
      <c r="AA948" s="226">
        <f>IF(AND(R948="",S948="Yes",L948&lt;0,B948&lt;&gt;"TXO"),L948,"")</f>
        <v/>
      </c>
    </row>
    <row r="949" hidden="1" outlineLevel="2" ht="17.25" customHeight="1" thickBot="1">
      <c r="A949" s="696" t="n">
        <v>43378</v>
      </c>
      <c r="B949" s="234" t="inlineStr">
        <is>
          <t>TXO</t>
        </is>
      </c>
      <c r="C949" s="229" t="inlineStr">
        <is>
          <t>台指選W2 10 10400 P</t>
        </is>
      </c>
      <c r="D949" s="229" t="inlineStr">
        <is>
          <t>平倉</t>
        </is>
      </c>
      <c r="E949" s="257" t="inlineStr">
        <is>
          <t>賣</t>
        </is>
      </c>
      <c r="F949" s="229" t="inlineStr">
        <is>
          <t>-</t>
        </is>
      </c>
      <c r="G949" s="697" t="n">
        <v>1</v>
      </c>
      <c r="H949" s="697" t="n">
        <v>22.5</v>
      </c>
      <c r="I949" s="697" t="n">
        <v>1125</v>
      </c>
      <c r="J949" s="585" t="n">
        <v>18</v>
      </c>
      <c r="K949" s="585" t="n">
        <v>1</v>
      </c>
      <c r="L949" s="585">
        <f>IF(B949="TXO",I949-SUM(J949:K949),IF(B949="FITX",IF(D949="新倉",-SUM(J949:K949),IF(E949="賣",(H949-H948)*G949*200-SUM(J949:K949),(H948-H949)*G949*200-SUM(J949:K949))),IF(D949="新倉",-SUM(J949:K949),IF(E949="賣",(H949-H948)*G949*50-SUM(J949:K949),(H948-H949)*G949*50-SUM(J949:K949)))))</f>
        <v/>
      </c>
      <c r="M949" s="699">
        <f>L949</f>
        <v/>
      </c>
      <c r="N949" s="686">
        <f>IF(B949="TXO","",IF(D949="新倉","",IF(E949="賣",(H949-H948)*G949,(H948-H949)*G949)))</f>
        <v/>
      </c>
      <c r="O949" s="226">
        <f>ABS(I949)</f>
        <v/>
      </c>
      <c r="P949" s="667" t="n"/>
      <c r="S949" s="739" t="n"/>
      <c r="T949" s="61">
        <f>IF(AND(R949="Yes",S949&lt;&gt;"Yes",L949&gt;0,B949&lt;&gt;"TXO"),L949,"")</f>
        <v/>
      </c>
      <c r="U949" s="61">
        <f>IF(AND(R949="Yes",S949&lt;&gt;"Yes",L949&lt;0,B949&lt;&gt;"TXO"),L949,"")</f>
        <v/>
      </c>
      <c r="V949" s="61">
        <f>IF(AND(R949="",S949&lt;&gt;"Yes",L949&gt;0,B949&lt;&gt;"TXO"),L949,"")</f>
        <v/>
      </c>
      <c r="W949" s="61">
        <f>IF(AND(R949="",S949&lt;&gt;"Yes",L949&lt;0,B949&lt;&gt;"TXO"),L949,"")</f>
        <v/>
      </c>
      <c r="X949" s="226">
        <f>IF(AND(R949="Yes",S949="Yes",L949&gt;0,B949&lt;&gt;"TXO"),L949,"")</f>
        <v/>
      </c>
      <c r="Y949" s="226">
        <f>IF(AND(R949="Yes",S949="Yes",L949&lt;0,B949&lt;&gt;"TXO"),L949,"")</f>
        <v/>
      </c>
      <c r="Z949" s="226">
        <f>IF(AND(R949="",S949="Yes",L949&gt;0,B949&lt;&gt;"TXO"),L949,"")</f>
        <v/>
      </c>
      <c r="AA949" s="226">
        <f>IF(AND(R949="",S949="Yes",L949&lt;0,B949&lt;&gt;"TXO"),L949,"")</f>
        <v/>
      </c>
    </row>
    <row r="950" hidden="1" outlineLevel="2" ht="17.25" customHeight="1" thickBot="1">
      <c r="A950" s="696" t="n">
        <v>43378</v>
      </c>
      <c r="B950" s="234" t="inlineStr">
        <is>
          <t>TXO</t>
        </is>
      </c>
      <c r="C950" s="229" t="inlineStr">
        <is>
          <t>台指選W2 10 10400 P</t>
        </is>
      </c>
      <c r="D950" s="229" t="inlineStr">
        <is>
          <t>平倉</t>
        </is>
      </c>
      <c r="E950" s="257" t="inlineStr">
        <is>
          <t>賣</t>
        </is>
      </c>
      <c r="F950" s="229" t="inlineStr">
        <is>
          <t>-</t>
        </is>
      </c>
      <c r="G950" s="697" t="n">
        <v>1</v>
      </c>
      <c r="H950" s="697" t="n">
        <v>22.5</v>
      </c>
      <c r="I950" s="697" t="n">
        <v>1125</v>
      </c>
      <c r="J950" s="585" t="n">
        <v>18</v>
      </c>
      <c r="K950" s="585" t="n">
        <v>1</v>
      </c>
      <c r="L950" s="585">
        <f>IF(B950="TXO",I950-SUM(J950:K950),IF(B950="FITX",IF(D950="新倉",-SUM(J950:K950),IF(E950="賣",(H950-H949)*G950*200-SUM(J950:K950),(H949-H950)*G950*200-SUM(J950:K950))),IF(D950="新倉",-SUM(J950:K950),IF(E950="賣",(H950-H949)*G950*50-SUM(J950:K950),(H949-H950)*G950*50-SUM(J950:K950)))))</f>
        <v/>
      </c>
      <c r="M950" s="699">
        <f>L950</f>
        <v/>
      </c>
      <c r="N950" s="686">
        <f>IF(B950="TXO","",IF(D950="新倉","",IF(E950="賣",(H950-H949)*G950,(H949-H950)*G950)))</f>
        <v/>
      </c>
      <c r="O950" s="226">
        <f>ABS(I950)</f>
        <v/>
      </c>
      <c r="P950" s="667" t="n"/>
      <c r="S950" s="739" t="n"/>
      <c r="T950" s="61">
        <f>IF(AND(R950="Yes",S950&lt;&gt;"Yes",L950&gt;0,B950&lt;&gt;"TXO"),L950,"")</f>
        <v/>
      </c>
      <c r="U950" s="61">
        <f>IF(AND(R950="Yes",S950&lt;&gt;"Yes",L950&lt;0,B950&lt;&gt;"TXO"),L950,"")</f>
        <v/>
      </c>
      <c r="V950" s="61">
        <f>IF(AND(R950="",S950&lt;&gt;"Yes",L950&gt;0,B950&lt;&gt;"TXO"),L950,"")</f>
        <v/>
      </c>
      <c r="W950" s="61">
        <f>IF(AND(R950="",S950&lt;&gt;"Yes",L950&lt;0,B950&lt;&gt;"TXO"),L950,"")</f>
        <v/>
      </c>
      <c r="X950" s="226">
        <f>IF(AND(R950="Yes",S950="Yes",L950&gt;0,B950&lt;&gt;"TXO"),L950,"")</f>
        <v/>
      </c>
      <c r="Y950" s="226">
        <f>IF(AND(R950="Yes",S950="Yes",L950&lt;0,B950&lt;&gt;"TXO"),L950,"")</f>
        <v/>
      </c>
      <c r="Z950" s="226">
        <f>IF(AND(R950="",S950="Yes",L950&gt;0,B950&lt;&gt;"TXO"),L950,"")</f>
        <v/>
      </c>
      <c r="AA950" s="226">
        <f>IF(AND(R950="",S950="Yes",L950&lt;0,B950&lt;&gt;"TXO"),L950,"")</f>
        <v/>
      </c>
    </row>
    <row r="951" hidden="1" outlineLevel="2" ht="17.25" customHeight="1" thickBot="1">
      <c r="A951" s="696" t="n">
        <v>43378</v>
      </c>
      <c r="B951" s="234" t="inlineStr">
        <is>
          <t>TXO</t>
        </is>
      </c>
      <c r="C951" s="229" t="inlineStr">
        <is>
          <t>台指選W2 10 10400 P</t>
        </is>
      </c>
      <c r="D951" s="229" t="inlineStr">
        <is>
          <t>平倉</t>
        </is>
      </c>
      <c r="E951" s="257" t="inlineStr">
        <is>
          <t>賣</t>
        </is>
      </c>
      <c r="F951" s="229" t="inlineStr">
        <is>
          <t>-</t>
        </is>
      </c>
      <c r="G951" s="697" t="n">
        <v>1</v>
      </c>
      <c r="H951" s="697" t="n">
        <v>22.5</v>
      </c>
      <c r="I951" s="697" t="n">
        <v>1125</v>
      </c>
      <c r="J951" s="585" t="n">
        <v>18</v>
      </c>
      <c r="K951" s="585" t="n">
        <v>1</v>
      </c>
      <c r="L951" s="585">
        <f>IF(B951="TXO",I951-SUM(J951:K951),IF(B951="FITX",IF(D951="新倉",-SUM(J951:K951),IF(E951="賣",(H951-H950)*G951*200-SUM(J951:K951),(H950-H951)*G951*200-SUM(J951:K951))),IF(D951="新倉",-SUM(J951:K951),IF(E951="賣",(H951-H950)*G951*50-SUM(J951:K951),(H950-H951)*G951*50-SUM(J951:K951)))))</f>
        <v/>
      </c>
      <c r="M951" s="699">
        <f>L951</f>
        <v/>
      </c>
      <c r="N951" s="686">
        <f>IF(B951="TXO","",IF(D951="新倉","",IF(E951="賣",(H951-H950)*G951,(H950-H951)*G951)))</f>
        <v/>
      </c>
      <c r="O951" s="226">
        <f>ABS(I951)</f>
        <v/>
      </c>
      <c r="P951" s="667" t="n"/>
      <c r="S951" s="739" t="n"/>
      <c r="T951" s="61">
        <f>IF(AND(R951="Yes",S951&lt;&gt;"Yes",L951&gt;0,B951&lt;&gt;"TXO"),L951,"")</f>
        <v/>
      </c>
      <c r="U951" s="61">
        <f>IF(AND(R951="Yes",S951&lt;&gt;"Yes",L951&lt;0,B951&lt;&gt;"TXO"),L951,"")</f>
        <v/>
      </c>
      <c r="V951" s="61">
        <f>IF(AND(R951="",S951&lt;&gt;"Yes",L951&gt;0,B951&lt;&gt;"TXO"),L951,"")</f>
        <v/>
      </c>
      <c r="W951" s="61">
        <f>IF(AND(R951="",S951&lt;&gt;"Yes",L951&lt;0,B951&lt;&gt;"TXO"),L951,"")</f>
        <v/>
      </c>
      <c r="X951" s="226">
        <f>IF(AND(R951="Yes",S951="Yes",L951&gt;0,B951&lt;&gt;"TXO"),L951,"")</f>
        <v/>
      </c>
      <c r="Y951" s="226">
        <f>IF(AND(R951="Yes",S951="Yes",L951&lt;0,B951&lt;&gt;"TXO"),L951,"")</f>
        <v/>
      </c>
      <c r="Z951" s="226">
        <f>IF(AND(R951="",S951="Yes",L951&gt;0,B951&lt;&gt;"TXO"),L951,"")</f>
        <v/>
      </c>
      <c r="AA951" s="226">
        <f>IF(AND(R951="",S951="Yes",L951&lt;0,B951&lt;&gt;"TXO"),L951,"")</f>
        <v/>
      </c>
    </row>
    <row r="952" hidden="1" outlineLevel="2" ht="17.25" customHeight="1" thickBot="1">
      <c r="A952" s="696" t="n">
        <v>43378</v>
      </c>
      <c r="B952" s="234" t="inlineStr">
        <is>
          <t>TXO</t>
        </is>
      </c>
      <c r="C952" s="229" t="inlineStr">
        <is>
          <t>台指選W2 10 10600 P</t>
        </is>
      </c>
      <c r="D952" s="229" t="inlineStr">
        <is>
          <t>平倉</t>
        </is>
      </c>
      <c r="E952" s="257" t="inlineStr">
        <is>
          <t>賣</t>
        </is>
      </c>
      <c r="F952" s="229" t="inlineStr">
        <is>
          <t>-</t>
        </is>
      </c>
      <c r="G952" s="697" t="n">
        <v>1</v>
      </c>
      <c r="H952" s="697" t="n">
        <v>82</v>
      </c>
      <c r="I952" s="697" t="n">
        <v>4100</v>
      </c>
      <c r="J952" s="585" t="n">
        <v>18</v>
      </c>
      <c r="K952" s="585" t="n">
        <v>4</v>
      </c>
      <c r="L952" s="585">
        <f>IF(B952="TXO",I952-SUM(J952:K952),IF(B952="FITX",IF(D952="新倉",-SUM(J952:K952),IF(E952="賣",(H952-H951)*G952*200-SUM(J952:K952),(H951-H952)*G952*200-SUM(J952:K952))),IF(D952="新倉",-SUM(J952:K952),IF(E952="賣",(H952-H951)*G952*50-SUM(J952:K952),(H951-H952)*G952*50-SUM(J952:K952)))))</f>
        <v/>
      </c>
      <c r="M952" s="699">
        <f>L952</f>
        <v/>
      </c>
      <c r="N952" s="686">
        <f>IF(B952="TXO","",IF(D952="新倉","",IF(E952="賣",(H952-H951)*G952,(H951-H952)*G952)))</f>
        <v/>
      </c>
      <c r="O952" s="226">
        <f>ABS(I952)</f>
        <v/>
      </c>
      <c r="P952" s="667" t="n"/>
      <c r="S952" s="739" t="n"/>
      <c r="T952" s="61">
        <f>IF(AND(R952="Yes",S952&lt;&gt;"Yes",L952&gt;0,B952&lt;&gt;"TXO"),L952,"")</f>
        <v/>
      </c>
      <c r="U952" s="61">
        <f>IF(AND(R952="Yes",S952&lt;&gt;"Yes",L952&lt;0,B952&lt;&gt;"TXO"),L952,"")</f>
        <v/>
      </c>
      <c r="V952" s="61">
        <f>IF(AND(R952="",S952&lt;&gt;"Yes",L952&gt;0,B952&lt;&gt;"TXO"),L952,"")</f>
        <v/>
      </c>
      <c r="W952" s="61">
        <f>IF(AND(R952="",S952&lt;&gt;"Yes",L952&lt;0,B952&lt;&gt;"TXO"),L952,"")</f>
        <v/>
      </c>
      <c r="X952" s="226">
        <f>IF(AND(R952="Yes",S952="Yes",L952&gt;0,B952&lt;&gt;"TXO"),L952,"")</f>
        <v/>
      </c>
      <c r="Y952" s="226">
        <f>IF(AND(R952="Yes",S952="Yes",L952&lt;0,B952&lt;&gt;"TXO"),L952,"")</f>
        <v/>
      </c>
      <c r="Z952" s="226">
        <f>IF(AND(R952="",S952="Yes",L952&gt;0,B952&lt;&gt;"TXO"),L952,"")</f>
        <v/>
      </c>
      <c r="AA952" s="226">
        <f>IF(AND(R952="",S952="Yes",L952&lt;0,B952&lt;&gt;"TXO"),L952,"")</f>
        <v/>
      </c>
    </row>
    <row r="953" hidden="1" outlineLevel="2" ht="17.25" customHeight="1" thickBot="1">
      <c r="A953" s="696" t="n">
        <v>43378</v>
      </c>
      <c r="B953" s="234" t="inlineStr">
        <is>
          <t>TXO</t>
        </is>
      </c>
      <c r="C953" s="229" t="inlineStr">
        <is>
          <t>台指選W2 10 10300 P</t>
        </is>
      </c>
      <c r="D953" s="229" t="inlineStr">
        <is>
          <t>平倉</t>
        </is>
      </c>
      <c r="E953" s="257" t="inlineStr">
        <is>
          <t>賣</t>
        </is>
      </c>
      <c r="F953" s="229" t="inlineStr">
        <is>
          <t>-</t>
        </is>
      </c>
      <c r="G953" s="697" t="n">
        <v>1</v>
      </c>
      <c r="H953" s="697" t="n">
        <v>11.5</v>
      </c>
      <c r="I953" s="697" t="n">
        <v>575</v>
      </c>
      <c r="J953" s="585" t="n">
        <v>18</v>
      </c>
      <c r="K953" s="585" t="n">
        <v>1</v>
      </c>
      <c r="L953" s="585">
        <f>IF(B953="TXO",I953-SUM(J953:K953),IF(B953="FITX",IF(D953="新倉",-SUM(J953:K953),IF(E953="賣",(H953-H952)*G953*200-SUM(J953:K953),(H952-H953)*G953*200-SUM(J953:K953))),IF(D953="新倉",-SUM(J953:K953),IF(E953="賣",(H953-H952)*G953*50-SUM(J953:K953),(H952-H953)*G953*50-SUM(J953:K953)))))</f>
        <v/>
      </c>
      <c r="M953" s="699">
        <f>L953</f>
        <v/>
      </c>
      <c r="N953" s="686">
        <f>IF(B953="TXO","",IF(D953="新倉","",IF(E953="賣",(H953-H952)*G953,(H952-H953)*G953)))</f>
        <v/>
      </c>
      <c r="O953" s="226">
        <f>ABS(I953)</f>
        <v/>
      </c>
      <c r="P953" s="667" t="n"/>
      <c r="S953" s="739" t="n"/>
      <c r="T953" s="61">
        <f>IF(AND(R953="Yes",S953&lt;&gt;"Yes",L953&gt;0,B953&lt;&gt;"TXO"),L953,"")</f>
        <v/>
      </c>
      <c r="U953" s="61">
        <f>IF(AND(R953="Yes",S953&lt;&gt;"Yes",L953&lt;0,B953&lt;&gt;"TXO"),L953,"")</f>
        <v/>
      </c>
      <c r="V953" s="61">
        <f>IF(AND(R953="",S953&lt;&gt;"Yes",L953&gt;0,B953&lt;&gt;"TXO"),L953,"")</f>
        <v/>
      </c>
      <c r="W953" s="61">
        <f>IF(AND(R953="",S953&lt;&gt;"Yes",L953&lt;0,B953&lt;&gt;"TXO"),L953,"")</f>
        <v/>
      </c>
      <c r="X953" s="226">
        <f>IF(AND(R953="Yes",S953="Yes",L953&gt;0,B953&lt;&gt;"TXO"),L953,"")</f>
        <v/>
      </c>
      <c r="Y953" s="226">
        <f>IF(AND(R953="Yes",S953="Yes",L953&lt;0,B953&lt;&gt;"TXO"),L953,"")</f>
        <v/>
      </c>
      <c r="Z953" s="226">
        <f>IF(AND(R953="",S953="Yes",L953&gt;0,B953&lt;&gt;"TXO"),L953,"")</f>
        <v/>
      </c>
      <c r="AA953" s="226">
        <f>IF(AND(R953="",S953="Yes",L953&lt;0,B953&lt;&gt;"TXO"),L953,"")</f>
        <v/>
      </c>
    </row>
    <row r="954" hidden="1" outlineLevel="2" ht="17.25" customHeight="1" thickBot="1">
      <c r="A954" s="696" t="n">
        <v>43378</v>
      </c>
      <c r="B954" s="234" t="inlineStr">
        <is>
          <t>TXO</t>
        </is>
      </c>
      <c r="C954" s="229" t="inlineStr">
        <is>
          <t>台指選W2 10 10300 P</t>
        </is>
      </c>
      <c r="D954" s="229" t="inlineStr">
        <is>
          <t>平倉</t>
        </is>
      </c>
      <c r="E954" s="257" t="inlineStr">
        <is>
          <t>賣</t>
        </is>
      </c>
      <c r="F954" s="229" t="inlineStr">
        <is>
          <t>-</t>
        </is>
      </c>
      <c r="G954" s="697" t="n">
        <v>1</v>
      </c>
      <c r="H954" s="697" t="n">
        <v>11.5</v>
      </c>
      <c r="I954" s="697" t="n">
        <v>575</v>
      </c>
      <c r="J954" s="585" t="n">
        <v>18</v>
      </c>
      <c r="K954" s="585" t="n">
        <v>1</v>
      </c>
      <c r="L954" s="585">
        <f>IF(B954="TXO",I954-SUM(J954:K954),IF(B954="FITX",IF(D954="新倉",-SUM(J954:K954),IF(E954="賣",(H954-H953)*G954*200-SUM(J954:K954),(H953-H954)*G954*200-SUM(J954:K954))),IF(D954="新倉",-SUM(J954:K954),IF(E954="賣",(H954-H953)*G954*50-SUM(J954:K954),(H953-H954)*G954*50-SUM(J954:K954)))))</f>
        <v/>
      </c>
      <c r="M954" s="699">
        <f>L954</f>
        <v/>
      </c>
      <c r="N954" s="686">
        <f>IF(B954="TXO","",IF(D954="新倉","",IF(E954="賣",(H954-H953)*G954,(H953-H954)*G954)))</f>
        <v/>
      </c>
      <c r="O954" s="226">
        <f>ABS(I954)</f>
        <v/>
      </c>
      <c r="P954" s="667" t="n"/>
      <c r="S954" s="739" t="n"/>
      <c r="T954" s="61">
        <f>IF(AND(R954="Yes",S954&lt;&gt;"Yes",L954&gt;0,B954&lt;&gt;"TXO"),L954,"")</f>
        <v/>
      </c>
      <c r="U954" s="61">
        <f>IF(AND(R954="Yes",S954&lt;&gt;"Yes",L954&lt;0,B954&lt;&gt;"TXO"),L954,"")</f>
        <v/>
      </c>
      <c r="V954" s="61">
        <f>IF(AND(R954="",S954&lt;&gt;"Yes",L954&gt;0,B954&lt;&gt;"TXO"),L954,"")</f>
        <v/>
      </c>
      <c r="W954" s="61">
        <f>IF(AND(R954="",S954&lt;&gt;"Yes",L954&lt;0,B954&lt;&gt;"TXO"),L954,"")</f>
        <v/>
      </c>
      <c r="X954" s="226">
        <f>IF(AND(R954="Yes",S954="Yes",L954&gt;0,B954&lt;&gt;"TXO"),L954,"")</f>
        <v/>
      </c>
      <c r="Y954" s="226">
        <f>IF(AND(R954="Yes",S954="Yes",L954&lt;0,B954&lt;&gt;"TXO"),L954,"")</f>
        <v/>
      </c>
      <c r="Z954" s="226">
        <f>IF(AND(R954="",S954="Yes",L954&gt;0,B954&lt;&gt;"TXO"),L954,"")</f>
        <v/>
      </c>
      <c r="AA954" s="226">
        <f>IF(AND(R954="",S954="Yes",L954&lt;0,B954&lt;&gt;"TXO"),L954,"")</f>
        <v/>
      </c>
    </row>
    <row r="955" hidden="1" outlineLevel="2" ht="17.25" customHeight="1" thickBot="1">
      <c r="A955" s="696" t="n">
        <v>43378</v>
      </c>
      <c r="B955" s="234" t="inlineStr">
        <is>
          <t>TXO</t>
        </is>
      </c>
      <c r="C955" s="229" t="inlineStr">
        <is>
          <t>台指選W2 10 10300 P</t>
        </is>
      </c>
      <c r="D955" s="229" t="inlineStr">
        <is>
          <t>平倉</t>
        </is>
      </c>
      <c r="E955" s="257" t="inlineStr">
        <is>
          <t>賣</t>
        </is>
      </c>
      <c r="F955" s="229" t="inlineStr">
        <is>
          <t>-</t>
        </is>
      </c>
      <c r="G955" s="697" t="n">
        <v>1</v>
      </c>
      <c r="H955" s="697" t="n">
        <v>11.5</v>
      </c>
      <c r="I955" s="697" t="n">
        <v>575</v>
      </c>
      <c r="J955" s="585" t="n">
        <v>18</v>
      </c>
      <c r="K955" s="585" t="n">
        <v>1</v>
      </c>
      <c r="L955" s="585">
        <f>IF(B955="TXO",I955-SUM(J955:K955),IF(B955="FITX",IF(D955="新倉",-SUM(J955:K955),IF(E955="賣",(H955-H954)*G955*200-SUM(J955:K955),(H954-H955)*G955*200-SUM(J955:K955))),IF(D955="新倉",-SUM(J955:K955),IF(E955="賣",(H955-H954)*G955*50-SUM(J955:K955),(H954-H955)*G955*50-SUM(J955:K955)))))</f>
        <v/>
      </c>
      <c r="M955" s="699">
        <f>L955</f>
        <v/>
      </c>
      <c r="N955" s="686">
        <f>IF(B955="TXO","",IF(D955="新倉","",IF(E955="賣",(H955-H954)*G955,(H954-H955)*G955)))</f>
        <v/>
      </c>
      <c r="O955" s="226">
        <f>ABS(I955)</f>
        <v/>
      </c>
      <c r="P955" s="667" t="n"/>
      <c r="S955" s="739" t="n"/>
      <c r="T955" s="61">
        <f>IF(AND(R955="Yes",S955&lt;&gt;"Yes",L955&gt;0,B955&lt;&gt;"TXO"),L955,"")</f>
        <v/>
      </c>
      <c r="U955" s="61">
        <f>IF(AND(R955="Yes",S955&lt;&gt;"Yes",L955&lt;0,B955&lt;&gt;"TXO"),L955,"")</f>
        <v/>
      </c>
      <c r="V955" s="61">
        <f>IF(AND(R955="",S955&lt;&gt;"Yes",L955&gt;0,B955&lt;&gt;"TXO"),L955,"")</f>
        <v/>
      </c>
      <c r="W955" s="61">
        <f>IF(AND(R955="",S955&lt;&gt;"Yes",L955&lt;0,B955&lt;&gt;"TXO"),L955,"")</f>
        <v/>
      </c>
      <c r="X955" s="226">
        <f>IF(AND(R955="Yes",S955="Yes",L955&gt;0,B955&lt;&gt;"TXO"),L955,"")</f>
        <v/>
      </c>
      <c r="Y955" s="226">
        <f>IF(AND(R955="Yes",S955="Yes",L955&lt;0,B955&lt;&gt;"TXO"),L955,"")</f>
        <v/>
      </c>
      <c r="Z955" s="226">
        <f>IF(AND(R955="",S955="Yes",L955&gt;0,B955&lt;&gt;"TXO"),L955,"")</f>
        <v/>
      </c>
      <c r="AA955" s="226">
        <f>IF(AND(R955="",S955="Yes",L955&lt;0,B955&lt;&gt;"TXO"),L955,"")</f>
        <v/>
      </c>
    </row>
    <row r="956" hidden="1" outlineLevel="2" ht="17.25" customHeight="1" thickBot="1">
      <c r="A956" s="696" t="n">
        <v>43378</v>
      </c>
      <c r="B956" s="234" t="inlineStr">
        <is>
          <t>TXO</t>
        </is>
      </c>
      <c r="C956" s="229" t="inlineStr">
        <is>
          <t>台指選W2 10 10300 P</t>
        </is>
      </c>
      <c r="D956" s="229" t="inlineStr">
        <is>
          <t>平倉</t>
        </is>
      </c>
      <c r="E956" s="257" t="inlineStr">
        <is>
          <t>賣</t>
        </is>
      </c>
      <c r="F956" s="229" t="inlineStr">
        <is>
          <t>-</t>
        </is>
      </c>
      <c r="G956" s="697" t="n">
        <v>1</v>
      </c>
      <c r="H956" s="697" t="n">
        <v>11.5</v>
      </c>
      <c r="I956" s="697" t="n">
        <v>575</v>
      </c>
      <c r="J956" s="585" t="n">
        <v>18</v>
      </c>
      <c r="K956" s="585" t="n">
        <v>1</v>
      </c>
      <c r="L956" s="585">
        <f>IF(B956="TXO",I956-SUM(J956:K956),IF(B956="FITX",IF(D956="新倉",-SUM(J956:K956),IF(E956="賣",(H956-H955)*G956*200-SUM(J956:K956),(H955-H956)*G956*200-SUM(J956:K956))),IF(D956="新倉",-SUM(J956:K956),IF(E956="賣",(H956-H955)*G956*50-SUM(J956:K956),(H955-H956)*G956*50-SUM(J956:K956)))))</f>
        <v/>
      </c>
      <c r="M956" s="699">
        <f>L956</f>
        <v/>
      </c>
      <c r="N956" s="686">
        <f>IF(B956="TXO","",IF(D956="新倉","",IF(E956="賣",(H956-H955)*G956,(H955-H956)*G956)))</f>
        <v/>
      </c>
      <c r="O956" s="226">
        <f>ABS(I956)</f>
        <v/>
      </c>
      <c r="P956" s="667" t="n"/>
      <c r="S956" s="739" t="n"/>
      <c r="T956" s="61">
        <f>IF(AND(R956="Yes",S956&lt;&gt;"Yes",L956&gt;0,B956&lt;&gt;"TXO"),L956,"")</f>
        <v/>
      </c>
      <c r="U956" s="61">
        <f>IF(AND(R956="Yes",S956&lt;&gt;"Yes",L956&lt;0,B956&lt;&gt;"TXO"),L956,"")</f>
        <v/>
      </c>
      <c r="V956" s="61">
        <f>IF(AND(R956="",S956&lt;&gt;"Yes",L956&gt;0,B956&lt;&gt;"TXO"),L956,"")</f>
        <v/>
      </c>
      <c r="W956" s="61">
        <f>IF(AND(R956="",S956&lt;&gt;"Yes",L956&lt;0,B956&lt;&gt;"TXO"),L956,"")</f>
        <v/>
      </c>
      <c r="X956" s="226">
        <f>IF(AND(R956="Yes",S956="Yes",L956&gt;0,B956&lt;&gt;"TXO"),L956,"")</f>
        <v/>
      </c>
      <c r="Y956" s="226">
        <f>IF(AND(R956="Yes",S956="Yes",L956&lt;0,B956&lt;&gt;"TXO"),L956,"")</f>
        <v/>
      </c>
      <c r="Z956" s="226">
        <f>IF(AND(R956="",S956="Yes",L956&gt;0,B956&lt;&gt;"TXO"),L956,"")</f>
        <v/>
      </c>
      <c r="AA956" s="226">
        <f>IF(AND(R956="",S956="Yes",L956&lt;0,B956&lt;&gt;"TXO"),L956,"")</f>
        <v/>
      </c>
    </row>
    <row r="957" hidden="1" outlineLevel="2" ht="17.25" customHeight="1" thickBot="1">
      <c r="A957" s="696" t="n">
        <v>43378</v>
      </c>
      <c r="B957" s="234" t="inlineStr">
        <is>
          <t>TXO</t>
        </is>
      </c>
      <c r="C957" s="229" t="inlineStr">
        <is>
          <t>台指選W2 10 10300 P</t>
        </is>
      </c>
      <c r="D957" s="229" t="inlineStr">
        <is>
          <t>平倉</t>
        </is>
      </c>
      <c r="E957" s="257" t="inlineStr">
        <is>
          <t>賣</t>
        </is>
      </c>
      <c r="F957" s="229" t="inlineStr">
        <is>
          <t>-</t>
        </is>
      </c>
      <c r="G957" s="697" t="n">
        <v>1</v>
      </c>
      <c r="H957" s="697" t="n">
        <v>11.5</v>
      </c>
      <c r="I957" s="697" t="n">
        <v>575</v>
      </c>
      <c r="J957" s="585" t="n">
        <v>18</v>
      </c>
      <c r="K957" s="585" t="n">
        <v>1</v>
      </c>
      <c r="L957" s="585">
        <f>IF(B957="TXO",I957-SUM(J957:K957),IF(B957="FITX",IF(D957="新倉",-SUM(J957:K957),IF(E957="賣",(H957-H956)*G957*200-SUM(J957:K957),(H956-H957)*G957*200-SUM(J957:K957))),IF(D957="新倉",-SUM(J957:K957),IF(E957="賣",(H957-H956)*G957*50-SUM(J957:K957),(H956-H957)*G957*50-SUM(J957:K957)))))</f>
        <v/>
      </c>
      <c r="M957" s="699">
        <f>L957</f>
        <v/>
      </c>
      <c r="N957" s="686">
        <f>IF(B957="TXO","",IF(D957="新倉","",IF(E957="賣",(H957-H956)*G957,(H956-H957)*G957)))</f>
        <v/>
      </c>
      <c r="O957" s="226">
        <f>ABS(I957)</f>
        <v/>
      </c>
      <c r="P957" s="667" t="n"/>
      <c r="S957" s="739" t="n"/>
      <c r="T957" s="61">
        <f>IF(AND(R957="Yes",S957&lt;&gt;"Yes",L957&gt;0,B957&lt;&gt;"TXO"),L957,"")</f>
        <v/>
      </c>
      <c r="U957" s="61">
        <f>IF(AND(R957="Yes",S957&lt;&gt;"Yes",L957&lt;0,B957&lt;&gt;"TXO"),L957,"")</f>
        <v/>
      </c>
      <c r="V957" s="61">
        <f>IF(AND(R957="",S957&lt;&gt;"Yes",L957&gt;0,B957&lt;&gt;"TXO"),L957,"")</f>
        <v/>
      </c>
      <c r="W957" s="61">
        <f>IF(AND(R957="",S957&lt;&gt;"Yes",L957&lt;0,B957&lt;&gt;"TXO"),L957,"")</f>
        <v/>
      </c>
      <c r="X957" s="226">
        <f>IF(AND(R957="Yes",S957="Yes",L957&gt;0,B957&lt;&gt;"TXO"),L957,"")</f>
        <v/>
      </c>
      <c r="Y957" s="226">
        <f>IF(AND(R957="Yes",S957="Yes",L957&lt;0,B957&lt;&gt;"TXO"),L957,"")</f>
        <v/>
      </c>
      <c r="Z957" s="226">
        <f>IF(AND(R957="",S957="Yes",L957&gt;0,B957&lt;&gt;"TXO"),L957,"")</f>
        <v/>
      </c>
      <c r="AA957" s="226">
        <f>IF(AND(R957="",S957="Yes",L957&lt;0,B957&lt;&gt;"TXO"),L957,"")</f>
        <v/>
      </c>
    </row>
    <row r="958" hidden="1" outlineLevel="2" ht="17.25" customHeight="1" thickBot="1">
      <c r="A958" s="696" t="n">
        <v>43378</v>
      </c>
      <c r="B958" s="234" t="inlineStr">
        <is>
          <t>TXO</t>
        </is>
      </c>
      <c r="C958" s="229" t="inlineStr">
        <is>
          <t>台指選W2 10 10300 P</t>
        </is>
      </c>
      <c r="D958" s="229" t="inlineStr">
        <is>
          <t>平倉</t>
        </is>
      </c>
      <c r="E958" s="257" t="inlineStr">
        <is>
          <t>賣</t>
        </is>
      </c>
      <c r="F958" s="229" t="inlineStr">
        <is>
          <t>-</t>
        </is>
      </c>
      <c r="G958" s="697" t="n">
        <v>1</v>
      </c>
      <c r="H958" s="697" t="n">
        <v>11.5</v>
      </c>
      <c r="I958" s="697" t="n">
        <v>575</v>
      </c>
      <c r="J958" s="585" t="n">
        <v>18</v>
      </c>
      <c r="K958" s="585" t="n">
        <v>1</v>
      </c>
      <c r="L958" s="585">
        <f>IF(B958="TXO",I958-SUM(J958:K958),IF(B958="FITX",IF(D958="新倉",-SUM(J958:K958),IF(E958="賣",(H958-H957)*G958*200-SUM(J958:K958),(H957-H958)*G958*200-SUM(J958:K958))),IF(D958="新倉",-SUM(J958:K958),IF(E958="賣",(H958-H957)*G958*50-SUM(J958:K958),(H957-H958)*G958*50-SUM(J958:K958)))))</f>
        <v/>
      </c>
      <c r="M958" s="699">
        <f>L958</f>
        <v/>
      </c>
      <c r="N958" s="686">
        <f>IF(B958="TXO","",IF(D958="新倉","",IF(E958="賣",(H958-H957)*G958,(H957-H958)*G958)))</f>
        <v/>
      </c>
      <c r="O958" s="226">
        <f>ABS(I958)</f>
        <v/>
      </c>
      <c r="P958" s="667" t="n"/>
      <c r="S958" s="739" t="n"/>
      <c r="T958" s="61">
        <f>IF(AND(R958="Yes",S958&lt;&gt;"Yes",L958&gt;0,B958&lt;&gt;"TXO"),L958,"")</f>
        <v/>
      </c>
      <c r="U958" s="61">
        <f>IF(AND(R958="Yes",S958&lt;&gt;"Yes",L958&lt;0,B958&lt;&gt;"TXO"),L958,"")</f>
        <v/>
      </c>
      <c r="V958" s="61">
        <f>IF(AND(R958="",S958&lt;&gt;"Yes",L958&gt;0,B958&lt;&gt;"TXO"),L958,"")</f>
        <v/>
      </c>
      <c r="W958" s="61">
        <f>IF(AND(R958="",S958&lt;&gt;"Yes",L958&lt;0,B958&lt;&gt;"TXO"),L958,"")</f>
        <v/>
      </c>
      <c r="X958" s="226">
        <f>IF(AND(R958="Yes",S958="Yes",L958&gt;0,B958&lt;&gt;"TXO"),L958,"")</f>
        <v/>
      </c>
      <c r="Y958" s="226">
        <f>IF(AND(R958="Yes",S958="Yes",L958&lt;0,B958&lt;&gt;"TXO"),L958,"")</f>
        <v/>
      </c>
      <c r="Z958" s="226">
        <f>IF(AND(R958="",S958="Yes",L958&gt;0,B958&lt;&gt;"TXO"),L958,"")</f>
        <v/>
      </c>
      <c r="AA958" s="226">
        <f>IF(AND(R958="",S958="Yes",L958&lt;0,B958&lt;&gt;"TXO"),L958,"")</f>
        <v/>
      </c>
    </row>
    <row r="959" hidden="1" outlineLevel="2" ht="17.25" customHeight="1" thickBot="1">
      <c r="A959" s="696" t="n">
        <v>43378</v>
      </c>
      <c r="B959" s="234" t="inlineStr">
        <is>
          <t>TXO</t>
        </is>
      </c>
      <c r="C959" s="229" t="inlineStr">
        <is>
          <t>台指選W2 10 10300 P</t>
        </is>
      </c>
      <c r="D959" s="229" t="inlineStr">
        <is>
          <t>平倉</t>
        </is>
      </c>
      <c r="E959" s="257" t="inlineStr">
        <is>
          <t>賣</t>
        </is>
      </c>
      <c r="F959" s="229" t="inlineStr">
        <is>
          <t>-</t>
        </is>
      </c>
      <c r="G959" s="697" t="n">
        <v>1</v>
      </c>
      <c r="H959" s="697" t="n">
        <v>11.5</v>
      </c>
      <c r="I959" s="697" t="n">
        <v>575</v>
      </c>
      <c r="J959" s="585" t="n">
        <v>18</v>
      </c>
      <c r="K959" s="585" t="n">
        <v>1</v>
      </c>
      <c r="L959" s="585">
        <f>IF(B959="TXO",I959-SUM(J959:K959),IF(B959="FITX",IF(D959="新倉",-SUM(J959:K959),IF(E959="賣",(H959-H958)*G959*200-SUM(J959:K959),(H958-H959)*G959*200-SUM(J959:K959))),IF(D959="新倉",-SUM(J959:K959),IF(E959="賣",(H959-H958)*G959*50-SUM(J959:K959),(H958-H959)*G959*50-SUM(J959:K959)))))</f>
        <v/>
      </c>
      <c r="M959" s="699">
        <f>L959</f>
        <v/>
      </c>
      <c r="N959" s="686">
        <f>IF(B959="TXO","",IF(D959="新倉","",IF(E959="賣",(H959-H958)*G959,(H958-H959)*G959)))</f>
        <v/>
      </c>
      <c r="O959" s="226">
        <f>ABS(I959)</f>
        <v/>
      </c>
      <c r="P959" s="667" t="n"/>
      <c r="S959" s="739" t="n"/>
      <c r="T959" s="61">
        <f>IF(AND(R959="Yes",S959&lt;&gt;"Yes",L959&gt;0,B959&lt;&gt;"TXO"),L959,"")</f>
        <v/>
      </c>
      <c r="U959" s="61">
        <f>IF(AND(R959="Yes",S959&lt;&gt;"Yes",L959&lt;0,B959&lt;&gt;"TXO"),L959,"")</f>
        <v/>
      </c>
      <c r="V959" s="61">
        <f>IF(AND(R959="",S959&lt;&gt;"Yes",L959&gt;0,B959&lt;&gt;"TXO"),L959,"")</f>
        <v/>
      </c>
      <c r="W959" s="61">
        <f>IF(AND(R959="",S959&lt;&gt;"Yes",L959&lt;0,B959&lt;&gt;"TXO"),L959,"")</f>
        <v/>
      </c>
      <c r="X959" s="226">
        <f>IF(AND(R959="Yes",S959="Yes",L959&gt;0,B959&lt;&gt;"TXO"),L959,"")</f>
        <v/>
      </c>
      <c r="Y959" s="226">
        <f>IF(AND(R959="Yes",S959="Yes",L959&lt;0,B959&lt;&gt;"TXO"),L959,"")</f>
        <v/>
      </c>
      <c r="Z959" s="226">
        <f>IF(AND(R959="",S959="Yes",L959&gt;0,B959&lt;&gt;"TXO"),L959,"")</f>
        <v/>
      </c>
      <c r="AA959" s="226">
        <f>IF(AND(R959="",S959="Yes",L959&lt;0,B959&lt;&gt;"TXO"),L959,"")</f>
        <v/>
      </c>
    </row>
    <row r="960" hidden="1" outlineLevel="2" ht="17.25" customHeight="1" thickBot="1">
      <c r="A960" s="696" t="n">
        <v>43378</v>
      </c>
      <c r="B960" s="234" t="inlineStr">
        <is>
          <t>TXO</t>
        </is>
      </c>
      <c r="C960" s="229" t="inlineStr">
        <is>
          <t>台指選W2 10 10300 P</t>
        </is>
      </c>
      <c r="D960" s="229" t="inlineStr">
        <is>
          <t>平倉</t>
        </is>
      </c>
      <c r="E960" s="257" t="inlineStr">
        <is>
          <t>賣</t>
        </is>
      </c>
      <c r="F960" s="229" t="inlineStr">
        <is>
          <t>-</t>
        </is>
      </c>
      <c r="G960" s="697" t="n">
        <v>1</v>
      </c>
      <c r="H960" s="697" t="n">
        <v>11.5</v>
      </c>
      <c r="I960" s="697" t="n">
        <v>575</v>
      </c>
      <c r="J960" s="585" t="n">
        <v>18</v>
      </c>
      <c r="K960" s="585" t="n">
        <v>1</v>
      </c>
      <c r="L960" s="585">
        <f>IF(B960="TXO",I960-SUM(J960:K960),IF(B960="FITX",IF(D960="新倉",-SUM(J960:K960),IF(E960="賣",(H960-H959)*G960*200-SUM(J960:K960),(H959-H960)*G960*200-SUM(J960:K960))),IF(D960="新倉",-SUM(J960:K960),IF(E960="賣",(H960-H959)*G960*50-SUM(J960:K960),(H959-H960)*G960*50-SUM(J960:K960)))))</f>
        <v/>
      </c>
      <c r="M960" s="699">
        <f>L960</f>
        <v/>
      </c>
      <c r="N960" s="686">
        <f>IF(B960="TXO","",IF(D960="新倉","",IF(E960="賣",(H960-H959)*G960,(H959-H960)*G960)))</f>
        <v/>
      </c>
      <c r="O960" s="226">
        <f>ABS(I960)</f>
        <v/>
      </c>
      <c r="P960" s="667" t="n"/>
      <c r="S960" s="739" t="n"/>
      <c r="T960" s="61">
        <f>IF(AND(R960="Yes",S960&lt;&gt;"Yes",L960&gt;0,B960&lt;&gt;"TXO"),L960,"")</f>
        <v/>
      </c>
      <c r="U960" s="61">
        <f>IF(AND(R960="Yes",S960&lt;&gt;"Yes",L960&lt;0,B960&lt;&gt;"TXO"),L960,"")</f>
        <v/>
      </c>
      <c r="V960" s="61">
        <f>IF(AND(R960="",S960&lt;&gt;"Yes",L960&gt;0,B960&lt;&gt;"TXO"),L960,"")</f>
        <v/>
      </c>
      <c r="W960" s="61">
        <f>IF(AND(R960="",S960&lt;&gt;"Yes",L960&lt;0,B960&lt;&gt;"TXO"),L960,"")</f>
        <v/>
      </c>
      <c r="X960" s="226">
        <f>IF(AND(R960="Yes",S960="Yes",L960&gt;0,B960&lt;&gt;"TXO"),L960,"")</f>
        <v/>
      </c>
      <c r="Y960" s="226">
        <f>IF(AND(R960="Yes",S960="Yes",L960&lt;0,B960&lt;&gt;"TXO"),L960,"")</f>
        <v/>
      </c>
      <c r="Z960" s="226">
        <f>IF(AND(R960="",S960="Yes",L960&gt;0,B960&lt;&gt;"TXO"),L960,"")</f>
        <v/>
      </c>
      <c r="AA960" s="226">
        <f>IF(AND(R960="",S960="Yes",L960&lt;0,B960&lt;&gt;"TXO"),L960,"")</f>
        <v/>
      </c>
    </row>
    <row r="961" hidden="1" outlineLevel="2" ht="17.25" customHeight="1" thickBot="1">
      <c r="A961" s="696" t="n">
        <v>43378</v>
      </c>
      <c r="B961" s="234" t="inlineStr">
        <is>
          <t>TXO</t>
        </is>
      </c>
      <c r="C961" s="229" t="inlineStr">
        <is>
          <t>台指選W2 10 10300 P</t>
        </is>
      </c>
      <c r="D961" s="229" t="inlineStr">
        <is>
          <t>平倉</t>
        </is>
      </c>
      <c r="E961" s="257" t="inlineStr">
        <is>
          <t>賣</t>
        </is>
      </c>
      <c r="F961" s="229" t="inlineStr">
        <is>
          <t>-</t>
        </is>
      </c>
      <c r="G961" s="697" t="n">
        <v>1</v>
      </c>
      <c r="H961" s="697" t="n">
        <v>11.5</v>
      </c>
      <c r="I961" s="697" t="n">
        <v>575</v>
      </c>
      <c r="J961" s="585" t="n">
        <v>18</v>
      </c>
      <c r="K961" s="585" t="n">
        <v>1</v>
      </c>
      <c r="L961" s="585">
        <f>IF(B961="TXO",I961-SUM(J961:K961),IF(B961="FITX",IF(D961="新倉",-SUM(J961:K961),IF(E961="賣",(H961-H960)*G961*200-SUM(J961:K961),(H960-H961)*G961*200-SUM(J961:K961))),IF(D961="新倉",-SUM(J961:K961),IF(E961="賣",(H961-H960)*G961*50-SUM(J961:K961),(H960-H961)*G961*50-SUM(J961:K961)))))</f>
        <v/>
      </c>
      <c r="M961" s="699">
        <f>L961</f>
        <v/>
      </c>
      <c r="N961" s="686">
        <f>IF(B961="TXO","",IF(D961="新倉","",IF(E961="賣",(H961-H960)*G961,(H960-H961)*G961)))</f>
        <v/>
      </c>
      <c r="O961" s="226">
        <f>ABS(I961)</f>
        <v/>
      </c>
      <c r="P961" s="667" t="n"/>
      <c r="S961" s="739" t="n"/>
      <c r="T961" s="61">
        <f>IF(AND(R961="Yes",S961&lt;&gt;"Yes",L961&gt;0,B961&lt;&gt;"TXO"),L961,"")</f>
        <v/>
      </c>
      <c r="U961" s="61">
        <f>IF(AND(R961="Yes",S961&lt;&gt;"Yes",L961&lt;0,B961&lt;&gt;"TXO"),L961,"")</f>
        <v/>
      </c>
      <c r="V961" s="61">
        <f>IF(AND(R961="",S961&lt;&gt;"Yes",L961&gt;0,B961&lt;&gt;"TXO"),L961,"")</f>
        <v/>
      </c>
      <c r="W961" s="61">
        <f>IF(AND(R961="",S961&lt;&gt;"Yes",L961&lt;0,B961&lt;&gt;"TXO"),L961,"")</f>
        <v/>
      </c>
      <c r="X961" s="226">
        <f>IF(AND(R961="Yes",S961="Yes",L961&gt;0,B961&lt;&gt;"TXO"),L961,"")</f>
        <v/>
      </c>
      <c r="Y961" s="226">
        <f>IF(AND(R961="Yes",S961="Yes",L961&lt;0,B961&lt;&gt;"TXO"),L961,"")</f>
        <v/>
      </c>
      <c r="Z961" s="226">
        <f>IF(AND(R961="",S961="Yes",L961&gt;0,B961&lt;&gt;"TXO"),L961,"")</f>
        <v/>
      </c>
      <c r="AA961" s="226">
        <f>IF(AND(R961="",S961="Yes",L961&lt;0,B961&lt;&gt;"TXO"),L961,"")</f>
        <v/>
      </c>
    </row>
    <row r="962" hidden="1" outlineLevel="2" ht="17.25" customHeight="1" thickBot="1">
      <c r="A962" s="696" t="n">
        <v>43378</v>
      </c>
      <c r="B962" s="234" t="inlineStr">
        <is>
          <t>TXO</t>
        </is>
      </c>
      <c r="C962" s="229" t="inlineStr">
        <is>
          <t>台指選W2 10 10300 P</t>
        </is>
      </c>
      <c r="D962" s="229" t="inlineStr">
        <is>
          <t>平倉</t>
        </is>
      </c>
      <c r="E962" s="257" t="inlineStr">
        <is>
          <t>賣</t>
        </is>
      </c>
      <c r="F962" s="229" t="inlineStr">
        <is>
          <t>-</t>
        </is>
      </c>
      <c r="G962" s="697" t="n">
        <v>1</v>
      </c>
      <c r="H962" s="697" t="n">
        <v>11.5</v>
      </c>
      <c r="I962" s="697" t="n">
        <v>575</v>
      </c>
      <c r="J962" s="585" t="n">
        <v>18</v>
      </c>
      <c r="K962" s="585" t="n">
        <v>1</v>
      </c>
      <c r="L962" s="585">
        <f>IF(B962="TXO",I962-SUM(J962:K962),IF(B962="FITX",IF(D962="新倉",-SUM(J962:K962),IF(E962="賣",(H962-H961)*G962*200-SUM(J962:K962),(H961-H962)*G962*200-SUM(J962:K962))),IF(D962="新倉",-SUM(J962:K962),IF(E962="賣",(H962-H961)*G962*50-SUM(J962:K962),(H961-H962)*G962*50-SUM(J962:K962)))))</f>
        <v/>
      </c>
      <c r="M962" s="699">
        <f>L962</f>
        <v/>
      </c>
      <c r="N962" s="686">
        <f>IF(B962="TXO","",IF(D962="新倉","",IF(E962="賣",(H962-H961)*G962,(H961-H962)*G962)))</f>
        <v/>
      </c>
      <c r="O962" s="226">
        <f>ABS(I962)</f>
        <v/>
      </c>
      <c r="P962" s="667" t="n"/>
      <c r="S962" s="739" t="n"/>
      <c r="T962" s="61">
        <f>IF(AND(R962="Yes",S962&lt;&gt;"Yes",L962&gt;0,B962&lt;&gt;"TXO"),L962,"")</f>
        <v/>
      </c>
      <c r="U962" s="61">
        <f>IF(AND(R962="Yes",S962&lt;&gt;"Yes",L962&lt;0,B962&lt;&gt;"TXO"),L962,"")</f>
        <v/>
      </c>
      <c r="V962" s="61">
        <f>IF(AND(R962="",S962&lt;&gt;"Yes",L962&gt;0,B962&lt;&gt;"TXO"),L962,"")</f>
        <v/>
      </c>
      <c r="W962" s="61">
        <f>IF(AND(R962="",S962&lt;&gt;"Yes",L962&lt;0,B962&lt;&gt;"TXO"),L962,"")</f>
        <v/>
      </c>
      <c r="X962" s="226">
        <f>IF(AND(R962="Yes",S962="Yes",L962&gt;0,B962&lt;&gt;"TXO"),L962,"")</f>
        <v/>
      </c>
      <c r="Y962" s="226">
        <f>IF(AND(R962="Yes",S962="Yes",L962&lt;0,B962&lt;&gt;"TXO"),L962,"")</f>
        <v/>
      </c>
      <c r="Z962" s="226">
        <f>IF(AND(R962="",S962="Yes",L962&gt;0,B962&lt;&gt;"TXO"),L962,"")</f>
        <v/>
      </c>
      <c r="AA962" s="226">
        <f>IF(AND(R962="",S962="Yes",L962&lt;0,B962&lt;&gt;"TXO"),L962,"")</f>
        <v/>
      </c>
    </row>
    <row r="963" hidden="1" outlineLevel="2" ht="17.25" customHeight="1" thickBot="1">
      <c r="A963" s="696" t="n">
        <v>43378</v>
      </c>
      <c r="B963" s="234" t="inlineStr">
        <is>
          <t>TXO</t>
        </is>
      </c>
      <c r="C963" s="229" t="inlineStr">
        <is>
          <t>台指選W2 10 10300 P</t>
        </is>
      </c>
      <c r="D963" s="229" t="inlineStr">
        <is>
          <t>平倉</t>
        </is>
      </c>
      <c r="E963" s="257" t="inlineStr">
        <is>
          <t>賣</t>
        </is>
      </c>
      <c r="F963" s="229" t="inlineStr">
        <is>
          <t>-</t>
        </is>
      </c>
      <c r="G963" s="697" t="n">
        <v>1</v>
      </c>
      <c r="H963" s="697" t="n">
        <v>11.5</v>
      </c>
      <c r="I963" s="697" t="n">
        <v>575</v>
      </c>
      <c r="J963" s="585" t="n">
        <v>18</v>
      </c>
      <c r="K963" s="585" t="n">
        <v>1</v>
      </c>
      <c r="L963" s="585">
        <f>IF(B963="TXO",I963-SUM(J963:K963),IF(B963="FITX",IF(D963="新倉",-SUM(J963:K963),IF(E963="賣",(H963-H962)*G963*200-SUM(J963:K963),(H962-H963)*G963*200-SUM(J963:K963))),IF(D963="新倉",-SUM(J963:K963),IF(E963="賣",(H963-H962)*G963*50-SUM(J963:K963),(H962-H963)*G963*50-SUM(J963:K963)))))</f>
        <v/>
      </c>
      <c r="M963" s="699">
        <f>L963</f>
        <v/>
      </c>
      <c r="N963" s="686">
        <f>IF(B963="TXO","",IF(D963="新倉","",IF(E963="賣",(H963-H962)*G963,(H962-H963)*G963)))</f>
        <v/>
      </c>
      <c r="O963" s="226">
        <f>ABS(I963)</f>
        <v/>
      </c>
      <c r="P963" s="667" t="n"/>
      <c r="S963" s="739" t="n"/>
      <c r="T963" s="61">
        <f>IF(AND(R963="Yes",S963&lt;&gt;"Yes",L963&gt;0,B963&lt;&gt;"TXO"),L963,"")</f>
        <v/>
      </c>
      <c r="U963" s="61">
        <f>IF(AND(R963="Yes",S963&lt;&gt;"Yes",L963&lt;0,B963&lt;&gt;"TXO"),L963,"")</f>
        <v/>
      </c>
      <c r="V963" s="61">
        <f>IF(AND(R963="",S963&lt;&gt;"Yes",L963&gt;0,B963&lt;&gt;"TXO"),L963,"")</f>
        <v/>
      </c>
      <c r="W963" s="61">
        <f>IF(AND(R963="",S963&lt;&gt;"Yes",L963&lt;0,B963&lt;&gt;"TXO"),L963,"")</f>
        <v/>
      </c>
      <c r="X963" s="226">
        <f>IF(AND(R963="Yes",S963="Yes",L963&gt;0,B963&lt;&gt;"TXO"),L963,"")</f>
        <v/>
      </c>
      <c r="Y963" s="226">
        <f>IF(AND(R963="Yes",S963="Yes",L963&lt;0,B963&lt;&gt;"TXO"),L963,"")</f>
        <v/>
      </c>
      <c r="Z963" s="226">
        <f>IF(AND(R963="",S963="Yes",L963&gt;0,B963&lt;&gt;"TXO"),L963,"")</f>
        <v/>
      </c>
      <c r="AA963" s="226">
        <f>IF(AND(R963="",S963="Yes",L963&lt;0,B963&lt;&gt;"TXO"),L963,"")</f>
        <v/>
      </c>
    </row>
    <row r="964" hidden="1" outlineLevel="2" ht="17.25" customHeight="1" thickBot="1">
      <c r="A964" s="696" t="n">
        <v>43378</v>
      </c>
      <c r="B964" s="234" t="inlineStr">
        <is>
          <t>TXO</t>
        </is>
      </c>
      <c r="C964" s="229" t="inlineStr">
        <is>
          <t>台指選W2 10 10300 P</t>
        </is>
      </c>
      <c r="D964" s="229" t="inlineStr">
        <is>
          <t>平倉</t>
        </is>
      </c>
      <c r="E964" s="257" t="inlineStr">
        <is>
          <t>賣</t>
        </is>
      </c>
      <c r="F964" s="229" t="inlineStr">
        <is>
          <t>-</t>
        </is>
      </c>
      <c r="G964" s="697" t="n">
        <v>1</v>
      </c>
      <c r="H964" s="697" t="n">
        <v>11.5</v>
      </c>
      <c r="I964" s="697" t="n">
        <v>575</v>
      </c>
      <c r="J964" s="585" t="n">
        <v>18</v>
      </c>
      <c r="K964" s="585" t="n">
        <v>1</v>
      </c>
      <c r="L964" s="585">
        <f>IF(B964="TXO",I964-SUM(J964:K964),IF(B964="FITX",IF(D964="新倉",-SUM(J964:K964),IF(E964="賣",(H964-H963)*G964*200-SUM(J964:K964),(H963-H964)*G964*200-SUM(J964:K964))),IF(D964="新倉",-SUM(J964:K964),IF(E964="賣",(H964-H963)*G964*50-SUM(J964:K964),(H963-H964)*G964*50-SUM(J964:K964)))))</f>
        <v/>
      </c>
      <c r="M964" s="699">
        <f>L964</f>
        <v/>
      </c>
      <c r="N964" s="686">
        <f>IF(B964="TXO","",IF(D964="新倉","",IF(E964="賣",(H964-H963)*G964,(H963-H964)*G964)))</f>
        <v/>
      </c>
      <c r="O964" s="226">
        <f>ABS(I964)</f>
        <v/>
      </c>
      <c r="P964" s="667" t="n"/>
      <c r="S964" s="739" t="n"/>
      <c r="T964" s="61">
        <f>IF(AND(R964="Yes",S964&lt;&gt;"Yes",L964&gt;0,B964&lt;&gt;"TXO"),L964,"")</f>
        <v/>
      </c>
      <c r="U964" s="61">
        <f>IF(AND(R964="Yes",S964&lt;&gt;"Yes",L964&lt;0,B964&lt;&gt;"TXO"),L964,"")</f>
        <v/>
      </c>
      <c r="V964" s="61">
        <f>IF(AND(R964="",S964&lt;&gt;"Yes",L964&gt;0,B964&lt;&gt;"TXO"),L964,"")</f>
        <v/>
      </c>
      <c r="W964" s="61">
        <f>IF(AND(R964="",S964&lt;&gt;"Yes",L964&lt;0,B964&lt;&gt;"TXO"),L964,"")</f>
        <v/>
      </c>
      <c r="X964" s="226">
        <f>IF(AND(R964="Yes",S964="Yes",L964&gt;0,B964&lt;&gt;"TXO"),L964,"")</f>
        <v/>
      </c>
      <c r="Y964" s="226">
        <f>IF(AND(R964="Yes",S964="Yes",L964&lt;0,B964&lt;&gt;"TXO"),L964,"")</f>
        <v/>
      </c>
      <c r="Z964" s="226">
        <f>IF(AND(R964="",S964="Yes",L964&gt;0,B964&lt;&gt;"TXO"),L964,"")</f>
        <v/>
      </c>
      <c r="AA964" s="226">
        <f>IF(AND(R964="",S964="Yes",L964&lt;0,B964&lt;&gt;"TXO"),L964,"")</f>
        <v/>
      </c>
    </row>
    <row r="965" hidden="1" outlineLevel="2" ht="17.25" customHeight="1" thickBot="1">
      <c r="A965" s="696" t="n">
        <v>43378</v>
      </c>
      <c r="B965" s="234" t="inlineStr">
        <is>
          <t>TXO</t>
        </is>
      </c>
      <c r="C965" s="229" t="inlineStr">
        <is>
          <t>台指選W2 10 10300 P</t>
        </is>
      </c>
      <c r="D965" s="229" t="inlineStr">
        <is>
          <t>平倉</t>
        </is>
      </c>
      <c r="E965" s="257" t="inlineStr">
        <is>
          <t>賣</t>
        </is>
      </c>
      <c r="F965" s="229" t="inlineStr">
        <is>
          <t>-</t>
        </is>
      </c>
      <c r="G965" s="697" t="n">
        <v>1</v>
      </c>
      <c r="H965" s="697" t="n">
        <v>11.5</v>
      </c>
      <c r="I965" s="697" t="n">
        <v>575</v>
      </c>
      <c r="J965" s="585" t="n">
        <v>18</v>
      </c>
      <c r="K965" s="585" t="n">
        <v>1</v>
      </c>
      <c r="L965" s="585">
        <f>IF(B965="TXO",I965-SUM(J965:K965),IF(B965="FITX",IF(D965="新倉",-SUM(J965:K965),IF(E965="賣",(H965-H964)*G965*200-SUM(J965:K965),(H964-H965)*G965*200-SUM(J965:K965))),IF(D965="新倉",-SUM(J965:K965),IF(E965="賣",(H965-H964)*G965*50-SUM(J965:K965),(H964-H965)*G965*50-SUM(J965:K965)))))</f>
        <v/>
      </c>
      <c r="M965" s="699">
        <f>L965</f>
        <v/>
      </c>
      <c r="N965" s="686">
        <f>IF(B965="TXO","",IF(D965="新倉","",IF(E965="賣",(H965-H964)*G965,(H964-H965)*G965)))</f>
        <v/>
      </c>
      <c r="O965" s="226">
        <f>ABS(I965)</f>
        <v/>
      </c>
      <c r="P965" s="667" t="n"/>
      <c r="S965" s="739" t="n"/>
      <c r="T965" s="61">
        <f>IF(AND(R965="Yes",S965&lt;&gt;"Yes",L965&gt;0,B965&lt;&gt;"TXO"),L965,"")</f>
        <v/>
      </c>
      <c r="U965" s="61">
        <f>IF(AND(R965="Yes",S965&lt;&gt;"Yes",L965&lt;0,B965&lt;&gt;"TXO"),L965,"")</f>
        <v/>
      </c>
      <c r="V965" s="61">
        <f>IF(AND(R965="",S965&lt;&gt;"Yes",L965&gt;0,B965&lt;&gt;"TXO"),L965,"")</f>
        <v/>
      </c>
      <c r="W965" s="61">
        <f>IF(AND(R965="",S965&lt;&gt;"Yes",L965&lt;0,B965&lt;&gt;"TXO"),L965,"")</f>
        <v/>
      </c>
      <c r="X965" s="226">
        <f>IF(AND(R965="Yes",S965="Yes",L965&gt;0,B965&lt;&gt;"TXO"),L965,"")</f>
        <v/>
      </c>
      <c r="Y965" s="226">
        <f>IF(AND(R965="Yes",S965="Yes",L965&lt;0,B965&lt;&gt;"TXO"),L965,"")</f>
        <v/>
      </c>
      <c r="Z965" s="226">
        <f>IF(AND(R965="",S965="Yes",L965&gt;0,B965&lt;&gt;"TXO"),L965,"")</f>
        <v/>
      </c>
      <c r="AA965" s="226">
        <f>IF(AND(R965="",S965="Yes",L965&lt;0,B965&lt;&gt;"TXO"),L965,"")</f>
        <v/>
      </c>
    </row>
    <row r="966" hidden="1" outlineLevel="2" ht="17.25" customHeight="1" thickBot="1">
      <c r="A966" s="696" t="n">
        <v>43378</v>
      </c>
      <c r="B966" s="234" t="inlineStr">
        <is>
          <t>TXO</t>
        </is>
      </c>
      <c r="C966" s="229" t="inlineStr">
        <is>
          <t>台指選W2 10 10550 P</t>
        </is>
      </c>
      <c r="D966" s="229" t="inlineStr">
        <is>
          <t>平倉</t>
        </is>
      </c>
      <c r="E966" s="257" t="inlineStr">
        <is>
          <t>賣</t>
        </is>
      </c>
      <c r="F966" s="229" t="inlineStr">
        <is>
          <t>-</t>
        </is>
      </c>
      <c r="G966" s="697" t="n">
        <v>1</v>
      </c>
      <c r="H966" s="697" t="n">
        <v>58</v>
      </c>
      <c r="I966" s="697" t="n">
        <v>2900</v>
      </c>
      <c r="J966" s="585" t="n">
        <v>18</v>
      </c>
      <c r="K966" s="585" t="n">
        <v>3</v>
      </c>
      <c r="L966" s="585">
        <f>IF(B966="TXO",I966-SUM(J966:K966),IF(B966="FITX",IF(D966="新倉",-SUM(J966:K966),IF(E966="賣",(H966-H965)*G966*200-SUM(J966:K966),(H965-H966)*G966*200-SUM(J966:K966))),IF(D966="新倉",-SUM(J966:K966),IF(E966="賣",(H966-H965)*G966*50-SUM(J966:K966),(H965-H966)*G966*50-SUM(J966:K966)))))</f>
        <v/>
      </c>
      <c r="M966" s="699">
        <f>L966</f>
        <v/>
      </c>
      <c r="N966" s="686">
        <f>IF(B966="TXO","",IF(D966="新倉","",IF(E966="賣",(H966-H965)*G966,(H965-H966)*G966)))</f>
        <v/>
      </c>
      <c r="O966" s="226">
        <f>ABS(I966)</f>
        <v/>
      </c>
      <c r="P966" s="667" t="n"/>
      <c r="S966" s="739" t="n"/>
      <c r="T966" s="61">
        <f>IF(AND(R966="Yes",S966&lt;&gt;"Yes",L966&gt;0,B966&lt;&gt;"TXO"),L966,"")</f>
        <v/>
      </c>
      <c r="U966" s="61">
        <f>IF(AND(R966="Yes",S966&lt;&gt;"Yes",L966&lt;0,B966&lt;&gt;"TXO"),L966,"")</f>
        <v/>
      </c>
      <c r="V966" s="61">
        <f>IF(AND(R966="",S966&lt;&gt;"Yes",L966&gt;0,B966&lt;&gt;"TXO"),L966,"")</f>
        <v/>
      </c>
      <c r="W966" s="61">
        <f>IF(AND(R966="",S966&lt;&gt;"Yes",L966&lt;0,B966&lt;&gt;"TXO"),L966,"")</f>
        <v/>
      </c>
      <c r="X966" s="226">
        <f>IF(AND(R966="Yes",S966="Yes",L966&gt;0,B966&lt;&gt;"TXO"),L966,"")</f>
        <v/>
      </c>
      <c r="Y966" s="226">
        <f>IF(AND(R966="Yes",S966="Yes",L966&lt;0,B966&lt;&gt;"TXO"),L966,"")</f>
        <v/>
      </c>
      <c r="Z966" s="226">
        <f>IF(AND(R966="",S966="Yes",L966&gt;0,B966&lt;&gt;"TXO"),L966,"")</f>
        <v/>
      </c>
      <c r="AA966" s="226">
        <f>IF(AND(R966="",S966="Yes",L966&lt;0,B966&lt;&gt;"TXO"),L966,"")</f>
        <v/>
      </c>
    </row>
    <row r="967" hidden="1" outlineLevel="1" ht="17.25" customHeight="1" thickBot="1">
      <c r="A967" s="740" t="n">
        <v>43378</v>
      </c>
      <c r="B967" s="299" t="inlineStr">
        <is>
          <t>FIMTX</t>
        </is>
      </c>
      <c r="C967" s="300" t="inlineStr">
        <is>
          <t>小指10</t>
        </is>
      </c>
      <c r="D967" s="300" t="inlineStr">
        <is>
          <t>新倉</t>
        </is>
      </c>
      <c r="E967" s="301" t="inlineStr">
        <is>
          <t>賣</t>
        </is>
      </c>
      <c r="F967" s="300" t="inlineStr">
        <is>
          <t>-</t>
        </is>
      </c>
      <c r="G967" s="741" t="n">
        <v>1</v>
      </c>
      <c r="H967" s="741" t="n">
        <v>10647</v>
      </c>
      <c r="I967" s="741" t="n">
        <v>0</v>
      </c>
      <c r="J967" s="742" t="n">
        <v>23</v>
      </c>
      <c r="K967" s="742" t="n">
        <v>11</v>
      </c>
      <c r="L967" s="742">
        <f>IF(B967="TXO",I967-SUM(J967:K967),IF(B967="FITX",IF(D967="新倉",-SUM(J967:K967),IF(E967="賣",(H967-H966)*G967*200-SUM(J967:K967),(H966-H967)*G967*200-SUM(J967:K967))),IF(D967="新倉",-SUM(J967:K967),IF(E967="賣",(H967-H966)*G967*50-SUM(J967:K967),(H966-H967)*G967*50-SUM(J967:K967)))))</f>
        <v/>
      </c>
      <c r="M967" s="743">
        <f>L967</f>
        <v/>
      </c>
      <c r="N967" s="686">
        <f>IF(B967="TXO","",IF(D967="新倉","",IF(E967="賣",(H967-H966)*G967,(H966-H967)*G967)))</f>
        <v/>
      </c>
      <c r="O967" s="226">
        <f>ABS(I967)</f>
        <v/>
      </c>
      <c r="P967" s="667">
        <f>SUM(L967:L987)</f>
        <v/>
      </c>
      <c r="Q967" s="249" t="inlineStr">
        <is>
          <t>技法: 3/3 買進二口</t>
        </is>
      </c>
      <c r="R967" s="249" t="inlineStr">
        <is>
          <t>Yes</t>
        </is>
      </c>
      <c r="S967" s="249" t="n"/>
      <c r="T967" s="61">
        <f>IF(AND(R967="Yes",S967&lt;&gt;"Yes",L967&gt;0,B967&lt;&gt;"TXO"),L967,"")</f>
        <v/>
      </c>
      <c r="U967" s="61">
        <f>IF(AND(R967="Yes",S967&lt;&gt;"Yes",L967&lt;0,B967&lt;&gt;"TXO"),L967,"")</f>
        <v/>
      </c>
      <c r="V967" s="61">
        <f>IF(AND(R967="",S967&lt;&gt;"Yes",L967&gt;0,B967&lt;&gt;"TXO"),L967,"")</f>
        <v/>
      </c>
      <c r="W967" s="61">
        <f>IF(AND(R967="",S967&lt;&gt;"Yes",L967&lt;0,B967&lt;&gt;"TXO"),L967,"")</f>
        <v/>
      </c>
      <c r="X967" s="226">
        <f>IF(AND(R967="Yes",S967="Yes",L967&gt;0,B967&lt;&gt;"TXO"),L967,"")</f>
        <v/>
      </c>
      <c r="Y967" s="226">
        <f>IF(AND(R967="Yes",S967="Yes",L967&lt;0,B967&lt;&gt;"TXO"),L967,"")</f>
        <v/>
      </c>
      <c r="Z967" s="226">
        <f>IF(AND(R967="",S967="Yes",L967&gt;0,B967&lt;&gt;"TXO"),L967,"")</f>
        <v/>
      </c>
      <c r="AA967" s="226">
        <f>IF(AND(R967="",S967="Yes",L967&lt;0,B967&lt;&gt;"TXO"),L967,"")</f>
        <v/>
      </c>
    </row>
    <row r="968" hidden="1" outlineLevel="2" collapsed="1" ht="17.25" customHeight="1" thickBot="1">
      <c r="A968" s="740" t="n">
        <v>43378</v>
      </c>
      <c r="B968" s="299" t="inlineStr">
        <is>
          <t>FIMTX</t>
        </is>
      </c>
      <c r="C968" s="300" t="inlineStr">
        <is>
          <t>小指10</t>
        </is>
      </c>
      <c r="D968" s="300" t="inlineStr">
        <is>
          <t>平倉</t>
        </is>
      </c>
      <c r="E968" s="301" t="inlineStr">
        <is>
          <t>買</t>
        </is>
      </c>
      <c r="F968" s="300" t="inlineStr">
        <is>
          <t>-</t>
        </is>
      </c>
      <c r="G968" s="741" t="n">
        <v>1</v>
      </c>
      <c r="H968" s="741" t="n">
        <v>10617</v>
      </c>
      <c r="I968" s="741" t="n">
        <v>0</v>
      </c>
      <c r="J968" s="742" t="n">
        <v>23</v>
      </c>
      <c r="K968" s="742" t="n">
        <v>11</v>
      </c>
      <c r="L968" s="742">
        <f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/>
      </c>
      <c r="M968" s="743">
        <f>L968</f>
        <v/>
      </c>
      <c r="N968" s="686">
        <f>IF(B968="TXO","",IF(D968="新倉","",IF(E968="賣",(H968-H967)*G968,(H967-H968)*G968)))</f>
        <v/>
      </c>
      <c r="O968" s="226">
        <f>ABS(I968)</f>
        <v/>
      </c>
      <c r="P968" s="667" t="n"/>
      <c r="Q968" s="249" t="inlineStr">
        <is>
          <t>技法: 刺補</t>
        </is>
      </c>
      <c r="R968" s="249" t="inlineStr">
        <is>
          <t>Yes</t>
        </is>
      </c>
      <c r="S968" s="249" t="n"/>
      <c r="T968" s="61">
        <f>IF(AND(R968="Yes",S968&lt;&gt;"Yes",L968&gt;0,B968&lt;&gt;"TXO"),L968,"")</f>
        <v/>
      </c>
      <c r="U968" s="61">
        <f>IF(AND(R968="Yes",S968&lt;&gt;"Yes",L968&lt;0,B968&lt;&gt;"TXO"),L968,"")</f>
        <v/>
      </c>
      <c r="V968" s="61">
        <f>IF(AND(R968="",S968&lt;&gt;"Yes",L968&gt;0,B968&lt;&gt;"TXO"),L968,"")</f>
        <v/>
      </c>
      <c r="W968" s="61">
        <f>IF(AND(R968="",S968&lt;&gt;"Yes",L968&lt;0,B968&lt;&gt;"TXO"),L968,"")</f>
        <v/>
      </c>
      <c r="X968" s="226">
        <f>IF(AND(R968="Yes",S968="Yes",L968&gt;0,B968&lt;&gt;"TXO"),L968,"")</f>
        <v/>
      </c>
      <c r="Y968" s="226">
        <f>IF(AND(R968="Yes",S968="Yes",L968&lt;0,B968&lt;&gt;"TXO"),L968,"")</f>
        <v/>
      </c>
      <c r="Z968" s="226">
        <f>IF(AND(R968="",S968="Yes",L968&gt;0,B968&lt;&gt;"TXO"),L968,"")</f>
        <v/>
      </c>
      <c r="AA968" s="226">
        <f>IF(AND(R968="",S968="Yes",L968&lt;0,B968&lt;&gt;"TXO"),L968,"")</f>
        <v/>
      </c>
    </row>
    <row r="969" hidden="1" outlineLevel="2" collapsed="1" ht="17.25" customHeight="1" thickBot="1">
      <c r="A969" s="740" t="n">
        <v>43378</v>
      </c>
      <c r="B969" s="299" t="inlineStr">
        <is>
          <t>FIMTX</t>
        </is>
      </c>
      <c r="C969" s="300" t="inlineStr">
        <is>
          <t>小指10</t>
        </is>
      </c>
      <c r="D969" s="300" t="inlineStr">
        <is>
          <t>新倉</t>
        </is>
      </c>
      <c r="E969" s="301" t="inlineStr">
        <is>
          <t>賣</t>
        </is>
      </c>
      <c r="F969" s="300" t="inlineStr">
        <is>
          <t>-</t>
        </is>
      </c>
      <c r="G969" s="741" t="n">
        <v>1</v>
      </c>
      <c r="H969" s="741" t="n">
        <v>10648</v>
      </c>
      <c r="I969" s="741" t="n">
        <v>0</v>
      </c>
      <c r="J969" s="742" t="n">
        <v>23</v>
      </c>
      <c r="K969" s="742" t="n">
        <v>11</v>
      </c>
      <c r="L969" s="742">
        <f>IF(B969="TXO",I969-SUM(J969:K969),IF(B969="FITX",IF(D969="新倉",-SUM(J969:K969),IF(E969="賣",(H969-H968)*G969*200-SUM(J969:K969),(H968-H969)*G969*200-SUM(J969:K969))),IF(D969="新倉",-SUM(J969:K969),IF(E969="賣",(H969-H968)*G969*50-SUM(J969:K969),(H968-H969)*G969*50-SUM(J969:K969)))))</f>
        <v/>
      </c>
      <c r="M969" s="743">
        <f>L969</f>
        <v/>
      </c>
      <c r="N969" s="686">
        <f>IF(B969="TXO","",IF(D969="新倉","",IF(E969="賣",(H969-H968)*G969,(H968-H969)*G969)))</f>
        <v/>
      </c>
      <c r="O969" s="226">
        <f>ABS(I969)</f>
        <v/>
      </c>
      <c r="P969" s="667" t="n"/>
      <c r="R969" s="249" t="inlineStr">
        <is>
          <t>Yes</t>
        </is>
      </c>
      <c r="S969" s="249" t="n"/>
      <c r="T969" s="61">
        <f>IF(AND(R969="Yes",S969&lt;&gt;"Yes",L969&gt;0,B969&lt;&gt;"TXO"),L969,"")</f>
        <v/>
      </c>
      <c r="U969" s="61">
        <f>IF(AND(R969="Yes",S969&lt;&gt;"Yes",L969&lt;0,B969&lt;&gt;"TXO"),L969,"")</f>
        <v/>
      </c>
      <c r="V969" s="61">
        <f>IF(AND(R969="",S969&lt;&gt;"Yes",L969&gt;0,B969&lt;&gt;"TXO"),L969,"")</f>
        <v/>
      </c>
      <c r="W969" s="61">
        <f>IF(AND(R969="",S969&lt;&gt;"Yes",L969&lt;0,B969&lt;&gt;"TXO"),L969,"")</f>
        <v/>
      </c>
      <c r="X969" s="226">
        <f>IF(AND(R969="Yes",S969="Yes",L969&gt;0,B969&lt;&gt;"TXO"),L969,"")</f>
        <v/>
      </c>
      <c r="Y969" s="226">
        <f>IF(AND(R969="Yes",S969="Yes",L969&lt;0,B969&lt;&gt;"TXO"),L969,"")</f>
        <v/>
      </c>
      <c r="Z969" s="226">
        <f>IF(AND(R969="",S969="Yes",L969&gt;0,B969&lt;&gt;"TXO"),L969,"")</f>
        <v/>
      </c>
      <c r="AA969" s="226">
        <f>IF(AND(R969="",S969="Yes",L969&lt;0,B969&lt;&gt;"TXO"),L969,"")</f>
        <v/>
      </c>
    </row>
    <row r="970" hidden="1" outlineLevel="2" collapsed="1" ht="17.25" customHeight="1" thickBot="1">
      <c r="A970" s="740" t="n">
        <v>43378</v>
      </c>
      <c r="B970" s="299" t="inlineStr">
        <is>
          <t>FIMTX</t>
        </is>
      </c>
      <c r="C970" s="300" t="inlineStr">
        <is>
          <t>小指10</t>
        </is>
      </c>
      <c r="D970" s="300" t="inlineStr">
        <is>
          <t>平倉</t>
        </is>
      </c>
      <c r="E970" s="301" t="inlineStr">
        <is>
          <t>買</t>
        </is>
      </c>
      <c r="F970" s="300" t="inlineStr">
        <is>
          <t>-</t>
        </is>
      </c>
      <c r="G970" s="741" t="n">
        <v>1</v>
      </c>
      <c r="H970" s="741" t="n">
        <v>10573</v>
      </c>
      <c r="I970" s="741" t="n">
        <v>0</v>
      </c>
      <c r="J970" s="742" t="n">
        <v>23</v>
      </c>
      <c r="K970" s="742" t="n">
        <v>11</v>
      </c>
      <c r="L970" s="742">
        <f>IF(B970="TXO",I970-SUM(J970:K970),IF(B970="FITX",IF(D970="新倉",-SUM(J970:K970),IF(E970="賣",(H970-H969)*G970*200-SUM(J970:K970),(H969-H970)*G970*200-SUM(J970:K970))),IF(D970="新倉",-SUM(J970:K970),IF(E970="賣",(H970-H969)*G970*50-SUM(J970:K970),(H969-H970)*G970*50-SUM(J970:K970)))))</f>
        <v/>
      </c>
      <c r="M970" s="743">
        <f>L970</f>
        <v/>
      </c>
      <c r="N970" s="686">
        <f>IF(B970="TXO","",IF(D970="新倉","",IF(E970="賣",(H970-H969)*G970,(H969-H970)*G970)))</f>
        <v/>
      </c>
      <c r="O970" s="226">
        <f>ABS(I970)</f>
        <v/>
      </c>
      <c r="P970" s="667" t="n"/>
      <c r="Q970" s="249" t="inlineStr">
        <is>
          <t>元大移動式停利</t>
        </is>
      </c>
      <c r="R970" s="249" t="inlineStr">
        <is>
          <t>Yes</t>
        </is>
      </c>
      <c r="S970" s="249" t="n"/>
      <c r="T970" s="61">
        <f>IF(AND(R970="Yes",S970&lt;&gt;"Yes",L970&gt;0,B970&lt;&gt;"TXO"),L970,"")</f>
        <v/>
      </c>
      <c r="U970" s="61">
        <f>IF(AND(R970="Yes",S970&lt;&gt;"Yes",L970&lt;0,B970&lt;&gt;"TXO"),L970,"")</f>
        <v/>
      </c>
      <c r="V970" s="61">
        <f>IF(AND(R970="",S970&lt;&gt;"Yes",L970&gt;0,B970&lt;&gt;"TXO"),L970,"")</f>
        <v/>
      </c>
      <c r="W970" s="61">
        <f>IF(AND(R970="",S970&lt;&gt;"Yes",L970&lt;0,B970&lt;&gt;"TXO"),L970,"")</f>
        <v/>
      </c>
      <c r="X970" s="226">
        <f>IF(AND(R970="Yes",S970="Yes",L970&gt;0,B970&lt;&gt;"TXO"),L970,"")</f>
        <v/>
      </c>
      <c r="Y970" s="226">
        <f>IF(AND(R970="Yes",S970="Yes",L970&lt;0,B970&lt;&gt;"TXO"),L970,"")</f>
        <v/>
      </c>
      <c r="Z970" s="226">
        <f>IF(AND(R970="",S970="Yes",L970&gt;0,B970&lt;&gt;"TXO"),L970,"")</f>
        <v/>
      </c>
      <c r="AA970" s="226">
        <f>IF(AND(R970="",S970="Yes",L970&lt;0,B970&lt;&gt;"TXO"),L970,"")</f>
        <v/>
      </c>
    </row>
    <row r="971" hidden="1" outlineLevel="2" collapsed="1" ht="17.25" customHeight="1" thickBot="1">
      <c r="A971" s="740" t="n">
        <v>43378</v>
      </c>
      <c r="B971" s="299" t="inlineStr">
        <is>
          <t>TXO</t>
        </is>
      </c>
      <c r="C971" s="300" t="inlineStr">
        <is>
          <t>台指選W2 10 10400 P</t>
        </is>
      </c>
      <c r="D971" s="300" t="inlineStr">
        <is>
          <t>新倉</t>
        </is>
      </c>
      <c r="E971" s="301" t="inlineStr">
        <is>
          <t>買</t>
        </is>
      </c>
      <c r="F971" s="300" t="inlineStr">
        <is>
          <t>-</t>
        </is>
      </c>
      <c r="G971" s="741" t="n">
        <v>1</v>
      </c>
      <c r="H971" s="741" t="n">
        <v>46.5</v>
      </c>
      <c r="I971" s="741" t="n">
        <v>-2325</v>
      </c>
      <c r="J971" s="742" t="n">
        <v>18</v>
      </c>
      <c r="K971" s="742" t="n">
        <v>2</v>
      </c>
      <c r="L971" s="742">
        <f>IF(B971="TXO",I971-SUM(J971:K971),IF(B971="FITX",IF(D971="新倉",-SUM(J971:K971),IF(E971="賣",(H971-H970)*G971*200-SUM(J971:K971),(H970-H971)*G971*200-SUM(J971:K971))),IF(D971="新倉",-SUM(J971:K971),IF(E971="賣",(H971-H970)*G971*50-SUM(J971:K971),(H970-H971)*G971*50-SUM(J971:K971)))))</f>
        <v/>
      </c>
      <c r="M971" s="743">
        <f>L971</f>
        <v/>
      </c>
      <c r="N971" s="686">
        <f>IF(B971="TXO","",IF(D971="新倉","",IF(E971="賣",(H971-H970)*G971,(H970-H971)*G971)))</f>
        <v/>
      </c>
      <c r="O971" s="226">
        <f>ABS(I971)</f>
        <v/>
      </c>
      <c r="P971" s="667" t="n"/>
      <c r="S971" s="249" t="n"/>
      <c r="T971" s="61">
        <f>IF(AND(R971="Yes",S971&lt;&gt;"Yes",L971&gt;0,B971&lt;&gt;"TXO"),L971,"")</f>
        <v/>
      </c>
      <c r="U971" s="61">
        <f>IF(AND(R971="Yes",S971&lt;&gt;"Yes",L971&lt;0,B971&lt;&gt;"TXO"),L971,"")</f>
        <v/>
      </c>
      <c r="V971" s="61">
        <f>IF(AND(R971="",S971&lt;&gt;"Yes",L971&gt;0,B971&lt;&gt;"TXO"),L971,"")</f>
        <v/>
      </c>
      <c r="W971" s="61">
        <f>IF(AND(R971="",S971&lt;&gt;"Yes",L971&lt;0,B971&lt;&gt;"TXO"),L971,"")</f>
        <v/>
      </c>
      <c r="X971" s="226">
        <f>IF(AND(R971="Yes",S971="Yes",L971&gt;0,B971&lt;&gt;"TXO"),L971,"")</f>
        <v/>
      </c>
      <c r="Y971" s="226">
        <f>IF(AND(R971="Yes",S971="Yes",L971&lt;0,B971&lt;&gt;"TXO"),L971,"")</f>
        <v/>
      </c>
      <c r="Z971" s="226">
        <f>IF(AND(R971="",S971="Yes",L971&gt;0,B971&lt;&gt;"TXO"),L971,"")</f>
        <v/>
      </c>
      <c r="AA971" s="226">
        <f>IF(AND(R971="",S971="Yes",L971&lt;0,B971&lt;&gt;"TXO"),L971,"")</f>
        <v/>
      </c>
    </row>
    <row r="972" hidden="1" outlineLevel="2" collapsed="1" ht="17.25" customHeight="1" thickBot="1">
      <c r="A972" s="740" t="n">
        <v>43378</v>
      </c>
      <c r="B972" s="299" t="inlineStr">
        <is>
          <t>TXO</t>
        </is>
      </c>
      <c r="C972" s="300" t="inlineStr">
        <is>
          <t>台指選W2 10 10400 P</t>
        </is>
      </c>
      <c r="D972" s="300" t="inlineStr">
        <is>
          <t>平倉</t>
        </is>
      </c>
      <c r="E972" s="301" t="inlineStr">
        <is>
          <t>賣</t>
        </is>
      </c>
      <c r="F972" s="300" t="inlineStr">
        <is>
          <t>-</t>
        </is>
      </c>
      <c r="G972" s="741" t="n">
        <v>1</v>
      </c>
      <c r="H972" s="741" t="n">
        <v>44</v>
      </c>
      <c r="I972" s="741" t="n">
        <v>2200</v>
      </c>
      <c r="J972" s="742" t="n">
        <v>18</v>
      </c>
      <c r="K972" s="742" t="n">
        <v>2</v>
      </c>
      <c r="L972" s="742">
        <f>IF(B972="TXO",I972-SUM(J972:K972),IF(B972="FITX",IF(D972="新倉",-SUM(J972:K972),IF(E972="賣",(H972-H971)*G972*200-SUM(J972:K972),(H971-H972)*G972*200-SUM(J972:K972))),IF(D972="新倉",-SUM(J972:K972),IF(E972="賣",(H972-H971)*G972*50-SUM(J972:K972),(H971-H972)*G972*50-SUM(J972:K972)))))</f>
        <v/>
      </c>
      <c r="M972" s="743">
        <f>L972</f>
        <v/>
      </c>
      <c r="N972" s="686">
        <f>IF(B972="TXO","",IF(D972="新倉","",IF(E972="賣",(H972-H971)*G972,(H971-H972)*G972)))</f>
        <v/>
      </c>
      <c r="O972" s="226">
        <f>ABS(I972)</f>
        <v/>
      </c>
      <c r="P972" s="667" t="n"/>
      <c r="S972" s="249" t="n"/>
      <c r="T972" s="61">
        <f>IF(AND(R972="Yes",S972&lt;&gt;"Yes",L972&gt;0,B972&lt;&gt;"TXO"),L972,"")</f>
        <v/>
      </c>
      <c r="U972" s="61">
        <f>IF(AND(R972="Yes",S972&lt;&gt;"Yes",L972&lt;0,B972&lt;&gt;"TXO"),L972,"")</f>
        <v/>
      </c>
      <c r="V972" s="61">
        <f>IF(AND(R972="",S972&lt;&gt;"Yes",L972&gt;0,B972&lt;&gt;"TXO"),L972,"")</f>
        <v/>
      </c>
      <c r="W972" s="61">
        <f>IF(AND(R972="",S972&lt;&gt;"Yes",L972&lt;0,B972&lt;&gt;"TXO"),L972,"")</f>
        <v/>
      </c>
      <c r="X972" s="226">
        <f>IF(AND(R972="Yes",S972="Yes",L972&gt;0,B972&lt;&gt;"TXO"),L972,"")</f>
        <v/>
      </c>
      <c r="Y972" s="226">
        <f>IF(AND(R972="Yes",S972="Yes",L972&lt;0,B972&lt;&gt;"TXO"),L972,"")</f>
        <v/>
      </c>
      <c r="Z972" s="226">
        <f>IF(AND(R972="",S972="Yes",L972&gt;0,B972&lt;&gt;"TXO"),L972,"")</f>
        <v/>
      </c>
      <c r="AA972" s="226">
        <f>IF(AND(R972="",S972="Yes",L972&lt;0,B972&lt;&gt;"TXO"),L972,"")</f>
        <v/>
      </c>
    </row>
    <row r="973" hidden="1" outlineLevel="2" collapsed="1" ht="17.25" customHeight="1" thickBot="1">
      <c r="A973" s="740" t="n">
        <v>43378</v>
      </c>
      <c r="B973" s="299" t="inlineStr">
        <is>
          <t>TXO</t>
        </is>
      </c>
      <c r="C973" s="300" t="inlineStr">
        <is>
          <t>台指選W2 10 10300 P</t>
        </is>
      </c>
      <c r="D973" s="300" t="inlineStr">
        <is>
          <t>新倉</t>
        </is>
      </c>
      <c r="E973" s="301" t="inlineStr">
        <is>
          <t>買</t>
        </is>
      </c>
      <c r="F973" s="300" t="inlineStr">
        <is>
          <t>-</t>
        </is>
      </c>
      <c r="G973" s="741" t="n">
        <v>2</v>
      </c>
      <c r="H973" s="741" t="n">
        <v>24.5</v>
      </c>
      <c r="I973" s="741" t="n">
        <v>-2450</v>
      </c>
      <c r="J973" s="742" t="n">
        <v>36</v>
      </c>
      <c r="K973" s="742" t="n">
        <v>2</v>
      </c>
      <c r="L973" s="742">
        <f>IF(B973="TXO",I973-SUM(J973:K973),IF(B973="FITX",IF(D973="新倉",-SUM(J973:K973),IF(E973="賣",(H973-H972)*G973*200-SUM(J973:K973),(H972-H973)*G973*200-SUM(J973:K973))),IF(D973="新倉",-SUM(J973:K973),IF(E973="賣",(H973-H972)*G973*50-SUM(J973:K973),(H972-H973)*G973*50-SUM(J973:K973)))))</f>
        <v/>
      </c>
      <c r="M973" s="743">
        <f>L973</f>
        <v/>
      </c>
      <c r="N973" s="686">
        <f>IF(B973="TXO","",IF(D973="新倉","",IF(E973="賣",(H973-H972)*G973,(H972-H973)*G973)))</f>
        <v/>
      </c>
      <c r="O973" s="226">
        <f>ABS(I973)</f>
        <v/>
      </c>
      <c r="P973" s="667" t="n"/>
      <c r="S973" s="249" t="n"/>
      <c r="T973" s="61">
        <f>IF(AND(R973="Yes",S973&lt;&gt;"Yes",L973&gt;0,B973&lt;&gt;"TXO"),L973,"")</f>
        <v/>
      </c>
      <c r="U973" s="61">
        <f>IF(AND(R973="Yes",S973&lt;&gt;"Yes",L973&lt;0,B973&lt;&gt;"TXO"),L973,"")</f>
        <v/>
      </c>
      <c r="V973" s="61">
        <f>IF(AND(R973="",S973&lt;&gt;"Yes",L973&gt;0,B973&lt;&gt;"TXO"),L973,"")</f>
        <v/>
      </c>
      <c r="W973" s="61">
        <f>IF(AND(R973="",S973&lt;&gt;"Yes",L973&lt;0,B973&lt;&gt;"TXO"),L973,"")</f>
        <v/>
      </c>
      <c r="X973" s="226">
        <f>IF(AND(R973="Yes",S973="Yes",L973&gt;0,B973&lt;&gt;"TXO"),L973,"")</f>
        <v/>
      </c>
      <c r="Y973" s="226">
        <f>IF(AND(R973="Yes",S973="Yes",L973&lt;0,B973&lt;&gt;"TXO"),L973,"")</f>
        <v/>
      </c>
      <c r="Z973" s="226">
        <f>IF(AND(R973="",S973="Yes",L973&gt;0,B973&lt;&gt;"TXO"),L973,"")</f>
        <v/>
      </c>
      <c r="AA973" s="226">
        <f>IF(AND(R973="",S973="Yes",L973&lt;0,B973&lt;&gt;"TXO"),L973,"")</f>
        <v/>
      </c>
    </row>
    <row r="974" hidden="1" outlineLevel="2" collapsed="1" ht="17.25" customHeight="1" thickBot="1">
      <c r="A974" s="740" t="n">
        <v>43378</v>
      </c>
      <c r="B974" s="299" t="inlineStr">
        <is>
          <t>TXO</t>
        </is>
      </c>
      <c r="C974" s="300" t="inlineStr">
        <is>
          <t>台指選W2 10 10300 P</t>
        </is>
      </c>
      <c r="D974" s="300" t="inlineStr">
        <is>
          <t>平倉</t>
        </is>
      </c>
      <c r="E974" s="301" t="inlineStr">
        <is>
          <t>賣</t>
        </is>
      </c>
      <c r="F974" s="300" t="inlineStr">
        <is>
          <t>-</t>
        </is>
      </c>
      <c r="G974" s="741" t="n">
        <v>1</v>
      </c>
      <c r="H974" s="741" t="n">
        <v>8.199999999999999</v>
      </c>
      <c r="I974" s="741" t="n">
        <v>410</v>
      </c>
      <c r="J974" s="742" t="n">
        <v>18</v>
      </c>
      <c r="K974" s="742" t="n">
        <v>0</v>
      </c>
      <c r="L974" s="742">
        <f>IF(B974="TXO",I974-SUM(J974:K974),IF(B974="FITX",IF(D974="新倉",-SUM(J974:K974),IF(E974="賣",(H974-H973)*G974*200-SUM(J974:K974),(H973-H974)*G974*200-SUM(J974:K974))),IF(D974="新倉",-SUM(J974:K974),IF(E974="賣",(H974-H973)*G974*50-SUM(J974:K974),(H973-H974)*G974*50-SUM(J974:K974)))))</f>
        <v/>
      </c>
      <c r="M974" s="743">
        <f>L974</f>
        <v/>
      </c>
      <c r="N974" s="686">
        <f>IF(B974="TXO","",IF(D974="新倉","",IF(E974="賣",(H974-H973)*G974,(H973-H974)*G974)))</f>
        <v/>
      </c>
      <c r="O974" s="226">
        <f>ABS(I974)</f>
        <v/>
      </c>
      <c r="P974" s="667" t="n"/>
      <c r="S974" s="249" t="n"/>
      <c r="T974" s="61">
        <f>IF(AND(R974="Yes",S974&lt;&gt;"Yes",L974&gt;0,B974&lt;&gt;"TXO"),L974,"")</f>
        <v/>
      </c>
      <c r="U974" s="61">
        <f>IF(AND(R974="Yes",S974&lt;&gt;"Yes",L974&lt;0,B974&lt;&gt;"TXO"),L974,"")</f>
        <v/>
      </c>
      <c r="V974" s="61">
        <f>IF(AND(R974="",S974&lt;&gt;"Yes",L974&gt;0,B974&lt;&gt;"TXO"),L974,"")</f>
        <v/>
      </c>
      <c r="W974" s="61">
        <f>IF(AND(R974="",S974&lt;&gt;"Yes",L974&lt;0,B974&lt;&gt;"TXO"),L974,"")</f>
        <v/>
      </c>
      <c r="X974" s="226">
        <f>IF(AND(R974="Yes",S974="Yes",L974&gt;0,B974&lt;&gt;"TXO"),L974,"")</f>
        <v/>
      </c>
      <c r="Y974" s="226">
        <f>IF(AND(R974="Yes",S974="Yes",L974&lt;0,B974&lt;&gt;"TXO"),L974,"")</f>
        <v/>
      </c>
      <c r="Z974" s="226">
        <f>IF(AND(R974="",S974="Yes",L974&gt;0,B974&lt;&gt;"TXO"),L974,"")</f>
        <v/>
      </c>
      <c r="AA974" s="226">
        <f>IF(AND(R974="",S974="Yes",L974&lt;0,B974&lt;&gt;"TXO"),L974,"")</f>
        <v/>
      </c>
    </row>
    <row r="975" hidden="1" outlineLevel="2" collapsed="1" ht="17.25" customHeight="1" thickBot="1">
      <c r="A975" s="740" t="n">
        <v>43378</v>
      </c>
      <c r="B975" s="299" t="inlineStr">
        <is>
          <t>TXO</t>
        </is>
      </c>
      <c r="C975" s="300" t="inlineStr">
        <is>
          <t>台指選W2 10 10300 P</t>
        </is>
      </c>
      <c r="D975" s="300" t="inlineStr">
        <is>
          <t>平倉</t>
        </is>
      </c>
      <c r="E975" s="301" t="inlineStr">
        <is>
          <t>賣</t>
        </is>
      </c>
      <c r="F975" s="300" t="inlineStr">
        <is>
          <t>-</t>
        </is>
      </c>
      <c r="G975" s="741" t="n">
        <v>1</v>
      </c>
      <c r="H975" s="741" t="n">
        <v>8.1</v>
      </c>
      <c r="I975" s="741" t="n">
        <v>405</v>
      </c>
      <c r="J975" s="742" t="n">
        <v>18</v>
      </c>
      <c r="K975" s="742" t="n">
        <v>0</v>
      </c>
      <c r="L975" s="742">
        <f>IF(B975="TXO",I975-SUM(J975:K975),IF(B975="FITX",IF(D975="新倉",-SUM(J975:K975),IF(E975="賣",(H975-H974)*G975*200-SUM(J975:K975),(H974-H975)*G975*200-SUM(J975:K975))),IF(D975="新倉",-SUM(J975:K975),IF(E975="賣",(H975-H974)*G975*50-SUM(J975:K975),(H974-H975)*G975*50-SUM(J975:K975)))))</f>
        <v/>
      </c>
      <c r="M975" s="743">
        <f>L975</f>
        <v/>
      </c>
      <c r="N975" s="686">
        <f>IF(B975="TXO","",IF(D975="新倉","",IF(E975="賣",(H975-H974)*G975,(H974-H975)*G975)))</f>
        <v/>
      </c>
      <c r="O975" s="226">
        <f>ABS(I975)</f>
        <v/>
      </c>
      <c r="P975" s="667" t="n"/>
      <c r="S975" s="249" t="n"/>
      <c r="T975" s="61">
        <f>IF(AND(R975="Yes",S975&lt;&gt;"Yes",L975&gt;0,B975&lt;&gt;"TXO"),L975,"")</f>
        <v/>
      </c>
      <c r="U975" s="61">
        <f>IF(AND(R975="Yes",S975&lt;&gt;"Yes",L975&lt;0,B975&lt;&gt;"TXO"),L975,"")</f>
        <v/>
      </c>
      <c r="V975" s="61">
        <f>IF(AND(R975="",S975&lt;&gt;"Yes",L975&gt;0,B975&lt;&gt;"TXO"),L975,"")</f>
        <v/>
      </c>
      <c r="W975" s="61">
        <f>IF(AND(R975="",S975&lt;&gt;"Yes",L975&lt;0,B975&lt;&gt;"TXO"),L975,"")</f>
        <v/>
      </c>
      <c r="X975" s="226">
        <f>IF(AND(R975="Yes",S975="Yes",L975&gt;0,B975&lt;&gt;"TXO"),L975,"")</f>
        <v/>
      </c>
      <c r="Y975" s="226">
        <f>IF(AND(R975="Yes",S975="Yes",L975&lt;0,B975&lt;&gt;"TXO"),L975,"")</f>
        <v/>
      </c>
      <c r="Z975" s="226">
        <f>IF(AND(R975="",S975="Yes",L975&gt;0,B975&lt;&gt;"TXO"),L975,"")</f>
        <v/>
      </c>
      <c r="AA975" s="226">
        <f>IF(AND(R975="",S975="Yes",L975&lt;0,B975&lt;&gt;"TXO"),L975,"")</f>
        <v/>
      </c>
    </row>
    <row r="976" hidden="1" outlineLevel="2" collapsed="1" ht="17.25" customHeight="1" thickBot="1">
      <c r="A976" s="740" t="n">
        <v>43378</v>
      </c>
      <c r="B976" s="299" t="inlineStr">
        <is>
          <t>FIMTX</t>
        </is>
      </c>
      <c r="C976" s="300" t="inlineStr">
        <is>
          <t>小指10</t>
        </is>
      </c>
      <c r="D976" s="300" t="inlineStr">
        <is>
          <t>新倉</t>
        </is>
      </c>
      <c r="E976" s="301" t="inlineStr">
        <is>
          <t>賣</t>
        </is>
      </c>
      <c r="F976" s="300" t="inlineStr">
        <is>
          <t>-</t>
        </is>
      </c>
      <c r="G976" s="741" t="n">
        <v>1</v>
      </c>
      <c r="H976" s="741" t="n">
        <v>10476</v>
      </c>
      <c r="I976" s="741" t="n">
        <v>0</v>
      </c>
      <c r="J976" s="742" t="n">
        <v>23</v>
      </c>
      <c r="K976" s="742" t="n">
        <v>10</v>
      </c>
      <c r="L976" s="742">
        <f>IF(B976="TXO",I976-SUM(J976:K976),IF(B976="FITX",IF(D976="新倉",-SUM(J976:K976),IF(E976="賣",(H976-H975)*G976*200-SUM(J976:K976),(H975-H976)*G976*200-SUM(J976:K976))),IF(D976="新倉",-SUM(J976:K976),IF(E976="賣",(H976-H975)*G976*50-SUM(J976:K976),(H975-H976)*G976*50-SUM(J976:K976)))))</f>
        <v/>
      </c>
      <c r="M976" s="743">
        <f>L976</f>
        <v/>
      </c>
      <c r="N976" s="686">
        <f>IF(B976="TXO","",IF(D976="新倉","",IF(E976="賣",(H976-H975)*G976,(H975-H976)*G976)))</f>
        <v/>
      </c>
      <c r="O976" s="226">
        <f>ABS(I976)</f>
        <v/>
      </c>
      <c r="P976" s="667" t="n"/>
      <c r="Q976" s="249" t="inlineStr">
        <is>
          <t>技法: 3/3 買進二口</t>
        </is>
      </c>
      <c r="R976" s="249" t="inlineStr">
        <is>
          <t>Yes</t>
        </is>
      </c>
      <c r="S976" s="249" t="inlineStr">
        <is>
          <t>Yes</t>
        </is>
      </c>
      <c r="T976" s="61">
        <f>IF(AND(R976="Yes",S976&lt;&gt;"Yes",L976&gt;0,B976&lt;&gt;"TXO"),L976,"")</f>
        <v/>
      </c>
      <c r="U976" s="61">
        <f>IF(AND(R976="Yes",S976&lt;&gt;"Yes",L976&lt;0,B976&lt;&gt;"TXO"),L976,"")</f>
        <v/>
      </c>
      <c r="V976" s="61">
        <f>IF(AND(R976="",S976&lt;&gt;"Yes",L976&gt;0,B976&lt;&gt;"TXO"),L976,"")</f>
        <v/>
      </c>
      <c r="W976" s="61">
        <f>IF(AND(R976="",S976&lt;&gt;"Yes",L976&lt;0,B976&lt;&gt;"TXO"),L976,"")</f>
        <v/>
      </c>
      <c r="X976" s="226">
        <f>IF(AND(R976="Yes",S976="Yes",L976&gt;0,B976&lt;&gt;"TXO"),L976,"")</f>
        <v/>
      </c>
      <c r="Y976" s="226">
        <f>IF(AND(R976="Yes",S976="Yes",L976&lt;0,B976&lt;&gt;"TXO"),L976,"")</f>
        <v/>
      </c>
      <c r="Z976" s="226">
        <f>IF(AND(R976="",S976="Yes",L976&gt;0,B976&lt;&gt;"TXO"),L976,"")</f>
        <v/>
      </c>
      <c r="AA976" s="226">
        <f>IF(AND(R976="",S976="Yes",L976&lt;0,B976&lt;&gt;"TXO"),L976,"")</f>
        <v/>
      </c>
    </row>
    <row r="977" hidden="1" outlineLevel="2" collapsed="1" ht="17.25" customHeight="1" thickBot="1">
      <c r="A977" s="740" t="n">
        <v>43378</v>
      </c>
      <c r="B977" s="299" t="inlineStr">
        <is>
          <t>FIMTX</t>
        </is>
      </c>
      <c r="C977" s="300" t="inlineStr">
        <is>
          <t>小指10</t>
        </is>
      </c>
      <c r="D977" s="300" t="inlineStr">
        <is>
          <t>平倉</t>
        </is>
      </c>
      <c r="E977" s="301" t="inlineStr">
        <is>
          <t>買</t>
        </is>
      </c>
      <c r="F977" s="300" t="inlineStr">
        <is>
          <t>-</t>
        </is>
      </c>
      <c r="G977" s="741" t="n">
        <v>1</v>
      </c>
      <c r="H977" s="741" t="n">
        <v>10467</v>
      </c>
      <c r="I977" s="741" t="n">
        <v>0</v>
      </c>
      <c r="J977" s="742" t="n">
        <v>23</v>
      </c>
      <c r="K977" s="742" t="n">
        <v>10</v>
      </c>
      <c r="L977" s="742">
        <f>IF(B977="TXO",I977-SUM(J977:K977),IF(B977="FITX",IF(D977="新倉",-SUM(J977:K977),IF(E977="賣",(H977-H976)*G977*200-SUM(J977:K977),(H976-H977)*G977*200-SUM(J977:K977))),IF(D977="新倉",-SUM(J977:K977),IF(E977="賣",(H977-H976)*G977*50-SUM(J977:K977),(H976-H977)*G977*50-SUM(J977:K977)))))</f>
        <v/>
      </c>
      <c r="M977" s="743">
        <f>L977</f>
        <v/>
      </c>
      <c r="N977" s="686">
        <f>IF(B977="TXO","",IF(D977="新倉","",IF(E977="賣",(H977-H976)*G977,(H976-H977)*G977)))</f>
        <v/>
      </c>
      <c r="O977" s="226">
        <f>ABS(I977)</f>
        <v/>
      </c>
      <c r="P977" s="667" t="n"/>
      <c r="Q977" s="249" t="inlineStr">
        <is>
          <t>技法: 刺補</t>
        </is>
      </c>
      <c r="R977" s="249" t="inlineStr">
        <is>
          <t>Yes</t>
        </is>
      </c>
      <c r="S977" s="249" t="inlineStr">
        <is>
          <t>Yes</t>
        </is>
      </c>
      <c r="T977" s="61">
        <f>IF(AND(R977="Yes",S977&lt;&gt;"Yes",L977&gt;0,B977&lt;&gt;"TXO"),L977,"")</f>
        <v/>
      </c>
      <c r="U977" s="61">
        <f>IF(AND(R977="Yes",S977&lt;&gt;"Yes",L977&lt;0,B977&lt;&gt;"TXO"),L977,"")</f>
        <v/>
      </c>
      <c r="V977" s="61">
        <f>IF(AND(R977="",S977&lt;&gt;"Yes",L977&gt;0,B977&lt;&gt;"TXO"),L977,"")</f>
        <v/>
      </c>
      <c r="W977" s="61">
        <f>IF(AND(R977="",S977&lt;&gt;"Yes",L977&lt;0,B977&lt;&gt;"TXO"),L977,"")</f>
        <v/>
      </c>
      <c r="X977" s="226">
        <f>IF(AND(R977="Yes",S977="Yes",L977&gt;0,B977&lt;&gt;"TXO"),L977,"")</f>
        <v/>
      </c>
      <c r="Y977" s="226">
        <f>IF(AND(R977="Yes",S977="Yes",L977&lt;0,B977&lt;&gt;"TXO"),L977,"")</f>
        <v/>
      </c>
      <c r="Z977" s="226">
        <f>IF(AND(R977="",S977="Yes",L977&gt;0,B977&lt;&gt;"TXO"),L977,"")</f>
        <v/>
      </c>
      <c r="AA977" s="226">
        <f>IF(AND(R977="",S977="Yes",L977&lt;0,B977&lt;&gt;"TXO"),L977,"")</f>
        <v/>
      </c>
    </row>
    <row r="978" hidden="1" outlineLevel="2" collapsed="1" ht="17.25" customHeight="1" thickBot="1">
      <c r="A978" s="740" t="n">
        <v>43378</v>
      </c>
      <c r="B978" s="299" t="inlineStr">
        <is>
          <t>FIMTX</t>
        </is>
      </c>
      <c r="C978" s="300" t="inlineStr">
        <is>
          <t>小指10</t>
        </is>
      </c>
      <c r="D978" s="300" t="inlineStr">
        <is>
          <t>新倉</t>
        </is>
      </c>
      <c r="E978" s="301" t="inlineStr">
        <is>
          <t>賣</t>
        </is>
      </c>
      <c r="F978" s="300" t="inlineStr">
        <is>
          <t>-</t>
        </is>
      </c>
      <c r="G978" s="741" t="n">
        <v>1</v>
      </c>
      <c r="H978" s="741" t="n">
        <v>10476</v>
      </c>
      <c r="I978" s="741" t="n">
        <v>0</v>
      </c>
      <c r="J978" s="742" t="n">
        <v>23</v>
      </c>
      <c r="K978" s="742" t="n">
        <v>10</v>
      </c>
      <c r="L978" s="742">
        <f>IF(B978="TXO",I978-SUM(J978:K978),IF(B978="FITX",IF(D978="新倉",-SUM(J978:K978),IF(E978="賣",(H978-H977)*G978*200-SUM(J978:K978),(H977-H978)*G978*200-SUM(J978:K978))),IF(D978="新倉",-SUM(J978:K978),IF(E978="賣",(H978-H977)*G978*50-SUM(J978:K978),(H977-H978)*G978*50-SUM(J978:K978)))))</f>
        <v/>
      </c>
      <c r="M978" s="743">
        <f>L978</f>
        <v/>
      </c>
      <c r="N978" s="686">
        <f>IF(B978="TXO","",IF(D978="新倉","",IF(E978="賣",(H978-H977)*G978,(H977-H978)*G978)))</f>
        <v/>
      </c>
      <c r="O978" s="226">
        <f>ABS(I978)</f>
        <v/>
      </c>
      <c r="P978" s="667" t="n"/>
      <c r="R978" s="249" t="inlineStr">
        <is>
          <t>Yes</t>
        </is>
      </c>
      <c r="S978" s="249" t="inlineStr">
        <is>
          <t>Yes</t>
        </is>
      </c>
      <c r="T978" s="61">
        <f>IF(AND(R978="Yes",S978&lt;&gt;"Yes",L978&gt;0,B978&lt;&gt;"TXO"),L978,"")</f>
        <v/>
      </c>
      <c r="U978" s="61">
        <f>IF(AND(R978="Yes",S978&lt;&gt;"Yes",L978&lt;0,B978&lt;&gt;"TXO"),L978,"")</f>
        <v/>
      </c>
      <c r="V978" s="61">
        <f>IF(AND(R978="",S978&lt;&gt;"Yes",L978&gt;0,B978&lt;&gt;"TXO"),L978,"")</f>
        <v/>
      </c>
      <c r="W978" s="61">
        <f>IF(AND(R978="",S978&lt;&gt;"Yes",L978&lt;0,B978&lt;&gt;"TXO"),L978,"")</f>
        <v/>
      </c>
      <c r="X978" s="226">
        <f>IF(AND(R978="Yes",S978="Yes",L978&gt;0,B978&lt;&gt;"TXO"),L978,"")</f>
        <v/>
      </c>
      <c r="Y978" s="226">
        <f>IF(AND(R978="Yes",S978="Yes",L978&lt;0,B978&lt;&gt;"TXO"),L978,"")</f>
        <v/>
      </c>
      <c r="Z978" s="226">
        <f>IF(AND(R978="",S978="Yes",L978&gt;0,B978&lt;&gt;"TXO"),L978,"")</f>
        <v/>
      </c>
      <c r="AA978" s="226">
        <f>IF(AND(R978="",S978="Yes",L978&lt;0,B978&lt;&gt;"TXO"),L978,"")</f>
        <v/>
      </c>
    </row>
    <row r="979" hidden="1" outlineLevel="2" collapsed="1" ht="17.25" customHeight="1" thickBot="1">
      <c r="A979" s="740" t="n">
        <v>43378</v>
      </c>
      <c r="B979" s="299" t="inlineStr">
        <is>
          <t>FIMTX</t>
        </is>
      </c>
      <c r="C979" s="300" t="inlineStr">
        <is>
          <t>小指10</t>
        </is>
      </c>
      <c r="D979" s="300" t="inlineStr">
        <is>
          <t>平倉</t>
        </is>
      </c>
      <c r="E979" s="301" t="inlineStr">
        <is>
          <t>買</t>
        </is>
      </c>
      <c r="F979" s="300" t="inlineStr">
        <is>
          <t>-</t>
        </is>
      </c>
      <c r="G979" s="741" t="n">
        <v>1</v>
      </c>
      <c r="H979" s="741" t="n">
        <v>10461</v>
      </c>
      <c r="I979" s="741" t="n">
        <v>0</v>
      </c>
      <c r="J979" s="742" t="n">
        <v>23</v>
      </c>
      <c r="K979" s="742" t="n">
        <v>10</v>
      </c>
      <c r="L979" s="742">
        <f>IF(B979="TXO",I979-SUM(J979:K979),IF(B979="FITX",IF(D979="新倉",-SUM(J979:K979),IF(E979="賣",(H979-H978)*G979*200-SUM(J979:K979),(H978-H979)*G979*200-SUM(J979:K979))),IF(D979="新倉",-SUM(J979:K979),IF(E979="賣",(H979-H978)*G979*50-SUM(J979:K979),(H978-H979)*G979*50-SUM(J979:K979)))))</f>
        <v/>
      </c>
      <c r="M979" s="743">
        <f>L979</f>
        <v/>
      </c>
      <c r="N979" s="686">
        <f>IF(B979="TXO","",IF(D979="新倉","",IF(E979="賣",(H979-H978)*G979,(H978-H979)*G979)))</f>
        <v/>
      </c>
      <c r="O979" s="226">
        <f>ABS(I979)</f>
        <v/>
      </c>
      <c r="P979" s="667" t="n"/>
      <c r="Q979" s="249" t="inlineStr">
        <is>
          <t>元大移動式停利</t>
        </is>
      </c>
      <c r="R979" s="249" t="inlineStr">
        <is>
          <t>Yes</t>
        </is>
      </c>
      <c r="S979" s="249" t="inlineStr">
        <is>
          <t>Yes</t>
        </is>
      </c>
      <c r="T979" s="61">
        <f>IF(AND(R979="Yes",S979&lt;&gt;"Yes",L979&gt;0,B979&lt;&gt;"TXO"),L979,"")</f>
        <v/>
      </c>
      <c r="U979" s="61">
        <f>IF(AND(R979="Yes",S979&lt;&gt;"Yes",L979&lt;0,B979&lt;&gt;"TXO"),L979,"")</f>
        <v/>
      </c>
      <c r="V979" s="61">
        <f>IF(AND(R979="",S979&lt;&gt;"Yes",L979&gt;0,B979&lt;&gt;"TXO"),L979,"")</f>
        <v/>
      </c>
      <c r="W979" s="61">
        <f>IF(AND(R979="",S979&lt;&gt;"Yes",L979&lt;0,B979&lt;&gt;"TXO"),L979,"")</f>
        <v/>
      </c>
      <c r="X979" s="226">
        <f>IF(AND(R979="Yes",S979="Yes",L979&gt;0,B979&lt;&gt;"TXO"),L979,"")</f>
        <v/>
      </c>
      <c r="Y979" s="226">
        <f>IF(AND(R979="Yes",S979="Yes",L979&lt;0,B979&lt;&gt;"TXO"),L979,"")</f>
        <v/>
      </c>
      <c r="Z979" s="226">
        <f>IF(AND(R979="",S979="Yes",L979&gt;0,B979&lt;&gt;"TXO"),L979,"")</f>
        <v/>
      </c>
      <c r="AA979" s="226">
        <f>IF(AND(R979="",S979="Yes",L979&lt;0,B979&lt;&gt;"TXO"),L979,"")</f>
        <v/>
      </c>
    </row>
    <row r="980" hidden="1" outlineLevel="2" collapsed="1" ht="17.25" customHeight="1" thickBot="1">
      <c r="A980" s="740" t="n">
        <v>43378</v>
      </c>
      <c r="B980" s="299" t="inlineStr">
        <is>
          <t>FIMTX</t>
        </is>
      </c>
      <c r="C980" s="300" t="inlineStr">
        <is>
          <t>小指10</t>
        </is>
      </c>
      <c r="D980" s="300" t="inlineStr">
        <is>
          <t>新倉</t>
        </is>
      </c>
      <c r="E980" s="301" t="inlineStr">
        <is>
          <t>賣</t>
        </is>
      </c>
      <c r="F980" s="300" t="inlineStr">
        <is>
          <t>-</t>
        </is>
      </c>
      <c r="G980" s="741" t="n">
        <v>1</v>
      </c>
      <c r="H980" s="741" t="n">
        <v>10418</v>
      </c>
      <c r="I980" s="741" t="n">
        <v>0</v>
      </c>
      <c r="J980" s="742" t="n">
        <v>23</v>
      </c>
      <c r="K980" s="742" t="n">
        <v>10</v>
      </c>
      <c r="L980" s="742">
        <f>IF(B980="TXO",I980-SUM(J980:K980),IF(B980="FITX",IF(D980="新倉",-SUM(J980:K980),IF(E980="賣",(H980-H979)*G980*200-SUM(J980:K980),(H979-H980)*G980*200-SUM(J980:K980))),IF(D980="新倉",-SUM(J980:K980),IF(E980="賣",(H980-H979)*G980*50-SUM(J980:K980),(H979-H980)*G980*50-SUM(J980:K980)))))</f>
        <v/>
      </c>
      <c r="M980" s="743">
        <f>L980</f>
        <v/>
      </c>
      <c r="N980" s="686">
        <f>IF(B980="TXO","",IF(D980="新倉","",IF(E980="賣",(H980-H979)*G980,(H979-H980)*G980)))</f>
        <v/>
      </c>
      <c r="O980" s="226">
        <f>ABS(I980)</f>
        <v/>
      </c>
      <c r="P980" s="667" t="n"/>
      <c r="S980" s="249" t="inlineStr">
        <is>
          <t>Yes</t>
        </is>
      </c>
      <c r="T980" s="61">
        <f>IF(AND(R980="Yes",S980&lt;&gt;"Yes",L980&gt;0,B980&lt;&gt;"TXO"),L980,"")</f>
        <v/>
      </c>
      <c r="U980" s="61">
        <f>IF(AND(R980="Yes",S980&lt;&gt;"Yes",L980&lt;0,B980&lt;&gt;"TXO"),L980,"")</f>
        <v/>
      </c>
      <c r="V980" s="61">
        <f>IF(AND(R980="",S980&lt;&gt;"Yes",L980&gt;0,B980&lt;&gt;"TXO"),L980,"")</f>
        <v/>
      </c>
      <c r="W980" s="61">
        <f>IF(AND(R980="",S980&lt;&gt;"Yes",L980&lt;0,B980&lt;&gt;"TXO"),L980,"")</f>
        <v/>
      </c>
      <c r="X980" s="226">
        <f>IF(AND(R980="Yes",S980="Yes",L980&gt;0,B980&lt;&gt;"TXO"),L980,"")</f>
        <v/>
      </c>
      <c r="Y980" s="226">
        <f>IF(AND(R980="Yes",S980="Yes",L980&lt;0,B980&lt;&gt;"TXO"),L980,"")</f>
        <v/>
      </c>
      <c r="Z980" s="226">
        <f>IF(AND(R980="",S980="Yes",L980&gt;0,B980&lt;&gt;"TXO"),L980,"")</f>
        <v/>
      </c>
      <c r="AA980" s="226">
        <f>IF(AND(R980="",S980="Yes",L980&lt;0,B980&lt;&gt;"TXO"),L980,"")</f>
        <v/>
      </c>
    </row>
    <row r="981" hidden="1" outlineLevel="2" collapsed="1" ht="17.25" customHeight="1" thickBot="1">
      <c r="A981" s="740" t="n">
        <v>43378</v>
      </c>
      <c r="B981" s="299" t="inlineStr">
        <is>
          <t>FIMTX</t>
        </is>
      </c>
      <c r="C981" s="300" t="inlineStr">
        <is>
          <t>小指10</t>
        </is>
      </c>
      <c r="D981" s="300" t="inlineStr">
        <is>
          <t>平倉</t>
        </is>
      </c>
      <c r="E981" s="301" t="inlineStr">
        <is>
          <t>買</t>
        </is>
      </c>
      <c r="F981" s="300" t="inlineStr">
        <is>
          <t>-</t>
        </is>
      </c>
      <c r="G981" s="741" t="n">
        <v>1</v>
      </c>
      <c r="H981" s="741" t="n">
        <v>10411</v>
      </c>
      <c r="I981" s="741" t="n">
        <v>0</v>
      </c>
      <c r="J981" s="742" t="n">
        <v>23</v>
      </c>
      <c r="K981" s="742" t="n">
        <v>10</v>
      </c>
      <c r="L981" s="742">
        <f>IF(B981="TXO",I981-SUM(J981:K981),IF(B981="FITX",IF(D981="新倉",-SUM(J981:K981),IF(E981="賣",(H981-H980)*G981*200-SUM(J981:K981),(H980-H981)*G981*200-SUM(J981:K981))),IF(D981="新倉",-SUM(J981:K981),IF(E981="賣",(H981-H980)*G981*50-SUM(J981:K981),(H980-H981)*G981*50-SUM(J981:K981)))))</f>
        <v/>
      </c>
      <c r="M981" s="743">
        <f>L981</f>
        <v/>
      </c>
      <c r="N981" s="686">
        <f>IF(B981="TXO","",IF(D981="新倉","",IF(E981="賣",(H981-H980)*G981,(H980-H981)*G981)))</f>
        <v/>
      </c>
      <c r="O981" s="226">
        <f>ABS(I981)</f>
        <v/>
      </c>
      <c r="P981" s="667" t="n"/>
      <c r="S981" s="249" t="inlineStr">
        <is>
          <t>Yes</t>
        </is>
      </c>
      <c r="T981" s="61">
        <f>IF(AND(R981="Yes",S981&lt;&gt;"Yes",L981&gt;0,B981&lt;&gt;"TXO"),L981,"")</f>
        <v/>
      </c>
      <c r="U981" s="61">
        <f>IF(AND(R981="Yes",S981&lt;&gt;"Yes",L981&lt;0,B981&lt;&gt;"TXO"),L981,"")</f>
        <v/>
      </c>
      <c r="V981" s="61">
        <f>IF(AND(R981="",S981&lt;&gt;"Yes",L981&gt;0,B981&lt;&gt;"TXO"),L981,"")</f>
        <v/>
      </c>
      <c r="W981" s="61">
        <f>IF(AND(R981="",S981&lt;&gt;"Yes",L981&lt;0,B981&lt;&gt;"TXO"),L981,"")</f>
        <v/>
      </c>
      <c r="X981" s="226">
        <f>IF(AND(R981="Yes",S981="Yes",L981&gt;0,B981&lt;&gt;"TXO"),L981,"")</f>
        <v/>
      </c>
      <c r="Y981" s="226">
        <f>IF(AND(R981="Yes",S981="Yes",L981&lt;0,B981&lt;&gt;"TXO"),L981,"")</f>
        <v/>
      </c>
      <c r="Z981" s="226">
        <f>IF(AND(R981="",S981="Yes",L981&gt;0,B981&lt;&gt;"TXO"),L981,"")</f>
        <v/>
      </c>
      <c r="AA981" s="226">
        <f>IF(AND(R981="",S981="Yes",L981&lt;0,B981&lt;&gt;"TXO"),L981,"")</f>
        <v/>
      </c>
    </row>
    <row r="982" hidden="1" outlineLevel="2" collapsed="1" ht="17.25" customHeight="1" thickBot="1">
      <c r="A982" s="740" t="n">
        <v>43378</v>
      </c>
      <c r="B982" s="299" t="inlineStr">
        <is>
          <t>FIMTX</t>
        </is>
      </c>
      <c r="C982" s="300" t="inlineStr">
        <is>
          <t>小指10</t>
        </is>
      </c>
      <c r="D982" s="300" t="inlineStr">
        <is>
          <t>新倉</t>
        </is>
      </c>
      <c r="E982" s="301" t="inlineStr">
        <is>
          <t>賣</t>
        </is>
      </c>
      <c r="F982" s="300" t="inlineStr">
        <is>
          <t>-</t>
        </is>
      </c>
      <c r="G982" s="741" t="n">
        <v>1</v>
      </c>
      <c r="H982" s="741" t="n">
        <v>10418</v>
      </c>
      <c r="I982" s="741" t="n">
        <v>0</v>
      </c>
      <c r="J982" s="742" t="n">
        <v>23</v>
      </c>
      <c r="K982" s="742" t="n">
        <v>10</v>
      </c>
      <c r="L982" s="742">
        <f>IF(B982="TXO",I982-SUM(J982:K982),IF(B982="FITX",IF(D982="新倉",-SUM(J982:K982),IF(E982="賣",(H982-H981)*G982*200-SUM(J982:K982),(H981-H982)*G982*200-SUM(J982:K982))),IF(D982="新倉",-SUM(J982:K982),IF(E982="賣",(H982-H981)*G982*50-SUM(J982:K982),(H981-H982)*G982*50-SUM(J982:K982)))))</f>
        <v/>
      </c>
      <c r="M982" s="743">
        <f>L982</f>
        <v/>
      </c>
      <c r="N982" s="686">
        <f>IF(B982="TXO","",IF(D982="新倉","",IF(E982="賣",(H982-H981)*G982,(H981-H982)*G982)))</f>
        <v/>
      </c>
      <c r="O982" s="226">
        <f>ABS(I982)</f>
        <v/>
      </c>
      <c r="P982" s="667" t="n"/>
      <c r="S982" s="249" t="inlineStr">
        <is>
          <t>Yes</t>
        </is>
      </c>
      <c r="T982" s="61">
        <f>IF(AND(R982="Yes",S982&lt;&gt;"Yes",L982&gt;0,B982&lt;&gt;"TXO"),L982,"")</f>
        <v/>
      </c>
      <c r="U982" s="61">
        <f>IF(AND(R982="Yes",S982&lt;&gt;"Yes",L982&lt;0,B982&lt;&gt;"TXO"),L982,"")</f>
        <v/>
      </c>
      <c r="V982" s="61">
        <f>IF(AND(R982="",S982&lt;&gt;"Yes",L982&gt;0,B982&lt;&gt;"TXO"),L982,"")</f>
        <v/>
      </c>
      <c r="W982" s="61">
        <f>IF(AND(R982="",S982&lt;&gt;"Yes",L982&lt;0,B982&lt;&gt;"TXO"),L982,"")</f>
        <v/>
      </c>
      <c r="X982" s="226">
        <f>IF(AND(R982="Yes",S982="Yes",L982&gt;0,B982&lt;&gt;"TXO"),L982,"")</f>
        <v/>
      </c>
      <c r="Y982" s="226">
        <f>IF(AND(R982="Yes",S982="Yes",L982&lt;0,B982&lt;&gt;"TXO"),L982,"")</f>
        <v/>
      </c>
      <c r="Z982" s="226">
        <f>IF(AND(R982="",S982="Yes",L982&gt;0,B982&lt;&gt;"TXO"),L982,"")</f>
        <v/>
      </c>
      <c r="AA982" s="226">
        <f>IF(AND(R982="",S982="Yes",L982&lt;0,B982&lt;&gt;"TXO"),L982,"")</f>
        <v/>
      </c>
    </row>
    <row r="983" hidden="1" outlineLevel="2" collapsed="1" ht="17.25" customHeight="1" thickBot="1">
      <c r="A983" s="740" t="n">
        <v>43378</v>
      </c>
      <c r="B983" s="299" t="inlineStr">
        <is>
          <t>FIMTX</t>
        </is>
      </c>
      <c r="C983" s="300" t="inlineStr">
        <is>
          <t>小指10</t>
        </is>
      </c>
      <c r="D983" s="300" t="inlineStr">
        <is>
          <t>平倉</t>
        </is>
      </c>
      <c r="E983" s="301" t="inlineStr">
        <is>
          <t>買</t>
        </is>
      </c>
      <c r="F983" s="300" t="inlineStr">
        <is>
          <t>-</t>
        </is>
      </c>
      <c r="G983" s="741" t="n">
        <v>1</v>
      </c>
      <c r="H983" s="741" t="n">
        <v>10414</v>
      </c>
      <c r="I983" s="741" t="n">
        <v>0</v>
      </c>
      <c r="J983" s="742" t="n">
        <v>23</v>
      </c>
      <c r="K983" s="742" t="n">
        <v>10</v>
      </c>
      <c r="L983" s="742">
        <f>IF(B983="TXO",I983-SUM(J983:K983),IF(B983="FITX",IF(D983="新倉",-SUM(J983:K983),IF(E983="賣",(H983-H982)*G983*200-SUM(J983:K983),(H982-H983)*G983*200-SUM(J983:K983))),IF(D983="新倉",-SUM(J983:K983),IF(E983="賣",(H983-H982)*G983*50-SUM(J983:K983),(H982-H983)*G983*50-SUM(J983:K983)))))</f>
        <v/>
      </c>
      <c r="M983" s="743">
        <f>L983</f>
        <v/>
      </c>
      <c r="N983" s="686">
        <f>IF(B983="TXO","",IF(D983="新倉","",IF(E983="賣",(H983-H982)*G983,(H982-H983)*G983)))</f>
        <v/>
      </c>
      <c r="O983" s="226">
        <f>ABS(I983)</f>
        <v/>
      </c>
      <c r="P983" s="667" t="n"/>
      <c r="S983" s="249" t="inlineStr">
        <is>
          <t>Yes</t>
        </is>
      </c>
      <c r="T983" s="61">
        <f>IF(AND(R983="Yes",S983&lt;&gt;"Yes",L983&gt;0,B983&lt;&gt;"TXO"),L983,"")</f>
        <v/>
      </c>
      <c r="U983" s="61">
        <f>IF(AND(R983="Yes",S983&lt;&gt;"Yes",L983&lt;0,B983&lt;&gt;"TXO"),L983,"")</f>
        <v/>
      </c>
      <c r="V983" s="61">
        <f>IF(AND(R983="",S983&lt;&gt;"Yes",L983&gt;0,B983&lt;&gt;"TXO"),L983,"")</f>
        <v/>
      </c>
      <c r="W983" s="61">
        <f>IF(AND(R983="",S983&lt;&gt;"Yes",L983&lt;0,B983&lt;&gt;"TXO"),L983,"")</f>
        <v/>
      </c>
      <c r="X983" s="226">
        <f>IF(AND(R983="Yes",S983="Yes",L983&gt;0,B983&lt;&gt;"TXO"),L983,"")</f>
        <v/>
      </c>
      <c r="Y983" s="226">
        <f>IF(AND(R983="Yes",S983="Yes",L983&lt;0,B983&lt;&gt;"TXO"),L983,"")</f>
        <v/>
      </c>
      <c r="Z983" s="226">
        <f>IF(AND(R983="",S983="Yes",L983&gt;0,B983&lt;&gt;"TXO"),L983,"")</f>
        <v/>
      </c>
      <c r="AA983" s="226">
        <f>IF(AND(R983="",S983="Yes",L983&lt;0,B983&lt;&gt;"TXO"),L983,"")</f>
        <v/>
      </c>
    </row>
    <row r="984" hidden="1" outlineLevel="2" collapsed="1" ht="17.25" customHeight="1" thickBot="1">
      <c r="A984" s="740" t="n">
        <v>43378</v>
      </c>
      <c r="B984" s="299" t="inlineStr">
        <is>
          <t>FIMTX</t>
        </is>
      </c>
      <c r="C984" s="300" t="inlineStr">
        <is>
          <t>小指10</t>
        </is>
      </c>
      <c r="D984" s="300" t="inlineStr">
        <is>
          <t>新倉</t>
        </is>
      </c>
      <c r="E984" s="301" t="inlineStr">
        <is>
          <t>賣</t>
        </is>
      </c>
      <c r="F984" s="300" t="inlineStr">
        <is>
          <t>-</t>
        </is>
      </c>
      <c r="G984" s="741" t="n">
        <v>1</v>
      </c>
      <c r="H984" s="741" t="n">
        <v>10427</v>
      </c>
      <c r="I984" s="741" t="n">
        <v>0</v>
      </c>
      <c r="J984" s="742" t="n">
        <v>23</v>
      </c>
      <c r="K984" s="742" t="n">
        <v>10</v>
      </c>
      <c r="L984" s="742">
        <f>IF(B984="TXO",I984-SUM(J984:K984),IF(B984="FITX",IF(D984="新倉",-SUM(J984:K984),IF(E984="賣",(H984-H983)*G984*200-SUM(J984:K984),(H983-H984)*G984*200-SUM(J984:K984))),IF(D984="新倉",-SUM(J984:K984),IF(E984="賣",(H984-H983)*G984*50-SUM(J984:K984),(H983-H984)*G984*50-SUM(J984:K984)))))</f>
        <v/>
      </c>
      <c r="M984" s="743">
        <f>L984</f>
        <v/>
      </c>
      <c r="N984" s="686">
        <f>IF(B984="TXO","",IF(D984="新倉","",IF(E984="賣",(H984-H983)*G984,(H983-H984)*G984)))</f>
        <v/>
      </c>
      <c r="O984" s="226">
        <f>ABS(I984)</f>
        <v/>
      </c>
      <c r="P984" s="667" t="n"/>
      <c r="S984" s="249" t="inlineStr">
        <is>
          <t>Yes</t>
        </is>
      </c>
      <c r="T984" s="61">
        <f>IF(AND(R984="Yes",S984&lt;&gt;"Yes",L984&gt;0,B984&lt;&gt;"TXO"),L984,"")</f>
        <v/>
      </c>
      <c r="U984" s="61">
        <f>IF(AND(R984="Yes",S984&lt;&gt;"Yes",L984&lt;0,B984&lt;&gt;"TXO"),L984,"")</f>
        <v/>
      </c>
      <c r="V984" s="61">
        <f>IF(AND(R984="",S984&lt;&gt;"Yes",L984&gt;0,B984&lt;&gt;"TXO"),L984,"")</f>
        <v/>
      </c>
      <c r="W984" s="61">
        <f>IF(AND(R984="",S984&lt;&gt;"Yes",L984&lt;0,B984&lt;&gt;"TXO"),L984,"")</f>
        <v/>
      </c>
      <c r="X984" s="226">
        <f>IF(AND(R984="Yes",S984="Yes",L984&gt;0,B984&lt;&gt;"TXO"),L984,"")</f>
        <v/>
      </c>
      <c r="Y984" s="226">
        <f>IF(AND(R984="Yes",S984="Yes",L984&lt;0,B984&lt;&gt;"TXO"),L984,"")</f>
        <v/>
      </c>
      <c r="Z984" s="226">
        <f>IF(AND(R984="",S984="Yes",L984&gt;0,B984&lt;&gt;"TXO"),L984,"")</f>
        <v/>
      </c>
      <c r="AA984" s="226">
        <f>IF(AND(R984="",S984="Yes",L984&lt;0,B984&lt;&gt;"TXO"),L984,"")</f>
        <v/>
      </c>
    </row>
    <row r="985" hidden="1" outlineLevel="2" collapsed="1" ht="17.25" customHeight="1" thickBot="1">
      <c r="A985" s="740" t="n">
        <v>43378</v>
      </c>
      <c r="B985" s="299" t="inlineStr">
        <is>
          <t>FIMTX</t>
        </is>
      </c>
      <c r="C985" s="300" t="inlineStr">
        <is>
          <t>小指10</t>
        </is>
      </c>
      <c r="D985" s="300" t="inlineStr">
        <is>
          <t>平倉</t>
        </is>
      </c>
      <c r="E985" s="301" t="inlineStr">
        <is>
          <t>買</t>
        </is>
      </c>
      <c r="F985" s="300" t="inlineStr">
        <is>
          <t>-</t>
        </is>
      </c>
      <c r="G985" s="741" t="n">
        <v>1</v>
      </c>
      <c r="H985" s="741" t="n">
        <v>10415</v>
      </c>
      <c r="I985" s="741" t="n">
        <v>0</v>
      </c>
      <c r="J985" s="742" t="n">
        <v>23</v>
      </c>
      <c r="K985" s="742" t="n">
        <v>10</v>
      </c>
      <c r="L985" s="742">
        <f>IF(B985="TXO",I985-SUM(J985:K985),IF(B985="FITX",IF(D985="新倉",-SUM(J985:K985),IF(E985="賣",(H985-H984)*G985*200-SUM(J985:K985),(H984-H985)*G985*200-SUM(J985:K985))),IF(D985="新倉",-SUM(J985:K985),IF(E985="賣",(H985-H984)*G985*50-SUM(J985:K985),(H984-H985)*G985*50-SUM(J985:K985)))))</f>
        <v/>
      </c>
      <c r="M985" s="743">
        <f>L985</f>
        <v/>
      </c>
      <c r="N985" s="686">
        <f>IF(B985="TXO","",IF(D985="新倉","",IF(E985="賣",(H985-H984)*G985,(H984-H985)*G985)))</f>
        <v/>
      </c>
      <c r="O985" s="226">
        <f>ABS(I985)</f>
        <v/>
      </c>
      <c r="P985" s="667" t="n"/>
      <c r="S985" s="249" t="inlineStr">
        <is>
          <t>Yes</t>
        </is>
      </c>
      <c r="T985" s="61">
        <f>IF(AND(R985="Yes",S985&lt;&gt;"Yes",L985&gt;0,B985&lt;&gt;"TXO"),L985,"")</f>
        <v/>
      </c>
      <c r="U985" s="61">
        <f>IF(AND(R985="Yes",S985&lt;&gt;"Yes",L985&lt;0,B985&lt;&gt;"TXO"),L985,"")</f>
        <v/>
      </c>
      <c r="V985" s="61">
        <f>IF(AND(R985="",S985&lt;&gt;"Yes",L985&gt;0,B985&lt;&gt;"TXO"),L985,"")</f>
        <v/>
      </c>
      <c r="W985" s="61">
        <f>IF(AND(R985="",S985&lt;&gt;"Yes",L985&lt;0,B985&lt;&gt;"TXO"),L985,"")</f>
        <v/>
      </c>
      <c r="X985" s="226">
        <f>IF(AND(R985="Yes",S985="Yes",L985&gt;0,B985&lt;&gt;"TXO"),L985,"")</f>
        <v/>
      </c>
      <c r="Y985" s="226">
        <f>IF(AND(R985="Yes",S985="Yes",L985&lt;0,B985&lt;&gt;"TXO"),L985,"")</f>
        <v/>
      </c>
      <c r="Z985" s="226">
        <f>IF(AND(R985="",S985="Yes",L985&gt;0,B985&lt;&gt;"TXO"),L985,"")</f>
        <v/>
      </c>
      <c r="AA985" s="226">
        <f>IF(AND(R985="",S985="Yes",L985&lt;0,B985&lt;&gt;"TXO"),L985,"")</f>
        <v/>
      </c>
    </row>
    <row r="986" hidden="1" outlineLevel="2" collapsed="1" ht="17.25" customHeight="1" thickBot="1">
      <c r="A986" s="740" t="n">
        <v>43378</v>
      </c>
      <c r="B986" s="299" t="inlineStr">
        <is>
          <t>FIMTX</t>
        </is>
      </c>
      <c r="C986" s="300" t="inlineStr">
        <is>
          <t>小指10</t>
        </is>
      </c>
      <c r="D986" s="300" t="inlineStr">
        <is>
          <t>新倉</t>
        </is>
      </c>
      <c r="E986" s="301" t="inlineStr">
        <is>
          <t>賣</t>
        </is>
      </c>
      <c r="F986" s="300" t="inlineStr">
        <is>
          <t>-</t>
        </is>
      </c>
      <c r="G986" s="741" t="n">
        <v>1</v>
      </c>
      <c r="H986" s="741" t="n">
        <v>10429</v>
      </c>
      <c r="I986" s="741" t="n">
        <v>0</v>
      </c>
      <c r="J986" s="742" t="n">
        <v>23</v>
      </c>
      <c r="K986" s="742" t="n">
        <v>10</v>
      </c>
      <c r="L986" s="742">
        <f>IF(B986="TXO",I986-SUM(J986:K986),IF(B986="FITX",IF(D986="新倉",-SUM(J986:K986),IF(E986="賣",(H986-H985)*G986*200-SUM(J986:K986),(H985-H986)*G986*200-SUM(J986:K986))),IF(D986="新倉",-SUM(J986:K986),IF(E986="賣",(H986-H985)*G986*50-SUM(J986:K986),(H985-H986)*G986*50-SUM(J986:K986)))))</f>
        <v/>
      </c>
      <c r="M986" s="743">
        <f>L986</f>
        <v/>
      </c>
      <c r="N986" s="686">
        <f>IF(B986="TXO","",IF(D986="新倉","",IF(E986="賣",(H986-H985)*G986,(H985-H986)*G986)))</f>
        <v/>
      </c>
      <c r="O986" s="226">
        <f>ABS(I986)</f>
        <v/>
      </c>
      <c r="P986" s="667" t="n"/>
      <c r="S986" s="249" t="inlineStr">
        <is>
          <t>Yes</t>
        </is>
      </c>
      <c r="T986" s="61">
        <f>IF(AND(R986="Yes",S986&lt;&gt;"Yes",L986&gt;0,B986&lt;&gt;"TXO"),L986,"")</f>
        <v/>
      </c>
      <c r="U986" s="61">
        <f>IF(AND(R986="Yes",S986&lt;&gt;"Yes",L986&lt;0,B986&lt;&gt;"TXO"),L986,"")</f>
        <v/>
      </c>
      <c r="V986" s="61">
        <f>IF(AND(R986="",S986&lt;&gt;"Yes",L986&gt;0,B986&lt;&gt;"TXO"),L986,"")</f>
        <v/>
      </c>
      <c r="W986" s="61">
        <f>IF(AND(R986="",S986&lt;&gt;"Yes",L986&lt;0,B986&lt;&gt;"TXO"),L986,"")</f>
        <v/>
      </c>
      <c r="X986" s="226">
        <f>IF(AND(R986="Yes",S986="Yes",L986&gt;0,B986&lt;&gt;"TXO"),L986,"")</f>
        <v/>
      </c>
      <c r="Y986" s="226">
        <f>IF(AND(R986="Yes",S986="Yes",L986&lt;0,B986&lt;&gt;"TXO"),L986,"")</f>
        <v/>
      </c>
      <c r="Z986" s="226">
        <f>IF(AND(R986="",S986="Yes",L986&gt;0,B986&lt;&gt;"TXO"),L986,"")</f>
        <v/>
      </c>
      <c r="AA986" s="226">
        <f>IF(AND(R986="",S986="Yes",L986&lt;0,B986&lt;&gt;"TXO"),L986,"")</f>
        <v/>
      </c>
    </row>
    <row r="987" hidden="1" outlineLevel="2" collapsed="1" ht="17.25" customHeight="1" thickBot="1">
      <c r="A987" s="740" t="n">
        <v>43378</v>
      </c>
      <c r="B987" s="299" t="inlineStr">
        <is>
          <t>FIMTX</t>
        </is>
      </c>
      <c r="C987" s="300" t="inlineStr">
        <is>
          <t>小指10</t>
        </is>
      </c>
      <c r="D987" s="300" t="inlineStr">
        <is>
          <t>平倉</t>
        </is>
      </c>
      <c r="E987" s="301" t="inlineStr">
        <is>
          <t>買</t>
        </is>
      </c>
      <c r="F987" s="300" t="inlineStr">
        <is>
          <t>-</t>
        </is>
      </c>
      <c r="G987" s="741" t="n">
        <v>1</v>
      </c>
      <c r="H987" s="741" t="n">
        <v>10419</v>
      </c>
      <c r="I987" s="741" t="n">
        <v>0</v>
      </c>
      <c r="J987" s="742" t="n">
        <v>23</v>
      </c>
      <c r="K987" s="742" t="n">
        <v>10</v>
      </c>
      <c r="L987" s="742">
        <f>IF(B987="TXO",I987-SUM(J987:K987),IF(B987="FITX",IF(D987="新倉",-SUM(J987:K987),IF(E987="賣",(H987-H986)*G987*200-SUM(J987:K987),(H986-H987)*G987*200-SUM(J987:K987))),IF(D987="新倉",-SUM(J987:K987),IF(E987="賣",(H987-H986)*G987*50-SUM(J987:K987),(H986-H987)*G987*50-SUM(J987:K987)))))</f>
        <v/>
      </c>
      <c r="M987" s="743">
        <f>L987</f>
        <v/>
      </c>
      <c r="N987" s="686">
        <f>IF(B987="TXO","",IF(D987="新倉","",IF(E987="賣",(H987-H986)*G987,(H986-H987)*G987)))</f>
        <v/>
      </c>
      <c r="O987" s="226">
        <f>ABS(I987)</f>
        <v/>
      </c>
      <c r="P987" s="667" t="n"/>
      <c r="S987" s="249" t="inlineStr">
        <is>
          <t>Yes</t>
        </is>
      </c>
      <c r="T987" s="61">
        <f>IF(AND(R987="Yes",S987&lt;&gt;"Yes",L987&gt;0,B987&lt;&gt;"TXO"),L987,"")</f>
        <v/>
      </c>
      <c r="U987" s="61">
        <f>IF(AND(R987="Yes",S987&lt;&gt;"Yes",L987&lt;0,B987&lt;&gt;"TXO"),L987,"")</f>
        <v/>
      </c>
      <c r="V987" s="61">
        <f>IF(AND(R987="",S987&lt;&gt;"Yes",L987&gt;0,B987&lt;&gt;"TXO"),L987,"")</f>
        <v/>
      </c>
      <c r="W987" s="61">
        <f>IF(AND(R987="",S987&lt;&gt;"Yes",L987&lt;0,B987&lt;&gt;"TXO"),L987,"")</f>
        <v/>
      </c>
      <c r="X987" s="226">
        <f>IF(AND(R987="Yes",S987="Yes",L987&gt;0,B987&lt;&gt;"TXO"),L987,"")</f>
        <v/>
      </c>
      <c r="Y987" s="226">
        <f>IF(AND(R987="Yes",S987="Yes",L987&lt;0,B987&lt;&gt;"TXO"),L987,"")</f>
        <v/>
      </c>
      <c r="Z987" s="226">
        <f>IF(AND(R987="",S987="Yes",L987&gt;0,B987&lt;&gt;"TXO"),L987,"")</f>
        <v/>
      </c>
      <c r="AA987" s="226">
        <f>IF(AND(R987="",S987="Yes",L987&lt;0,B987&lt;&gt;"TXO"),L987,"")</f>
        <v/>
      </c>
    </row>
    <row r="988" hidden="1" outlineLevel="1" ht="17.25" customHeight="1" thickBot="1">
      <c r="A988" s="696" t="n">
        <v>43381</v>
      </c>
      <c r="B988" s="234" t="inlineStr">
        <is>
          <t>FIMTX</t>
        </is>
      </c>
      <c r="C988" s="229" t="inlineStr">
        <is>
          <t>小指10</t>
        </is>
      </c>
      <c r="D988" s="229" t="inlineStr">
        <is>
          <t>新倉</t>
        </is>
      </c>
      <c r="E988" s="257" t="inlineStr">
        <is>
          <t>賣</t>
        </is>
      </c>
      <c r="F988" s="229" t="inlineStr">
        <is>
          <t>-</t>
        </is>
      </c>
      <c r="G988" s="697" t="n">
        <v>1</v>
      </c>
      <c r="H988" s="697" t="n">
        <v>10441</v>
      </c>
      <c r="I988" s="697" t="n">
        <v>0</v>
      </c>
      <c r="J988" s="585" t="n">
        <v>23</v>
      </c>
      <c r="K988" s="585" t="n">
        <v>10</v>
      </c>
      <c r="L988" s="585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/>
      </c>
      <c r="M988" s="699">
        <f>L988</f>
        <v/>
      </c>
      <c r="N988" s="686">
        <f>IF(B988="TXO","",IF(D988="新倉","",IF(E988="賣",(H988-H987)*G988,(H987-H988)*G988)))</f>
        <v/>
      </c>
      <c r="O988" s="226">
        <f>ABS(I988)</f>
        <v/>
      </c>
      <c r="P988" s="667">
        <f>SUM(L988:L1027)</f>
        <v/>
      </c>
      <c r="S988" s="739" t="n"/>
      <c r="T988" s="61">
        <f>IF(AND(R988="Yes",S988&lt;&gt;"Yes",L988&gt;0,B988&lt;&gt;"TXO"),L988,"")</f>
        <v/>
      </c>
      <c r="U988" s="61">
        <f>IF(AND(R988="Yes",S988&lt;&gt;"Yes",L988&lt;0,B988&lt;&gt;"TXO"),L988,"")</f>
        <v/>
      </c>
      <c r="V988" s="61">
        <f>IF(AND(R988="",S988&lt;&gt;"Yes",L988&gt;0,B988&lt;&gt;"TXO"),L988,"")</f>
        <v/>
      </c>
      <c r="W988" s="61">
        <f>IF(AND(R988="",S988&lt;&gt;"Yes",L988&lt;0,B988&lt;&gt;"TXO"),L988,"")</f>
        <v/>
      </c>
      <c r="X988" s="226">
        <f>IF(AND(R988="Yes",S988="Yes",L988&gt;0,B988&lt;&gt;"TXO"),L988,"")</f>
        <v/>
      </c>
      <c r="Y988" s="226">
        <f>IF(AND(R988="Yes",S988="Yes",L988&lt;0,B988&lt;&gt;"TXO"),L988,"")</f>
        <v/>
      </c>
      <c r="Z988" s="226">
        <f>IF(AND(R988="",S988="Yes",L988&gt;0,B988&lt;&gt;"TXO"),L988,"")</f>
        <v/>
      </c>
      <c r="AA988" s="226">
        <f>IF(AND(R988="",S988="Yes",L988&lt;0,B988&lt;&gt;"TXO"),L988,"")</f>
        <v/>
      </c>
    </row>
    <row r="989" hidden="1" outlineLevel="2" ht="17.25" customHeight="1" thickBot="1">
      <c r="A989" s="696" t="n">
        <v>43381</v>
      </c>
      <c r="B989" s="234" t="inlineStr">
        <is>
          <t>FIMTX</t>
        </is>
      </c>
      <c r="C989" s="229" t="inlineStr">
        <is>
          <t>小指10</t>
        </is>
      </c>
      <c r="D989" s="229" t="inlineStr">
        <is>
          <t>平倉</t>
        </is>
      </c>
      <c r="E989" s="257" t="inlineStr">
        <is>
          <t>買</t>
        </is>
      </c>
      <c r="F989" s="229" t="inlineStr">
        <is>
          <t>-</t>
        </is>
      </c>
      <c r="G989" s="697" t="n">
        <v>1</v>
      </c>
      <c r="H989" s="697" t="n">
        <v>10431</v>
      </c>
      <c r="I989" s="697" t="n">
        <v>0</v>
      </c>
      <c r="J989" s="585" t="n">
        <v>23</v>
      </c>
      <c r="K989" s="585" t="n">
        <v>10</v>
      </c>
      <c r="L989" s="585">
        <f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/>
      </c>
      <c r="M989" s="699">
        <f>L989</f>
        <v/>
      </c>
      <c r="N989" s="686">
        <f>IF(B989="TXO","",IF(D989="新倉","",IF(E989="賣",(H989-H988)*G989,(H988-H989)*G989)))</f>
        <v/>
      </c>
      <c r="O989" s="226">
        <f>ABS(I989)</f>
        <v/>
      </c>
      <c r="P989" s="667" t="n"/>
      <c r="S989" s="739" t="n"/>
      <c r="T989" s="61">
        <f>IF(AND(R989="Yes",S989&lt;&gt;"Yes",L989&gt;0,B989&lt;&gt;"TXO"),L989,"")</f>
        <v/>
      </c>
      <c r="U989" s="61">
        <f>IF(AND(R989="Yes",S989&lt;&gt;"Yes",L989&lt;0,B989&lt;&gt;"TXO"),L989,"")</f>
        <v/>
      </c>
      <c r="V989" s="61">
        <f>IF(AND(R989="",S989&lt;&gt;"Yes",L989&gt;0,B989&lt;&gt;"TXO"),L989,"")</f>
        <v/>
      </c>
      <c r="W989" s="61">
        <f>IF(AND(R989="",S989&lt;&gt;"Yes",L989&lt;0,B989&lt;&gt;"TXO"),L989,"")</f>
        <v/>
      </c>
      <c r="X989" s="226">
        <f>IF(AND(R989="Yes",S989="Yes",L989&gt;0,B989&lt;&gt;"TXO"),L989,"")</f>
        <v/>
      </c>
      <c r="Y989" s="226">
        <f>IF(AND(R989="Yes",S989="Yes",L989&lt;0,B989&lt;&gt;"TXO"),L989,"")</f>
        <v/>
      </c>
      <c r="Z989" s="226">
        <f>IF(AND(R989="",S989="Yes",L989&gt;0,B989&lt;&gt;"TXO"),L989,"")</f>
        <v/>
      </c>
      <c r="AA989" s="226">
        <f>IF(AND(R989="",S989="Yes",L989&lt;0,B989&lt;&gt;"TXO"),L989,"")</f>
        <v/>
      </c>
    </row>
    <row r="990" hidden="1" outlineLevel="2" ht="17.25" customHeight="1" thickBot="1">
      <c r="A990" s="696" t="n">
        <v>43381</v>
      </c>
      <c r="B990" s="234" t="inlineStr">
        <is>
          <t>FIMTX</t>
        </is>
      </c>
      <c r="C990" s="229" t="inlineStr">
        <is>
          <t>小指10</t>
        </is>
      </c>
      <c r="D990" s="229" t="inlineStr">
        <is>
          <t>新倉</t>
        </is>
      </c>
      <c r="E990" s="257" t="inlineStr">
        <is>
          <t>賣</t>
        </is>
      </c>
      <c r="F990" s="229" t="inlineStr">
        <is>
          <t>-</t>
        </is>
      </c>
      <c r="G990" s="697" t="n">
        <v>1</v>
      </c>
      <c r="H990" s="697" t="n">
        <v>10429</v>
      </c>
      <c r="I990" s="697" t="n">
        <v>0</v>
      </c>
      <c r="J990" s="585" t="n">
        <v>23</v>
      </c>
      <c r="K990" s="585" t="n">
        <v>10</v>
      </c>
      <c r="L990" s="585">
        <f>IF(B990="TXO",I990-SUM(J990:K990),IF(B990="FITX",IF(D990="新倉",-SUM(J990:K990),IF(E990="賣",(H990-H989)*G990*200-SUM(J990:K990),(H989-H990)*G990*200-SUM(J990:K990))),IF(D990="新倉",-SUM(J990:K990),IF(E990="賣",(H990-H989)*G990*50-SUM(J990:K990),(H989-H990)*G990*50-SUM(J990:K990)))))</f>
        <v/>
      </c>
      <c r="M990" s="699">
        <f>L990</f>
        <v/>
      </c>
      <c r="N990" s="686">
        <f>IF(B990="TXO","",IF(D990="新倉","",IF(E990="賣",(H990-H989)*G990,(H989-H990)*G990)))</f>
        <v/>
      </c>
      <c r="O990" s="226">
        <f>ABS(I990)</f>
        <v/>
      </c>
      <c r="P990" s="667" t="n"/>
      <c r="S990" s="739" t="n"/>
      <c r="T990" s="61">
        <f>IF(AND(R990="Yes",S990&lt;&gt;"Yes",L990&gt;0,B990&lt;&gt;"TXO"),L990,"")</f>
        <v/>
      </c>
      <c r="U990" s="61">
        <f>IF(AND(R990="Yes",S990&lt;&gt;"Yes",L990&lt;0,B990&lt;&gt;"TXO"),L990,"")</f>
        <v/>
      </c>
      <c r="V990" s="61">
        <f>IF(AND(R990="",S990&lt;&gt;"Yes",L990&gt;0,B990&lt;&gt;"TXO"),L990,"")</f>
        <v/>
      </c>
      <c r="W990" s="61">
        <f>IF(AND(R990="",S990&lt;&gt;"Yes",L990&lt;0,B990&lt;&gt;"TXO"),L990,"")</f>
        <v/>
      </c>
      <c r="X990" s="226">
        <f>IF(AND(R990="Yes",S990="Yes",L990&gt;0,B990&lt;&gt;"TXO"),L990,"")</f>
        <v/>
      </c>
      <c r="Y990" s="226">
        <f>IF(AND(R990="Yes",S990="Yes",L990&lt;0,B990&lt;&gt;"TXO"),L990,"")</f>
        <v/>
      </c>
      <c r="Z990" s="226">
        <f>IF(AND(R990="",S990="Yes",L990&gt;0,B990&lt;&gt;"TXO"),L990,"")</f>
        <v/>
      </c>
      <c r="AA990" s="226">
        <f>IF(AND(R990="",S990="Yes",L990&lt;0,B990&lt;&gt;"TXO"),L990,"")</f>
        <v/>
      </c>
    </row>
    <row r="991" hidden="1" outlineLevel="2" ht="17.25" customHeight="1" thickBot="1">
      <c r="A991" s="696" t="n">
        <v>43381</v>
      </c>
      <c r="B991" s="234" t="inlineStr">
        <is>
          <t>FIMTX</t>
        </is>
      </c>
      <c r="C991" s="229" t="inlineStr">
        <is>
          <t>小指10</t>
        </is>
      </c>
      <c r="D991" s="229" t="inlineStr">
        <is>
          <t>平倉</t>
        </is>
      </c>
      <c r="E991" s="257" t="inlineStr">
        <is>
          <t>買</t>
        </is>
      </c>
      <c r="F991" s="229" t="inlineStr">
        <is>
          <t>-</t>
        </is>
      </c>
      <c r="G991" s="697" t="n">
        <v>1</v>
      </c>
      <c r="H991" s="697" t="n">
        <v>10444</v>
      </c>
      <c r="I991" s="697" t="n">
        <v>0</v>
      </c>
      <c r="J991" s="585" t="n">
        <v>23</v>
      </c>
      <c r="K991" s="585" t="n">
        <v>10</v>
      </c>
      <c r="L991" s="585">
        <f>IF(B991="TXO",I991-SUM(J991:K991),IF(B991="FITX",IF(D991="新倉",-SUM(J991:K991),IF(E991="賣",(H991-H990)*G991*200-SUM(J991:K991),(H990-H991)*G991*200-SUM(J991:K991))),IF(D991="新倉",-SUM(J991:K991),IF(E991="賣",(H991-H990)*G991*50-SUM(J991:K991),(H990-H991)*G991*50-SUM(J991:K991)))))</f>
        <v/>
      </c>
      <c r="M991" s="699">
        <f>L991</f>
        <v/>
      </c>
      <c r="N991" s="686">
        <f>IF(B991="TXO","",IF(D991="新倉","",IF(E991="賣",(H991-H990)*G991,(H990-H991)*G991)))</f>
        <v/>
      </c>
      <c r="O991" s="226">
        <f>ABS(I991)</f>
        <v/>
      </c>
      <c r="P991" s="667" t="n"/>
      <c r="S991" s="739" t="n"/>
      <c r="T991" s="61">
        <f>IF(AND(R991="Yes",S991&lt;&gt;"Yes",L991&gt;0,B991&lt;&gt;"TXO"),L991,"")</f>
        <v/>
      </c>
      <c r="U991" s="61">
        <f>IF(AND(R991="Yes",S991&lt;&gt;"Yes",L991&lt;0,B991&lt;&gt;"TXO"),L991,"")</f>
        <v/>
      </c>
      <c r="V991" s="61">
        <f>IF(AND(R991="",S991&lt;&gt;"Yes",L991&gt;0,B991&lt;&gt;"TXO"),L991,"")</f>
        <v/>
      </c>
      <c r="W991" s="61">
        <f>IF(AND(R991="",S991&lt;&gt;"Yes",L991&lt;0,B991&lt;&gt;"TXO"),L991,"")</f>
        <v/>
      </c>
      <c r="X991" s="226">
        <f>IF(AND(R991="Yes",S991="Yes",L991&gt;0,B991&lt;&gt;"TXO"),L991,"")</f>
        <v/>
      </c>
      <c r="Y991" s="226">
        <f>IF(AND(R991="Yes",S991="Yes",L991&lt;0,B991&lt;&gt;"TXO"),L991,"")</f>
        <v/>
      </c>
      <c r="Z991" s="226">
        <f>IF(AND(R991="",S991="Yes",L991&gt;0,B991&lt;&gt;"TXO"),L991,"")</f>
        <v/>
      </c>
      <c r="AA991" s="226">
        <f>IF(AND(R991="",S991="Yes",L991&lt;0,B991&lt;&gt;"TXO"),L991,"")</f>
        <v/>
      </c>
    </row>
    <row r="992" hidden="1" outlineLevel="2" ht="17.25" customHeight="1" thickBot="1">
      <c r="A992" s="696" t="n">
        <v>43381</v>
      </c>
      <c r="B992" s="234" t="inlineStr">
        <is>
          <t>FIMTX</t>
        </is>
      </c>
      <c r="C992" s="229" t="inlineStr">
        <is>
          <t>小指10</t>
        </is>
      </c>
      <c r="D992" s="229" t="inlineStr">
        <is>
          <t>新倉</t>
        </is>
      </c>
      <c r="E992" s="257" t="inlineStr">
        <is>
          <t>賣</t>
        </is>
      </c>
      <c r="F992" s="229" t="inlineStr">
        <is>
          <t>-</t>
        </is>
      </c>
      <c r="G992" s="697" t="n">
        <v>1</v>
      </c>
      <c r="H992" s="697" t="n">
        <v>10452</v>
      </c>
      <c r="I992" s="697" t="n">
        <v>0</v>
      </c>
      <c r="J992" s="585" t="n">
        <v>23</v>
      </c>
      <c r="K992" s="585" t="n">
        <v>10</v>
      </c>
      <c r="L992" s="585">
        <f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/>
      </c>
      <c r="M992" s="699">
        <f>L992</f>
        <v/>
      </c>
      <c r="N992" s="686">
        <f>IF(B992="TXO","",IF(D992="新倉","",IF(E992="賣",(H992-H991)*G992,(H991-H992)*G992)))</f>
        <v/>
      </c>
      <c r="O992" s="226">
        <f>ABS(I992)</f>
        <v/>
      </c>
      <c r="P992" s="667" t="n"/>
      <c r="S992" s="739" t="n"/>
      <c r="T992" s="61">
        <f>IF(AND(R992="Yes",S992&lt;&gt;"Yes",L992&gt;0,B992&lt;&gt;"TXO"),L992,"")</f>
        <v/>
      </c>
      <c r="U992" s="61">
        <f>IF(AND(R992="Yes",S992&lt;&gt;"Yes",L992&lt;0,B992&lt;&gt;"TXO"),L992,"")</f>
        <v/>
      </c>
      <c r="V992" s="61">
        <f>IF(AND(R992="",S992&lt;&gt;"Yes",L992&gt;0,B992&lt;&gt;"TXO"),L992,"")</f>
        <v/>
      </c>
      <c r="W992" s="61">
        <f>IF(AND(R992="",S992&lt;&gt;"Yes",L992&lt;0,B992&lt;&gt;"TXO"),L992,"")</f>
        <v/>
      </c>
      <c r="X992" s="226">
        <f>IF(AND(R992="Yes",S992="Yes",L992&gt;0,B992&lt;&gt;"TXO"),L992,"")</f>
        <v/>
      </c>
      <c r="Y992" s="226">
        <f>IF(AND(R992="Yes",S992="Yes",L992&lt;0,B992&lt;&gt;"TXO"),L992,"")</f>
        <v/>
      </c>
      <c r="Z992" s="226">
        <f>IF(AND(R992="",S992="Yes",L992&gt;0,B992&lt;&gt;"TXO"),L992,"")</f>
        <v/>
      </c>
      <c r="AA992" s="226">
        <f>IF(AND(R992="",S992="Yes",L992&lt;0,B992&lt;&gt;"TXO"),L992,"")</f>
        <v/>
      </c>
    </row>
    <row r="993" hidden="1" outlineLevel="2" ht="17.25" customHeight="1" thickBot="1">
      <c r="A993" s="696" t="n">
        <v>43381</v>
      </c>
      <c r="B993" s="234" t="inlineStr">
        <is>
          <t>FIMTX</t>
        </is>
      </c>
      <c r="C993" s="229" t="inlineStr">
        <is>
          <t>小指10</t>
        </is>
      </c>
      <c r="D993" s="229" t="inlineStr">
        <is>
          <t>平倉</t>
        </is>
      </c>
      <c r="E993" s="257" t="inlineStr">
        <is>
          <t>買</t>
        </is>
      </c>
      <c r="F993" s="229" t="inlineStr">
        <is>
          <t>-</t>
        </is>
      </c>
      <c r="G993" s="697" t="n">
        <v>1</v>
      </c>
      <c r="H993" s="697" t="n">
        <v>10450</v>
      </c>
      <c r="I993" s="697" t="n">
        <v>0</v>
      </c>
      <c r="J993" s="585" t="n">
        <v>23</v>
      </c>
      <c r="K993" s="585" t="n">
        <v>10</v>
      </c>
      <c r="L993" s="585">
        <f>IF(B993="TXO",I993-SUM(J993:K993),IF(B993="FITX",IF(D993="新倉",-SUM(J993:K993),IF(E993="賣",(H993-H992)*G993*200-SUM(J993:K993),(H992-H993)*G993*200-SUM(J993:K993))),IF(D993="新倉",-SUM(J993:K993),IF(E993="賣",(H993-H992)*G993*50-SUM(J993:K993),(H992-H993)*G993*50-SUM(J993:K993)))))</f>
        <v/>
      </c>
      <c r="M993" s="699">
        <f>L993</f>
        <v/>
      </c>
      <c r="N993" s="686">
        <f>IF(B993="TXO","",IF(D993="新倉","",IF(E993="賣",(H993-H992)*G993,(H992-H993)*G993)))</f>
        <v/>
      </c>
      <c r="O993" s="226">
        <f>ABS(I993)</f>
        <v/>
      </c>
      <c r="P993" s="667" t="n"/>
      <c r="S993" s="739" t="n"/>
      <c r="T993" s="61">
        <f>IF(AND(R993="Yes",S993&lt;&gt;"Yes",L993&gt;0,B993&lt;&gt;"TXO"),L993,"")</f>
        <v/>
      </c>
      <c r="U993" s="61">
        <f>IF(AND(R993="Yes",S993&lt;&gt;"Yes",L993&lt;0,B993&lt;&gt;"TXO"),L993,"")</f>
        <v/>
      </c>
      <c r="V993" s="61">
        <f>IF(AND(R993="",S993&lt;&gt;"Yes",L993&gt;0,B993&lt;&gt;"TXO"),L993,"")</f>
        <v/>
      </c>
      <c r="W993" s="61">
        <f>IF(AND(R993="",S993&lt;&gt;"Yes",L993&lt;0,B993&lt;&gt;"TXO"),L993,"")</f>
        <v/>
      </c>
      <c r="X993" s="226">
        <f>IF(AND(R993="Yes",S993="Yes",L993&gt;0,B993&lt;&gt;"TXO"),L993,"")</f>
        <v/>
      </c>
      <c r="Y993" s="226">
        <f>IF(AND(R993="Yes",S993="Yes",L993&lt;0,B993&lt;&gt;"TXO"),L993,"")</f>
        <v/>
      </c>
      <c r="Z993" s="226">
        <f>IF(AND(R993="",S993="Yes",L993&gt;0,B993&lt;&gt;"TXO"),L993,"")</f>
        <v/>
      </c>
      <c r="AA993" s="226">
        <f>IF(AND(R993="",S993="Yes",L993&lt;0,B993&lt;&gt;"TXO"),L993,"")</f>
        <v/>
      </c>
    </row>
    <row r="994" hidden="1" outlineLevel="2" ht="17.25" customHeight="1" thickBot="1">
      <c r="A994" s="696" t="n">
        <v>43381</v>
      </c>
      <c r="B994" s="234" t="inlineStr">
        <is>
          <t>FIMTX</t>
        </is>
      </c>
      <c r="C994" s="229" t="inlineStr">
        <is>
          <t>小指10</t>
        </is>
      </c>
      <c r="D994" s="229" t="inlineStr">
        <is>
          <t>新倉</t>
        </is>
      </c>
      <c r="E994" s="257" t="inlineStr">
        <is>
          <t>賣</t>
        </is>
      </c>
      <c r="F994" s="229" t="inlineStr">
        <is>
          <t>-</t>
        </is>
      </c>
      <c r="G994" s="697" t="n">
        <v>1</v>
      </c>
      <c r="H994" s="697" t="n">
        <v>10442</v>
      </c>
      <c r="I994" s="697" t="n">
        <v>0</v>
      </c>
      <c r="J994" s="585" t="n">
        <v>23</v>
      </c>
      <c r="K994" s="585" t="n">
        <v>10</v>
      </c>
      <c r="L994" s="585">
        <f>IF(B994="TXO",I994-SUM(J994:K994),IF(B994="FITX",IF(D994="新倉",-SUM(J994:K994),IF(E994="賣",(H994-H993)*G994*200-SUM(J994:K994),(H993-H994)*G994*200-SUM(J994:K994))),IF(D994="新倉",-SUM(J994:K994),IF(E994="賣",(H994-H993)*G994*50-SUM(J994:K994),(H993-H994)*G994*50-SUM(J994:K994)))))</f>
        <v/>
      </c>
      <c r="M994" s="699">
        <f>L994</f>
        <v/>
      </c>
      <c r="N994" s="686">
        <f>IF(B994="TXO","",IF(D994="新倉","",IF(E994="賣",(H994-H993)*G994,(H993-H994)*G994)))</f>
        <v/>
      </c>
      <c r="O994" s="226">
        <f>ABS(I994)</f>
        <v/>
      </c>
      <c r="P994" s="667" t="n"/>
      <c r="S994" s="739" t="n"/>
      <c r="T994" s="61">
        <f>IF(AND(R994="Yes",S994&lt;&gt;"Yes",L994&gt;0,B994&lt;&gt;"TXO"),L994,"")</f>
        <v/>
      </c>
      <c r="U994" s="61">
        <f>IF(AND(R994="Yes",S994&lt;&gt;"Yes",L994&lt;0,B994&lt;&gt;"TXO"),L994,"")</f>
        <v/>
      </c>
      <c r="V994" s="61">
        <f>IF(AND(R994="",S994&lt;&gt;"Yes",L994&gt;0,B994&lt;&gt;"TXO"),L994,"")</f>
        <v/>
      </c>
      <c r="W994" s="61">
        <f>IF(AND(R994="",S994&lt;&gt;"Yes",L994&lt;0,B994&lt;&gt;"TXO"),L994,"")</f>
        <v/>
      </c>
      <c r="X994" s="226">
        <f>IF(AND(R994="Yes",S994="Yes",L994&gt;0,B994&lt;&gt;"TXO"),L994,"")</f>
        <v/>
      </c>
      <c r="Y994" s="226">
        <f>IF(AND(R994="Yes",S994="Yes",L994&lt;0,B994&lt;&gt;"TXO"),L994,"")</f>
        <v/>
      </c>
      <c r="Z994" s="226">
        <f>IF(AND(R994="",S994="Yes",L994&gt;0,B994&lt;&gt;"TXO"),L994,"")</f>
        <v/>
      </c>
      <c r="AA994" s="226">
        <f>IF(AND(R994="",S994="Yes",L994&lt;0,B994&lt;&gt;"TXO"),L994,"")</f>
        <v/>
      </c>
    </row>
    <row r="995" hidden="1" outlineLevel="2" ht="17.25" customHeight="1" thickBot="1">
      <c r="A995" s="696" t="n">
        <v>43381</v>
      </c>
      <c r="B995" s="234" t="inlineStr">
        <is>
          <t>FIMTX</t>
        </is>
      </c>
      <c r="C995" s="229" t="inlineStr">
        <is>
          <t>小指10</t>
        </is>
      </c>
      <c r="D995" s="229" t="inlineStr">
        <is>
          <t>平倉</t>
        </is>
      </c>
      <c r="E995" s="257" t="inlineStr">
        <is>
          <t>買</t>
        </is>
      </c>
      <c r="F995" s="229" t="inlineStr">
        <is>
          <t>-</t>
        </is>
      </c>
      <c r="G995" s="697" t="n">
        <v>1</v>
      </c>
      <c r="H995" s="697" t="n">
        <v>10439</v>
      </c>
      <c r="I995" s="697" t="n">
        <v>0</v>
      </c>
      <c r="J995" s="585" t="n">
        <v>23</v>
      </c>
      <c r="K995" s="585" t="n">
        <v>10</v>
      </c>
      <c r="L995" s="585">
        <f>IF(B995="TXO",I995-SUM(J995:K995),IF(B995="FITX",IF(D995="新倉",-SUM(J995:K995),IF(E995="賣",(H995-H994)*G995*200-SUM(J995:K995),(H994-H995)*G995*200-SUM(J995:K995))),IF(D995="新倉",-SUM(J995:K995),IF(E995="賣",(H995-H994)*G995*50-SUM(J995:K995),(H994-H995)*G995*50-SUM(J995:K995)))))</f>
        <v/>
      </c>
      <c r="M995" s="699">
        <f>L995</f>
        <v/>
      </c>
      <c r="N995" s="686">
        <f>IF(B995="TXO","",IF(D995="新倉","",IF(E995="賣",(H995-H994)*G995,(H994-H995)*G995)))</f>
        <v/>
      </c>
      <c r="O995" s="226">
        <f>ABS(I995)</f>
        <v/>
      </c>
      <c r="P995" s="667" t="n"/>
      <c r="S995" s="739" t="n"/>
      <c r="T995" s="61">
        <f>IF(AND(R995="Yes",S995&lt;&gt;"Yes",L995&gt;0,B995&lt;&gt;"TXO"),L995,"")</f>
        <v/>
      </c>
      <c r="U995" s="61">
        <f>IF(AND(R995="Yes",S995&lt;&gt;"Yes",L995&lt;0,B995&lt;&gt;"TXO"),L995,"")</f>
        <v/>
      </c>
      <c r="V995" s="61">
        <f>IF(AND(R995="",S995&lt;&gt;"Yes",L995&gt;0,B995&lt;&gt;"TXO"),L995,"")</f>
        <v/>
      </c>
      <c r="W995" s="61">
        <f>IF(AND(R995="",S995&lt;&gt;"Yes",L995&lt;0,B995&lt;&gt;"TXO"),L995,"")</f>
        <v/>
      </c>
      <c r="X995" s="226">
        <f>IF(AND(R995="Yes",S995="Yes",L995&gt;0,B995&lt;&gt;"TXO"),L995,"")</f>
        <v/>
      </c>
      <c r="Y995" s="226">
        <f>IF(AND(R995="Yes",S995="Yes",L995&lt;0,B995&lt;&gt;"TXO"),L995,"")</f>
        <v/>
      </c>
      <c r="Z995" s="226">
        <f>IF(AND(R995="",S995="Yes",L995&gt;0,B995&lt;&gt;"TXO"),L995,"")</f>
        <v/>
      </c>
      <c r="AA995" s="226">
        <f>IF(AND(R995="",S995="Yes",L995&lt;0,B995&lt;&gt;"TXO"),L995,"")</f>
        <v/>
      </c>
    </row>
    <row r="996" hidden="1" outlineLevel="2" ht="17.25" customHeight="1" thickBot="1">
      <c r="A996" s="696" t="n">
        <v>43381</v>
      </c>
      <c r="B996" s="234" t="inlineStr">
        <is>
          <t>FIMTX</t>
        </is>
      </c>
      <c r="C996" s="229" t="inlineStr">
        <is>
          <t>小指10</t>
        </is>
      </c>
      <c r="D996" s="229" t="inlineStr">
        <is>
          <t>新倉</t>
        </is>
      </c>
      <c r="E996" s="257" t="inlineStr">
        <is>
          <t>賣</t>
        </is>
      </c>
      <c r="F996" s="229" t="inlineStr">
        <is>
          <t>-</t>
        </is>
      </c>
      <c r="G996" s="697" t="n">
        <v>3</v>
      </c>
      <c r="H996" s="697" t="n">
        <v>10437</v>
      </c>
      <c r="I996" s="697" t="n">
        <v>0</v>
      </c>
      <c r="J996" s="585" t="n">
        <v>69</v>
      </c>
      <c r="K996" s="585" t="n">
        <v>30</v>
      </c>
      <c r="L996" s="585">
        <f>IF(B996="TXO",I996-SUM(J996:K996),IF(B996="FITX",IF(D996="新倉",-SUM(J996:K996),IF(E996="賣",(H996-H995)*G996*200-SUM(J996:K996),(H995-H996)*G996*200-SUM(J996:K996))),IF(D996="新倉",-SUM(J996:K996),IF(E996="賣",(H996-H995)*G996*50-SUM(J996:K996),(H995-H996)*G996*50-SUM(J996:K996)))))</f>
        <v/>
      </c>
      <c r="M996" s="699">
        <f>L996</f>
        <v/>
      </c>
      <c r="N996" s="686">
        <f>IF(B996="TXO","",IF(D996="新倉","",IF(E996="賣",(H996-H995)*G996,(H995-H996)*G996)))</f>
        <v/>
      </c>
      <c r="O996" s="226">
        <f>ABS(I996)</f>
        <v/>
      </c>
      <c r="P996" s="667" t="n"/>
      <c r="S996" s="739" t="n"/>
      <c r="T996" s="61">
        <f>IF(AND(R996="Yes",S996&lt;&gt;"Yes",L996&gt;0,B996&lt;&gt;"TXO"),L996,"")</f>
        <v/>
      </c>
      <c r="U996" s="61">
        <f>IF(AND(R996="Yes",S996&lt;&gt;"Yes",L996&lt;0,B996&lt;&gt;"TXO"),L996,"")</f>
        <v/>
      </c>
      <c r="V996" s="61">
        <f>IF(AND(R996="",S996&lt;&gt;"Yes",L996&gt;0,B996&lt;&gt;"TXO"),L996,"")</f>
        <v/>
      </c>
      <c r="W996" s="61">
        <f>IF(AND(R996="",S996&lt;&gt;"Yes",L996&lt;0,B996&lt;&gt;"TXO"),L996,"")</f>
        <v/>
      </c>
      <c r="X996" s="226">
        <f>IF(AND(R996="Yes",S996="Yes",L996&gt;0,B996&lt;&gt;"TXO"),L996,"")</f>
        <v/>
      </c>
      <c r="Y996" s="226">
        <f>IF(AND(R996="Yes",S996="Yes",L996&lt;0,B996&lt;&gt;"TXO"),L996,"")</f>
        <v/>
      </c>
      <c r="Z996" s="226">
        <f>IF(AND(R996="",S996="Yes",L996&gt;0,B996&lt;&gt;"TXO"),L996,"")</f>
        <v/>
      </c>
      <c r="AA996" s="226">
        <f>IF(AND(R996="",S996="Yes",L996&lt;0,B996&lt;&gt;"TXO"),L996,"")</f>
        <v/>
      </c>
    </row>
    <row r="997" hidden="1" outlineLevel="2" ht="17.25" customHeight="1" thickBot="1">
      <c r="A997" s="696" t="n">
        <v>43381</v>
      </c>
      <c r="B997" s="234" t="inlineStr">
        <is>
          <t>FIMTX</t>
        </is>
      </c>
      <c r="C997" s="229" t="inlineStr">
        <is>
          <t>小指10</t>
        </is>
      </c>
      <c r="D997" s="229" t="inlineStr">
        <is>
          <t>平倉</t>
        </is>
      </c>
      <c r="E997" s="257" t="inlineStr">
        <is>
          <t>買</t>
        </is>
      </c>
      <c r="F997" s="229" t="inlineStr">
        <is>
          <t>-</t>
        </is>
      </c>
      <c r="G997" s="697" t="n">
        <v>3</v>
      </c>
      <c r="H997" s="697" t="n">
        <v>10434</v>
      </c>
      <c r="I997" s="697" t="n">
        <v>0</v>
      </c>
      <c r="J997" s="585" t="n">
        <v>69</v>
      </c>
      <c r="K997" s="585" t="n">
        <v>30</v>
      </c>
      <c r="L997" s="585">
        <f>IF(B997="TXO",I997-SUM(J997:K997),IF(B997="FITX",IF(D997="新倉",-SUM(J997:K997),IF(E997="賣",(H997-H996)*G997*200-SUM(J997:K997),(H996-H997)*G997*200-SUM(J997:K997))),IF(D997="新倉",-SUM(J997:K997),IF(E997="賣",(H997-H996)*G997*50-SUM(J997:K997),(H996-H997)*G997*50-SUM(J997:K997)))))</f>
        <v/>
      </c>
      <c r="M997" s="699">
        <f>L997</f>
        <v/>
      </c>
      <c r="N997" s="686">
        <f>IF(B997="TXO","",IF(D997="新倉","",IF(E997="賣",(H997-H996)*G997,(H996-H997)*G997)))</f>
        <v/>
      </c>
      <c r="O997" s="226">
        <f>ABS(I997)</f>
        <v/>
      </c>
      <c r="P997" s="667" t="n"/>
      <c r="S997" s="739" t="n"/>
      <c r="T997" s="61">
        <f>IF(AND(R997="Yes",S997&lt;&gt;"Yes",L997&gt;0,B997&lt;&gt;"TXO"),L997,"")</f>
        <v/>
      </c>
      <c r="U997" s="61">
        <f>IF(AND(R997="Yes",S997&lt;&gt;"Yes",L997&lt;0,B997&lt;&gt;"TXO"),L997,"")</f>
        <v/>
      </c>
      <c r="V997" s="61">
        <f>IF(AND(R997="",S997&lt;&gt;"Yes",L997&gt;0,B997&lt;&gt;"TXO"),L997,"")</f>
        <v/>
      </c>
      <c r="W997" s="61">
        <f>IF(AND(R997="",S997&lt;&gt;"Yes",L997&lt;0,B997&lt;&gt;"TXO"),L997,"")</f>
        <v/>
      </c>
      <c r="X997" s="226">
        <f>IF(AND(R997="Yes",S997="Yes",L997&gt;0,B997&lt;&gt;"TXO"),L997,"")</f>
        <v/>
      </c>
      <c r="Y997" s="226">
        <f>IF(AND(R997="Yes",S997="Yes",L997&lt;0,B997&lt;&gt;"TXO"),L997,"")</f>
        <v/>
      </c>
      <c r="Z997" s="226">
        <f>IF(AND(R997="",S997="Yes",L997&gt;0,B997&lt;&gt;"TXO"),L997,"")</f>
        <v/>
      </c>
      <c r="AA997" s="226">
        <f>IF(AND(R997="",S997="Yes",L997&lt;0,B997&lt;&gt;"TXO"),L997,"")</f>
        <v/>
      </c>
    </row>
    <row r="998" hidden="1" outlineLevel="2" ht="17.25" customHeight="1" thickBot="1">
      <c r="A998" s="696" t="n">
        <v>43381</v>
      </c>
      <c r="B998" s="234" t="inlineStr">
        <is>
          <t>FIMTX</t>
        </is>
      </c>
      <c r="C998" s="229" t="inlineStr">
        <is>
          <t>小指10</t>
        </is>
      </c>
      <c r="D998" s="229" t="inlineStr">
        <is>
          <t>新倉</t>
        </is>
      </c>
      <c r="E998" s="257" t="inlineStr">
        <is>
          <t>賣</t>
        </is>
      </c>
      <c r="F998" s="229" t="inlineStr">
        <is>
          <t>-</t>
        </is>
      </c>
      <c r="G998" s="697" t="n">
        <v>1</v>
      </c>
      <c r="H998" s="697" t="n">
        <v>10435</v>
      </c>
      <c r="I998" s="697" t="n">
        <v>0</v>
      </c>
      <c r="J998" s="585" t="n">
        <v>23</v>
      </c>
      <c r="K998" s="585" t="n">
        <v>10</v>
      </c>
      <c r="L998" s="585">
        <f>IF(B998="TXO",I998-SUM(J998:K998),IF(B998="FITX",IF(D998="新倉",-SUM(J998:K998),IF(E998="賣",(H998-H997)*G998*200-SUM(J998:K998),(H997-H998)*G998*200-SUM(J998:K998))),IF(D998="新倉",-SUM(J998:K998),IF(E998="賣",(H998-H997)*G998*50-SUM(J998:K998),(H997-H998)*G998*50-SUM(J998:K998)))))</f>
        <v/>
      </c>
      <c r="M998" s="699">
        <f>L998</f>
        <v/>
      </c>
      <c r="N998" s="686">
        <f>IF(B998="TXO","",IF(D998="新倉","",IF(E998="賣",(H998-H997)*G998,(H997-H998)*G998)))</f>
        <v/>
      </c>
      <c r="O998" s="226">
        <f>ABS(I998)</f>
        <v/>
      </c>
      <c r="P998" s="667" t="n"/>
      <c r="Q998" s="249" t="inlineStr">
        <is>
          <t>技法: 3/3 買進三口</t>
        </is>
      </c>
      <c r="R998" s="249" t="inlineStr">
        <is>
          <t>Yes</t>
        </is>
      </c>
      <c r="S998" s="739" t="n"/>
      <c r="T998" s="61">
        <f>IF(AND(R998="Yes",S998&lt;&gt;"Yes",L998&gt;0,B998&lt;&gt;"TXO"),L998,"")</f>
        <v/>
      </c>
      <c r="U998" s="61">
        <f>IF(AND(R998="Yes",S998&lt;&gt;"Yes",L998&lt;0,B998&lt;&gt;"TXO"),L998,"")</f>
        <v/>
      </c>
      <c r="V998" s="61">
        <f>IF(AND(R998="",S998&lt;&gt;"Yes",L998&gt;0,B998&lt;&gt;"TXO"),L998,"")</f>
        <v/>
      </c>
      <c r="W998" s="61">
        <f>IF(AND(R998="",S998&lt;&gt;"Yes",L998&lt;0,B998&lt;&gt;"TXO"),L998,"")</f>
        <v/>
      </c>
      <c r="X998" s="226">
        <f>IF(AND(R998="Yes",S998="Yes",L998&gt;0,B998&lt;&gt;"TXO"),L998,"")</f>
        <v/>
      </c>
      <c r="Y998" s="226">
        <f>IF(AND(R998="Yes",S998="Yes",L998&lt;0,B998&lt;&gt;"TXO"),L998,"")</f>
        <v/>
      </c>
      <c r="Z998" s="226">
        <f>IF(AND(R998="",S998="Yes",L998&gt;0,B998&lt;&gt;"TXO"),L998,"")</f>
        <v/>
      </c>
      <c r="AA998" s="226">
        <f>IF(AND(R998="",S998="Yes",L998&lt;0,B998&lt;&gt;"TXO"),L998,"")</f>
        <v/>
      </c>
    </row>
    <row r="999" hidden="1" outlineLevel="2" ht="17.25" customHeight="1" thickBot="1">
      <c r="A999" s="696" t="n">
        <v>43381</v>
      </c>
      <c r="B999" s="234" t="inlineStr">
        <is>
          <t>FIMTX</t>
        </is>
      </c>
      <c r="C999" s="229" t="inlineStr">
        <is>
          <t>小指10</t>
        </is>
      </c>
      <c r="D999" s="229" t="inlineStr">
        <is>
          <t>平倉</t>
        </is>
      </c>
      <c r="E999" s="257" t="inlineStr">
        <is>
          <t>買</t>
        </is>
      </c>
      <c r="F999" s="229" t="inlineStr">
        <is>
          <t>-</t>
        </is>
      </c>
      <c r="G999" s="697" t="n">
        <v>1</v>
      </c>
      <c r="H999" s="697" t="n">
        <v>10449</v>
      </c>
      <c r="I999" s="697" t="n">
        <v>0</v>
      </c>
      <c r="J999" s="585" t="n">
        <v>23</v>
      </c>
      <c r="K999" s="585" t="n">
        <v>10</v>
      </c>
      <c r="L999" s="585">
        <f>IF(B999="TXO",I999-SUM(J999:K999),IF(B999="FITX",IF(D999="新倉",-SUM(J999:K999),IF(E999="賣",(H999-H998)*G999*200-SUM(J999:K999),(H998-H999)*G999*200-SUM(J999:K999))),IF(D999="新倉",-SUM(J999:K999),IF(E999="賣",(H999-H998)*G999*50-SUM(J999:K999),(H998-H999)*G999*50-SUM(J999:K999)))))</f>
        <v/>
      </c>
      <c r="M999" s="699">
        <f>L999</f>
        <v/>
      </c>
      <c r="N999" s="686">
        <f>IF(B999="TXO","",IF(D999="新倉","",IF(E999="賣",(H999-H998)*G999,(H998-H999)*G999)))</f>
        <v/>
      </c>
      <c r="O999" s="226">
        <f>ABS(I999)</f>
        <v/>
      </c>
      <c r="P999" s="667" t="n"/>
      <c r="Q999" s="249" t="inlineStr">
        <is>
          <t>技法: 15點停損</t>
        </is>
      </c>
      <c r="R999" s="249" t="inlineStr">
        <is>
          <t>Yes</t>
        </is>
      </c>
      <c r="S999" s="739" t="n"/>
      <c r="T999" s="61">
        <f>IF(AND(R999="Yes",S999&lt;&gt;"Yes",L999&gt;0,B999&lt;&gt;"TXO"),L999,"")</f>
        <v/>
      </c>
      <c r="U999" s="61">
        <f>IF(AND(R999="Yes",S999&lt;&gt;"Yes",L999&lt;0,B999&lt;&gt;"TXO"),L999,"")</f>
        <v/>
      </c>
      <c r="V999" s="61">
        <f>IF(AND(R999="",S999&lt;&gt;"Yes",L999&gt;0,B999&lt;&gt;"TXO"),L999,"")</f>
        <v/>
      </c>
      <c r="W999" s="61">
        <f>IF(AND(R999="",S999&lt;&gt;"Yes",L999&lt;0,B999&lt;&gt;"TXO"),L999,"")</f>
        <v/>
      </c>
      <c r="X999" s="226">
        <f>IF(AND(R999="Yes",S999="Yes",L999&gt;0,B999&lt;&gt;"TXO"),L999,"")</f>
        <v/>
      </c>
      <c r="Y999" s="226">
        <f>IF(AND(R999="Yes",S999="Yes",L999&lt;0,B999&lt;&gt;"TXO"),L999,"")</f>
        <v/>
      </c>
      <c r="Z999" s="226">
        <f>IF(AND(R999="",S999="Yes",L999&gt;0,B999&lt;&gt;"TXO"),L999,"")</f>
        <v/>
      </c>
      <c r="AA999" s="226">
        <f>IF(AND(R999="",S999="Yes",L999&lt;0,B999&lt;&gt;"TXO"),L999,"")</f>
        <v/>
      </c>
    </row>
    <row r="1000" hidden="1" outlineLevel="2" ht="17.25" customHeight="1" thickBot="1">
      <c r="A1000" s="696" t="n">
        <v>43381</v>
      </c>
      <c r="B1000" s="234" t="inlineStr">
        <is>
          <t>FIMTX</t>
        </is>
      </c>
      <c r="C1000" s="229" t="inlineStr">
        <is>
          <t>小指10</t>
        </is>
      </c>
      <c r="D1000" s="229" t="inlineStr">
        <is>
          <t>新倉</t>
        </is>
      </c>
      <c r="E1000" s="257" t="inlineStr">
        <is>
          <t>賣</t>
        </is>
      </c>
      <c r="F1000" s="229" t="inlineStr">
        <is>
          <t>-</t>
        </is>
      </c>
      <c r="G1000" s="697" t="n">
        <v>1</v>
      </c>
      <c r="H1000" s="697" t="n">
        <v>10434</v>
      </c>
      <c r="I1000" s="697" t="n">
        <v>0</v>
      </c>
      <c r="J1000" s="585" t="n">
        <v>23</v>
      </c>
      <c r="K1000" s="585" t="n">
        <v>10</v>
      </c>
      <c r="L1000" s="585">
        <f>IF(B1000="TXO",I1000-SUM(J1000:K1000),IF(B1000="FITX",IF(D1000="新倉",-SUM(J1000:K1000),IF(E1000="賣",(H1000-H999)*G1000*200-SUM(J1000:K1000),(H999-H1000)*G1000*200-SUM(J1000:K1000))),IF(D1000="新倉",-SUM(J1000:K1000),IF(E1000="賣",(H1000-H999)*G1000*50-SUM(J1000:K1000),(H999-H1000)*G1000*50-SUM(J1000:K1000)))))</f>
        <v/>
      </c>
      <c r="M1000" s="699">
        <f>L1000</f>
        <v/>
      </c>
      <c r="N1000" s="686">
        <f>IF(B1000="TXO","",IF(D1000="新倉","",IF(E1000="賣",(H1000-H999)*G1000,(H999-H1000)*G1000)))</f>
        <v/>
      </c>
      <c r="O1000" s="226">
        <f>ABS(I1000)</f>
        <v/>
      </c>
      <c r="P1000" s="667" t="n"/>
      <c r="R1000" s="249" t="inlineStr">
        <is>
          <t>Yes</t>
        </is>
      </c>
      <c r="S1000" s="739" t="n"/>
      <c r="T1000" s="61">
        <f>IF(AND(R1000="Yes",S1000&lt;&gt;"Yes",L1000&gt;0,B1000&lt;&gt;"TXO"),L1000,"")</f>
        <v/>
      </c>
      <c r="U1000" s="61">
        <f>IF(AND(R1000="Yes",S1000&lt;&gt;"Yes",L1000&lt;0,B1000&lt;&gt;"TXO"),L1000,"")</f>
        <v/>
      </c>
      <c r="V1000" s="61">
        <f>IF(AND(R1000="",S1000&lt;&gt;"Yes",L1000&gt;0,B1000&lt;&gt;"TXO"),L1000,"")</f>
        <v/>
      </c>
      <c r="W1000" s="61">
        <f>IF(AND(R1000="",S1000&lt;&gt;"Yes",L1000&lt;0,B1000&lt;&gt;"TXO"),L1000,"")</f>
        <v/>
      </c>
      <c r="X1000" s="226">
        <f>IF(AND(R1000="Yes",S1000="Yes",L1000&gt;0,B1000&lt;&gt;"TXO"),L1000,"")</f>
        <v/>
      </c>
      <c r="Y1000" s="226">
        <f>IF(AND(R1000="Yes",S1000="Yes",L1000&lt;0,B1000&lt;&gt;"TXO"),L1000,"")</f>
        <v/>
      </c>
      <c r="Z1000" s="226">
        <f>IF(AND(R1000="",S1000="Yes",L1000&gt;0,B1000&lt;&gt;"TXO"),L1000,"")</f>
        <v/>
      </c>
      <c r="AA1000" s="226">
        <f>IF(AND(R1000="",S1000="Yes",L1000&lt;0,B1000&lt;&gt;"TXO"),L1000,"")</f>
        <v/>
      </c>
    </row>
    <row r="1001" hidden="1" outlineLevel="2" ht="17.25" customHeight="1" thickBot="1">
      <c r="A1001" s="696" t="n">
        <v>43381</v>
      </c>
      <c r="B1001" s="234" t="inlineStr">
        <is>
          <t>FIMTX</t>
        </is>
      </c>
      <c r="C1001" s="229" t="inlineStr">
        <is>
          <t>小指10</t>
        </is>
      </c>
      <c r="D1001" s="229" t="inlineStr">
        <is>
          <t>平倉</t>
        </is>
      </c>
      <c r="E1001" s="257" t="inlineStr">
        <is>
          <t>買</t>
        </is>
      </c>
      <c r="F1001" s="229" t="inlineStr">
        <is>
          <t>-</t>
        </is>
      </c>
      <c r="G1001" s="697" t="n">
        <v>1</v>
      </c>
      <c r="H1001" s="697" t="n">
        <v>10450</v>
      </c>
      <c r="I1001" s="697" t="n">
        <v>0</v>
      </c>
      <c r="J1001" s="585" t="n">
        <v>23</v>
      </c>
      <c r="K1001" s="585" t="n">
        <v>10</v>
      </c>
      <c r="L1001" s="585">
        <f>IF(B1001="TXO",I1001-SUM(J1001:K1001),IF(B1001="FITX",IF(D1001="新倉",-SUM(J1001:K1001),IF(E1001="賣",(H1001-H1000)*G1001*200-SUM(J1001:K1001),(H1000-H1001)*G1001*200-SUM(J1001:K1001))),IF(D1001="新倉",-SUM(J1001:K1001),IF(E1001="賣",(H1001-H1000)*G1001*50-SUM(J1001:K1001),(H1000-H1001)*G1001*50-SUM(J1001:K1001)))))</f>
        <v/>
      </c>
      <c r="M1001" s="699">
        <f>L1001</f>
        <v/>
      </c>
      <c r="N1001" s="686">
        <f>IF(B1001="TXO","",IF(D1001="新倉","",IF(E1001="賣",(H1001-H1000)*G1001,(H1000-H1001)*G1001)))</f>
        <v/>
      </c>
      <c r="O1001" s="226">
        <f>ABS(I1001)</f>
        <v/>
      </c>
      <c r="P1001" s="667" t="n"/>
      <c r="Q1001" s="249" t="inlineStr">
        <is>
          <t>技法: 15點停損</t>
        </is>
      </c>
      <c r="R1001" s="249" t="inlineStr">
        <is>
          <t>Yes</t>
        </is>
      </c>
      <c r="S1001" s="739" t="n"/>
      <c r="T1001" s="61">
        <f>IF(AND(R1001="Yes",S1001&lt;&gt;"Yes",L1001&gt;0,B1001&lt;&gt;"TXO"),L1001,"")</f>
        <v/>
      </c>
      <c r="U1001" s="61">
        <f>IF(AND(R1001="Yes",S1001&lt;&gt;"Yes",L1001&lt;0,B1001&lt;&gt;"TXO"),L1001,"")</f>
        <v/>
      </c>
      <c r="V1001" s="61">
        <f>IF(AND(R1001="",S1001&lt;&gt;"Yes",L1001&gt;0,B1001&lt;&gt;"TXO"),L1001,"")</f>
        <v/>
      </c>
      <c r="W1001" s="61">
        <f>IF(AND(R1001="",S1001&lt;&gt;"Yes",L1001&lt;0,B1001&lt;&gt;"TXO"),L1001,"")</f>
        <v/>
      </c>
      <c r="X1001" s="226">
        <f>IF(AND(R1001="Yes",S1001="Yes",L1001&gt;0,B1001&lt;&gt;"TXO"),L1001,"")</f>
        <v/>
      </c>
      <c r="Y1001" s="226">
        <f>IF(AND(R1001="Yes",S1001="Yes",L1001&lt;0,B1001&lt;&gt;"TXO"),L1001,"")</f>
        <v/>
      </c>
      <c r="Z1001" s="226">
        <f>IF(AND(R1001="",S1001="Yes",L1001&gt;0,B1001&lt;&gt;"TXO"),L1001,"")</f>
        <v/>
      </c>
      <c r="AA1001" s="226">
        <f>IF(AND(R1001="",S1001="Yes",L1001&lt;0,B1001&lt;&gt;"TXO"),L1001,"")</f>
        <v/>
      </c>
    </row>
    <row r="1002" hidden="1" outlineLevel="2" ht="17.25" customHeight="1" thickBot="1">
      <c r="A1002" s="696" t="n">
        <v>43381</v>
      </c>
      <c r="B1002" s="234" t="inlineStr">
        <is>
          <t>FIMTX</t>
        </is>
      </c>
      <c r="C1002" s="229" t="inlineStr">
        <is>
          <t>小指10</t>
        </is>
      </c>
      <c r="D1002" s="229" t="inlineStr">
        <is>
          <t>新倉</t>
        </is>
      </c>
      <c r="E1002" s="257" t="inlineStr">
        <is>
          <t>賣</t>
        </is>
      </c>
      <c r="F1002" s="229" t="inlineStr">
        <is>
          <t>-</t>
        </is>
      </c>
      <c r="G1002" s="697" t="n">
        <v>1</v>
      </c>
      <c r="H1002" s="697" t="n">
        <v>10435</v>
      </c>
      <c r="I1002" s="697" t="n">
        <v>0</v>
      </c>
      <c r="J1002" s="585" t="n">
        <v>23</v>
      </c>
      <c r="K1002" s="585" t="n">
        <v>10</v>
      </c>
      <c r="L1002" s="585">
        <f>IF(B1002="TXO",I1002-SUM(J1002:K1002),IF(B1002="FITX",IF(D1002="新倉",-SUM(J1002:K1002),IF(E1002="賣",(H1002-H1001)*G1002*200-SUM(J1002:K1002),(H1001-H1002)*G1002*200-SUM(J1002:K1002))),IF(D1002="新倉",-SUM(J1002:K1002),IF(E1002="賣",(H1002-H1001)*G1002*50-SUM(J1002:K1002),(H1001-H1002)*G1002*50-SUM(J1002:K1002)))))</f>
        <v/>
      </c>
      <c r="M1002" s="699">
        <f>L1002</f>
        <v/>
      </c>
      <c r="N1002" s="686">
        <f>IF(B1002="TXO","",IF(D1002="新倉","",IF(E1002="賣",(H1002-H1001)*G1002,(H1001-H1002)*G1002)))</f>
        <v/>
      </c>
      <c r="O1002" s="226">
        <f>ABS(I1002)</f>
        <v/>
      </c>
      <c r="P1002" s="667" t="n"/>
      <c r="R1002" s="249" t="inlineStr">
        <is>
          <t>Yes</t>
        </is>
      </c>
      <c r="S1002" s="739" t="n"/>
      <c r="T1002" s="61">
        <f>IF(AND(R1002="Yes",S1002&lt;&gt;"Yes",L1002&gt;0,B1002&lt;&gt;"TXO"),L1002,"")</f>
        <v/>
      </c>
      <c r="U1002" s="61">
        <f>IF(AND(R1002="Yes",S1002&lt;&gt;"Yes",L1002&lt;0,B1002&lt;&gt;"TXO"),L1002,"")</f>
        <v/>
      </c>
      <c r="V1002" s="61">
        <f>IF(AND(R1002="",S1002&lt;&gt;"Yes",L1002&gt;0,B1002&lt;&gt;"TXO"),L1002,"")</f>
        <v/>
      </c>
      <c r="W1002" s="61">
        <f>IF(AND(R1002="",S1002&lt;&gt;"Yes",L1002&lt;0,B1002&lt;&gt;"TXO"),L1002,"")</f>
        <v/>
      </c>
      <c r="X1002" s="226">
        <f>IF(AND(R1002="Yes",S1002="Yes",L1002&gt;0,B1002&lt;&gt;"TXO"),L1002,"")</f>
        <v/>
      </c>
      <c r="Y1002" s="226">
        <f>IF(AND(R1002="Yes",S1002="Yes",L1002&lt;0,B1002&lt;&gt;"TXO"),L1002,"")</f>
        <v/>
      </c>
      <c r="Z1002" s="226">
        <f>IF(AND(R1002="",S1002="Yes",L1002&gt;0,B1002&lt;&gt;"TXO"),L1002,"")</f>
        <v/>
      </c>
      <c r="AA1002" s="226">
        <f>IF(AND(R1002="",S1002="Yes",L1002&lt;0,B1002&lt;&gt;"TXO"),L1002,"")</f>
        <v/>
      </c>
    </row>
    <row r="1003" hidden="1" outlineLevel="2" ht="17.25" customHeight="1" thickBot="1">
      <c r="A1003" s="696" t="n">
        <v>43381</v>
      </c>
      <c r="B1003" s="234" t="inlineStr">
        <is>
          <t>FIMTX</t>
        </is>
      </c>
      <c r="C1003" s="229" t="inlineStr">
        <is>
          <t>小指10</t>
        </is>
      </c>
      <c r="D1003" s="229" t="inlineStr">
        <is>
          <t>平倉</t>
        </is>
      </c>
      <c r="E1003" s="257" t="inlineStr">
        <is>
          <t>買</t>
        </is>
      </c>
      <c r="F1003" s="229" t="inlineStr">
        <is>
          <t>-</t>
        </is>
      </c>
      <c r="G1003" s="697" t="n">
        <v>1</v>
      </c>
      <c r="H1003" s="697" t="n">
        <v>10450</v>
      </c>
      <c r="I1003" s="697" t="n">
        <v>0</v>
      </c>
      <c r="J1003" s="585" t="n">
        <v>23</v>
      </c>
      <c r="K1003" s="585" t="n">
        <v>10</v>
      </c>
      <c r="L1003" s="585">
        <f>IF(B1003="TXO",I1003-SUM(J1003:K1003),IF(B1003="FITX",IF(D1003="新倉",-SUM(J1003:K1003),IF(E1003="賣",(H1003-H1002)*G1003*200-SUM(J1003:K1003),(H1002-H1003)*G1003*200-SUM(J1003:K1003))),IF(D1003="新倉",-SUM(J1003:K1003),IF(E1003="賣",(H1003-H1002)*G1003*50-SUM(J1003:K1003),(H1002-H1003)*G1003*50-SUM(J1003:K1003)))))</f>
        <v/>
      </c>
      <c r="M1003" s="699">
        <f>L1003</f>
        <v/>
      </c>
      <c r="N1003" s="686">
        <f>IF(B1003="TXO","",IF(D1003="新倉","",IF(E1003="賣",(H1003-H1002)*G1003,(H1002-H1003)*G1003)))</f>
        <v/>
      </c>
      <c r="O1003" s="226">
        <f>ABS(I1003)</f>
        <v/>
      </c>
      <c r="P1003" s="667" t="n"/>
      <c r="Q1003" s="249" t="inlineStr">
        <is>
          <t>技法: 15點停損</t>
        </is>
      </c>
      <c r="R1003" s="249" t="inlineStr">
        <is>
          <t>Yes</t>
        </is>
      </c>
      <c r="S1003" s="739" t="n"/>
      <c r="T1003" s="61">
        <f>IF(AND(R1003="Yes",S1003&lt;&gt;"Yes",L1003&gt;0,B1003&lt;&gt;"TXO"),L1003,"")</f>
        <v/>
      </c>
      <c r="U1003" s="61">
        <f>IF(AND(R1003="Yes",S1003&lt;&gt;"Yes",L1003&lt;0,B1003&lt;&gt;"TXO"),L1003,"")</f>
        <v/>
      </c>
      <c r="V1003" s="61">
        <f>IF(AND(R1003="",S1003&lt;&gt;"Yes",L1003&gt;0,B1003&lt;&gt;"TXO"),L1003,"")</f>
        <v/>
      </c>
      <c r="W1003" s="61">
        <f>IF(AND(R1003="",S1003&lt;&gt;"Yes",L1003&lt;0,B1003&lt;&gt;"TXO"),L1003,"")</f>
        <v/>
      </c>
      <c r="X1003" s="226">
        <f>IF(AND(R1003="Yes",S1003="Yes",L1003&gt;0,B1003&lt;&gt;"TXO"),L1003,"")</f>
        <v/>
      </c>
      <c r="Y1003" s="226">
        <f>IF(AND(R1003="Yes",S1003="Yes",L1003&lt;0,B1003&lt;&gt;"TXO"),L1003,"")</f>
        <v/>
      </c>
      <c r="Z1003" s="226">
        <f>IF(AND(R1003="",S1003="Yes",L1003&gt;0,B1003&lt;&gt;"TXO"),L1003,"")</f>
        <v/>
      </c>
      <c r="AA1003" s="226">
        <f>IF(AND(R1003="",S1003="Yes",L1003&lt;0,B1003&lt;&gt;"TXO"),L1003,"")</f>
        <v/>
      </c>
    </row>
    <row r="1004" hidden="1" outlineLevel="2" ht="17.25" customHeight="1" thickBot="1">
      <c r="A1004" s="696" t="n">
        <v>43381</v>
      </c>
      <c r="B1004" s="234" t="inlineStr">
        <is>
          <t>FIMTX</t>
        </is>
      </c>
      <c r="C1004" s="229" t="inlineStr">
        <is>
          <t>小指10</t>
        </is>
      </c>
      <c r="D1004" s="229" t="inlineStr">
        <is>
          <t>新倉</t>
        </is>
      </c>
      <c r="E1004" s="257" t="inlineStr">
        <is>
          <t>買</t>
        </is>
      </c>
      <c r="F1004" s="229" t="inlineStr">
        <is>
          <t>-</t>
        </is>
      </c>
      <c r="G1004" s="697" t="n">
        <v>1</v>
      </c>
      <c r="H1004" s="697" t="n">
        <v>10449</v>
      </c>
      <c r="I1004" s="697" t="n">
        <v>0</v>
      </c>
      <c r="J1004" s="585" t="n">
        <v>23</v>
      </c>
      <c r="K1004" s="585" t="n">
        <v>10</v>
      </c>
      <c r="L1004" s="585">
        <f>IF(B1004="TXO",I1004-SUM(J1004:K1004),IF(B1004="FITX",IF(D1004="新倉",-SUM(J1004:K1004),IF(E1004="賣",(H1004-H1003)*G1004*200-SUM(J1004:K1004),(H1003-H1004)*G1004*200-SUM(J1004:K1004))),IF(D1004="新倉",-SUM(J1004:K1004),IF(E1004="賣",(H1004-H1003)*G1004*50-SUM(J1004:K1004),(H1003-H1004)*G1004*50-SUM(J1004:K1004)))))</f>
        <v/>
      </c>
      <c r="M1004" s="699">
        <f>L1004</f>
        <v/>
      </c>
      <c r="N1004" s="686">
        <f>IF(B1004="TXO","",IF(D1004="新倉","",IF(E1004="賣",(H1004-H1003)*G1004,(H1003-H1004)*G1004)))</f>
        <v/>
      </c>
      <c r="O1004" s="226">
        <f>ABS(I1004)</f>
        <v/>
      </c>
      <c r="P1004" s="667" t="n"/>
      <c r="Q1004" s="249" t="inlineStr">
        <is>
          <t>技法: 3/3 買進三口</t>
        </is>
      </c>
      <c r="R1004" s="249" t="inlineStr">
        <is>
          <t>Yes</t>
        </is>
      </c>
      <c r="S1004" s="739" t="n"/>
      <c r="T1004" s="61">
        <f>IF(AND(R1004="Yes",S1004&lt;&gt;"Yes",L1004&gt;0,B1004&lt;&gt;"TXO"),L1004,"")</f>
        <v/>
      </c>
      <c r="U1004" s="61">
        <f>IF(AND(R1004="Yes",S1004&lt;&gt;"Yes",L1004&lt;0,B1004&lt;&gt;"TXO"),L1004,"")</f>
        <v/>
      </c>
      <c r="V1004" s="61">
        <f>IF(AND(R1004="",S1004&lt;&gt;"Yes",L1004&gt;0,B1004&lt;&gt;"TXO"),L1004,"")</f>
        <v/>
      </c>
      <c r="W1004" s="61">
        <f>IF(AND(R1004="",S1004&lt;&gt;"Yes",L1004&lt;0,B1004&lt;&gt;"TXO"),L1004,"")</f>
        <v/>
      </c>
      <c r="X1004" s="226">
        <f>IF(AND(R1004="Yes",S1004="Yes",L1004&gt;0,B1004&lt;&gt;"TXO"),L1004,"")</f>
        <v/>
      </c>
      <c r="Y1004" s="226">
        <f>IF(AND(R1004="Yes",S1004="Yes",L1004&lt;0,B1004&lt;&gt;"TXO"),L1004,"")</f>
        <v/>
      </c>
      <c r="Z1004" s="226">
        <f>IF(AND(R1004="",S1004="Yes",L1004&gt;0,B1004&lt;&gt;"TXO"),L1004,"")</f>
        <v/>
      </c>
      <c r="AA1004" s="226">
        <f>IF(AND(R1004="",S1004="Yes",L1004&lt;0,B1004&lt;&gt;"TXO"),L1004,"")</f>
        <v/>
      </c>
    </row>
    <row r="1005" hidden="1" outlineLevel="2" ht="17.25" customHeight="1" thickBot="1">
      <c r="A1005" s="696" t="n">
        <v>43381</v>
      </c>
      <c r="B1005" s="234" t="inlineStr">
        <is>
          <t>FIMTX</t>
        </is>
      </c>
      <c r="C1005" s="229" t="inlineStr">
        <is>
          <t>小指10</t>
        </is>
      </c>
      <c r="D1005" s="229" t="inlineStr">
        <is>
          <t>平倉</t>
        </is>
      </c>
      <c r="E1005" s="257" t="inlineStr">
        <is>
          <t>賣</t>
        </is>
      </c>
      <c r="F1005" s="229" t="inlineStr">
        <is>
          <t>-</t>
        </is>
      </c>
      <c r="G1005" s="697" t="n">
        <v>1</v>
      </c>
      <c r="H1005" s="697" t="n">
        <v>10460</v>
      </c>
      <c r="I1005" s="697" t="n">
        <v>0</v>
      </c>
      <c r="J1005" s="585" t="n">
        <v>23</v>
      </c>
      <c r="K1005" s="585" t="n">
        <v>10</v>
      </c>
      <c r="L1005" s="585">
        <f>IF(B1005="TXO",I1005-SUM(J1005:K1005),IF(B1005="FITX",IF(D1005="新倉",-SUM(J1005:K1005),IF(E1005="賣",(H1005-H1004)*G1005*200-SUM(J1005:K1005),(H1004-H1005)*G1005*200-SUM(J1005:K1005))),IF(D1005="新倉",-SUM(J1005:K1005),IF(E1005="賣",(H1005-H1004)*G1005*50-SUM(J1005:K1005),(H1004-H1005)*G1005*50-SUM(J1005:K1005)))))</f>
        <v/>
      </c>
      <c r="M1005" s="699">
        <f>L1005</f>
        <v/>
      </c>
      <c r="N1005" s="686">
        <f>IF(B1005="TXO","",IF(D1005="新倉","",IF(E1005="賣",(H1005-H1004)*G1005,(H1004-H1005)*G1005)))</f>
        <v/>
      </c>
      <c r="O1005" s="226">
        <f>ABS(I1005)</f>
        <v/>
      </c>
      <c r="P1005" s="667" t="n"/>
      <c r="Q1005" s="249" t="inlineStr">
        <is>
          <t>技法: 刺補</t>
        </is>
      </c>
      <c r="R1005" s="249" t="inlineStr">
        <is>
          <t>Yes</t>
        </is>
      </c>
      <c r="S1005" s="739" t="n"/>
      <c r="T1005" s="61">
        <f>IF(AND(R1005="Yes",S1005&lt;&gt;"Yes",L1005&gt;0,B1005&lt;&gt;"TXO"),L1005,"")</f>
        <v/>
      </c>
      <c r="U1005" s="61">
        <f>IF(AND(R1005="Yes",S1005&lt;&gt;"Yes",L1005&lt;0,B1005&lt;&gt;"TXO"),L1005,"")</f>
        <v/>
      </c>
      <c r="V1005" s="61">
        <f>IF(AND(R1005="",S1005&lt;&gt;"Yes",L1005&gt;0,B1005&lt;&gt;"TXO"),L1005,"")</f>
        <v/>
      </c>
      <c r="W1005" s="61">
        <f>IF(AND(R1005="",S1005&lt;&gt;"Yes",L1005&lt;0,B1005&lt;&gt;"TXO"),L1005,"")</f>
        <v/>
      </c>
      <c r="X1005" s="226">
        <f>IF(AND(R1005="Yes",S1005="Yes",L1005&gt;0,B1005&lt;&gt;"TXO"),L1005,"")</f>
        <v/>
      </c>
      <c r="Y1005" s="226">
        <f>IF(AND(R1005="Yes",S1005="Yes",L1005&lt;0,B1005&lt;&gt;"TXO"),L1005,"")</f>
        <v/>
      </c>
      <c r="Z1005" s="226">
        <f>IF(AND(R1005="",S1005="Yes",L1005&gt;0,B1005&lt;&gt;"TXO"),L1005,"")</f>
        <v/>
      </c>
      <c r="AA1005" s="226">
        <f>IF(AND(R1005="",S1005="Yes",L1005&lt;0,B1005&lt;&gt;"TXO"),L1005,"")</f>
        <v/>
      </c>
    </row>
    <row r="1006" hidden="1" outlineLevel="2" ht="17.25" customHeight="1" thickBot="1">
      <c r="A1006" s="696" t="n">
        <v>43381</v>
      </c>
      <c r="B1006" s="234" t="inlineStr">
        <is>
          <t>FIMTX</t>
        </is>
      </c>
      <c r="C1006" s="229" t="inlineStr">
        <is>
          <t>小指10</t>
        </is>
      </c>
      <c r="D1006" s="229" t="inlineStr">
        <is>
          <t>新倉</t>
        </is>
      </c>
      <c r="E1006" s="257" t="inlineStr">
        <is>
          <t>買</t>
        </is>
      </c>
      <c r="F1006" s="229" t="inlineStr">
        <is>
          <t>-</t>
        </is>
      </c>
      <c r="G1006" s="697" t="n">
        <v>1</v>
      </c>
      <c r="H1006" s="697" t="n">
        <v>10453</v>
      </c>
      <c r="I1006" s="697" t="n">
        <v>0</v>
      </c>
      <c r="J1006" s="585" t="n">
        <v>23</v>
      </c>
      <c r="K1006" s="585" t="n">
        <v>10</v>
      </c>
      <c r="L1006" s="585">
        <f>IF(B1006="TXO",I1006-SUM(J1006:K1006),IF(B1006="FITX",IF(D1006="新倉",-SUM(J1006:K1006),IF(E1006="賣",(H1006-H1005)*G1006*200-SUM(J1006:K1006),(H1005-H1006)*G1006*200-SUM(J1006:K1006))),IF(D1006="新倉",-SUM(J1006:K1006),IF(E1006="賣",(H1006-H1005)*G1006*50-SUM(J1006:K1006),(H1005-H1006)*G1006*50-SUM(J1006:K1006)))))</f>
        <v/>
      </c>
      <c r="M1006" s="699">
        <f>L1006</f>
        <v/>
      </c>
      <c r="N1006" s="686">
        <f>IF(B1006="TXO","",IF(D1006="新倉","",IF(E1006="賣",(H1006-H1005)*G1006,(H1005-H1006)*G1006)))</f>
        <v/>
      </c>
      <c r="O1006" s="226">
        <f>ABS(I1006)</f>
        <v/>
      </c>
      <c r="P1006" s="667" t="n"/>
      <c r="R1006" s="249" t="inlineStr">
        <is>
          <t>Yes</t>
        </is>
      </c>
      <c r="S1006" s="739" t="n"/>
      <c r="T1006" s="61">
        <f>IF(AND(R1006="Yes",S1006&lt;&gt;"Yes",L1006&gt;0,B1006&lt;&gt;"TXO"),L1006,"")</f>
        <v/>
      </c>
      <c r="U1006" s="61">
        <f>IF(AND(R1006="Yes",S1006&lt;&gt;"Yes",L1006&lt;0,B1006&lt;&gt;"TXO"),L1006,"")</f>
        <v/>
      </c>
      <c r="V1006" s="61">
        <f>IF(AND(R1006="",S1006&lt;&gt;"Yes",L1006&gt;0,B1006&lt;&gt;"TXO"),L1006,"")</f>
        <v/>
      </c>
      <c r="W1006" s="61">
        <f>IF(AND(R1006="",S1006&lt;&gt;"Yes",L1006&lt;0,B1006&lt;&gt;"TXO"),L1006,"")</f>
        <v/>
      </c>
      <c r="X1006" s="226">
        <f>IF(AND(R1006="Yes",S1006="Yes",L1006&gt;0,B1006&lt;&gt;"TXO"),L1006,"")</f>
        <v/>
      </c>
      <c r="Y1006" s="226">
        <f>IF(AND(R1006="Yes",S1006="Yes",L1006&lt;0,B1006&lt;&gt;"TXO"),L1006,"")</f>
        <v/>
      </c>
      <c r="Z1006" s="226">
        <f>IF(AND(R1006="",S1006="Yes",L1006&gt;0,B1006&lt;&gt;"TXO"),L1006,"")</f>
        <v/>
      </c>
      <c r="AA1006" s="226">
        <f>IF(AND(R1006="",S1006="Yes",L1006&lt;0,B1006&lt;&gt;"TXO"),L1006,"")</f>
        <v/>
      </c>
    </row>
    <row r="1007" hidden="1" outlineLevel="2" ht="17.25" customHeight="1" thickBot="1">
      <c r="A1007" s="696" t="n">
        <v>43381</v>
      </c>
      <c r="B1007" s="234" t="inlineStr">
        <is>
          <t>FIMTX</t>
        </is>
      </c>
      <c r="C1007" s="229" t="inlineStr">
        <is>
          <t>小指10</t>
        </is>
      </c>
      <c r="D1007" s="229" t="inlineStr">
        <is>
          <t>平倉</t>
        </is>
      </c>
      <c r="E1007" s="257" t="inlineStr">
        <is>
          <t>賣</t>
        </is>
      </c>
      <c r="F1007" s="229" t="inlineStr">
        <is>
          <t>-</t>
        </is>
      </c>
      <c r="G1007" s="697" t="n">
        <v>1</v>
      </c>
      <c r="H1007" s="697" t="n">
        <v>10474</v>
      </c>
      <c r="I1007" s="697" t="n">
        <v>0</v>
      </c>
      <c r="J1007" s="585" t="n">
        <v>23</v>
      </c>
      <c r="K1007" s="585" t="n">
        <v>10</v>
      </c>
      <c r="L1007" s="585">
        <f>IF(B1007="TXO",I1007-SUM(J1007:K1007),IF(B1007="FITX",IF(D1007="新倉",-SUM(J1007:K1007),IF(E1007="賣",(H1007-H1006)*G1007*200-SUM(J1007:K1007),(H1006-H1007)*G1007*200-SUM(J1007:K1007))),IF(D1007="新倉",-SUM(J1007:K1007),IF(E1007="賣",(H1007-H1006)*G1007*50-SUM(J1007:K1007),(H1006-H1007)*G1007*50-SUM(J1007:K1007)))))</f>
        <v/>
      </c>
      <c r="M1007" s="699">
        <f>L1007</f>
        <v/>
      </c>
      <c r="N1007" s="686">
        <f>IF(B1007="TXO","",IF(D1007="新倉","",IF(E1007="賣",(H1007-H1006)*G1007,(H1006-H1007)*G1007)))</f>
        <v/>
      </c>
      <c r="O1007" s="226">
        <f>ABS(I1007)</f>
        <v/>
      </c>
      <c r="P1007" s="667" t="n"/>
      <c r="Q1007" s="310" t="inlineStr">
        <is>
          <t>因前單虧損，設停利點，被洗出場</t>
        </is>
      </c>
      <c r="R1007" s="249" t="inlineStr">
        <is>
          <t>Yes</t>
        </is>
      </c>
      <c r="S1007" s="739" t="n"/>
      <c r="T1007" s="61">
        <f>IF(AND(R1007="Yes",S1007&lt;&gt;"Yes",L1007&gt;0,B1007&lt;&gt;"TXO"),L1007,"")</f>
        <v/>
      </c>
      <c r="U1007" s="61">
        <f>IF(AND(R1007="Yes",S1007&lt;&gt;"Yes",L1007&lt;0,B1007&lt;&gt;"TXO"),L1007,"")</f>
        <v/>
      </c>
      <c r="V1007" s="61">
        <f>IF(AND(R1007="",S1007&lt;&gt;"Yes",L1007&gt;0,B1007&lt;&gt;"TXO"),L1007,"")</f>
        <v/>
      </c>
      <c r="W1007" s="61">
        <f>IF(AND(R1007="",S1007&lt;&gt;"Yes",L1007&lt;0,B1007&lt;&gt;"TXO"),L1007,"")</f>
        <v/>
      </c>
      <c r="X1007" s="226">
        <f>IF(AND(R1007="Yes",S1007="Yes",L1007&gt;0,B1007&lt;&gt;"TXO"),L1007,"")</f>
        <v/>
      </c>
      <c r="Y1007" s="226">
        <f>IF(AND(R1007="Yes",S1007="Yes",L1007&lt;0,B1007&lt;&gt;"TXO"),L1007,"")</f>
        <v/>
      </c>
      <c r="Z1007" s="226">
        <f>IF(AND(R1007="",S1007="Yes",L1007&gt;0,B1007&lt;&gt;"TXO"),L1007,"")</f>
        <v/>
      </c>
      <c r="AA1007" s="226">
        <f>IF(AND(R1007="",S1007="Yes",L1007&lt;0,B1007&lt;&gt;"TXO"),L1007,"")</f>
        <v/>
      </c>
    </row>
    <row r="1008" hidden="1" outlineLevel="2" ht="17.25" customHeight="1" thickBot="1">
      <c r="A1008" s="696" t="n">
        <v>43381</v>
      </c>
      <c r="B1008" s="234" t="inlineStr">
        <is>
          <t>FIMTX</t>
        </is>
      </c>
      <c r="C1008" s="229" t="inlineStr">
        <is>
          <t>小指10</t>
        </is>
      </c>
      <c r="D1008" s="229" t="inlineStr">
        <is>
          <t>新倉</t>
        </is>
      </c>
      <c r="E1008" s="257" t="inlineStr">
        <is>
          <t>買</t>
        </is>
      </c>
      <c r="F1008" s="229" t="inlineStr">
        <is>
          <t>-</t>
        </is>
      </c>
      <c r="G1008" s="697" t="n">
        <v>1</v>
      </c>
      <c r="H1008" s="697" t="n">
        <v>10453</v>
      </c>
      <c r="I1008" s="697" t="n">
        <v>0</v>
      </c>
      <c r="J1008" s="585" t="n">
        <v>23</v>
      </c>
      <c r="K1008" s="585" t="n">
        <v>10</v>
      </c>
      <c r="L1008" s="585">
        <f>IF(B1008="TXO",I1008-SUM(J1008:K1008),IF(B1008="FITX",IF(D1008="新倉",-SUM(J1008:K1008),IF(E1008="賣",(H1008-H1007)*G1008*200-SUM(J1008:K1008),(H1007-H1008)*G1008*200-SUM(J1008:K1008))),IF(D1008="新倉",-SUM(J1008:K1008),IF(E1008="賣",(H1008-H1007)*G1008*50-SUM(J1008:K1008),(H1007-H1008)*G1008*50-SUM(J1008:K1008)))))</f>
        <v/>
      </c>
      <c r="M1008" s="699">
        <f>L1008</f>
        <v/>
      </c>
      <c r="N1008" s="686">
        <f>IF(B1008="TXO","",IF(D1008="新倉","",IF(E1008="賣",(H1008-H1007)*G1008,(H1007-H1008)*G1008)))</f>
        <v/>
      </c>
      <c r="O1008" s="226">
        <f>ABS(I1008)</f>
        <v/>
      </c>
      <c r="P1008" s="667" t="n"/>
      <c r="R1008" s="249" t="inlineStr">
        <is>
          <t>Yes</t>
        </is>
      </c>
      <c r="S1008" s="739" t="n"/>
      <c r="T1008" s="61">
        <f>IF(AND(R1008="Yes",S1008&lt;&gt;"Yes",L1008&gt;0,B1008&lt;&gt;"TXO"),L1008,"")</f>
        <v/>
      </c>
      <c r="U1008" s="61">
        <f>IF(AND(R1008="Yes",S1008&lt;&gt;"Yes",L1008&lt;0,B1008&lt;&gt;"TXO"),L1008,"")</f>
        <v/>
      </c>
      <c r="V1008" s="61">
        <f>IF(AND(R1008="",S1008&lt;&gt;"Yes",L1008&gt;0,B1008&lt;&gt;"TXO"),L1008,"")</f>
        <v/>
      </c>
      <c r="W1008" s="61">
        <f>IF(AND(R1008="",S1008&lt;&gt;"Yes",L1008&lt;0,B1008&lt;&gt;"TXO"),L1008,"")</f>
        <v/>
      </c>
      <c r="X1008" s="226">
        <f>IF(AND(R1008="Yes",S1008="Yes",L1008&gt;0,B1008&lt;&gt;"TXO"),L1008,"")</f>
        <v/>
      </c>
      <c r="Y1008" s="226">
        <f>IF(AND(R1008="Yes",S1008="Yes",L1008&lt;0,B1008&lt;&gt;"TXO"),L1008,"")</f>
        <v/>
      </c>
      <c r="Z1008" s="226">
        <f>IF(AND(R1008="",S1008="Yes",L1008&gt;0,B1008&lt;&gt;"TXO"),L1008,"")</f>
        <v/>
      </c>
      <c r="AA1008" s="226">
        <f>IF(AND(R1008="",S1008="Yes",L1008&lt;0,B1008&lt;&gt;"TXO"),L1008,"")</f>
        <v/>
      </c>
    </row>
    <row r="1009" hidden="1" outlineLevel="2" ht="17.25" customHeight="1" thickBot="1">
      <c r="A1009" s="696" t="n">
        <v>43381</v>
      </c>
      <c r="B1009" s="234" t="inlineStr">
        <is>
          <t>FIMTX</t>
        </is>
      </c>
      <c r="C1009" s="229" t="inlineStr">
        <is>
          <t>小指10</t>
        </is>
      </c>
      <c r="D1009" s="229" t="inlineStr">
        <is>
          <t>平倉</t>
        </is>
      </c>
      <c r="E1009" s="257" t="inlineStr">
        <is>
          <t>賣</t>
        </is>
      </c>
      <c r="F1009" s="229" t="inlineStr">
        <is>
          <t>-</t>
        </is>
      </c>
      <c r="G1009" s="697" t="n">
        <v>1</v>
      </c>
      <c r="H1009" s="697" t="n">
        <v>10474</v>
      </c>
      <c r="I1009" s="697" t="n">
        <v>0</v>
      </c>
      <c r="J1009" s="585" t="n">
        <v>23</v>
      </c>
      <c r="K1009" s="585" t="n">
        <v>10</v>
      </c>
      <c r="L1009" s="585">
        <f>IF(B1009="TXO",I1009-SUM(J1009:K1009),IF(B1009="FITX",IF(D1009="新倉",-SUM(J1009:K1009),IF(E1009="賣",(H1009-H1008)*G1009*200-SUM(J1009:K1009),(H1008-H1009)*G1009*200-SUM(J1009:K1009))),IF(D1009="新倉",-SUM(J1009:K1009),IF(E1009="賣",(H1009-H1008)*G1009*50-SUM(J1009:K1009),(H1008-H1009)*G1009*50-SUM(J1009:K1009)))))</f>
        <v/>
      </c>
      <c r="M1009" s="699">
        <f>L1009</f>
        <v/>
      </c>
      <c r="N1009" s="686">
        <f>IF(B1009="TXO","",IF(D1009="新倉","",IF(E1009="賣",(H1009-H1008)*G1009,(H1008-H1009)*G1009)))</f>
        <v/>
      </c>
      <c r="O1009" s="226">
        <f>ABS(I1009)</f>
        <v/>
      </c>
      <c r="P1009" s="667" t="n"/>
      <c r="Q1009" s="310" t="inlineStr">
        <is>
          <t>因前單虧損，設停利點，被洗出場</t>
        </is>
      </c>
      <c r="R1009" s="249" t="inlineStr">
        <is>
          <t>Yes</t>
        </is>
      </c>
      <c r="S1009" s="739" t="n"/>
      <c r="T1009" s="61">
        <f>IF(AND(R1009="Yes",S1009&lt;&gt;"Yes",L1009&gt;0,B1009&lt;&gt;"TXO"),L1009,"")</f>
        <v/>
      </c>
      <c r="U1009" s="61">
        <f>IF(AND(R1009="Yes",S1009&lt;&gt;"Yes",L1009&lt;0,B1009&lt;&gt;"TXO"),L1009,"")</f>
        <v/>
      </c>
      <c r="V1009" s="61">
        <f>IF(AND(R1009="",S1009&lt;&gt;"Yes",L1009&gt;0,B1009&lt;&gt;"TXO"),L1009,"")</f>
        <v/>
      </c>
      <c r="W1009" s="61">
        <f>IF(AND(R1009="",S1009&lt;&gt;"Yes",L1009&lt;0,B1009&lt;&gt;"TXO"),L1009,"")</f>
        <v/>
      </c>
      <c r="X1009" s="226">
        <f>IF(AND(R1009="Yes",S1009="Yes",L1009&gt;0,B1009&lt;&gt;"TXO"),L1009,"")</f>
        <v/>
      </c>
      <c r="Y1009" s="226">
        <f>IF(AND(R1009="Yes",S1009="Yes",L1009&lt;0,B1009&lt;&gt;"TXO"),L1009,"")</f>
        <v/>
      </c>
      <c r="Z1009" s="226">
        <f>IF(AND(R1009="",S1009="Yes",L1009&gt;0,B1009&lt;&gt;"TXO"),L1009,"")</f>
        <v/>
      </c>
      <c r="AA1009" s="226">
        <f>IF(AND(R1009="",S1009="Yes",L1009&lt;0,B1009&lt;&gt;"TXO"),L1009,"")</f>
        <v/>
      </c>
    </row>
    <row r="1010" hidden="1" outlineLevel="2" ht="17.25" customHeight="1" thickBot="1">
      <c r="A1010" s="696" t="n">
        <v>43381</v>
      </c>
      <c r="B1010" s="234" t="inlineStr">
        <is>
          <t>FIMTX</t>
        </is>
      </c>
      <c r="C1010" s="229" t="inlineStr">
        <is>
          <t>小指10</t>
        </is>
      </c>
      <c r="D1010" s="229" t="inlineStr">
        <is>
          <t>新倉</t>
        </is>
      </c>
      <c r="E1010" s="257" t="inlineStr">
        <is>
          <t>買</t>
        </is>
      </c>
      <c r="F1010" s="229" t="inlineStr">
        <is>
          <t>-</t>
        </is>
      </c>
      <c r="G1010" s="697" t="n">
        <v>1</v>
      </c>
      <c r="H1010" s="697" t="n">
        <v>10497</v>
      </c>
      <c r="I1010" s="697" t="n">
        <v>0</v>
      </c>
      <c r="J1010" s="585" t="n">
        <v>23</v>
      </c>
      <c r="K1010" s="585" t="n">
        <v>10</v>
      </c>
      <c r="L1010" s="585">
        <f>IF(B1010="TXO",I1010-SUM(J1010:K1010),IF(B1010="FITX",IF(D1010="新倉",-SUM(J1010:K1010),IF(E1010="賣",(H1010-H1009)*G1010*200-SUM(J1010:K1010),(H1009-H1010)*G1010*200-SUM(J1010:K1010))),IF(D1010="新倉",-SUM(J1010:K1010),IF(E1010="賣",(H1010-H1009)*G1010*50-SUM(J1010:K1010),(H1009-H1010)*G1010*50-SUM(J1010:K1010)))))</f>
        <v/>
      </c>
      <c r="M1010" s="699">
        <f>L1010</f>
        <v/>
      </c>
      <c r="N1010" s="686">
        <f>IF(B1010="TXO","",IF(D1010="新倉","",IF(E1010="賣",(H1010-H1009)*G1010,(H1009-H1010)*G1010)))</f>
        <v/>
      </c>
      <c r="O1010" s="226">
        <f>ABS(I1010)</f>
        <v/>
      </c>
      <c r="P1010" s="667" t="n"/>
      <c r="Q1010" s="310" t="inlineStr">
        <is>
          <t>不甘心，追漲</t>
        </is>
      </c>
      <c r="S1010" s="739" t="n"/>
      <c r="T1010" s="61">
        <f>IF(AND(R1010="Yes",S1010&lt;&gt;"Yes",L1010&gt;0,B1010&lt;&gt;"TXO"),L1010,"")</f>
        <v/>
      </c>
      <c r="U1010" s="61">
        <f>IF(AND(R1010="Yes",S1010&lt;&gt;"Yes",L1010&lt;0,B1010&lt;&gt;"TXO"),L1010,"")</f>
        <v/>
      </c>
      <c r="V1010" s="61">
        <f>IF(AND(R1010="",S1010&lt;&gt;"Yes",L1010&gt;0,B1010&lt;&gt;"TXO"),L1010,"")</f>
        <v/>
      </c>
      <c r="W1010" s="61">
        <f>IF(AND(R1010="",S1010&lt;&gt;"Yes",L1010&lt;0,B1010&lt;&gt;"TXO"),L1010,"")</f>
        <v/>
      </c>
      <c r="X1010" s="226">
        <f>IF(AND(R1010="Yes",S1010="Yes",L1010&gt;0,B1010&lt;&gt;"TXO"),L1010,"")</f>
        <v/>
      </c>
      <c r="Y1010" s="226">
        <f>IF(AND(R1010="Yes",S1010="Yes",L1010&lt;0,B1010&lt;&gt;"TXO"),L1010,"")</f>
        <v/>
      </c>
      <c r="Z1010" s="226">
        <f>IF(AND(R1010="",S1010="Yes",L1010&gt;0,B1010&lt;&gt;"TXO"),L1010,"")</f>
        <v/>
      </c>
      <c r="AA1010" s="226">
        <f>IF(AND(R1010="",S1010="Yes",L1010&lt;0,B1010&lt;&gt;"TXO"),L1010,"")</f>
        <v/>
      </c>
    </row>
    <row r="1011" hidden="1" outlineLevel="2" ht="17.25" customHeight="1" thickBot="1">
      <c r="A1011" s="696" t="n">
        <v>43381</v>
      </c>
      <c r="B1011" s="234" t="inlineStr">
        <is>
          <t>FIMTX</t>
        </is>
      </c>
      <c r="C1011" s="229" t="inlineStr">
        <is>
          <t>小指10</t>
        </is>
      </c>
      <c r="D1011" s="229" t="inlineStr">
        <is>
          <t>平倉</t>
        </is>
      </c>
      <c r="E1011" s="257" t="inlineStr">
        <is>
          <t>賣</t>
        </is>
      </c>
      <c r="F1011" s="229" t="inlineStr">
        <is>
          <t>-</t>
        </is>
      </c>
      <c r="G1011" s="697" t="n">
        <v>1</v>
      </c>
      <c r="H1011" s="697" t="n">
        <v>10482</v>
      </c>
      <c r="I1011" s="697" t="n">
        <v>0</v>
      </c>
      <c r="J1011" s="585" t="n">
        <v>23</v>
      </c>
      <c r="K1011" s="585" t="n">
        <v>10</v>
      </c>
      <c r="L1011" s="585">
        <f>IF(B1011="TXO",I1011-SUM(J1011:K1011),IF(B1011="FITX",IF(D1011="新倉",-SUM(J1011:K1011),IF(E1011="賣",(H1011-H1010)*G1011*200-SUM(J1011:K1011),(H1010-H1011)*G1011*200-SUM(J1011:K1011))),IF(D1011="新倉",-SUM(J1011:K1011),IF(E1011="賣",(H1011-H1010)*G1011*50-SUM(J1011:K1011),(H1010-H1011)*G1011*50-SUM(J1011:K1011)))))</f>
        <v/>
      </c>
      <c r="M1011" s="699">
        <f>L1011</f>
        <v/>
      </c>
      <c r="N1011" s="686">
        <f>IF(B1011="TXO","",IF(D1011="新倉","",IF(E1011="賣",(H1011-H1010)*G1011,(H1010-H1011)*G1011)))</f>
        <v/>
      </c>
      <c r="O1011" s="226">
        <f>ABS(I1011)</f>
        <v/>
      </c>
      <c r="P1011" s="667" t="n"/>
      <c r="Q1011" s="310" t="inlineStr">
        <is>
          <t>15點停損</t>
        </is>
      </c>
      <c r="S1011" s="739" t="n"/>
      <c r="T1011" s="61">
        <f>IF(AND(R1011="Yes",S1011&lt;&gt;"Yes",L1011&gt;0,B1011&lt;&gt;"TXO"),L1011,"")</f>
        <v/>
      </c>
      <c r="U1011" s="61">
        <f>IF(AND(R1011="Yes",S1011&lt;&gt;"Yes",L1011&lt;0,B1011&lt;&gt;"TXO"),L1011,"")</f>
        <v/>
      </c>
      <c r="V1011" s="61">
        <f>IF(AND(R1011="",S1011&lt;&gt;"Yes",L1011&gt;0,B1011&lt;&gt;"TXO"),L1011,"")</f>
        <v/>
      </c>
      <c r="W1011" s="61">
        <f>IF(AND(R1011="",S1011&lt;&gt;"Yes",L1011&lt;0,B1011&lt;&gt;"TXO"),L1011,"")</f>
        <v/>
      </c>
      <c r="X1011" s="226">
        <f>IF(AND(R1011="Yes",S1011="Yes",L1011&gt;0,B1011&lt;&gt;"TXO"),L1011,"")</f>
        <v/>
      </c>
      <c r="Y1011" s="226">
        <f>IF(AND(R1011="Yes",S1011="Yes",L1011&lt;0,B1011&lt;&gt;"TXO"),L1011,"")</f>
        <v/>
      </c>
      <c r="Z1011" s="226">
        <f>IF(AND(R1011="",S1011="Yes",L1011&gt;0,B1011&lt;&gt;"TXO"),L1011,"")</f>
        <v/>
      </c>
      <c r="AA1011" s="226">
        <f>IF(AND(R1011="",S1011="Yes",L1011&lt;0,B1011&lt;&gt;"TXO"),L1011,"")</f>
        <v/>
      </c>
    </row>
    <row r="1012" hidden="1" outlineLevel="2" ht="17.25" customHeight="1" thickBot="1">
      <c r="A1012" s="696" t="n">
        <v>43381</v>
      </c>
      <c r="B1012" s="234" t="inlineStr">
        <is>
          <t>FIMTX</t>
        </is>
      </c>
      <c r="C1012" s="229" t="inlineStr">
        <is>
          <t>小指10</t>
        </is>
      </c>
      <c r="D1012" s="229" t="inlineStr">
        <is>
          <t>新倉</t>
        </is>
      </c>
      <c r="E1012" s="257" t="inlineStr">
        <is>
          <t>賣</t>
        </is>
      </c>
      <c r="F1012" s="229" t="inlineStr">
        <is>
          <t>-</t>
        </is>
      </c>
      <c r="G1012" s="697" t="n">
        <v>1</v>
      </c>
      <c r="H1012" s="697" t="n">
        <v>10451</v>
      </c>
      <c r="I1012" s="697" t="n">
        <v>0</v>
      </c>
      <c r="J1012" s="585" t="n">
        <v>23</v>
      </c>
      <c r="K1012" s="585" t="n">
        <v>10</v>
      </c>
      <c r="L1012" s="585">
        <f>IF(B1012="TXO",I1012-SUM(J1012:K1012),IF(B1012="FITX",IF(D1012="新倉",-SUM(J1012:K1012),IF(E1012="賣",(H1012-H1011)*G1012*200-SUM(J1012:K1012),(H1011-H1012)*G1012*200-SUM(J1012:K1012))),IF(D1012="新倉",-SUM(J1012:K1012),IF(E1012="賣",(H1012-H1011)*G1012*50-SUM(J1012:K1012),(H1011-H1012)*G1012*50-SUM(J1012:K1012)))))</f>
        <v/>
      </c>
      <c r="M1012" s="699">
        <f>L1012</f>
        <v/>
      </c>
      <c r="N1012" s="686">
        <f>IF(B1012="TXO","",IF(D1012="新倉","",IF(E1012="賣",(H1012-H1011)*G1012,(H1011-H1012)*G1012)))</f>
        <v/>
      </c>
      <c r="O1012" s="226">
        <f>ABS(I1012)</f>
        <v/>
      </c>
      <c r="P1012" s="667" t="n"/>
      <c r="Q1012" s="249" t="inlineStr">
        <is>
          <t>技法: 3/3 買進三口</t>
        </is>
      </c>
      <c r="R1012" s="249" t="inlineStr">
        <is>
          <t>Yes</t>
        </is>
      </c>
      <c r="S1012" s="739" t="n"/>
      <c r="T1012" s="61">
        <f>IF(AND(R1012="Yes",S1012&lt;&gt;"Yes",L1012&gt;0,B1012&lt;&gt;"TXO"),L1012,"")</f>
        <v/>
      </c>
      <c r="U1012" s="61">
        <f>IF(AND(R1012="Yes",S1012&lt;&gt;"Yes",L1012&lt;0,B1012&lt;&gt;"TXO"),L1012,"")</f>
        <v/>
      </c>
      <c r="V1012" s="61">
        <f>IF(AND(R1012="",S1012&lt;&gt;"Yes",L1012&gt;0,B1012&lt;&gt;"TXO"),L1012,"")</f>
        <v/>
      </c>
      <c r="W1012" s="61">
        <f>IF(AND(R1012="",S1012&lt;&gt;"Yes",L1012&lt;0,B1012&lt;&gt;"TXO"),L1012,"")</f>
        <v/>
      </c>
      <c r="X1012" s="226">
        <f>IF(AND(R1012="Yes",S1012="Yes",L1012&gt;0,B1012&lt;&gt;"TXO"),L1012,"")</f>
        <v/>
      </c>
      <c r="Y1012" s="226">
        <f>IF(AND(R1012="Yes",S1012="Yes",L1012&lt;0,B1012&lt;&gt;"TXO"),L1012,"")</f>
        <v/>
      </c>
      <c r="Z1012" s="226">
        <f>IF(AND(R1012="",S1012="Yes",L1012&gt;0,B1012&lt;&gt;"TXO"),L1012,"")</f>
        <v/>
      </c>
      <c r="AA1012" s="226">
        <f>IF(AND(R1012="",S1012="Yes",L1012&lt;0,B1012&lt;&gt;"TXO"),L1012,"")</f>
        <v/>
      </c>
    </row>
    <row r="1013" hidden="1" outlineLevel="2" ht="17.25" customHeight="1" thickBot="1">
      <c r="A1013" s="696" t="n">
        <v>43381</v>
      </c>
      <c r="B1013" s="234" t="inlineStr">
        <is>
          <t>FIMTX</t>
        </is>
      </c>
      <c r="C1013" s="229" t="inlineStr">
        <is>
          <t>小指10</t>
        </is>
      </c>
      <c r="D1013" s="229" t="inlineStr">
        <is>
          <t>平倉</t>
        </is>
      </c>
      <c r="E1013" s="257" t="inlineStr">
        <is>
          <t>買</t>
        </is>
      </c>
      <c r="F1013" s="229" t="inlineStr">
        <is>
          <t>-</t>
        </is>
      </c>
      <c r="G1013" s="697" t="n">
        <v>1</v>
      </c>
      <c r="H1013" s="697" t="n">
        <v>10443</v>
      </c>
      <c r="I1013" s="697" t="n">
        <v>0</v>
      </c>
      <c r="J1013" s="585" t="n">
        <v>23</v>
      </c>
      <c r="K1013" s="585" t="n">
        <v>10</v>
      </c>
      <c r="L1013" s="585">
        <f>IF(B1013="TXO",I1013-SUM(J1013:K1013),IF(B1013="FITX",IF(D1013="新倉",-SUM(J1013:K1013),IF(E1013="賣",(H1013-H1012)*G1013*200-SUM(J1013:K1013),(H1012-H1013)*G1013*200-SUM(J1013:K1013))),IF(D1013="新倉",-SUM(J1013:K1013),IF(E1013="賣",(H1013-H1012)*G1013*50-SUM(J1013:K1013),(H1012-H1013)*G1013*50-SUM(J1013:K1013)))))</f>
        <v/>
      </c>
      <c r="M1013" s="699">
        <f>L1013</f>
        <v/>
      </c>
      <c r="N1013" s="686">
        <f>IF(B1013="TXO","",IF(D1013="新倉","",IF(E1013="賣",(H1013-H1012)*G1013,(H1012-H1013)*G1013)))</f>
        <v/>
      </c>
      <c r="O1013" s="226">
        <f>ABS(I1013)</f>
        <v/>
      </c>
      <c r="P1013" s="667" t="n"/>
      <c r="Q1013" s="249" t="inlineStr">
        <is>
          <t>技法: 刺補</t>
        </is>
      </c>
      <c r="R1013" s="249" t="inlineStr">
        <is>
          <t>Yes</t>
        </is>
      </c>
      <c r="S1013" s="739" t="n"/>
      <c r="T1013" s="61">
        <f>IF(AND(R1013="Yes",S1013&lt;&gt;"Yes",L1013&gt;0,B1013&lt;&gt;"TXO"),L1013,"")</f>
        <v/>
      </c>
      <c r="U1013" s="61">
        <f>IF(AND(R1013="Yes",S1013&lt;&gt;"Yes",L1013&lt;0,B1013&lt;&gt;"TXO"),L1013,"")</f>
        <v/>
      </c>
      <c r="V1013" s="61">
        <f>IF(AND(R1013="",S1013&lt;&gt;"Yes",L1013&gt;0,B1013&lt;&gt;"TXO"),L1013,"")</f>
        <v/>
      </c>
      <c r="W1013" s="61">
        <f>IF(AND(R1013="",S1013&lt;&gt;"Yes",L1013&lt;0,B1013&lt;&gt;"TXO"),L1013,"")</f>
        <v/>
      </c>
      <c r="X1013" s="226">
        <f>IF(AND(R1013="Yes",S1013="Yes",L1013&gt;0,B1013&lt;&gt;"TXO"),L1013,"")</f>
        <v/>
      </c>
      <c r="Y1013" s="226">
        <f>IF(AND(R1013="Yes",S1013="Yes",L1013&lt;0,B1013&lt;&gt;"TXO"),L1013,"")</f>
        <v/>
      </c>
      <c r="Z1013" s="226">
        <f>IF(AND(R1013="",S1013="Yes",L1013&gt;0,B1013&lt;&gt;"TXO"),L1013,"")</f>
        <v/>
      </c>
      <c r="AA1013" s="226">
        <f>IF(AND(R1013="",S1013="Yes",L1013&lt;0,B1013&lt;&gt;"TXO"),L1013,"")</f>
        <v/>
      </c>
    </row>
    <row r="1014" hidden="1" outlineLevel="2" ht="17.25" customHeight="1" thickBot="1">
      <c r="A1014" s="696" t="n">
        <v>43381</v>
      </c>
      <c r="B1014" s="234" t="inlineStr">
        <is>
          <t>FIMTX</t>
        </is>
      </c>
      <c r="C1014" s="229" t="inlineStr">
        <is>
          <t>小指10</t>
        </is>
      </c>
      <c r="D1014" s="229" t="inlineStr">
        <is>
          <t>新倉</t>
        </is>
      </c>
      <c r="E1014" s="257" t="inlineStr">
        <is>
          <t>賣</t>
        </is>
      </c>
      <c r="F1014" s="229" t="inlineStr">
        <is>
          <t>-</t>
        </is>
      </c>
      <c r="G1014" s="697" t="n">
        <v>1</v>
      </c>
      <c r="H1014" s="697" t="n">
        <v>10451</v>
      </c>
      <c r="I1014" s="697" t="n">
        <v>0</v>
      </c>
      <c r="J1014" s="585" t="n">
        <v>23</v>
      </c>
      <c r="K1014" s="585" t="n">
        <v>10</v>
      </c>
      <c r="L1014" s="585">
        <f>IF(B1014="TXO",I1014-SUM(J1014:K1014),IF(B1014="FITX",IF(D1014="新倉",-SUM(J1014:K1014),IF(E1014="賣",(H1014-H1013)*G1014*200-SUM(J1014:K1014),(H1013-H1014)*G1014*200-SUM(J1014:K1014))),IF(D1014="新倉",-SUM(J1014:K1014),IF(E1014="賣",(H1014-H1013)*G1014*50-SUM(J1014:K1014),(H1013-H1014)*G1014*50-SUM(J1014:K1014)))))</f>
        <v/>
      </c>
      <c r="M1014" s="699">
        <f>L1014</f>
        <v/>
      </c>
      <c r="N1014" s="686">
        <f>IF(B1014="TXO","",IF(D1014="新倉","",IF(E1014="賣",(H1014-H1013)*G1014,(H1013-H1014)*G1014)))</f>
        <v/>
      </c>
      <c r="O1014" s="226">
        <f>ABS(I1014)</f>
        <v/>
      </c>
      <c r="P1014" s="667" t="n"/>
      <c r="R1014" s="249" t="inlineStr">
        <is>
          <t>Yes</t>
        </is>
      </c>
      <c r="S1014" s="739" t="n"/>
      <c r="T1014" s="61">
        <f>IF(AND(R1014="Yes",S1014&lt;&gt;"Yes",L1014&gt;0,B1014&lt;&gt;"TXO"),L1014,"")</f>
        <v/>
      </c>
      <c r="U1014" s="61">
        <f>IF(AND(R1014="Yes",S1014&lt;&gt;"Yes",L1014&lt;0,B1014&lt;&gt;"TXO"),L1014,"")</f>
        <v/>
      </c>
      <c r="V1014" s="61">
        <f>IF(AND(R1014="",S1014&lt;&gt;"Yes",L1014&gt;0,B1014&lt;&gt;"TXO"),L1014,"")</f>
        <v/>
      </c>
      <c r="W1014" s="61">
        <f>IF(AND(R1014="",S1014&lt;&gt;"Yes",L1014&lt;0,B1014&lt;&gt;"TXO"),L1014,"")</f>
        <v/>
      </c>
      <c r="X1014" s="226">
        <f>IF(AND(R1014="Yes",S1014="Yes",L1014&gt;0,B1014&lt;&gt;"TXO"),L1014,"")</f>
        <v/>
      </c>
      <c r="Y1014" s="226">
        <f>IF(AND(R1014="Yes",S1014="Yes",L1014&lt;0,B1014&lt;&gt;"TXO"),L1014,"")</f>
        <v/>
      </c>
      <c r="Z1014" s="226">
        <f>IF(AND(R1014="",S1014="Yes",L1014&gt;0,B1014&lt;&gt;"TXO"),L1014,"")</f>
        <v/>
      </c>
      <c r="AA1014" s="226">
        <f>IF(AND(R1014="",S1014="Yes",L1014&lt;0,B1014&lt;&gt;"TXO"),L1014,"")</f>
        <v/>
      </c>
    </row>
    <row r="1015" hidden="1" outlineLevel="2" ht="17.25" customHeight="1" thickBot="1">
      <c r="A1015" s="696" t="n">
        <v>43381</v>
      </c>
      <c r="B1015" s="234" t="inlineStr">
        <is>
          <t>FIMTX</t>
        </is>
      </c>
      <c r="C1015" s="229" t="inlineStr">
        <is>
          <t>小指10</t>
        </is>
      </c>
      <c r="D1015" s="229" t="inlineStr">
        <is>
          <t>平倉</t>
        </is>
      </c>
      <c r="E1015" s="257" t="inlineStr">
        <is>
          <t>買</t>
        </is>
      </c>
      <c r="F1015" s="229" t="inlineStr">
        <is>
          <t>-</t>
        </is>
      </c>
      <c r="G1015" s="697" t="n">
        <v>1</v>
      </c>
      <c r="H1015" s="697" t="n">
        <v>10436</v>
      </c>
      <c r="I1015" s="697" t="n">
        <v>0</v>
      </c>
      <c r="J1015" s="585" t="n">
        <v>23</v>
      </c>
      <c r="K1015" s="585" t="n">
        <v>10</v>
      </c>
      <c r="L1015" s="585">
        <f>IF(B1015="TXO",I1015-SUM(J1015:K1015),IF(B1015="FITX",IF(D1015="新倉",-SUM(J1015:K1015),IF(E1015="賣",(H1015-H1014)*G1015*200-SUM(J1015:K1015),(H1014-H1015)*G1015*200-SUM(J1015:K1015))),IF(D1015="新倉",-SUM(J1015:K1015),IF(E1015="賣",(H1015-H1014)*G1015*50-SUM(J1015:K1015),(H1014-H1015)*G1015*50-SUM(J1015:K1015)))))</f>
        <v/>
      </c>
      <c r="M1015" s="699">
        <f>L1015</f>
        <v/>
      </c>
      <c r="N1015" s="686">
        <f>IF(B1015="TXO","",IF(D1015="新倉","",IF(E1015="賣",(H1015-H1014)*G1015,(H1014-H1015)*G1015)))</f>
        <v/>
      </c>
      <c r="O1015" s="226">
        <f>ABS(I1015)</f>
        <v/>
      </c>
      <c r="P1015" s="667" t="n"/>
      <c r="Q1015" s="249" t="inlineStr">
        <is>
          <t>技法: 刺補</t>
        </is>
      </c>
      <c r="R1015" s="249" t="inlineStr">
        <is>
          <t>Yes</t>
        </is>
      </c>
      <c r="S1015" s="739" t="n"/>
      <c r="T1015" s="61">
        <f>IF(AND(R1015="Yes",S1015&lt;&gt;"Yes",L1015&gt;0,B1015&lt;&gt;"TXO"),L1015,"")</f>
        <v/>
      </c>
      <c r="U1015" s="61">
        <f>IF(AND(R1015="Yes",S1015&lt;&gt;"Yes",L1015&lt;0,B1015&lt;&gt;"TXO"),L1015,"")</f>
        <v/>
      </c>
      <c r="V1015" s="61">
        <f>IF(AND(R1015="",S1015&lt;&gt;"Yes",L1015&gt;0,B1015&lt;&gt;"TXO"),L1015,"")</f>
        <v/>
      </c>
      <c r="W1015" s="61">
        <f>IF(AND(R1015="",S1015&lt;&gt;"Yes",L1015&lt;0,B1015&lt;&gt;"TXO"),L1015,"")</f>
        <v/>
      </c>
      <c r="X1015" s="226">
        <f>IF(AND(R1015="Yes",S1015="Yes",L1015&gt;0,B1015&lt;&gt;"TXO"),L1015,"")</f>
        <v/>
      </c>
      <c r="Y1015" s="226">
        <f>IF(AND(R1015="Yes",S1015="Yes",L1015&lt;0,B1015&lt;&gt;"TXO"),L1015,"")</f>
        <v/>
      </c>
      <c r="Z1015" s="226">
        <f>IF(AND(R1015="",S1015="Yes",L1015&gt;0,B1015&lt;&gt;"TXO"),L1015,"")</f>
        <v/>
      </c>
      <c r="AA1015" s="226">
        <f>IF(AND(R1015="",S1015="Yes",L1015&lt;0,B1015&lt;&gt;"TXO"),L1015,"")</f>
        <v/>
      </c>
    </row>
    <row r="1016" hidden="1" outlineLevel="2" ht="17.25" customHeight="1" thickBot="1">
      <c r="A1016" s="696" t="n">
        <v>43381</v>
      </c>
      <c r="B1016" s="234" t="inlineStr">
        <is>
          <t>FIMTX</t>
        </is>
      </c>
      <c r="C1016" s="229" t="inlineStr">
        <is>
          <t>小指10</t>
        </is>
      </c>
      <c r="D1016" s="229" t="inlineStr">
        <is>
          <t>新倉</t>
        </is>
      </c>
      <c r="E1016" s="257" t="inlineStr">
        <is>
          <t>賣</t>
        </is>
      </c>
      <c r="F1016" s="229" t="inlineStr">
        <is>
          <t>-</t>
        </is>
      </c>
      <c r="G1016" s="697" t="n">
        <v>1</v>
      </c>
      <c r="H1016" s="697" t="n">
        <v>10451</v>
      </c>
      <c r="I1016" s="697" t="n">
        <v>0</v>
      </c>
      <c r="J1016" s="585" t="n">
        <v>23</v>
      </c>
      <c r="K1016" s="585" t="n">
        <v>10</v>
      </c>
      <c r="L1016" s="585">
        <f>IF(B1016="TXO",I1016-SUM(J1016:K1016),IF(B1016="FITX",IF(D1016="新倉",-SUM(J1016:K1016),IF(E1016="賣",(H1016-H1015)*G1016*200-SUM(J1016:K1016),(H1015-H1016)*G1016*200-SUM(J1016:K1016))),IF(D1016="新倉",-SUM(J1016:K1016),IF(E1016="賣",(H1016-H1015)*G1016*50-SUM(J1016:K1016),(H1015-H1016)*G1016*50-SUM(J1016:K1016)))))</f>
        <v/>
      </c>
      <c r="M1016" s="699">
        <f>L1016</f>
        <v/>
      </c>
      <c r="N1016" s="686">
        <f>IF(B1016="TXO","",IF(D1016="新倉","",IF(E1016="賣",(H1016-H1015)*G1016,(H1015-H1016)*G1016)))</f>
        <v/>
      </c>
      <c r="O1016" s="226">
        <f>ABS(I1016)</f>
        <v/>
      </c>
      <c r="P1016" s="667" t="n"/>
      <c r="R1016" s="249" t="inlineStr">
        <is>
          <t>Yes</t>
        </is>
      </c>
      <c r="S1016" s="739" t="n"/>
      <c r="T1016" s="61">
        <f>IF(AND(R1016="Yes",S1016&lt;&gt;"Yes",L1016&gt;0,B1016&lt;&gt;"TXO"),L1016,"")</f>
        <v/>
      </c>
      <c r="U1016" s="61">
        <f>IF(AND(R1016="Yes",S1016&lt;&gt;"Yes",L1016&lt;0,B1016&lt;&gt;"TXO"),L1016,"")</f>
        <v/>
      </c>
      <c r="V1016" s="61">
        <f>IF(AND(R1016="",S1016&lt;&gt;"Yes",L1016&gt;0,B1016&lt;&gt;"TXO"),L1016,"")</f>
        <v/>
      </c>
      <c r="W1016" s="61">
        <f>IF(AND(R1016="",S1016&lt;&gt;"Yes",L1016&lt;0,B1016&lt;&gt;"TXO"),L1016,"")</f>
        <v/>
      </c>
      <c r="X1016" s="226">
        <f>IF(AND(R1016="Yes",S1016="Yes",L1016&gt;0,B1016&lt;&gt;"TXO"),L1016,"")</f>
        <v/>
      </c>
      <c r="Y1016" s="226">
        <f>IF(AND(R1016="Yes",S1016="Yes",L1016&lt;0,B1016&lt;&gt;"TXO"),L1016,"")</f>
        <v/>
      </c>
      <c r="Z1016" s="226">
        <f>IF(AND(R1016="",S1016="Yes",L1016&gt;0,B1016&lt;&gt;"TXO"),L1016,"")</f>
        <v/>
      </c>
      <c r="AA1016" s="226">
        <f>IF(AND(R1016="",S1016="Yes",L1016&lt;0,B1016&lt;&gt;"TXO"),L1016,"")</f>
        <v/>
      </c>
    </row>
    <row r="1017" hidden="1" outlineLevel="2" ht="17.25" customHeight="1" thickBot="1">
      <c r="A1017" s="696" t="n">
        <v>43381</v>
      </c>
      <c r="B1017" s="234" t="inlineStr">
        <is>
          <t>FIMTX</t>
        </is>
      </c>
      <c r="C1017" s="229" t="inlineStr">
        <is>
          <t>小指10</t>
        </is>
      </c>
      <c r="D1017" s="229" t="inlineStr">
        <is>
          <t>平倉</t>
        </is>
      </c>
      <c r="E1017" s="257" t="inlineStr">
        <is>
          <t>買</t>
        </is>
      </c>
      <c r="F1017" s="229" t="inlineStr">
        <is>
          <t>-</t>
        </is>
      </c>
      <c r="G1017" s="697" t="n">
        <v>1</v>
      </c>
      <c r="H1017" s="697" t="n">
        <v>10443</v>
      </c>
      <c r="I1017" s="697" t="n">
        <v>0</v>
      </c>
      <c r="J1017" s="585" t="n">
        <v>23</v>
      </c>
      <c r="K1017" s="585" t="n">
        <v>10</v>
      </c>
      <c r="L1017" s="585">
        <f>IF(B1017="TXO",I1017-SUM(J1017:K1017),IF(B1017="FITX",IF(D1017="新倉",-SUM(J1017:K1017),IF(E1017="賣",(H1017-H1016)*G1017*200-SUM(J1017:K1017),(H1016-H1017)*G1017*200-SUM(J1017:K1017))),IF(D1017="新倉",-SUM(J1017:K1017),IF(E1017="賣",(H1017-H1016)*G1017*50-SUM(J1017:K1017),(H1016-H1017)*G1017*50-SUM(J1017:K1017)))))</f>
        <v/>
      </c>
      <c r="M1017" s="699">
        <f>L1017</f>
        <v/>
      </c>
      <c r="N1017" s="686">
        <f>IF(B1017="TXO","",IF(D1017="新倉","",IF(E1017="賣",(H1017-H1016)*G1017,(H1016-H1017)*G1017)))</f>
        <v/>
      </c>
      <c r="O1017" s="226">
        <f>ABS(I1017)</f>
        <v/>
      </c>
      <c r="P1017" s="667" t="n"/>
      <c r="Q1017" s="249" t="inlineStr">
        <is>
          <t>技法: 移動式停利</t>
        </is>
      </c>
      <c r="R1017" s="249" t="inlineStr">
        <is>
          <t>Yes</t>
        </is>
      </c>
      <c r="S1017" s="739" t="n"/>
      <c r="T1017" s="61">
        <f>IF(AND(R1017="Yes",S1017&lt;&gt;"Yes",L1017&gt;0,B1017&lt;&gt;"TXO"),L1017,"")</f>
        <v/>
      </c>
      <c r="U1017" s="61">
        <f>IF(AND(R1017="Yes",S1017&lt;&gt;"Yes",L1017&lt;0,B1017&lt;&gt;"TXO"),L1017,"")</f>
        <v/>
      </c>
      <c r="V1017" s="61">
        <f>IF(AND(R1017="",S1017&lt;&gt;"Yes",L1017&gt;0,B1017&lt;&gt;"TXO"),L1017,"")</f>
        <v/>
      </c>
      <c r="W1017" s="61">
        <f>IF(AND(R1017="",S1017&lt;&gt;"Yes",L1017&lt;0,B1017&lt;&gt;"TXO"),L1017,"")</f>
        <v/>
      </c>
      <c r="X1017" s="226">
        <f>IF(AND(R1017="Yes",S1017="Yes",L1017&gt;0,B1017&lt;&gt;"TXO"),L1017,"")</f>
        <v/>
      </c>
      <c r="Y1017" s="226">
        <f>IF(AND(R1017="Yes",S1017="Yes",L1017&lt;0,B1017&lt;&gt;"TXO"),L1017,"")</f>
        <v/>
      </c>
      <c r="Z1017" s="226">
        <f>IF(AND(R1017="",S1017="Yes",L1017&gt;0,B1017&lt;&gt;"TXO"),L1017,"")</f>
        <v/>
      </c>
      <c r="AA1017" s="226">
        <f>IF(AND(R1017="",S1017="Yes",L1017&lt;0,B1017&lt;&gt;"TXO"),L1017,"")</f>
        <v/>
      </c>
    </row>
    <row r="1018" hidden="1" outlineLevel="2" ht="17.25" customHeight="1" thickBot="1">
      <c r="A1018" s="696" t="n">
        <v>43381</v>
      </c>
      <c r="B1018" s="234" t="inlineStr">
        <is>
          <t>FIMTX</t>
        </is>
      </c>
      <c r="C1018" s="229" t="inlineStr">
        <is>
          <t>小指10</t>
        </is>
      </c>
      <c r="D1018" s="229" t="inlineStr">
        <is>
          <t>新倉</t>
        </is>
      </c>
      <c r="E1018" s="257" t="inlineStr">
        <is>
          <t>賣</t>
        </is>
      </c>
      <c r="F1018" s="229" t="inlineStr">
        <is>
          <t>-</t>
        </is>
      </c>
      <c r="G1018" s="697" t="n">
        <v>1</v>
      </c>
      <c r="H1018" s="697" t="n">
        <v>10436</v>
      </c>
      <c r="I1018" s="697" t="n">
        <v>0</v>
      </c>
      <c r="J1018" s="585" t="n">
        <v>23</v>
      </c>
      <c r="K1018" s="585" t="n">
        <v>10</v>
      </c>
      <c r="L1018" s="585">
        <f>IF(B1018="TXO",I1018-SUM(J1018:K1018),IF(B1018="FITX",IF(D1018="新倉",-SUM(J1018:K1018),IF(E1018="賣",(H1018-H1017)*G1018*200-SUM(J1018:K1018),(H1017-H1018)*G1018*200-SUM(J1018:K1018))),IF(D1018="新倉",-SUM(J1018:K1018),IF(E1018="賣",(H1018-H1017)*G1018*50-SUM(J1018:K1018),(H1017-H1018)*G1018*50-SUM(J1018:K1018)))))</f>
        <v/>
      </c>
      <c r="M1018" s="699">
        <f>L1018</f>
        <v/>
      </c>
      <c r="N1018" s="686">
        <f>IF(B1018="TXO","",IF(D1018="新倉","",IF(E1018="賣",(H1018-H1017)*G1018,(H1017-H1018)*G1018)))</f>
        <v/>
      </c>
      <c r="O1018" s="226">
        <f>ABS(I1018)</f>
        <v/>
      </c>
      <c r="P1018" s="667" t="n"/>
      <c r="Q1018" s="310" t="inlineStr">
        <is>
          <t>觸價點錯位置，變成買進</t>
        </is>
      </c>
      <c r="S1018" s="739" t="n"/>
      <c r="T1018" s="61">
        <f>IF(AND(R1018="Yes",S1018&lt;&gt;"Yes",L1018&gt;0,B1018&lt;&gt;"TXO"),L1018,"")</f>
        <v/>
      </c>
      <c r="U1018" s="61">
        <f>IF(AND(R1018="Yes",S1018&lt;&gt;"Yes",L1018&lt;0,B1018&lt;&gt;"TXO"),L1018,"")</f>
        <v/>
      </c>
      <c r="V1018" s="61">
        <f>IF(AND(R1018="",S1018&lt;&gt;"Yes",L1018&gt;0,B1018&lt;&gt;"TXO"),L1018,"")</f>
        <v/>
      </c>
      <c r="W1018" s="61">
        <f>IF(AND(R1018="",S1018&lt;&gt;"Yes",L1018&lt;0,B1018&lt;&gt;"TXO"),L1018,"")</f>
        <v/>
      </c>
      <c r="X1018" s="226">
        <f>IF(AND(R1018="Yes",S1018="Yes",L1018&gt;0,B1018&lt;&gt;"TXO"),L1018,"")</f>
        <v/>
      </c>
      <c r="Y1018" s="226">
        <f>IF(AND(R1018="Yes",S1018="Yes",L1018&lt;0,B1018&lt;&gt;"TXO"),L1018,"")</f>
        <v/>
      </c>
      <c r="Z1018" s="226">
        <f>IF(AND(R1018="",S1018="Yes",L1018&gt;0,B1018&lt;&gt;"TXO"),L1018,"")</f>
        <v/>
      </c>
      <c r="AA1018" s="226">
        <f>IF(AND(R1018="",S1018="Yes",L1018&lt;0,B1018&lt;&gt;"TXO"),L1018,"")</f>
        <v/>
      </c>
    </row>
    <row r="1019" hidden="1" outlineLevel="2" ht="17.25" customHeight="1" thickBot="1">
      <c r="A1019" s="696" t="n">
        <v>43381</v>
      </c>
      <c r="B1019" s="234" t="inlineStr">
        <is>
          <t>FIMTX</t>
        </is>
      </c>
      <c r="C1019" s="229" t="inlineStr">
        <is>
          <t>小指10</t>
        </is>
      </c>
      <c r="D1019" s="229" t="inlineStr">
        <is>
          <t>平倉</t>
        </is>
      </c>
      <c r="E1019" s="257" t="inlineStr">
        <is>
          <t>買</t>
        </is>
      </c>
      <c r="F1019" s="229" t="inlineStr">
        <is>
          <t>-</t>
        </is>
      </c>
      <c r="G1019" s="697" t="n">
        <v>1</v>
      </c>
      <c r="H1019" s="697" t="n">
        <v>10443</v>
      </c>
      <c r="I1019" s="697" t="n">
        <v>0</v>
      </c>
      <c r="J1019" s="585" t="n">
        <v>23</v>
      </c>
      <c r="K1019" s="585" t="n">
        <v>10</v>
      </c>
      <c r="L1019" s="585">
        <f>IF(B1019="TXO",I1019-SUM(J1019:K1019),IF(B1019="FITX",IF(D1019="新倉",-SUM(J1019:K1019),IF(E1019="賣",(H1019-H1018)*G1019*200-SUM(J1019:K1019),(H1018-H1019)*G1019*200-SUM(J1019:K1019))),IF(D1019="新倉",-SUM(J1019:K1019),IF(E1019="賣",(H1019-H1018)*G1019*50-SUM(J1019:K1019),(H1018-H1019)*G1019*50-SUM(J1019:K1019)))))</f>
        <v/>
      </c>
      <c r="M1019" s="699">
        <f>L1019</f>
        <v/>
      </c>
      <c r="N1019" s="686">
        <f>IF(B1019="TXO","",IF(D1019="新倉","",IF(E1019="賣",(H1019-H1018)*G1019,(H1018-H1019)*G1019)))</f>
        <v/>
      </c>
      <c r="O1019" s="226">
        <f>ABS(I1019)</f>
        <v/>
      </c>
      <c r="P1019" s="667" t="n"/>
      <c r="Q1019" s="249" t="inlineStr">
        <is>
          <t>技法: 移動式停利</t>
        </is>
      </c>
      <c r="S1019" s="739" t="n"/>
      <c r="T1019" s="61">
        <f>IF(AND(R1019="Yes",S1019&lt;&gt;"Yes",L1019&gt;0,B1019&lt;&gt;"TXO"),L1019,"")</f>
        <v/>
      </c>
      <c r="U1019" s="61">
        <f>IF(AND(R1019="Yes",S1019&lt;&gt;"Yes",L1019&lt;0,B1019&lt;&gt;"TXO"),L1019,"")</f>
        <v/>
      </c>
      <c r="V1019" s="61">
        <f>IF(AND(R1019="",S1019&lt;&gt;"Yes",L1019&gt;0,B1019&lt;&gt;"TXO"),L1019,"")</f>
        <v/>
      </c>
      <c r="W1019" s="61">
        <f>IF(AND(R1019="",S1019&lt;&gt;"Yes",L1019&lt;0,B1019&lt;&gt;"TXO"),L1019,"")</f>
        <v/>
      </c>
      <c r="X1019" s="226">
        <f>IF(AND(R1019="Yes",S1019="Yes",L1019&gt;0,B1019&lt;&gt;"TXO"),L1019,"")</f>
        <v/>
      </c>
      <c r="Y1019" s="226">
        <f>IF(AND(R1019="Yes",S1019="Yes",L1019&lt;0,B1019&lt;&gt;"TXO"),L1019,"")</f>
        <v/>
      </c>
      <c r="Z1019" s="226">
        <f>IF(AND(R1019="",S1019="Yes",L1019&gt;0,B1019&lt;&gt;"TXO"),L1019,"")</f>
        <v/>
      </c>
      <c r="AA1019" s="226">
        <f>IF(AND(R1019="",S1019="Yes",L1019&lt;0,B1019&lt;&gt;"TXO"),L1019,"")</f>
        <v/>
      </c>
    </row>
    <row r="1020" hidden="1" outlineLevel="2" ht="17.25" customHeight="1" thickBot="1">
      <c r="A1020" s="696" t="n">
        <v>43381</v>
      </c>
      <c r="B1020" s="234" t="inlineStr">
        <is>
          <t>FIMTX</t>
        </is>
      </c>
      <c r="C1020" s="229" t="inlineStr">
        <is>
          <t>小指10</t>
        </is>
      </c>
      <c r="D1020" s="229" t="inlineStr">
        <is>
          <t>新倉</t>
        </is>
      </c>
      <c r="E1020" s="257" t="inlineStr">
        <is>
          <t>賣</t>
        </is>
      </c>
      <c r="F1020" s="229" t="inlineStr">
        <is>
          <t>-</t>
        </is>
      </c>
      <c r="G1020" s="697" t="n">
        <v>3</v>
      </c>
      <c r="H1020" s="697" t="n">
        <v>10442</v>
      </c>
      <c r="I1020" s="697" t="n">
        <v>0</v>
      </c>
      <c r="J1020" s="585" t="n">
        <v>69</v>
      </c>
      <c r="K1020" s="585" t="n">
        <v>30</v>
      </c>
      <c r="L1020" s="585">
        <f>IF(B1020="TXO",I1020-SUM(J1020:K1020),IF(B1020="FITX",IF(D1020="新倉",-SUM(J1020:K1020),IF(E1020="賣",(H1020-H1019)*G1020*200-SUM(J1020:K1020),(H1019-H1020)*G1020*200-SUM(J1020:K1020))),IF(D1020="新倉",-SUM(J1020:K1020),IF(E1020="賣",(H1020-H1019)*G1020*50-SUM(J1020:K1020),(H1019-H1020)*G1020*50-SUM(J1020:K1020)))))</f>
        <v/>
      </c>
      <c r="M1020" s="699">
        <f>L1020</f>
        <v/>
      </c>
      <c r="N1020" s="686">
        <f>IF(B1020="TXO","",IF(D1020="新倉","",IF(E1020="賣",(H1020-H1019)*G1020,(H1019-H1020)*G1020)))</f>
        <v/>
      </c>
      <c r="O1020" s="226">
        <f>ABS(I1020)</f>
        <v/>
      </c>
      <c r="P1020" s="667" t="n"/>
      <c r="S1020" s="249" t="inlineStr">
        <is>
          <t>Yes</t>
        </is>
      </c>
      <c r="T1020" s="61">
        <f>IF(AND(R1020="Yes",S1020&lt;&gt;"Yes",L1020&gt;0,B1020&lt;&gt;"TXO"),L1020,"")</f>
        <v/>
      </c>
      <c r="U1020" s="61">
        <f>IF(AND(R1020="Yes",S1020&lt;&gt;"Yes",L1020&lt;0,B1020&lt;&gt;"TXO"),L1020,"")</f>
        <v/>
      </c>
      <c r="V1020" s="61">
        <f>IF(AND(R1020="",S1020&lt;&gt;"Yes",L1020&gt;0,B1020&lt;&gt;"TXO"),L1020,"")</f>
        <v/>
      </c>
      <c r="W1020" s="61">
        <f>IF(AND(R1020="",S1020&lt;&gt;"Yes",L1020&lt;0,B1020&lt;&gt;"TXO"),L1020,"")</f>
        <v/>
      </c>
      <c r="X1020" s="226">
        <f>IF(AND(R1020="Yes",S1020="Yes",L1020&gt;0,B1020&lt;&gt;"TXO"),L1020,"")</f>
        <v/>
      </c>
      <c r="Y1020" s="226">
        <f>IF(AND(R1020="Yes",S1020="Yes",L1020&lt;0,B1020&lt;&gt;"TXO"),L1020,"")</f>
        <v/>
      </c>
      <c r="Z1020" s="226">
        <f>IF(AND(R1020="",S1020="Yes",L1020&gt;0,B1020&lt;&gt;"TXO"),L1020,"")</f>
        <v/>
      </c>
      <c r="AA1020" s="226">
        <f>IF(AND(R1020="",S1020="Yes",L1020&lt;0,B1020&lt;&gt;"TXO"),L1020,"")</f>
        <v/>
      </c>
    </row>
    <row r="1021" hidden="1" outlineLevel="2" ht="17.25" customHeight="1" thickBot="1">
      <c r="A1021" s="696" t="n">
        <v>43381</v>
      </c>
      <c r="B1021" s="234" t="inlineStr">
        <is>
          <t>FIMTX</t>
        </is>
      </c>
      <c r="C1021" s="229" t="inlineStr">
        <is>
          <t>小指10</t>
        </is>
      </c>
      <c r="D1021" s="229" t="inlineStr">
        <is>
          <t>平倉</t>
        </is>
      </c>
      <c r="E1021" s="257" t="inlineStr">
        <is>
          <t>買</t>
        </is>
      </c>
      <c r="F1021" s="229" t="inlineStr">
        <is>
          <t>-</t>
        </is>
      </c>
      <c r="G1021" s="697" t="n">
        <v>3</v>
      </c>
      <c r="H1021" s="697" t="n">
        <v>10452</v>
      </c>
      <c r="I1021" s="697" t="n">
        <v>0</v>
      </c>
      <c r="J1021" s="585" t="n">
        <v>69</v>
      </c>
      <c r="K1021" s="585" t="n">
        <v>30</v>
      </c>
      <c r="L1021" s="585">
        <f>IF(B1021="TXO",I1021-SUM(J1021:K1021),IF(B1021="FITX",IF(D1021="新倉",-SUM(J1021:K1021),IF(E1021="賣",(H1021-H1020)*G1021*200-SUM(J1021:K1021),(H1020-H1021)*G1021*200-SUM(J1021:K1021))),IF(D1021="新倉",-SUM(J1021:K1021),IF(E1021="賣",(H1021-H1020)*G1021*50-SUM(J1021:K1021),(H1020-H1021)*G1021*50-SUM(J1021:K1021)))))</f>
        <v/>
      </c>
      <c r="M1021" s="699">
        <f>L1021</f>
        <v/>
      </c>
      <c r="N1021" s="686">
        <f>IF(B1021="TXO","",IF(D1021="新倉","",IF(E1021="賣",(H1021-H1020)*G1021,(H1020-H1021)*G1021)))</f>
        <v/>
      </c>
      <c r="O1021" s="226">
        <f>ABS(I1021)</f>
        <v/>
      </c>
      <c r="P1021" s="667" t="n"/>
      <c r="S1021" s="249" t="inlineStr">
        <is>
          <t>Yes</t>
        </is>
      </c>
      <c r="T1021" s="61">
        <f>IF(AND(R1021="Yes",S1021&lt;&gt;"Yes",L1021&gt;0,B1021&lt;&gt;"TXO"),L1021,"")</f>
        <v/>
      </c>
      <c r="U1021" s="61">
        <f>IF(AND(R1021="Yes",S1021&lt;&gt;"Yes",L1021&lt;0,B1021&lt;&gt;"TXO"),L1021,"")</f>
        <v/>
      </c>
      <c r="V1021" s="61">
        <f>IF(AND(R1021="",S1021&lt;&gt;"Yes",L1021&gt;0,B1021&lt;&gt;"TXO"),L1021,"")</f>
        <v/>
      </c>
      <c r="W1021" s="61">
        <f>IF(AND(R1021="",S1021&lt;&gt;"Yes",L1021&lt;0,B1021&lt;&gt;"TXO"),L1021,"")</f>
        <v/>
      </c>
      <c r="X1021" s="226">
        <f>IF(AND(R1021="Yes",S1021="Yes",L1021&gt;0,B1021&lt;&gt;"TXO"),L1021,"")</f>
        <v/>
      </c>
      <c r="Y1021" s="226">
        <f>IF(AND(R1021="Yes",S1021="Yes",L1021&lt;0,B1021&lt;&gt;"TXO"),L1021,"")</f>
        <v/>
      </c>
      <c r="Z1021" s="226">
        <f>IF(AND(R1021="",S1021="Yes",L1021&gt;0,B1021&lt;&gt;"TXO"),L1021,"")</f>
        <v/>
      </c>
      <c r="AA1021" s="226">
        <f>IF(AND(R1021="",S1021="Yes",L1021&lt;0,B1021&lt;&gt;"TXO"),L1021,"")</f>
        <v/>
      </c>
    </row>
    <row r="1022" hidden="1" outlineLevel="2" ht="17.25" customHeight="1" thickBot="1">
      <c r="A1022" s="696" t="n">
        <v>43381</v>
      </c>
      <c r="B1022" s="234" t="inlineStr">
        <is>
          <t>FIMTX</t>
        </is>
      </c>
      <c r="C1022" s="229" t="inlineStr">
        <is>
          <t>小指10</t>
        </is>
      </c>
      <c r="D1022" s="229" t="inlineStr">
        <is>
          <t>新倉</t>
        </is>
      </c>
      <c r="E1022" s="257" t="inlineStr">
        <is>
          <t>賣</t>
        </is>
      </c>
      <c r="F1022" s="229" t="inlineStr">
        <is>
          <t>-</t>
        </is>
      </c>
      <c r="G1022" s="697" t="n">
        <v>1</v>
      </c>
      <c r="H1022" s="697" t="n">
        <v>10449</v>
      </c>
      <c r="I1022" s="697" t="n">
        <v>0</v>
      </c>
      <c r="J1022" s="585" t="n">
        <v>23</v>
      </c>
      <c r="K1022" s="585" t="n">
        <v>10</v>
      </c>
      <c r="L1022" s="585">
        <f>IF(B1022="TXO",I1022-SUM(J1022:K1022),IF(B1022="FITX",IF(D1022="新倉",-SUM(J1022:K1022),IF(E1022="賣",(H1022-H1021)*G1022*200-SUM(J1022:K1022),(H1021-H1022)*G1022*200-SUM(J1022:K1022))),IF(D1022="新倉",-SUM(J1022:K1022),IF(E1022="賣",(H1022-H1021)*G1022*50-SUM(J1022:K1022),(H1021-H1022)*G1022*50-SUM(J1022:K1022)))))</f>
        <v/>
      </c>
      <c r="M1022" s="699">
        <f>L1022</f>
        <v/>
      </c>
      <c r="N1022" s="686">
        <f>IF(B1022="TXO","",IF(D1022="新倉","",IF(E1022="賣",(H1022-H1021)*G1022,(H1021-H1022)*G1022)))</f>
        <v/>
      </c>
      <c r="O1022" s="226">
        <f>ABS(I1022)</f>
        <v/>
      </c>
      <c r="P1022" s="667" t="n"/>
      <c r="Q1022" s="310" t="n"/>
      <c r="S1022" s="249" t="inlineStr">
        <is>
          <t>Yes</t>
        </is>
      </c>
      <c r="T1022" s="61">
        <f>IF(AND(R1022="Yes",S1022&lt;&gt;"Yes",L1022&gt;0,B1022&lt;&gt;"TXO"),L1022,"")</f>
        <v/>
      </c>
      <c r="U1022" s="61">
        <f>IF(AND(R1022="Yes",S1022&lt;&gt;"Yes",L1022&lt;0,B1022&lt;&gt;"TXO"),L1022,"")</f>
        <v/>
      </c>
      <c r="V1022" s="61">
        <f>IF(AND(R1022="",S1022&lt;&gt;"Yes",L1022&gt;0,B1022&lt;&gt;"TXO"),L1022,"")</f>
        <v/>
      </c>
      <c r="W1022" s="61">
        <f>IF(AND(R1022="",S1022&lt;&gt;"Yes",L1022&lt;0,B1022&lt;&gt;"TXO"),L1022,"")</f>
        <v/>
      </c>
      <c r="X1022" s="226">
        <f>IF(AND(R1022="Yes",S1022="Yes",L1022&gt;0,B1022&lt;&gt;"TXO"),L1022,"")</f>
        <v/>
      </c>
      <c r="Y1022" s="226">
        <f>IF(AND(R1022="Yes",S1022="Yes",L1022&lt;0,B1022&lt;&gt;"TXO"),L1022,"")</f>
        <v/>
      </c>
      <c r="Z1022" s="226">
        <f>IF(AND(R1022="",S1022="Yes",L1022&gt;0,B1022&lt;&gt;"TXO"),L1022,"")</f>
        <v/>
      </c>
      <c r="AA1022" s="226">
        <f>IF(AND(R1022="",S1022="Yes",L1022&lt;0,B1022&lt;&gt;"TXO"),L1022,"")</f>
        <v/>
      </c>
    </row>
    <row r="1023" hidden="1" outlineLevel="2" ht="17.25" customHeight="1" thickBot="1">
      <c r="A1023" s="696" t="n">
        <v>43381</v>
      </c>
      <c r="B1023" s="234" t="inlineStr">
        <is>
          <t>FIMTX</t>
        </is>
      </c>
      <c r="C1023" s="229" t="inlineStr">
        <is>
          <t>小指10</t>
        </is>
      </c>
      <c r="D1023" s="229" t="inlineStr">
        <is>
          <t>平倉</t>
        </is>
      </c>
      <c r="E1023" s="257" t="inlineStr">
        <is>
          <t>買</t>
        </is>
      </c>
      <c r="F1023" s="229" t="inlineStr">
        <is>
          <t>-</t>
        </is>
      </c>
      <c r="G1023" s="697" t="n">
        <v>1</v>
      </c>
      <c r="H1023" s="697" t="n">
        <v>10439</v>
      </c>
      <c r="I1023" s="697" t="n">
        <v>0</v>
      </c>
      <c r="J1023" s="585" t="n">
        <v>23</v>
      </c>
      <c r="K1023" s="585" t="n">
        <v>10</v>
      </c>
      <c r="L1023" s="585">
        <f>IF(B1023="TXO",I1023-SUM(J1023:K1023),IF(B1023="FITX",IF(D1023="新倉",-SUM(J1023:K1023),IF(E1023="賣",(H1023-H1022)*G1023*200-SUM(J1023:K1023),(H1022-H1023)*G1023*200-SUM(J1023:K1023))),IF(D1023="新倉",-SUM(J1023:K1023),IF(E1023="賣",(H1023-H1022)*G1023*50-SUM(J1023:K1023),(H1022-H1023)*G1023*50-SUM(J1023:K1023)))))</f>
        <v/>
      </c>
      <c r="M1023" s="699">
        <f>L1023</f>
        <v/>
      </c>
      <c r="N1023" s="686">
        <f>IF(B1023="TXO","",IF(D1023="新倉","",IF(E1023="賣",(H1023-H1022)*G1023,(H1022-H1023)*G1023)))</f>
        <v/>
      </c>
      <c r="O1023" s="226">
        <f>ABS(I1023)</f>
        <v/>
      </c>
      <c r="P1023" s="667" t="n"/>
      <c r="Q1023" s="249" t="inlineStr">
        <is>
          <t>技法: 3/3 買進三口</t>
        </is>
      </c>
      <c r="R1023" s="249" t="inlineStr">
        <is>
          <t>Yes</t>
        </is>
      </c>
      <c r="S1023" s="249" t="inlineStr">
        <is>
          <t>Yes</t>
        </is>
      </c>
      <c r="T1023" s="61">
        <f>IF(AND(R1023="Yes",S1023&lt;&gt;"Yes",L1023&gt;0,B1023&lt;&gt;"TXO"),L1023,"")</f>
        <v/>
      </c>
      <c r="U1023" s="61">
        <f>IF(AND(R1023="Yes",S1023&lt;&gt;"Yes",L1023&lt;0,B1023&lt;&gt;"TXO"),L1023,"")</f>
        <v/>
      </c>
      <c r="V1023" s="61">
        <f>IF(AND(R1023="",S1023&lt;&gt;"Yes",L1023&gt;0,B1023&lt;&gt;"TXO"),L1023,"")</f>
        <v/>
      </c>
      <c r="W1023" s="61">
        <f>IF(AND(R1023="",S1023&lt;&gt;"Yes",L1023&lt;0,B1023&lt;&gt;"TXO"),L1023,"")</f>
        <v/>
      </c>
      <c r="X1023" s="226">
        <f>IF(AND(R1023="Yes",S1023="Yes",L1023&gt;0,B1023&lt;&gt;"TXO"),L1023,"")</f>
        <v/>
      </c>
      <c r="Y1023" s="226">
        <f>IF(AND(R1023="Yes",S1023="Yes",L1023&lt;0,B1023&lt;&gt;"TXO"),L1023,"")</f>
        <v/>
      </c>
      <c r="Z1023" s="226">
        <f>IF(AND(R1023="",S1023="Yes",L1023&gt;0,B1023&lt;&gt;"TXO"),L1023,"")</f>
        <v/>
      </c>
      <c r="AA1023" s="226">
        <f>IF(AND(R1023="",S1023="Yes",L1023&lt;0,B1023&lt;&gt;"TXO"),L1023,"")</f>
        <v/>
      </c>
    </row>
    <row r="1024" hidden="1" outlineLevel="2" ht="17.25" customHeight="1" thickBot="1">
      <c r="A1024" s="696" t="n">
        <v>43381</v>
      </c>
      <c r="B1024" s="234" t="inlineStr">
        <is>
          <t>FIMTX</t>
        </is>
      </c>
      <c r="C1024" s="229" t="inlineStr">
        <is>
          <t>小指10</t>
        </is>
      </c>
      <c r="D1024" s="229" t="inlineStr">
        <is>
          <t>新倉</t>
        </is>
      </c>
      <c r="E1024" s="257" t="inlineStr">
        <is>
          <t>賣</t>
        </is>
      </c>
      <c r="F1024" s="229" t="inlineStr">
        <is>
          <t>-</t>
        </is>
      </c>
      <c r="G1024" s="697" t="n">
        <v>1</v>
      </c>
      <c r="H1024" s="697" t="n">
        <v>10449</v>
      </c>
      <c r="I1024" s="697" t="n">
        <v>0</v>
      </c>
      <c r="J1024" s="585" t="n">
        <v>23</v>
      </c>
      <c r="K1024" s="585" t="n">
        <v>10</v>
      </c>
      <c r="L1024" s="585">
        <f>IF(B1024="TXO",I1024-SUM(J1024:K1024),IF(B1024="FITX",IF(D1024="新倉",-SUM(J1024:K1024),IF(E1024="賣",(H1024-H1023)*G1024*200-SUM(J1024:K1024),(H1023-H1024)*G1024*200-SUM(J1024:K1024))),IF(D1024="新倉",-SUM(J1024:K1024),IF(E1024="賣",(H1024-H1023)*G1024*50-SUM(J1024:K1024),(H1023-H1024)*G1024*50-SUM(J1024:K1024)))))</f>
        <v/>
      </c>
      <c r="M1024" s="699">
        <f>L1024</f>
        <v/>
      </c>
      <c r="N1024" s="686">
        <f>IF(B1024="TXO","",IF(D1024="新倉","",IF(E1024="賣",(H1024-H1023)*G1024,(H1023-H1024)*G1024)))</f>
        <v/>
      </c>
      <c r="O1024" s="226">
        <f>ABS(I1024)</f>
        <v/>
      </c>
      <c r="P1024" s="667" t="n"/>
      <c r="Q1024" s="249" t="inlineStr">
        <is>
          <t>技法: 刺補</t>
        </is>
      </c>
      <c r="R1024" s="249" t="inlineStr">
        <is>
          <t>Yes</t>
        </is>
      </c>
      <c r="S1024" s="249" t="inlineStr">
        <is>
          <t>Yes</t>
        </is>
      </c>
      <c r="T1024" s="61">
        <f>IF(AND(R1024="Yes",S1024&lt;&gt;"Yes",L1024&gt;0,B1024&lt;&gt;"TXO"),L1024,"")</f>
        <v/>
      </c>
      <c r="U1024" s="61">
        <f>IF(AND(R1024="Yes",S1024&lt;&gt;"Yes",L1024&lt;0,B1024&lt;&gt;"TXO"),L1024,"")</f>
        <v/>
      </c>
      <c r="V1024" s="61">
        <f>IF(AND(R1024="",S1024&lt;&gt;"Yes",L1024&gt;0,B1024&lt;&gt;"TXO"),L1024,"")</f>
        <v/>
      </c>
      <c r="W1024" s="61">
        <f>IF(AND(R1024="",S1024&lt;&gt;"Yes",L1024&lt;0,B1024&lt;&gt;"TXO"),L1024,"")</f>
        <v/>
      </c>
      <c r="X1024" s="226">
        <f>IF(AND(R1024="Yes",S1024="Yes",L1024&gt;0,B1024&lt;&gt;"TXO"),L1024,"")</f>
        <v/>
      </c>
      <c r="Y1024" s="226">
        <f>IF(AND(R1024="Yes",S1024="Yes",L1024&lt;0,B1024&lt;&gt;"TXO"),L1024,"")</f>
        <v/>
      </c>
      <c r="Z1024" s="226">
        <f>IF(AND(R1024="",S1024="Yes",L1024&gt;0,B1024&lt;&gt;"TXO"),L1024,"")</f>
        <v/>
      </c>
      <c r="AA1024" s="226">
        <f>IF(AND(R1024="",S1024="Yes",L1024&lt;0,B1024&lt;&gt;"TXO"),L1024,"")</f>
        <v/>
      </c>
    </row>
    <row r="1025" hidden="1" outlineLevel="2" ht="17.25" customHeight="1" thickBot="1">
      <c r="A1025" s="696" t="n">
        <v>43381</v>
      </c>
      <c r="B1025" s="234" t="inlineStr">
        <is>
          <t>FIMTX</t>
        </is>
      </c>
      <c r="C1025" s="229" t="inlineStr">
        <is>
          <t>小指10</t>
        </is>
      </c>
      <c r="D1025" s="229" t="inlineStr">
        <is>
          <t>平倉</t>
        </is>
      </c>
      <c r="E1025" s="257" t="inlineStr">
        <is>
          <t>買</t>
        </is>
      </c>
      <c r="F1025" s="229" t="inlineStr">
        <is>
          <t>-</t>
        </is>
      </c>
      <c r="G1025" s="697" t="n">
        <v>1</v>
      </c>
      <c r="H1025" s="697" t="n">
        <v>10429</v>
      </c>
      <c r="I1025" s="697" t="n">
        <v>0</v>
      </c>
      <c r="J1025" s="585" t="n">
        <v>23</v>
      </c>
      <c r="K1025" s="585" t="n">
        <v>10</v>
      </c>
      <c r="L1025" s="585">
        <f>IF(B1025="TXO",I1025-SUM(J1025:K1025),IF(B1025="FITX",IF(D1025="新倉",-SUM(J1025:K1025),IF(E1025="賣",(H1025-H1024)*G1025*200-SUM(J1025:K1025),(H1024-H1025)*G1025*200-SUM(J1025:K1025))),IF(D1025="新倉",-SUM(J1025:K1025),IF(E1025="賣",(H1025-H1024)*G1025*50-SUM(J1025:K1025),(H1024-H1025)*G1025*50-SUM(J1025:K1025)))))</f>
        <v/>
      </c>
      <c r="M1025" s="699">
        <f>L1025</f>
        <v/>
      </c>
      <c r="N1025" s="686">
        <f>IF(B1025="TXO","",IF(D1025="新倉","",IF(E1025="賣",(H1025-H1024)*G1025,(H1024-H1025)*G1025)))</f>
        <v/>
      </c>
      <c r="O1025" s="226">
        <f>ABS(I1025)</f>
        <v/>
      </c>
      <c r="P1025" s="667" t="n"/>
      <c r="R1025" s="249" t="inlineStr">
        <is>
          <t>Yes</t>
        </is>
      </c>
      <c r="S1025" s="249" t="inlineStr">
        <is>
          <t>Yes</t>
        </is>
      </c>
      <c r="T1025" s="61">
        <f>IF(AND(R1025="Yes",S1025&lt;&gt;"Yes",L1025&gt;0,B1025&lt;&gt;"TXO"),L1025,"")</f>
        <v/>
      </c>
      <c r="U1025" s="61">
        <f>IF(AND(R1025="Yes",S1025&lt;&gt;"Yes",L1025&lt;0,B1025&lt;&gt;"TXO"),L1025,"")</f>
        <v/>
      </c>
      <c r="V1025" s="61">
        <f>IF(AND(R1025="",S1025&lt;&gt;"Yes",L1025&gt;0,B1025&lt;&gt;"TXO"),L1025,"")</f>
        <v/>
      </c>
      <c r="W1025" s="61">
        <f>IF(AND(R1025="",S1025&lt;&gt;"Yes",L1025&lt;0,B1025&lt;&gt;"TXO"),L1025,"")</f>
        <v/>
      </c>
      <c r="X1025" s="226">
        <f>IF(AND(R1025="Yes",S1025="Yes",L1025&gt;0,B1025&lt;&gt;"TXO"),L1025,"")</f>
        <v/>
      </c>
      <c r="Y1025" s="226">
        <f>IF(AND(R1025="Yes",S1025="Yes",L1025&lt;0,B1025&lt;&gt;"TXO"),L1025,"")</f>
        <v/>
      </c>
      <c r="Z1025" s="226">
        <f>IF(AND(R1025="",S1025="Yes",L1025&gt;0,B1025&lt;&gt;"TXO"),L1025,"")</f>
        <v/>
      </c>
      <c r="AA1025" s="226">
        <f>IF(AND(R1025="",S1025="Yes",L1025&lt;0,B1025&lt;&gt;"TXO"),L1025,"")</f>
        <v/>
      </c>
    </row>
    <row r="1026" hidden="1" outlineLevel="2" ht="17.25" customHeight="1" thickBot="1">
      <c r="A1026" s="696" t="n">
        <v>43381</v>
      </c>
      <c r="B1026" s="234" t="inlineStr">
        <is>
          <t>FIMTX</t>
        </is>
      </c>
      <c r="C1026" s="229" t="inlineStr">
        <is>
          <t>小指10</t>
        </is>
      </c>
      <c r="D1026" s="229" t="inlineStr">
        <is>
          <t>新倉</t>
        </is>
      </c>
      <c r="E1026" s="257" t="inlineStr">
        <is>
          <t>賣</t>
        </is>
      </c>
      <c r="F1026" s="229" t="inlineStr">
        <is>
          <t>-</t>
        </is>
      </c>
      <c r="G1026" s="697" t="n">
        <v>1</v>
      </c>
      <c r="H1026" s="697" t="n">
        <v>10449</v>
      </c>
      <c r="I1026" s="697" t="n">
        <v>0</v>
      </c>
      <c r="J1026" s="585" t="n">
        <v>23</v>
      </c>
      <c r="K1026" s="585" t="n">
        <v>10</v>
      </c>
      <c r="L1026" s="585">
        <f>IF(B1026="TXO",I1026-SUM(J1026:K1026),IF(B1026="FITX",IF(D1026="新倉",-SUM(J1026:K1026),IF(E1026="賣",(H1026-H1025)*G1026*200-SUM(J1026:K1026),(H1025-H1026)*G1026*200-SUM(J1026:K1026))),IF(D1026="新倉",-SUM(J1026:K1026),IF(E1026="賣",(H1026-H1025)*G1026*50-SUM(J1026:K1026),(H1025-H1026)*G1026*50-SUM(J1026:K1026)))))</f>
        <v/>
      </c>
      <c r="M1026" s="699">
        <f>L1026</f>
        <v/>
      </c>
      <c r="N1026" s="686">
        <f>IF(B1026="TXO","",IF(D1026="新倉","",IF(E1026="賣",(H1026-H1025)*G1026,(H1025-H1026)*G1026)))</f>
        <v/>
      </c>
      <c r="O1026" s="226">
        <f>ABS(I1026)</f>
        <v/>
      </c>
      <c r="P1026" s="667" t="n"/>
      <c r="Q1026" s="249" t="inlineStr">
        <is>
          <t>技法: 刺補</t>
        </is>
      </c>
      <c r="R1026" s="249" t="inlineStr">
        <is>
          <t>Yes</t>
        </is>
      </c>
      <c r="S1026" s="249" t="inlineStr">
        <is>
          <t>Yes</t>
        </is>
      </c>
      <c r="T1026" s="61">
        <f>IF(AND(R1026="Yes",S1026&lt;&gt;"Yes",L1026&gt;0,B1026&lt;&gt;"TXO"),L1026,"")</f>
        <v/>
      </c>
      <c r="U1026" s="61">
        <f>IF(AND(R1026="Yes",S1026&lt;&gt;"Yes",L1026&lt;0,B1026&lt;&gt;"TXO"),L1026,"")</f>
        <v/>
      </c>
      <c r="V1026" s="61">
        <f>IF(AND(R1026="",S1026&lt;&gt;"Yes",L1026&gt;0,B1026&lt;&gt;"TXO"),L1026,"")</f>
        <v/>
      </c>
      <c r="W1026" s="61">
        <f>IF(AND(R1026="",S1026&lt;&gt;"Yes",L1026&lt;0,B1026&lt;&gt;"TXO"),L1026,"")</f>
        <v/>
      </c>
      <c r="X1026" s="226">
        <f>IF(AND(R1026="Yes",S1026="Yes",L1026&gt;0,B1026&lt;&gt;"TXO"),L1026,"")</f>
        <v/>
      </c>
      <c r="Y1026" s="226">
        <f>IF(AND(R1026="Yes",S1026="Yes",L1026&lt;0,B1026&lt;&gt;"TXO"),L1026,"")</f>
        <v/>
      </c>
      <c r="Z1026" s="226">
        <f>IF(AND(R1026="",S1026="Yes",L1026&gt;0,B1026&lt;&gt;"TXO"),L1026,"")</f>
        <v/>
      </c>
      <c r="AA1026" s="226">
        <f>IF(AND(R1026="",S1026="Yes",L1026&lt;0,B1026&lt;&gt;"TXO"),L1026,"")</f>
        <v/>
      </c>
    </row>
    <row r="1027" hidden="1" outlineLevel="2" ht="17.25" customHeight="1" thickBot="1">
      <c r="A1027" s="696" t="n">
        <v>43381</v>
      </c>
      <c r="B1027" s="234" t="inlineStr">
        <is>
          <t>FIMTX</t>
        </is>
      </c>
      <c r="C1027" s="229" t="inlineStr">
        <is>
          <t>小指10</t>
        </is>
      </c>
      <c r="D1027" s="229" t="inlineStr">
        <is>
          <t>平倉</t>
        </is>
      </c>
      <c r="E1027" s="257" t="inlineStr">
        <is>
          <t>買</t>
        </is>
      </c>
      <c r="F1027" s="229" t="inlineStr">
        <is>
          <t>-</t>
        </is>
      </c>
      <c r="G1027" s="697" t="n">
        <v>1</v>
      </c>
      <c r="H1027" s="697" t="n">
        <v>10427</v>
      </c>
      <c r="I1027" s="697" t="n">
        <v>0</v>
      </c>
      <c r="J1027" s="585" t="n">
        <v>23</v>
      </c>
      <c r="K1027" s="585" t="n">
        <v>10</v>
      </c>
      <c r="L1027" s="585">
        <f>IF(B1027="TXO",I1027-SUM(J1027:K1027),IF(B1027="FITX",IF(D1027="新倉",-SUM(J1027:K1027),IF(E1027="賣",(H1027-H1026)*G1027*200-SUM(J1027:K1027),(H1026-H1027)*G1027*200-SUM(J1027:K1027))),IF(D1027="新倉",-SUM(J1027:K1027),IF(E1027="賣",(H1027-H1026)*G1027*50-SUM(J1027:K1027),(H1026-H1027)*G1027*50-SUM(J1027:K1027)))))</f>
        <v/>
      </c>
      <c r="M1027" s="699">
        <f>L1027</f>
        <v/>
      </c>
      <c r="N1027" s="686">
        <f>IF(B1027="TXO","",IF(D1027="新倉","",IF(E1027="賣",(H1027-H1026)*G1027,(H1026-H1027)*G1027)))</f>
        <v/>
      </c>
      <c r="O1027" s="226">
        <f>ABS(I1027)</f>
        <v/>
      </c>
      <c r="P1027" s="667" t="n"/>
      <c r="Q1027" s="249" t="inlineStr">
        <is>
          <t>元大移動式停利</t>
        </is>
      </c>
      <c r="R1027" s="249" t="inlineStr">
        <is>
          <t>Yes</t>
        </is>
      </c>
      <c r="S1027" s="249" t="inlineStr">
        <is>
          <t>Yes</t>
        </is>
      </c>
      <c r="T1027" s="61">
        <f>IF(AND(R1027="Yes",S1027&lt;&gt;"Yes",L1027&gt;0,B1027&lt;&gt;"TXO"),L1027,"")</f>
        <v/>
      </c>
      <c r="U1027" s="61">
        <f>IF(AND(R1027="Yes",S1027&lt;&gt;"Yes",L1027&lt;0,B1027&lt;&gt;"TXO"),L1027,"")</f>
        <v/>
      </c>
      <c r="V1027" s="61">
        <f>IF(AND(R1027="",S1027&lt;&gt;"Yes",L1027&gt;0,B1027&lt;&gt;"TXO"),L1027,"")</f>
        <v/>
      </c>
      <c r="W1027" s="61">
        <f>IF(AND(R1027="",S1027&lt;&gt;"Yes",L1027&lt;0,B1027&lt;&gt;"TXO"),L1027,"")</f>
        <v/>
      </c>
      <c r="X1027" s="226">
        <f>IF(AND(R1027="Yes",S1027="Yes",L1027&gt;0,B1027&lt;&gt;"TXO"),L1027,"")</f>
        <v/>
      </c>
      <c r="Y1027" s="226">
        <f>IF(AND(R1027="Yes",S1027="Yes",L1027&lt;0,B1027&lt;&gt;"TXO"),L1027,"")</f>
        <v/>
      </c>
      <c r="Z1027" s="226">
        <f>IF(AND(R1027="",S1027="Yes",L1027&gt;0,B1027&lt;&gt;"TXO"),L1027,"")</f>
        <v/>
      </c>
      <c r="AA1027" s="226">
        <f>IF(AND(R1027="",S1027="Yes",L1027&lt;0,B1027&lt;&gt;"TXO"),L1027,"")</f>
        <v/>
      </c>
    </row>
    <row r="1028" hidden="1" outlineLevel="1" ht="17.25" customHeight="1" thickBot="1">
      <c r="A1028" s="740" t="n">
        <v>43382</v>
      </c>
      <c r="B1028" s="299" t="inlineStr">
        <is>
          <t>FIMTX</t>
        </is>
      </c>
      <c r="C1028" s="300" t="inlineStr">
        <is>
          <t>小指10</t>
        </is>
      </c>
      <c r="D1028" s="300" t="inlineStr">
        <is>
          <t>新倉</t>
        </is>
      </c>
      <c r="E1028" s="301" t="inlineStr">
        <is>
          <t>賣</t>
        </is>
      </c>
      <c r="F1028" s="300" t="inlineStr">
        <is>
          <t>-</t>
        </is>
      </c>
      <c r="G1028" s="741" t="n">
        <v>3</v>
      </c>
      <c r="H1028" s="741" t="n">
        <v>10473</v>
      </c>
      <c r="I1028" s="741" t="n">
        <v>0</v>
      </c>
      <c r="J1028" s="742" t="n">
        <v>69</v>
      </c>
      <c r="K1028" s="742" t="n">
        <v>30</v>
      </c>
      <c r="L1028" s="742">
        <f>IF(B1028="TXO",I1028-SUM(J1028:K1028),IF(B1028="FITX",IF(D1028="新倉",-SUM(J1028:K1028),IF(E1028="賣",(H1028-H1027)*G1028*200-SUM(J1028:K1028),(H1027-H1028)*G1028*200-SUM(J1028:K1028))),IF(D1028="新倉",-SUM(J1028:K1028),IF(E1028="賣",(H1028-H1027)*G1028*50-SUM(J1028:K1028),(H1027-H1028)*G1028*50-SUM(J1028:K1028)))))</f>
        <v/>
      </c>
      <c r="M1028" s="743">
        <f>L1028</f>
        <v/>
      </c>
      <c r="N1028" s="686">
        <f>IF(B1028="TXO","",IF(D1028="新倉","",IF(E1028="賣",(H1028-H1027)*G1028,(H1027-H1028)*G1028)))</f>
        <v/>
      </c>
      <c r="O1028" s="226" t="n">
        <v>0</v>
      </c>
      <c r="P1028" s="667">
        <f>SUM(L1028:L1083)</f>
        <v/>
      </c>
      <c r="Q1028" s="249" t="inlineStr">
        <is>
          <t>技法: 刺補</t>
        </is>
      </c>
      <c r="R1028" s="249" t="inlineStr">
        <is>
          <t>Yes</t>
        </is>
      </c>
      <c r="S1028" s="249" t="n"/>
      <c r="T1028" s="61">
        <f>IF(AND(R1028="Yes",S1028&lt;&gt;"Yes",L1028&gt;0,B1028&lt;&gt;"TXO"),L1028,"")</f>
        <v/>
      </c>
      <c r="U1028" s="61">
        <f>IF(AND(R1028="Yes",S1028&lt;&gt;"Yes",L1028&lt;0,B1028&lt;&gt;"TXO"),L1028,"")</f>
        <v/>
      </c>
      <c r="V1028" s="61">
        <f>IF(AND(R1028="",S1028&lt;&gt;"Yes",L1028&gt;0,B1028&lt;&gt;"TXO"),L1028,"")</f>
        <v/>
      </c>
      <c r="W1028" s="61">
        <f>IF(AND(R1028="",S1028&lt;&gt;"Yes",L1028&lt;0,B1028&lt;&gt;"TXO"),L1028,"")</f>
        <v/>
      </c>
      <c r="X1028" s="226">
        <f>IF(AND(R1028="Yes",S1028="Yes",L1028&gt;0,B1028&lt;&gt;"TXO"),L1028,"")</f>
        <v/>
      </c>
      <c r="Y1028" s="226">
        <f>IF(AND(R1028="Yes",S1028="Yes",L1028&lt;0,B1028&lt;&gt;"TXO"),L1028,"")</f>
        <v/>
      </c>
      <c r="Z1028" s="226">
        <f>IF(AND(R1028="",S1028="Yes",L1028&gt;0,B1028&lt;&gt;"TXO"),L1028,"")</f>
        <v/>
      </c>
      <c r="AA1028" s="226">
        <f>IF(AND(R1028="",S1028="Yes",L1028&lt;0,B1028&lt;&gt;"TXO"),L1028,"")</f>
        <v/>
      </c>
    </row>
    <row r="1029" hidden="1" outlineLevel="2" collapsed="1" ht="17.25" customHeight="1" thickBot="1">
      <c r="A1029" s="740" t="n">
        <v>43382</v>
      </c>
      <c r="B1029" s="299" t="inlineStr">
        <is>
          <t>FIMTX</t>
        </is>
      </c>
      <c r="C1029" s="300" t="inlineStr">
        <is>
          <t>小指10</t>
        </is>
      </c>
      <c r="D1029" s="300" t="inlineStr">
        <is>
          <t>平倉</t>
        </is>
      </c>
      <c r="E1029" s="301" t="inlineStr">
        <is>
          <t>買</t>
        </is>
      </c>
      <c r="F1029" s="300" t="inlineStr">
        <is>
          <t>-</t>
        </is>
      </c>
      <c r="G1029" s="741" t="n">
        <v>3</v>
      </c>
      <c r="H1029" s="741" t="n">
        <v>10478</v>
      </c>
      <c r="I1029" s="741" t="n">
        <v>0</v>
      </c>
      <c r="J1029" s="742" t="n">
        <v>69</v>
      </c>
      <c r="K1029" s="742" t="n">
        <v>30</v>
      </c>
      <c r="L1029" s="742">
        <f>IF(B1029="TXO",I1029-SUM(J1029:K1029),IF(B1029="FITX",IF(D1029="新倉",-SUM(J1029:K1029),IF(E1029="賣",(H1029-H1028)*G1029*200-SUM(J1029:K1029),(H1028-H1029)*G1029*200-SUM(J1029:K1029))),IF(D1029="新倉",-SUM(J1029:K1029),IF(E1029="賣",(H1029-H1028)*G1029*50-SUM(J1029:K1029),(H1028-H1029)*G1029*50-SUM(J1029:K1029)))))</f>
        <v/>
      </c>
      <c r="M1029" s="743">
        <f>L1029</f>
        <v/>
      </c>
      <c r="N1029" s="686">
        <f>IF(B1029="TXO","",IF(D1029="新倉","",IF(E1029="賣",(H1029-H1028)*G1029,(H1028-H1029)*G1029)))</f>
        <v/>
      </c>
      <c r="O1029" s="226" t="n">
        <v>0</v>
      </c>
      <c r="P1029" s="667" t="n"/>
      <c r="Q1029" s="249" t="inlineStr">
        <is>
          <t>技法: 碰10MA停損</t>
        </is>
      </c>
      <c r="R1029" s="249" t="inlineStr">
        <is>
          <t>Yes</t>
        </is>
      </c>
      <c r="S1029" s="249" t="n"/>
      <c r="T1029" s="61">
        <f>IF(AND(R1029="Yes",S1029&lt;&gt;"Yes",L1029&gt;0,B1029&lt;&gt;"TXO"),L1029,"")</f>
        <v/>
      </c>
      <c r="U1029" s="61">
        <f>IF(AND(R1029="Yes",S1029&lt;&gt;"Yes",L1029&lt;0,B1029&lt;&gt;"TXO"),L1029,"")</f>
        <v/>
      </c>
      <c r="V1029" s="61">
        <f>IF(AND(R1029="",S1029&lt;&gt;"Yes",L1029&gt;0,B1029&lt;&gt;"TXO"),L1029,"")</f>
        <v/>
      </c>
      <c r="W1029" s="61">
        <f>IF(AND(R1029="",S1029&lt;&gt;"Yes",L1029&lt;0,B1029&lt;&gt;"TXO"),L1029,"")</f>
        <v/>
      </c>
      <c r="X1029" s="226">
        <f>IF(AND(R1029="Yes",S1029="Yes",L1029&gt;0,B1029&lt;&gt;"TXO"),L1029,"")</f>
        <v/>
      </c>
      <c r="Y1029" s="226">
        <f>IF(AND(R1029="Yes",S1029="Yes",L1029&lt;0,B1029&lt;&gt;"TXO"),L1029,"")</f>
        <v/>
      </c>
      <c r="Z1029" s="226">
        <f>IF(AND(R1029="",S1029="Yes",L1029&gt;0,B1029&lt;&gt;"TXO"),L1029,"")</f>
        <v/>
      </c>
      <c r="AA1029" s="226">
        <f>IF(AND(R1029="",S1029="Yes",L1029&lt;0,B1029&lt;&gt;"TXO"),L1029,"")</f>
        <v/>
      </c>
    </row>
    <row r="1030" hidden="1" outlineLevel="2" collapsed="1" ht="17.25" customHeight="1" thickBot="1">
      <c r="A1030" s="740" t="n">
        <v>43378</v>
      </c>
      <c r="B1030" s="299" t="inlineStr">
        <is>
          <t>FIMTX</t>
        </is>
      </c>
      <c r="C1030" s="300" t="inlineStr">
        <is>
          <t>小指10</t>
        </is>
      </c>
      <c r="D1030" s="300" t="inlineStr">
        <is>
          <t>新倉</t>
        </is>
      </c>
      <c r="E1030" s="301" t="inlineStr">
        <is>
          <t>賣</t>
        </is>
      </c>
      <c r="F1030" s="300" t="inlineStr">
        <is>
          <t>-</t>
        </is>
      </c>
      <c r="G1030" s="741" t="n">
        <v>3</v>
      </c>
      <c r="H1030" s="741" t="n">
        <v>10463</v>
      </c>
      <c r="I1030" s="741" t="n">
        <v>0</v>
      </c>
      <c r="J1030" s="742" t="n">
        <v>69</v>
      </c>
      <c r="K1030" s="742" t="n">
        <v>30</v>
      </c>
      <c r="L1030" s="742">
        <f>IF(B1030="TXO",I1030-SUM(J1030:K1030),IF(B1030="FITX",IF(D1030="新倉",-SUM(J1030:K1030),IF(E1030="賣",(H1030-H1029)*G1030*200-SUM(J1030:K1030),(H1029-H1030)*G1030*200-SUM(J1030:K1030))),IF(D1030="新倉",-SUM(J1030:K1030),IF(E1030="賣",(H1030-H1029)*G1030*50-SUM(J1030:K1030),(H1029-H1030)*G1030*50-SUM(J1030:K1030)))))</f>
        <v/>
      </c>
      <c r="M1030" s="743">
        <f>L1030</f>
        <v/>
      </c>
      <c r="N1030" s="686">
        <f>IF(B1030="TXO","",IF(D1030="新倉","",IF(E1030="賣",(H1030-H1029)*G1030,(H1029-H1030)*G1030)))</f>
        <v/>
      </c>
      <c r="O1030" s="226" t="n">
        <v>0</v>
      </c>
      <c r="P1030" s="667" t="n"/>
      <c r="Q1030" s="249" t="inlineStr">
        <is>
          <t>技法: 刺補</t>
        </is>
      </c>
      <c r="R1030" s="249" t="inlineStr">
        <is>
          <t>Yes</t>
        </is>
      </c>
      <c r="S1030" s="249" t="n"/>
      <c r="T1030" s="61">
        <f>IF(AND(R1030="Yes",S1030&lt;&gt;"Yes",L1030&gt;0,B1030&lt;&gt;"TXO"),L1030,"")</f>
        <v/>
      </c>
      <c r="U1030" s="61">
        <f>IF(AND(R1030="Yes",S1030&lt;&gt;"Yes",L1030&lt;0,B1030&lt;&gt;"TXO"),L1030,"")</f>
        <v/>
      </c>
      <c r="V1030" s="61">
        <f>IF(AND(R1030="",S1030&lt;&gt;"Yes",L1030&gt;0,B1030&lt;&gt;"TXO"),L1030,"")</f>
        <v/>
      </c>
      <c r="W1030" s="61">
        <f>IF(AND(R1030="",S1030&lt;&gt;"Yes",L1030&lt;0,B1030&lt;&gt;"TXO"),L1030,"")</f>
        <v/>
      </c>
      <c r="X1030" s="226">
        <f>IF(AND(R1030="Yes",S1030="Yes",L1030&gt;0,B1030&lt;&gt;"TXO"),L1030,"")</f>
        <v/>
      </c>
      <c r="Y1030" s="226">
        <f>IF(AND(R1030="Yes",S1030="Yes",L1030&lt;0,B1030&lt;&gt;"TXO"),L1030,"")</f>
        <v/>
      </c>
      <c r="Z1030" s="226">
        <f>IF(AND(R1030="",S1030="Yes",L1030&gt;0,B1030&lt;&gt;"TXO"),L1030,"")</f>
        <v/>
      </c>
      <c r="AA1030" s="226">
        <f>IF(AND(R1030="",S1030="Yes",L1030&lt;0,B1030&lt;&gt;"TXO"),L1030,"")</f>
        <v/>
      </c>
    </row>
    <row r="1031" hidden="1" outlineLevel="2" collapsed="1" ht="17.25" customHeight="1" thickBot="1">
      <c r="A1031" s="740" t="n">
        <v>43378</v>
      </c>
      <c r="B1031" s="299" t="inlineStr">
        <is>
          <t>FIMTX</t>
        </is>
      </c>
      <c r="C1031" s="300" t="inlineStr">
        <is>
          <t>小指10</t>
        </is>
      </c>
      <c r="D1031" s="300" t="inlineStr">
        <is>
          <t>平倉</t>
        </is>
      </c>
      <c r="E1031" s="301" t="inlineStr">
        <is>
          <t>買</t>
        </is>
      </c>
      <c r="F1031" s="300" t="inlineStr">
        <is>
          <t>-</t>
        </is>
      </c>
      <c r="G1031" s="741" t="n">
        <v>3</v>
      </c>
      <c r="H1031" s="741" t="n">
        <v>10460</v>
      </c>
      <c r="I1031" s="741" t="n">
        <v>0</v>
      </c>
      <c r="J1031" s="742" t="n">
        <v>69</v>
      </c>
      <c r="K1031" s="742" t="n">
        <v>30</v>
      </c>
      <c r="L1031" s="742">
        <f>IF(B1031="TXO",I1031-SUM(J1031:K1031),IF(B1031="FITX",IF(D1031="新倉",-SUM(J1031:K1031),IF(E1031="賣",(H1031-H1030)*G1031*200-SUM(J1031:K1031),(H1030-H1031)*G1031*200-SUM(J1031:K1031))),IF(D1031="新倉",-SUM(J1031:K1031),IF(E1031="賣",(H1031-H1030)*G1031*50-SUM(J1031:K1031),(H1030-H1031)*G1031*50-SUM(J1031:K1031)))))</f>
        <v/>
      </c>
      <c r="M1031" s="743">
        <f>L1031</f>
        <v/>
      </c>
      <c r="N1031" s="686">
        <f>IF(B1031="TXO","",IF(D1031="新倉","",IF(E1031="賣",(H1031-H1030)*G1031,(H1030-H1031)*G1031)))</f>
        <v/>
      </c>
      <c r="O1031" s="226" t="n">
        <v>0</v>
      </c>
      <c r="P1031" s="667" t="n"/>
      <c r="Q1031" s="249" t="inlineStr">
        <is>
          <t>技法: 碰10MA停損</t>
        </is>
      </c>
      <c r="R1031" s="249" t="inlineStr">
        <is>
          <t>Yes</t>
        </is>
      </c>
      <c r="S1031" s="249" t="n"/>
      <c r="T1031" s="61">
        <f>IF(AND(R1031="Yes",S1031&lt;&gt;"Yes",L1031&gt;0,B1031&lt;&gt;"TXO"),L1031,"")</f>
        <v/>
      </c>
      <c r="U1031" s="61">
        <f>IF(AND(R1031="Yes",S1031&lt;&gt;"Yes",L1031&lt;0,B1031&lt;&gt;"TXO"),L1031,"")</f>
        <v/>
      </c>
      <c r="V1031" s="61">
        <f>IF(AND(R1031="",S1031&lt;&gt;"Yes",L1031&gt;0,B1031&lt;&gt;"TXO"),L1031,"")</f>
        <v/>
      </c>
      <c r="W1031" s="61">
        <f>IF(AND(R1031="",S1031&lt;&gt;"Yes",L1031&lt;0,B1031&lt;&gt;"TXO"),L1031,"")</f>
        <v/>
      </c>
      <c r="X1031" s="226">
        <f>IF(AND(R1031="Yes",S1031="Yes",L1031&gt;0,B1031&lt;&gt;"TXO"),L1031,"")</f>
        <v/>
      </c>
      <c r="Y1031" s="226">
        <f>IF(AND(R1031="Yes",S1031="Yes",L1031&lt;0,B1031&lt;&gt;"TXO"),L1031,"")</f>
        <v/>
      </c>
      <c r="Z1031" s="226">
        <f>IF(AND(R1031="",S1031="Yes",L1031&gt;0,B1031&lt;&gt;"TXO"),L1031,"")</f>
        <v/>
      </c>
      <c r="AA1031" s="226">
        <f>IF(AND(R1031="",S1031="Yes",L1031&lt;0,B1031&lt;&gt;"TXO"),L1031,"")</f>
        <v/>
      </c>
    </row>
    <row r="1032" hidden="1" outlineLevel="2" collapsed="1" ht="17.25" customHeight="1" thickBot="1">
      <c r="A1032" s="740" t="n">
        <v>43382</v>
      </c>
      <c r="B1032" s="299" t="inlineStr">
        <is>
          <t>FIMTX</t>
        </is>
      </c>
      <c r="C1032" s="300" t="inlineStr">
        <is>
          <t>小指10</t>
        </is>
      </c>
      <c r="D1032" s="300" t="inlineStr">
        <is>
          <t>新倉</t>
        </is>
      </c>
      <c r="E1032" s="301" t="inlineStr">
        <is>
          <t>買</t>
        </is>
      </c>
      <c r="F1032" s="300" t="inlineStr">
        <is>
          <t>-</t>
        </is>
      </c>
      <c r="G1032" s="741" t="n">
        <v>3</v>
      </c>
      <c r="H1032" s="741" t="n">
        <v>10460</v>
      </c>
      <c r="I1032" s="741" t="n">
        <v>0</v>
      </c>
      <c r="J1032" s="742" t="n">
        <v>69</v>
      </c>
      <c r="K1032" s="742" t="n">
        <v>30</v>
      </c>
      <c r="L1032" s="742">
        <f>IF(B1032="TXO",I1032-SUM(J1032:K1032),IF(B1032="FITX",IF(D1032="新倉",-SUM(J1032:K1032),IF(E1032="賣",(H1032-H1031)*G1032*200-SUM(J1032:K1032),(H1031-H1032)*G1032*200-SUM(J1032:K1032))),IF(D1032="新倉",-SUM(J1032:K1032),IF(E1032="賣",(H1032-H1031)*G1032*50-SUM(J1032:K1032),(H1031-H1032)*G1032*50-SUM(J1032:K1032)))))</f>
        <v/>
      </c>
      <c r="M1032" s="743">
        <f>L1032</f>
        <v/>
      </c>
      <c r="N1032" s="686">
        <f>IF(B1032="TXO","",IF(D1032="新倉","",IF(E1032="賣",(H1032-H1031)*G1032,(H1031-H1032)*G1032)))</f>
        <v/>
      </c>
      <c r="O1032" s="226" t="n">
        <v>0</v>
      </c>
      <c r="P1032" s="667" t="n"/>
      <c r="Q1032" s="249" t="inlineStr">
        <is>
          <t>技法: 刺補</t>
        </is>
      </c>
      <c r="R1032" s="249" t="inlineStr">
        <is>
          <t>Yes</t>
        </is>
      </c>
      <c r="S1032" s="249" t="n"/>
      <c r="T1032" s="61">
        <f>IF(AND(R1032="Yes",S1032&lt;&gt;"Yes",L1032&gt;0,B1032&lt;&gt;"TXO"),L1032,"")</f>
        <v/>
      </c>
      <c r="U1032" s="61">
        <f>IF(AND(R1032="Yes",S1032&lt;&gt;"Yes",L1032&lt;0,B1032&lt;&gt;"TXO"),L1032,"")</f>
        <v/>
      </c>
      <c r="V1032" s="61">
        <f>IF(AND(R1032="",S1032&lt;&gt;"Yes",L1032&gt;0,B1032&lt;&gt;"TXO"),L1032,"")</f>
        <v/>
      </c>
      <c r="W1032" s="61">
        <f>IF(AND(R1032="",S1032&lt;&gt;"Yes",L1032&lt;0,B1032&lt;&gt;"TXO"),L1032,"")</f>
        <v/>
      </c>
      <c r="X1032" s="226">
        <f>IF(AND(R1032="Yes",S1032="Yes",L1032&gt;0,B1032&lt;&gt;"TXO"),L1032,"")</f>
        <v/>
      </c>
      <c r="Y1032" s="226">
        <f>IF(AND(R1032="Yes",S1032="Yes",L1032&lt;0,B1032&lt;&gt;"TXO"),L1032,"")</f>
        <v/>
      </c>
      <c r="Z1032" s="226">
        <f>IF(AND(R1032="",S1032="Yes",L1032&gt;0,B1032&lt;&gt;"TXO"),L1032,"")</f>
        <v/>
      </c>
      <c r="AA1032" s="226">
        <f>IF(AND(R1032="",S1032="Yes",L1032&lt;0,B1032&lt;&gt;"TXO"),L1032,"")</f>
        <v/>
      </c>
    </row>
    <row r="1033" hidden="1" outlineLevel="2" collapsed="1" ht="17.25" customHeight="1" thickBot="1">
      <c r="A1033" s="740" t="n">
        <v>43382</v>
      </c>
      <c r="B1033" s="299" t="inlineStr">
        <is>
          <t>FIMTX</t>
        </is>
      </c>
      <c r="C1033" s="300" t="inlineStr">
        <is>
          <t>小指10</t>
        </is>
      </c>
      <c r="D1033" s="300" t="inlineStr">
        <is>
          <t>平倉</t>
        </is>
      </c>
      <c r="E1033" s="301" t="inlineStr">
        <is>
          <t>賣</t>
        </is>
      </c>
      <c r="F1033" s="300" t="inlineStr">
        <is>
          <t>-</t>
        </is>
      </c>
      <c r="G1033" s="741" t="n">
        <v>3</v>
      </c>
      <c r="H1033" s="741" t="n">
        <v>10469</v>
      </c>
      <c r="I1033" s="741" t="n">
        <v>0</v>
      </c>
      <c r="J1033" s="742" t="n">
        <v>69</v>
      </c>
      <c r="K1033" s="742" t="n">
        <v>30</v>
      </c>
      <c r="L1033" s="742">
        <f>IF(B1033="TXO",I1033-SUM(J1033:K1033),IF(B1033="FITX",IF(D1033="新倉",-SUM(J1033:K1033),IF(E1033="賣",(H1033-H1032)*G1033*200-SUM(J1033:K1033),(H1032-H1033)*G1033*200-SUM(J1033:K1033))),IF(D1033="新倉",-SUM(J1033:K1033),IF(E1033="賣",(H1033-H1032)*G1033*50-SUM(J1033:K1033),(H1032-H1033)*G1033*50-SUM(J1033:K1033)))))</f>
        <v/>
      </c>
      <c r="M1033" s="743">
        <f>L1033</f>
        <v/>
      </c>
      <c r="N1033" s="686">
        <f>IF(B1033="TXO","",IF(D1033="新倉","",IF(E1033="賣",(H1033-H1032)*G1033,(H1032-H1033)*G1033)))</f>
        <v/>
      </c>
      <c r="O1033" s="226" t="n">
        <v>0</v>
      </c>
      <c r="P1033" s="667" t="n"/>
      <c r="Q1033" s="249" t="inlineStr">
        <is>
          <t>技法: 碰10MA停損</t>
        </is>
      </c>
      <c r="R1033" s="249" t="inlineStr">
        <is>
          <t>Yes</t>
        </is>
      </c>
      <c r="S1033" s="249" t="n"/>
      <c r="T1033" s="61">
        <f>IF(AND(R1033="Yes",S1033&lt;&gt;"Yes",L1033&gt;0,B1033&lt;&gt;"TXO"),L1033,"")</f>
        <v/>
      </c>
      <c r="U1033" s="61">
        <f>IF(AND(R1033="Yes",S1033&lt;&gt;"Yes",L1033&lt;0,B1033&lt;&gt;"TXO"),L1033,"")</f>
        <v/>
      </c>
      <c r="V1033" s="61">
        <f>IF(AND(R1033="",S1033&lt;&gt;"Yes",L1033&gt;0,B1033&lt;&gt;"TXO"),L1033,"")</f>
        <v/>
      </c>
      <c r="W1033" s="61">
        <f>IF(AND(R1033="",S1033&lt;&gt;"Yes",L1033&lt;0,B1033&lt;&gt;"TXO"),L1033,"")</f>
        <v/>
      </c>
      <c r="X1033" s="226">
        <f>IF(AND(R1033="Yes",S1033="Yes",L1033&gt;0,B1033&lt;&gt;"TXO"),L1033,"")</f>
        <v/>
      </c>
      <c r="Y1033" s="226">
        <f>IF(AND(R1033="Yes",S1033="Yes",L1033&lt;0,B1033&lt;&gt;"TXO"),L1033,"")</f>
        <v/>
      </c>
      <c r="Z1033" s="226">
        <f>IF(AND(R1033="",S1033="Yes",L1033&gt;0,B1033&lt;&gt;"TXO"),L1033,"")</f>
        <v/>
      </c>
      <c r="AA1033" s="226">
        <f>IF(AND(R1033="",S1033="Yes",L1033&lt;0,B1033&lt;&gt;"TXO"),L1033,"")</f>
        <v/>
      </c>
    </row>
    <row r="1034" hidden="1" outlineLevel="2" collapsed="1" ht="17.25" customHeight="1" thickBot="1">
      <c r="A1034" s="740" t="n">
        <v>43382</v>
      </c>
      <c r="B1034" s="299" t="inlineStr">
        <is>
          <t>FIMTX</t>
        </is>
      </c>
      <c r="C1034" s="300" t="inlineStr">
        <is>
          <t>小指10</t>
        </is>
      </c>
      <c r="D1034" s="300" t="inlineStr">
        <is>
          <t>新倉</t>
        </is>
      </c>
      <c r="E1034" s="301" t="inlineStr">
        <is>
          <t>賣</t>
        </is>
      </c>
      <c r="F1034" s="300" t="inlineStr">
        <is>
          <t>-</t>
        </is>
      </c>
      <c r="G1034" s="741" t="n">
        <v>1</v>
      </c>
      <c r="H1034" s="741" t="n">
        <v>10469</v>
      </c>
      <c r="I1034" s="741" t="n">
        <v>0</v>
      </c>
      <c r="J1034" s="742" t="n">
        <v>23</v>
      </c>
      <c r="K1034" s="742" t="n">
        <v>10</v>
      </c>
      <c r="L1034" s="742">
        <f>IF(B1034="TXO",I1034-SUM(J1034:K1034),IF(B1034="FITX",IF(D1034="新倉",-SUM(J1034:K1034),IF(E1034="賣",(H1034-H1033)*G1034*200-SUM(J1034:K1034),(H1033-H1034)*G1034*200-SUM(J1034:K1034))),IF(D1034="新倉",-SUM(J1034:K1034),IF(E1034="賣",(H1034-H1033)*G1034*50-SUM(J1034:K1034),(H1033-H1034)*G1034*50-SUM(J1034:K1034)))))</f>
        <v/>
      </c>
      <c r="M1034" s="743">
        <f>L1034</f>
        <v/>
      </c>
      <c r="N1034" s="686">
        <f>IF(B1034="TXO","",IF(D1034="新倉","",IF(E1034="賣",(H1034-H1033)*G1034,(H1033-H1034)*G1034)))</f>
        <v/>
      </c>
      <c r="O1034" s="226" t="n">
        <v>0</v>
      </c>
      <c r="P1034" s="667" t="n"/>
      <c r="Q1034" s="249" t="inlineStr">
        <is>
          <t>技法: 刺補</t>
        </is>
      </c>
      <c r="R1034" s="249" t="inlineStr">
        <is>
          <t>Yes</t>
        </is>
      </c>
      <c r="S1034" s="249" t="n"/>
      <c r="T1034" s="61">
        <f>IF(AND(R1034="Yes",S1034&lt;&gt;"Yes",L1034&gt;0,B1034&lt;&gt;"TXO"),L1034,"")</f>
        <v/>
      </c>
      <c r="U1034" s="61">
        <f>IF(AND(R1034="Yes",S1034&lt;&gt;"Yes",L1034&lt;0,B1034&lt;&gt;"TXO"),L1034,"")</f>
        <v/>
      </c>
      <c r="V1034" s="61">
        <f>IF(AND(R1034="",S1034&lt;&gt;"Yes",L1034&gt;0,B1034&lt;&gt;"TXO"),L1034,"")</f>
        <v/>
      </c>
      <c r="W1034" s="61">
        <f>IF(AND(R1034="",S1034&lt;&gt;"Yes",L1034&lt;0,B1034&lt;&gt;"TXO"),L1034,"")</f>
        <v/>
      </c>
      <c r="X1034" s="226">
        <f>IF(AND(R1034="Yes",S1034="Yes",L1034&gt;0,B1034&lt;&gt;"TXO"),L1034,"")</f>
        <v/>
      </c>
      <c r="Y1034" s="226">
        <f>IF(AND(R1034="Yes",S1034="Yes",L1034&lt;0,B1034&lt;&gt;"TXO"),L1034,"")</f>
        <v/>
      </c>
      <c r="Z1034" s="226">
        <f>IF(AND(R1034="",S1034="Yes",L1034&gt;0,B1034&lt;&gt;"TXO"),L1034,"")</f>
        <v/>
      </c>
      <c r="AA1034" s="226">
        <f>IF(AND(R1034="",S1034="Yes",L1034&lt;0,B1034&lt;&gt;"TXO"),L1034,"")</f>
        <v/>
      </c>
    </row>
    <row r="1035" hidden="1" outlineLevel="2" collapsed="1" ht="17.25" customHeight="1" thickBot="1">
      <c r="A1035" s="740" t="n">
        <v>43382</v>
      </c>
      <c r="B1035" s="299" t="inlineStr">
        <is>
          <t>FIMTX</t>
        </is>
      </c>
      <c r="C1035" s="300" t="inlineStr">
        <is>
          <t>小指10</t>
        </is>
      </c>
      <c r="D1035" s="300" t="inlineStr">
        <is>
          <t>平倉</t>
        </is>
      </c>
      <c r="E1035" s="301" t="inlineStr">
        <is>
          <t>買</t>
        </is>
      </c>
      <c r="F1035" s="300" t="inlineStr">
        <is>
          <t>-</t>
        </is>
      </c>
      <c r="G1035" s="741" t="n">
        <v>1</v>
      </c>
      <c r="H1035" s="741" t="n">
        <v>10467</v>
      </c>
      <c r="I1035" s="741" t="n">
        <v>0</v>
      </c>
      <c r="J1035" s="742" t="n">
        <v>23</v>
      </c>
      <c r="K1035" s="742" t="n">
        <v>10</v>
      </c>
      <c r="L1035" s="742">
        <f>IF(B1035="TXO",I1035-SUM(J1035:K1035),IF(B1035="FITX",IF(D1035="新倉",-SUM(J1035:K1035),IF(E1035="賣",(H1035-H1034)*G1035*200-SUM(J1035:K1035),(H1034-H1035)*G1035*200-SUM(J1035:K1035))),IF(D1035="新倉",-SUM(J1035:K1035),IF(E1035="賣",(H1035-H1034)*G1035*50-SUM(J1035:K1035),(H1034-H1035)*G1035*50-SUM(J1035:K1035)))))</f>
        <v/>
      </c>
      <c r="M1035" s="743">
        <f>L1035</f>
        <v/>
      </c>
      <c r="N1035" s="686">
        <f>IF(B1035="TXO","",IF(D1035="新倉","",IF(E1035="賣",(H1035-H1034)*G1035,(H1034-H1035)*G1035)))</f>
        <v/>
      </c>
      <c r="O1035" s="226" t="n">
        <v>0</v>
      </c>
      <c r="P1035" s="667" t="n"/>
      <c r="S1035" s="249" t="n"/>
      <c r="T1035" s="61">
        <f>IF(AND(R1035="Yes",S1035&lt;&gt;"Yes",L1035&gt;0,B1035&lt;&gt;"TXO"),L1035,"")</f>
        <v/>
      </c>
      <c r="U1035" s="61">
        <f>IF(AND(R1035="Yes",S1035&lt;&gt;"Yes",L1035&lt;0,B1035&lt;&gt;"TXO"),L1035,"")</f>
        <v/>
      </c>
      <c r="V1035" s="61">
        <f>IF(AND(R1035="",S1035&lt;&gt;"Yes",L1035&gt;0,B1035&lt;&gt;"TXO"),L1035,"")</f>
        <v/>
      </c>
      <c r="W1035" s="61">
        <f>IF(AND(R1035="",S1035&lt;&gt;"Yes",L1035&lt;0,B1035&lt;&gt;"TXO"),L1035,"")</f>
        <v/>
      </c>
      <c r="X1035" s="226">
        <f>IF(AND(R1035="Yes",S1035="Yes",L1035&gt;0,B1035&lt;&gt;"TXO"),L1035,"")</f>
        <v/>
      </c>
      <c r="Y1035" s="226">
        <f>IF(AND(R1035="Yes",S1035="Yes",L1035&lt;0,B1035&lt;&gt;"TXO"),L1035,"")</f>
        <v/>
      </c>
      <c r="Z1035" s="226">
        <f>IF(AND(R1035="",S1035="Yes",L1035&gt;0,B1035&lt;&gt;"TXO"),L1035,"")</f>
        <v/>
      </c>
      <c r="AA1035" s="226">
        <f>IF(AND(R1035="",S1035="Yes",L1035&lt;0,B1035&lt;&gt;"TXO"),L1035,"")</f>
        <v/>
      </c>
    </row>
    <row r="1036" hidden="1" outlineLevel="2" collapsed="1" ht="17.25" customHeight="1" thickBot="1">
      <c r="A1036" s="740" t="n">
        <v>43382</v>
      </c>
      <c r="B1036" s="299" t="inlineStr">
        <is>
          <t>FIMTX</t>
        </is>
      </c>
      <c r="C1036" s="300" t="inlineStr">
        <is>
          <t>小指10</t>
        </is>
      </c>
      <c r="D1036" s="300" t="inlineStr">
        <is>
          <t>新倉</t>
        </is>
      </c>
      <c r="E1036" s="301" t="inlineStr">
        <is>
          <t>賣</t>
        </is>
      </c>
      <c r="F1036" s="300" t="inlineStr">
        <is>
          <t>-</t>
        </is>
      </c>
      <c r="G1036" s="741" t="n">
        <v>1</v>
      </c>
      <c r="H1036" s="741" t="n">
        <v>10469</v>
      </c>
      <c r="I1036" s="741" t="n">
        <v>0</v>
      </c>
      <c r="J1036" s="742" t="n">
        <v>23</v>
      </c>
      <c r="K1036" s="742" t="n">
        <v>10</v>
      </c>
      <c r="L1036" s="742">
        <f>IF(B1036="TXO",I1036-SUM(J1036:K1036),IF(B1036="FITX",IF(D1036="新倉",-SUM(J1036:K1036),IF(E1036="賣",(H1036-H1035)*G1036*200-SUM(J1036:K1036),(H1035-H1036)*G1036*200-SUM(J1036:K1036))),IF(D1036="新倉",-SUM(J1036:K1036),IF(E1036="賣",(H1036-H1035)*G1036*50-SUM(J1036:K1036),(H1035-H1036)*G1036*50-SUM(J1036:K1036)))))</f>
        <v/>
      </c>
      <c r="M1036" s="743">
        <f>L1036</f>
        <v/>
      </c>
      <c r="N1036" s="686">
        <f>IF(B1036="TXO","",IF(D1036="新倉","",IF(E1036="賣",(H1036-H1035)*G1036,(H1035-H1036)*G1036)))</f>
        <v/>
      </c>
      <c r="O1036" s="226" t="n">
        <v>0</v>
      </c>
      <c r="P1036" s="667" t="n"/>
      <c r="S1036" s="249" t="n"/>
      <c r="T1036" s="61">
        <f>IF(AND(R1036="Yes",S1036&lt;&gt;"Yes",L1036&gt;0,B1036&lt;&gt;"TXO"),L1036,"")</f>
        <v/>
      </c>
      <c r="U1036" s="61">
        <f>IF(AND(R1036="Yes",S1036&lt;&gt;"Yes",L1036&lt;0,B1036&lt;&gt;"TXO"),L1036,"")</f>
        <v/>
      </c>
      <c r="V1036" s="61">
        <f>IF(AND(R1036="",S1036&lt;&gt;"Yes",L1036&gt;0,B1036&lt;&gt;"TXO"),L1036,"")</f>
        <v/>
      </c>
      <c r="W1036" s="61">
        <f>IF(AND(R1036="",S1036&lt;&gt;"Yes",L1036&lt;0,B1036&lt;&gt;"TXO"),L1036,"")</f>
        <v/>
      </c>
      <c r="X1036" s="226">
        <f>IF(AND(R1036="Yes",S1036="Yes",L1036&gt;0,B1036&lt;&gt;"TXO"),L1036,"")</f>
        <v/>
      </c>
      <c r="Y1036" s="226">
        <f>IF(AND(R1036="Yes",S1036="Yes",L1036&lt;0,B1036&lt;&gt;"TXO"),L1036,"")</f>
        <v/>
      </c>
      <c r="Z1036" s="226">
        <f>IF(AND(R1036="",S1036="Yes",L1036&gt;0,B1036&lt;&gt;"TXO"),L1036,"")</f>
        <v/>
      </c>
      <c r="AA1036" s="226">
        <f>IF(AND(R1036="",S1036="Yes",L1036&lt;0,B1036&lt;&gt;"TXO"),L1036,"")</f>
        <v/>
      </c>
    </row>
    <row r="1037" hidden="1" outlineLevel="2" collapsed="1" ht="17.25" customHeight="1" thickBot="1">
      <c r="A1037" s="740" t="n">
        <v>43382</v>
      </c>
      <c r="B1037" s="299" t="inlineStr">
        <is>
          <t>FIMTX</t>
        </is>
      </c>
      <c r="C1037" s="300" t="inlineStr">
        <is>
          <t>小指10</t>
        </is>
      </c>
      <c r="D1037" s="300" t="inlineStr">
        <is>
          <t>平倉</t>
        </is>
      </c>
      <c r="E1037" s="301" t="inlineStr">
        <is>
          <t>買</t>
        </is>
      </c>
      <c r="F1037" s="300" t="inlineStr">
        <is>
          <t>-</t>
        </is>
      </c>
      <c r="G1037" s="741" t="n">
        <v>1</v>
      </c>
      <c r="H1037" s="741" t="n">
        <v>10478</v>
      </c>
      <c r="I1037" s="741" t="n">
        <v>0</v>
      </c>
      <c r="J1037" s="742" t="n">
        <v>23</v>
      </c>
      <c r="K1037" s="742" t="n">
        <v>10</v>
      </c>
      <c r="L1037" s="742">
        <f>IF(B1037="TXO",I1037-SUM(J1037:K1037),IF(B1037="FITX",IF(D1037="新倉",-SUM(J1037:K1037),IF(E1037="賣",(H1037-H1036)*G1037*200-SUM(J1037:K1037),(H1036-H1037)*G1037*200-SUM(J1037:K1037))),IF(D1037="新倉",-SUM(J1037:K1037),IF(E1037="賣",(H1037-H1036)*G1037*50-SUM(J1037:K1037),(H1036-H1037)*G1037*50-SUM(J1037:K1037)))))</f>
        <v/>
      </c>
      <c r="M1037" s="743">
        <f>L1037</f>
        <v/>
      </c>
      <c r="N1037" s="686">
        <f>IF(B1037="TXO","",IF(D1037="新倉","",IF(E1037="賣",(H1037-H1036)*G1037,(H1036-H1037)*G1037)))</f>
        <v/>
      </c>
      <c r="O1037" s="226" t="n">
        <v>0</v>
      </c>
      <c r="P1037" s="667" t="n"/>
      <c r="S1037" s="249" t="n"/>
      <c r="T1037" s="61">
        <f>IF(AND(R1037="Yes",S1037&lt;&gt;"Yes",L1037&gt;0,B1037&lt;&gt;"TXO"),L1037,"")</f>
        <v/>
      </c>
      <c r="U1037" s="61">
        <f>IF(AND(R1037="Yes",S1037&lt;&gt;"Yes",L1037&lt;0,B1037&lt;&gt;"TXO"),L1037,"")</f>
        <v/>
      </c>
      <c r="V1037" s="61">
        <f>IF(AND(R1037="",S1037&lt;&gt;"Yes",L1037&gt;0,B1037&lt;&gt;"TXO"),L1037,"")</f>
        <v/>
      </c>
      <c r="W1037" s="61">
        <f>IF(AND(R1037="",S1037&lt;&gt;"Yes",L1037&lt;0,B1037&lt;&gt;"TXO"),L1037,"")</f>
        <v/>
      </c>
      <c r="X1037" s="226">
        <f>IF(AND(R1037="Yes",S1037="Yes",L1037&gt;0,B1037&lt;&gt;"TXO"),L1037,"")</f>
        <v/>
      </c>
      <c r="Y1037" s="226">
        <f>IF(AND(R1037="Yes",S1037="Yes",L1037&lt;0,B1037&lt;&gt;"TXO"),L1037,"")</f>
        <v/>
      </c>
      <c r="Z1037" s="226">
        <f>IF(AND(R1037="",S1037="Yes",L1037&gt;0,B1037&lt;&gt;"TXO"),L1037,"")</f>
        <v/>
      </c>
      <c r="AA1037" s="226">
        <f>IF(AND(R1037="",S1037="Yes",L1037&lt;0,B1037&lt;&gt;"TXO"),L1037,"")</f>
        <v/>
      </c>
    </row>
    <row r="1038" hidden="1" outlineLevel="2" collapsed="1" ht="17.25" customHeight="1" thickBot="1">
      <c r="A1038" s="740" t="n">
        <v>43382</v>
      </c>
      <c r="B1038" s="299" t="inlineStr">
        <is>
          <t>FIMTX</t>
        </is>
      </c>
      <c r="C1038" s="300" t="inlineStr">
        <is>
          <t>小指10</t>
        </is>
      </c>
      <c r="D1038" s="300" t="inlineStr">
        <is>
          <t>新倉</t>
        </is>
      </c>
      <c r="E1038" s="301" t="inlineStr">
        <is>
          <t>賣</t>
        </is>
      </c>
      <c r="F1038" s="300" t="inlineStr">
        <is>
          <t>-</t>
        </is>
      </c>
      <c r="G1038" s="741" t="n">
        <v>1</v>
      </c>
      <c r="H1038" s="741" t="n">
        <v>10469</v>
      </c>
      <c r="I1038" s="741" t="n">
        <v>0</v>
      </c>
      <c r="J1038" s="742" t="n">
        <v>23</v>
      </c>
      <c r="K1038" s="742" t="n">
        <v>10</v>
      </c>
      <c r="L1038" s="742">
        <f>IF(B1038="TXO",I1038-SUM(J1038:K1038),IF(B1038="FITX",IF(D1038="新倉",-SUM(J1038:K1038),IF(E1038="賣",(H1038-H1037)*G1038*200-SUM(J1038:K1038),(H1037-H1038)*G1038*200-SUM(J1038:K1038))),IF(D1038="新倉",-SUM(J1038:K1038),IF(E1038="賣",(H1038-H1037)*G1038*50-SUM(J1038:K1038),(H1037-H1038)*G1038*50-SUM(J1038:K1038)))))</f>
        <v/>
      </c>
      <c r="M1038" s="743">
        <f>L1038</f>
        <v/>
      </c>
      <c r="N1038" s="686">
        <f>IF(B1038="TXO","",IF(D1038="新倉","",IF(E1038="賣",(H1038-H1037)*G1038,(H1037-H1038)*G1038)))</f>
        <v/>
      </c>
      <c r="O1038" s="226" t="n">
        <v>0</v>
      </c>
      <c r="P1038" s="667" t="n"/>
      <c r="S1038" s="249" t="n"/>
      <c r="T1038" s="61">
        <f>IF(AND(R1038="Yes",S1038&lt;&gt;"Yes",L1038&gt;0,B1038&lt;&gt;"TXO"),L1038,"")</f>
        <v/>
      </c>
      <c r="U1038" s="61">
        <f>IF(AND(R1038="Yes",S1038&lt;&gt;"Yes",L1038&lt;0,B1038&lt;&gt;"TXO"),L1038,"")</f>
        <v/>
      </c>
      <c r="V1038" s="61">
        <f>IF(AND(R1038="",S1038&lt;&gt;"Yes",L1038&gt;0,B1038&lt;&gt;"TXO"),L1038,"")</f>
        <v/>
      </c>
      <c r="W1038" s="61">
        <f>IF(AND(R1038="",S1038&lt;&gt;"Yes",L1038&lt;0,B1038&lt;&gt;"TXO"),L1038,"")</f>
        <v/>
      </c>
      <c r="X1038" s="226">
        <f>IF(AND(R1038="Yes",S1038="Yes",L1038&gt;0,B1038&lt;&gt;"TXO"),L1038,"")</f>
        <v/>
      </c>
      <c r="Y1038" s="226">
        <f>IF(AND(R1038="Yes",S1038="Yes",L1038&lt;0,B1038&lt;&gt;"TXO"),L1038,"")</f>
        <v/>
      </c>
      <c r="Z1038" s="226">
        <f>IF(AND(R1038="",S1038="Yes",L1038&gt;0,B1038&lt;&gt;"TXO"),L1038,"")</f>
        <v/>
      </c>
      <c r="AA1038" s="226">
        <f>IF(AND(R1038="",S1038="Yes",L1038&lt;0,B1038&lt;&gt;"TXO"),L1038,"")</f>
        <v/>
      </c>
    </row>
    <row r="1039" hidden="1" outlineLevel="2" collapsed="1" ht="17.25" customHeight="1" thickBot="1">
      <c r="A1039" s="740" t="n">
        <v>43382</v>
      </c>
      <c r="B1039" s="299" t="inlineStr">
        <is>
          <t>FIMTX</t>
        </is>
      </c>
      <c r="C1039" s="300" t="inlineStr">
        <is>
          <t>小指10</t>
        </is>
      </c>
      <c r="D1039" s="300" t="inlineStr">
        <is>
          <t>平倉</t>
        </is>
      </c>
      <c r="E1039" s="301" t="inlineStr">
        <is>
          <t>買</t>
        </is>
      </c>
      <c r="F1039" s="300" t="inlineStr">
        <is>
          <t>-</t>
        </is>
      </c>
      <c r="G1039" s="741" t="n">
        <v>1</v>
      </c>
      <c r="H1039" s="741" t="n">
        <v>10475</v>
      </c>
      <c r="I1039" s="741" t="n">
        <v>0</v>
      </c>
      <c r="J1039" s="742" t="n">
        <v>23</v>
      </c>
      <c r="K1039" s="742" t="n">
        <v>10</v>
      </c>
      <c r="L1039" s="742">
        <f>IF(B1039="TXO",I1039-SUM(J1039:K1039),IF(B1039="FITX",IF(D1039="新倉",-SUM(J1039:K1039),IF(E1039="賣",(H1039-H1038)*G1039*200-SUM(J1039:K1039),(H1038-H1039)*G1039*200-SUM(J1039:K1039))),IF(D1039="新倉",-SUM(J1039:K1039),IF(E1039="賣",(H1039-H1038)*G1039*50-SUM(J1039:K1039),(H1038-H1039)*G1039*50-SUM(J1039:K1039)))))</f>
        <v/>
      </c>
      <c r="M1039" s="743">
        <f>L1039</f>
        <v/>
      </c>
      <c r="N1039" s="686">
        <f>IF(B1039="TXO","",IF(D1039="新倉","",IF(E1039="賣",(H1039-H1038)*G1039,(H1038-H1039)*G1039)))</f>
        <v/>
      </c>
      <c r="O1039" s="226" t="n">
        <v>0</v>
      </c>
      <c r="P1039" s="667" t="n"/>
      <c r="S1039" s="249" t="n"/>
      <c r="T1039" s="61">
        <f>IF(AND(R1039="Yes",S1039&lt;&gt;"Yes",L1039&gt;0,B1039&lt;&gt;"TXO"),L1039,"")</f>
        <v/>
      </c>
      <c r="U1039" s="61">
        <f>IF(AND(R1039="Yes",S1039&lt;&gt;"Yes",L1039&lt;0,B1039&lt;&gt;"TXO"),L1039,"")</f>
        <v/>
      </c>
      <c r="V1039" s="61">
        <f>IF(AND(R1039="",S1039&lt;&gt;"Yes",L1039&gt;0,B1039&lt;&gt;"TXO"),L1039,"")</f>
        <v/>
      </c>
      <c r="W1039" s="61">
        <f>IF(AND(R1039="",S1039&lt;&gt;"Yes",L1039&lt;0,B1039&lt;&gt;"TXO"),L1039,"")</f>
        <v/>
      </c>
      <c r="X1039" s="226">
        <f>IF(AND(R1039="Yes",S1039="Yes",L1039&gt;0,B1039&lt;&gt;"TXO"),L1039,"")</f>
        <v/>
      </c>
      <c r="Y1039" s="226">
        <f>IF(AND(R1039="Yes",S1039="Yes",L1039&lt;0,B1039&lt;&gt;"TXO"),L1039,"")</f>
        <v/>
      </c>
      <c r="Z1039" s="226">
        <f>IF(AND(R1039="",S1039="Yes",L1039&gt;0,B1039&lt;&gt;"TXO"),L1039,"")</f>
        <v/>
      </c>
      <c r="AA1039" s="226">
        <f>IF(AND(R1039="",S1039="Yes",L1039&lt;0,B1039&lt;&gt;"TXO"),L1039,"")</f>
        <v/>
      </c>
    </row>
    <row r="1040" hidden="1" outlineLevel="2" collapsed="1" ht="17.25" customHeight="1" thickBot="1">
      <c r="A1040" s="740" t="n">
        <v>43382</v>
      </c>
      <c r="B1040" s="299" t="inlineStr">
        <is>
          <t>FIMTX</t>
        </is>
      </c>
      <c r="C1040" s="300" t="inlineStr">
        <is>
          <t>小指10</t>
        </is>
      </c>
      <c r="D1040" s="300" t="inlineStr">
        <is>
          <t>新倉</t>
        </is>
      </c>
      <c r="E1040" s="301" t="inlineStr">
        <is>
          <t>買</t>
        </is>
      </c>
      <c r="F1040" s="300" t="inlineStr">
        <is>
          <t>-</t>
        </is>
      </c>
      <c r="G1040" s="741" t="n">
        <v>3</v>
      </c>
      <c r="H1040" s="741" t="n">
        <v>10475</v>
      </c>
      <c r="I1040" s="741" t="n">
        <v>0</v>
      </c>
      <c r="J1040" s="742" t="n">
        <v>69</v>
      </c>
      <c r="K1040" s="742" t="n">
        <v>30</v>
      </c>
      <c r="L1040" s="742">
        <f>IF(B1040="TXO",I1040-SUM(J1040:K1040),IF(B1040="FITX",IF(D1040="新倉",-SUM(J1040:K1040),IF(E1040="賣",(H1040-H1039)*G1040*200-SUM(J1040:K1040),(H1039-H1040)*G1040*200-SUM(J1040:K1040))),IF(D1040="新倉",-SUM(J1040:K1040),IF(E1040="賣",(H1040-H1039)*G1040*50-SUM(J1040:K1040),(H1039-H1040)*G1040*50-SUM(J1040:K1040)))))</f>
        <v/>
      </c>
      <c r="M1040" s="743">
        <f>L1040</f>
        <v/>
      </c>
      <c r="N1040" s="686">
        <f>IF(B1040="TXO","",IF(D1040="新倉","",IF(E1040="賣",(H1040-H1039)*G1040,(H1039-H1040)*G1040)))</f>
        <v/>
      </c>
      <c r="O1040" s="226" t="n">
        <v>0</v>
      </c>
      <c r="P1040" s="667" t="n"/>
      <c r="S1040" s="249" t="n"/>
      <c r="T1040" s="61">
        <f>IF(AND(R1040="Yes",S1040&lt;&gt;"Yes",L1040&gt;0,B1040&lt;&gt;"TXO"),L1040,"")</f>
        <v/>
      </c>
      <c r="U1040" s="61">
        <f>IF(AND(R1040="Yes",S1040&lt;&gt;"Yes",L1040&lt;0,B1040&lt;&gt;"TXO"),L1040,"")</f>
        <v/>
      </c>
      <c r="V1040" s="61">
        <f>IF(AND(R1040="",S1040&lt;&gt;"Yes",L1040&gt;0,B1040&lt;&gt;"TXO"),L1040,"")</f>
        <v/>
      </c>
      <c r="W1040" s="61">
        <f>IF(AND(R1040="",S1040&lt;&gt;"Yes",L1040&lt;0,B1040&lt;&gt;"TXO"),L1040,"")</f>
        <v/>
      </c>
      <c r="X1040" s="226">
        <f>IF(AND(R1040="Yes",S1040="Yes",L1040&gt;0,B1040&lt;&gt;"TXO"),L1040,"")</f>
        <v/>
      </c>
      <c r="Y1040" s="226">
        <f>IF(AND(R1040="Yes",S1040="Yes",L1040&lt;0,B1040&lt;&gt;"TXO"),L1040,"")</f>
        <v/>
      </c>
      <c r="Z1040" s="226">
        <f>IF(AND(R1040="",S1040="Yes",L1040&gt;0,B1040&lt;&gt;"TXO"),L1040,"")</f>
        <v/>
      </c>
      <c r="AA1040" s="226">
        <f>IF(AND(R1040="",S1040="Yes",L1040&lt;0,B1040&lt;&gt;"TXO"),L1040,"")</f>
        <v/>
      </c>
    </row>
    <row r="1041" hidden="1" outlineLevel="2" collapsed="1" ht="17.25" customHeight="1" thickBot="1">
      <c r="A1041" s="740" t="n">
        <v>43382</v>
      </c>
      <c r="B1041" s="299" t="inlineStr">
        <is>
          <t>FIMTX</t>
        </is>
      </c>
      <c r="C1041" s="300" t="inlineStr">
        <is>
          <t>小指10</t>
        </is>
      </c>
      <c r="D1041" s="300" t="inlineStr">
        <is>
          <t>平倉</t>
        </is>
      </c>
      <c r="E1041" s="301" t="inlineStr">
        <is>
          <t>賣</t>
        </is>
      </c>
      <c r="F1041" s="300" t="inlineStr">
        <is>
          <t>-</t>
        </is>
      </c>
      <c r="G1041" s="741" t="n">
        <v>3</v>
      </c>
      <c r="H1041" s="741" t="n">
        <v>10477</v>
      </c>
      <c r="I1041" s="741" t="n">
        <v>0</v>
      </c>
      <c r="J1041" s="742" t="n">
        <v>69</v>
      </c>
      <c r="K1041" s="742" t="n">
        <v>30</v>
      </c>
      <c r="L1041" s="742">
        <f>IF(B1041="TXO",I1041-SUM(J1041:K1041),IF(B1041="FITX",IF(D1041="新倉",-SUM(J1041:K1041),IF(E1041="賣",(H1041-H1040)*G1041*200-SUM(J1041:K1041),(H1040-H1041)*G1041*200-SUM(J1041:K1041))),IF(D1041="新倉",-SUM(J1041:K1041),IF(E1041="賣",(H1041-H1040)*G1041*50-SUM(J1041:K1041),(H1040-H1041)*G1041*50-SUM(J1041:K1041)))))</f>
        <v/>
      </c>
      <c r="M1041" s="743">
        <f>L1041</f>
        <v/>
      </c>
      <c r="N1041" s="686">
        <f>IF(B1041="TXO","",IF(D1041="新倉","",IF(E1041="賣",(H1041-H1040)*G1041,(H1040-H1041)*G1041)))</f>
        <v/>
      </c>
      <c r="O1041" s="226" t="n">
        <v>0</v>
      </c>
      <c r="P1041" s="667" t="n"/>
      <c r="S1041" s="249" t="n"/>
      <c r="T1041" s="61">
        <f>IF(AND(R1041="Yes",S1041&lt;&gt;"Yes",L1041&gt;0,B1041&lt;&gt;"TXO"),L1041,"")</f>
        <v/>
      </c>
      <c r="U1041" s="61">
        <f>IF(AND(R1041="Yes",S1041&lt;&gt;"Yes",L1041&lt;0,B1041&lt;&gt;"TXO"),L1041,"")</f>
        <v/>
      </c>
      <c r="V1041" s="61">
        <f>IF(AND(R1041="",S1041&lt;&gt;"Yes",L1041&gt;0,B1041&lt;&gt;"TXO"),L1041,"")</f>
        <v/>
      </c>
      <c r="W1041" s="61">
        <f>IF(AND(R1041="",S1041&lt;&gt;"Yes",L1041&lt;0,B1041&lt;&gt;"TXO"),L1041,"")</f>
        <v/>
      </c>
      <c r="X1041" s="226">
        <f>IF(AND(R1041="Yes",S1041="Yes",L1041&gt;0,B1041&lt;&gt;"TXO"),L1041,"")</f>
        <v/>
      </c>
      <c r="Y1041" s="226">
        <f>IF(AND(R1041="Yes",S1041="Yes",L1041&lt;0,B1041&lt;&gt;"TXO"),L1041,"")</f>
        <v/>
      </c>
      <c r="Z1041" s="226">
        <f>IF(AND(R1041="",S1041="Yes",L1041&gt;0,B1041&lt;&gt;"TXO"),L1041,"")</f>
        <v/>
      </c>
      <c r="AA1041" s="226">
        <f>IF(AND(R1041="",S1041="Yes",L1041&lt;0,B1041&lt;&gt;"TXO"),L1041,"")</f>
        <v/>
      </c>
    </row>
    <row r="1042" hidden="1" outlineLevel="2" collapsed="1" ht="17.25" customHeight="1" thickBot="1">
      <c r="A1042" s="740" t="n">
        <v>43382</v>
      </c>
      <c r="B1042" s="299" t="inlineStr">
        <is>
          <t>FIMTX</t>
        </is>
      </c>
      <c r="C1042" s="300" t="inlineStr">
        <is>
          <t>小指10</t>
        </is>
      </c>
      <c r="D1042" s="300" t="inlineStr">
        <is>
          <t>新倉</t>
        </is>
      </c>
      <c r="E1042" s="301" t="inlineStr">
        <is>
          <t>賣</t>
        </is>
      </c>
      <c r="F1042" s="300" t="inlineStr">
        <is>
          <t>-</t>
        </is>
      </c>
      <c r="G1042" s="741" t="n">
        <v>1</v>
      </c>
      <c r="H1042" s="741" t="n">
        <v>10473</v>
      </c>
      <c r="I1042" s="741" t="n">
        <v>0</v>
      </c>
      <c r="J1042" s="742" t="n">
        <v>23</v>
      </c>
      <c r="K1042" s="742" t="n">
        <v>10</v>
      </c>
      <c r="L1042" s="742">
        <f>IF(B1042="TXO",I1042-SUM(J1042:K1042),IF(B1042="FITX",IF(D1042="新倉",-SUM(J1042:K1042),IF(E1042="賣",(H1042-H1041)*G1042*200-SUM(J1042:K1042),(H1041-H1042)*G1042*200-SUM(J1042:K1042))),IF(D1042="新倉",-SUM(J1042:K1042),IF(E1042="賣",(H1042-H1041)*G1042*50-SUM(J1042:K1042),(H1041-H1042)*G1042*50-SUM(J1042:K1042)))))</f>
        <v/>
      </c>
      <c r="M1042" s="743">
        <f>L1042</f>
        <v/>
      </c>
      <c r="N1042" s="686">
        <f>IF(B1042="TXO","",IF(D1042="新倉","",IF(E1042="賣",(H1042-H1041)*G1042,(H1041-H1042)*G1042)))</f>
        <v/>
      </c>
      <c r="O1042" s="226" t="n">
        <v>0</v>
      </c>
      <c r="P1042" s="667" t="n"/>
      <c r="S1042" s="249" t="n"/>
      <c r="T1042" s="61">
        <f>IF(AND(R1042="Yes",S1042&lt;&gt;"Yes",L1042&gt;0,B1042&lt;&gt;"TXO"),L1042,"")</f>
        <v/>
      </c>
      <c r="U1042" s="61">
        <f>IF(AND(R1042="Yes",S1042&lt;&gt;"Yes",L1042&lt;0,B1042&lt;&gt;"TXO"),L1042,"")</f>
        <v/>
      </c>
      <c r="V1042" s="61">
        <f>IF(AND(R1042="",S1042&lt;&gt;"Yes",L1042&gt;0,B1042&lt;&gt;"TXO"),L1042,"")</f>
        <v/>
      </c>
      <c r="W1042" s="61">
        <f>IF(AND(R1042="",S1042&lt;&gt;"Yes",L1042&lt;0,B1042&lt;&gt;"TXO"),L1042,"")</f>
        <v/>
      </c>
      <c r="X1042" s="226">
        <f>IF(AND(R1042="Yes",S1042="Yes",L1042&gt;0,B1042&lt;&gt;"TXO"),L1042,"")</f>
        <v/>
      </c>
      <c r="Y1042" s="226">
        <f>IF(AND(R1042="Yes",S1042="Yes",L1042&lt;0,B1042&lt;&gt;"TXO"),L1042,"")</f>
        <v/>
      </c>
      <c r="Z1042" s="226">
        <f>IF(AND(R1042="",S1042="Yes",L1042&gt;0,B1042&lt;&gt;"TXO"),L1042,"")</f>
        <v/>
      </c>
      <c r="AA1042" s="226">
        <f>IF(AND(R1042="",S1042="Yes",L1042&lt;0,B1042&lt;&gt;"TXO"),L1042,"")</f>
        <v/>
      </c>
    </row>
    <row r="1043" hidden="1" outlineLevel="2" collapsed="1" ht="17.25" customHeight="1" thickBot="1">
      <c r="A1043" s="740" t="n">
        <v>43382</v>
      </c>
      <c r="B1043" s="299" t="inlineStr">
        <is>
          <t>FIMTX</t>
        </is>
      </c>
      <c r="C1043" s="300" t="inlineStr">
        <is>
          <t>小指10</t>
        </is>
      </c>
      <c r="D1043" s="300" t="inlineStr">
        <is>
          <t>平倉</t>
        </is>
      </c>
      <c r="E1043" s="301" t="inlineStr">
        <is>
          <t>買</t>
        </is>
      </c>
      <c r="F1043" s="300" t="inlineStr">
        <is>
          <t>-</t>
        </is>
      </c>
      <c r="G1043" s="741" t="n">
        <v>1</v>
      </c>
      <c r="H1043" s="741" t="n">
        <v>10471</v>
      </c>
      <c r="I1043" s="741" t="n">
        <v>0</v>
      </c>
      <c r="J1043" s="742" t="n">
        <v>23</v>
      </c>
      <c r="K1043" s="742" t="n">
        <v>10</v>
      </c>
      <c r="L1043" s="742">
        <f>IF(B1043="TXO",I1043-SUM(J1043:K1043),IF(B1043="FITX",IF(D1043="新倉",-SUM(J1043:K1043),IF(E1043="賣",(H1043-H1042)*G1043*200-SUM(J1043:K1043),(H1042-H1043)*G1043*200-SUM(J1043:K1043))),IF(D1043="新倉",-SUM(J1043:K1043),IF(E1043="賣",(H1043-H1042)*G1043*50-SUM(J1043:K1043),(H1042-H1043)*G1043*50-SUM(J1043:K1043)))))</f>
        <v/>
      </c>
      <c r="M1043" s="743">
        <f>L1043</f>
        <v/>
      </c>
      <c r="N1043" s="686">
        <f>IF(B1043="TXO","",IF(D1043="新倉","",IF(E1043="賣",(H1043-H1042)*G1043,(H1042-H1043)*G1043)))</f>
        <v/>
      </c>
      <c r="O1043" s="226" t="n">
        <v>0</v>
      </c>
      <c r="P1043" s="667" t="n"/>
      <c r="S1043" s="249" t="n"/>
      <c r="T1043" s="61">
        <f>IF(AND(R1043="Yes",S1043&lt;&gt;"Yes",L1043&gt;0,B1043&lt;&gt;"TXO"),L1043,"")</f>
        <v/>
      </c>
      <c r="U1043" s="61">
        <f>IF(AND(R1043="Yes",S1043&lt;&gt;"Yes",L1043&lt;0,B1043&lt;&gt;"TXO"),L1043,"")</f>
        <v/>
      </c>
      <c r="V1043" s="61">
        <f>IF(AND(R1043="",S1043&lt;&gt;"Yes",L1043&gt;0,B1043&lt;&gt;"TXO"),L1043,"")</f>
        <v/>
      </c>
      <c r="W1043" s="61">
        <f>IF(AND(R1043="",S1043&lt;&gt;"Yes",L1043&lt;0,B1043&lt;&gt;"TXO"),L1043,"")</f>
        <v/>
      </c>
      <c r="X1043" s="226">
        <f>IF(AND(R1043="Yes",S1043="Yes",L1043&gt;0,B1043&lt;&gt;"TXO"),L1043,"")</f>
        <v/>
      </c>
      <c r="Y1043" s="226">
        <f>IF(AND(R1043="Yes",S1043="Yes",L1043&lt;0,B1043&lt;&gt;"TXO"),L1043,"")</f>
        <v/>
      </c>
      <c r="Z1043" s="226">
        <f>IF(AND(R1043="",S1043="Yes",L1043&gt;0,B1043&lt;&gt;"TXO"),L1043,"")</f>
        <v/>
      </c>
      <c r="AA1043" s="226">
        <f>IF(AND(R1043="",S1043="Yes",L1043&lt;0,B1043&lt;&gt;"TXO"),L1043,"")</f>
        <v/>
      </c>
    </row>
    <row r="1044" hidden="1" outlineLevel="2" collapsed="1" ht="17.25" customHeight="1" thickBot="1">
      <c r="A1044" s="740" t="n">
        <v>43382</v>
      </c>
      <c r="B1044" s="299" t="inlineStr">
        <is>
          <t>FIMTX</t>
        </is>
      </c>
      <c r="C1044" s="300" t="inlineStr">
        <is>
          <t>小指10</t>
        </is>
      </c>
      <c r="D1044" s="300" t="inlineStr">
        <is>
          <t>新倉</t>
        </is>
      </c>
      <c r="E1044" s="301" t="inlineStr">
        <is>
          <t>賣</t>
        </is>
      </c>
      <c r="F1044" s="300" t="inlineStr">
        <is>
          <t>-</t>
        </is>
      </c>
      <c r="G1044" s="741" t="n">
        <v>1</v>
      </c>
      <c r="H1044" s="741" t="n">
        <v>10473</v>
      </c>
      <c r="I1044" s="741" t="n">
        <v>0</v>
      </c>
      <c r="J1044" s="742" t="n">
        <v>23</v>
      </c>
      <c r="K1044" s="742" t="n">
        <v>10</v>
      </c>
      <c r="L1044" s="742">
        <f>IF(B1044="TXO",I1044-SUM(J1044:K1044),IF(B1044="FITX",IF(D1044="新倉",-SUM(J1044:K1044),IF(E1044="賣",(H1044-H1043)*G1044*200-SUM(J1044:K1044),(H1043-H1044)*G1044*200-SUM(J1044:K1044))),IF(D1044="新倉",-SUM(J1044:K1044),IF(E1044="賣",(H1044-H1043)*G1044*50-SUM(J1044:K1044),(H1043-H1044)*G1044*50-SUM(J1044:K1044)))))</f>
        <v/>
      </c>
      <c r="M1044" s="743">
        <f>L1044</f>
        <v/>
      </c>
      <c r="N1044" s="686">
        <f>IF(B1044="TXO","",IF(D1044="新倉","",IF(E1044="賣",(H1044-H1043)*G1044,(H1043-H1044)*G1044)))</f>
        <v/>
      </c>
      <c r="O1044" s="226" t="n">
        <v>0</v>
      </c>
      <c r="P1044" s="667" t="n"/>
      <c r="S1044" s="249" t="n"/>
      <c r="T1044" s="61">
        <f>IF(AND(R1044="Yes",S1044&lt;&gt;"Yes",L1044&gt;0,B1044&lt;&gt;"TXO"),L1044,"")</f>
        <v/>
      </c>
      <c r="U1044" s="61">
        <f>IF(AND(R1044="Yes",S1044&lt;&gt;"Yes",L1044&lt;0,B1044&lt;&gt;"TXO"),L1044,"")</f>
        <v/>
      </c>
      <c r="V1044" s="61">
        <f>IF(AND(R1044="",S1044&lt;&gt;"Yes",L1044&gt;0,B1044&lt;&gt;"TXO"),L1044,"")</f>
        <v/>
      </c>
      <c r="W1044" s="61">
        <f>IF(AND(R1044="",S1044&lt;&gt;"Yes",L1044&lt;0,B1044&lt;&gt;"TXO"),L1044,"")</f>
        <v/>
      </c>
      <c r="X1044" s="226">
        <f>IF(AND(R1044="Yes",S1044="Yes",L1044&gt;0,B1044&lt;&gt;"TXO"),L1044,"")</f>
        <v/>
      </c>
      <c r="Y1044" s="226">
        <f>IF(AND(R1044="Yes",S1044="Yes",L1044&lt;0,B1044&lt;&gt;"TXO"),L1044,"")</f>
        <v/>
      </c>
      <c r="Z1044" s="226">
        <f>IF(AND(R1044="",S1044="Yes",L1044&gt;0,B1044&lt;&gt;"TXO"),L1044,"")</f>
        <v/>
      </c>
      <c r="AA1044" s="226">
        <f>IF(AND(R1044="",S1044="Yes",L1044&lt;0,B1044&lt;&gt;"TXO"),L1044,"")</f>
        <v/>
      </c>
    </row>
    <row r="1045" hidden="1" outlineLevel="2" collapsed="1" ht="17.25" customHeight="1" thickBot="1">
      <c r="A1045" s="740" t="n">
        <v>43382</v>
      </c>
      <c r="B1045" s="299" t="inlineStr">
        <is>
          <t>FIMTX</t>
        </is>
      </c>
      <c r="C1045" s="300" t="inlineStr">
        <is>
          <t>小指10</t>
        </is>
      </c>
      <c r="D1045" s="300" t="inlineStr">
        <is>
          <t>平倉</t>
        </is>
      </c>
      <c r="E1045" s="301" t="inlineStr">
        <is>
          <t>買</t>
        </is>
      </c>
      <c r="F1045" s="300" t="inlineStr">
        <is>
          <t>-</t>
        </is>
      </c>
      <c r="G1045" s="741" t="n">
        <v>1</v>
      </c>
      <c r="H1045" s="741" t="n">
        <v>10471</v>
      </c>
      <c r="I1045" s="741" t="n">
        <v>0</v>
      </c>
      <c r="J1045" s="742" t="n">
        <v>23</v>
      </c>
      <c r="K1045" s="742" t="n">
        <v>10</v>
      </c>
      <c r="L1045" s="742">
        <f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/>
      </c>
      <c r="M1045" s="743">
        <f>L1045</f>
        <v/>
      </c>
      <c r="N1045" s="686">
        <f>IF(B1045="TXO","",IF(D1045="新倉","",IF(E1045="賣",(H1045-H1044)*G1045,(H1044-H1045)*G1045)))</f>
        <v/>
      </c>
      <c r="O1045" s="226" t="n">
        <v>0</v>
      </c>
      <c r="P1045" s="667" t="n"/>
      <c r="S1045" s="249" t="n"/>
      <c r="T1045" s="61">
        <f>IF(AND(R1045="Yes",S1045&lt;&gt;"Yes",L1045&gt;0,B1045&lt;&gt;"TXO"),L1045,"")</f>
        <v/>
      </c>
      <c r="U1045" s="61">
        <f>IF(AND(R1045="Yes",S1045&lt;&gt;"Yes",L1045&lt;0,B1045&lt;&gt;"TXO"),L1045,"")</f>
        <v/>
      </c>
      <c r="V1045" s="61">
        <f>IF(AND(R1045="",S1045&lt;&gt;"Yes",L1045&gt;0,B1045&lt;&gt;"TXO"),L1045,"")</f>
        <v/>
      </c>
      <c r="W1045" s="61">
        <f>IF(AND(R1045="",S1045&lt;&gt;"Yes",L1045&lt;0,B1045&lt;&gt;"TXO"),L1045,"")</f>
        <v/>
      </c>
      <c r="X1045" s="226">
        <f>IF(AND(R1045="Yes",S1045="Yes",L1045&gt;0,B1045&lt;&gt;"TXO"),L1045,"")</f>
        <v/>
      </c>
      <c r="Y1045" s="226">
        <f>IF(AND(R1045="Yes",S1045="Yes",L1045&lt;0,B1045&lt;&gt;"TXO"),L1045,"")</f>
        <v/>
      </c>
      <c r="Z1045" s="226">
        <f>IF(AND(R1045="",S1045="Yes",L1045&gt;0,B1045&lt;&gt;"TXO"),L1045,"")</f>
        <v/>
      </c>
      <c r="AA1045" s="226">
        <f>IF(AND(R1045="",S1045="Yes",L1045&lt;0,B1045&lt;&gt;"TXO"),L1045,"")</f>
        <v/>
      </c>
    </row>
    <row r="1046" hidden="1" outlineLevel="2" collapsed="1" ht="17.25" customHeight="1" thickBot="1">
      <c r="A1046" s="740" t="n">
        <v>43382</v>
      </c>
      <c r="B1046" s="299" t="inlineStr">
        <is>
          <t>FIMTX</t>
        </is>
      </c>
      <c r="C1046" s="300" t="inlineStr">
        <is>
          <t>小指10</t>
        </is>
      </c>
      <c r="D1046" s="300" t="inlineStr">
        <is>
          <t>新倉</t>
        </is>
      </c>
      <c r="E1046" s="301" t="inlineStr">
        <is>
          <t>賣</t>
        </is>
      </c>
      <c r="F1046" s="300" t="inlineStr">
        <is>
          <t>-</t>
        </is>
      </c>
      <c r="G1046" s="741" t="n">
        <v>1</v>
      </c>
      <c r="H1046" s="741" t="n">
        <v>10473</v>
      </c>
      <c r="I1046" s="741" t="n">
        <v>0</v>
      </c>
      <c r="J1046" s="742" t="n">
        <v>23</v>
      </c>
      <c r="K1046" s="742" t="n">
        <v>10</v>
      </c>
      <c r="L1046" s="742">
        <f>IF(B1046="TXO",I1046-SUM(J1046:K1046),IF(B1046="FITX",IF(D1046="新倉",-SUM(J1046:K1046),IF(E1046="賣",(H1046-H1045)*G1046*200-SUM(J1046:K1046),(H1045-H1046)*G1046*200-SUM(J1046:K1046))),IF(D1046="新倉",-SUM(J1046:K1046),IF(E1046="賣",(H1046-H1045)*G1046*50-SUM(J1046:K1046),(H1045-H1046)*G1046*50-SUM(J1046:K1046)))))</f>
        <v/>
      </c>
      <c r="M1046" s="743">
        <f>L1046</f>
        <v/>
      </c>
      <c r="N1046" s="686">
        <f>IF(B1046="TXO","",IF(D1046="新倉","",IF(E1046="賣",(H1046-H1045)*G1046,(H1045-H1046)*G1046)))</f>
        <v/>
      </c>
      <c r="O1046" s="226" t="n">
        <v>0</v>
      </c>
      <c r="P1046" s="667" t="n"/>
      <c r="S1046" s="249" t="n"/>
      <c r="T1046" s="61">
        <f>IF(AND(R1046="Yes",S1046&lt;&gt;"Yes",L1046&gt;0,B1046&lt;&gt;"TXO"),L1046,"")</f>
        <v/>
      </c>
      <c r="U1046" s="61">
        <f>IF(AND(R1046="Yes",S1046&lt;&gt;"Yes",L1046&lt;0,B1046&lt;&gt;"TXO"),L1046,"")</f>
        <v/>
      </c>
      <c r="V1046" s="61">
        <f>IF(AND(R1046="",S1046&lt;&gt;"Yes",L1046&gt;0,B1046&lt;&gt;"TXO"),L1046,"")</f>
        <v/>
      </c>
      <c r="W1046" s="61">
        <f>IF(AND(R1046="",S1046&lt;&gt;"Yes",L1046&lt;0,B1046&lt;&gt;"TXO"),L1046,"")</f>
        <v/>
      </c>
      <c r="X1046" s="226">
        <f>IF(AND(R1046="Yes",S1046="Yes",L1046&gt;0,B1046&lt;&gt;"TXO"),L1046,"")</f>
        <v/>
      </c>
      <c r="Y1046" s="226">
        <f>IF(AND(R1046="Yes",S1046="Yes",L1046&lt;0,B1046&lt;&gt;"TXO"),L1046,"")</f>
        <v/>
      </c>
      <c r="Z1046" s="226">
        <f>IF(AND(R1046="",S1046="Yes",L1046&gt;0,B1046&lt;&gt;"TXO"),L1046,"")</f>
        <v/>
      </c>
      <c r="AA1046" s="226">
        <f>IF(AND(R1046="",S1046="Yes",L1046&lt;0,B1046&lt;&gt;"TXO"),L1046,"")</f>
        <v/>
      </c>
    </row>
    <row r="1047" hidden="1" outlineLevel="2" collapsed="1" ht="17.25" customHeight="1" thickBot="1">
      <c r="A1047" s="740" t="n">
        <v>43382</v>
      </c>
      <c r="B1047" s="299" t="inlineStr">
        <is>
          <t>FIMTX</t>
        </is>
      </c>
      <c r="C1047" s="300" t="inlineStr">
        <is>
          <t>小指10</t>
        </is>
      </c>
      <c r="D1047" s="300" t="inlineStr">
        <is>
          <t>平倉</t>
        </is>
      </c>
      <c r="E1047" s="301" t="inlineStr">
        <is>
          <t>買</t>
        </is>
      </c>
      <c r="F1047" s="300" t="inlineStr">
        <is>
          <t>-</t>
        </is>
      </c>
      <c r="G1047" s="741" t="n">
        <v>1</v>
      </c>
      <c r="H1047" s="741" t="n">
        <v>10470</v>
      </c>
      <c r="I1047" s="741" t="n">
        <v>0</v>
      </c>
      <c r="J1047" s="742" t="n">
        <v>23</v>
      </c>
      <c r="K1047" s="742" t="n">
        <v>10</v>
      </c>
      <c r="L1047" s="742">
        <f>IF(B1047="TXO",I1047-SUM(J1047:K1047),IF(B1047="FITX",IF(D1047="新倉",-SUM(J1047:K1047),IF(E1047="賣",(H1047-H1046)*G1047*200-SUM(J1047:K1047),(H1046-H1047)*G1047*200-SUM(J1047:K1047))),IF(D1047="新倉",-SUM(J1047:K1047),IF(E1047="賣",(H1047-H1046)*G1047*50-SUM(J1047:K1047),(H1046-H1047)*G1047*50-SUM(J1047:K1047)))))</f>
        <v/>
      </c>
      <c r="M1047" s="743">
        <f>L1047</f>
        <v/>
      </c>
      <c r="N1047" s="686">
        <f>IF(B1047="TXO","",IF(D1047="新倉","",IF(E1047="賣",(H1047-H1046)*G1047,(H1046-H1047)*G1047)))</f>
        <v/>
      </c>
      <c r="O1047" s="226" t="n">
        <v>0</v>
      </c>
      <c r="P1047" s="667" t="n"/>
      <c r="S1047" s="249" t="n"/>
      <c r="T1047" s="61">
        <f>IF(AND(R1047="Yes",S1047&lt;&gt;"Yes",L1047&gt;0,B1047&lt;&gt;"TXO"),L1047,"")</f>
        <v/>
      </c>
      <c r="U1047" s="61">
        <f>IF(AND(R1047="Yes",S1047&lt;&gt;"Yes",L1047&lt;0,B1047&lt;&gt;"TXO"),L1047,"")</f>
        <v/>
      </c>
      <c r="V1047" s="61">
        <f>IF(AND(R1047="",S1047&lt;&gt;"Yes",L1047&gt;0,B1047&lt;&gt;"TXO"),L1047,"")</f>
        <v/>
      </c>
      <c r="W1047" s="61">
        <f>IF(AND(R1047="",S1047&lt;&gt;"Yes",L1047&lt;0,B1047&lt;&gt;"TXO"),L1047,"")</f>
        <v/>
      </c>
      <c r="X1047" s="226">
        <f>IF(AND(R1047="Yes",S1047="Yes",L1047&gt;0,B1047&lt;&gt;"TXO"),L1047,"")</f>
        <v/>
      </c>
      <c r="Y1047" s="226">
        <f>IF(AND(R1047="Yes",S1047="Yes",L1047&lt;0,B1047&lt;&gt;"TXO"),L1047,"")</f>
        <v/>
      </c>
      <c r="Z1047" s="226">
        <f>IF(AND(R1047="",S1047="Yes",L1047&gt;0,B1047&lt;&gt;"TXO"),L1047,"")</f>
        <v/>
      </c>
      <c r="AA1047" s="226">
        <f>IF(AND(R1047="",S1047="Yes",L1047&lt;0,B1047&lt;&gt;"TXO"),L1047,"")</f>
        <v/>
      </c>
    </row>
    <row r="1048" hidden="1" outlineLevel="2" collapsed="1" ht="17.25" customHeight="1" thickBot="1">
      <c r="A1048" s="740" t="n">
        <v>43382</v>
      </c>
      <c r="B1048" s="299" t="inlineStr">
        <is>
          <t>FIMTX</t>
        </is>
      </c>
      <c r="C1048" s="300" t="inlineStr">
        <is>
          <t>小指10</t>
        </is>
      </c>
      <c r="D1048" s="300" t="inlineStr">
        <is>
          <t>新倉</t>
        </is>
      </c>
      <c r="E1048" s="301" t="inlineStr">
        <is>
          <t>賣</t>
        </is>
      </c>
      <c r="F1048" s="300" t="inlineStr">
        <is>
          <t>-</t>
        </is>
      </c>
      <c r="G1048" s="741" t="n">
        <v>1</v>
      </c>
      <c r="H1048" s="741" t="n">
        <v>10460</v>
      </c>
      <c r="I1048" s="741" t="n">
        <v>0</v>
      </c>
      <c r="J1048" s="742" t="n">
        <v>23</v>
      </c>
      <c r="K1048" s="742" t="n">
        <v>10</v>
      </c>
      <c r="L1048" s="742">
        <f>IF(B1048="TXO",I1048-SUM(J1048:K1048),IF(B1048="FITX",IF(D1048="新倉",-SUM(J1048:K1048),IF(E1048="賣",(H1048-H1047)*G1048*200-SUM(J1048:K1048),(H1047-H1048)*G1048*200-SUM(J1048:K1048))),IF(D1048="新倉",-SUM(J1048:K1048),IF(E1048="賣",(H1048-H1047)*G1048*50-SUM(J1048:K1048),(H1047-H1048)*G1048*50-SUM(J1048:K1048)))))</f>
        <v/>
      </c>
      <c r="M1048" s="743">
        <f>L1048</f>
        <v/>
      </c>
      <c r="N1048" s="686">
        <f>IF(B1048="TXO","",IF(D1048="新倉","",IF(E1048="賣",(H1048-H1047)*G1048,(H1047-H1048)*G1048)))</f>
        <v/>
      </c>
      <c r="O1048" s="226" t="n">
        <v>0</v>
      </c>
      <c r="P1048" s="667" t="n"/>
      <c r="S1048" s="249" t="n"/>
      <c r="T1048" s="61">
        <f>IF(AND(R1048="Yes",S1048&lt;&gt;"Yes",L1048&gt;0,B1048&lt;&gt;"TXO"),L1048,"")</f>
        <v/>
      </c>
      <c r="U1048" s="61">
        <f>IF(AND(R1048="Yes",S1048&lt;&gt;"Yes",L1048&lt;0,B1048&lt;&gt;"TXO"),L1048,"")</f>
        <v/>
      </c>
      <c r="V1048" s="61">
        <f>IF(AND(R1048="",S1048&lt;&gt;"Yes",L1048&gt;0,B1048&lt;&gt;"TXO"),L1048,"")</f>
        <v/>
      </c>
      <c r="W1048" s="61">
        <f>IF(AND(R1048="",S1048&lt;&gt;"Yes",L1048&lt;0,B1048&lt;&gt;"TXO"),L1048,"")</f>
        <v/>
      </c>
      <c r="X1048" s="226">
        <f>IF(AND(R1048="Yes",S1048="Yes",L1048&gt;0,B1048&lt;&gt;"TXO"),L1048,"")</f>
        <v/>
      </c>
      <c r="Y1048" s="226">
        <f>IF(AND(R1048="Yes",S1048="Yes",L1048&lt;0,B1048&lt;&gt;"TXO"),L1048,"")</f>
        <v/>
      </c>
      <c r="Z1048" s="226">
        <f>IF(AND(R1048="",S1048="Yes",L1048&gt;0,B1048&lt;&gt;"TXO"),L1048,"")</f>
        <v/>
      </c>
      <c r="AA1048" s="226">
        <f>IF(AND(R1048="",S1048="Yes",L1048&lt;0,B1048&lt;&gt;"TXO"),L1048,"")</f>
        <v/>
      </c>
    </row>
    <row r="1049" hidden="1" outlineLevel="2" collapsed="1" ht="17.25" customHeight="1" thickBot="1">
      <c r="A1049" s="740" t="n">
        <v>43382</v>
      </c>
      <c r="B1049" s="299" t="inlineStr">
        <is>
          <t>FIMTX</t>
        </is>
      </c>
      <c r="C1049" s="300" t="inlineStr">
        <is>
          <t>小指10</t>
        </is>
      </c>
      <c r="D1049" s="300" t="inlineStr">
        <is>
          <t>平倉</t>
        </is>
      </c>
      <c r="E1049" s="301" t="inlineStr">
        <is>
          <t>買</t>
        </is>
      </c>
      <c r="F1049" s="300" t="inlineStr">
        <is>
          <t>-</t>
        </is>
      </c>
      <c r="G1049" s="741" t="n">
        <v>1</v>
      </c>
      <c r="H1049" s="741" t="n">
        <v>10453</v>
      </c>
      <c r="I1049" s="741" t="n">
        <v>0</v>
      </c>
      <c r="J1049" s="742" t="n">
        <v>23</v>
      </c>
      <c r="K1049" s="742" t="n">
        <v>10</v>
      </c>
      <c r="L1049" s="742">
        <f>IF(B1049="TXO",I1049-SUM(J1049:K1049),IF(B1049="FITX",IF(D1049="新倉",-SUM(J1049:K1049),IF(E1049="賣",(H1049-H1048)*G1049*200-SUM(J1049:K1049),(H1048-H1049)*G1049*200-SUM(J1049:K1049))),IF(D1049="新倉",-SUM(J1049:K1049),IF(E1049="賣",(H1049-H1048)*G1049*50-SUM(J1049:K1049),(H1048-H1049)*G1049*50-SUM(J1049:K1049)))))</f>
        <v/>
      </c>
      <c r="M1049" s="743">
        <f>L1049</f>
        <v/>
      </c>
      <c r="N1049" s="686">
        <f>IF(B1049="TXO","",IF(D1049="新倉","",IF(E1049="賣",(H1049-H1048)*G1049,(H1048-H1049)*G1049)))</f>
        <v/>
      </c>
      <c r="O1049" s="226" t="n">
        <v>0</v>
      </c>
      <c r="P1049" s="667" t="n"/>
      <c r="S1049" s="249" t="n"/>
      <c r="T1049" s="61">
        <f>IF(AND(R1049="Yes",S1049&lt;&gt;"Yes",L1049&gt;0,B1049&lt;&gt;"TXO"),L1049,"")</f>
        <v/>
      </c>
      <c r="U1049" s="61">
        <f>IF(AND(R1049="Yes",S1049&lt;&gt;"Yes",L1049&lt;0,B1049&lt;&gt;"TXO"),L1049,"")</f>
        <v/>
      </c>
      <c r="V1049" s="61">
        <f>IF(AND(R1049="",S1049&lt;&gt;"Yes",L1049&gt;0,B1049&lt;&gt;"TXO"),L1049,"")</f>
        <v/>
      </c>
      <c r="W1049" s="61">
        <f>IF(AND(R1049="",S1049&lt;&gt;"Yes",L1049&lt;0,B1049&lt;&gt;"TXO"),L1049,"")</f>
        <v/>
      </c>
      <c r="X1049" s="226">
        <f>IF(AND(R1049="Yes",S1049="Yes",L1049&gt;0,B1049&lt;&gt;"TXO"),L1049,"")</f>
        <v/>
      </c>
      <c r="Y1049" s="226">
        <f>IF(AND(R1049="Yes",S1049="Yes",L1049&lt;0,B1049&lt;&gt;"TXO"),L1049,"")</f>
        <v/>
      </c>
      <c r="Z1049" s="226">
        <f>IF(AND(R1049="",S1049="Yes",L1049&gt;0,B1049&lt;&gt;"TXO"),L1049,"")</f>
        <v/>
      </c>
      <c r="AA1049" s="226">
        <f>IF(AND(R1049="",S1049="Yes",L1049&lt;0,B1049&lt;&gt;"TXO"),L1049,"")</f>
        <v/>
      </c>
    </row>
    <row r="1050" hidden="1" outlineLevel="2" collapsed="1" ht="17.25" customHeight="1" thickBot="1">
      <c r="A1050" s="740" t="n">
        <v>43382</v>
      </c>
      <c r="B1050" s="299" t="inlineStr">
        <is>
          <t>FIMTX</t>
        </is>
      </c>
      <c r="C1050" s="300" t="inlineStr">
        <is>
          <t>小指10</t>
        </is>
      </c>
      <c r="D1050" s="300" t="inlineStr">
        <is>
          <t>新倉</t>
        </is>
      </c>
      <c r="E1050" s="301" t="inlineStr">
        <is>
          <t>賣</t>
        </is>
      </c>
      <c r="F1050" s="300" t="inlineStr">
        <is>
          <t>-</t>
        </is>
      </c>
      <c r="G1050" s="741" t="n">
        <v>1</v>
      </c>
      <c r="H1050" s="741" t="n">
        <v>10460</v>
      </c>
      <c r="I1050" s="741" t="n">
        <v>0</v>
      </c>
      <c r="J1050" s="742" t="n">
        <v>23</v>
      </c>
      <c r="K1050" s="742" t="n">
        <v>10</v>
      </c>
      <c r="L1050" s="742">
        <f>IF(B1050="TXO",I1050-SUM(J1050:K1050),IF(B1050="FITX",IF(D1050="新倉",-SUM(J1050:K1050),IF(E1050="賣",(H1050-H1049)*G1050*200-SUM(J1050:K1050),(H1049-H1050)*G1050*200-SUM(J1050:K1050))),IF(D1050="新倉",-SUM(J1050:K1050),IF(E1050="賣",(H1050-H1049)*G1050*50-SUM(J1050:K1050),(H1049-H1050)*G1050*50-SUM(J1050:K1050)))))</f>
        <v/>
      </c>
      <c r="M1050" s="743">
        <f>L1050</f>
        <v/>
      </c>
      <c r="N1050" s="686">
        <f>IF(B1050="TXO","",IF(D1050="新倉","",IF(E1050="賣",(H1050-H1049)*G1050,(H1049-H1050)*G1050)))</f>
        <v/>
      </c>
      <c r="O1050" s="226" t="n">
        <v>0</v>
      </c>
      <c r="P1050" s="667" t="n"/>
      <c r="S1050" s="249" t="n"/>
      <c r="T1050" s="61">
        <f>IF(AND(R1050="Yes",S1050&lt;&gt;"Yes",L1050&gt;0,B1050&lt;&gt;"TXO"),L1050,"")</f>
        <v/>
      </c>
      <c r="U1050" s="61">
        <f>IF(AND(R1050="Yes",S1050&lt;&gt;"Yes",L1050&lt;0,B1050&lt;&gt;"TXO"),L1050,"")</f>
        <v/>
      </c>
      <c r="V1050" s="61">
        <f>IF(AND(R1050="",S1050&lt;&gt;"Yes",L1050&gt;0,B1050&lt;&gt;"TXO"),L1050,"")</f>
        <v/>
      </c>
      <c r="W1050" s="61">
        <f>IF(AND(R1050="",S1050&lt;&gt;"Yes",L1050&lt;0,B1050&lt;&gt;"TXO"),L1050,"")</f>
        <v/>
      </c>
      <c r="X1050" s="226">
        <f>IF(AND(R1050="Yes",S1050="Yes",L1050&gt;0,B1050&lt;&gt;"TXO"),L1050,"")</f>
        <v/>
      </c>
      <c r="Y1050" s="226">
        <f>IF(AND(R1050="Yes",S1050="Yes",L1050&lt;0,B1050&lt;&gt;"TXO"),L1050,"")</f>
        <v/>
      </c>
      <c r="Z1050" s="226">
        <f>IF(AND(R1050="",S1050="Yes",L1050&gt;0,B1050&lt;&gt;"TXO"),L1050,"")</f>
        <v/>
      </c>
      <c r="AA1050" s="226">
        <f>IF(AND(R1050="",S1050="Yes",L1050&lt;0,B1050&lt;&gt;"TXO"),L1050,"")</f>
        <v/>
      </c>
    </row>
    <row r="1051" hidden="1" outlineLevel="2" collapsed="1" ht="17.25" customHeight="1" thickBot="1">
      <c r="A1051" s="740" t="n">
        <v>43382</v>
      </c>
      <c r="B1051" s="299" t="inlineStr">
        <is>
          <t>FIMTX</t>
        </is>
      </c>
      <c r="C1051" s="300" t="inlineStr">
        <is>
          <t>小指10</t>
        </is>
      </c>
      <c r="D1051" s="300" t="inlineStr">
        <is>
          <t>平倉</t>
        </is>
      </c>
      <c r="E1051" s="301" t="inlineStr">
        <is>
          <t>買</t>
        </is>
      </c>
      <c r="F1051" s="300" t="inlineStr">
        <is>
          <t>-</t>
        </is>
      </c>
      <c r="G1051" s="741" t="n">
        <v>1</v>
      </c>
      <c r="H1051" s="741" t="n">
        <v>10456</v>
      </c>
      <c r="I1051" s="741" t="n">
        <v>0</v>
      </c>
      <c r="J1051" s="742" t="n">
        <v>23</v>
      </c>
      <c r="K1051" s="742" t="n">
        <v>10</v>
      </c>
      <c r="L1051" s="742">
        <f>IF(B1051="TXO",I1051-SUM(J1051:K1051),IF(B1051="FITX",IF(D1051="新倉",-SUM(J1051:K1051),IF(E1051="賣",(H1051-H1050)*G1051*200-SUM(J1051:K1051),(H1050-H1051)*G1051*200-SUM(J1051:K1051))),IF(D1051="新倉",-SUM(J1051:K1051),IF(E1051="賣",(H1051-H1050)*G1051*50-SUM(J1051:K1051),(H1050-H1051)*G1051*50-SUM(J1051:K1051)))))</f>
        <v/>
      </c>
      <c r="M1051" s="743">
        <f>L1051</f>
        <v/>
      </c>
      <c r="N1051" s="686">
        <f>IF(B1051="TXO","",IF(D1051="新倉","",IF(E1051="賣",(H1051-H1050)*G1051,(H1050-H1051)*G1051)))</f>
        <v/>
      </c>
      <c r="O1051" s="226" t="n">
        <v>0</v>
      </c>
      <c r="P1051" s="667" t="n"/>
      <c r="S1051" s="249" t="n"/>
      <c r="T1051" s="61">
        <f>IF(AND(R1051="Yes",S1051&lt;&gt;"Yes",L1051&gt;0,B1051&lt;&gt;"TXO"),L1051,"")</f>
        <v/>
      </c>
      <c r="U1051" s="61">
        <f>IF(AND(R1051="Yes",S1051&lt;&gt;"Yes",L1051&lt;0,B1051&lt;&gt;"TXO"),L1051,"")</f>
        <v/>
      </c>
      <c r="V1051" s="61">
        <f>IF(AND(R1051="",S1051&lt;&gt;"Yes",L1051&gt;0,B1051&lt;&gt;"TXO"),L1051,"")</f>
        <v/>
      </c>
      <c r="W1051" s="61">
        <f>IF(AND(R1051="",S1051&lt;&gt;"Yes",L1051&lt;0,B1051&lt;&gt;"TXO"),L1051,"")</f>
        <v/>
      </c>
      <c r="X1051" s="226">
        <f>IF(AND(R1051="Yes",S1051="Yes",L1051&gt;0,B1051&lt;&gt;"TXO"),L1051,"")</f>
        <v/>
      </c>
      <c r="Y1051" s="226">
        <f>IF(AND(R1051="Yes",S1051="Yes",L1051&lt;0,B1051&lt;&gt;"TXO"),L1051,"")</f>
        <v/>
      </c>
      <c r="Z1051" s="226">
        <f>IF(AND(R1051="",S1051="Yes",L1051&gt;0,B1051&lt;&gt;"TXO"),L1051,"")</f>
        <v/>
      </c>
      <c r="AA1051" s="226">
        <f>IF(AND(R1051="",S1051="Yes",L1051&lt;0,B1051&lt;&gt;"TXO"),L1051,"")</f>
        <v/>
      </c>
    </row>
    <row r="1052" hidden="1" outlineLevel="2" collapsed="1" ht="17.25" customHeight="1" thickBot="1">
      <c r="A1052" s="740" t="n">
        <v>43382</v>
      </c>
      <c r="B1052" s="299" t="inlineStr">
        <is>
          <t>FIMTX</t>
        </is>
      </c>
      <c r="C1052" s="300" t="inlineStr">
        <is>
          <t>小指10</t>
        </is>
      </c>
      <c r="D1052" s="300" t="inlineStr">
        <is>
          <t>新倉</t>
        </is>
      </c>
      <c r="E1052" s="301" t="inlineStr">
        <is>
          <t>賣</t>
        </is>
      </c>
      <c r="F1052" s="300" t="inlineStr">
        <is>
          <t>-</t>
        </is>
      </c>
      <c r="G1052" s="741" t="n">
        <v>1</v>
      </c>
      <c r="H1052" s="741" t="n">
        <v>10459</v>
      </c>
      <c r="I1052" s="741" t="n">
        <v>0</v>
      </c>
      <c r="J1052" s="742" t="n">
        <v>23</v>
      </c>
      <c r="K1052" s="742" t="n">
        <v>10</v>
      </c>
      <c r="L1052" s="742">
        <f>IF(B1052="TXO",I1052-SUM(J1052:K1052),IF(B1052="FITX",IF(D1052="新倉",-SUM(J1052:K1052),IF(E1052="賣",(H1052-H1051)*G1052*200-SUM(J1052:K1052),(H1051-H1052)*G1052*200-SUM(J1052:K1052))),IF(D1052="新倉",-SUM(J1052:K1052),IF(E1052="賣",(H1052-H1051)*G1052*50-SUM(J1052:K1052),(H1051-H1052)*G1052*50-SUM(J1052:K1052)))))</f>
        <v/>
      </c>
      <c r="M1052" s="743">
        <f>L1052</f>
        <v/>
      </c>
      <c r="N1052" s="686">
        <f>IF(B1052="TXO","",IF(D1052="新倉","",IF(E1052="賣",(H1052-H1051)*G1052,(H1051-H1052)*G1052)))</f>
        <v/>
      </c>
      <c r="O1052" s="226" t="n">
        <v>0</v>
      </c>
      <c r="P1052" s="667" t="n"/>
      <c r="S1052" s="249" t="n"/>
      <c r="T1052" s="61">
        <f>IF(AND(R1052="Yes",S1052&lt;&gt;"Yes",L1052&gt;0,B1052&lt;&gt;"TXO"),L1052,"")</f>
        <v/>
      </c>
      <c r="U1052" s="61">
        <f>IF(AND(R1052="Yes",S1052&lt;&gt;"Yes",L1052&lt;0,B1052&lt;&gt;"TXO"),L1052,"")</f>
        <v/>
      </c>
      <c r="V1052" s="61">
        <f>IF(AND(R1052="",S1052&lt;&gt;"Yes",L1052&gt;0,B1052&lt;&gt;"TXO"),L1052,"")</f>
        <v/>
      </c>
      <c r="W1052" s="61">
        <f>IF(AND(R1052="",S1052&lt;&gt;"Yes",L1052&lt;0,B1052&lt;&gt;"TXO"),L1052,"")</f>
        <v/>
      </c>
      <c r="X1052" s="226">
        <f>IF(AND(R1052="Yes",S1052="Yes",L1052&gt;0,B1052&lt;&gt;"TXO"),L1052,"")</f>
        <v/>
      </c>
      <c r="Y1052" s="226">
        <f>IF(AND(R1052="Yes",S1052="Yes",L1052&lt;0,B1052&lt;&gt;"TXO"),L1052,"")</f>
        <v/>
      </c>
      <c r="Z1052" s="226">
        <f>IF(AND(R1052="",S1052="Yes",L1052&gt;0,B1052&lt;&gt;"TXO"),L1052,"")</f>
        <v/>
      </c>
      <c r="AA1052" s="226">
        <f>IF(AND(R1052="",S1052="Yes",L1052&lt;0,B1052&lt;&gt;"TXO"),L1052,"")</f>
        <v/>
      </c>
    </row>
    <row r="1053" hidden="1" outlineLevel="2" collapsed="1" ht="17.25" customHeight="1" thickBot="1">
      <c r="A1053" s="740" t="n">
        <v>43382</v>
      </c>
      <c r="B1053" s="299" t="inlineStr">
        <is>
          <t>FIMTX</t>
        </is>
      </c>
      <c r="C1053" s="300" t="inlineStr">
        <is>
          <t>小指10</t>
        </is>
      </c>
      <c r="D1053" s="300" t="inlineStr">
        <is>
          <t>平倉</t>
        </is>
      </c>
      <c r="E1053" s="301" t="inlineStr">
        <is>
          <t>買</t>
        </is>
      </c>
      <c r="F1053" s="300" t="inlineStr">
        <is>
          <t>-</t>
        </is>
      </c>
      <c r="G1053" s="741" t="n">
        <v>1</v>
      </c>
      <c r="H1053" s="741" t="n">
        <v>10456</v>
      </c>
      <c r="I1053" s="741" t="n">
        <v>0</v>
      </c>
      <c r="J1053" s="742" t="n">
        <v>23</v>
      </c>
      <c r="K1053" s="742" t="n">
        <v>10</v>
      </c>
      <c r="L1053" s="742">
        <f>IF(B1053="TXO",I1053-SUM(J1053:K1053),IF(B1053="FITX",IF(D1053="新倉",-SUM(J1053:K1053),IF(E1053="賣",(H1053-H1052)*G1053*200-SUM(J1053:K1053),(H1052-H1053)*G1053*200-SUM(J1053:K1053))),IF(D1053="新倉",-SUM(J1053:K1053),IF(E1053="賣",(H1053-H1052)*G1053*50-SUM(J1053:K1053),(H1052-H1053)*G1053*50-SUM(J1053:K1053)))))</f>
        <v/>
      </c>
      <c r="M1053" s="743">
        <f>L1053</f>
        <v/>
      </c>
      <c r="N1053" s="686">
        <f>IF(B1053="TXO","",IF(D1053="新倉","",IF(E1053="賣",(H1053-H1052)*G1053,(H1052-H1053)*G1053)))</f>
        <v/>
      </c>
      <c r="O1053" s="226" t="n">
        <v>0</v>
      </c>
      <c r="P1053" s="667" t="n"/>
      <c r="S1053" s="249" t="n"/>
      <c r="T1053" s="61">
        <f>IF(AND(R1053="Yes",S1053&lt;&gt;"Yes",L1053&gt;0,B1053&lt;&gt;"TXO"),L1053,"")</f>
        <v/>
      </c>
      <c r="U1053" s="61">
        <f>IF(AND(R1053="Yes",S1053&lt;&gt;"Yes",L1053&lt;0,B1053&lt;&gt;"TXO"),L1053,"")</f>
        <v/>
      </c>
      <c r="V1053" s="61">
        <f>IF(AND(R1053="",S1053&lt;&gt;"Yes",L1053&gt;0,B1053&lt;&gt;"TXO"),L1053,"")</f>
        <v/>
      </c>
      <c r="W1053" s="61">
        <f>IF(AND(R1053="",S1053&lt;&gt;"Yes",L1053&lt;0,B1053&lt;&gt;"TXO"),L1053,"")</f>
        <v/>
      </c>
      <c r="X1053" s="226">
        <f>IF(AND(R1053="Yes",S1053="Yes",L1053&gt;0,B1053&lt;&gt;"TXO"),L1053,"")</f>
        <v/>
      </c>
      <c r="Y1053" s="226">
        <f>IF(AND(R1053="Yes",S1053="Yes",L1053&lt;0,B1053&lt;&gt;"TXO"),L1053,"")</f>
        <v/>
      </c>
      <c r="Z1053" s="226">
        <f>IF(AND(R1053="",S1053="Yes",L1053&gt;0,B1053&lt;&gt;"TXO"),L1053,"")</f>
        <v/>
      </c>
      <c r="AA1053" s="226">
        <f>IF(AND(R1053="",S1053="Yes",L1053&lt;0,B1053&lt;&gt;"TXO"),L1053,"")</f>
        <v/>
      </c>
    </row>
    <row r="1054" hidden="1" outlineLevel="2" collapsed="1" ht="17.25" customHeight="1" thickBot="1">
      <c r="A1054" s="740" t="n">
        <v>43382</v>
      </c>
      <c r="B1054" s="299" t="inlineStr">
        <is>
          <t>FIMTX</t>
        </is>
      </c>
      <c r="C1054" s="300" t="inlineStr">
        <is>
          <t>小指10</t>
        </is>
      </c>
      <c r="D1054" s="300" t="inlineStr">
        <is>
          <t>新倉</t>
        </is>
      </c>
      <c r="E1054" s="301" t="inlineStr">
        <is>
          <t>賣</t>
        </is>
      </c>
      <c r="F1054" s="300" t="inlineStr">
        <is>
          <t>-</t>
        </is>
      </c>
      <c r="G1054" s="741" t="n">
        <v>3</v>
      </c>
      <c r="H1054" s="741" t="n">
        <v>10457</v>
      </c>
      <c r="I1054" s="741" t="n">
        <v>0</v>
      </c>
      <c r="J1054" s="742" t="n">
        <v>69</v>
      </c>
      <c r="K1054" s="742" t="n">
        <v>30</v>
      </c>
      <c r="L1054" s="742">
        <f>IF(B1054="TXO",I1054-SUM(J1054:K1054),IF(B1054="FITX",IF(D1054="新倉",-SUM(J1054:K1054),IF(E1054="賣",(H1054-H1053)*G1054*200-SUM(J1054:K1054),(H1053-H1054)*G1054*200-SUM(J1054:K1054))),IF(D1054="新倉",-SUM(J1054:K1054),IF(E1054="賣",(H1054-H1053)*G1054*50-SUM(J1054:K1054),(H1053-H1054)*G1054*50-SUM(J1054:K1054)))))</f>
        <v/>
      </c>
      <c r="M1054" s="743">
        <f>L1054</f>
        <v/>
      </c>
      <c r="N1054" s="686">
        <f>IF(B1054="TXO","",IF(D1054="新倉","",IF(E1054="賣",(H1054-H1053)*G1054,(H1053-H1054)*G1054)))</f>
        <v/>
      </c>
      <c r="O1054" s="226" t="n">
        <v>0</v>
      </c>
      <c r="P1054" s="667" t="n"/>
      <c r="S1054" s="249" t="n"/>
      <c r="T1054" s="61">
        <f>IF(AND(R1054="Yes",S1054&lt;&gt;"Yes",L1054&gt;0,B1054&lt;&gt;"TXO"),L1054,"")</f>
        <v/>
      </c>
      <c r="U1054" s="61">
        <f>IF(AND(R1054="Yes",S1054&lt;&gt;"Yes",L1054&lt;0,B1054&lt;&gt;"TXO"),L1054,"")</f>
        <v/>
      </c>
      <c r="V1054" s="61">
        <f>IF(AND(R1054="",S1054&lt;&gt;"Yes",L1054&gt;0,B1054&lt;&gt;"TXO"),L1054,"")</f>
        <v/>
      </c>
      <c r="W1054" s="61">
        <f>IF(AND(R1054="",S1054&lt;&gt;"Yes",L1054&lt;0,B1054&lt;&gt;"TXO"),L1054,"")</f>
        <v/>
      </c>
      <c r="X1054" s="226">
        <f>IF(AND(R1054="Yes",S1054="Yes",L1054&gt;0,B1054&lt;&gt;"TXO"),L1054,"")</f>
        <v/>
      </c>
      <c r="Y1054" s="226">
        <f>IF(AND(R1054="Yes",S1054="Yes",L1054&lt;0,B1054&lt;&gt;"TXO"),L1054,"")</f>
        <v/>
      </c>
      <c r="Z1054" s="226">
        <f>IF(AND(R1054="",S1054="Yes",L1054&gt;0,B1054&lt;&gt;"TXO"),L1054,"")</f>
        <v/>
      </c>
      <c r="AA1054" s="226">
        <f>IF(AND(R1054="",S1054="Yes",L1054&lt;0,B1054&lt;&gt;"TXO"),L1054,"")</f>
        <v/>
      </c>
    </row>
    <row r="1055" hidden="1" outlineLevel="2" collapsed="1" ht="17.25" customHeight="1" thickBot="1">
      <c r="A1055" s="740" t="n">
        <v>43382</v>
      </c>
      <c r="B1055" s="299" t="inlineStr">
        <is>
          <t>FIMTX</t>
        </is>
      </c>
      <c r="C1055" s="300" t="inlineStr">
        <is>
          <t>小指10</t>
        </is>
      </c>
      <c r="D1055" s="300" t="inlineStr">
        <is>
          <t>平倉</t>
        </is>
      </c>
      <c r="E1055" s="301" t="inlineStr">
        <is>
          <t>買</t>
        </is>
      </c>
      <c r="F1055" s="300" t="inlineStr">
        <is>
          <t>-</t>
        </is>
      </c>
      <c r="G1055" s="741" t="n">
        <v>3</v>
      </c>
      <c r="H1055" s="741" t="n">
        <v>10462</v>
      </c>
      <c r="I1055" s="741" t="n">
        <v>0</v>
      </c>
      <c r="J1055" s="742" t="n">
        <v>69</v>
      </c>
      <c r="K1055" s="742" t="n">
        <v>30</v>
      </c>
      <c r="L1055" s="742">
        <f>IF(B1055="TXO",I1055-SUM(J1055:K1055),IF(B1055="FITX",IF(D1055="新倉",-SUM(J1055:K1055),IF(E1055="賣",(H1055-H1054)*G1055*200-SUM(J1055:K1055),(H1054-H1055)*G1055*200-SUM(J1055:K1055))),IF(D1055="新倉",-SUM(J1055:K1055),IF(E1055="賣",(H1055-H1054)*G1055*50-SUM(J1055:K1055),(H1054-H1055)*G1055*50-SUM(J1055:K1055)))))</f>
        <v/>
      </c>
      <c r="M1055" s="743">
        <f>L1055</f>
        <v/>
      </c>
      <c r="N1055" s="686">
        <f>IF(B1055="TXO","",IF(D1055="新倉","",IF(E1055="賣",(H1055-H1054)*G1055,(H1054-H1055)*G1055)))</f>
        <v/>
      </c>
      <c r="O1055" s="226" t="n">
        <v>0</v>
      </c>
      <c r="P1055" s="667" t="n"/>
      <c r="S1055" s="249" t="n"/>
      <c r="T1055" s="61">
        <f>IF(AND(R1055="Yes",S1055&lt;&gt;"Yes",L1055&gt;0,B1055&lt;&gt;"TXO"),L1055,"")</f>
        <v/>
      </c>
      <c r="U1055" s="61">
        <f>IF(AND(R1055="Yes",S1055&lt;&gt;"Yes",L1055&lt;0,B1055&lt;&gt;"TXO"),L1055,"")</f>
        <v/>
      </c>
      <c r="V1055" s="61">
        <f>IF(AND(R1055="",S1055&lt;&gt;"Yes",L1055&gt;0,B1055&lt;&gt;"TXO"),L1055,"")</f>
        <v/>
      </c>
      <c r="W1055" s="61">
        <f>IF(AND(R1055="",S1055&lt;&gt;"Yes",L1055&lt;0,B1055&lt;&gt;"TXO"),L1055,"")</f>
        <v/>
      </c>
      <c r="X1055" s="226">
        <f>IF(AND(R1055="Yes",S1055="Yes",L1055&gt;0,B1055&lt;&gt;"TXO"),L1055,"")</f>
        <v/>
      </c>
      <c r="Y1055" s="226">
        <f>IF(AND(R1055="Yes",S1055="Yes",L1055&lt;0,B1055&lt;&gt;"TXO"),L1055,"")</f>
        <v/>
      </c>
      <c r="Z1055" s="226">
        <f>IF(AND(R1055="",S1055="Yes",L1055&gt;0,B1055&lt;&gt;"TXO"),L1055,"")</f>
        <v/>
      </c>
      <c r="AA1055" s="226">
        <f>IF(AND(R1055="",S1055="Yes",L1055&lt;0,B1055&lt;&gt;"TXO"),L1055,"")</f>
        <v/>
      </c>
    </row>
    <row r="1056" hidden="1" outlineLevel="2" collapsed="1" ht="17.25" customHeight="1" thickBot="1">
      <c r="A1056" s="740" t="n">
        <v>43382</v>
      </c>
      <c r="B1056" s="299" t="inlineStr">
        <is>
          <t>FIMTX</t>
        </is>
      </c>
      <c r="C1056" s="300" t="inlineStr">
        <is>
          <t>小指10</t>
        </is>
      </c>
      <c r="D1056" s="300" t="inlineStr">
        <is>
          <t>新倉</t>
        </is>
      </c>
      <c r="E1056" s="301" t="inlineStr">
        <is>
          <t>賣</t>
        </is>
      </c>
      <c r="F1056" s="300" t="inlineStr">
        <is>
          <t>-</t>
        </is>
      </c>
      <c r="G1056" s="741" t="n">
        <v>1</v>
      </c>
      <c r="H1056" s="741" t="n">
        <v>10460</v>
      </c>
      <c r="I1056" s="741" t="n">
        <v>0</v>
      </c>
      <c r="J1056" s="742" t="n">
        <v>23</v>
      </c>
      <c r="K1056" s="742" t="n">
        <v>10</v>
      </c>
      <c r="L1056" s="742">
        <f>IF(B1056="TXO",I1056-SUM(J1056:K1056),IF(B1056="FITX",IF(D1056="新倉",-SUM(J1056:K1056),IF(E1056="賣",(H1056-H1055)*G1056*200-SUM(J1056:K1056),(H1055-H1056)*G1056*200-SUM(J1056:K1056))),IF(D1056="新倉",-SUM(J1056:K1056),IF(E1056="賣",(H1056-H1055)*G1056*50-SUM(J1056:K1056),(H1055-H1056)*G1056*50-SUM(J1056:K1056)))))</f>
        <v/>
      </c>
      <c r="M1056" s="743">
        <f>L1056</f>
        <v/>
      </c>
      <c r="N1056" s="686">
        <f>IF(B1056="TXO","",IF(D1056="新倉","",IF(E1056="賣",(H1056-H1055)*G1056,(H1055-H1056)*G1056)))</f>
        <v/>
      </c>
      <c r="O1056" s="226" t="n">
        <v>0</v>
      </c>
      <c r="P1056" s="667" t="n"/>
      <c r="S1056" s="249" t="n"/>
      <c r="T1056" s="61">
        <f>IF(AND(R1056="Yes",S1056&lt;&gt;"Yes",L1056&gt;0,B1056&lt;&gt;"TXO"),L1056,"")</f>
        <v/>
      </c>
      <c r="U1056" s="61">
        <f>IF(AND(R1056="Yes",S1056&lt;&gt;"Yes",L1056&lt;0,B1056&lt;&gt;"TXO"),L1056,"")</f>
        <v/>
      </c>
      <c r="V1056" s="61">
        <f>IF(AND(R1056="",S1056&lt;&gt;"Yes",L1056&gt;0,B1056&lt;&gt;"TXO"),L1056,"")</f>
        <v/>
      </c>
      <c r="W1056" s="61">
        <f>IF(AND(R1056="",S1056&lt;&gt;"Yes",L1056&lt;0,B1056&lt;&gt;"TXO"),L1056,"")</f>
        <v/>
      </c>
      <c r="X1056" s="226">
        <f>IF(AND(R1056="Yes",S1056="Yes",L1056&gt;0,B1056&lt;&gt;"TXO"),L1056,"")</f>
        <v/>
      </c>
      <c r="Y1056" s="226">
        <f>IF(AND(R1056="Yes",S1056="Yes",L1056&lt;0,B1056&lt;&gt;"TXO"),L1056,"")</f>
        <v/>
      </c>
      <c r="Z1056" s="226">
        <f>IF(AND(R1056="",S1056="Yes",L1056&gt;0,B1056&lt;&gt;"TXO"),L1056,"")</f>
        <v/>
      </c>
      <c r="AA1056" s="226">
        <f>IF(AND(R1056="",S1056="Yes",L1056&lt;0,B1056&lt;&gt;"TXO"),L1056,"")</f>
        <v/>
      </c>
    </row>
    <row r="1057" hidden="1" outlineLevel="2" collapsed="1" ht="17.25" customHeight="1" thickBot="1">
      <c r="A1057" s="740" t="n">
        <v>43382</v>
      </c>
      <c r="B1057" s="299" t="inlineStr">
        <is>
          <t>FIMTX</t>
        </is>
      </c>
      <c r="C1057" s="300" t="inlineStr">
        <is>
          <t>小指10</t>
        </is>
      </c>
      <c r="D1057" s="300" t="inlineStr">
        <is>
          <t>平倉</t>
        </is>
      </c>
      <c r="E1057" s="301" t="inlineStr">
        <is>
          <t>買</t>
        </is>
      </c>
      <c r="F1057" s="300" t="inlineStr">
        <is>
          <t>-</t>
        </is>
      </c>
      <c r="G1057" s="741" t="n">
        <v>1</v>
      </c>
      <c r="H1057" s="741" t="n">
        <v>10458</v>
      </c>
      <c r="I1057" s="741" t="n">
        <v>0</v>
      </c>
      <c r="J1057" s="742" t="n">
        <v>23</v>
      </c>
      <c r="K1057" s="742" t="n">
        <v>10</v>
      </c>
      <c r="L1057" s="742">
        <f>IF(B1057="TXO",I1057-SUM(J1057:K1057),IF(B1057="FITX",IF(D1057="新倉",-SUM(J1057:K1057),IF(E1057="賣",(H1057-H1056)*G1057*200-SUM(J1057:K1057),(H1056-H1057)*G1057*200-SUM(J1057:K1057))),IF(D1057="新倉",-SUM(J1057:K1057),IF(E1057="賣",(H1057-H1056)*G1057*50-SUM(J1057:K1057),(H1056-H1057)*G1057*50-SUM(J1057:K1057)))))</f>
        <v/>
      </c>
      <c r="M1057" s="743">
        <f>L1057</f>
        <v/>
      </c>
      <c r="N1057" s="686">
        <f>IF(B1057="TXO","",IF(D1057="新倉","",IF(E1057="賣",(H1057-H1056)*G1057,(H1056-H1057)*G1057)))</f>
        <v/>
      </c>
      <c r="O1057" s="226" t="n">
        <v>0</v>
      </c>
      <c r="P1057" s="667" t="n"/>
      <c r="S1057" s="249" t="n"/>
      <c r="T1057" s="61">
        <f>IF(AND(R1057="Yes",S1057&lt;&gt;"Yes",L1057&gt;0,B1057&lt;&gt;"TXO"),L1057,"")</f>
        <v/>
      </c>
      <c r="U1057" s="61">
        <f>IF(AND(R1057="Yes",S1057&lt;&gt;"Yes",L1057&lt;0,B1057&lt;&gt;"TXO"),L1057,"")</f>
        <v/>
      </c>
      <c r="V1057" s="61">
        <f>IF(AND(R1057="",S1057&lt;&gt;"Yes",L1057&gt;0,B1057&lt;&gt;"TXO"),L1057,"")</f>
        <v/>
      </c>
      <c r="W1057" s="61">
        <f>IF(AND(R1057="",S1057&lt;&gt;"Yes",L1057&lt;0,B1057&lt;&gt;"TXO"),L1057,"")</f>
        <v/>
      </c>
      <c r="X1057" s="226">
        <f>IF(AND(R1057="Yes",S1057="Yes",L1057&gt;0,B1057&lt;&gt;"TXO"),L1057,"")</f>
        <v/>
      </c>
      <c r="Y1057" s="226">
        <f>IF(AND(R1057="Yes",S1057="Yes",L1057&lt;0,B1057&lt;&gt;"TXO"),L1057,"")</f>
        <v/>
      </c>
      <c r="Z1057" s="226">
        <f>IF(AND(R1057="",S1057="Yes",L1057&gt;0,B1057&lt;&gt;"TXO"),L1057,"")</f>
        <v/>
      </c>
      <c r="AA1057" s="226">
        <f>IF(AND(R1057="",S1057="Yes",L1057&lt;0,B1057&lt;&gt;"TXO"),L1057,"")</f>
        <v/>
      </c>
    </row>
    <row r="1058" hidden="1" outlineLevel="2" collapsed="1" ht="17.25" customHeight="1" thickBot="1">
      <c r="A1058" s="740" t="n">
        <v>43382</v>
      </c>
      <c r="B1058" s="299" t="inlineStr">
        <is>
          <t>FIMTX</t>
        </is>
      </c>
      <c r="C1058" s="300" t="inlineStr">
        <is>
          <t>小指10</t>
        </is>
      </c>
      <c r="D1058" s="300" t="inlineStr">
        <is>
          <t>新倉</t>
        </is>
      </c>
      <c r="E1058" s="301" t="inlineStr">
        <is>
          <t>買</t>
        </is>
      </c>
      <c r="F1058" s="300" t="inlineStr">
        <is>
          <t>-</t>
        </is>
      </c>
      <c r="G1058" s="741" t="n">
        <v>3</v>
      </c>
      <c r="H1058" s="741" t="n">
        <v>10456</v>
      </c>
      <c r="I1058" s="741" t="n">
        <v>0</v>
      </c>
      <c r="J1058" s="742" t="n">
        <v>69</v>
      </c>
      <c r="K1058" s="742" t="n">
        <v>30</v>
      </c>
      <c r="L1058" s="742">
        <f>IF(B1058="TXO",I1058-SUM(J1058:K1058),IF(B1058="FITX",IF(D1058="新倉",-SUM(J1058:K1058),IF(E1058="賣",(H1058-H1057)*G1058*200-SUM(J1058:K1058),(H1057-H1058)*G1058*200-SUM(J1058:K1058))),IF(D1058="新倉",-SUM(J1058:K1058),IF(E1058="賣",(H1058-H1057)*G1058*50-SUM(J1058:K1058),(H1057-H1058)*G1058*50-SUM(J1058:K1058)))))</f>
        <v/>
      </c>
      <c r="M1058" s="743">
        <f>L1058</f>
        <v/>
      </c>
      <c r="N1058" s="686">
        <f>IF(B1058="TXO","",IF(D1058="新倉","",IF(E1058="賣",(H1058-H1057)*G1058,(H1057-H1058)*G1058)))</f>
        <v/>
      </c>
      <c r="O1058" s="226" t="n">
        <v>0</v>
      </c>
      <c r="P1058" s="667" t="n"/>
      <c r="S1058" s="249" t="n"/>
      <c r="T1058" s="61">
        <f>IF(AND(R1058="Yes",S1058&lt;&gt;"Yes",L1058&gt;0,B1058&lt;&gt;"TXO"),L1058,"")</f>
        <v/>
      </c>
      <c r="U1058" s="61">
        <f>IF(AND(R1058="Yes",S1058&lt;&gt;"Yes",L1058&lt;0,B1058&lt;&gt;"TXO"),L1058,"")</f>
        <v/>
      </c>
      <c r="V1058" s="61">
        <f>IF(AND(R1058="",S1058&lt;&gt;"Yes",L1058&gt;0,B1058&lt;&gt;"TXO"),L1058,"")</f>
        <v/>
      </c>
      <c r="W1058" s="61">
        <f>IF(AND(R1058="",S1058&lt;&gt;"Yes",L1058&lt;0,B1058&lt;&gt;"TXO"),L1058,"")</f>
        <v/>
      </c>
      <c r="X1058" s="226">
        <f>IF(AND(R1058="Yes",S1058="Yes",L1058&gt;0,B1058&lt;&gt;"TXO"),L1058,"")</f>
        <v/>
      </c>
      <c r="Y1058" s="226">
        <f>IF(AND(R1058="Yes",S1058="Yes",L1058&lt;0,B1058&lt;&gt;"TXO"),L1058,"")</f>
        <v/>
      </c>
      <c r="Z1058" s="226">
        <f>IF(AND(R1058="",S1058="Yes",L1058&gt;0,B1058&lt;&gt;"TXO"),L1058,"")</f>
        <v/>
      </c>
      <c r="AA1058" s="226">
        <f>IF(AND(R1058="",S1058="Yes",L1058&lt;0,B1058&lt;&gt;"TXO"),L1058,"")</f>
        <v/>
      </c>
    </row>
    <row r="1059" hidden="1" outlineLevel="2" collapsed="1" ht="17.25" customHeight="1" thickBot="1">
      <c r="A1059" s="740" t="n">
        <v>43382</v>
      </c>
      <c r="B1059" s="299" t="inlineStr">
        <is>
          <t>FIMTX</t>
        </is>
      </c>
      <c r="C1059" s="300" t="inlineStr">
        <is>
          <t>小指10</t>
        </is>
      </c>
      <c r="D1059" s="300" t="inlineStr">
        <is>
          <t>平倉</t>
        </is>
      </c>
      <c r="E1059" s="301" t="inlineStr">
        <is>
          <t>賣</t>
        </is>
      </c>
      <c r="F1059" s="300" t="inlineStr">
        <is>
          <t>-</t>
        </is>
      </c>
      <c r="G1059" s="741" t="n">
        <v>3</v>
      </c>
      <c r="H1059" s="741" t="n">
        <v>10463</v>
      </c>
      <c r="I1059" s="741" t="n">
        <v>0</v>
      </c>
      <c r="J1059" s="742" t="n">
        <v>69</v>
      </c>
      <c r="K1059" s="742" t="n">
        <v>30</v>
      </c>
      <c r="L1059" s="742">
        <f>IF(B1059="TXO",I1059-SUM(J1059:K1059),IF(B1059="FITX",IF(D1059="新倉",-SUM(J1059:K1059),IF(E1059="賣",(H1059-H1058)*G1059*200-SUM(J1059:K1059),(H1058-H1059)*G1059*200-SUM(J1059:K1059))),IF(D1059="新倉",-SUM(J1059:K1059),IF(E1059="賣",(H1059-H1058)*G1059*50-SUM(J1059:K1059),(H1058-H1059)*G1059*50-SUM(J1059:K1059)))))</f>
        <v/>
      </c>
      <c r="M1059" s="743">
        <f>L1059</f>
        <v/>
      </c>
      <c r="N1059" s="686">
        <f>IF(B1059="TXO","",IF(D1059="新倉","",IF(E1059="賣",(H1059-H1058)*G1059,(H1058-H1059)*G1059)))</f>
        <v/>
      </c>
      <c r="O1059" s="226" t="n">
        <v>0</v>
      </c>
      <c r="P1059" s="667" t="n"/>
      <c r="S1059" s="249" t="n"/>
      <c r="T1059" s="61">
        <f>IF(AND(R1059="Yes",S1059&lt;&gt;"Yes",L1059&gt;0,B1059&lt;&gt;"TXO"),L1059,"")</f>
        <v/>
      </c>
      <c r="U1059" s="61">
        <f>IF(AND(R1059="Yes",S1059&lt;&gt;"Yes",L1059&lt;0,B1059&lt;&gt;"TXO"),L1059,"")</f>
        <v/>
      </c>
      <c r="V1059" s="61">
        <f>IF(AND(R1059="",S1059&lt;&gt;"Yes",L1059&gt;0,B1059&lt;&gt;"TXO"),L1059,"")</f>
        <v/>
      </c>
      <c r="W1059" s="61">
        <f>IF(AND(R1059="",S1059&lt;&gt;"Yes",L1059&lt;0,B1059&lt;&gt;"TXO"),L1059,"")</f>
        <v/>
      </c>
      <c r="X1059" s="226">
        <f>IF(AND(R1059="Yes",S1059="Yes",L1059&gt;0,B1059&lt;&gt;"TXO"),L1059,"")</f>
        <v/>
      </c>
      <c r="Y1059" s="226">
        <f>IF(AND(R1059="Yes",S1059="Yes",L1059&lt;0,B1059&lt;&gt;"TXO"),L1059,"")</f>
        <v/>
      </c>
      <c r="Z1059" s="226">
        <f>IF(AND(R1059="",S1059="Yes",L1059&gt;0,B1059&lt;&gt;"TXO"),L1059,"")</f>
        <v/>
      </c>
      <c r="AA1059" s="226">
        <f>IF(AND(R1059="",S1059="Yes",L1059&lt;0,B1059&lt;&gt;"TXO"),L1059,"")</f>
        <v/>
      </c>
    </row>
    <row r="1060" hidden="1" outlineLevel="2" collapsed="1" ht="17.25" customHeight="1" thickBot="1">
      <c r="A1060" s="740" t="n">
        <v>43382</v>
      </c>
      <c r="B1060" s="299" t="inlineStr">
        <is>
          <t>FIMTX</t>
        </is>
      </c>
      <c r="C1060" s="300" t="inlineStr">
        <is>
          <t>小指10</t>
        </is>
      </c>
      <c r="D1060" s="300" t="inlineStr">
        <is>
          <t>新倉</t>
        </is>
      </c>
      <c r="E1060" s="301" t="inlineStr">
        <is>
          <t>買</t>
        </is>
      </c>
      <c r="F1060" s="300" t="inlineStr">
        <is>
          <t>-</t>
        </is>
      </c>
      <c r="G1060" s="741" t="n">
        <v>3</v>
      </c>
      <c r="H1060" s="741" t="n">
        <v>10476</v>
      </c>
      <c r="I1060" s="741" t="n">
        <v>0</v>
      </c>
      <c r="J1060" s="742" t="n">
        <v>69</v>
      </c>
      <c r="K1060" s="742" t="n">
        <v>30</v>
      </c>
      <c r="L1060" s="742">
        <f>IF(B1060="TXO",I1060-SUM(J1060:K1060),IF(B1060="FITX",IF(D1060="新倉",-SUM(J1060:K1060),IF(E1060="賣",(H1060-H1059)*G1060*200-SUM(J1060:K1060),(H1059-H1060)*G1060*200-SUM(J1060:K1060))),IF(D1060="新倉",-SUM(J1060:K1060),IF(E1060="賣",(H1060-H1059)*G1060*50-SUM(J1060:K1060),(H1059-H1060)*G1060*50-SUM(J1060:K1060)))))</f>
        <v/>
      </c>
      <c r="M1060" s="743">
        <f>L1060</f>
        <v/>
      </c>
      <c r="N1060" s="686">
        <f>IF(B1060="TXO","",IF(D1060="新倉","",IF(E1060="賣",(H1060-H1059)*G1060,(H1059-H1060)*G1060)))</f>
        <v/>
      </c>
      <c r="O1060" s="226" t="n">
        <v>0</v>
      </c>
      <c r="P1060" s="667" t="n"/>
      <c r="S1060" s="249" t="n"/>
      <c r="T1060" s="61">
        <f>IF(AND(R1060="Yes",S1060&lt;&gt;"Yes",L1060&gt;0,B1060&lt;&gt;"TXO"),L1060,"")</f>
        <v/>
      </c>
      <c r="U1060" s="61">
        <f>IF(AND(R1060="Yes",S1060&lt;&gt;"Yes",L1060&lt;0,B1060&lt;&gt;"TXO"),L1060,"")</f>
        <v/>
      </c>
      <c r="V1060" s="61">
        <f>IF(AND(R1060="",S1060&lt;&gt;"Yes",L1060&gt;0,B1060&lt;&gt;"TXO"),L1060,"")</f>
        <v/>
      </c>
      <c r="W1060" s="61">
        <f>IF(AND(R1060="",S1060&lt;&gt;"Yes",L1060&lt;0,B1060&lt;&gt;"TXO"),L1060,"")</f>
        <v/>
      </c>
      <c r="X1060" s="226">
        <f>IF(AND(R1060="Yes",S1060="Yes",L1060&gt;0,B1060&lt;&gt;"TXO"),L1060,"")</f>
        <v/>
      </c>
      <c r="Y1060" s="226">
        <f>IF(AND(R1060="Yes",S1060="Yes",L1060&lt;0,B1060&lt;&gt;"TXO"),L1060,"")</f>
        <v/>
      </c>
      <c r="Z1060" s="226">
        <f>IF(AND(R1060="",S1060="Yes",L1060&gt;0,B1060&lt;&gt;"TXO"),L1060,"")</f>
        <v/>
      </c>
      <c r="AA1060" s="226">
        <f>IF(AND(R1060="",S1060="Yes",L1060&lt;0,B1060&lt;&gt;"TXO"),L1060,"")</f>
        <v/>
      </c>
    </row>
    <row r="1061" hidden="1" outlineLevel="2" collapsed="1" ht="17.25" customHeight="1" thickBot="1">
      <c r="A1061" s="740" t="n">
        <v>43382</v>
      </c>
      <c r="B1061" s="299" t="inlineStr">
        <is>
          <t>FIMTX</t>
        </is>
      </c>
      <c r="C1061" s="300" t="inlineStr">
        <is>
          <t>小指10</t>
        </is>
      </c>
      <c r="D1061" s="300" t="inlineStr">
        <is>
          <t>平倉</t>
        </is>
      </c>
      <c r="E1061" s="301" t="inlineStr">
        <is>
          <t>賣</t>
        </is>
      </c>
      <c r="F1061" s="300" t="inlineStr">
        <is>
          <t>-</t>
        </is>
      </c>
      <c r="G1061" s="741" t="n">
        <v>3</v>
      </c>
      <c r="H1061" s="741" t="n">
        <v>10477</v>
      </c>
      <c r="I1061" s="741" t="n">
        <v>0</v>
      </c>
      <c r="J1061" s="742" t="n">
        <v>69</v>
      </c>
      <c r="K1061" s="742" t="n">
        <v>30</v>
      </c>
      <c r="L1061" s="742">
        <f>IF(B1061="TXO",I1061-SUM(J1061:K1061),IF(B1061="FITX",IF(D1061="新倉",-SUM(J1061:K1061),IF(E1061="賣",(H1061-H1060)*G1061*200-SUM(J1061:K1061),(H1060-H1061)*G1061*200-SUM(J1061:K1061))),IF(D1061="新倉",-SUM(J1061:K1061),IF(E1061="賣",(H1061-H1060)*G1061*50-SUM(J1061:K1061),(H1060-H1061)*G1061*50-SUM(J1061:K1061)))))</f>
        <v/>
      </c>
      <c r="M1061" s="743">
        <f>L1061</f>
        <v/>
      </c>
      <c r="N1061" s="686">
        <f>IF(B1061="TXO","",IF(D1061="新倉","",IF(E1061="賣",(H1061-H1060)*G1061,(H1060-H1061)*G1061)))</f>
        <v/>
      </c>
      <c r="O1061" s="226" t="n">
        <v>0</v>
      </c>
      <c r="P1061" s="667" t="n"/>
      <c r="S1061" s="249" t="n"/>
      <c r="T1061" s="61">
        <f>IF(AND(R1061="Yes",S1061&lt;&gt;"Yes",L1061&gt;0,B1061&lt;&gt;"TXO"),L1061,"")</f>
        <v/>
      </c>
      <c r="U1061" s="61">
        <f>IF(AND(R1061="Yes",S1061&lt;&gt;"Yes",L1061&lt;0,B1061&lt;&gt;"TXO"),L1061,"")</f>
        <v/>
      </c>
      <c r="V1061" s="61">
        <f>IF(AND(R1061="",S1061&lt;&gt;"Yes",L1061&gt;0,B1061&lt;&gt;"TXO"),L1061,"")</f>
        <v/>
      </c>
      <c r="W1061" s="61">
        <f>IF(AND(R1061="",S1061&lt;&gt;"Yes",L1061&lt;0,B1061&lt;&gt;"TXO"),L1061,"")</f>
        <v/>
      </c>
      <c r="X1061" s="226">
        <f>IF(AND(R1061="Yes",S1061="Yes",L1061&gt;0,B1061&lt;&gt;"TXO"),L1061,"")</f>
        <v/>
      </c>
      <c r="Y1061" s="226">
        <f>IF(AND(R1061="Yes",S1061="Yes",L1061&lt;0,B1061&lt;&gt;"TXO"),L1061,"")</f>
        <v/>
      </c>
      <c r="Z1061" s="226">
        <f>IF(AND(R1061="",S1061="Yes",L1061&gt;0,B1061&lt;&gt;"TXO"),L1061,"")</f>
        <v/>
      </c>
      <c r="AA1061" s="226">
        <f>IF(AND(R1061="",S1061="Yes",L1061&lt;0,B1061&lt;&gt;"TXO"),L1061,"")</f>
        <v/>
      </c>
    </row>
    <row r="1062" hidden="1" outlineLevel="2" collapsed="1" ht="17.25" customHeight="1" thickBot="1">
      <c r="A1062" s="740" t="n">
        <v>43382</v>
      </c>
      <c r="B1062" s="299" t="inlineStr">
        <is>
          <t>FIMTX</t>
        </is>
      </c>
      <c r="C1062" s="300" t="inlineStr">
        <is>
          <t>小指10</t>
        </is>
      </c>
      <c r="D1062" s="300" t="inlineStr">
        <is>
          <t>新倉</t>
        </is>
      </c>
      <c r="E1062" s="301" t="inlineStr">
        <is>
          <t>買</t>
        </is>
      </c>
      <c r="F1062" s="300" t="inlineStr">
        <is>
          <t>-</t>
        </is>
      </c>
      <c r="G1062" s="741" t="n">
        <v>3</v>
      </c>
      <c r="H1062" s="741" t="n">
        <v>10474</v>
      </c>
      <c r="I1062" s="741" t="n">
        <v>0</v>
      </c>
      <c r="J1062" s="742" t="n">
        <v>69</v>
      </c>
      <c r="K1062" s="742" t="n">
        <v>30</v>
      </c>
      <c r="L1062" s="742">
        <f>IF(B1062="TXO",I1062-SUM(J1062:K1062),IF(B1062="FITX",IF(D1062="新倉",-SUM(J1062:K1062),IF(E1062="賣",(H1062-H1061)*G1062*200-SUM(J1062:K1062),(H1061-H1062)*G1062*200-SUM(J1062:K1062))),IF(D1062="新倉",-SUM(J1062:K1062),IF(E1062="賣",(H1062-H1061)*G1062*50-SUM(J1062:K1062),(H1061-H1062)*G1062*50-SUM(J1062:K1062)))))</f>
        <v/>
      </c>
      <c r="M1062" s="743">
        <f>L1062</f>
        <v/>
      </c>
      <c r="N1062" s="686">
        <f>IF(B1062="TXO","",IF(D1062="新倉","",IF(E1062="賣",(H1062-H1061)*G1062,(H1061-H1062)*G1062)))</f>
        <v/>
      </c>
      <c r="O1062" s="226" t="n">
        <v>0</v>
      </c>
      <c r="P1062" s="667" t="n"/>
      <c r="S1062" s="249" t="n"/>
      <c r="T1062" s="61">
        <f>IF(AND(R1062="Yes",S1062&lt;&gt;"Yes",L1062&gt;0,B1062&lt;&gt;"TXO"),L1062,"")</f>
        <v/>
      </c>
      <c r="U1062" s="61">
        <f>IF(AND(R1062="Yes",S1062&lt;&gt;"Yes",L1062&lt;0,B1062&lt;&gt;"TXO"),L1062,"")</f>
        <v/>
      </c>
      <c r="V1062" s="61">
        <f>IF(AND(R1062="",S1062&lt;&gt;"Yes",L1062&gt;0,B1062&lt;&gt;"TXO"),L1062,"")</f>
        <v/>
      </c>
      <c r="W1062" s="61">
        <f>IF(AND(R1062="",S1062&lt;&gt;"Yes",L1062&lt;0,B1062&lt;&gt;"TXO"),L1062,"")</f>
        <v/>
      </c>
      <c r="X1062" s="226">
        <f>IF(AND(R1062="Yes",S1062="Yes",L1062&gt;0,B1062&lt;&gt;"TXO"),L1062,"")</f>
        <v/>
      </c>
      <c r="Y1062" s="226">
        <f>IF(AND(R1062="Yes",S1062="Yes",L1062&lt;0,B1062&lt;&gt;"TXO"),L1062,"")</f>
        <v/>
      </c>
      <c r="Z1062" s="226">
        <f>IF(AND(R1062="",S1062="Yes",L1062&gt;0,B1062&lt;&gt;"TXO"),L1062,"")</f>
        <v/>
      </c>
      <c r="AA1062" s="226">
        <f>IF(AND(R1062="",S1062="Yes",L1062&lt;0,B1062&lt;&gt;"TXO"),L1062,"")</f>
        <v/>
      </c>
    </row>
    <row r="1063" hidden="1" outlineLevel="2" collapsed="1" ht="17.25" customHeight="1" thickBot="1">
      <c r="A1063" s="740" t="n">
        <v>43382</v>
      </c>
      <c r="B1063" s="299" t="inlineStr">
        <is>
          <t>FIMTX</t>
        </is>
      </c>
      <c r="C1063" s="300" t="inlineStr">
        <is>
          <t>小指10</t>
        </is>
      </c>
      <c r="D1063" s="300" t="inlineStr">
        <is>
          <t>平倉</t>
        </is>
      </c>
      <c r="E1063" s="301" t="inlineStr">
        <is>
          <t>賣</t>
        </is>
      </c>
      <c r="F1063" s="300" t="inlineStr">
        <is>
          <t>-</t>
        </is>
      </c>
      <c r="G1063" s="741" t="n">
        <v>3</v>
      </c>
      <c r="H1063" s="741" t="n">
        <v>10477</v>
      </c>
      <c r="I1063" s="741" t="n">
        <v>0</v>
      </c>
      <c r="J1063" s="742" t="n">
        <v>69</v>
      </c>
      <c r="K1063" s="742" t="n">
        <v>30</v>
      </c>
      <c r="L1063" s="742">
        <f>IF(B1063="TXO",I1063-SUM(J1063:K1063),IF(B1063="FITX",IF(D1063="新倉",-SUM(J1063:K1063),IF(E1063="賣",(H1063-H1062)*G1063*200-SUM(J1063:K1063),(H1062-H1063)*G1063*200-SUM(J1063:K1063))),IF(D1063="新倉",-SUM(J1063:K1063),IF(E1063="賣",(H1063-H1062)*G1063*50-SUM(J1063:K1063),(H1062-H1063)*G1063*50-SUM(J1063:K1063)))))</f>
        <v/>
      </c>
      <c r="M1063" s="743">
        <f>L1063</f>
        <v/>
      </c>
      <c r="N1063" s="686">
        <f>IF(B1063="TXO","",IF(D1063="新倉","",IF(E1063="賣",(H1063-H1062)*G1063,(H1062-H1063)*G1063)))</f>
        <v/>
      </c>
      <c r="O1063" s="226" t="n">
        <v>0</v>
      </c>
      <c r="P1063" s="667" t="n"/>
      <c r="S1063" s="249" t="n"/>
      <c r="T1063" s="61">
        <f>IF(AND(R1063="Yes",S1063&lt;&gt;"Yes",L1063&gt;0,B1063&lt;&gt;"TXO"),L1063,"")</f>
        <v/>
      </c>
      <c r="U1063" s="61">
        <f>IF(AND(R1063="Yes",S1063&lt;&gt;"Yes",L1063&lt;0,B1063&lt;&gt;"TXO"),L1063,"")</f>
        <v/>
      </c>
      <c r="V1063" s="61">
        <f>IF(AND(R1063="",S1063&lt;&gt;"Yes",L1063&gt;0,B1063&lt;&gt;"TXO"),L1063,"")</f>
        <v/>
      </c>
      <c r="W1063" s="61">
        <f>IF(AND(R1063="",S1063&lt;&gt;"Yes",L1063&lt;0,B1063&lt;&gt;"TXO"),L1063,"")</f>
        <v/>
      </c>
      <c r="X1063" s="226">
        <f>IF(AND(R1063="Yes",S1063="Yes",L1063&gt;0,B1063&lt;&gt;"TXO"),L1063,"")</f>
        <v/>
      </c>
      <c r="Y1063" s="226">
        <f>IF(AND(R1063="Yes",S1063="Yes",L1063&lt;0,B1063&lt;&gt;"TXO"),L1063,"")</f>
        <v/>
      </c>
      <c r="Z1063" s="226">
        <f>IF(AND(R1063="",S1063="Yes",L1063&gt;0,B1063&lt;&gt;"TXO"),L1063,"")</f>
        <v/>
      </c>
      <c r="AA1063" s="226">
        <f>IF(AND(R1063="",S1063="Yes",L1063&lt;0,B1063&lt;&gt;"TXO"),L1063,"")</f>
        <v/>
      </c>
    </row>
    <row r="1064" hidden="1" outlineLevel="2" collapsed="1" ht="17.25" customHeight="1" thickBot="1">
      <c r="A1064" s="740" t="n">
        <v>43382</v>
      </c>
      <c r="B1064" s="299" t="inlineStr">
        <is>
          <t>FIMTX</t>
        </is>
      </c>
      <c r="C1064" s="300" t="inlineStr">
        <is>
          <t>小指10</t>
        </is>
      </c>
      <c r="D1064" s="300" t="inlineStr">
        <is>
          <t>新倉</t>
        </is>
      </c>
      <c r="E1064" s="301" t="inlineStr">
        <is>
          <t>買</t>
        </is>
      </c>
      <c r="F1064" s="300" t="inlineStr">
        <is>
          <t>-</t>
        </is>
      </c>
      <c r="G1064" s="741" t="n">
        <v>1</v>
      </c>
      <c r="H1064" s="741" t="n">
        <v>10469</v>
      </c>
      <c r="I1064" s="741" t="n">
        <v>0</v>
      </c>
      <c r="J1064" s="742" t="n">
        <v>23</v>
      </c>
      <c r="K1064" s="742" t="n">
        <v>10</v>
      </c>
      <c r="L1064" s="742">
        <f>IF(B1064="TXO",I1064-SUM(J1064:K1064),IF(B1064="FITX",IF(D1064="新倉",-SUM(J1064:K1064),IF(E1064="賣",(H1064-H1063)*G1064*200-SUM(J1064:K1064),(H1063-H1064)*G1064*200-SUM(J1064:K1064))),IF(D1064="新倉",-SUM(J1064:K1064),IF(E1064="賣",(H1064-H1063)*G1064*50-SUM(J1064:K1064),(H1063-H1064)*G1064*50-SUM(J1064:K1064)))))</f>
        <v/>
      </c>
      <c r="M1064" s="743">
        <f>L1064</f>
        <v/>
      </c>
      <c r="N1064" s="686">
        <f>IF(B1064="TXO","",IF(D1064="新倉","",IF(E1064="賣",(H1064-H1063)*G1064,(H1063-H1064)*G1064)))</f>
        <v/>
      </c>
      <c r="O1064" s="226" t="n">
        <v>0</v>
      </c>
      <c r="P1064" s="667" t="n"/>
      <c r="S1064" s="249" t="inlineStr">
        <is>
          <t>Yes</t>
        </is>
      </c>
      <c r="T1064" s="61">
        <f>IF(AND(R1064="Yes",S1064&lt;&gt;"Yes",L1064&gt;0,B1064&lt;&gt;"TXO"),L1064,"")</f>
        <v/>
      </c>
      <c r="U1064" s="61">
        <f>IF(AND(R1064="Yes",S1064&lt;&gt;"Yes",L1064&lt;0,B1064&lt;&gt;"TXO"),L1064,"")</f>
        <v/>
      </c>
      <c r="V1064" s="61">
        <f>IF(AND(R1064="",S1064&lt;&gt;"Yes",L1064&gt;0,B1064&lt;&gt;"TXO"),L1064,"")</f>
        <v/>
      </c>
      <c r="W1064" s="61">
        <f>IF(AND(R1064="",S1064&lt;&gt;"Yes",L1064&lt;0,B1064&lt;&gt;"TXO"),L1064,"")</f>
        <v/>
      </c>
      <c r="X1064" s="226">
        <f>IF(AND(R1064="Yes",S1064="Yes",L1064&gt;0,B1064&lt;&gt;"TXO"),L1064,"")</f>
        <v/>
      </c>
      <c r="Y1064" s="226">
        <f>IF(AND(R1064="Yes",S1064="Yes",L1064&lt;0,B1064&lt;&gt;"TXO"),L1064,"")</f>
        <v/>
      </c>
      <c r="Z1064" s="226">
        <f>IF(AND(R1064="",S1064="Yes",L1064&gt;0,B1064&lt;&gt;"TXO"),L1064,"")</f>
        <v/>
      </c>
      <c r="AA1064" s="226">
        <f>IF(AND(R1064="",S1064="Yes",L1064&lt;0,B1064&lt;&gt;"TXO"),L1064,"")</f>
        <v/>
      </c>
    </row>
    <row r="1065" hidden="1" outlineLevel="2" collapsed="1" ht="17.25" customHeight="1" thickBot="1">
      <c r="A1065" s="740" t="n">
        <v>43382</v>
      </c>
      <c r="B1065" s="299" t="inlineStr">
        <is>
          <t>FIMTX</t>
        </is>
      </c>
      <c r="C1065" s="300" t="inlineStr">
        <is>
          <t>小指10</t>
        </is>
      </c>
      <c r="D1065" s="300" t="inlineStr">
        <is>
          <t>平倉</t>
        </is>
      </c>
      <c r="E1065" s="301" t="inlineStr">
        <is>
          <t>賣</t>
        </is>
      </c>
      <c r="F1065" s="300" t="inlineStr">
        <is>
          <t>-</t>
        </is>
      </c>
      <c r="G1065" s="741" t="n">
        <v>1</v>
      </c>
      <c r="H1065" s="741" t="n">
        <v>10458</v>
      </c>
      <c r="I1065" s="741" t="n">
        <v>0</v>
      </c>
      <c r="J1065" s="742" t="n">
        <v>23</v>
      </c>
      <c r="K1065" s="742" t="n">
        <v>10</v>
      </c>
      <c r="L1065" s="742">
        <f>IF(B1065="TXO",I1065-SUM(J1065:K1065),IF(B1065="FITX",IF(D1065="新倉",-SUM(J1065:K1065),IF(E1065="賣",(H1065-H1064)*G1065*200-SUM(J1065:K1065),(H1064-H1065)*G1065*200-SUM(J1065:K1065))),IF(D1065="新倉",-SUM(J1065:K1065),IF(E1065="賣",(H1065-H1064)*G1065*50-SUM(J1065:K1065),(H1064-H1065)*G1065*50-SUM(J1065:K1065)))))</f>
        <v/>
      </c>
      <c r="M1065" s="743">
        <f>L1065</f>
        <v/>
      </c>
      <c r="N1065" s="686">
        <f>IF(B1065="TXO","",IF(D1065="新倉","",IF(E1065="賣",(H1065-H1064)*G1065,(H1064-H1065)*G1065)))</f>
        <v/>
      </c>
      <c r="O1065" s="226" t="n">
        <v>0</v>
      </c>
      <c r="P1065" s="667" t="n"/>
      <c r="S1065" s="249" t="inlineStr">
        <is>
          <t>Yes</t>
        </is>
      </c>
      <c r="T1065" s="61">
        <f>IF(AND(R1065="Yes",S1065&lt;&gt;"Yes",L1065&gt;0,B1065&lt;&gt;"TXO"),L1065,"")</f>
        <v/>
      </c>
      <c r="U1065" s="61">
        <f>IF(AND(R1065="Yes",S1065&lt;&gt;"Yes",L1065&lt;0,B1065&lt;&gt;"TXO"),L1065,"")</f>
        <v/>
      </c>
      <c r="V1065" s="61">
        <f>IF(AND(R1065="",S1065&lt;&gt;"Yes",L1065&gt;0,B1065&lt;&gt;"TXO"),L1065,"")</f>
        <v/>
      </c>
      <c r="W1065" s="61">
        <f>IF(AND(R1065="",S1065&lt;&gt;"Yes",L1065&lt;0,B1065&lt;&gt;"TXO"),L1065,"")</f>
        <v/>
      </c>
      <c r="X1065" s="226">
        <f>IF(AND(R1065="Yes",S1065="Yes",L1065&gt;0,B1065&lt;&gt;"TXO"),L1065,"")</f>
        <v/>
      </c>
      <c r="Y1065" s="226">
        <f>IF(AND(R1065="Yes",S1065="Yes",L1065&lt;0,B1065&lt;&gt;"TXO"),L1065,"")</f>
        <v/>
      </c>
      <c r="Z1065" s="226">
        <f>IF(AND(R1065="",S1065="Yes",L1065&gt;0,B1065&lt;&gt;"TXO"),L1065,"")</f>
        <v/>
      </c>
      <c r="AA1065" s="226">
        <f>IF(AND(R1065="",S1065="Yes",L1065&lt;0,B1065&lt;&gt;"TXO"),L1065,"")</f>
        <v/>
      </c>
    </row>
    <row r="1066" hidden="1" outlineLevel="2" collapsed="1" ht="17.25" customHeight="1" thickBot="1">
      <c r="A1066" s="740" t="n">
        <v>43382</v>
      </c>
      <c r="B1066" s="299" t="inlineStr">
        <is>
          <t>FIMTX</t>
        </is>
      </c>
      <c r="C1066" s="300" t="inlineStr">
        <is>
          <t>小指10</t>
        </is>
      </c>
      <c r="D1066" s="300" t="inlineStr">
        <is>
          <t>新倉</t>
        </is>
      </c>
      <c r="E1066" s="301" t="inlineStr">
        <is>
          <t>買</t>
        </is>
      </c>
      <c r="F1066" s="300" t="inlineStr">
        <is>
          <t>-</t>
        </is>
      </c>
      <c r="G1066" s="741" t="n">
        <v>1</v>
      </c>
      <c r="H1066" s="741" t="n">
        <v>10469</v>
      </c>
      <c r="I1066" s="741" t="n">
        <v>0</v>
      </c>
      <c r="J1066" s="742" t="n">
        <v>23</v>
      </c>
      <c r="K1066" s="742" t="n">
        <v>10</v>
      </c>
      <c r="L1066" s="742">
        <f>IF(B1066="TXO",I1066-SUM(J1066:K1066),IF(B1066="FITX",IF(D1066="新倉",-SUM(J1066:K1066),IF(E1066="賣",(H1066-H1065)*G1066*200-SUM(J1066:K1066),(H1065-H1066)*G1066*200-SUM(J1066:K1066))),IF(D1066="新倉",-SUM(J1066:K1066),IF(E1066="賣",(H1066-H1065)*G1066*50-SUM(J1066:K1066),(H1065-H1066)*G1066*50-SUM(J1066:K1066)))))</f>
        <v/>
      </c>
      <c r="M1066" s="743">
        <f>L1066</f>
        <v/>
      </c>
      <c r="N1066" s="686">
        <f>IF(B1066="TXO","",IF(D1066="新倉","",IF(E1066="賣",(H1066-H1065)*G1066,(H1065-H1066)*G1066)))</f>
        <v/>
      </c>
      <c r="O1066" s="226" t="n">
        <v>0</v>
      </c>
      <c r="P1066" s="667" t="n"/>
      <c r="S1066" s="249" t="inlineStr">
        <is>
          <t>Yes</t>
        </is>
      </c>
      <c r="T1066" s="61">
        <f>IF(AND(R1066="Yes",S1066&lt;&gt;"Yes",L1066&gt;0,B1066&lt;&gt;"TXO"),L1066,"")</f>
        <v/>
      </c>
      <c r="U1066" s="61">
        <f>IF(AND(R1066="Yes",S1066&lt;&gt;"Yes",L1066&lt;0,B1066&lt;&gt;"TXO"),L1066,"")</f>
        <v/>
      </c>
      <c r="V1066" s="61">
        <f>IF(AND(R1066="",S1066&lt;&gt;"Yes",L1066&gt;0,B1066&lt;&gt;"TXO"),L1066,"")</f>
        <v/>
      </c>
      <c r="W1066" s="61">
        <f>IF(AND(R1066="",S1066&lt;&gt;"Yes",L1066&lt;0,B1066&lt;&gt;"TXO"),L1066,"")</f>
        <v/>
      </c>
      <c r="X1066" s="226">
        <f>IF(AND(R1066="Yes",S1066="Yes",L1066&gt;0,B1066&lt;&gt;"TXO"),L1066,"")</f>
        <v/>
      </c>
      <c r="Y1066" s="226">
        <f>IF(AND(R1066="Yes",S1066="Yes",L1066&lt;0,B1066&lt;&gt;"TXO"),L1066,"")</f>
        <v/>
      </c>
      <c r="Z1066" s="226">
        <f>IF(AND(R1066="",S1066="Yes",L1066&gt;0,B1066&lt;&gt;"TXO"),L1066,"")</f>
        <v/>
      </c>
      <c r="AA1066" s="226">
        <f>IF(AND(R1066="",S1066="Yes",L1066&lt;0,B1066&lt;&gt;"TXO"),L1066,"")</f>
        <v/>
      </c>
    </row>
    <row r="1067" hidden="1" outlineLevel="2" collapsed="1" ht="17.25" customHeight="1" thickBot="1">
      <c r="A1067" s="740" t="n">
        <v>43382</v>
      </c>
      <c r="B1067" s="299" t="inlineStr">
        <is>
          <t>FIMTX</t>
        </is>
      </c>
      <c r="C1067" s="300" t="inlineStr">
        <is>
          <t>小指10</t>
        </is>
      </c>
      <c r="D1067" s="300" t="inlineStr">
        <is>
          <t>平倉</t>
        </is>
      </c>
      <c r="E1067" s="301" t="inlineStr">
        <is>
          <t>賣</t>
        </is>
      </c>
      <c r="F1067" s="300" t="inlineStr">
        <is>
          <t>-</t>
        </is>
      </c>
      <c r="G1067" s="741" t="n">
        <v>1</v>
      </c>
      <c r="H1067" s="741" t="n">
        <v>10458</v>
      </c>
      <c r="I1067" s="741" t="n">
        <v>0</v>
      </c>
      <c r="J1067" s="742" t="n">
        <v>23</v>
      </c>
      <c r="K1067" s="742" t="n">
        <v>10</v>
      </c>
      <c r="L1067" s="742">
        <f>IF(B1067="TXO",I1067-SUM(J1067:K1067),IF(B1067="FITX",IF(D1067="新倉",-SUM(J1067:K1067),IF(E1067="賣",(H1067-H1066)*G1067*200-SUM(J1067:K1067),(H1066-H1067)*G1067*200-SUM(J1067:K1067))),IF(D1067="新倉",-SUM(J1067:K1067),IF(E1067="賣",(H1067-H1066)*G1067*50-SUM(J1067:K1067),(H1066-H1067)*G1067*50-SUM(J1067:K1067)))))</f>
        <v/>
      </c>
      <c r="M1067" s="743">
        <f>L1067</f>
        <v/>
      </c>
      <c r="N1067" s="686">
        <f>IF(B1067="TXO","",IF(D1067="新倉","",IF(E1067="賣",(H1067-H1066)*G1067,(H1066-H1067)*G1067)))</f>
        <v/>
      </c>
      <c r="O1067" s="226" t="n">
        <v>0</v>
      </c>
      <c r="P1067" s="667" t="n"/>
      <c r="S1067" s="249" t="inlineStr">
        <is>
          <t>Yes</t>
        </is>
      </c>
      <c r="T1067" s="61">
        <f>IF(AND(R1067="Yes",S1067&lt;&gt;"Yes",L1067&gt;0,B1067&lt;&gt;"TXO"),L1067,"")</f>
        <v/>
      </c>
      <c r="U1067" s="61">
        <f>IF(AND(R1067="Yes",S1067&lt;&gt;"Yes",L1067&lt;0,B1067&lt;&gt;"TXO"),L1067,"")</f>
        <v/>
      </c>
      <c r="V1067" s="61">
        <f>IF(AND(R1067="",S1067&lt;&gt;"Yes",L1067&gt;0,B1067&lt;&gt;"TXO"),L1067,"")</f>
        <v/>
      </c>
      <c r="W1067" s="61">
        <f>IF(AND(R1067="",S1067&lt;&gt;"Yes",L1067&lt;0,B1067&lt;&gt;"TXO"),L1067,"")</f>
        <v/>
      </c>
      <c r="X1067" s="226">
        <f>IF(AND(R1067="Yes",S1067="Yes",L1067&gt;0,B1067&lt;&gt;"TXO"),L1067,"")</f>
        <v/>
      </c>
      <c r="Y1067" s="226">
        <f>IF(AND(R1067="Yes",S1067="Yes",L1067&lt;0,B1067&lt;&gt;"TXO"),L1067,"")</f>
        <v/>
      </c>
      <c r="Z1067" s="226">
        <f>IF(AND(R1067="",S1067="Yes",L1067&gt;0,B1067&lt;&gt;"TXO"),L1067,"")</f>
        <v/>
      </c>
      <c r="AA1067" s="226">
        <f>IF(AND(R1067="",S1067="Yes",L1067&lt;0,B1067&lt;&gt;"TXO"),L1067,"")</f>
        <v/>
      </c>
    </row>
    <row r="1068" hidden="1" outlineLevel="2" collapsed="1" ht="17.25" customHeight="1" thickBot="1">
      <c r="A1068" s="740" t="n">
        <v>43382</v>
      </c>
      <c r="B1068" s="299" t="inlineStr">
        <is>
          <t>FIMTX</t>
        </is>
      </c>
      <c r="C1068" s="300" t="inlineStr">
        <is>
          <t>小指10</t>
        </is>
      </c>
      <c r="D1068" s="300" t="inlineStr">
        <is>
          <t>新倉</t>
        </is>
      </c>
      <c r="E1068" s="301" t="inlineStr">
        <is>
          <t>買</t>
        </is>
      </c>
      <c r="F1068" s="300" t="inlineStr">
        <is>
          <t>-</t>
        </is>
      </c>
      <c r="G1068" s="741" t="n">
        <v>1</v>
      </c>
      <c r="H1068" s="741" t="n">
        <v>10463</v>
      </c>
      <c r="I1068" s="741" t="n">
        <v>0</v>
      </c>
      <c r="J1068" s="742" t="n">
        <v>23</v>
      </c>
      <c r="K1068" s="742" t="n">
        <v>10</v>
      </c>
      <c r="L1068" s="742">
        <f>IF(B1068="TXO",I1068-SUM(J1068:K1068),IF(B1068="FITX",IF(D1068="新倉",-SUM(J1068:K1068),IF(E1068="賣",(H1068-H1067)*G1068*200-SUM(J1068:K1068),(H1067-H1068)*G1068*200-SUM(J1068:K1068))),IF(D1068="新倉",-SUM(J1068:K1068),IF(E1068="賣",(H1068-H1067)*G1068*50-SUM(J1068:K1068),(H1067-H1068)*G1068*50-SUM(J1068:K1068)))))</f>
        <v/>
      </c>
      <c r="M1068" s="743">
        <f>L1068</f>
        <v/>
      </c>
      <c r="N1068" s="686">
        <f>IF(B1068="TXO","",IF(D1068="新倉","",IF(E1068="賣",(H1068-H1067)*G1068,(H1067-H1068)*G1068)))</f>
        <v/>
      </c>
      <c r="O1068" s="226" t="n">
        <v>0</v>
      </c>
      <c r="P1068" s="667" t="n"/>
      <c r="S1068" s="249" t="inlineStr">
        <is>
          <t>Yes</t>
        </is>
      </c>
      <c r="T1068" s="61">
        <f>IF(AND(R1068="Yes",S1068&lt;&gt;"Yes",L1068&gt;0,B1068&lt;&gt;"TXO"),L1068,"")</f>
        <v/>
      </c>
      <c r="U1068" s="61">
        <f>IF(AND(R1068="Yes",S1068&lt;&gt;"Yes",L1068&lt;0,B1068&lt;&gt;"TXO"),L1068,"")</f>
        <v/>
      </c>
      <c r="V1068" s="61">
        <f>IF(AND(R1068="",S1068&lt;&gt;"Yes",L1068&gt;0,B1068&lt;&gt;"TXO"),L1068,"")</f>
        <v/>
      </c>
      <c r="W1068" s="61">
        <f>IF(AND(R1068="",S1068&lt;&gt;"Yes",L1068&lt;0,B1068&lt;&gt;"TXO"),L1068,"")</f>
        <v/>
      </c>
      <c r="X1068" s="226">
        <f>IF(AND(R1068="Yes",S1068="Yes",L1068&gt;0,B1068&lt;&gt;"TXO"),L1068,"")</f>
        <v/>
      </c>
      <c r="Y1068" s="226">
        <f>IF(AND(R1068="Yes",S1068="Yes",L1068&lt;0,B1068&lt;&gt;"TXO"),L1068,"")</f>
        <v/>
      </c>
      <c r="Z1068" s="226">
        <f>IF(AND(R1068="",S1068="Yes",L1068&gt;0,B1068&lt;&gt;"TXO"),L1068,"")</f>
        <v/>
      </c>
      <c r="AA1068" s="226">
        <f>IF(AND(R1068="",S1068="Yes",L1068&lt;0,B1068&lt;&gt;"TXO"),L1068,"")</f>
        <v/>
      </c>
    </row>
    <row r="1069" hidden="1" outlineLevel="2" collapsed="1" ht="17.25" customHeight="1" thickBot="1">
      <c r="A1069" s="740" t="n">
        <v>43382</v>
      </c>
      <c r="B1069" s="299" t="inlineStr">
        <is>
          <t>FIMTX</t>
        </is>
      </c>
      <c r="C1069" s="300" t="inlineStr">
        <is>
          <t>小指10</t>
        </is>
      </c>
      <c r="D1069" s="300" t="inlineStr">
        <is>
          <t>平倉</t>
        </is>
      </c>
      <c r="E1069" s="301" t="inlineStr">
        <is>
          <t>賣</t>
        </is>
      </c>
      <c r="F1069" s="300" t="inlineStr">
        <is>
          <t>-</t>
        </is>
      </c>
      <c r="G1069" s="741" t="n">
        <v>1</v>
      </c>
      <c r="H1069" s="741" t="n">
        <v>10458</v>
      </c>
      <c r="I1069" s="741" t="n">
        <v>0</v>
      </c>
      <c r="J1069" s="742" t="n">
        <v>23</v>
      </c>
      <c r="K1069" s="742" t="n">
        <v>10</v>
      </c>
      <c r="L1069" s="742">
        <f>IF(B1069="TXO",I1069-SUM(J1069:K1069),IF(B1069="FITX",IF(D1069="新倉",-SUM(J1069:K1069),IF(E1069="賣",(H1069-H1068)*G1069*200-SUM(J1069:K1069),(H1068-H1069)*G1069*200-SUM(J1069:K1069))),IF(D1069="新倉",-SUM(J1069:K1069),IF(E1069="賣",(H1069-H1068)*G1069*50-SUM(J1069:K1069),(H1068-H1069)*G1069*50-SUM(J1069:K1069)))))</f>
        <v/>
      </c>
      <c r="M1069" s="743">
        <f>L1069</f>
        <v/>
      </c>
      <c r="N1069" s="686">
        <f>IF(B1069="TXO","",IF(D1069="新倉","",IF(E1069="賣",(H1069-H1068)*G1069,(H1068-H1069)*G1069)))</f>
        <v/>
      </c>
      <c r="O1069" s="226" t="n">
        <v>0</v>
      </c>
      <c r="P1069" s="667" t="n"/>
      <c r="S1069" s="249" t="inlineStr">
        <is>
          <t>Yes</t>
        </is>
      </c>
      <c r="T1069" s="61">
        <f>IF(AND(R1069="Yes",S1069&lt;&gt;"Yes",L1069&gt;0,B1069&lt;&gt;"TXO"),L1069,"")</f>
        <v/>
      </c>
      <c r="U1069" s="61">
        <f>IF(AND(R1069="Yes",S1069&lt;&gt;"Yes",L1069&lt;0,B1069&lt;&gt;"TXO"),L1069,"")</f>
        <v/>
      </c>
      <c r="V1069" s="61">
        <f>IF(AND(R1069="",S1069&lt;&gt;"Yes",L1069&gt;0,B1069&lt;&gt;"TXO"),L1069,"")</f>
        <v/>
      </c>
      <c r="W1069" s="61">
        <f>IF(AND(R1069="",S1069&lt;&gt;"Yes",L1069&lt;0,B1069&lt;&gt;"TXO"),L1069,"")</f>
        <v/>
      </c>
      <c r="X1069" s="226">
        <f>IF(AND(R1069="Yes",S1069="Yes",L1069&gt;0,B1069&lt;&gt;"TXO"),L1069,"")</f>
        <v/>
      </c>
      <c r="Y1069" s="226">
        <f>IF(AND(R1069="Yes",S1069="Yes",L1069&lt;0,B1069&lt;&gt;"TXO"),L1069,"")</f>
        <v/>
      </c>
      <c r="Z1069" s="226">
        <f>IF(AND(R1069="",S1069="Yes",L1069&gt;0,B1069&lt;&gt;"TXO"),L1069,"")</f>
        <v/>
      </c>
      <c r="AA1069" s="226">
        <f>IF(AND(R1069="",S1069="Yes",L1069&lt;0,B1069&lt;&gt;"TXO"),L1069,"")</f>
        <v/>
      </c>
    </row>
    <row r="1070" hidden="1" outlineLevel="2" collapsed="1" ht="17.25" customHeight="1" thickBot="1">
      <c r="A1070" s="740" t="n">
        <v>43382</v>
      </c>
      <c r="B1070" s="299" t="inlineStr">
        <is>
          <t>FIMTX</t>
        </is>
      </c>
      <c r="C1070" s="300" t="inlineStr">
        <is>
          <t>小指10</t>
        </is>
      </c>
      <c r="D1070" s="300" t="inlineStr">
        <is>
          <t>新倉</t>
        </is>
      </c>
      <c r="E1070" s="301" t="inlineStr">
        <is>
          <t>賣</t>
        </is>
      </c>
      <c r="F1070" s="300" t="inlineStr">
        <is>
          <t>-</t>
        </is>
      </c>
      <c r="G1070" s="741" t="n">
        <v>1</v>
      </c>
      <c r="H1070" s="741" t="n">
        <v>10459</v>
      </c>
      <c r="I1070" s="741" t="n">
        <v>0</v>
      </c>
      <c r="J1070" s="742" t="n">
        <v>23</v>
      </c>
      <c r="K1070" s="742" t="n">
        <v>10</v>
      </c>
      <c r="L1070" s="742">
        <f>IF(B1070="TXO",I1070-SUM(J1070:K1070),IF(B1070="FITX",IF(D1070="新倉",-SUM(J1070:K1070),IF(E1070="賣",(H1070-H1069)*G1070*200-SUM(J1070:K1070),(H1069-H1070)*G1070*200-SUM(J1070:K1070))),IF(D1070="新倉",-SUM(J1070:K1070),IF(E1070="賣",(H1070-H1069)*G1070*50-SUM(J1070:K1070),(H1069-H1070)*G1070*50-SUM(J1070:K1070)))))</f>
        <v/>
      </c>
      <c r="M1070" s="743">
        <f>L1070</f>
        <v/>
      </c>
      <c r="N1070" s="686">
        <f>IF(B1070="TXO","",IF(D1070="新倉","",IF(E1070="賣",(H1070-H1069)*G1070,(H1069-H1070)*G1070)))</f>
        <v/>
      </c>
      <c r="O1070" s="226" t="n">
        <v>0</v>
      </c>
      <c r="P1070" s="667" t="n"/>
      <c r="S1070" s="249" t="inlineStr">
        <is>
          <t>Yes</t>
        </is>
      </c>
      <c r="T1070" s="61">
        <f>IF(AND(R1070="Yes",S1070&lt;&gt;"Yes",L1070&gt;0,B1070&lt;&gt;"TXO"),L1070,"")</f>
        <v/>
      </c>
      <c r="U1070" s="61">
        <f>IF(AND(R1070="Yes",S1070&lt;&gt;"Yes",L1070&lt;0,B1070&lt;&gt;"TXO"),L1070,"")</f>
        <v/>
      </c>
      <c r="V1070" s="61">
        <f>IF(AND(R1070="",S1070&lt;&gt;"Yes",L1070&gt;0,B1070&lt;&gt;"TXO"),L1070,"")</f>
        <v/>
      </c>
      <c r="W1070" s="61">
        <f>IF(AND(R1070="",S1070&lt;&gt;"Yes",L1070&lt;0,B1070&lt;&gt;"TXO"),L1070,"")</f>
        <v/>
      </c>
      <c r="X1070" s="226">
        <f>IF(AND(R1070="Yes",S1070="Yes",L1070&gt;0,B1070&lt;&gt;"TXO"),L1070,"")</f>
        <v/>
      </c>
      <c r="Y1070" s="226">
        <f>IF(AND(R1070="Yes",S1070="Yes",L1070&lt;0,B1070&lt;&gt;"TXO"),L1070,"")</f>
        <v/>
      </c>
      <c r="Z1070" s="226">
        <f>IF(AND(R1070="",S1070="Yes",L1070&gt;0,B1070&lt;&gt;"TXO"),L1070,"")</f>
        <v/>
      </c>
      <c r="AA1070" s="226">
        <f>IF(AND(R1070="",S1070="Yes",L1070&lt;0,B1070&lt;&gt;"TXO"),L1070,"")</f>
        <v/>
      </c>
    </row>
    <row r="1071" hidden="1" outlineLevel="2" collapsed="1" ht="17.25" customHeight="1" thickBot="1">
      <c r="A1071" s="740" t="n">
        <v>43382</v>
      </c>
      <c r="B1071" s="299" t="inlineStr">
        <is>
          <t>FIMTX</t>
        </is>
      </c>
      <c r="C1071" s="300" t="inlineStr">
        <is>
          <t>小指10</t>
        </is>
      </c>
      <c r="D1071" s="300" t="inlineStr">
        <is>
          <t>平倉</t>
        </is>
      </c>
      <c r="E1071" s="301" t="inlineStr">
        <is>
          <t>買</t>
        </is>
      </c>
      <c r="F1071" s="300" t="inlineStr">
        <is>
          <t>-</t>
        </is>
      </c>
      <c r="G1071" s="741" t="n">
        <v>1</v>
      </c>
      <c r="H1071" s="741" t="n">
        <v>10453</v>
      </c>
      <c r="I1071" s="741" t="n">
        <v>0</v>
      </c>
      <c r="J1071" s="742" t="n">
        <v>23</v>
      </c>
      <c r="K1071" s="742" t="n">
        <v>10</v>
      </c>
      <c r="L1071" s="742">
        <f>IF(B1071="TXO",I1071-SUM(J1071:K1071),IF(B1071="FITX",IF(D1071="新倉",-SUM(J1071:K1071),IF(E1071="賣",(H1071-H1070)*G1071*200-SUM(J1071:K1071),(H1070-H1071)*G1071*200-SUM(J1071:K1071))),IF(D1071="新倉",-SUM(J1071:K1071),IF(E1071="賣",(H1071-H1070)*G1071*50-SUM(J1071:K1071),(H1070-H1071)*G1071*50-SUM(J1071:K1071)))))</f>
        <v/>
      </c>
      <c r="M1071" s="743">
        <f>L1071</f>
        <v/>
      </c>
      <c r="N1071" s="686">
        <f>IF(B1071="TXO","",IF(D1071="新倉","",IF(E1071="賣",(H1071-H1070)*G1071,(H1070-H1071)*G1071)))</f>
        <v/>
      </c>
      <c r="O1071" s="226" t="n">
        <v>0</v>
      </c>
      <c r="P1071" s="667" t="n"/>
      <c r="S1071" s="249" t="inlineStr">
        <is>
          <t>Yes</t>
        </is>
      </c>
      <c r="T1071" s="61">
        <f>IF(AND(R1071="Yes",S1071&lt;&gt;"Yes",L1071&gt;0,B1071&lt;&gt;"TXO"),L1071,"")</f>
        <v/>
      </c>
      <c r="U1071" s="61">
        <f>IF(AND(R1071="Yes",S1071&lt;&gt;"Yes",L1071&lt;0,B1071&lt;&gt;"TXO"),L1071,"")</f>
        <v/>
      </c>
      <c r="V1071" s="61">
        <f>IF(AND(R1071="",S1071&lt;&gt;"Yes",L1071&gt;0,B1071&lt;&gt;"TXO"),L1071,"")</f>
        <v/>
      </c>
      <c r="W1071" s="61">
        <f>IF(AND(R1071="",S1071&lt;&gt;"Yes",L1071&lt;0,B1071&lt;&gt;"TXO"),L1071,"")</f>
        <v/>
      </c>
      <c r="X1071" s="226">
        <f>IF(AND(R1071="Yes",S1071="Yes",L1071&gt;0,B1071&lt;&gt;"TXO"),L1071,"")</f>
        <v/>
      </c>
      <c r="Y1071" s="226">
        <f>IF(AND(R1071="Yes",S1071="Yes",L1071&lt;0,B1071&lt;&gt;"TXO"),L1071,"")</f>
        <v/>
      </c>
      <c r="Z1071" s="226">
        <f>IF(AND(R1071="",S1071="Yes",L1071&gt;0,B1071&lt;&gt;"TXO"),L1071,"")</f>
        <v/>
      </c>
      <c r="AA1071" s="226">
        <f>IF(AND(R1071="",S1071="Yes",L1071&lt;0,B1071&lt;&gt;"TXO"),L1071,"")</f>
        <v/>
      </c>
    </row>
    <row r="1072" hidden="1" outlineLevel="2" collapsed="1" ht="17.25" customHeight="1" thickBot="1">
      <c r="A1072" s="740" t="n">
        <v>43382</v>
      </c>
      <c r="B1072" s="299" t="inlineStr">
        <is>
          <t>FIMTX</t>
        </is>
      </c>
      <c r="C1072" s="300" t="inlineStr">
        <is>
          <t>小指10</t>
        </is>
      </c>
      <c r="D1072" s="300" t="inlineStr">
        <is>
          <t>新倉</t>
        </is>
      </c>
      <c r="E1072" s="301" t="inlineStr">
        <is>
          <t>賣</t>
        </is>
      </c>
      <c r="F1072" s="300" t="inlineStr">
        <is>
          <t>-</t>
        </is>
      </c>
      <c r="G1072" s="741" t="n">
        <v>1</v>
      </c>
      <c r="H1072" s="741" t="n">
        <v>10459</v>
      </c>
      <c r="I1072" s="741" t="n">
        <v>0</v>
      </c>
      <c r="J1072" s="742" t="n">
        <v>23</v>
      </c>
      <c r="K1072" s="742" t="n">
        <v>10</v>
      </c>
      <c r="L1072" s="742">
        <f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/>
      </c>
      <c r="M1072" s="743">
        <f>L1072</f>
        <v/>
      </c>
      <c r="N1072" s="686">
        <f>IF(B1072="TXO","",IF(D1072="新倉","",IF(E1072="賣",(H1072-H1071)*G1072,(H1071-H1072)*G1072)))</f>
        <v/>
      </c>
      <c r="O1072" s="226" t="n">
        <v>0</v>
      </c>
      <c r="P1072" s="667" t="n"/>
      <c r="S1072" s="249" t="inlineStr">
        <is>
          <t>Yes</t>
        </is>
      </c>
      <c r="T1072" s="61">
        <f>IF(AND(R1072="Yes",S1072&lt;&gt;"Yes",L1072&gt;0,B1072&lt;&gt;"TXO"),L1072,"")</f>
        <v/>
      </c>
      <c r="U1072" s="61">
        <f>IF(AND(R1072="Yes",S1072&lt;&gt;"Yes",L1072&lt;0,B1072&lt;&gt;"TXO"),L1072,"")</f>
        <v/>
      </c>
      <c r="V1072" s="61">
        <f>IF(AND(R1072="",S1072&lt;&gt;"Yes",L1072&gt;0,B1072&lt;&gt;"TXO"),L1072,"")</f>
        <v/>
      </c>
      <c r="W1072" s="61">
        <f>IF(AND(R1072="",S1072&lt;&gt;"Yes",L1072&lt;0,B1072&lt;&gt;"TXO"),L1072,"")</f>
        <v/>
      </c>
      <c r="X1072" s="226">
        <f>IF(AND(R1072="Yes",S1072="Yes",L1072&gt;0,B1072&lt;&gt;"TXO"),L1072,"")</f>
        <v/>
      </c>
      <c r="Y1072" s="226">
        <f>IF(AND(R1072="Yes",S1072="Yes",L1072&lt;0,B1072&lt;&gt;"TXO"),L1072,"")</f>
        <v/>
      </c>
      <c r="Z1072" s="226">
        <f>IF(AND(R1072="",S1072="Yes",L1072&gt;0,B1072&lt;&gt;"TXO"),L1072,"")</f>
        <v/>
      </c>
      <c r="AA1072" s="226">
        <f>IF(AND(R1072="",S1072="Yes",L1072&lt;0,B1072&lt;&gt;"TXO"),L1072,"")</f>
        <v/>
      </c>
    </row>
    <row r="1073" hidden="1" outlineLevel="2" collapsed="1" ht="17.25" customHeight="1" thickBot="1">
      <c r="A1073" s="740" t="n">
        <v>43382</v>
      </c>
      <c r="B1073" s="299" t="inlineStr">
        <is>
          <t>FIMTX</t>
        </is>
      </c>
      <c r="C1073" s="300" t="inlineStr">
        <is>
          <t>小指10</t>
        </is>
      </c>
      <c r="D1073" s="300" t="inlineStr">
        <is>
          <t>平倉</t>
        </is>
      </c>
      <c r="E1073" s="301" t="inlineStr">
        <is>
          <t>買</t>
        </is>
      </c>
      <c r="F1073" s="300" t="inlineStr">
        <is>
          <t>-</t>
        </is>
      </c>
      <c r="G1073" s="741" t="n">
        <v>1</v>
      </c>
      <c r="H1073" s="741" t="n">
        <v>10453</v>
      </c>
      <c r="I1073" s="741" t="n">
        <v>0</v>
      </c>
      <c r="J1073" s="742" t="n">
        <v>23</v>
      </c>
      <c r="K1073" s="742" t="n">
        <v>10</v>
      </c>
      <c r="L1073" s="742">
        <f>IF(B1073="TXO",I1073-SUM(J1073:K1073),IF(B1073="FITX",IF(D1073="新倉",-SUM(J1073:K1073),IF(E1073="賣",(H1073-H1072)*G1073*200-SUM(J1073:K1073),(H1072-H1073)*G1073*200-SUM(J1073:K1073))),IF(D1073="新倉",-SUM(J1073:K1073),IF(E1073="賣",(H1073-H1072)*G1073*50-SUM(J1073:K1073),(H1072-H1073)*G1073*50-SUM(J1073:K1073)))))</f>
        <v/>
      </c>
      <c r="M1073" s="743">
        <f>L1073</f>
        <v/>
      </c>
      <c r="N1073" s="686">
        <f>IF(B1073="TXO","",IF(D1073="新倉","",IF(E1073="賣",(H1073-H1072)*G1073,(H1072-H1073)*G1073)))</f>
        <v/>
      </c>
      <c r="O1073" s="226" t="n">
        <v>0</v>
      </c>
      <c r="P1073" s="667" t="n"/>
      <c r="S1073" s="249" t="inlineStr">
        <is>
          <t>Yes</t>
        </is>
      </c>
      <c r="T1073" s="61">
        <f>IF(AND(R1073="Yes",S1073&lt;&gt;"Yes",L1073&gt;0,B1073&lt;&gt;"TXO"),L1073,"")</f>
        <v/>
      </c>
      <c r="U1073" s="61">
        <f>IF(AND(R1073="Yes",S1073&lt;&gt;"Yes",L1073&lt;0,B1073&lt;&gt;"TXO"),L1073,"")</f>
        <v/>
      </c>
      <c r="V1073" s="61">
        <f>IF(AND(R1073="",S1073&lt;&gt;"Yes",L1073&gt;0,B1073&lt;&gt;"TXO"),L1073,"")</f>
        <v/>
      </c>
      <c r="W1073" s="61">
        <f>IF(AND(R1073="",S1073&lt;&gt;"Yes",L1073&lt;0,B1073&lt;&gt;"TXO"),L1073,"")</f>
        <v/>
      </c>
      <c r="X1073" s="226">
        <f>IF(AND(R1073="Yes",S1073="Yes",L1073&gt;0,B1073&lt;&gt;"TXO"),L1073,"")</f>
        <v/>
      </c>
      <c r="Y1073" s="226">
        <f>IF(AND(R1073="Yes",S1073="Yes",L1073&lt;0,B1073&lt;&gt;"TXO"),L1073,"")</f>
        <v/>
      </c>
      <c r="Z1073" s="226">
        <f>IF(AND(R1073="",S1073="Yes",L1073&gt;0,B1073&lt;&gt;"TXO"),L1073,"")</f>
        <v/>
      </c>
      <c r="AA1073" s="226">
        <f>IF(AND(R1073="",S1073="Yes",L1073&lt;0,B1073&lt;&gt;"TXO"),L1073,"")</f>
        <v/>
      </c>
    </row>
    <row r="1074" hidden="1" outlineLevel="2" collapsed="1" ht="17.25" customHeight="1" thickBot="1">
      <c r="A1074" s="740" t="n">
        <v>43382</v>
      </c>
      <c r="B1074" s="299" t="inlineStr">
        <is>
          <t>FIMTX</t>
        </is>
      </c>
      <c r="C1074" s="300" t="inlineStr">
        <is>
          <t>小指10</t>
        </is>
      </c>
      <c r="D1074" s="300" t="inlineStr">
        <is>
          <t>新倉</t>
        </is>
      </c>
      <c r="E1074" s="301" t="inlineStr">
        <is>
          <t>賣</t>
        </is>
      </c>
      <c r="F1074" s="300" t="inlineStr">
        <is>
          <t>-</t>
        </is>
      </c>
      <c r="G1074" s="741" t="n">
        <v>1</v>
      </c>
      <c r="H1074" s="741" t="n">
        <v>10459</v>
      </c>
      <c r="I1074" s="741" t="n">
        <v>0</v>
      </c>
      <c r="J1074" s="742" t="n">
        <v>23</v>
      </c>
      <c r="K1074" s="742" t="n">
        <v>10</v>
      </c>
      <c r="L1074" s="742">
        <f>IF(B1074="TXO",I1074-SUM(J1074:K1074),IF(B1074="FITX",IF(D1074="新倉",-SUM(J1074:K1074),IF(E1074="賣",(H1074-H1073)*G1074*200-SUM(J1074:K1074),(H1073-H1074)*G1074*200-SUM(J1074:K1074))),IF(D1074="新倉",-SUM(J1074:K1074),IF(E1074="賣",(H1074-H1073)*G1074*50-SUM(J1074:K1074),(H1073-H1074)*G1074*50-SUM(J1074:K1074)))))</f>
        <v/>
      </c>
      <c r="M1074" s="743">
        <f>L1074</f>
        <v/>
      </c>
      <c r="N1074" s="686">
        <f>IF(B1074="TXO","",IF(D1074="新倉","",IF(E1074="賣",(H1074-H1073)*G1074,(H1073-H1074)*G1074)))</f>
        <v/>
      </c>
      <c r="O1074" s="226" t="n">
        <v>0</v>
      </c>
      <c r="P1074" s="667" t="n"/>
      <c r="S1074" s="249" t="inlineStr">
        <is>
          <t>Yes</t>
        </is>
      </c>
      <c r="T1074" s="61">
        <f>IF(AND(R1074="Yes",S1074&lt;&gt;"Yes",L1074&gt;0,B1074&lt;&gt;"TXO"),L1074,"")</f>
        <v/>
      </c>
      <c r="U1074" s="61">
        <f>IF(AND(R1074="Yes",S1074&lt;&gt;"Yes",L1074&lt;0,B1074&lt;&gt;"TXO"),L1074,"")</f>
        <v/>
      </c>
      <c r="V1074" s="61">
        <f>IF(AND(R1074="",S1074&lt;&gt;"Yes",L1074&gt;0,B1074&lt;&gt;"TXO"),L1074,"")</f>
        <v/>
      </c>
      <c r="W1074" s="61">
        <f>IF(AND(R1074="",S1074&lt;&gt;"Yes",L1074&lt;0,B1074&lt;&gt;"TXO"),L1074,"")</f>
        <v/>
      </c>
      <c r="X1074" s="226">
        <f>IF(AND(R1074="Yes",S1074="Yes",L1074&gt;0,B1074&lt;&gt;"TXO"),L1074,"")</f>
        <v/>
      </c>
      <c r="Y1074" s="226">
        <f>IF(AND(R1074="Yes",S1074="Yes",L1074&lt;0,B1074&lt;&gt;"TXO"),L1074,"")</f>
        <v/>
      </c>
      <c r="Z1074" s="226">
        <f>IF(AND(R1074="",S1074="Yes",L1074&gt;0,B1074&lt;&gt;"TXO"),L1074,"")</f>
        <v/>
      </c>
      <c r="AA1074" s="226">
        <f>IF(AND(R1074="",S1074="Yes",L1074&lt;0,B1074&lt;&gt;"TXO"),L1074,"")</f>
        <v/>
      </c>
    </row>
    <row r="1075" hidden="1" outlineLevel="2" collapsed="1" ht="17.25" customHeight="1" thickBot="1">
      <c r="A1075" s="740" t="n">
        <v>43382</v>
      </c>
      <c r="B1075" s="299" t="inlineStr">
        <is>
          <t>FIMTX</t>
        </is>
      </c>
      <c r="C1075" s="300" t="inlineStr">
        <is>
          <t>小指10</t>
        </is>
      </c>
      <c r="D1075" s="300" t="inlineStr">
        <is>
          <t>平倉</t>
        </is>
      </c>
      <c r="E1075" s="301" t="inlineStr">
        <is>
          <t>買</t>
        </is>
      </c>
      <c r="F1075" s="300" t="inlineStr">
        <is>
          <t>-</t>
        </is>
      </c>
      <c r="G1075" s="741" t="n">
        <v>1</v>
      </c>
      <c r="H1075" s="741" t="n">
        <v>10465</v>
      </c>
      <c r="I1075" s="741" t="n">
        <v>0</v>
      </c>
      <c r="J1075" s="742" t="n">
        <v>23</v>
      </c>
      <c r="K1075" s="742" t="n">
        <v>10</v>
      </c>
      <c r="L1075" s="742">
        <f>IF(B1075="TXO",I1075-SUM(J1075:K1075),IF(B1075="FITX",IF(D1075="新倉",-SUM(J1075:K1075),IF(E1075="賣",(H1075-H1074)*G1075*200-SUM(J1075:K1075),(H1074-H1075)*G1075*200-SUM(J1075:K1075))),IF(D1075="新倉",-SUM(J1075:K1075),IF(E1075="賣",(H1075-H1074)*G1075*50-SUM(J1075:K1075),(H1074-H1075)*G1075*50-SUM(J1075:K1075)))))</f>
        <v/>
      </c>
      <c r="M1075" s="743">
        <f>L1075</f>
        <v/>
      </c>
      <c r="N1075" s="686">
        <f>IF(B1075="TXO","",IF(D1075="新倉","",IF(E1075="賣",(H1075-H1074)*G1075,(H1074-H1075)*G1075)))</f>
        <v/>
      </c>
      <c r="O1075" s="226" t="n">
        <v>0</v>
      </c>
      <c r="P1075" s="667" t="n"/>
      <c r="S1075" s="249" t="inlineStr">
        <is>
          <t>Yes</t>
        </is>
      </c>
      <c r="T1075" s="61">
        <f>IF(AND(R1075="Yes",S1075&lt;&gt;"Yes",L1075&gt;0,B1075&lt;&gt;"TXO"),L1075,"")</f>
        <v/>
      </c>
      <c r="U1075" s="61">
        <f>IF(AND(R1075="Yes",S1075&lt;&gt;"Yes",L1075&lt;0,B1075&lt;&gt;"TXO"),L1075,"")</f>
        <v/>
      </c>
      <c r="V1075" s="61">
        <f>IF(AND(R1075="",S1075&lt;&gt;"Yes",L1075&gt;0,B1075&lt;&gt;"TXO"),L1075,"")</f>
        <v/>
      </c>
      <c r="W1075" s="61">
        <f>IF(AND(R1075="",S1075&lt;&gt;"Yes",L1075&lt;0,B1075&lt;&gt;"TXO"),L1075,"")</f>
        <v/>
      </c>
      <c r="X1075" s="226">
        <f>IF(AND(R1075="Yes",S1075="Yes",L1075&gt;0,B1075&lt;&gt;"TXO"),L1075,"")</f>
        <v/>
      </c>
      <c r="Y1075" s="226">
        <f>IF(AND(R1075="Yes",S1075="Yes",L1075&lt;0,B1075&lt;&gt;"TXO"),L1075,"")</f>
        <v/>
      </c>
      <c r="Z1075" s="226">
        <f>IF(AND(R1075="",S1075="Yes",L1075&gt;0,B1075&lt;&gt;"TXO"),L1075,"")</f>
        <v/>
      </c>
      <c r="AA1075" s="226">
        <f>IF(AND(R1075="",S1075="Yes",L1075&lt;0,B1075&lt;&gt;"TXO"),L1075,"")</f>
        <v/>
      </c>
    </row>
    <row r="1076" hidden="1" outlineLevel="2" collapsed="1" ht="17.25" customHeight="1" thickBot="1">
      <c r="A1076" s="740" t="n">
        <v>43382</v>
      </c>
      <c r="B1076" s="299" t="inlineStr">
        <is>
          <t>FIMTX</t>
        </is>
      </c>
      <c r="C1076" s="300" t="inlineStr">
        <is>
          <t>小指10</t>
        </is>
      </c>
      <c r="D1076" s="300" t="inlineStr">
        <is>
          <t>新倉</t>
        </is>
      </c>
      <c r="E1076" s="301" t="inlineStr">
        <is>
          <t>賣</t>
        </is>
      </c>
      <c r="F1076" s="300" t="inlineStr">
        <is>
          <t>-</t>
        </is>
      </c>
      <c r="G1076" s="741" t="n">
        <v>1</v>
      </c>
      <c r="H1076" s="741" t="n">
        <v>10459</v>
      </c>
      <c r="I1076" s="741" t="n">
        <v>0</v>
      </c>
      <c r="J1076" s="742" t="n">
        <v>23</v>
      </c>
      <c r="K1076" s="742" t="n">
        <v>10</v>
      </c>
      <c r="L1076" s="742">
        <f>IF(B1076="TXO",I1076-SUM(J1076:K1076),IF(B1076="FITX",IF(D1076="新倉",-SUM(J1076:K1076),IF(E1076="賣",(H1076-H1075)*G1076*200-SUM(J1076:K1076),(H1075-H1076)*G1076*200-SUM(J1076:K1076))),IF(D1076="新倉",-SUM(J1076:K1076),IF(E1076="賣",(H1076-H1075)*G1076*50-SUM(J1076:K1076),(H1075-H1076)*G1076*50-SUM(J1076:K1076)))))</f>
        <v/>
      </c>
      <c r="M1076" s="743">
        <f>L1076</f>
        <v/>
      </c>
      <c r="N1076" s="686">
        <f>IF(B1076="TXO","",IF(D1076="新倉","",IF(E1076="賣",(H1076-H1075)*G1076,(H1075-H1076)*G1076)))</f>
        <v/>
      </c>
      <c r="O1076" s="226" t="n">
        <v>0</v>
      </c>
      <c r="P1076" s="667" t="n"/>
      <c r="S1076" s="249" t="inlineStr">
        <is>
          <t>Yes</t>
        </is>
      </c>
      <c r="T1076" s="61">
        <f>IF(AND(R1076="Yes",S1076&lt;&gt;"Yes",L1076&gt;0,B1076&lt;&gt;"TXO"),L1076,"")</f>
        <v/>
      </c>
      <c r="U1076" s="61">
        <f>IF(AND(R1076="Yes",S1076&lt;&gt;"Yes",L1076&lt;0,B1076&lt;&gt;"TXO"),L1076,"")</f>
        <v/>
      </c>
      <c r="V1076" s="61">
        <f>IF(AND(R1076="",S1076&lt;&gt;"Yes",L1076&gt;0,B1076&lt;&gt;"TXO"),L1076,"")</f>
        <v/>
      </c>
      <c r="W1076" s="61">
        <f>IF(AND(R1076="",S1076&lt;&gt;"Yes",L1076&lt;0,B1076&lt;&gt;"TXO"),L1076,"")</f>
        <v/>
      </c>
      <c r="X1076" s="226">
        <f>IF(AND(R1076="Yes",S1076="Yes",L1076&gt;0,B1076&lt;&gt;"TXO"),L1076,"")</f>
        <v/>
      </c>
      <c r="Y1076" s="226">
        <f>IF(AND(R1076="Yes",S1076="Yes",L1076&lt;0,B1076&lt;&gt;"TXO"),L1076,"")</f>
        <v/>
      </c>
      <c r="Z1076" s="226">
        <f>IF(AND(R1076="",S1076="Yes",L1076&gt;0,B1076&lt;&gt;"TXO"),L1076,"")</f>
        <v/>
      </c>
      <c r="AA1076" s="226">
        <f>IF(AND(R1076="",S1076="Yes",L1076&lt;0,B1076&lt;&gt;"TXO"),L1076,"")</f>
        <v/>
      </c>
    </row>
    <row r="1077" hidden="1" outlineLevel="2" collapsed="1" ht="17.25" customHeight="1" thickBot="1">
      <c r="A1077" s="740" t="n">
        <v>43382</v>
      </c>
      <c r="B1077" s="299" t="inlineStr">
        <is>
          <t>FIMTX</t>
        </is>
      </c>
      <c r="C1077" s="300" t="inlineStr">
        <is>
          <t>小指10</t>
        </is>
      </c>
      <c r="D1077" s="300" t="inlineStr">
        <is>
          <t>平倉</t>
        </is>
      </c>
      <c r="E1077" s="301" t="inlineStr">
        <is>
          <t>買</t>
        </is>
      </c>
      <c r="F1077" s="300" t="inlineStr">
        <is>
          <t>-</t>
        </is>
      </c>
      <c r="G1077" s="741" t="n">
        <v>1</v>
      </c>
      <c r="H1077" s="741" t="n">
        <v>10465</v>
      </c>
      <c r="I1077" s="741" t="n">
        <v>0</v>
      </c>
      <c r="J1077" s="742" t="n">
        <v>23</v>
      </c>
      <c r="K1077" s="742" t="n">
        <v>10</v>
      </c>
      <c r="L1077" s="742">
        <f>IF(B1077="TXO",I1077-SUM(J1077:K1077),IF(B1077="FITX",IF(D1077="新倉",-SUM(J1077:K1077),IF(E1077="賣",(H1077-H1076)*G1077*200-SUM(J1077:K1077),(H1076-H1077)*G1077*200-SUM(J1077:K1077))),IF(D1077="新倉",-SUM(J1077:K1077),IF(E1077="賣",(H1077-H1076)*G1077*50-SUM(J1077:K1077),(H1076-H1077)*G1077*50-SUM(J1077:K1077)))))</f>
        <v/>
      </c>
      <c r="M1077" s="743">
        <f>L1077</f>
        <v/>
      </c>
      <c r="N1077" s="686">
        <f>IF(B1077="TXO","",IF(D1077="新倉","",IF(E1077="賣",(H1077-H1076)*G1077,(H1076-H1077)*G1077)))</f>
        <v/>
      </c>
      <c r="O1077" s="226" t="n">
        <v>0</v>
      </c>
      <c r="P1077" s="667" t="n"/>
      <c r="S1077" s="249" t="inlineStr">
        <is>
          <t>Yes</t>
        </is>
      </c>
      <c r="T1077" s="61">
        <f>IF(AND(R1077="Yes",S1077&lt;&gt;"Yes",L1077&gt;0,B1077&lt;&gt;"TXO"),L1077,"")</f>
        <v/>
      </c>
      <c r="U1077" s="61">
        <f>IF(AND(R1077="Yes",S1077&lt;&gt;"Yes",L1077&lt;0,B1077&lt;&gt;"TXO"),L1077,"")</f>
        <v/>
      </c>
      <c r="V1077" s="61">
        <f>IF(AND(R1077="",S1077&lt;&gt;"Yes",L1077&gt;0,B1077&lt;&gt;"TXO"),L1077,"")</f>
        <v/>
      </c>
      <c r="W1077" s="61">
        <f>IF(AND(R1077="",S1077&lt;&gt;"Yes",L1077&lt;0,B1077&lt;&gt;"TXO"),L1077,"")</f>
        <v/>
      </c>
      <c r="X1077" s="226">
        <f>IF(AND(R1077="Yes",S1077="Yes",L1077&gt;0,B1077&lt;&gt;"TXO"),L1077,"")</f>
        <v/>
      </c>
      <c r="Y1077" s="226">
        <f>IF(AND(R1077="Yes",S1077="Yes",L1077&lt;0,B1077&lt;&gt;"TXO"),L1077,"")</f>
        <v/>
      </c>
      <c r="Z1077" s="226">
        <f>IF(AND(R1077="",S1077="Yes",L1077&gt;0,B1077&lt;&gt;"TXO"),L1077,"")</f>
        <v/>
      </c>
      <c r="AA1077" s="226">
        <f>IF(AND(R1077="",S1077="Yes",L1077&lt;0,B1077&lt;&gt;"TXO"),L1077,"")</f>
        <v/>
      </c>
    </row>
    <row r="1078" hidden="1" outlineLevel="2" collapsed="1" ht="17.25" customHeight="1" thickBot="1">
      <c r="A1078" s="740" t="n">
        <v>43382</v>
      </c>
      <c r="B1078" s="299" t="inlineStr">
        <is>
          <t>FIMTX</t>
        </is>
      </c>
      <c r="C1078" s="300" t="inlineStr">
        <is>
          <t>小指10</t>
        </is>
      </c>
      <c r="D1078" s="300" t="inlineStr">
        <is>
          <t>新倉</t>
        </is>
      </c>
      <c r="E1078" s="301" t="inlineStr">
        <is>
          <t>賣</t>
        </is>
      </c>
      <c r="F1078" s="300" t="inlineStr">
        <is>
          <t>-</t>
        </is>
      </c>
      <c r="G1078" s="741" t="n">
        <v>1</v>
      </c>
      <c r="H1078" s="741" t="n">
        <v>10459</v>
      </c>
      <c r="I1078" s="741" t="n">
        <v>0</v>
      </c>
      <c r="J1078" s="742" t="n">
        <v>23</v>
      </c>
      <c r="K1078" s="742" t="n">
        <v>10</v>
      </c>
      <c r="L1078" s="742">
        <f>IF(B1078="TXO",I1078-SUM(J1078:K1078),IF(B1078="FITX",IF(D1078="新倉",-SUM(J1078:K1078),IF(E1078="賣",(H1078-H1077)*G1078*200-SUM(J1078:K1078),(H1077-H1078)*G1078*200-SUM(J1078:K1078))),IF(D1078="新倉",-SUM(J1078:K1078),IF(E1078="賣",(H1078-H1077)*G1078*50-SUM(J1078:K1078),(H1077-H1078)*G1078*50-SUM(J1078:K1078)))))</f>
        <v/>
      </c>
      <c r="M1078" s="743">
        <f>L1078</f>
        <v/>
      </c>
      <c r="N1078" s="686">
        <f>IF(B1078="TXO","",IF(D1078="新倉","",IF(E1078="賣",(H1078-H1077)*G1078,(H1077-H1078)*G1078)))</f>
        <v/>
      </c>
      <c r="O1078" s="226" t="n">
        <v>0</v>
      </c>
      <c r="P1078" s="667" t="n"/>
      <c r="S1078" s="249" t="inlineStr">
        <is>
          <t>Yes</t>
        </is>
      </c>
      <c r="T1078" s="61">
        <f>IF(AND(R1078="Yes",S1078&lt;&gt;"Yes",L1078&gt;0,B1078&lt;&gt;"TXO"),L1078,"")</f>
        <v/>
      </c>
      <c r="U1078" s="61">
        <f>IF(AND(R1078="Yes",S1078&lt;&gt;"Yes",L1078&lt;0,B1078&lt;&gt;"TXO"),L1078,"")</f>
        <v/>
      </c>
      <c r="V1078" s="61">
        <f>IF(AND(R1078="",S1078&lt;&gt;"Yes",L1078&gt;0,B1078&lt;&gt;"TXO"),L1078,"")</f>
        <v/>
      </c>
      <c r="W1078" s="61">
        <f>IF(AND(R1078="",S1078&lt;&gt;"Yes",L1078&lt;0,B1078&lt;&gt;"TXO"),L1078,"")</f>
        <v/>
      </c>
      <c r="X1078" s="226">
        <f>IF(AND(R1078="Yes",S1078="Yes",L1078&gt;0,B1078&lt;&gt;"TXO"),L1078,"")</f>
        <v/>
      </c>
      <c r="Y1078" s="226">
        <f>IF(AND(R1078="Yes",S1078="Yes",L1078&lt;0,B1078&lt;&gt;"TXO"),L1078,"")</f>
        <v/>
      </c>
      <c r="Z1078" s="226">
        <f>IF(AND(R1078="",S1078="Yes",L1078&gt;0,B1078&lt;&gt;"TXO"),L1078,"")</f>
        <v/>
      </c>
      <c r="AA1078" s="226">
        <f>IF(AND(R1078="",S1078="Yes",L1078&lt;0,B1078&lt;&gt;"TXO"),L1078,"")</f>
        <v/>
      </c>
    </row>
    <row r="1079" hidden="1" outlineLevel="2" collapsed="1" ht="17.25" customHeight="1" thickBot="1">
      <c r="A1079" s="740" t="n">
        <v>43382</v>
      </c>
      <c r="B1079" s="299" t="inlineStr">
        <is>
          <t>FIMTX</t>
        </is>
      </c>
      <c r="C1079" s="300" t="inlineStr">
        <is>
          <t>小指10</t>
        </is>
      </c>
      <c r="D1079" s="300" t="inlineStr">
        <is>
          <t>平倉</t>
        </is>
      </c>
      <c r="E1079" s="301" t="inlineStr">
        <is>
          <t>買</t>
        </is>
      </c>
      <c r="F1079" s="300" t="inlineStr">
        <is>
          <t>-</t>
        </is>
      </c>
      <c r="G1079" s="741" t="n">
        <v>1</v>
      </c>
      <c r="H1079" s="741" t="n">
        <v>10466</v>
      </c>
      <c r="I1079" s="741" t="n">
        <v>0</v>
      </c>
      <c r="J1079" s="742" t="n">
        <v>23</v>
      </c>
      <c r="K1079" s="742" t="n">
        <v>10</v>
      </c>
      <c r="L1079" s="742">
        <f>IF(B1079="TXO",I1079-SUM(J1079:K1079),IF(B1079="FITX",IF(D1079="新倉",-SUM(J1079:K1079),IF(E1079="賣",(H1079-H1078)*G1079*200-SUM(J1079:K1079),(H1078-H1079)*G1079*200-SUM(J1079:K1079))),IF(D1079="新倉",-SUM(J1079:K1079),IF(E1079="賣",(H1079-H1078)*G1079*50-SUM(J1079:K1079),(H1078-H1079)*G1079*50-SUM(J1079:K1079)))))</f>
        <v/>
      </c>
      <c r="M1079" s="743">
        <f>L1079</f>
        <v/>
      </c>
      <c r="N1079" s="686">
        <f>IF(B1079="TXO","",IF(D1079="新倉","",IF(E1079="賣",(H1079-H1078)*G1079,(H1078-H1079)*G1079)))</f>
        <v/>
      </c>
      <c r="O1079" s="226" t="n">
        <v>0</v>
      </c>
      <c r="P1079" s="667" t="n"/>
      <c r="S1079" s="249" t="inlineStr">
        <is>
          <t>Yes</t>
        </is>
      </c>
      <c r="T1079" s="61">
        <f>IF(AND(R1079="Yes",S1079&lt;&gt;"Yes",L1079&gt;0,B1079&lt;&gt;"TXO"),L1079,"")</f>
        <v/>
      </c>
      <c r="U1079" s="61">
        <f>IF(AND(R1079="Yes",S1079&lt;&gt;"Yes",L1079&lt;0,B1079&lt;&gt;"TXO"),L1079,"")</f>
        <v/>
      </c>
      <c r="V1079" s="61">
        <f>IF(AND(R1079="",S1079&lt;&gt;"Yes",L1079&gt;0,B1079&lt;&gt;"TXO"),L1079,"")</f>
        <v/>
      </c>
      <c r="W1079" s="61">
        <f>IF(AND(R1079="",S1079&lt;&gt;"Yes",L1079&lt;0,B1079&lt;&gt;"TXO"),L1079,"")</f>
        <v/>
      </c>
      <c r="X1079" s="226">
        <f>IF(AND(R1079="Yes",S1079="Yes",L1079&gt;0,B1079&lt;&gt;"TXO"),L1079,"")</f>
        <v/>
      </c>
      <c r="Y1079" s="226">
        <f>IF(AND(R1079="Yes",S1079="Yes",L1079&lt;0,B1079&lt;&gt;"TXO"),L1079,"")</f>
        <v/>
      </c>
      <c r="Z1079" s="226">
        <f>IF(AND(R1079="",S1079="Yes",L1079&gt;0,B1079&lt;&gt;"TXO"),L1079,"")</f>
        <v/>
      </c>
      <c r="AA1079" s="226">
        <f>IF(AND(R1079="",S1079="Yes",L1079&lt;0,B1079&lt;&gt;"TXO"),L1079,"")</f>
        <v/>
      </c>
    </row>
    <row r="1080" hidden="1" outlineLevel="2" collapsed="1" ht="17.25" customHeight="1" thickBot="1">
      <c r="A1080" s="740" t="n">
        <v>43382</v>
      </c>
      <c r="B1080" s="299" t="inlineStr">
        <is>
          <t>FIMTX</t>
        </is>
      </c>
      <c r="C1080" s="300" t="inlineStr">
        <is>
          <t>小指10</t>
        </is>
      </c>
      <c r="D1080" s="300" t="inlineStr">
        <is>
          <t>新倉</t>
        </is>
      </c>
      <c r="E1080" s="301" t="inlineStr">
        <is>
          <t>買</t>
        </is>
      </c>
      <c r="F1080" s="300" t="inlineStr">
        <is>
          <t>-</t>
        </is>
      </c>
      <c r="G1080" s="741" t="n">
        <v>3</v>
      </c>
      <c r="H1080" s="741" t="n">
        <v>10467</v>
      </c>
      <c r="I1080" s="741" t="n">
        <v>0</v>
      </c>
      <c r="J1080" s="742" t="n">
        <v>69</v>
      </c>
      <c r="K1080" s="742" t="n">
        <v>30</v>
      </c>
      <c r="L1080" s="742">
        <f>IF(B1080="TXO",I1080-SUM(J1080:K1080),IF(B1080="FITX",IF(D1080="新倉",-SUM(J1080:K1080),IF(E1080="賣",(H1080-H1079)*G1080*200-SUM(J1080:K1080),(H1079-H1080)*G1080*200-SUM(J1080:K1080))),IF(D1080="新倉",-SUM(J1080:K1080),IF(E1080="賣",(H1080-H1079)*G1080*50-SUM(J1080:K1080),(H1079-H1080)*G1080*50-SUM(J1080:K1080)))))</f>
        <v/>
      </c>
      <c r="M1080" s="743">
        <f>L1080</f>
        <v/>
      </c>
      <c r="N1080" s="686">
        <f>IF(B1080="TXO","",IF(D1080="新倉","",IF(E1080="賣",(H1080-H1079)*G1080,(H1079-H1080)*G1080)))</f>
        <v/>
      </c>
      <c r="O1080" s="226" t="n">
        <v>0</v>
      </c>
      <c r="P1080" s="667" t="n"/>
      <c r="S1080" s="249" t="inlineStr">
        <is>
          <t>Yes</t>
        </is>
      </c>
      <c r="T1080" s="61">
        <f>IF(AND(R1080="Yes",S1080&lt;&gt;"Yes",L1080&gt;0,B1080&lt;&gt;"TXO"),L1080,"")</f>
        <v/>
      </c>
      <c r="U1080" s="61">
        <f>IF(AND(R1080="Yes",S1080&lt;&gt;"Yes",L1080&lt;0,B1080&lt;&gt;"TXO"),L1080,"")</f>
        <v/>
      </c>
      <c r="V1080" s="61">
        <f>IF(AND(R1080="",S1080&lt;&gt;"Yes",L1080&gt;0,B1080&lt;&gt;"TXO"),L1080,"")</f>
        <v/>
      </c>
      <c r="W1080" s="61">
        <f>IF(AND(R1080="",S1080&lt;&gt;"Yes",L1080&lt;0,B1080&lt;&gt;"TXO"),L1080,"")</f>
        <v/>
      </c>
      <c r="X1080" s="226">
        <f>IF(AND(R1080="Yes",S1080="Yes",L1080&gt;0,B1080&lt;&gt;"TXO"),L1080,"")</f>
        <v/>
      </c>
      <c r="Y1080" s="226">
        <f>IF(AND(R1080="Yes",S1080="Yes",L1080&lt;0,B1080&lt;&gt;"TXO"),L1080,"")</f>
        <v/>
      </c>
      <c r="Z1080" s="226">
        <f>IF(AND(R1080="",S1080="Yes",L1080&gt;0,B1080&lt;&gt;"TXO"),L1080,"")</f>
        <v/>
      </c>
      <c r="AA1080" s="226">
        <f>IF(AND(R1080="",S1080="Yes",L1080&lt;0,B1080&lt;&gt;"TXO"),L1080,"")</f>
        <v/>
      </c>
    </row>
    <row r="1081" hidden="1" outlineLevel="2" collapsed="1" ht="17.25" customHeight="1" thickBot="1">
      <c r="A1081" s="740" t="n">
        <v>43382</v>
      </c>
      <c r="B1081" s="299" t="inlineStr">
        <is>
          <t>FIMTX</t>
        </is>
      </c>
      <c r="C1081" s="300" t="inlineStr">
        <is>
          <t>小指10</t>
        </is>
      </c>
      <c r="D1081" s="300" t="inlineStr">
        <is>
          <t>平倉</t>
        </is>
      </c>
      <c r="E1081" s="301" t="inlineStr">
        <is>
          <t>賣</t>
        </is>
      </c>
      <c r="F1081" s="300" t="inlineStr">
        <is>
          <t>-</t>
        </is>
      </c>
      <c r="G1081" s="741" t="n">
        <v>3</v>
      </c>
      <c r="H1081" s="741" t="n">
        <v>10461</v>
      </c>
      <c r="I1081" s="741" t="n">
        <v>0</v>
      </c>
      <c r="J1081" s="742" t="n">
        <v>69</v>
      </c>
      <c r="K1081" s="742" t="n">
        <v>30</v>
      </c>
      <c r="L1081" s="742">
        <f>IF(B1081="TXO",I1081-SUM(J1081:K1081),IF(B1081="FITX",IF(D1081="新倉",-SUM(J1081:K1081),IF(E1081="賣",(H1081-H1080)*G1081*200-SUM(J1081:K1081),(H1080-H1081)*G1081*200-SUM(J1081:K1081))),IF(D1081="新倉",-SUM(J1081:K1081),IF(E1081="賣",(H1081-H1080)*G1081*50-SUM(J1081:K1081),(H1080-H1081)*G1081*50-SUM(J1081:K1081)))))</f>
        <v/>
      </c>
      <c r="M1081" s="743">
        <f>L1081</f>
        <v/>
      </c>
      <c r="N1081" s="686">
        <f>IF(B1081="TXO","",IF(D1081="新倉","",IF(E1081="賣",(H1081-H1080)*G1081,(H1080-H1081)*G1081)))</f>
        <v/>
      </c>
      <c r="O1081" s="226" t="n">
        <v>0</v>
      </c>
      <c r="P1081" s="667" t="n"/>
      <c r="S1081" s="249" t="inlineStr">
        <is>
          <t>Yes</t>
        </is>
      </c>
      <c r="T1081" s="61">
        <f>IF(AND(R1081="Yes",S1081&lt;&gt;"Yes",L1081&gt;0,B1081&lt;&gt;"TXO"),L1081,"")</f>
        <v/>
      </c>
      <c r="U1081" s="61">
        <f>IF(AND(R1081="Yes",S1081&lt;&gt;"Yes",L1081&lt;0,B1081&lt;&gt;"TXO"),L1081,"")</f>
        <v/>
      </c>
      <c r="V1081" s="61">
        <f>IF(AND(R1081="",S1081&lt;&gt;"Yes",L1081&gt;0,B1081&lt;&gt;"TXO"),L1081,"")</f>
        <v/>
      </c>
      <c r="W1081" s="61">
        <f>IF(AND(R1081="",S1081&lt;&gt;"Yes",L1081&lt;0,B1081&lt;&gt;"TXO"),L1081,"")</f>
        <v/>
      </c>
      <c r="X1081" s="226">
        <f>IF(AND(R1081="Yes",S1081="Yes",L1081&gt;0,B1081&lt;&gt;"TXO"),L1081,"")</f>
        <v/>
      </c>
      <c r="Y1081" s="226">
        <f>IF(AND(R1081="Yes",S1081="Yes",L1081&lt;0,B1081&lt;&gt;"TXO"),L1081,"")</f>
        <v/>
      </c>
      <c r="Z1081" s="226">
        <f>IF(AND(R1081="",S1081="Yes",L1081&gt;0,B1081&lt;&gt;"TXO"),L1081,"")</f>
        <v/>
      </c>
      <c r="AA1081" s="226">
        <f>IF(AND(R1081="",S1081="Yes",L1081&lt;0,B1081&lt;&gt;"TXO"),L1081,"")</f>
        <v/>
      </c>
    </row>
    <row r="1082" hidden="1" outlineLevel="2" collapsed="1" ht="17.25" customHeight="1" thickBot="1">
      <c r="A1082" s="740" t="n">
        <v>43382</v>
      </c>
      <c r="B1082" s="299" t="inlineStr">
        <is>
          <t>FIMTX</t>
        </is>
      </c>
      <c r="C1082" s="300" t="inlineStr">
        <is>
          <t>小指10</t>
        </is>
      </c>
      <c r="D1082" s="300" t="inlineStr">
        <is>
          <t>新倉</t>
        </is>
      </c>
      <c r="E1082" s="301" t="inlineStr">
        <is>
          <t>賣</t>
        </is>
      </c>
      <c r="F1082" s="300" t="inlineStr">
        <is>
          <t>-</t>
        </is>
      </c>
      <c r="G1082" s="741" t="n">
        <v>3</v>
      </c>
      <c r="H1082" s="741" t="n">
        <v>10463</v>
      </c>
      <c r="I1082" s="741" t="n">
        <v>0</v>
      </c>
      <c r="J1082" s="742" t="n">
        <v>69</v>
      </c>
      <c r="K1082" s="742" t="n">
        <v>30</v>
      </c>
      <c r="L1082" s="742">
        <f>IF(B1082="TXO",I1082-SUM(J1082:K1082),IF(B1082="FITX",IF(D1082="新倉",-SUM(J1082:K1082),IF(E1082="賣",(H1082-H1081)*G1082*200-SUM(J1082:K1082),(H1081-H1082)*G1082*200-SUM(J1082:K1082))),IF(D1082="新倉",-SUM(J1082:K1082),IF(E1082="賣",(H1082-H1081)*G1082*50-SUM(J1082:K1082),(H1081-H1082)*G1082*50-SUM(J1082:K1082)))))</f>
        <v/>
      </c>
      <c r="M1082" s="743">
        <f>L1082</f>
        <v/>
      </c>
      <c r="N1082" s="686">
        <f>IF(B1082="TXO","",IF(D1082="新倉","",IF(E1082="賣",(H1082-H1081)*G1082,(H1081-H1082)*G1082)))</f>
        <v/>
      </c>
      <c r="O1082" s="226" t="n">
        <v>0</v>
      </c>
      <c r="P1082" s="667" t="n"/>
      <c r="Q1082" s="249" t="inlineStr">
        <is>
          <t>技法: 3/3 買進三口</t>
        </is>
      </c>
      <c r="R1082" s="249" t="inlineStr">
        <is>
          <t>Yes</t>
        </is>
      </c>
      <c r="S1082" s="249" t="inlineStr">
        <is>
          <t>Yes</t>
        </is>
      </c>
      <c r="T1082" s="61">
        <f>IF(AND(R1082="Yes",S1082&lt;&gt;"Yes",L1082&gt;0,B1082&lt;&gt;"TXO"),L1082,"")</f>
        <v/>
      </c>
      <c r="U1082" s="61">
        <f>IF(AND(R1082="Yes",S1082&lt;&gt;"Yes",L1082&lt;0,B1082&lt;&gt;"TXO"),L1082,"")</f>
        <v/>
      </c>
      <c r="V1082" s="61">
        <f>IF(AND(R1082="",S1082&lt;&gt;"Yes",L1082&gt;0,B1082&lt;&gt;"TXO"),L1082,"")</f>
        <v/>
      </c>
      <c r="W1082" s="61">
        <f>IF(AND(R1082="",S1082&lt;&gt;"Yes",L1082&lt;0,B1082&lt;&gt;"TXO"),L1082,"")</f>
        <v/>
      </c>
      <c r="X1082" s="226">
        <f>IF(AND(R1082="Yes",S1082="Yes",L1082&gt;0,B1082&lt;&gt;"TXO"),L1082,"")</f>
        <v/>
      </c>
      <c r="Y1082" s="226">
        <f>IF(AND(R1082="Yes",S1082="Yes",L1082&lt;0,B1082&lt;&gt;"TXO"),L1082,"")</f>
        <v/>
      </c>
      <c r="Z1082" s="226">
        <f>IF(AND(R1082="",S1082="Yes",L1082&gt;0,B1082&lt;&gt;"TXO"),L1082,"")</f>
        <v/>
      </c>
      <c r="AA1082" s="226">
        <f>IF(AND(R1082="",S1082="Yes",L1082&lt;0,B1082&lt;&gt;"TXO"),L1082,"")</f>
        <v/>
      </c>
    </row>
    <row r="1083" hidden="1" outlineLevel="2" collapsed="1" ht="17.25" customHeight="1" thickBot="1">
      <c r="A1083" s="740" t="n">
        <v>43382</v>
      </c>
      <c r="B1083" s="299" t="inlineStr">
        <is>
          <t>FIMTX</t>
        </is>
      </c>
      <c r="C1083" s="300" t="inlineStr">
        <is>
          <t>小指10</t>
        </is>
      </c>
      <c r="D1083" s="300" t="inlineStr">
        <is>
          <t>平倉</t>
        </is>
      </c>
      <c r="E1083" s="301" t="inlineStr">
        <is>
          <t>買</t>
        </is>
      </c>
      <c r="F1083" s="300" t="inlineStr">
        <is>
          <t>-</t>
        </is>
      </c>
      <c r="G1083" s="741" t="n">
        <v>3</v>
      </c>
      <c r="H1083" s="741" t="n">
        <v>10470</v>
      </c>
      <c r="I1083" s="741" t="n">
        <v>0</v>
      </c>
      <c r="J1083" s="742" t="n">
        <v>69</v>
      </c>
      <c r="K1083" s="742" t="n">
        <v>30</v>
      </c>
      <c r="L1083" s="742">
        <f>IF(B1083="TXO",I1083-SUM(J1083:K1083),IF(B1083="FITX",IF(D1083="新倉",-SUM(J1083:K1083),IF(E1083="賣",(H1083-H1082)*G1083*200-SUM(J1083:K1083),(H1082-H1083)*G1083*200-SUM(J1083:K1083))),IF(D1083="新倉",-SUM(J1083:K1083),IF(E1083="賣",(H1083-H1082)*G1083*50-SUM(J1083:K1083),(H1082-H1083)*G1083*50-SUM(J1083:K1083)))))</f>
        <v/>
      </c>
      <c r="M1083" s="743">
        <f>L1083</f>
        <v/>
      </c>
      <c r="N1083" s="686">
        <f>IF(B1083="TXO","",IF(D1083="新倉","",IF(E1083="賣",(H1083-H1082)*G1083,(H1082-H1083)*G1083)))</f>
        <v/>
      </c>
      <c r="O1083" s="226" t="n">
        <v>0</v>
      </c>
      <c r="P1083" s="667" t="n"/>
      <c r="Q1083" s="249" t="inlineStr">
        <is>
          <t>技法: 碰10MA停損</t>
        </is>
      </c>
      <c r="R1083" s="249" t="inlineStr">
        <is>
          <t>Yes</t>
        </is>
      </c>
      <c r="S1083" s="249" t="inlineStr">
        <is>
          <t>Yes</t>
        </is>
      </c>
      <c r="T1083" s="61">
        <f>IF(AND(R1083="Yes",S1083&lt;&gt;"Yes",L1083&gt;0,B1083&lt;&gt;"TXO"),L1083,"")</f>
        <v/>
      </c>
      <c r="U1083" s="61">
        <f>IF(AND(R1083="Yes",S1083&lt;&gt;"Yes",L1083&lt;0,B1083&lt;&gt;"TXO"),L1083,"")</f>
        <v/>
      </c>
      <c r="V1083" s="61">
        <f>IF(AND(R1083="",S1083&lt;&gt;"Yes",L1083&gt;0,B1083&lt;&gt;"TXO"),L1083,"")</f>
        <v/>
      </c>
      <c r="W1083" s="61">
        <f>IF(AND(R1083="",S1083&lt;&gt;"Yes",L1083&lt;0,B1083&lt;&gt;"TXO"),L1083,"")</f>
        <v/>
      </c>
      <c r="X1083" s="226">
        <f>IF(AND(R1083="Yes",S1083="Yes",L1083&gt;0,B1083&lt;&gt;"TXO"),L1083,"")</f>
        <v/>
      </c>
      <c r="Y1083" s="226">
        <f>IF(AND(R1083="Yes",S1083="Yes",L1083&lt;0,B1083&lt;&gt;"TXO"),L1083,"")</f>
        <v/>
      </c>
      <c r="Z1083" s="226">
        <f>IF(AND(R1083="",S1083="Yes",L1083&gt;0,B1083&lt;&gt;"TXO"),L1083,"")</f>
        <v/>
      </c>
      <c r="AA1083" s="226">
        <f>IF(AND(R1083="",S1083="Yes",L1083&lt;0,B1083&lt;&gt;"TXO"),L1083,"")</f>
        <v/>
      </c>
    </row>
    <row r="1084" hidden="1" outlineLevel="1" ht="17.25" customHeight="1" thickBot="1">
      <c r="A1084" s="696" t="n">
        <v>43384</v>
      </c>
      <c r="B1084" s="234" t="inlineStr">
        <is>
          <t>FIMTX</t>
        </is>
      </c>
      <c r="C1084" s="229" t="inlineStr">
        <is>
          <t>小指10</t>
        </is>
      </c>
      <c r="D1084" s="229" t="inlineStr">
        <is>
          <t>新倉</t>
        </is>
      </c>
      <c r="E1084" s="257" t="inlineStr">
        <is>
          <t>賣</t>
        </is>
      </c>
      <c r="F1084" s="229" t="inlineStr">
        <is>
          <t>-</t>
        </is>
      </c>
      <c r="G1084" s="697" t="n">
        <v>2</v>
      </c>
      <c r="H1084" s="697" t="n">
        <v>9914</v>
      </c>
      <c r="I1084" s="697" t="n">
        <v>0</v>
      </c>
      <c r="J1084" s="585" t="n">
        <v>46</v>
      </c>
      <c r="K1084" s="585" t="n">
        <v>20</v>
      </c>
      <c r="L1084" s="585">
        <f>IF(B1084="TXO",I1084-SUM(J1084:K1084),IF(B1084="FITX",IF(D1084="新倉",-SUM(J1084:K1084),IF(E1084="賣",(H1084-H1083)*G1084*200-SUM(J1084:K1084),(H1083-H1084)*G1084*200-SUM(J1084:K1084))),IF(D1084="新倉",-SUM(J1084:K1084),IF(E1084="賣",(H1084-H1083)*G1084*50-SUM(J1084:K1084),(H1083-H1084)*G1084*50-SUM(J1084:K1084)))))</f>
        <v/>
      </c>
      <c r="M1084" s="699">
        <f>L1084</f>
        <v/>
      </c>
      <c r="N1084" s="686">
        <f>IF(B1084="TXO","",IF(D1084="新倉","",IF(E1084="賣",(H1084-H1083)*G1084,(H1083-H1084)*G1084)))</f>
        <v/>
      </c>
      <c r="O1084" s="226">
        <f>ABS(I1084)</f>
        <v/>
      </c>
      <c r="P1084" s="667">
        <f>SUM(L1084:L1201)</f>
        <v/>
      </c>
      <c r="S1084" s="249" t="n"/>
      <c r="T1084" s="61">
        <f>IF(AND(R1084="Yes",S1084&lt;&gt;"Yes",L1084&gt;0,B1084&lt;&gt;"TXO"),L1084,"")</f>
        <v/>
      </c>
      <c r="U1084" s="61">
        <f>IF(AND(R1084="Yes",S1084&lt;&gt;"Yes",L1084&lt;0,B1084&lt;&gt;"TXO"),L1084,"")</f>
        <v/>
      </c>
      <c r="V1084" s="61">
        <f>IF(AND(R1084="",S1084&lt;&gt;"Yes",L1084&gt;0,B1084&lt;&gt;"TXO"),L1084,"")</f>
        <v/>
      </c>
      <c r="W1084" s="61">
        <f>IF(AND(R1084="",S1084&lt;&gt;"Yes",L1084&lt;0,B1084&lt;&gt;"TXO"),L1084,"")</f>
        <v/>
      </c>
      <c r="X1084" s="226">
        <f>IF(AND(R1084="Yes",S1084="Yes",L1084&gt;0,B1084&lt;&gt;"TXO"),L1084,"")</f>
        <v/>
      </c>
      <c r="Y1084" s="226">
        <f>IF(AND(R1084="Yes",S1084="Yes",L1084&lt;0,B1084&lt;&gt;"TXO"),L1084,"")</f>
        <v/>
      </c>
      <c r="Z1084" s="226">
        <f>IF(AND(R1084="",S1084="Yes",L1084&gt;0,B1084&lt;&gt;"TXO"),L1084,"")</f>
        <v/>
      </c>
      <c r="AA1084" s="226">
        <f>IF(AND(R1084="",S1084="Yes",L1084&lt;0,B1084&lt;&gt;"TXO"),L1084,"")</f>
        <v/>
      </c>
    </row>
    <row r="1085" hidden="1" outlineLevel="2" ht="17.25" customHeight="1" thickBot="1">
      <c r="A1085" s="696" t="n">
        <v>43384</v>
      </c>
      <c r="B1085" s="234" t="inlineStr">
        <is>
          <t>FIMTX</t>
        </is>
      </c>
      <c r="C1085" s="229" t="inlineStr">
        <is>
          <t>小指10</t>
        </is>
      </c>
      <c r="D1085" s="229" t="inlineStr">
        <is>
          <t>平倉</t>
        </is>
      </c>
      <c r="E1085" s="257" t="inlineStr">
        <is>
          <t>買</t>
        </is>
      </c>
      <c r="F1085" s="229" t="inlineStr">
        <is>
          <t>-</t>
        </is>
      </c>
      <c r="G1085" s="697" t="n">
        <v>2</v>
      </c>
      <c r="H1085" s="697" t="n">
        <v>9927</v>
      </c>
      <c r="I1085" s="697" t="n">
        <v>0</v>
      </c>
      <c r="J1085" s="585" t="n">
        <v>46</v>
      </c>
      <c r="K1085" s="585" t="n">
        <v>20</v>
      </c>
      <c r="L1085" s="585">
        <f>IF(B1085="TXO",I1085-SUM(J1085:K1085),IF(B1085="FITX",IF(D1085="新倉",-SUM(J1085:K1085),IF(E1085="賣",(H1085-H1084)*G1085*200-SUM(J1085:K1085),(H1084-H1085)*G1085*200-SUM(J1085:K1085))),IF(D1085="新倉",-SUM(J1085:K1085),IF(E1085="賣",(H1085-H1084)*G1085*50-SUM(J1085:K1085),(H1084-H1085)*G1085*50-SUM(J1085:K1085)))))</f>
        <v/>
      </c>
      <c r="M1085" s="699">
        <f>L1085</f>
        <v/>
      </c>
      <c r="N1085" s="686">
        <f>IF(B1085="TXO","",IF(D1085="新倉","",IF(E1085="賣",(H1085-H1084)*G1085,(H1084-H1085)*G1085)))</f>
        <v/>
      </c>
      <c r="O1085" s="226">
        <f>ABS(I1085)</f>
        <v/>
      </c>
      <c r="P1085" s="667" t="n"/>
      <c r="S1085" s="249" t="n"/>
      <c r="T1085" s="61">
        <f>IF(AND(R1085="Yes",S1085&lt;&gt;"Yes",L1085&gt;0,B1085&lt;&gt;"TXO"),L1085,"")</f>
        <v/>
      </c>
      <c r="U1085" s="61">
        <f>IF(AND(R1085="Yes",S1085&lt;&gt;"Yes",L1085&lt;0,B1085&lt;&gt;"TXO"),L1085,"")</f>
        <v/>
      </c>
      <c r="V1085" s="61">
        <f>IF(AND(R1085="",S1085&lt;&gt;"Yes",L1085&gt;0,B1085&lt;&gt;"TXO"),L1085,"")</f>
        <v/>
      </c>
      <c r="W1085" s="61">
        <f>IF(AND(R1085="",S1085&lt;&gt;"Yes",L1085&lt;0,B1085&lt;&gt;"TXO"),L1085,"")</f>
        <v/>
      </c>
      <c r="X1085" s="226">
        <f>IF(AND(R1085="Yes",S1085="Yes",L1085&gt;0,B1085&lt;&gt;"TXO"),L1085,"")</f>
        <v/>
      </c>
      <c r="Y1085" s="226">
        <f>IF(AND(R1085="Yes",S1085="Yes",L1085&lt;0,B1085&lt;&gt;"TXO"),L1085,"")</f>
        <v/>
      </c>
      <c r="Z1085" s="226">
        <f>IF(AND(R1085="",S1085="Yes",L1085&gt;0,B1085&lt;&gt;"TXO"),L1085,"")</f>
        <v/>
      </c>
      <c r="AA1085" s="226">
        <f>IF(AND(R1085="",S1085="Yes",L1085&lt;0,B1085&lt;&gt;"TXO"),L1085,"")</f>
        <v/>
      </c>
    </row>
    <row r="1086" hidden="1" outlineLevel="2" ht="17.25" customHeight="1" thickBot="1">
      <c r="A1086" s="696" t="n">
        <v>43384</v>
      </c>
      <c r="B1086" s="234" t="inlineStr">
        <is>
          <t>FIMTX</t>
        </is>
      </c>
      <c r="C1086" s="229" t="inlineStr">
        <is>
          <t>小指10</t>
        </is>
      </c>
      <c r="D1086" s="229" t="inlineStr">
        <is>
          <t>新倉</t>
        </is>
      </c>
      <c r="E1086" s="257" t="inlineStr">
        <is>
          <t>賣</t>
        </is>
      </c>
      <c r="F1086" s="229" t="inlineStr">
        <is>
          <t>-</t>
        </is>
      </c>
      <c r="G1086" s="697" t="n">
        <v>1</v>
      </c>
      <c r="H1086" s="697" t="n">
        <v>9912</v>
      </c>
      <c r="I1086" s="697" t="n">
        <v>0</v>
      </c>
      <c r="J1086" s="585" t="n">
        <v>23</v>
      </c>
      <c r="K1086" s="585" t="n">
        <v>10</v>
      </c>
      <c r="L1086" s="585">
        <f>IF(B1086="TXO",I1086-SUM(J1086:K1086),IF(B1086="FITX",IF(D1086="新倉",-SUM(J1086:K1086),IF(E1086="賣",(H1086-H1085)*G1086*200-SUM(J1086:K1086),(H1085-H1086)*G1086*200-SUM(J1086:K1086))),IF(D1086="新倉",-SUM(J1086:K1086),IF(E1086="賣",(H1086-H1085)*G1086*50-SUM(J1086:K1086),(H1085-H1086)*G1086*50-SUM(J1086:K1086)))))</f>
        <v/>
      </c>
      <c r="M1086" s="699">
        <f>L1086</f>
        <v/>
      </c>
      <c r="N1086" s="686">
        <f>IF(B1086="TXO","",IF(D1086="新倉","",IF(E1086="賣",(H1086-H1085)*G1086,(H1085-H1086)*G1086)))</f>
        <v/>
      </c>
      <c r="O1086" s="226">
        <f>ABS(I1086)</f>
        <v/>
      </c>
      <c r="P1086" s="667" t="n"/>
      <c r="S1086" s="249" t="n"/>
      <c r="T1086" s="61">
        <f>IF(AND(R1086="Yes",S1086&lt;&gt;"Yes",L1086&gt;0,B1086&lt;&gt;"TXO"),L1086,"")</f>
        <v/>
      </c>
      <c r="U1086" s="61">
        <f>IF(AND(R1086="Yes",S1086&lt;&gt;"Yes",L1086&lt;0,B1086&lt;&gt;"TXO"),L1086,"")</f>
        <v/>
      </c>
      <c r="V1086" s="61">
        <f>IF(AND(R1086="",S1086&lt;&gt;"Yes",L1086&gt;0,B1086&lt;&gt;"TXO"),L1086,"")</f>
        <v/>
      </c>
      <c r="W1086" s="61">
        <f>IF(AND(R1086="",S1086&lt;&gt;"Yes",L1086&lt;0,B1086&lt;&gt;"TXO"),L1086,"")</f>
        <v/>
      </c>
      <c r="X1086" s="226">
        <f>IF(AND(R1086="Yes",S1086="Yes",L1086&gt;0,B1086&lt;&gt;"TXO"),L1086,"")</f>
        <v/>
      </c>
      <c r="Y1086" s="226">
        <f>IF(AND(R1086="Yes",S1086="Yes",L1086&lt;0,B1086&lt;&gt;"TXO"),L1086,"")</f>
        <v/>
      </c>
      <c r="Z1086" s="226">
        <f>IF(AND(R1086="",S1086="Yes",L1086&gt;0,B1086&lt;&gt;"TXO"),L1086,"")</f>
        <v/>
      </c>
      <c r="AA1086" s="226">
        <f>IF(AND(R1086="",S1086="Yes",L1086&lt;0,B1086&lt;&gt;"TXO"),L1086,"")</f>
        <v/>
      </c>
    </row>
    <row r="1087" hidden="1" outlineLevel="2" ht="17.25" customHeight="1" thickBot="1">
      <c r="A1087" s="696" t="n">
        <v>43384</v>
      </c>
      <c r="B1087" s="234" t="inlineStr">
        <is>
          <t>FIMTX</t>
        </is>
      </c>
      <c r="C1087" s="229" t="inlineStr">
        <is>
          <t>小指10</t>
        </is>
      </c>
      <c r="D1087" s="229" t="inlineStr">
        <is>
          <t>平倉</t>
        </is>
      </c>
      <c r="E1087" s="257" t="inlineStr">
        <is>
          <t>買</t>
        </is>
      </c>
      <c r="F1087" s="229" t="inlineStr">
        <is>
          <t>-</t>
        </is>
      </c>
      <c r="G1087" s="697" t="n">
        <v>1</v>
      </c>
      <c r="H1087" s="697" t="n">
        <v>9928</v>
      </c>
      <c r="I1087" s="697" t="n">
        <v>0</v>
      </c>
      <c r="J1087" s="585" t="n">
        <v>23</v>
      </c>
      <c r="K1087" s="585" t="n">
        <v>10</v>
      </c>
      <c r="L1087" s="585">
        <f>IF(B1087="TXO",I1087-SUM(J1087:K1087),IF(B1087="FITX",IF(D1087="新倉",-SUM(J1087:K1087),IF(E1087="賣",(H1087-H1086)*G1087*200-SUM(J1087:K1087),(H1086-H1087)*G1087*200-SUM(J1087:K1087))),IF(D1087="新倉",-SUM(J1087:K1087),IF(E1087="賣",(H1087-H1086)*G1087*50-SUM(J1087:K1087),(H1086-H1087)*G1087*50-SUM(J1087:K1087)))))</f>
        <v/>
      </c>
      <c r="M1087" s="699">
        <f>L1087</f>
        <v/>
      </c>
      <c r="N1087" s="686">
        <f>IF(B1087="TXO","",IF(D1087="新倉","",IF(E1087="賣",(H1087-H1086)*G1087,(H1086-H1087)*G1087)))</f>
        <v/>
      </c>
      <c r="O1087" s="226">
        <f>ABS(I1087)</f>
        <v/>
      </c>
      <c r="P1087" s="667" t="n"/>
      <c r="S1087" s="249" t="n"/>
      <c r="T1087" s="61">
        <f>IF(AND(R1087="Yes",S1087&lt;&gt;"Yes",L1087&gt;0,B1087&lt;&gt;"TXO"),L1087,"")</f>
        <v/>
      </c>
      <c r="U1087" s="61">
        <f>IF(AND(R1087="Yes",S1087&lt;&gt;"Yes",L1087&lt;0,B1087&lt;&gt;"TXO"),L1087,"")</f>
        <v/>
      </c>
      <c r="V1087" s="61">
        <f>IF(AND(R1087="",S1087&lt;&gt;"Yes",L1087&gt;0,B1087&lt;&gt;"TXO"),L1087,"")</f>
        <v/>
      </c>
      <c r="W1087" s="61">
        <f>IF(AND(R1087="",S1087&lt;&gt;"Yes",L1087&lt;0,B1087&lt;&gt;"TXO"),L1087,"")</f>
        <v/>
      </c>
      <c r="X1087" s="226">
        <f>IF(AND(R1087="Yes",S1087="Yes",L1087&gt;0,B1087&lt;&gt;"TXO"),L1087,"")</f>
        <v/>
      </c>
      <c r="Y1087" s="226">
        <f>IF(AND(R1087="Yes",S1087="Yes",L1087&lt;0,B1087&lt;&gt;"TXO"),L1087,"")</f>
        <v/>
      </c>
      <c r="Z1087" s="226">
        <f>IF(AND(R1087="",S1087="Yes",L1087&gt;0,B1087&lt;&gt;"TXO"),L1087,"")</f>
        <v/>
      </c>
      <c r="AA1087" s="226">
        <f>IF(AND(R1087="",S1087="Yes",L1087&lt;0,B1087&lt;&gt;"TXO"),L1087,"")</f>
        <v/>
      </c>
    </row>
    <row r="1088" hidden="1" outlineLevel="2" ht="17.25" customHeight="1" thickBot="1">
      <c r="A1088" s="696" t="n">
        <v>43384</v>
      </c>
      <c r="B1088" s="234" t="inlineStr">
        <is>
          <t>FIMTX</t>
        </is>
      </c>
      <c r="C1088" s="229" t="inlineStr">
        <is>
          <t>小指10</t>
        </is>
      </c>
      <c r="D1088" s="229" t="inlineStr">
        <is>
          <t>新倉</t>
        </is>
      </c>
      <c r="E1088" s="257" t="inlineStr">
        <is>
          <t>賣</t>
        </is>
      </c>
      <c r="F1088" s="229" t="inlineStr">
        <is>
          <t>-</t>
        </is>
      </c>
      <c r="G1088" s="697" t="n">
        <v>1</v>
      </c>
      <c r="H1088" s="697" t="n">
        <v>9883</v>
      </c>
      <c r="I1088" s="697" t="n">
        <v>0</v>
      </c>
      <c r="J1088" s="585" t="n">
        <v>23</v>
      </c>
      <c r="K1088" s="585" t="n">
        <v>10</v>
      </c>
      <c r="L1088" s="585">
        <f>IF(B1088="TXO",I1088-SUM(J1088:K1088),IF(B1088="FITX",IF(D1088="新倉",-SUM(J1088:K1088),IF(E1088="賣",(H1088-H1087)*G1088*200-SUM(J1088:K1088),(H1087-H1088)*G1088*200-SUM(J1088:K1088))),IF(D1088="新倉",-SUM(J1088:K1088),IF(E1088="賣",(H1088-H1087)*G1088*50-SUM(J1088:K1088),(H1087-H1088)*G1088*50-SUM(J1088:K1088)))))</f>
        <v/>
      </c>
      <c r="M1088" s="699">
        <f>L1088</f>
        <v/>
      </c>
      <c r="N1088" s="686">
        <f>IF(B1088="TXO","",IF(D1088="新倉","",IF(E1088="賣",(H1088-H1087)*G1088,(H1087-H1088)*G1088)))</f>
        <v/>
      </c>
      <c r="O1088" s="226">
        <f>ABS(I1088)</f>
        <v/>
      </c>
      <c r="P1088" s="667" t="n"/>
      <c r="S1088" s="249" t="n"/>
      <c r="T1088" s="61">
        <f>IF(AND(R1088="Yes",S1088&lt;&gt;"Yes",L1088&gt;0,B1088&lt;&gt;"TXO"),L1088,"")</f>
        <v/>
      </c>
      <c r="U1088" s="61">
        <f>IF(AND(R1088="Yes",S1088&lt;&gt;"Yes",L1088&lt;0,B1088&lt;&gt;"TXO"),L1088,"")</f>
        <v/>
      </c>
      <c r="V1088" s="61">
        <f>IF(AND(R1088="",S1088&lt;&gt;"Yes",L1088&gt;0,B1088&lt;&gt;"TXO"),L1088,"")</f>
        <v/>
      </c>
      <c r="W1088" s="61">
        <f>IF(AND(R1088="",S1088&lt;&gt;"Yes",L1088&lt;0,B1088&lt;&gt;"TXO"),L1088,"")</f>
        <v/>
      </c>
      <c r="X1088" s="226">
        <f>IF(AND(R1088="Yes",S1088="Yes",L1088&gt;0,B1088&lt;&gt;"TXO"),L1088,"")</f>
        <v/>
      </c>
      <c r="Y1088" s="226">
        <f>IF(AND(R1088="Yes",S1088="Yes",L1088&lt;0,B1088&lt;&gt;"TXO"),L1088,"")</f>
        <v/>
      </c>
      <c r="Z1088" s="226">
        <f>IF(AND(R1088="",S1088="Yes",L1088&gt;0,B1088&lt;&gt;"TXO"),L1088,"")</f>
        <v/>
      </c>
      <c r="AA1088" s="226">
        <f>IF(AND(R1088="",S1088="Yes",L1088&lt;0,B1088&lt;&gt;"TXO"),L1088,"")</f>
        <v/>
      </c>
    </row>
    <row r="1089" hidden="1" outlineLevel="2" ht="17.25" customHeight="1" thickBot="1">
      <c r="A1089" s="696" t="n">
        <v>43384</v>
      </c>
      <c r="B1089" s="234" t="inlineStr">
        <is>
          <t>FIMTX</t>
        </is>
      </c>
      <c r="C1089" s="229" t="inlineStr">
        <is>
          <t>小指10</t>
        </is>
      </c>
      <c r="D1089" s="229" t="inlineStr">
        <is>
          <t>平倉</t>
        </is>
      </c>
      <c r="E1089" s="257" t="inlineStr">
        <is>
          <t>買</t>
        </is>
      </c>
      <c r="F1089" s="229" t="inlineStr">
        <is>
          <t>-</t>
        </is>
      </c>
      <c r="G1089" s="697" t="n">
        <v>1</v>
      </c>
      <c r="H1089" s="697" t="n">
        <v>9901</v>
      </c>
      <c r="I1089" s="697" t="n">
        <v>0</v>
      </c>
      <c r="J1089" s="585" t="n">
        <v>23</v>
      </c>
      <c r="K1089" s="585" t="n">
        <v>10</v>
      </c>
      <c r="L1089" s="585">
        <f>IF(B1089="TXO",I1089-SUM(J1089:K1089),IF(B1089="FITX",IF(D1089="新倉",-SUM(J1089:K1089),IF(E1089="賣",(H1089-H1088)*G1089*200-SUM(J1089:K1089),(H1088-H1089)*G1089*200-SUM(J1089:K1089))),IF(D1089="新倉",-SUM(J1089:K1089),IF(E1089="賣",(H1089-H1088)*G1089*50-SUM(J1089:K1089),(H1088-H1089)*G1089*50-SUM(J1089:K1089)))))</f>
        <v/>
      </c>
      <c r="M1089" s="699">
        <f>L1089</f>
        <v/>
      </c>
      <c r="N1089" s="686">
        <f>IF(B1089="TXO","",IF(D1089="新倉","",IF(E1089="賣",(H1089-H1088)*G1089,(H1088-H1089)*G1089)))</f>
        <v/>
      </c>
      <c r="O1089" s="226">
        <f>ABS(I1089)</f>
        <v/>
      </c>
      <c r="P1089" s="667" t="n"/>
      <c r="S1089" s="249" t="n"/>
      <c r="T1089" s="61">
        <f>IF(AND(R1089="Yes",S1089&lt;&gt;"Yes",L1089&gt;0,B1089&lt;&gt;"TXO"),L1089,"")</f>
        <v/>
      </c>
      <c r="U1089" s="61">
        <f>IF(AND(R1089="Yes",S1089&lt;&gt;"Yes",L1089&lt;0,B1089&lt;&gt;"TXO"),L1089,"")</f>
        <v/>
      </c>
      <c r="V1089" s="61">
        <f>IF(AND(R1089="",S1089&lt;&gt;"Yes",L1089&gt;0,B1089&lt;&gt;"TXO"),L1089,"")</f>
        <v/>
      </c>
      <c r="W1089" s="61">
        <f>IF(AND(R1089="",S1089&lt;&gt;"Yes",L1089&lt;0,B1089&lt;&gt;"TXO"),L1089,"")</f>
        <v/>
      </c>
      <c r="X1089" s="226">
        <f>IF(AND(R1089="Yes",S1089="Yes",L1089&gt;0,B1089&lt;&gt;"TXO"),L1089,"")</f>
        <v/>
      </c>
      <c r="Y1089" s="226">
        <f>IF(AND(R1089="Yes",S1089="Yes",L1089&lt;0,B1089&lt;&gt;"TXO"),L1089,"")</f>
        <v/>
      </c>
      <c r="Z1089" s="226">
        <f>IF(AND(R1089="",S1089="Yes",L1089&gt;0,B1089&lt;&gt;"TXO"),L1089,"")</f>
        <v/>
      </c>
      <c r="AA1089" s="226">
        <f>IF(AND(R1089="",S1089="Yes",L1089&lt;0,B1089&lt;&gt;"TXO"),L1089,"")</f>
        <v/>
      </c>
    </row>
    <row r="1090" hidden="1" outlineLevel="2" ht="17.25" customHeight="1" thickBot="1">
      <c r="A1090" s="696" t="n">
        <v>43384</v>
      </c>
      <c r="B1090" s="234" t="inlineStr">
        <is>
          <t>FIMTX</t>
        </is>
      </c>
      <c r="C1090" s="229" t="inlineStr">
        <is>
          <t>小指10</t>
        </is>
      </c>
      <c r="D1090" s="229" t="inlineStr">
        <is>
          <t>新倉</t>
        </is>
      </c>
      <c r="E1090" s="257" t="inlineStr">
        <is>
          <t>賣</t>
        </is>
      </c>
      <c r="F1090" s="229" t="inlineStr">
        <is>
          <t>-</t>
        </is>
      </c>
      <c r="G1090" s="697" t="n">
        <v>1</v>
      </c>
      <c r="H1090" s="697" t="n">
        <v>9883</v>
      </c>
      <c r="I1090" s="697" t="n">
        <v>0</v>
      </c>
      <c r="J1090" s="585" t="n">
        <v>23</v>
      </c>
      <c r="K1090" s="585" t="n">
        <v>10</v>
      </c>
      <c r="L1090" s="585">
        <f>IF(B1090="TXO",I1090-SUM(J1090:K1090),IF(B1090="FITX",IF(D1090="新倉",-SUM(J1090:K1090),IF(E1090="賣",(H1090-H1089)*G1090*200-SUM(J1090:K1090),(H1089-H1090)*G1090*200-SUM(J1090:K1090))),IF(D1090="新倉",-SUM(J1090:K1090),IF(E1090="賣",(H1090-H1089)*G1090*50-SUM(J1090:K1090),(H1089-H1090)*G1090*50-SUM(J1090:K1090)))))</f>
        <v/>
      </c>
      <c r="M1090" s="699">
        <f>L1090</f>
        <v/>
      </c>
      <c r="N1090" s="686">
        <f>IF(B1090="TXO","",IF(D1090="新倉","",IF(E1090="賣",(H1090-H1089)*G1090,(H1089-H1090)*G1090)))</f>
        <v/>
      </c>
      <c r="O1090" s="226">
        <f>ABS(I1090)</f>
        <v/>
      </c>
      <c r="P1090" s="667" t="n"/>
      <c r="S1090" s="249" t="n"/>
      <c r="T1090" s="61">
        <f>IF(AND(R1090="Yes",S1090&lt;&gt;"Yes",L1090&gt;0,B1090&lt;&gt;"TXO"),L1090,"")</f>
        <v/>
      </c>
      <c r="U1090" s="61">
        <f>IF(AND(R1090="Yes",S1090&lt;&gt;"Yes",L1090&lt;0,B1090&lt;&gt;"TXO"),L1090,"")</f>
        <v/>
      </c>
      <c r="V1090" s="61">
        <f>IF(AND(R1090="",S1090&lt;&gt;"Yes",L1090&gt;0,B1090&lt;&gt;"TXO"),L1090,"")</f>
        <v/>
      </c>
      <c r="W1090" s="61">
        <f>IF(AND(R1090="",S1090&lt;&gt;"Yes",L1090&lt;0,B1090&lt;&gt;"TXO"),L1090,"")</f>
        <v/>
      </c>
      <c r="X1090" s="226">
        <f>IF(AND(R1090="Yes",S1090="Yes",L1090&gt;0,B1090&lt;&gt;"TXO"),L1090,"")</f>
        <v/>
      </c>
      <c r="Y1090" s="226">
        <f>IF(AND(R1090="Yes",S1090="Yes",L1090&lt;0,B1090&lt;&gt;"TXO"),L1090,"")</f>
        <v/>
      </c>
      <c r="Z1090" s="226">
        <f>IF(AND(R1090="",S1090="Yes",L1090&gt;0,B1090&lt;&gt;"TXO"),L1090,"")</f>
        <v/>
      </c>
      <c r="AA1090" s="226">
        <f>IF(AND(R1090="",S1090="Yes",L1090&lt;0,B1090&lt;&gt;"TXO"),L1090,"")</f>
        <v/>
      </c>
    </row>
    <row r="1091" hidden="1" outlineLevel="2" ht="17.25" customHeight="1" thickBot="1">
      <c r="A1091" s="696" t="n">
        <v>43384</v>
      </c>
      <c r="B1091" s="234" t="inlineStr">
        <is>
          <t>FIMTX</t>
        </is>
      </c>
      <c r="C1091" s="229" t="inlineStr">
        <is>
          <t>小指10</t>
        </is>
      </c>
      <c r="D1091" s="229" t="inlineStr">
        <is>
          <t>平倉</t>
        </is>
      </c>
      <c r="E1091" s="257" t="inlineStr">
        <is>
          <t>買</t>
        </is>
      </c>
      <c r="F1091" s="229" t="inlineStr">
        <is>
          <t>-</t>
        </is>
      </c>
      <c r="G1091" s="697" t="n">
        <v>1</v>
      </c>
      <c r="H1091" s="697" t="n">
        <v>9900</v>
      </c>
      <c r="I1091" s="697" t="n">
        <v>0</v>
      </c>
      <c r="J1091" s="585" t="n">
        <v>23</v>
      </c>
      <c r="K1091" s="585" t="n">
        <v>10</v>
      </c>
      <c r="L1091" s="585">
        <f>IF(B1091="TXO",I1091-SUM(J1091:K1091),IF(B1091="FITX",IF(D1091="新倉",-SUM(J1091:K1091),IF(E1091="賣",(H1091-H1090)*G1091*200-SUM(J1091:K1091),(H1090-H1091)*G1091*200-SUM(J1091:K1091))),IF(D1091="新倉",-SUM(J1091:K1091),IF(E1091="賣",(H1091-H1090)*G1091*50-SUM(J1091:K1091),(H1090-H1091)*G1091*50-SUM(J1091:K1091)))))</f>
        <v/>
      </c>
      <c r="M1091" s="699">
        <f>L1091</f>
        <v/>
      </c>
      <c r="N1091" s="686">
        <f>IF(B1091="TXO","",IF(D1091="新倉","",IF(E1091="賣",(H1091-H1090)*G1091,(H1090-H1091)*G1091)))</f>
        <v/>
      </c>
      <c r="O1091" s="226">
        <f>ABS(I1091)</f>
        <v/>
      </c>
      <c r="P1091" s="667" t="n"/>
      <c r="S1091" s="249" t="n"/>
      <c r="T1091" s="61">
        <f>IF(AND(R1091="Yes",S1091&lt;&gt;"Yes",L1091&gt;0,B1091&lt;&gt;"TXO"),L1091,"")</f>
        <v/>
      </c>
      <c r="U1091" s="61">
        <f>IF(AND(R1091="Yes",S1091&lt;&gt;"Yes",L1091&lt;0,B1091&lt;&gt;"TXO"),L1091,"")</f>
        <v/>
      </c>
      <c r="V1091" s="61">
        <f>IF(AND(R1091="",S1091&lt;&gt;"Yes",L1091&gt;0,B1091&lt;&gt;"TXO"),L1091,"")</f>
        <v/>
      </c>
      <c r="W1091" s="61">
        <f>IF(AND(R1091="",S1091&lt;&gt;"Yes",L1091&lt;0,B1091&lt;&gt;"TXO"),L1091,"")</f>
        <v/>
      </c>
      <c r="X1091" s="226">
        <f>IF(AND(R1091="Yes",S1091="Yes",L1091&gt;0,B1091&lt;&gt;"TXO"),L1091,"")</f>
        <v/>
      </c>
      <c r="Y1091" s="226">
        <f>IF(AND(R1091="Yes",S1091="Yes",L1091&lt;0,B1091&lt;&gt;"TXO"),L1091,"")</f>
        <v/>
      </c>
      <c r="Z1091" s="226">
        <f>IF(AND(R1091="",S1091="Yes",L1091&gt;0,B1091&lt;&gt;"TXO"),L1091,"")</f>
        <v/>
      </c>
      <c r="AA1091" s="226">
        <f>IF(AND(R1091="",S1091="Yes",L1091&lt;0,B1091&lt;&gt;"TXO"),L1091,"")</f>
        <v/>
      </c>
    </row>
    <row r="1092" hidden="1" outlineLevel="2" ht="17.25" customHeight="1" thickBot="1">
      <c r="A1092" s="696" t="n">
        <v>43384</v>
      </c>
      <c r="B1092" s="234" t="inlineStr">
        <is>
          <t>FIMTX</t>
        </is>
      </c>
      <c r="C1092" s="229" t="inlineStr">
        <is>
          <t>小指10</t>
        </is>
      </c>
      <c r="D1092" s="229" t="inlineStr">
        <is>
          <t>新倉</t>
        </is>
      </c>
      <c r="E1092" s="257" t="inlineStr">
        <is>
          <t>賣</t>
        </is>
      </c>
      <c r="F1092" s="229" t="inlineStr">
        <is>
          <t>-</t>
        </is>
      </c>
      <c r="G1092" s="697" t="n">
        <v>1</v>
      </c>
      <c r="H1092" s="697" t="n">
        <v>9883</v>
      </c>
      <c r="I1092" s="697" t="n">
        <v>0</v>
      </c>
      <c r="J1092" s="585" t="n">
        <v>23</v>
      </c>
      <c r="K1092" s="585" t="n">
        <v>10</v>
      </c>
      <c r="L1092" s="585">
        <f>IF(B1092="TXO",I1092-SUM(J1092:K1092),IF(B1092="FITX",IF(D1092="新倉",-SUM(J1092:K1092),IF(E1092="賣",(H1092-H1091)*G1092*200-SUM(J1092:K1092),(H1091-H1092)*G1092*200-SUM(J1092:K1092))),IF(D1092="新倉",-SUM(J1092:K1092),IF(E1092="賣",(H1092-H1091)*G1092*50-SUM(J1092:K1092),(H1091-H1092)*G1092*50-SUM(J1092:K1092)))))</f>
        <v/>
      </c>
      <c r="M1092" s="699">
        <f>L1092</f>
        <v/>
      </c>
      <c r="N1092" s="686">
        <f>IF(B1092="TXO","",IF(D1092="新倉","",IF(E1092="賣",(H1092-H1091)*G1092,(H1091-H1092)*G1092)))</f>
        <v/>
      </c>
      <c r="O1092" s="226">
        <f>ABS(I1092)</f>
        <v/>
      </c>
      <c r="P1092" s="667" t="n"/>
      <c r="S1092" s="249" t="n"/>
      <c r="T1092" s="61">
        <f>IF(AND(R1092="Yes",S1092&lt;&gt;"Yes",L1092&gt;0,B1092&lt;&gt;"TXO"),L1092,"")</f>
        <v/>
      </c>
      <c r="U1092" s="61">
        <f>IF(AND(R1092="Yes",S1092&lt;&gt;"Yes",L1092&lt;0,B1092&lt;&gt;"TXO"),L1092,"")</f>
        <v/>
      </c>
      <c r="V1092" s="61">
        <f>IF(AND(R1092="",S1092&lt;&gt;"Yes",L1092&gt;0,B1092&lt;&gt;"TXO"),L1092,"")</f>
        <v/>
      </c>
      <c r="W1092" s="61">
        <f>IF(AND(R1092="",S1092&lt;&gt;"Yes",L1092&lt;0,B1092&lt;&gt;"TXO"),L1092,"")</f>
        <v/>
      </c>
      <c r="X1092" s="226">
        <f>IF(AND(R1092="Yes",S1092="Yes",L1092&gt;0,B1092&lt;&gt;"TXO"),L1092,"")</f>
        <v/>
      </c>
      <c r="Y1092" s="226">
        <f>IF(AND(R1092="Yes",S1092="Yes",L1092&lt;0,B1092&lt;&gt;"TXO"),L1092,"")</f>
        <v/>
      </c>
      <c r="Z1092" s="226">
        <f>IF(AND(R1092="",S1092="Yes",L1092&gt;0,B1092&lt;&gt;"TXO"),L1092,"")</f>
        <v/>
      </c>
      <c r="AA1092" s="226">
        <f>IF(AND(R1092="",S1092="Yes",L1092&lt;0,B1092&lt;&gt;"TXO"),L1092,"")</f>
        <v/>
      </c>
    </row>
    <row r="1093" hidden="1" outlineLevel="2" ht="17.25" customHeight="1" thickBot="1">
      <c r="A1093" s="696" t="n">
        <v>43384</v>
      </c>
      <c r="B1093" s="234" t="inlineStr">
        <is>
          <t>FIMTX</t>
        </is>
      </c>
      <c r="C1093" s="229" t="inlineStr">
        <is>
          <t>小指10</t>
        </is>
      </c>
      <c r="D1093" s="229" t="inlineStr">
        <is>
          <t>平倉</t>
        </is>
      </c>
      <c r="E1093" s="257" t="inlineStr">
        <is>
          <t>買</t>
        </is>
      </c>
      <c r="F1093" s="229" t="inlineStr">
        <is>
          <t>-</t>
        </is>
      </c>
      <c r="G1093" s="697" t="n">
        <v>1</v>
      </c>
      <c r="H1093" s="697" t="n">
        <v>9902</v>
      </c>
      <c r="I1093" s="697" t="n">
        <v>0</v>
      </c>
      <c r="J1093" s="585" t="n">
        <v>23</v>
      </c>
      <c r="K1093" s="585" t="n">
        <v>10</v>
      </c>
      <c r="L1093" s="585">
        <f>IF(B1093="TXO",I1093-SUM(J1093:K1093),IF(B1093="FITX",IF(D1093="新倉",-SUM(J1093:K1093),IF(E1093="賣",(H1093-H1092)*G1093*200-SUM(J1093:K1093),(H1092-H1093)*G1093*200-SUM(J1093:K1093))),IF(D1093="新倉",-SUM(J1093:K1093),IF(E1093="賣",(H1093-H1092)*G1093*50-SUM(J1093:K1093),(H1092-H1093)*G1093*50-SUM(J1093:K1093)))))</f>
        <v/>
      </c>
      <c r="M1093" s="699">
        <f>L1093</f>
        <v/>
      </c>
      <c r="N1093" s="686">
        <f>IF(B1093="TXO","",IF(D1093="新倉","",IF(E1093="賣",(H1093-H1092)*G1093,(H1092-H1093)*G1093)))</f>
        <v/>
      </c>
      <c r="O1093" s="226">
        <f>ABS(I1093)</f>
        <v/>
      </c>
      <c r="P1093" s="667" t="n"/>
      <c r="S1093" s="249" t="n"/>
      <c r="T1093" s="61">
        <f>IF(AND(R1093="Yes",S1093&lt;&gt;"Yes",L1093&gt;0,B1093&lt;&gt;"TXO"),L1093,"")</f>
        <v/>
      </c>
      <c r="U1093" s="61">
        <f>IF(AND(R1093="Yes",S1093&lt;&gt;"Yes",L1093&lt;0,B1093&lt;&gt;"TXO"),L1093,"")</f>
        <v/>
      </c>
      <c r="V1093" s="61">
        <f>IF(AND(R1093="",S1093&lt;&gt;"Yes",L1093&gt;0,B1093&lt;&gt;"TXO"),L1093,"")</f>
        <v/>
      </c>
      <c r="W1093" s="61">
        <f>IF(AND(R1093="",S1093&lt;&gt;"Yes",L1093&lt;0,B1093&lt;&gt;"TXO"),L1093,"")</f>
        <v/>
      </c>
      <c r="X1093" s="226">
        <f>IF(AND(R1093="Yes",S1093="Yes",L1093&gt;0,B1093&lt;&gt;"TXO"),L1093,"")</f>
        <v/>
      </c>
      <c r="Y1093" s="226">
        <f>IF(AND(R1093="Yes",S1093="Yes",L1093&lt;0,B1093&lt;&gt;"TXO"),L1093,"")</f>
        <v/>
      </c>
      <c r="Z1093" s="226">
        <f>IF(AND(R1093="",S1093="Yes",L1093&gt;0,B1093&lt;&gt;"TXO"),L1093,"")</f>
        <v/>
      </c>
      <c r="AA1093" s="226">
        <f>IF(AND(R1093="",S1093="Yes",L1093&lt;0,B1093&lt;&gt;"TXO"),L1093,"")</f>
        <v/>
      </c>
    </row>
    <row r="1094" hidden="1" outlineLevel="2" ht="17.25" customHeight="1" thickBot="1">
      <c r="A1094" s="696" t="n">
        <v>43384</v>
      </c>
      <c r="B1094" s="234" t="inlineStr">
        <is>
          <t>FIMTX</t>
        </is>
      </c>
      <c r="C1094" s="229" t="inlineStr">
        <is>
          <t>小指10</t>
        </is>
      </c>
      <c r="D1094" s="229" t="inlineStr">
        <is>
          <t>新倉</t>
        </is>
      </c>
      <c r="E1094" s="257" t="inlineStr">
        <is>
          <t>賣</t>
        </is>
      </c>
      <c r="F1094" s="229" t="inlineStr">
        <is>
          <t>-</t>
        </is>
      </c>
      <c r="G1094" s="697" t="n">
        <v>2</v>
      </c>
      <c r="H1094" s="697" t="n">
        <v>9918</v>
      </c>
      <c r="I1094" s="697" t="n">
        <v>0</v>
      </c>
      <c r="J1094" s="585" t="n">
        <v>46</v>
      </c>
      <c r="K1094" s="585" t="n">
        <v>20</v>
      </c>
      <c r="L1094" s="585">
        <f>IF(B1094="TXO",I1094-SUM(J1094:K1094),IF(B1094="FITX",IF(D1094="新倉",-SUM(J1094:K1094),IF(E1094="賣",(H1094-H1093)*G1094*200-SUM(J1094:K1094),(H1093-H1094)*G1094*200-SUM(J1094:K1094))),IF(D1094="新倉",-SUM(J1094:K1094),IF(E1094="賣",(H1094-H1093)*G1094*50-SUM(J1094:K1094),(H1093-H1094)*G1094*50-SUM(J1094:K1094)))))</f>
        <v/>
      </c>
      <c r="M1094" s="699">
        <f>L1094</f>
        <v/>
      </c>
      <c r="N1094" s="686">
        <f>IF(B1094="TXO","",IF(D1094="新倉","",IF(E1094="賣",(H1094-H1093)*G1094,(H1093-H1094)*G1094)))</f>
        <v/>
      </c>
      <c r="O1094" s="226">
        <f>ABS(I1094)</f>
        <v/>
      </c>
      <c r="P1094" s="667" t="n"/>
      <c r="S1094" s="249" t="n"/>
      <c r="T1094" s="61">
        <f>IF(AND(R1094="Yes",S1094&lt;&gt;"Yes",L1094&gt;0,B1094&lt;&gt;"TXO"),L1094,"")</f>
        <v/>
      </c>
      <c r="U1094" s="61">
        <f>IF(AND(R1094="Yes",S1094&lt;&gt;"Yes",L1094&lt;0,B1094&lt;&gt;"TXO"),L1094,"")</f>
        <v/>
      </c>
      <c r="V1094" s="61">
        <f>IF(AND(R1094="",S1094&lt;&gt;"Yes",L1094&gt;0,B1094&lt;&gt;"TXO"),L1094,"")</f>
        <v/>
      </c>
      <c r="W1094" s="61">
        <f>IF(AND(R1094="",S1094&lt;&gt;"Yes",L1094&lt;0,B1094&lt;&gt;"TXO"),L1094,"")</f>
        <v/>
      </c>
      <c r="X1094" s="226">
        <f>IF(AND(R1094="Yes",S1094="Yes",L1094&gt;0,B1094&lt;&gt;"TXO"),L1094,"")</f>
        <v/>
      </c>
      <c r="Y1094" s="226">
        <f>IF(AND(R1094="Yes",S1094="Yes",L1094&lt;0,B1094&lt;&gt;"TXO"),L1094,"")</f>
        <v/>
      </c>
      <c r="Z1094" s="226">
        <f>IF(AND(R1094="",S1094="Yes",L1094&gt;0,B1094&lt;&gt;"TXO"),L1094,"")</f>
        <v/>
      </c>
      <c r="AA1094" s="226">
        <f>IF(AND(R1094="",S1094="Yes",L1094&lt;0,B1094&lt;&gt;"TXO"),L1094,"")</f>
        <v/>
      </c>
    </row>
    <row r="1095" hidden="1" outlineLevel="2" ht="17.25" customHeight="1" thickBot="1">
      <c r="A1095" s="696" t="n">
        <v>43384</v>
      </c>
      <c r="B1095" s="234" t="inlineStr">
        <is>
          <t>FIMTX</t>
        </is>
      </c>
      <c r="C1095" s="229" t="inlineStr">
        <is>
          <t>小指10</t>
        </is>
      </c>
      <c r="D1095" s="229" t="inlineStr">
        <is>
          <t>平倉</t>
        </is>
      </c>
      <c r="E1095" s="257" t="inlineStr">
        <is>
          <t>買</t>
        </is>
      </c>
      <c r="F1095" s="229" t="inlineStr">
        <is>
          <t>-</t>
        </is>
      </c>
      <c r="G1095" s="697" t="n">
        <v>2</v>
      </c>
      <c r="H1095" s="697" t="n">
        <v>9914</v>
      </c>
      <c r="I1095" s="697" t="n">
        <v>0</v>
      </c>
      <c r="J1095" s="585" t="n">
        <v>46</v>
      </c>
      <c r="K1095" s="585" t="n">
        <v>20</v>
      </c>
      <c r="L1095" s="585">
        <f>IF(B1095="TXO",I1095-SUM(J1095:K1095),IF(B1095="FITX",IF(D1095="新倉",-SUM(J1095:K1095),IF(E1095="賣",(H1095-H1094)*G1095*200-SUM(J1095:K1095),(H1094-H1095)*G1095*200-SUM(J1095:K1095))),IF(D1095="新倉",-SUM(J1095:K1095),IF(E1095="賣",(H1095-H1094)*G1095*50-SUM(J1095:K1095),(H1094-H1095)*G1095*50-SUM(J1095:K1095)))))</f>
        <v/>
      </c>
      <c r="M1095" s="699">
        <f>L1095</f>
        <v/>
      </c>
      <c r="N1095" s="686">
        <f>IF(B1095="TXO","",IF(D1095="新倉","",IF(E1095="賣",(H1095-H1094)*G1095,(H1094-H1095)*G1095)))</f>
        <v/>
      </c>
      <c r="O1095" s="226">
        <f>ABS(I1095)</f>
        <v/>
      </c>
      <c r="P1095" s="667" t="n"/>
      <c r="S1095" s="249" t="n"/>
      <c r="T1095" s="61">
        <f>IF(AND(R1095="Yes",S1095&lt;&gt;"Yes",L1095&gt;0,B1095&lt;&gt;"TXO"),L1095,"")</f>
        <v/>
      </c>
      <c r="U1095" s="61">
        <f>IF(AND(R1095="Yes",S1095&lt;&gt;"Yes",L1095&lt;0,B1095&lt;&gt;"TXO"),L1095,"")</f>
        <v/>
      </c>
      <c r="V1095" s="61">
        <f>IF(AND(R1095="",S1095&lt;&gt;"Yes",L1095&gt;0,B1095&lt;&gt;"TXO"),L1095,"")</f>
        <v/>
      </c>
      <c r="W1095" s="61">
        <f>IF(AND(R1095="",S1095&lt;&gt;"Yes",L1095&lt;0,B1095&lt;&gt;"TXO"),L1095,"")</f>
        <v/>
      </c>
      <c r="X1095" s="226">
        <f>IF(AND(R1095="Yes",S1095="Yes",L1095&gt;0,B1095&lt;&gt;"TXO"),L1095,"")</f>
        <v/>
      </c>
      <c r="Y1095" s="226">
        <f>IF(AND(R1095="Yes",S1095="Yes",L1095&lt;0,B1095&lt;&gt;"TXO"),L1095,"")</f>
        <v/>
      </c>
      <c r="Z1095" s="226">
        <f>IF(AND(R1095="",S1095="Yes",L1095&gt;0,B1095&lt;&gt;"TXO"),L1095,"")</f>
        <v/>
      </c>
      <c r="AA1095" s="226">
        <f>IF(AND(R1095="",S1095="Yes",L1095&lt;0,B1095&lt;&gt;"TXO"),L1095,"")</f>
        <v/>
      </c>
    </row>
    <row r="1096" hidden="1" outlineLevel="2" ht="17.25" customHeight="1" thickBot="1">
      <c r="A1096" s="696" t="n">
        <v>43384</v>
      </c>
      <c r="B1096" s="234" t="inlineStr">
        <is>
          <t>FIMTX</t>
        </is>
      </c>
      <c r="C1096" s="229" t="inlineStr">
        <is>
          <t>小指10</t>
        </is>
      </c>
      <c r="D1096" s="229" t="inlineStr">
        <is>
          <t>新倉</t>
        </is>
      </c>
      <c r="E1096" s="257" t="inlineStr">
        <is>
          <t>賣</t>
        </is>
      </c>
      <c r="F1096" s="229" t="inlineStr">
        <is>
          <t>-</t>
        </is>
      </c>
      <c r="G1096" s="697" t="n">
        <v>1</v>
      </c>
      <c r="H1096" s="697" t="n">
        <v>9918</v>
      </c>
      <c r="I1096" s="697" t="n">
        <v>0</v>
      </c>
      <c r="J1096" s="585" t="n">
        <v>23</v>
      </c>
      <c r="K1096" s="585" t="n">
        <v>10</v>
      </c>
      <c r="L1096" s="585">
        <f>IF(B1096="TXO",I1096-SUM(J1096:K1096),IF(B1096="FITX",IF(D1096="新倉",-SUM(J1096:K1096),IF(E1096="賣",(H1096-H1095)*G1096*200-SUM(J1096:K1096),(H1095-H1096)*G1096*200-SUM(J1096:K1096))),IF(D1096="新倉",-SUM(J1096:K1096),IF(E1096="賣",(H1096-H1095)*G1096*50-SUM(J1096:K1096),(H1095-H1096)*G1096*50-SUM(J1096:K1096)))))</f>
        <v/>
      </c>
      <c r="M1096" s="699">
        <f>L1096</f>
        <v/>
      </c>
      <c r="N1096" s="686">
        <f>IF(B1096="TXO","",IF(D1096="新倉","",IF(E1096="賣",(H1096-H1095)*G1096,(H1095-H1096)*G1096)))</f>
        <v/>
      </c>
      <c r="O1096" s="226">
        <f>ABS(I1096)</f>
        <v/>
      </c>
      <c r="P1096" s="667" t="n"/>
      <c r="S1096" s="249" t="n"/>
      <c r="T1096" s="61">
        <f>IF(AND(R1096="Yes",S1096&lt;&gt;"Yes",L1096&gt;0,B1096&lt;&gt;"TXO"),L1096,"")</f>
        <v/>
      </c>
      <c r="U1096" s="61">
        <f>IF(AND(R1096="Yes",S1096&lt;&gt;"Yes",L1096&lt;0,B1096&lt;&gt;"TXO"),L1096,"")</f>
        <v/>
      </c>
      <c r="V1096" s="61">
        <f>IF(AND(R1096="",S1096&lt;&gt;"Yes",L1096&gt;0,B1096&lt;&gt;"TXO"),L1096,"")</f>
        <v/>
      </c>
      <c r="W1096" s="61">
        <f>IF(AND(R1096="",S1096&lt;&gt;"Yes",L1096&lt;0,B1096&lt;&gt;"TXO"),L1096,"")</f>
        <v/>
      </c>
      <c r="X1096" s="226">
        <f>IF(AND(R1096="Yes",S1096="Yes",L1096&gt;0,B1096&lt;&gt;"TXO"),L1096,"")</f>
        <v/>
      </c>
      <c r="Y1096" s="226">
        <f>IF(AND(R1096="Yes",S1096="Yes",L1096&lt;0,B1096&lt;&gt;"TXO"),L1096,"")</f>
        <v/>
      </c>
      <c r="Z1096" s="226">
        <f>IF(AND(R1096="",S1096="Yes",L1096&gt;0,B1096&lt;&gt;"TXO"),L1096,"")</f>
        <v/>
      </c>
      <c r="AA1096" s="226">
        <f>IF(AND(R1096="",S1096="Yes",L1096&lt;0,B1096&lt;&gt;"TXO"),L1096,"")</f>
        <v/>
      </c>
    </row>
    <row r="1097" hidden="1" outlineLevel="2" ht="17.25" customHeight="1" thickBot="1">
      <c r="A1097" s="696" t="n">
        <v>43384</v>
      </c>
      <c r="B1097" s="234" t="inlineStr">
        <is>
          <t>FIMTX</t>
        </is>
      </c>
      <c r="C1097" s="229" t="inlineStr">
        <is>
          <t>小指10</t>
        </is>
      </c>
      <c r="D1097" s="229" t="inlineStr">
        <is>
          <t>平倉</t>
        </is>
      </c>
      <c r="E1097" s="257" t="inlineStr">
        <is>
          <t>買</t>
        </is>
      </c>
      <c r="F1097" s="229" t="inlineStr">
        <is>
          <t>-</t>
        </is>
      </c>
      <c r="G1097" s="697" t="n">
        <v>1</v>
      </c>
      <c r="H1097" s="697" t="n">
        <v>9915</v>
      </c>
      <c r="I1097" s="697" t="n">
        <v>0</v>
      </c>
      <c r="J1097" s="585" t="n">
        <v>23</v>
      </c>
      <c r="K1097" s="585" t="n">
        <v>10</v>
      </c>
      <c r="L1097" s="585">
        <f>IF(B1097="TXO",I1097-SUM(J1097:K1097),IF(B1097="FITX",IF(D1097="新倉",-SUM(J1097:K1097),IF(E1097="賣",(H1097-H1096)*G1097*200-SUM(J1097:K1097),(H1096-H1097)*G1097*200-SUM(J1097:K1097))),IF(D1097="新倉",-SUM(J1097:K1097),IF(E1097="賣",(H1097-H1096)*G1097*50-SUM(J1097:K1097),(H1096-H1097)*G1097*50-SUM(J1097:K1097)))))</f>
        <v/>
      </c>
      <c r="M1097" s="699">
        <f>L1097</f>
        <v/>
      </c>
      <c r="N1097" s="686">
        <f>IF(B1097="TXO","",IF(D1097="新倉","",IF(E1097="賣",(H1097-H1096)*G1097,(H1096-H1097)*G1097)))</f>
        <v/>
      </c>
      <c r="O1097" s="226">
        <f>ABS(I1097)</f>
        <v/>
      </c>
      <c r="P1097" s="667" t="n"/>
      <c r="S1097" s="249" t="n"/>
      <c r="T1097" s="61">
        <f>IF(AND(R1097="Yes",S1097&lt;&gt;"Yes",L1097&gt;0,B1097&lt;&gt;"TXO"),L1097,"")</f>
        <v/>
      </c>
      <c r="U1097" s="61">
        <f>IF(AND(R1097="Yes",S1097&lt;&gt;"Yes",L1097&lt;0,B1097&lt;&gt;"TXO"),L1097,"")</f>
        <v/>
      </c>
      <c r="V1097" s="61">
        <f>IF(AND(R1097="",S1097&lt;&gt;"Yes",L1097&gt;0,B1097&lt;&gt;"TXO"),L1097,"")</f>
        <v/>
      </c>
      <c r="W1097" s="61">
        <f>IF(AND(R1097="",S1097&lt;&gt;"Yes",L1097&lt;0,B1097&lt;&gt;"TXO"),L1097,"")</f>
        <v/>
      </c>
      <c r="X1097" s="226">
        <f>IF(AND(R1097="Yes",S1097="Yes",L1097&gt;0,B1097&lt;&gt;"TXO"),L1097,"")</f>
        <v/>
      </c>
      <c r="Y1097" s="226">
        <f>IF(AND(R1097="Yes",S1097="Yes",L1097&lt;0,B1097&lt;&gt;"TXO"),L1097,"")</f>
        <v/>
      </c>
      <c r="Z1097" s="226">
        <f>IF(AND(R1097="",S1097="Yes",L1097&gt;0,B1097&lt;&gt;"TXO"),L1097,"")</f>
        <v/>
      </c>
      <c r="AA1097" s="226">
        <f>IF(AND(R1097="",S1097="Yes",L1097&lt;0,B1097&lt;&gt;"TXO"),L1097,"")</f>
        <v/>
      </c>
    </row>
    <row r="1098" hidden="1" outlineLevel="2" ht="17.25" customHeight="1" thickBot="1">
      <c r="A1098" s="696" t="n">
        <v>43384</v>
      </c>
      <c r="B1098" s="234" t="inlineStr">
        <is>
          <t>FIMTX</t>
        </is>
      </c>
      <c r="C1098" s="229" t="inlineStr">
        <is>
          <t>小指10</t>
        </is>
      </c>
      <c r="D1098" s="229" t="inlineStr">
        <is>
          <t>新倉</t>
        </is>
      </c>
      <c r="E1098" s="257" t="inlineStr">
        <is>
          <t>賣</t>
        </is>
      </c>
      <c r="F1098" s="229" t="inlineStr">
        <is>
          <t>-</t>
        </is>
      </c>
      <c r="G1098" s="697" t="n">
        <v>1</v>
      </c>
      <c r="H1098" s="697" t="n">
        <v>9893</v>
      </c>
      <c r="I1098" s="697" t="n">
        <v>0</v>
      </c>
      <c r="J1098" s="585" t="n">
        <v>23</v>
      </c>
      <c r="K1098" s="585" t="n">
        <v>10</v>
      </c>
      <c r="L1098" s="585">
        <f>IF(B1098="TXO",I1098-SUM(J1098:K1098),IF(B1098="FITX",IF(D1098="新倉",-SUM(J1098:K1098),IF(E1098="賣",(H1098-H1097)*G1098*200-SUM(J1098:K1098),(H1097-H1098)*G1098*200-SUM(J1098:K1098))),IF(D1098="新倉",-SUM(J1098:K1098),IF(E1098="賣",(H1098-H1097)*G1098*50-SUM(J1098:K1098),(H1097-H1098)*G1098*50-SUM(J1098:K1098)))))</f>
        <v/>
      </c>
      <c r="M1098" s="699">
        <f>L1098</f>
        <v/>
      </c>
      <c r="N1098" s="686">
        <f>IF(B1098="TXO","",IF(D1098="新倉","",IF(E1098="賣",(H1098-H1097)*G1098,(H1097-H1098)*G1098)))</f>
        <v/>
      </c>
      <c r="O1098" s="226">
        <f>ABS(I1098)</f>
        <v/>
      </c>
      <c r="P1098" s="667" t="n"/>
      <c r="S1098" s="249" t="n"/>
      <c r="T1098" s="61">
        <f>IF(AND(R1098="Yes",S1098&lt;&gt;"Yes",L1098&gt;0,B1098&lt;&gt;"TXO"),L1098,"")</f>
        <v/>
      </c>
      <c r="U1098" s="61">
        <f>IF(AND(R1098="Yes",S1098&lt;&gt;"Yes",L1098&lt;0,B1098&lt;&gt;"TXO"),L1098,"")</f>
        <v/>
      </c>
      <c r="V1098" s="61">
        <f>IF(AND(R1098="",S1098&lt;&gt;"Yes",L1098&gt;0,B1098&lt;&gt;"TXO"),L1098,"")</f>
        <v/>
      </c>
      <c r="W1098" s="61">
        <f>IF(AND(R1098="",S1098&lt;&gt;"Yes",L1098&lt;0,B1098&lt;&gt;"TXO"),L1098,"")</f>
        <v/>
      </c>
      <c r="X1098" s="226">
        <f>IF(AND(R1098="Yes",S1098="Yes",L1098&gt;0,B1098&lt;&gt;"TXO"),L1098,"")</f>
        <v/>
      </c>
      <c r="Y1098" s="226">
        <f>IF(AND(R1098="Yes",S1098="Yes",L1098&lt;0,B1098&lt;&gt;"TXO"),L1098,"")</f>
        <v/>
      </c>
      <c r="Z1098" s="226">
        <f>IF(AND(R1098="",S1098="Yes",L1098&gt;0,B1098&lt;&gt;"TXO"),L1098,"")</f>
        <v/>
      </c>
      <c r="AA1098" s="226">
        <f>IF(AND(R1098="",S1098="Yes",L1098&lt;0,B1098&lt;&gt;"TXO"),L1098,"")</f>
        <v/>
      </c>
    </row>
    <row r="1099" hidden="1" outlineLevel="2" ht="17.25" customHeight="1" thickBot="1">
      <c r="A1099" s="696" t="n">
        <v>43384</v>
      </c>
      <c r="B1099" s="234" t="inlineStr">
        <is>
          <t>FIMTX</t>
        </is>
      </c>
      <c r="C1099" s="229" t="inlineStr">
        <is>
          <t>小指10</t>
        </is>
      </c>
      <c r="D1099" s="229" t="inlineStr">
        <is>
          <t>平倉</t>
        </is>
      </c>
      <c r="E1099" s="257" t="inlineStr">
        <is>
          <t>買</t>
        </is>
      </c>
      <c r="F1099" s="229" t="inlineStr">
        <is>
          <t>-</t>
        </is>
      </c>
      <c r="G1099" s="697" t="n">
        <v>1</v>
      </c>
      <c r="H1099" s="697" t="n">
        <v>9908</v>
      </c>
      <c r="I1099" s="697" t="n">
        <v>0</v>
      </c>
      <c r="J1099" s="585" t="n">
        <v>23</v>
      </c>
      <c r="K1099" s="585" t="n">
        <v>10</v>
      </c>
      <c r="L1099" s="585">
        <f>IF(B1099="TXO",I1099-SUM(J1099:K1099),IF(B1099="FITX",IF(D1099="新倉",-SUM(J1099:K1099),IF(E1099="賣",(H1099-H1098)*G1099*200-SUM(J1099:K1099),(H1098-H1099)*G1099*200-SUM(J1099:K1099))),IF(D1099="新倉",-SUM(J1099:K1099),IF(E1099="賣",(H1099-H1098)*G1099*50-SUM(J1099:K1099),(H1098-H1099)*G1099*50-SUM(J1099:K1099)))))</f>
        <v/>
      </c>
      <c r="M1099" s="699">
        <f>L1099</f>
        <v/>
      </c>
      <c r="N1099" s="686">
        <f>IF(B1099="TXO","",IF(D1099="新倉","",IF(E1099="賣",(H1099-H1098)*G1099,(H1098-H1099)*G1099)))</f>
        <v/>
      </c>
      <c r="O1099" s="226">
        <f>ABS(I1099)</f>
        <v/>
      </c>
      <c r="P1099" s="667" t="n"/>
      <c r="S1099" s="249" t="n"/>
      <c r="T1099" s="61">
        <f>IF(AND(R1099="Yes",S1099&lt;&gt;"Yes",L1099&gt;0,B1099&lt;&gt;"TXO"),L1099,"")</f>
        <v/>
      </c>
      <c r="U1099" s="61">
        <f>IF(AND(R1099="Yes",S1099&lt;&gt;"Yes",L1099&lt;0,B1099&lt;&gt;"TXO"),L1099,"")</f>
        <v/>
      </c>
      <c r="V1099" s="61">
        <f>IF(AND(R1099="",S1099&lt;&gt;"Yes",L1099&gt;0,B1099&lt;&gt;"TXO"),L1099,"")</f>
        <v/>
      </c>
      <c r="W1099" s="61">
        <f>IF(AND(R1099="",S1099&lt;&gt;"Yes",L1099&lt;0,B1099&lt;&gt;"TXO"),L1099,"")</f>
        <v/>
      </c>
      <c r="X1099" s="226">
        <f>IF(AND(R1099="Yes",S1099="Yes",L1099&gt;0,B1099&lt;&gt;"TXO"),L1099,"")</f>
        <v/>
      </c>
      <c r="Y1099" s="226">
        <f>IF(AND(R1099="Yes",S1099="Yes",L1099&lt;0,B1099&lt;&gt;"TXO"),L1099,"")</f>
        <v/>
      </c>
      <c r="Z1099" s="226">
        <f>IF(AND(R1099="",S1099="Yes",L1099&gt;0,B1099&lt;&gt;"TXO"),L1099,"")</f>
        <v/>
      </c>
      <c r="AA1099" s="226">
        <f>IF(AND(R1099="",S1099="Yes",L1099&lt;0,B1099&lt;&gt;"TXO"),L1099,"")</f>
        <v/>
      </c>
    </row>
    <row r="1100" hidden="1" outlineLevel="2" ht="17.25" customHeight="1" thickBot="1">
      <c r="A1100" s="696" t="n">
        <v>43384</v>
      </c>
      <c r="B1100" s="234" t="inlineStr">
        <is>
          <t>FIMTX</t>
        </is>
      </c>
      <c r="C1100" s="229" t="inlineStr">
        <is>
          <t>小指10</t>
        </is>
      </c>
      <c r="D1100" s="229" t="inlineStr">
        <is>
          <t>新倉</t>
        </is>
      </c>
      <c r="E1100" s="257" t="inlineStr">
        <is>
          <t>賣</t>
        </is>
      </c>
      <c r="F1100" s="229" t="inlineStr">
        <is>
          <t>-</t>
        </is>
      </c>
      <c r="G1100" s="697" t="n">
        <v>1</v>
      </c>
      <c r="H1100" s="697" t="n">
        <v>9895</v>
      </c>
      <c r="I1100" s="697" t="n">
        <v>0</v>
      </c>
      <c r="J1100" s="585" t="n">
        <v>23</v>
      </c>
      <c r="K1100" s="585" t="n">
        <v>10</v>
      </c>
      <c r="L1100" s="585">
        <f>IF(B1100="TXO",I1100-SUM(J1100:K1100),IF(B1100="FITX",IF(D1100="新倉",-SUM(J1100:K1100),IF(E1100="賣",(H1100-H1099)*G1100*200-SUM(J1100:K1100),(H1099-H1100)*G1100*200-SUM(J1100:K1100))),IF(D1100="新倉",-SUM(J1100:K1100),IF(E1100="賣",(H1100-H1099)*G1100*50-SUM(J1100:K1100),(H1099-H1100)*G1100*50-SUM(J1100:K1100)))))</f>
        <v/>
      </c>
      <c r="M1100" s="699">
        <f>L1100</f>
        <v/>
      </c>
      <c r="N1100" s="686">
        <f>IF(B1100="TXO","",IF(D1100="新倉","",IF(E1100="賣",(H1100-H1099)*G1100,(H1099-H1100)*G1100)))</f>
        <v/>
      </c>
      <c r="O1100" s="226">
        <f>ABS(I1100)</f>
        <v/>
      </c>
      <c r="P1100" s="667" t="n"/>
      <c r="S1100" s="249" t="n"/>
      <c r="T1100" s="61">
        <f>IF(AND(R1100="Yes",S1100&lt;&gt;"Yes",L1100&gt;0,B1100&lt;&gt;"TXO"),L1100,"")</f>
        <v/>
      </c>
      <c r="U1100" s="61">
        <f>IF(AND(R1100="Yes",S1100&lt;&gt;"Yes",L1100&lt;0,B1100&lt;&gt;"TXO"),L1100,"")</f>
        <v/>
      </c>
      <c r="V1100" s="61">
        <f>IF(AND(R1100="",S1100&lt;&gt;"Yes",L1100&gt;0,B1100&lt;&gt;"TXO"),L1100,"")</f>
        <v/>
      </c>
      <c r="W1100" s="61">
        <f>IF(AND(R1100="",S1100&lt;&gt;"Yes",L1100&lt;0,B1100&lt;&gt;"TXO"),L1100,"")</f>
        <v/>
      </c>
      <c r="X1100" s="226">
        <f>IF(AND(R1100="Yes",S1100="Yes",L1100&gt;0,B1100&lt;&gt;"TXO"),L1100,"")</f>
        <v/>
      </c>
      <c r="Y1100" s="226">
        <f>IF(AND(R1100="Yes",S1100="Yes",L1100&lt;0,B1100&lt;&gt;"TXO"),L1100,"")</f>
        <v/>
      </c>
      <c r="Z1100" s="226">
        <f>IF(AND(R1100="",S1100="Yes",L1100&gt;0,B1100&lt;&gt;"TXO"),L1100,"")</f>
        <v/>
      </c>
      <c r="AA1100" s="226">
        <f>IF(AND(R1100="",S1100="Yes",L1100&lt;0,B1100&lt;&gt;"TXO"),L1100,"")</f>
        <v/>
      </c>
    </row>
    <row r="1101" hidden="1" outlineLevel="2" ht="17.25" customHeight="1" thickBot="1">
      <c r="A1101" s="696" t="n">
        <v>43384</v>
      </c>
      <c r="B1101" s="234" t="inlineStr">
        <is>
          <t>FIMTX</t>
        </is>
      </c>
      <c r="C1101" s="229" t="inlineStr">
        <is>
          <t>小指10</t>
        </is>
      </c>
      <c r="D1101" s="229" t="inlineStr">
        <is>
          <t>平倉</t>
        </is>
      </c>
      <c r="E1101" s="257" t="inlineStr">
        <is>
          <t>買</t>
        </is>
      </c>
      <c r="F1101" s="229" t="inlineStr">
        <is>
          <t>-</t>
        </is>
      </c>
      <c r="G1101" s="697" t="n">
        <v>1</v>
      </c>
      <c r="H1101" s="697" t="n">
        <v>9909</v>
      </c>
      <c r="I1101" s="697" t="n">
        <v>0</v>
      </c>
      <c r="J1101" s="585" t="n">
        <v>23</v>
      </c>
      <c r="K1101" s="585" t="n">
        <v>10</v>
      </c>
      <c r="L1101" s="585">
        <f>IF(B1101="TXO",I1101-SUM(J1101:K1101),IF(B1101="FITX",IF(D1101="新倉",-SUM(J1101:K1101),IF(E1101="賣",(H1101-H1100)*G1101*200-SUM(J1101:K1101),(H1100-H1101)*G1101*200-SUM(J1101:K1101))),IF(D1101="新倉",-SUM(J1101:K1101),IF(E1101="賣",(H1101-H1100)*G1101*50-SUM(J1101:K1101),(H1100-H1101)*G1101*50-SUM(J1101:K1101)))))</f>
        <v/>
      </c>
      <c r="M1101" s="699">
        <f>L1101</f>
        <v/>
      </c>
      <c r="N1101" s="686">
        <f>IF(B1101="TXO","",IF(D1101="新倉","",IF(E1101="賣",(H1101-H1100)*G1101,(H1100-H1101)*G1101)))</f>
        <v/>
      </c>
      <c r="O1101" s="226">
        <f>ABS(I1101)</f>
        <v/>
      </c>
      <c r="P1101" s="667" t="n"/>
      <c r="S1101" s="249" t="n"/>
      <c r="T1101" s="61">
        <f>IF(AND(R1101="Yes",S1101&lt;&gt;"Yes",L1101&gt;0,B1101&lt;&gt;"TXO"),L1101,"")</f>
        <v/>
      </c>
      <c r="U1101" s="61">
        <f>IF(AND(R1101="Yes",S1101&lt;&gt;"Yes",L1101&lt;0,B1101&lt;&gt;"TXO"),L1101,"")</f>
        <v/>
      </c>
      <c r="V1101" s="61">
        <f>IF(AND(R1101="",S1101&lt;&gt;"Yes",L1101&gt;0,B1101&lt;&gt;"TXO"),L1101,"")</f>
        <v/>
      </c>
      <c r="W1101" s="61">
        <f>IF(AND(R1101="",S1101&lt;&gt;"Yes",L1101&lt;0,B1101&lt;&gt;"TXO"),L1101,"")</f>
        <v/>
      </c>
      <c r="X1101" s="226">
        <f>IF(AND(R1101="Yes",S1101="Yes",L1101&gt;0,B1101&lt;&gt;"TXO"),L1101,"")</f>
        <v/>
      </c>
      <c r="Y1101" s="226">
        <f>IF(AND(R1101="Yes",S1101="Yes",L1101&lt;0,B1101&lt;&gt;"TXO"),L1101,"")</f>
        <v/>
      </c>
      <c r="Z1101" s="226">
        <f>IF(AND(R1101="",S1101="Yes",L1101&gt;0,B1101&lt;&gt;"TXO"),L1101,"")</f>
        <v/>
      </c>
      <c r="AA1101" s="226">
        <f>IF(AND(R1101="",S1101="Yes",L1101&lt;0,B1101&lt;&gt;"TXO"),L1101,"")</f>
        <v/>
      </c>
    </row>
    <row r="1102" hidden="1" outlineLevel="2" ht="17.25" customHeight="1" thickBot="1">
      <c r="A1102" s="696" t="n">
        <v>43384</v>
      </c>
      <c r="B1102" s="234" t="inlineStr">
        <is>
          <t>FIMTX</t>
        </is>
      </c>
      <c r="C1102" s="229" t="inlineStr">
        <is>
          <t>小指10</t>
        </is>
      </c>
      <c r="D1102" s="229" t="inlineStr">
        <is>
          <t>新倉</t>
        </is>
      </c>
      <c r="E1102" s="257" t="inlineStr">
        <is>
          <t>賣</t>
        </is>
      </c>
      <c r="F1102" s="229" t="inlineStr">
        <is>
          <t>-</t>
        </is>
      </c>
      <c r="G1102" s="697" t="n">
        <v>1</v>
      </c>
      <c r="H1102" s="697" t="n">
        <v>9896</v>
      </c>
      <c r="I1102" s="697" t="n">
        <v>0</v>
      </c>
      <c r="J1102" s="585" t="n">
        <v>23</v>
      </c>
      <c r="K1102" s="585" t="n">
        <v>10</v>
      </c>
      <c r="L1102" s="585">
        <f>IF(B1102="TXO",I1102-SUM(J1102:K1102),IF(B1102="FITX",IF(D1102="新倉",-SUM(J1102:K1102),IF(E1102="賣",(H1102-H1101)*G1102*200-SUM(J1102:K1102),(H1101-H1102)*G1102*200-SUM(J1102:K1102))),IF(D1102="新倉",-SUM(J1102:K1102),IF(E1102="賣",(H1102-H1101)*G1102*50-SUM(J1102:K1102),(H1101-H1102)*G1102*50-SUM(J1102:K1102)))))</f>
        <v/>
      </c>
      <c r="M1102" s="699">
        <f>L1102</f>
        <v/>
      </c>
      <c r="N1102" s="686">
        <f>IF(B1102="TXO","",IF(D1102="新倉","",IF(E1102="賣",(H1102-H1101)*G1102,(H1101-H1102)*G1102)))</f>
        <v/>
      </c>
      <c r="O1102" s="226">
        <f>ABS(I1102)</f>
        <v/>
      </c>
      <c r="P1102" s="667" t="n"/>
      <c r="S1102" s="249" t="n"/>
      <c r="T1102" s="61">
        <f>IF(AND(R1102="Yes",S1102&lt;&gt;"Yes",L1102&gt;0,B1102&lt;&gt;"TXO"),L1102,"")</f>
        <v/>
      </c>
      <c r="U1102" s="61">
        <f>IF(AND(R1102="Yes",S1102&lt;&gt;"Yes",L1102&lt;0,B1102&lt;&gt;"TXO"),L1102,"")</f>
        <v/>
      </c>
      <c r="V1102" s="61">
        <f>IF(AND(R1102="",S1102&lt;&gt;"Yes",L1102&gt;0,B1102&lt;&gt;"TXO"),L1102,"")</f>
        <v/>
      </c>
      <c r="W1102" s="61">
        <f>IF(AND(R1102="",S1102&lt;&gt;"Yes",L1102&lt;0,B1102&lt;&gt;"TXO"),L1102,"")</f>
        <v/>
      </c>
      <c r="X1102" s="226">
        <f>IF(AND(R1102="Yes",S1102="Yes",L1102&gt;0,B1102&lt;&gt;"TXO"),L1102,"")</f>
        <v/>
      </c>
      <c r="Y1102" s="226">
        <f>IF(AND(R1102="Yes",S1102="Yes",L1102&lt;0,B1102&lt;&gt;"TXO"),L1102,"")</f>
        <v/>
      </c>
      <c r="Z1102" s="226">
        <f>IF(AND(R1102="",S1102="Yes",L1102&gt;0,B1102&lt;&gt;"TXO"),L1102,"")</f>
        <v/>
      </c>
      <c r="AA1102" s="226">
        <f>IF(AND(R1102="",S1102="Yes",L1102&lt;0,B1102&lt;&gt;"TXO"),L1102,"")</f>
        <v/>
      </c>
    </row>
    <row r="1103" hidden="1" outlineLevel="2" ht="17.25" customHeight="1" thickBot="1">
      <c r="A1103" s="696" t="n">
        <v>43384</v>
      </c>
      <c r="B1103" s="234" t="inlineStr">
        <is>
          <t>FIMTX</t>
        </is>
      </c>
      <c r="C1103" s="229" t="inlineStr">
        <is>
          <t>小指10</t>
        </is>
      </c>
      <c r="D1103" s="229" t="inlineStr">
        <is>
          <t>平倉</t>
        </is>
      </c>
      <c r="E1103" s="257" t="inlineStr">
        <is>
          <t>買</t>
        </is>
      </c>
      <c r="F1103" s="229" t="inlineStr">
        <is>
          <t>-</t>
        </is>
      </c>
      <c r="G1103" s="697" t="n">
        <v>1</v>
      </c>
      <c r="H1103" s="697" t="n">
        <v>9910</v>
      </c>
      <c r="I1103" s="697" t="n">
        <v>0</v>
      </c>
      <c r="J1103" s="585" t="n">
        <v>23</v>
      </c>
      <c r="K1103" s="585" t="n">
        <v>10</v>
      </c>
      <c r="L1103" s="585">
        <f>IF(B1103="TXO",I1103-SUM(J1103:K1103),IF(B1103="FITX",IF(D1103="新倉",-SUM(J1103:K1103),IF(E1103="賣",(H1103-H1102)*G1103*200-SUM(J1103:K1103),(H1102-H1103)*G1103*200-SUM(J1103:K1103))),IF(D1103="新倉",-SUM(J1103:K1103),IF(E1103="賣",(H1103-H1102)*G1103*50-SUM(J1103:K1103),(H1102-H1103)*G1103*50-SUM(J1103:K1103)))))</f>
        <v/>
      </c>
      <c r="M1103" s="699">
        <f>L1103</f>
        <v/>
      </c>
      <c r="N1103" s="686">
        <f>IF(B1103="TXO","",IF(D1103="新倉","",IF(E1103="賣",(H1103-H1102)*G1103,(H1102-H1103)*G1103)))</f>
        <v/>
      </c>
      <c r="O1103" s="226">
        <f>ABS(I1103)</f>
        <v/>
      </c>
      <c r="P1103" s="667" t="n"/>
      <c r="S1103" s="249" t="n"/>
      <c r="T1103" s="61">
        <f>IF(AND(R1103="Yes",S1103&lt;&gt;"Yes",L1103&gt;0,B1103&lt;&gt;"TXO"),L1103,"")</f>
        <v/>
      </c>
      <c r="U1103" s="61">
        <f>IF(AND(R1103="Yes",S1103&lt;&gt;"Yes",L1103&lt;0,B1103&lt;&gt;"TXO"),L1103,"")</f>
        <v/>
      </c>
      <c r="V1103" s="61">
        <f>IF(AND(R1103="",S1103&lt;&gt;"Yes",L1103&gt;0,B1103&lt;&gt;"TXO"),L1103,"")</f>
        <v/>
      </c>
      <c r="W1103" s="61">
        <f>IF(AND(R1103="",S1103&lt;&gt;"Yes",L1103&lt;0,B1103&lt;&gt;"TXO"),L1103,"")</f>
        <v/>
      </c>
      <c r="X1103" s="226">
        <f>IF(AND(R1103="Yes",S1103="Yes",L1103&gt;0,B1103&lt;&gt;"TXO"),L1103,"")</f>
        <v/>
      </c>
      <c r="Y1103" s="226">
        <f>IF(AND(R1103="Yes",S1103="Yes",L1103&lt;0,B1103&lt;&gt;"TXO"),L1103,"")</f>
        <v/>
      </c>
      <c r="Z1103" s="226">
        <f>IF(AND(R1103="",S1103="Yes",L1103&gt;0,B1103&lt;&gt;"TXO"),L1103,"")</f>
        <v/>
      </c>
      <c r="AA1103" s="226">
        <f>IF(AND(R1103="",S1103="Yes",L1103&lt;0,B1103&lt;&gt;"TXO"),L1103,"")</f>
        <v/>
      </c>
    </row>
    <row r="1104" hidden="1" outlineLevel="2" ht="17.25" customHeight="1" thickBot="1">
      <c r="A1104" s="696" t="n">
        <v>43384</v>
      </c>
      <c r="B1104" s="234" t="inlineStr">
        <is>
          <t>FIMTX</t>
        </is>
      </c>
      <c r="C1104" s="229" t="inlineStr">
        <is>
          <t>小指10</t>
        </is>
      </c>
      <c r="D1104" s="229" t="inlineStr">
        <is>
          <t>新倉</t>
        </is>
      </c>
      <c r="E1104" s="257" t="inlineStr">
        <is>
          <t>賣</t>
        </is>
      </c>
      <c r="F1104" s="229" t="inlineStr">
        <is>
          <t>-</t>
        </is>
      </c>
      <c r="G1104" s="697" t="n">
        <v>3</v>
      </c>
      <c r="H1104" s="697" t="n">
        <v>9901</v>
      </c>
      <c r="I1104" s="697" t="n">
        <v>0</v>
      </c>
      <c r="J1104" s="585" t="n">
        <v>69</v>
      </c>
      <c r="K1104" s="585" t="n">
        <v>30</v>
      </c>
      <c r="L1104" s="585">
        <f>IF(B1104="TXO",I1104-SUM(J1104:K1104),IF(B1104="FITX",IF(D1104="新倉",-SUM(J1104:K1104),IF(E1104="賣",(H1104-H1103)*G1104*200-SUM(J1104:K1104),(H1103-H1104)*G1104*200-SUM(J1104:K1104))),IF(D1104="新倉",-SUM(J1104:K1104),IF(E1104="賣",(H1104-H1103)*G1104*50-SUM(J1104:K1104),(H1103-H1104)*G1104*50-SUM(J1104:K1104)))))</f>
        <v/>
      </c>
      <c r="M1104" s="699">
        <f>L1104</f>
        <v/>
      </c>
      <c r="N1104" s="686">
        <f>IF(B1104="TXO","",IF(D1104="新倉","",IF(E1104="賣",(H1104-H1103)*G1104,(H1103-H1104)*G1104)))</f>
        <v/>
      </c>
      <c r="O1104" s="226">
        <f>ABS(I1104)</f>
        <v/>
      </c>
      <c r="P1104" s="667" t="n"/>
      <c r="S1104" s="249" t="n"/>
      <c r="T1104" s="61">
        <f>IF(AND(R1104="Yes",S1104&lt;&gt;"Yes",L1104&gt;0,B1104&lt;&gt;"TXO"),L1104,"")</f>
        <v/>
      </c>
      <c r="U1104" s="61">
        <f>IF(AND(R1104="Yes",S1104&lt;&gt;"Yes",L1104&lt;0,B1104&lt;&gt;"TXO"),L1104,"")</f>
        <v/>
      </c>
      <c r="V1104" s="61">
        <f>IF(AND(R1104="",S1104&lt;&gt;"Yes",L1104&gt;0,B1104&lt;&gt;"TXO"),L1104,"")</f>
        <v/>
      </c>
      <c r="W1104" s="61">
        <f>IF(AND(R1104="",S1104&lt;&gt;"Yes",L1104&lt;0,B1104&lt;&gt;"TXO"),L1104,"")</f>
        <v/>
      </c>
      <c r="X1104" s="226">
        <f>IF(AND(R1104="Yes",S1104="Yes",L1104&gt;0,B1104&lt;&gt;"TXO"),L1104,"")</f>
        <v/>
      </c>
      <c r="Y1104" s="226">
        <f>IF(AND(R1104="Yes",S1104="Yes",L1104&lt;0,B1104&lt;&gt;"TXO"),L1104,"")</f>
        <v/>
      </c>
      <c r="Z1104" s="226">
        <f>IF(AND(R1104="",S1104="Yes",L1104&gt;0,B1104&lt;&gt;"TXO"),L1104,"")</f>
        <v/>
      </c>
      <c r="AA1104" s="226">
        <f>IF(AND(R1104="",S1104="Yes",L1104&lt;0,B1104&lt;&gt;"TXO"),L1104,"")</f>
        <v/>
      </c>
    </row>
    <row r="1105" hidden="1" outlineLevel="2" ht="17.25" customHeight="1" thickBot="1">
      <c r="A1105" s="696" t="n">
        <v>43384</v>
      </c>
      <c r="B1105" s="234" t="inlineStr">
        <is>
          <t>FIMTX</t>
        </is>
      </c>
      <c r="C1105" s="229" t="inlineStr">
        <is>
          <t>小指10</t>
        </is>
      </c>
      <c r="D1105" s="229" t="inlineStr">
        <is>
          <t>平倉</t>
        </is>
      </c>
      <c r="E1105" s="257" t="inlineStr">
        <is>
          <t>買</t>
        </is>
      </c>
      <c r="F1105" s="229" t="inlineStr">
        <is>
          <t>-</t>
        </is>
      </c>
      <c r="G1105" s="697" t="n">
        <v>3</v>
      </c>
      <c r="H1105" s="697" t="n">
        <v>9892</v>
      </c>
      <c r="I1105" s="697" t="n">
        <v>0</v>
      </c>
      <c r="J1105" s="585" t="n">
        <v>69</v>
      </c>
      <c r="K1105" s="585" t="n">
        <v>30</v>
      </c>
      <c r="L1105" s="585">
        <f>IF(B1105="TXO",I1105-SUM(J1105:K1105),IF(B1105="FITX",IF(D1105="新倉",-SUM(J1105:K1105),IF(E1105="賣",(H1105-H1104)*G1105*200-SUM(J1105:K1105),(H1104-H1105)*G1105*200-SUM(J1105:K1105))),IF(D1105="新倉",-SUM(J1105:K1105),IF(E1105="賣",(H1105-H1104)*G1105*50-SUM(J1105:K1105),(H1104-H1105)*G1105*50-SUM(J1105:K1105)))))</f>
        <v/>
      </c>
      <c r="M1105" s="699">
        <f>L1105</f>
        <v/>
      </c>
      <c r="N1105" s="686">
        <f>IF(B1105="TXO","",IF(D1105="新倉","",IF(E1105="賣",(H1105-H1104)*G1105,(H1104-H1105)*G1105)))</f>
        <v/>
      </c>
      <c r="O1105" s="226">
        <f>ABS(I1105)</f>
        <v/>
      </c>
      <c r="P1105" s="667" t="n"/>
      <c r="S1105" s="249" t="n"/>
      <c r="T1105" s="61">
        <f>IF(AND(R1105="Yes",S1105&lt;&gt;"Yes",L1105&gt;0,B1105&lt;&gt;"TXO"),L1105,"")</f>
        <v/>
      </c>
      <c r="U1105" s="61">
        <f>IF(AND(R1105="Yes",S1105&lt;&gt;"Yes",L1105&lt;0,B1105&lt;&gt;"TXO"),L1105,"")</f>
        <v/>
      </c>
      <c r="V1105" s="61">
        <f>IF(AND(R1105="",S1105&lt;&gt;"Yes",L1105&gt;0,B1105&lt;&gt;"TXO"),L1105,"")</f>
        <v/>
      </c>
      <c r="W1105" s="61">
        <f>IF(AND(R1105="",S1105&lt;&gt;"Yes",L1105&lt;0,B1105&lt;&gt;"TXO"),L1105,"")</f>
        <v/>
      </c>
      <c r="X1105" s="226">
        <f>IF(AND(R1105="Yes",S1105="Yes",L1105&gt;0,B1105&lt;&gt;"TXO"),L1105,"")</f>
        <v/>
      </c>
      <c r="Y1105" s="226">
        <f>IF(AND(R1105="Yes",S1105="Yes",L1105&lt;0,B1105&lt;&gt;"TXO"),L1105,"")</f>
        <v/>
      </c>
      <c r="Z1105" s="226">
        <f>IF(AND(R1105="",S1105="Yes",L1105&gt;0,B1105&lt;&gt;"TXO"),L1105,"")</f>
        <v/>
      </c>
      <c r="AA1105" s="226">
        <f>IF(AND(R1105="",S1105="Yes",L1105&lt;0,B1105&lt;&gt;"TXO"),L1105,"")</f>
        <v/>
      </c>
    </row>
    <row r="1106" hidden="1" outlineLevel="2" ht="17.25" customHeight="1" thickBot="1">
      <c r="A1106" s="696" t="n">
        <v>43384</v>
      </c>
      <c r="B1106" s="234" t="inlineStr">
        <is>
          <t>FIMTX</t>
        </is>
      </c>
      <c r="C1106" s="229" t="inlineStr">
        <is>
          <t>小指10</t>
        </is>
      </c>
      <c r="D1106" s="229" t="inlineStr">
        <is>
          <t>新倉</t>
        </is>
      </c>
      <c r="E1106" s="257" t="inlineStr">
        <is>
          <t>賣</t>
        </is>
      </c>
      <c r="F1106" s="229" t="inlineStr">
        <is>
          <t>-</t>
        </is>
      </c>
      <c r="G1106" s="697" t="n">
        <v>2</v>
      </c>
      <c r="H1106" s="697" t="n">
        <v>9913</v>
      </c>
      <c r="I1106" s="697" t="n">
        <v>0</v>
      </c>
      <c r="J1106" s="585" t="n">
        <v>46</v>
      </c>
      <c r="K1106" s="585" t="n">
        <v>20</v>
      </c>
      <c r="L1106" s="585">
        <f>IF(B1106="TXO",I1106-SUM(J1106:K1106),IF(B1106="FITX",IF(D1106="新倉",-SUM(J1106:K1106),IF(E1106="賣",(H1106-H1105)*G1106*200-SUM(J1106:K1106),(H1105-H1106)*G1106*200-SUM(J1106:K1106))),IF(D1106="新倉",-SUM(J1106:K1106),IF(E1106="賣",(H1106-H1105)*G1106*50-SUM(J1106:K1106),(H1105-H1106)*G1106*50-SUM(J1106:K1106)))))</f>
        <v/>
      </c>
      <c r="M1106" s="699">
        <f>L1106</f>
        <v/>
      </c>
      <c r="N1106" s="686">
        <f>IF(B1106="TXO","",IF(D1106="新倉","",IF(E1106="賣",(H1106-H1105)*G1106,(H1105-H1106)*G1106)))</f>
        <v/>
      </c>
      <c r="O1106" s="226">
        <f>ABS(I1106)</f>
        <v/>
      </c>
      <c r="P1106" s="667" t="n"/>
      <c r="S1106" s="249" t="n"/>
      <c r="T1106" s="61">
        <f>IF(AND(R1106="Yes",S1106&lt;&gt;"Yes",L1106&gt;0,B1106&lt;&gt;"TXO"),L1106,"")</f>
        <v/>
      </c>
      <c r="U1106" s="61">
        <f>IF(AND(R1106="Yes",S1106&lt;&gt;"Yes",L1106&lt;0,B1106&lt;&gt;"TXO"),L1106,"")</f>
        <v/>
      </c>
      <c r="V1106" s="61">
        <f>IF(AND(R1106="",S1106&lt;&gt;"Yes",L1106&gt;0,B1106&lt;&gt;"TXO"),L1106,"")</f>
        <v/>
      </c>
      <c r="W1106" s="61">
        <f>IF(AND(R1106="",S1106&lt;&gt;"Yes",L1106&lt;0,B1106&lt;&gt;"TXO"),L1106,"")</f>
        <v/>
      </c>
      <c r="X1106" s="226">
        <f>IF(AND(R1106="Yes",S1106="Yes",L1106&gt;0,B1106&lt;&gt;"TXO"),L1106,"")</f>
        <v/>
      </c>
      <c r="Y1106" s="226">
        <f>IF(AND(R1106="Yes",S1106="Yes",L1106&lt;0,B1106&lt;&gt;"TXO"),L1106,"")</f>
        <v/>
      </c>
      <c r="Z1106" s="226">
        <f>IF(AND(R1106="",S1106="Yes",L1106&gt;0,B1106&lt;&gt;"TXO"),L1106,"")</f>
        <v/>
      </c>
      <c r="AA1106" s="226">
        <f>IF(AND(R1106="",S1106="Yes",L1106&lt;0,B1106&lt;&gt;"TXO"),L1106,"")</f>
        <v/>
      </c>
    </row>
    <row r="1107" hidden="1" outlineLevel="2" ht="17.25" customHeight="1" thickBot="1">
      <c r="A1107" s="696" t="n">
        <v>43384</v>
      </c>
      <c r="B1107" s="234" t="inlineStr">
        <is>
          <t>FIMTX</t>
        </is>
      </c>
      <c r="C1107" s="229" t="inlineStr">
        <is>
          <t>小指10</t>
        </is>
      </c>
      <c r="D1107" s="229" t="inlineStr">
        <is>
          <t>平倉</t>
        </is>
      </c>
      <c r="E1107" s="257" t="inlineStr">
        <is>
          <t>買</t>
        </is>
      </c>
      <c r="F1107" s="229" t="inlineStr">
        <is>
          <t>-</t>
        </is>
      </c>
      <c r="G1107" s="697" t="n">
        <v>2</v>
      </c>
      <c r="H1107" s="697" t="n">
        <v>9895</v>
      </c>
      <c r="I1107" s="697" t="n">
        <v>0</v>
      </c>
      <c r="J1107" s="585" t="n">
        <v>46</v>
      </c>
      <c r="K1107" s="585" t="n">
        <v>20</v>
      </c>
      <c r="L1107" s="585">
        <f>IF(B1107="TXO",I1107-SUM(J1107:K1107),IF(B1107="FITX",IF(D1107="新倉",-SUM(J1107:K1107),IF(E1107="賣",(H1107-H1106)*G1107*200-SUM(J1107:K1107),(H1106-H1107)*G1107*200-SUM(J1107:K1107))),IF(D1107="新倉",-SUM(J1107:K1107),IF(E1107="賣",(H1107-H1106)*G1107*50-SUM(J1107:K1107),(H1106-H1107)*G1107*50-SUM(J1107:K1107)))))</f>
        <v/>
      </c>
      <c r="M1107" s="699">
        <f>L1107</f>
        <v/>
      </c>
      <c r="N1107" s="686">
        <f>IF(B1107="TXO","",IF(D1107="新倉","",IF(E1107="賣",(H1107-H1106)*G1107,(H1106-H1107)*G1107)))</f>
        <v/>
      </c>
      <c r="O1107" s="226">
        <f>ABS(I1107)</f>
        <v/>
      </c>
      <c r="P1107" s="667" t="n"/>
      <c r="S1107" s="249" t="n"/>
      <c r="T1107" s="61">
        <f>IF(AND(R1107="Yes",S1107&lt;&gt;"Yes",L1107&gt;0,B1107&lt;&gt;"TXO"),L1107,"")</f>
        <v/>
      </c>
      <c r="U1107" s="61">
        <f>IF(AND(R1107="Yes",S1107&lt;&gt;"Yes",L1107&lt;0,B1107&lt;&gt;"TXO"),L1107,"")</f>
        <v/>
      </c>
      <c r="V1107" s="61">
        <f>IF(AND(R1107="",S1107&lt;&gt;"Yes",L1107&gt;0,B1107&lt;&gt;"TXO"),L1107,"")</f>
        <v/>
      </c>
      <c r="W1107" s="61">
        <f>IF(AND(R1107="",S1107&lt;&gt;"Yes",L1107&lt;0,B1107&lt;&gt;"TXO"),L1107,"")</f>
        <v/>
      </c>
      <c r="X1107" s="226">
        <f>IF(AND(R1107="Yes",S1107="Yes",L1107&gt;0,B1107&lt;&gt;"TXO"),L1107,"")</f>
        <v/>
      </c>
      <c r="Y1107" s="226">
        <f>IF(AND(R1107="Yes",S1107="Yes",L1107&lt;0,B1107&lt;&gt;"TXO"),L1107,"")</f>
        <v/>
      </c>
      <c r="Z1107" s="226">
        <f>IF(AND(R1107="",S1107="Yes",L1107&gt;0,B1107&lt;&gt;"TXO"),L1107,"")</f>
        <v/>
      </c>
      <c r="AA1107" s="226">
        <f>IF(AND(R1107="",S1107="Yes",L1107&lt;0,B1107&lt;&gt;"TXO"),L1107,"")</f>
        <v/>
      </c>
    </row>
    <row r="1108" hidden="1" outlineLevel="2" ht="17.25" customHeight="1" thickBot="1">
      <c r="A1108" s="696" t="n">
        <v>43384</v>
      </c>
      <c r="B1108" s="234" t="inlineStr">
        <is>
          <t>FIMTX</t>
        </is>
      </c>
      <c r="C1108" s="229" t="inlineStr">
        <is>
          <t>小指10</t>
        </is>
      </c>
      <c r="D1108" s="229" t="inlineStr">
        <is>
          <t>新倉</t>
        </is>
      </c>
      <c r="E1108" s="257" t="inlineStr">
        <is>
          <t>賣</t>
        </is>
      </c>
      <c r="F1108" s="229" t="inlineStr">
        <is>
          <t>-</t>
        </is>
      </c>
      <c r="G1108" s="697" t="n">
        <v>1</v>
      </c>
      <c r="H1108" s="697" t="n">
        <v>9913</v>
      </c>
      <c r="I1108" s="697" t="n">
        <v>0</v>
      </c>
      <c r="J1108" s="585" t="n">
        <v>23</v>
      </c>
      <c r="K1108" s="585" t="n">
        <v>10</v>
      </c>
      <c r="L1108" s="585">
        <f>IF(B1108="TXO",I1108-SUM(J1108:K1108),IF(B1108="FITX",IF(D1108="新倉",-SUM(J1108:K1108),IF(E1108="賣",(H1108-H1107)*G1108*200-SUM(J1108:K1108),(H1107-H1108)*G1108*200-SUM(J1108:K1108))),IF(D1108="新倉",-SUM(J1108:K1108),IF(E1108="賣",(H1108-H1107)*G1108*50-SUM(J1108:K1108),(H1107-H1108)*G1108*50-SUM(J1108:K1108)))))</f>
        <v/>
      </c>
      <c r="M1108" s="699">
        <f>L1108</f>
        <v/>
      </c>
      <c r="N1108" s="686">
        <f>IF(B1108="TXO","",IF(D1108="新倉","",IF(E1108="賣",(H1108-H1107)*G1108,(H1107-H1108)*G1108)))</f>
        <v/>
      </c>
      <c r="O1108" s="226">
        <f>ABS(I1108)</f>
        <v/>
      </c>
      <c r="P1108" s="667" t="n"/>
      <c r="S1108" s="249" t="n"/>
      <c r="T1108" s="61">
        <f>IF(AND(R1108="Yes",S1108&lt;&gt;"Yes",L1108&gt;0,B1108&lt;&gt;"TXO"),L1108,"")</f>
        <v/>
      </c>
      <c r="U1108" s="61">
        <f>IF(AND(R1108="Yes",S1108&lt;&gt;"Yes",L1108&lt;0,B1108&lt;&gt;"TXO"),L1108,"")</f>
        <v/>
      </c>
      <c r="V1108" s="61">
        <f>IF(AND(R1108="",S1108&lt;&gt;"Yes",L1108&gt;0,B1108&lt;&gt;"TXO"),L1108,"")</f>
        <v/>
      </c>
      <c r="W1108" s="61">
        <f>IF(AND(R1108="",S1108&lt;&gt;"Yes",L1108&lt;0,B1108&lt;&gt;"TXO"),L1108,"")</f>
        <v/>
      </c>
      <c r="X1108" s="226">
        <f>IF(AND(R1108="Yes",S1108="Yes",L1108&gt;0,B1108&lt;&gt;"TXO"),L1108,"")</f>
        <v/>
      </c>
      <c r="Y1108" s="226">
        <f>IF(AND(R1108="Yes",S1108="Yes",L1108&lt;0,B1108&lt;&gt;"TXO"),L1108,"")</f>
        <v/>
      </c>
      <c r="Z1108" s="226">
        <f>IF(AND(R1108="",S1108="Yes",L1108&gt;0,B1108&lt;&gt;"TXO"),L1108,"")</f>
        <v/>
      </c>
      <c r="AA1108" s="226">
        <f>IF(AND(R1108="",S1108="Yes",L1108&lt;0,B1108&lt;&gt;"TXO"),L1108,"")</f>
        <v/>
      </c>
    </row>
    <row r="1109" hidden="1" outlineLevel="2" ht="17.25" customHeight="1" thickBot="1">
      <c r="A1109" s="696" t="n">
        <v>43384</v>
      </c>
      <c r="B1109" s="234" t="inlineStr">
        <is>
          <t>FIMTX</t>
        </is>
      </c>
      <c r="C1109" s="229" t="inlineStr">
        <is>
          <t>小指10</t>
        </is>
      </c>
      <c r="D1109" s="229" t="inlineStr">
        <is>
          <t>平倉</t>
        </is>
      </c>
      <c r="E1109" s="257" t="inlineStr">
        <is>
          <t>買</t>
        </is>
      </c>
      <c r="F1109" s="229" t="inlineStr">
        <is>
          <t>-</t>
        </is>
      </c>
      <c r="G1109" s="697" t="n">
        <v>1</v>
      </c>
      <c r="H1109" s="697" t="n">
        <v>9896</v>
      </c>
      <c r="I1109" s="697" t="n">
        <v>0</v>
      </c>
      <c r="J1109" s="585" t="n">
        <v>23</v>
      </c>
      <c r="K1109" s="585" t="n">
        <v>10</v>
      </c>
      <c r="L1109" s="585">
        <f>IF(B1109="TXO",I1109-SUM(J1109:K1109),IF(B1109="FITX",IF(D1109="新倉",-SUM(J1109:K1109),IF(E1109="賣",(H1109-H1108)*G1109*200-SUM(J1109:K1109),(H1108-H1109)*G1109*200-SUM(J1109:K1109))),IF(D1109="新倉",-SUM(J1109:K1109),IF(E1109="賣",(H1109-H1108)*G1109*50-SUM(J1109:K1109),(H1108-H1109)*G1109*50-SUM(J1109:K1109)))))</f>
        <v/>
      </c>
      <c r="M1109" s="699">
        <f>L1109</f>
        <v/>
      </c>
      <c r="N1109" s="686">
        <f>IF(B1109="TXO","",IF(D1109="新倉","",IF(E1109="賣",(H1109-H1108)*G1109,(H1108-H1109)*G1109)))</f>
        <v/>
      </c>
      <c r="O1109" s="226">
        <f>ABS(I1109)</f>
        <v/>
      </c>
      <c r="P1109" s="667" t="n"/>
      <c r="S1109" s="249" t="n"/>
      <c r="T1109" s="61">
        <f>IF(AND(R1109="Yes",S1109&lt;&gt;"Yes",L1109&gt;0,B1109&lt;&gt;"TXO"),L1109,"")</f>
        <v/>
      </c>
      <c r="U1109" s="61">
        <f>IF(AND(R1109="Yes",S1109&lt;&gt;"Yes",L1109&lt;0,B1109&lt;&gt;"TXO"),L1109,"")</f>
        <v/>
      </c>
      <c r="V1109" s="61">
        <f>IF(AND(R1109="",S1109&lt;&gt;"Yes",L1109&gt;0,B1109&lt;&gt;"TXO"),L1109,"")</f>
        <v/>
      </c>
      <c r="W1109" s="61">
        <f>IF(AND(R1109="",S1109&lt;&gt;"Yes",L1109&lt;0,B1109&lt;&gt;"TXO"),L1109,"")</f>
        <v/>
      </c>
      <c r="X1109" s="226">
        <f>IF(AND(R1109="Yes",S1109="Yes",L1109&gt;0,B1109&lt;&gt;"TXO"),L1109,"")</f>
        <v/>
      </c>
      <c r="Y1109" s="226">
        <f>IF(AND(R1109="Yes",S1109="Yes",L1109&lt;0,B1109&lt;&gt;"TXO"),L1109,"")</f>
        <v/>
      </c>
      <c r="Z1109" s="226">
        <f>IF(AND(R1109="",S1109="Yes",L1109&gt;0,B1109&lt;&gt;"TXO"),L1109,"")</f>
        <v/>
      </c>
      <c r="AA1109" s="226">
        <f>IF(AND(R1109="",S1109="Yes",L1109&lt;0,B1109&lt;&gt;"TXO"),L1109,"")</f>
        <v/>
      </c>
    </row>
    <row r="1110" hidden="1" outlineLevel="2" ht="17.25" customHeight="1" thickBot="1">
      <c r="A1110" s="696" t="n">
        <v>43384</v>
      </c>
      <c r="B1110" s="234" t="inlineStr">
        <is>
          <t>FIMTX</t>
        </is>
      </c>
      <c r="C1110" s="229" t="inlineStr">
        <is>
          <t>小指10</t>
        </is>
      </c>
      <c r="D1110" s="229" t="inlineStr">
        <is>
          <t>新倉</t>
        </is>
      </c>
      <c r="E1110" s="257" t="inlineStr">
        <is>
          <t>賣</t>
        </is>
      </c>
      <c r="F1110" s="229" t="inlineStr">
        <is>
          <t>-</t>
        </is>
      </c>
      <c r="G1110" s="697" t="n">
        <v>2</v>
      </c>
      <c r="H1110" s="697" t="n">
        <v>9897</v>
      </c>
      <c r="I1110" s="697" t="n">
        <v>0</v>
      </c>
      <c r="J1110" s="585" t="n">
        <v>46</v>
      </c>
      <c r="K1110" s="585" t="n">
        <v>20</v>
      </c>
      <c r="L1110" s="585">
        <f>IF(B1110="TXO",I1110-SUM(J1110:K1110),IF(B1110="FITX",IF(D1110="新倉",-SUM(J1110:K1110),IF(E1110="賣",(H1110-H1109)*G1110*200-SUM(J1110:K1110),(H1109-H1110)*G1110*200-SUM(J1110:K1110))),IF(D1110="新倉",-SUM(J1110:K1110),IF(E1110="賣",(H1110-H1109)*G1110*50-SUM(J1110:K1110),(H1109-H1110)*G1110*50-SUM(J1110:K1110)))))</f>
        <v/>
      </c>
      <c r="M1110" s="699">
        <f>L1110</f>
        <v/>
      </c>
      <c r="N1110" s="686">
        <f>IF(B1110="TXO","",IF(D1110="新倉","",IF(E1110="賣",(H1110-H1109)*G1110,(H1109-H1110)*G1110)))</f>
        <v/>
      </c>
      <c r="O1110" s="226">
        <f>ABS(I1110)</f>
        <v/>
      </c>
      <c r="P1110" s="667" t="n"/>
      <c r="S1110" s="249" t="n"/>
      <c r="T1110" s="61">
        <f>IF(AND(R1110="Yes",S1110&lt;&gt;"Yes",L1110&gt;0,B1110&lt;&gt;"TXO"),L1110,"")</f>
        <v/>
      </c>
      <c r="U1110" s="61">
        <f>IF(AND(R1110="Yes",S1110&lt;&gt;"Yes",L1110&lt;0,B1110&lt;&gt;"TXO"),L1110,"")</f>
        <v/>
      </c>
      <c r="V1110" s="61">
        <f>IF(AND(R1110="",S1110&lt;&gt;"Yes",L1110&gt;0,B1110&lt;&gt;"TXO"),L1110,"")</f>
        <v/>
      </c>
      <c r="W1110" s="61">
        <f>IF(AND(R1110="",S1110&lt;&gt;"Yes",L1110&lt;0,B1110&lt;&gt;"TXO"),L1110,"")</f>
        <v/>
      </c>
      <c r="X1110" s="226">
        <f>IF(AND(R1110="Yes",S1110="Yes",L1110&gt;0,B1110&lt;&gt;"TXO"),L1110,"")</f>
        <v/>
      </c>
      <c r="Y1110" s="226">
        <f>IF(AND(R1110="Yes",S1110="Yes",L1110&lt;0,B1110&lt;&gt;"TXO"),L1110,"")</f>
        <v/>
      </c>
      <c r="Z1110" s="226">
        <f>IF(AND(R1110="",S1110="Yes",L1110&gt;0,B1110&lt;&gt;"TXO"),L1110,"")</f>
        <v/>
      </c>
      <c r="AA1110" s="226">
        <f>IF(AND(R1110="",S1110="Yes",L1110&lt;0,B1110&lt;&gt;"TXO"),L1110,"")</f>
        <v/>
      </c>
    </row>
    <row r="1111" hidden="1" outlineLevel="2" ht="17.25" customHeight="1" thickBot="1">
      <c r="A1111" s="696" t="n">
        <v>43384</v>
      </c>
      <c r="B1111" s="234" t="inlineStr">
        <is>
          <t>FIMTX</t>
        </is>
      </c>
      <c r="C1111" s="229" t="inlineStr">
        <is>
          <t>小指10</t>
        </is>
      </c>
      <c r="D1111" s="229" t="inlineStr">
        <is>
          <t>平倉</t>
        </is>
      </c>
      <c r="E1111" s="257" t="inlineStr">
        <is>
          <t>買</t>
        </is>
      </c>
      <c r="F1111" s="229" t="inlineStr">
        <is>
          <t>-</t>
        </is>
      </c>
      <c r="G1111" s="697" t="n">
        <v>2</v>
      </c>
      <c r="H1111" s="697" t="n">
        <v>9885</v>
      </c>
      <c r="I1111" s="697" t="n">
        <v>0</v>
      </c>
      <c r="J1111" s="585" t="n">
        <v>46</v>
      </c>
      <c r="K1111" s="585" t="n">
        <v>20</v>
      </c>
      <c r="L1111" s="585">
        <f>IF(B1111="TXO",I1111-SUM(J1111:K1111),IF(B1111="FITX",IF(D1111="新倉",-SUM(J1111:K1111),IF(E1111="賣",(H1111-H1110)*G1111*200-SUM(J1111:K1111),(H1110-H1111)*G1111*200-SUM(J1111:K1111))),IF(D1111="新倉",-SUM(J1111:K1111),IF(E1111="賣",(H1111-H1110)*G1111*50-SUM(J1111:K1111),(H1110-H1111)*G1111*50-SUM(J1111:K1111)))))</f>
        <v/>
      </c>
      <c r="M1111" s="699">
        <f>L1111</f>
        <v/>
      </c>
      <c r="N1111" s="686">
        <f>IF(B1111="TXO","",IF(D1111="新倉","",IF(E1111="賣",(H1111-H1110)*G1111,(H1110-H1111)*G1111)))</f>
        <v/>
      </c>
      <c r="O1111" s="226">
        <f>ABS(I1111)</f>
        <v/>
      </c>
      <c r="P1111" s="667" t="n"/>
      <c r="S1111" s="249" t="n"/>
      <c r="T1111" s="61">
        <f>IF(AND(R1111="Yes",S1111&lt;&gt;"Yes",L1111&gt;0,B1111&lt;&gt;"TXO"),L1111,"")</f>
        <v/>
      </c>
      <c r="U1111" s="61">
        <f>IF(AND(R1111="Yes",S1111&lt;&gt;"Yes",L1111&lt;0,B1111&lt;&gt;"TXO"),L1111,"")</f>
        <v/>
      </c>
      <c r="V1111" s="61">
        <f>IF(AND(R1111="",S1111&lt;&gt;"Yes",L1111&gt;0,B1111&lt;&gt;"TXO"),L1111,"")</f>
        <v/>
      </c>
      <c r="W1111" s="61">
        <f>IF(AND(R1111="",S1111&lt;&gt;"Yes",L1111&lt;0,B1111&lt;&gt;"TXO"),L1111,"")</f>
        <v/>
      </c>
      <c r="X1111" s="226">
        <f>IF(AND(R1111="Yes",S1111="Yes",L1111&gt;0,B1111&lt;&gt;"TXO"),L1111,"")</f>
        <v/>
      </c>
      <c r="Y1111" s="226">
        <f>IF(AND(R1111="Yes",S1111="Yes",L1111&lt;0,B1111&lt;&gt;"TXO"),L1111,"")</f>
        <v/>
      </c>
      <c r="Z1111" s="226">
        <f>IF(AND(R1111="",S1111="Yes",L1111&gt;0,B1111&lt;&gt;"TXO"),L1111,"")</f>
        <v/>
      </c>
      <c r="AA1111" s="226">
        <f>IF(AND(R1111="",S1111="Yes",L1111&lt;0,B1111&lt;&gt;"TXO"),L1111,"")</f>
        <v/>
      </c>
    </row>
    <row r="1112" hidden="1" outlineLevel="2" ht="17.25" customHeight="1" thickBot="1">
      <c r="A1112" s="696" t="n">
        <v>43384</v>
      </c>
      <c r="B1112" s="234" t="inlineStr">
        <is>
          <t>FIMTX</t>
        </is>
      </c>
      <c r="C1112" s="229" t="inlineStr">
        <is>
          <t>小指10</t>
        </is>
      </c>
      <c r="D1112" s="229" t="inlineStr">
        <is>
          <t>新倉</t>
        </is>
      </c>
      <c r="E1112" s="257" t="inlineStr">
        <is>
          <t>賣</t>
        </is>
      </c>
      <c r="F1112" s="229" t="inlineStr">
        <is>
          <t>-</t>
        </is>
      </c>
      <c r="G1112" s="697" t="n">
        <v>1</v>
      </c>
      <c r="H1112" s="697" t="n">
        <v>9897</v>
      </c>
      <c r="I1112" s="697" t="n">
        <v>0</v>
      </c>
      <c r="J1112" s="585" t="n">
        <v>23</v>
      </c>
      <c r="K1112" s="585" t="n">
        <v>10</v>
      </c>
      <c r="L1112" s="585">
        <f>IF(B1112="TXO",I1112-SUM(J1112:K1112),IF(B1112="FITX",IF(D1112="新倉",-SUM(J1112:K1112),IF(E1112="賣",(H1112-H1111)*G1112*200-SUM(J1112:K1112),(H1111-H1112)*G1112*200-SUM(J1112:K1112))),IF(D1112="新倉",-SUM(J1112:K1112),IF(E1112="賣",(H1112-H1111)*G1112*50-SUM(J1112:K1112),(H1111-H1112)*G1112*50-SUM(J1112:K1112)))))</f>
        <v/>
      </c>
      <c r="M1112" s="699">
        <f>L1112</f>
        <v/>
      </c>
      <c r="N1112" s="686">
        <f>IF(B1112="TXO","",IF(D1112="新倉","",IF(E1112="賣",(H1112-H1111)*G1112,(H1111-H1112)*G1112)))</f>
        <v/>
      </c>
      <c r="O1112" s="226">
        <f>ABS(I1112)</f>
        <v/>
      </c>
      <c r="P1112" s="667" t="n"/>
      <c r="S1112" s="249" t="n"/>
      <c r="T1112" s="61">
        <f>IF(AND(R1112="Yes",S1112&lt;&gt;"Yes",L1112&gt;0,B1112&lt;&gt;"TXO"),L1112,"")</f>
        <v/>
      </c>
      <c r="U1112" s="61">
        <f>IF(AND(R1112="Yes",S1112&lt;&gt;"Yes",L1112&lt;0,B1112&lt;&gt;"TXO"),L1112,"")</f>
        <v/>
      </c>
      <c r="V1112" s="61">
        <f>IF(AND(R1112="",S1112&lt;&gt;"Yes",L1112&gt;0,B1112&lt;&gt;"TXO"),L1112,"")</f>
        <v/>
      </c>
      <c r="W1112" s="61">
        <f>IF(AND(R1112="",S1112&lt;&gt;"Yes",L1112&lt;0,B1112&lt;&gt;"TXO"),L1112,"")</f>
        <v/>
      </c>
      <c r="X1112" s="226">
        <f>IF(AND(R1112="Yes",S1112="Yes",L1112&gt;0,B1112&lt;&gt;"TXO"),L1112,"")</f>
        <v/>
      </c>
      <c r="Y1112" s="226">
        <f>IF(AND(R1112="Yes",S1112="Yes",L1112&lt;0,B1112&lt;&gt;"TXO"),L1112,"")</f>
        <v/>
      </c>
      <c r="Z1112" s="226">
        <f>IF(AND(R1112="",S1112="Yes",L1112&gt;0,B1112&lt;&gt;"TXO"),L1112,"")</f>
        <v/>
      </c>
      <c r="AA1112" s="226">
        <f>IF(AND(R1112="",S1112="Yes",L1112&lt;0,B1112&lt;&gt;"TXO"),L1112,"")</f>
        <v/>
      </c>
    </row>
    <row r="1113" hidden="1" outlineLevel="2" ht="17.25" customHeight="1" thickBot="1">
      <c r="A1113" s="696" t="n">
        <v>43384</v>
      </c>
      <c r="B1113" s="234" t="inlineStr">
        <is>
          <t>FIMTX</t>
        </is>
      </c>
      <c r="C1113" s="229" t="inlineStr">
        <is>
          <t>小指10</t>
        </is>
      </c>
      <c r="D1113" s="229" t="inlineStr">
        <is>
          <t>平倉</t>
        </is>
      </c>
      <c r="E1113" s="257" t="inlineStr">
        <is>
          <t>買</t>
        </is>
      </c>
      <c r="F1113" s="229" t="inlineStr">
        <is>
          <t>-</t>
        </is>
      </c>
      <c r="G1113" s="697" t="n">
        <v>1</v>
      </c>
      <c r="H1113" s="697" t="n">
        <v>9886</v>
      </c>
      <c r="I1113" s="697" t="n">
        <v>0</v>
      </c>
      <c r="J1113" s="585" t="n">
        <v>23</v>
      </c>
      <c r="K1113" s="585" t="n">
        <v>10</v>
      </c>
      <c r="L1113" s="585">
        <f>IF(B1113="TXO",I1113-SUM(J1113:K1113),IF(B1113="FITX",IF(D1113="新倉",-SUM(J1113:K1113),IF(E1113="賣",(H1113-H1112)*G1113*200-SUM(J1113:K1113),(H1112-H1113)*G1113*200-SUM(J1113:K1113))),IF(D1113="新倉",-SUM(J1113:K1113),IF(E1113="賣",(H1113-H1112)*G1113*50-SUM(J1113:K1113),(H1112-H1113)*G1113*50-SUM(J1113:K1113)))))</f>
        <v/>
      </c>
      <c r="M1113" s="699">
        <f>L1113</f>
        <v/>
      </c>
      <c r="N1113" s="686">
        <f>IF(B1113="TXO","",IF(D1113="新倉","",IF(E1113="賣",(H1113-H1112)*G1113,(H1112-H1113)*G1113)))</f>
        <v/>
      </c>
      <c r="O1113" s="226">
        <f>ABS(I1113)</f>
        <v/>
      </c>
      <c r="P1113" s="667" t="n"/>
      <c r="S1113" s="249" t="n"/>
      <c r="T1113" s="61">
        <f>IF(AND(R1113="Yes",S1113&lt;&gt;"Yes",L1113&gt;0,B1113&lt;&gt;"TXO"),L1113,"")</f>
        <v/>
      </c>
      <c r="U1113" s="61">
        <f>IF(AND(R1113="Yes",S1113&lt;&gt;"Yes",L1113&lt;0,B1113&lt;&gt;"TXO"),L1113,"")</f>
        <v/>
      </c>
      <c r="V1113" s="61">
        <f>IF(AND(R1113="",S1113&lt;&gt;"Yes",L1113&gt;0,B1113&lt;&gt;"TXO"),L1113,"")</f>
        <v/>
      </c>
      <c r="W1113" s="61">
        <f>IF(AND(R1113="",S1113&lt;&gt;"Yes",L1113&lt;0,B1113&lt;&gt;"TXO"),L1113,"")</f>
        <v/>
      </c>
      <c r="X1113" s="226">
        <f>IF(AND(R1113="Yes",S1113="Yes",L1113&gt;0,B1113&lt;&gt;"TXO"),L1113,"")</f>
        <v/>
      </c>
      <c r="Y1113" s="226">
        <f>IF(AND(R1113="Yes",S1113="Yes",L1113&lt;0,B1113&lt;&gt;"TXO"),L1113,"")</f>
        <v/>
      </c>
      <c r="Z1113" s="226">
        <f>IF(AND(R1113="",S1113="Yes",L1113&gt;0,B1113&lt;&gt;"TXO"),L1113,"")</f>
        <v/>
      </c>
      <c r="AA1113" s="226">
        <f>IF(AND(R1113="",S1113="Yes",L1113&lt;0,B1113&lt;&gt;"TXO"),L1113,"")</f>
        <v/>
      </c>
    </row>
    <row r="1114" hidden="1" outlineLevel="2" ht="17.25" customHeight="1" thickBot="1">
      <c r="A1114" s="696" t="n">
        <v>43384</v>
      </c>
      <c r="B1114" s="234" t="inlineStr">
        <is>
          <t>FIMTX</t>
        </is>
      </c>
      <c r="C1114" s="229" t="inlineStr">
        <is>
          <t>小指10</t>
        </is>
      </c>
      <c r="D1114" s="229" t="inlineStr">
        <is>
          <t>新倉</t>
        </is>
      </c>
      <c r="E1114" s="257" t="inlineStr">
        <is>
          <t>賣</t>
        </is>
      </c>
      <c r="F1114" s="229" t="inlineStr">
        <is>
          <t>-</t>
        </is>
      </c>
      <c r="G1114" s="697" t="n">
        <v>3</v>
      </c>
      <c r="H1114" s="697" t="n">
        <v>9950</v>
      </c>
      <c r="I1114" s="697" t="n">
        <v>0</v>
      </c>
      <c r="J1114" s="585" t="n">
        <v>69</v>
      </c>
      <c r="K1114" s="585" t="n">
        <v>30</v>
      </c>
      <c r="L1114" s="585">
        <f>IF(B1114="TXO",I1114-SUM(J1114:K1114),IF(B1114="FITX",IF(D1114="新倉",-SUM(J1114:K1114),IF(E1114="賣",(H1114-H1113)*G1114*200-SUM(J1114:K1114),(H1113-H1114)*G1114*200-SUM(J1114:K1114))),IF(D1114="新倉",-SUM(J1114:K1114),IF(E1114="賣",(H1114-H1113)*G1114*50-SUM(J1114:K1114),(H1113-H1114)*G1114*50-SUM(J1114:K1114)))))</f>
        <v/>
      </c>
      <c r="M1114" s="699">
        <f>L1114</f>
        <v/>
      </c>
      <c r="N1114" s="686">
        <f>IF(B1114="TXO","",IF(D1114="新倉","",IF(E1114="賣",(H1114-H1113)*G1114,(H1113-H1114)*G1114)))</f>
        <v/>
      </c>
      <c r="O1114" s="226">
        <f>ABS(I1114)</f>
        <v/>
      </c>
      <c r="P1114" s="667" t="n"/>
      <c r="S1114" s="249" t="n"/>
      <c r="T1114" s="61">
        <f>IF(AND(R1114="Yes",S1114&lt;&gt;"Yes",L1114&gt;0,B1114&lt;&gt;"TXO"),L1114,"")</f>
        <v/>
      </c>
      <c r="U1114" s="61">
        <f>IF(AND(R1114="Yes",S1114&lt;&gt;"Yes",L1114&lt;0,B1114&lt;&gt;"TXO"),L1114,"")</f>
        <v/>
      </c>
      <c r="V1114" s="61">
        <f>IF(AND(R1114="",S1114&lt;&gt;"Yes",L1114&gt;0,B1114&lt;&gt;"TXO"),L1114,"")</f>
        <v/>
      </c>
      <c r="W1114" s="61">
        <f>IF(AND(R1114="",S1114&lt;&gt;"Yes",L1114&lt;0,B1114&lt;&gt;"TXO"),L1114,"")</f>
        <v/>
      </c>
      <c r="X1114" s="226">
        <f>IF(AND(R1114="Yes",S1114="Yes",L1114&gt;0,B1114&lt;&gt;"TXO"),L1114,"")</f>
        <v/>
      </c>
      <c r="Y1114" s="226">
        <f>IF(AND(R1114="Yes",S1114="Yes",L1114&lt;0,B1114&lt;&gt;"TXO"),L1114,"")</f>
        <v/>
      </c>
      <c r="Z1114" s="226">
        <f>IF(AND(R1114="",S1114="Yes",L1114&gt;0,B1114&lt;&gt;"TXO"),L1114,"")</f>
        <v/>
      </c>
      <c r="AA1114" s="226">
        <f>IF(AND(R1114="",S1114="Yes",L1114&lt;0,B1114&lt;&gt;"TXO"),L1114,"")</f>
        <v/>
      </c>
    </row>
    <row r="1115" hidden="1" outlineLevel="2" ht="17.25" customHeight="1" thickBot="1">
      <c r="A1115" s="696" t="n">
        <v>43384</v>
      </c>
      <c r="B1115" s="234" t="inlineStr">
        <is>
          <t>FIMTX</t>
        </is>
      </c>
      <c r="C1115" s="229" t="inlineStr">
        <is>
          <t>小指10</t>
        </is>
      </c>
      <c r="D1115" s="229" t="inlineStr">
        <is>
          <t>平倉</t>
        </is>
      </c>
      <c r="E1115" s="257" t="inlineStr">
        <is>
          <t>買</t>
        </is>
      </c>
      <c r="F1115" s="229" t="inlineStr">
        <is>
          <t>-</t>
        </is>
      </c>
      <c r="G1115" s="697" t="n">
        <v>3</v>
      </c>
      <c r="H1115" s="697" t="n">
        <v>9943</v>
      </c>
      <c r="I1115" s="697" t="n">
        <v>0</v>
      </c>
      <c r="J1115" s="585" t="n">
        <v>69</v>
      </c>
      <c r="K1115" s="585" t="n">
        <v>30</v>
      </c>
      <c r="L1115" s="585">
        <f>IF(B1115="TXO",I1115-SUM(J1115:K1115),IF(B1115="FITX",IF(D1115="新倉",-SUM(J1115:K1115),IF(E1115="賣",(H1115-H1114)*G1115*200-SUM(J1115:K1115),(H1114-H1115)*G1115*200-SUM(J1115:K1115))),IF(D1115="新倉",-SUM(J1115:K1115),IF(E1115="賣",(H1115-H1114)*G1115*50-SUM(J1115:K1115),(H1114-H1115)*G1115*50-SUM(J1115:K1115)))))</f>
        <v/>
      </c>
      <c r="M1115" s="699">
        <f>L1115</f>
        <v/>
      </c>
      <c r="N1115" s="686">
        <f>IF(B1115="TXO","",IF(D1115="新倉","",IF(E1115="賣",(H1115-H1114)*G1115,(H1114-H1115)*G1115)))</f>
        <v/>
      </c>
      <c r="O1115" s="226">
        <f>ABS(I1115)</f>
        <v/>
      </c>
      <c r="P1115" s="667" t="n"/>
      <c r="S1115" s="249" t="n"/>
      <c r="T1115" s="61">
        <f>IF(AND(R1115="Yes",S1115&lt;&gt;"Yes",L1115&gt;0,B1115&lt;&gt;"TXO"),L1115,"")</f>
        <v/>
      </c>
      <c r="U1115" s="61">
        <f>IF(AND(R1115="Yes",S1115&lt;&gt;"Yes",L1115&lt;0,B1115&lt;&gt;"TXO"),L1115,"")</f>
        <v/>
      </c>
      <c r="V1115" s="61">
        <f>IF(AND(R1115="",S1115&lt;&gt;"Yes",L1115&gt;0,B1115&lt;&gt;"TXO"),L1115,"")</f>
        <v/>
      </c>
      <c r="W1115" s="61">
        <f>IF(AND(R1115="",S1115&lt;&gt;"Yes",L1115&lt;0,B1115&lt;&gt;"TXO"),L1115,"")</f>
        <v/>
      </c>
      <c r="X1115" s="226">
        <f>IF(AND(R1115="Yes",S1115="Yes",L1115&gt;0,B1115&lt;&gt;"TXO"),L1115,"")</f>
        <v/>
      </c>
      <c r="Y1115" s="226">
        <f>IF(AND(R1115="Yes",S1115="Yes",L1115&lt;0,B1115&lt;&gt;"TXO"),L1115,"")</f>
        <v/>
      </c>
      <c r="Z1115" s="226">
        <f>IF(AND(R1115="",S1115="Yes",L1115&gt;0,B1115&lt;&gt;"TXO"),L1115,"")</f>
        <v/>
      </c>
      <c r="AA1115" s="226">
        <f>IF(AND(R1115="",S1115="Yes",L1115&lt;0,B1115&lt;&gt;"TXO"),L1115,"")</f>
        <v/>
      </c>
    </row>
    <row r="1116" hidden="1" outlineLevel="2" ht="17.25" customHeight="1" thickBot="1">
      <c r="A1116" s="696" t="n">
        <v>43384</v>
      </c>
      <c r="B1116" s="234" t="inlineStr">
        <is>
          <t>FIMTX</t>
        </is>
      </c>
      <c r="C1116" s="229" t="inlineStr">
        <is>
          <t>小指10</t>
        </is>
      </c>
      <c r="D1116" s="229" t="inlineStr">
        <is>
          <t>新倉</t>
        </is>
      </c>
      <c r="E1116" s="257" t="inlineStr">
        <is>
          <t>賣</t>
        </is>
      </c>
      <c r="F1116" s="229" t="inlineStr">
        <is>
          <t>-</t>
        </is>
      </c>
      <c r="G1116" s="697" t="n">
        <v>3</v>
      </c>
      <c r="H1116" s="697" t="n">
        <v>9930</v>
      </c>
      <c r="I1116" s="697" t="n">
        <v>0</v>
      </c>
      <c r="J1116" s="585" t="n">
        <v>69</v>
      </c>
      <c r="K1116" s="585" t="n">
        <v>30</v>
      </c>
      <c r="L1116" s="585">
        <f>IF(B1116="TXO",I1116-SUM(J1116:K1116),IF(B1116="FITX",IF(D1116="新倉",-SUM(J1116:K1116),IF(E1116="賣",(H1116-H1115)*G1116*200-SUM(J1116:K1116),(H1115-H1116)*G1116*200-SUM(J1116:K1116))),IF(D1116="新倉",-SUM(J1116:K1116),IF(E1116="賣",(H1116-H1115)*G1116*50-SUM(J1116:K1116),(H1115-H1116)*G1116*50-SUM(J1116:K1116)))))</f>
        <v/>
      </c>
      <c r="M1116" s="699">
        <f>L1116</f>
        <v/>
      </c>
      <c r="N1116" s="686">
        <f>IF(B1116="TXO","",IF(D1116="新倉","",IF(E1116="賣",(H1116-H1115)*G1116,(H1115-H1116)*G1116)))</f>
        <v/>
      </c>
      <c r="O1116" s="226">
        <f>ABS(I1116)</f>
        <v/>
      </c>
      <c r="P1116" s="667" t="n"/>
      <c r="S1116" s="249" t="n"/>
      <c r="T1116" s="61">
        <f>IF(AND(R1116="Yes",S1116&lt;&gt;"Yes",L1116&gt;0,B1116&lt;&gt;"TXO"),L1116,"")</f>
        <v/>
      </c>
      <c r="U1116" s="61">
        <f>IF(AND(R1116="Yes",S1116&lt;&gt;"Yes",L1116&lt;0,B1116&lt;&gt;"TXO"),L1116,"")</f>
        <v/>
      </c>
      <c r="V1116" s="61">
        <f>IF(AND(R1116="",S1116&lt;&gt;"Yes",L1116&gt;0,B1116&lt;&gt;"TXO"),L1116,"")</f>
        <v/>
      </c>
      <c r="W1116" s="61">
        <f>IF(AND(R1116="",S1116&lt;&gt;"Yes",L1116&lt;0,B1116&lt;&gt;"TXO"),L1116,"")</f>
        <v/>
      </c>
      <c r="X1116" s="226">
        <f>IF(AND(R1116="Yes",S1116="Yes",L1116&gt;0,B1116&lt;&gt;"TXO"),L1116,"")</f>
        <v/>
      </c>
      <c r="Y1116" s="226">
        <f>IF(AND(R1116="Yes",S1116="Yes",L1116&lt;0,B1116&lt;&gt;"TXO"),L1116,"")</f>
        <v/>
      </c>
      <c r="Z1116" s="226">
        <f>IF(AND(R1116="",S1116="Yes",L1116&gt;0,B1116&lt;&gt;"TXO"),L1116,"")</f>
        <v/>
      </c>
      <c r="AA1116" s="226">
        <f>IF(AND(R1116="",S1116="Yes",L1116&lt;0,B1116&lt;&gt;"TXO"),L1116,"")</f>
        <v/>
      </c>
    </row>
    <row r="1117" hidden="1" outlineLevel="2" ht="17.25" customHeight="1" thickBot="1">
      <c r="A1117" s="696" t="n">
        <v>43384</v>
      </c>
      <c r="B1117" s="234" t="inlineStr">
        <is>
          <t>FIMTX</t>
        </is>
      </c>
      <c r="C1117" s="229" t="inlineStr">
        <is>
          <t>小指10</t>
        </is>
      </c>
      <c r="D1117" s="229" t="inlineStr">
        <is>
          <t>平倉</t>
        </is>
      </c>
      <c r="E1117" s="257" t="inlineStr">
        <is>
          <t>買</t>
        </is>
      </c>
      <c r="F1117" s="229" t="inlineStr">
        <is>
          <t>-</t>
        </is>
      </c>
      <c r="G1117" s="697" t="n">
        <v>3</v>
      </c>
      <c r="H1117" s="697" t="n">
        <v>9925</v>
      </c>
      <c r="I1117" s="697" t="n">
        <v>0</v>
      </c>
      <c r="J1117" s="585" t="n">
        <v>69</v>
      </c>
      <c r="K1117" s="585" t="n">
        <v>30</v>
      </c>
      <c r="L1117" s="585">
        <f>IF(B1117="TXO",I1117-SUM(J1117:K1117),IF(B1117="FITX",IF(D1117="新倉",-SUM(J1117:K1117),IF(E1117="賣",(H1117-H1116)*G1117*200-SUM(J1117:K1117),(H1116-H1117)*G1117*200-SUM(J1117:K1117))),IF(D1117="新倉",-SUM(J1117:K1117),IF(E1117="賣",(H1117-H1116)*G1117*50-SUM(J1117:K1117),(H1116-H1117)*G1117*50-SUM(J1117:K1117)))))</f>
        <v/>
      </c>
      <c r="M1117" s="699">
        <f>L1117</f>
        <v/>
      </c>
      <c r="N1117" s="686">
        <f>IF(B1117="TXO","",IF(D1117="新倉","",IF(E1117="賣",(H1117-H1116)*G1117,(H1116-H1117)*G1117)))</f>
        <v/>
      </c>
      <c r="O1117" s="226">
        <f>ABS(I1117)</f>
        <v/>
      </c>
      <c r="P1117" s="667" t="n"/>
      <c r="S1117" s="249" t="n"/>
      <c r="T1117" s="61">
        <f>IF(AND(R1117="Yes",S1117&lt;&gt;"Yes",L1117&gt;0,B1117&lt;&gt;"TXO"),L1117,"")</f>
        <v/>
      </c>
      <c r="U1117" s="61">
        <f>IF(AND(R1117="Yes",S1117&lt;&gt;"Yes",L1117&lt;0,B1117&lt;&gt;"TXO"),L1117,"")</f>
        <v/>
      </c>
      <c r="V1117" s="61">
        <f>IF(AND(R1117="",S1117&lt;&gt;"Yes",L1117&gt;0,B1117&lt;&gt;"TXO"),L1117,"")</f>
        <v/>
      </c>
      <c r="W1117" s="61">
        <f>IF(AND(R1117="",S1117&lt;&gt;"Yes",L1117&lt;0,B1117&lt;&gt;"TXO"),L1117,"")</f>
        <v/>
      </c>
      <c r="X1117" s="226">
        <f>IF(AND(R1117="Yes",S1117="Yes",L1117&gt;0,B1117&lt;&gt;"TXO"),L1117,"")</f>
        <v/>
      </c>
      <c r="Y1117" s="226">
        <f>IF(AND(R1117="Yes",S1117="Yes",L1117&lt;0,B1117&lt;&gt;"TXO"),L1117,"")</f>
        <v/>
      </c>
      <c r="Z1117" s="226">
        <f>IF(AND(R1117="",S1117="Yes",L1117&gt;0,B1117&lt;&gt;"TXO"),L1117,"")</f>
        <v/>
      </c>
      <c r="AA1117" s="226">
        <f>IF(AND(R1117="",S1117="Yes",L1117&lt;0,B1117&lt;&gt;"TXO"),L1117,"")</f>
        <v/>
      </c>
    </row>
    <row r="1118" hidden="1" outlineLevel="2" ht="17.25" customHeight="1" thickBot="1">
      <c r="A1118" s="696" t="n">
        <v>43384</v>
      </c>
      <c r="B1118" s="234" t="inlineStr">
        <is>
          <t>FIMTX</t>
        </is>
      </c>
      <c r="C1118" s="229" t="inlineStr">
        <is>
          <t>小指10</t>
        </is>
      </c>
      <c r="D1118" s="229" t="inlineStr">
        <is>
          <t>新倉</t>
        </is>
      </c>
      <c r="E1118" s="257" t="inlineStr">
        <is>
          <t>買</t>
        </is>
      </c>
      <c r="F1118" s="229" t="inlineStr">
        <is>
          <t>-</t>
        </is>
      </c>
      <c r="G1118" s="697" t="n">
        <v>1</v>
      </c>
      <c r="H1118" s="697" t="n">
        <v>9862</v>
      </c>
      <c r="I1118" s="697" t="n">
        <v>0</v>
      </c>
      <c r="J1118" s="585" t="n">
        <v>23</v>
      </c>
      <c r="K1118" s="585" t="n">
        <v>10</v>
      </c>
      <c r="L1118" s="585">
        <f>IF(B1118="TXO",I1118-SUM(J1118:K1118),IF(B1118="FITX",IF(D1118="新倉",-SUM(J1118:K1118),IF(E1118="賣",(H1118-H1117)*G1118*200-SUM(J1118:K1118),(H1117-H1118)*G1118*200-SUM(J1118:K1118))),IF(D1118="新倉",-SUM(J1118:K1118),IF(E1118="賣",(H1118-H1117)*G1118*50-SUM(J1118:K1118),(H1117-H1118)*G1118*50-SUM(J1118:K1118)))))</f>
        <v/>
      </c>
      <c r="M1118" s="699">
        <f>L1118</f>
        <v/>
      </c>
      <c r="N1118" s="686">
        <f>IF(B1118="TXO","",IF(D1118="新倉","",IF(E1118="賣",(H1118-H1117)*G1118,(H1117-H1118)*G1118)))</f>
        <v/>
      </c>
      <c r="O1118" s="226">
        <f>ABS(I1118)</f>
        <v/>
      </c>
      <c r="P1118" s="667" t="n"/>
      <c r="S1118" s="249" t="n"/>
      <c r="T1118" s="61">
        <f>IF(AND(R1118="Yes",S1118&lt;&gt;"Yes",L1118&gt;0,B1118&lt;&gt;"TXO"),L1118,"")</f>
        <v/>
      </c>
      <c r="U1118" s="61">
        <f>IF(AND(R1118="Yes",S1118&lt;&gt;"Yes",L1118&lt;0,B1118&lt;&gt;"TXO"),L1118,"")</f>
        <v/>
      </c>
      <c r="V1118" s="61">
        <f>IF(AND(R1118="",S1118&lt;&gt;"Yes",L1118&gt;0,B1118&lt;&gt;"TXO"),L1118,"")</f>
        <v/>
      </c>
      <c r="W1118" s="61">
        <f>IF(AND(R1118="",S1118&lt;&gt;"Yes",L1118&lt;0,B1118&lt;&gt;"TXO"),L1118,"")</f>
        <v/>
      </c>
      <c r="X1118" s="226">
        <f>IF(AND(R1118="Yes",S1118="Yes",L1118&gt;0,B1118&lt;&gt;"TXO"),L1118,"")</f>
        <v/>
      </c>
      <c r="Y1118" s="226">
        <f>IF(AND(R1118="Yes",S1118="Yes",L1118&lt;0,B1118&lt;&gt;"TXO"),L1118,"")</f>
        <v/>
      </c>
      <c r="Z1118" s="226">
        <f>IF(AND(R1118="",S1118="Yes",L1118&gt;0,B1118&lt;&gt;"TXO"),L1118,"")</f>
        <v/>
      </c>
      <c r="AA1118" s="226">
        <f>IF(AND(R1118="",S1118="Yes",L1118&lt;0,B1118&lt;&gt;"TXO"),L1118,"")</f>
        <v/>
      </c>
    </row>
    <row r="1119" hidden="1" outlineLevel="2" ht="17.25" customHeight="1" thickBot="1">
      <c r="A1119" s="696" t="n">
        <v>43384</v>
      </c>
      <c r="B1119" s="234" t="inlineStr">
        <is>
          <t>FIMTX</t>
        </is>
      </c>
      <c r="C1119" s="229" t="inlineStr">
        <is>
          <t>小指10</t>
        </is>
      </c>
      <c r="D1119" s="229" t="inlineStr">
        <is>
          <t>平倉</t>
        </is>
      </c>
      <c r="E1119" s="257" t="inlineStr">
        <is>
          <t>賣</t>
        </is>
      </c>
      <c r="F1119" s="229" t="inlineStr">
        <is>
          <t>-</t>
        </is>
      </c>
      <c r="G1119" s="697" t="n">
        <v>1</v>
      </c>
      <c r="H1119" s="697" t="n">
        <v>9891</v>
      </c>
      <c r="I1119" s="697" t="n">
        <v>0</v>
      </c>
      <c r="J1119" s="585" t="n">
        <v>23</v>
      </c>
      <c r="K1119" s="585" t="n">
        <v>10</v>
      </c>
      <c r="L1119" s="585">
        <f>IF(B1119="TXO",I1119-SUM(J1119:K1119),IF(B1119="FITX",IF(D1119="新倉",-SUM(J1119:K1119),IF(E1119="賣",(H1119-H1118)*G1119*200-SUM(J1119:K1119),(H1118-H1119)*G1119*200-SUM(J1119:K1119))),IF(D1119="新倉",-SUM(J1119:K1119),IF(E1119="賣",(H1119-H1118)*G1119*50-SUM(J1119:K1119),(H1118-H1119)*G1119*50-SUM(J1119:K1119)))))</f>
        <v/>
      </c>
      <c r="M1119" s="699">
        <f>L1119</f>
        <v/>
      </c>
      <c r="N1119" s="686">
        <f>IF(B1119="TXO","",IF(D1119="新倉","",IF(E1119="賣",(H1119-H1118)*G1119,(H1118-H1119)*G1119)))</f>
        <v/>
      </c>
      <c r="O1119" s="226">
        <f>ABS(I1119)</f>
        <v/>
      </c>
      <c r="P1119" s="667" t="n"/>
      <c r="S1119" s="249" t="n"/>
      <c r="T1119" s="61">
        <f>IF(AND(R1119="Yes",S1119&lt;&gt;"Yes",L1119&gt;0,B1119&lt;&gt;"TXO"),L1119,"")</f>
        <v/>
      </c>
      <c r="U1119" s="61">
        <f>IF(AND(R1119="Yes",S1119&lt;&gt;"Yes",L1119&lt;0,B1119&lt;&gt;"TXO"),L1119,"")</f>
        <v/>
      </c>
      <c r="V1119" s="61">
        <f>IF(AND(R1119="",S1119&lt;&gt;"Yes",L1119&gt;0,B1119&lt;&gt;"TXO"),L1119,"")</f>
        <v/>
      </c>
      <c r="W1119" s="61">
        <f>IF(AND(R1119="",S1119&lt;&gt;"Yes",L1119&lt;0,B1119&lt;&gt;"TXO"),L1119,"")</f>
        <v/>
      </c>
      <c r="X1119" s="226">
        <f>IF(AND(R1119="Yes",S1119="Yes",L1119&gt;0,B1119&lt;&gt;"TXO"),L1119,"")</f>
        <v/>
      </c>
      <c r="Y1119" s="226">
        <f>IF(AND(R1119="Yes",S1119="Yes",L1119&lt;0,B1119&lt;&gt;"TXO"),L1119,"")</f>
        <v/>
      </c>
      <c r="Z1119" s="226">
        <f>IF(AND(R1119="",S1119="Yes",L1119&gt;0,B1119&lt;&gt;"TXO"),L1119,"")</f>
        <v/>
      </c>
      <c r="AA1119" s="226">
        <f>IF(AND(R1119="",S1119="Yes",L1119&lt;0,B1119&lt;&gt;"TXO"),L1119,"")</f>
        <v/>
      </c>
    </row>
    <row r="1120" hidden="1" outlineLevel="2" ht="17.25" customHeight="1" thickBot="1">
      <c r="A1120" s="696" t="n">
        <v>43384</v>
      </c>
      <c r="B1120" s="234" t="inlineStr">
        <is>
          <t>FIMTX</t>
        </is>
      </c>
      <c r="C1120" s="229" t="inlineStr">
        <is>
          <t>小指10</t>
        </is>
      </c>
      <c r="D1120" s="229" t="inlineStr">
        <is>
          <t>新倉</t>
        </is>
      </c>
      <c r="E1120" s="257" t="inlineStr">
        <is>
          <t>買</t>
        </is>
      </c>
      <c r="F1120" s="229" t="inlineStr">
        <is>
          <t>-</t>
        </is>
      </c>
      <c r="G1120" s="697" t="n">
        <v>1</v>
      </c>
      <c r="H1120" s="697" t="n">
        <v>9862</v>
      </c>
      <c r="I1120" s="697" t="n">
        <v>0</v>
      </c>
      <c r="J1120" s="585" t="n">
        <v>23</v>
      </c>
      <c r="K1120" s="585" t="n">
        <v>10</v>
      </c>
      <c r="L1120" s="585">
        <f>IF(B1120="TXO",I1120-SUM(J1120:K1120),IF(B1120="FITX",IF(D1120="新倉",-SUM(J1120:K1120),IF(E1120="賣",(H1120-H1119)*G1120*200-SUM(J1120:K1120),(H1119-H1120)*G1120*200-SUM(J1120:K1120))),IF(D1120="新倉",-SUM(J1120:K1120),IF(E1120="賣",(H1120-H1119)*G1120*50-SUM(J1120:K1120),(H1119-H1120)*G1120*50-SUM(J1120:K1120)))))</f>
        <v/>
      </c>
      <c r="M1120" s="699">
        <f>L1120</f>
        <v/>
      </c>
      <c r="N1120" s="686">
        <f>IF(B1120="TXO","",IF(D1120="新倉","",IF(E1120="賣",(H1120-H1119)*G1120,(H1119-H1120)*G1120)))</f>
        <v/>
      </c>
      <c r="O1120" s="226">
        <f>ABS(I1120)</f>
        <v/>
      </c>
      <c r="P1120" s="667" t="n"/>
      <c r="S1120" s="249" t="n"/>
      <c r="T1120" s="61">
        <f>IF(AND(R1120="Yes",S1120&lt;&gt;"Yes",L1120&gt;0,B1120&lt;&gt;"TXO"),L1120,"")</f>
        <v/>
      </c>
      <c r="U1120" s="61">
        <f>IF(AND(R1120="Yes",S1120&lt;&gt;"Yes",L1120&lt;0,B1120&lt;&gt;"TXO"),L1120,"")</f>
        <v/>
      </c>
      <c r="V1120" s="61">
        <f>IF(AND(R1120="",S1120&lt;&gt;"Yes",L1120&gt;0,B1120&lt;&gt;"TXO"),L1120,"")</f>
        <v/>
      </c>
      <c r="W1120" s="61">
        <f>IF(AND(R1120="",S1120&lt;&gt;"Yes",L1120&lt;0,B1120&lt;&gt;"TXO"),L1120,"")</f>
        <v/>
      </c>
      <c r="X1120" s="226">
        <f>IF(AND(R1120="Yes",S1120="Yes",L1120&gt;0,B1120&lt;&gt;"TXO"),L1120,"")</f>
        <v/>
      </c>
      <c r="Y1120" s="226">
        <f>IF(AND(R1120="Yes",S1120="Yes",L1120&lt;0,B1120&lt;&gt;"TXO"),L1120,"")</f>
        <v/>
      </c>
      <c r="Z1120" s="226">
        <f>IF(AND(R1120="",S1120="Yes",L1120&gt;0,B1120&lt;&gt;"TXO"),L1120,"")</f>
        <v/>
      </c>
      <c r="AA1120" s="226">
        <f>IF(AND(R1120="",S1120="Yes",L1120&lt;0,B1120&lt;&gt;"TXO"),L1120,"")</f>
        <v/>
      </c>
    </row>
    <row r="1121" hidden="1" outlineLevel="2" ht="17.25" customHeight="1" thickBot="1">
      <c r="A1121" s="696" t="n">
        <v>43384</v>
      </c>
      <c r="B1121" s="234" t="inlineStr">
        <is>
          <t>FIMTX</t>
        </is>
      </c>
      <c r="C1121" s="229" t="inlineStr">
        <is>
          <t>小指10</t>
        </is>
      </c>
      <c r="D1121" s="229" t="inlineStr">
        <is>
          <t>平倉</t>
        </is>
      </c>
      <c r="E1121" s="257" t="inlineStr">
        <is>
          <t>賣</t>
        </is>
      </c>
      <c r="F1121" s="229" t="inlineStr">
        <is>
          <t>-</t>
        </is>
      </c>
      <c r="G1121" s="697" t="n">
        <v>1</v>
      </c>
      <c r="H1121" s="697" t="n">
        <v>9890</v>
      </c>
      <c r="I1121" s="697" t="n">
        <v>0</v>
      </c>
      <c r="J1121" s="585" t="n">
        <v>23</v>
      </c>
      <c r="K1121" s="585" t="n">
        <v>10</v>
      </c>
      <c r="L1121" s="585">
        <f>IF(B1121="TXO",I1121-SUM(J1121:K1121),IF(B1121="FITX",IF(D1121="新倉",-SUM(J1121:K1121),IF(E1121="賣",(H1121-H1120)*G1121*200-SUM(J1121:K1121),(H1120-H1121)*G1121*200-SUM(J1121:K1121))),IF(D1121="新倉",-SUM(J1121:K1121),IF(E1121="賣",(H1121-H1120)*G1121*50-SUM(J1121:K1121),(H1120-H1121)*G1121*50-SUM(J1121:K1121)))))</f>
        <v/>
      </c>
      <c r="M1121" s="699">
        <f>L1121</f>
        <v/>
      </c>
      <c r="N1121" s="686">
        <f>IF(B1121="TXO","",IF(D1121="新倉","",IF(E1121="賣",(H1121-H1120)*G1121,(H1120-H1121)*G1121)))</f>
        <v/>
      </c>
      <c r="O1121" s="226">
        <f>ABS(I1121)</f>
        <v/>
      </c>
      <c r="P1121" s="667" t="n"/>
      <c r="S1121" s="249" t="n"/>
      <c r="T1121" s="61">
        <f>IF(AND(R1121="Yes",S1121&lt;&gt;"Yes",L1121&gt;0,B1121&lt;&gt;"TXO"),L1121,"")</f>
        <v/>
      </c>
      <c r="U1121" s="61">
        <f>IF(AND(R1121="Yes",S1121&lt;&gt;"Yes",L1121&lt;0,B1121&lt;&gt;"TXO"),L1121,"")</f>
        <v/>
      </c>
      <c r="V1121" s="61">
        <f>IF(AND(R1121="",S1121&lt;&gt;"Yes",L1121&gt;0,B1121&lt;&gt;"TXO"),L1121,"")</f>
        <v/>
      </c>
      <c r="W1121" s="61">
        <f>IF(AND(R1121="",S1121&lt;&gt;"Yes",L1121&lt;0,B1121&lt;&gt;"TXO"),L1121,"")</f>
        <v/>
      </c>
      <c r="X1121" s="226">
        <f>IF(AND(R1121="Yes",S1121="Yes",L1121&gt;0,B1121&lt;&gt;"TXO"),L1121,"")</f>
        <v/>
      </c>
      <c r="Y1121" s="226">
        <f>IF(AND(R1121="Yes",S1121="Yes",L1121&lt;0,B1121&lt;&gt;"TXO"),L1121,"")</f>
        <v/>
      </c>
      <c r="Z1121" s="226">
        <f>IF(AND(R1121="",S1121="Yes",L1121&gt;0,B1121&lt;&gt;"TXO"),L1121,"")</f>
        <v/>
      </c>
      <c r="AA1121" s="226">
        <f>IF(AND(R1121="",S1121="Yes",L1121&lt;0,B1121&lt;&gt;"TXO"),L1121,"")</f>
        <v/>
      </c>
    </row>
    <row r="1122" hidden="1" outlineLevel="2" ht="17.25" customHeight="1" thickBot="1">
      <c r="A1122" s="696" t="n">
        <v>43384</v>
      </c>
      <c r="B1122" s="234" t="inlineStr">
        <is>
          <t>FIMTX</t>
        </is>
      </c>
      <c r="C1122" s="229" t="inlineStr">
        <is>
          <t>小指10</t>
        </is>
      </c>
      <c r="D1122" s="229" t="inlineStr">
        <is>
          <t>新倉</t>
        </is>
      </c>
      <c r="E1122" s="257" t="inlineStr">
        <is>
          <t>買</t>
        </is>
      </c>
      <c r="F1122" s="229" t="inlineStr">
        <is>
          <t>-</t>
        </is>
      </c>
      <c r="G1122" s="697" t="n">
        <v>1</v>
      </c>
      <c r="H1122" s="697" t="n">
        <v>9861</v>
      </c>
      <c r="I1122" s="697" t="n">
        <v>0</v>
      </c>
      <c r="J1122" s="585" t="n">
        <v>23</v>
      </c>
      <c r="K1122" s="585" t="n">
        <v>10</v>
      </c>
      <c r="L1122" s="585">
        <f>IF(B1122="TXO",I1122-SUM(J1122:K1122),IF(B1122="FITX",IF(D1122="新倉",-SUM(J1122:K1122),IF(E1122="賣",(H1122-H1121)*G1122*200-SUM(J1122:K1122),(H1121-H1122)*G1122*200-SUM(J1122:K1122))),IF(D1122="新倉",-SUM(J1122:K1122),IF(E1122="賣",(H1122-H1121)*G1122*50-SUM(J1122:K1122),(H1121-H1122)*G1122*50-SUM(J1122:K1122)))))</f>
        <v/>
      </c>
      <c r="M1122" s="699">
        <f>L1122</f>
        <v/>
      </c>
      <c r="N1122" s="686">
        <f>IF(B1122="TXO","",IF(D1122="新倉","",IF(E1122="賣",(H1122-H1121)*G1122,(H1121-H1122)*G1122)))</f>
        <v/>
      </c>
      <c r="O1122" s="226">
        <f>ABS(I1122)</f>
        <v/>
      </c>
      <c r="P1122" s="667" t="n"/>
      <c r="S1122" s="249" t="n"/>
      <c r="T1122" s="61">
        <f>IF(AND(R1122="Yes",S1122&lt;&gt;"Yes",L1122&gt;0,B1122&lt;&gt;"TXO"),L1122,"")</f>
        <v/>
      </c>
      <c r="U1122" s="61">
        <f>IF(AND(R1122="Yes",S1122&lt;&gt;"Yes",L1122&lt;0,B1122&lt;&gt;"TXO"),L1122,"")</f>
        <v/>
      </c>
      <c r="V1122" s="61">
        <f>IF(AND(R1122="",S1122&lt;&gt;"Yes",L1122&gt;0,B1122&lt;&gt;"TXO"),L1122,"")</f>
        <v/>
      </c>
      <c r="W1122" s="61">
        <f>IF(AND(R1122="",S1122&lt;&gt;"Yes",L1122&lt;0,B1122&lt;&gt;"TXO"),L1122,"")</f>
        <v/>
      </c>
      <c r="X1122" s="226">
        <f>IF(AND(R1122="Yes",S1122="Yes",L1122&gt;0,B1122&lt;&gt;"TXO"),L1122,"")</f>
        <v/>
      </c>
      <c r="Y1122" s="226">
        <f>IF(AND(R1122="Yes",S1122="Yes",L1122&lt;0,B1122&lt;&gt;"TXO"),L1122,"")</f>
        <v/>
      </c>
      <c r="Z1122" s="226">
        <f>IF(AND(R1122="",S1122="Yes",L1122&gt;0,B1122&lt;&gt;"TXO"),L1122,"")</f>
        <v/>
      </c>
      <c r="AA1122" s="226">
        <f>IF(AND(R1122="",S1122="Yes",L1122&lt;0,B1122&lt;&gt;"TXO"),L1122,"")</f>
        <v/>
      </c>
    </row>
    <row r="1123" hidden="1" outlineLevel="2" ht="17.25" customHeight="1" thickBot="1">
      <c r="A1123" s="696" t="n">
        <v>43384</v>
      </c>
      <c r="B1123" s="234" t="inlineStr">
        <is>
          <t>FIMTX</t>
        </is>
      </c>
      <c r="C1123" s="229" t="inlineStr">
        <is>
          <t>小指10</t>
        </is>
      </c>
      <c r="D1123" s="229" t="inlineStr">
        <is>
          <t>平倉</t>
        </is>
      </c>
      <c r="E1123" s="257" t="inlineStr">
        <is>
          <t>賣</t>
        </is>
      </c>
      <c r="F1123" s="229" t="inlineStr">
        <is>
          <t>-</t>
        </is>
      </c>
      <c r="G1123" s="697" t="n">
        <v>1</v>
      </c>
      <c r="H1123" s="697" t="n">
        <v>9889</v>
      </c>
      <c r="I1123" s="697" t="n">
        <v>0</v>
      </c>
      <c r="J1123" s="585" t="n">
        <v>23</v>
      </c>
      <c r="K1123" s="585" t="n">
        <v>10</v>
      </c>
      <c r="L1123" s="585">
        <f>IF(B1123="TXO",I1123-SUM(J1123:K1123),IF(B1123="FITX",IF(D1123="新倉",-SUM(J1123:K1123),IF(E1123="賣",(H1123-H1122)*G1123*200-SUM(J1123:K1123),(H1122-H1123)*G1123*200-SUM(J1123:K1123))),IF(D1123="新倉",-SUM(J1123:K1123),IF(E1123="賣",(H1123-H1122)*G1123*50-SUM(J1123:K1123),(H1122-H1123)*G1123*50-SUM(J1123:K1123)))))</f>
        <v/>
      </c>
      <c r="M1123" s="699">
        <f>L1123</f>
        <v/>
      </c>
      <c r="N1123" s="686">
        <f>IF(B1123="TXO","",IF(D1123="新倉","",IF(E1123="賣",(H1123-H1122)*G1123,(H1122-H1123)*G1123)))</f>
        <v/>
      </c>
      <c r="O1123" s="226">
        <f>ABS(I1123)</f>
        <v/>
      </c>
      <c r="P1123" s="667" t="n"/>
      <c r="S1123" s="249" t="n"/>
      <c r="T1123" s="61">
        <f>IF(AND(R1123="Yes",S1123&lt;&gt;"Yes",L1123&gt;0,B1123&lt;&gt;"TXO"),L1123,"")</f>
        <v/>
      </c>
      <c r="U1123" s="61">
        <f>IF(AND(R1123="Yes",S1123&lt;&gt;"Yes",L1123&lt;0,B1123&lt;&gt;"TXO"),L1123,"")</f>
        <v/>
      </c>
      <c r="V1123" s="61">
        <f>IF(AND(R1123="",S1123&lt;&gt;"Yes",L1123&gt;0,B1123&lt;&gt;"TXO"),L1123,"")</f>
        <v/>
      </c>
      <c r="W1123" s="61">
        <f>IF(AND(R1123="",S1123&lt;&gt;"Yes",L1123&lt;0,B1123&lt;&gt;"TXO"),L1123,"")</f>
        <v/>
      </c>
      <c r="X1123" s="226">
        <f>IF(AND(R1123="Yes",S1123="Yes",L1123&gt;0,B1123&lt;&gt;"TXO"),L1123,"")</f>
        <v/>
      </c>
      <c r="Y1123" s="226">
        <f>IF(AND(R1123="Yes",S1123="Yes",L1123&lt;0,B1123&lt;&gt;"TXO"),L1123,"")</f>
        <v/>
      </c>
      <c r="Z1123" s="226">
        <f>IF(AND(R1123="",S1123="Yes",L1123&gt;0,B1123&lt;&gt;"TXO"),L1123,"")</f>
        <v/>
      </c>
      <c r="AA1123" s="226">
        <f>IF(AND(R1123="",S1123="Yes",L1123&lt;0,B1123&lt;&gt;"TXO"),L1123,"")</f>
        <v/>
      </c>
    </row>
    <row r="1124" hidden="1" outlineLevel="2" ht="17.25" customHeight="1" thickBot="1">
      <c r="A1124" s="696" t="n">
        <v>43384</v>
      </c>
      <c r="B1124" s="234" t="inlineStr">
        <is>
          <t>TXO</t>
        </is>
      </c>
      <c r="C1124" s="229" t="inlineStr">
        <is>
          <t>台指選W2 10 10100 C</t>
        </is>
      </c>
      <c r="D1124" s="229" t="inlineStr">
        <is>
          <t>新倉</t>
        </is>
      </c>
      <c r="E1124" s="257" t="inlineStr">
        <is>
          <t>買</t>
        </is>
      </c>
      <c r="F1124" s="229" t="inlineStr">
        <is>
          <t>-</t>
        </is>
      </c>
      <c r="G1124" s="697" t="n">
        <v>1</v>
      </c>
      <c r="H1124" s="697" t="n">
        <v>2</v>
      </c>
      <c r="I1124" s="697" t="n">
        <v>-100</v>
      </c>
      <c r="J1124" s="585" t="n">
        <v>18</v>
      </c>
      <c r="K1124" s="585" t="n">
        <v>0</v>
      </c>
      <c r="L1124" s="585">
        <f>IF(B1124="TXO",I1124-SUM(J1124:K1124),IF(B1124="FITX",IF(D1124="新倉",-SUM(J1124:K1124),IF(E1124="賣",(H1124-H1123)*G1124*200-SUM(J1124:K1124),(H1123-H1124)*G1124*200-SUM(J1124:K1124))),IF(D1124="新倉",-SUM(J1124:K1124),IF(E1124="賣",(H1124-H1123)*G1124*50-SUM(J1124:K1124),(H1123-H1124)*G1124*50-SUM(J1124:K1124)))))</f>
        <v/>
      </c>
      <c r="M1124" s="699">
        <f>L1124</f>
        <v/>
      </c>
      <c r="N1124" s="686">
        <f>IF(B1124="TXO","",IF(D1124="新倉","",IF(E1124="賣",(H1124-H1123)*G1124,(H1123-H1124)*G1124)))</f>
        <v/>
      </c>
      <c r="O1124" s="226">
        <f>ABS(I1124)</f>
        <v/>
      </c>
      <c r="P1124" s="667" t="n"/>
      <c r="S1124" s="249" t="n"/>
      <c r="T1124" s="61">
        <f>IF(AND(R1124="Yes",S1124&lt;&gt;"Yes",L1124&gt;0,B1124&lt;&gt;"TXO"),L1124,"")</f>
        <v/>
      </c>
      <c r="U1124" s="61">
        <f>IF(AND(R1124="Yes",S1124&lt;&gt;"Yes",L1124&lt;0,B1124&lt;&gt;"TXO"),L1124,"")</f>
        <v/>
      </c>
      <c r="V1124" s="61">
        <f>IF(AND(R1124="",S1124&lt;&gt;"Yes",L1124&gt;0,B1124&lt;&gt;"TXO"),L1124,"")</f>
        <v/>
      </c>
      <c r="W1124" s="61">
        <f>IF(AND(R1124="",S1124&lt;&gt;"Yes",L1124&lt;0,B1124&lt;&gt;"TXO"),L1124,"")</f>
        <v/>
      </c>
      <c r="X1124" s="226">
        <f>IF(AND(R1124="Yes",S1124="Yes",L1124&gt;0,B1124&lt;&gt;"TXO"),L1124,"")</f>
        <v/>
      </c>
      <c r="Y1124" s="226">
        <f>IF(AND(R1124="Yes",S1124="Yes",L1124&lt;0,B1124&lt;&gt;"TXO"),L1124,"")</f>
        <v/>
      </c>
      <c r="Z1124" s="226">
        <f>IF(AND(R1124="",S1124="Yes",L1124&gt;0,B1124&lt;&gt;"TXO"),L1124,"")</f>
        <v/>
      </c>
      <c r="AA1124" s="226">
        <f>IF(AND(R1124="",S1124="Yes",L1124&lt;0,B1124&lt;&gt;"TXO"),L1124,"")</f>
        <v/>
      </c>
    </row>
    <row r="1125" hidden="1" outlineLevel="2" ht="17.25" customHeight="1" thickBot="1">
      <c r="A1125" s="696" t="n">
        <v>43384</v>
      </c>
      <c r="B1125" s="234" t="inlineStr">
        <is>
          <t>TXO</t>
        </is>
      </c>
      <c r="C1125" s="229" t="inlineStr">
        <is>
          <t>台指選W2 10 10100 C</t>
        </is>
      </c>
      <c r="D1125" s="229" t="inlineStr">
        <is>
          <t>平倉</t>
        </is>
      </c>
      <c r="E1125" s="257" t="inlineStr">
        <is>
          <t>賣</t>
        </is>
      </c>
      <c r="F1125" s="229" t="inlineStr">
        <is>
          <t>-</t>
        </is>
      </c>
      <c r="G1125" s="697" t="n">
        <v>1</v>
      </c>
      <c r="H1125" s="697" t="n">
        <v>0.7</v>
      </c>
      <c r="I1125" s="697" t="n">
        <v>35</v>
      </c>
      <c r="J1125" s="585" t="n">
        <v>18</v>
      </c>
      <c r="K1125" s="585" t="n">
        <v>0</v>
      </c>
      <c r="L1125" s="585">
        <f>IF(B1125="TXO",I1125-SUM(J1125:K1125),IF(B1125="FITX",IF(D1125="新倉",-SUM(J1125:K1125),IF(E1125="賣",(H1125-H1124)*G1125*200-SUM(J1125:K1125),(H1124-H1125)*G1125*200-SUM(J1125:K1125))),IF(D1125="新倉",-SUM(J1125:K1125),IF(E1125="賣",(H1125-H1124)*G1125*50-SUM(J1125:K1125),(H1124-H1125)*G1125*50-SUM(J1125:K1125)))))</f>
        <v/>
      </c>
      <c r="M1125" s="699">
        <f>L1125</f>
        <v/>
      </c>
      <c r="N1125" s="686">
        <f>IF(B1125="TXO","",IF(D1125="新倉","",IF(E1125="賣",(H1125-H1124)*G1125,(H1124-H1125)*G1125)))</f>
        <v/>
      </c>
      <c r="O1125" s="226">
        <f>ABS(I1125)</f>
        <v/>
      </c>
      <c r="P1125" s="667" t="n"/>
      <c r="S1125" s="249" t="n"/>
      <c r="T1125" s="61">
        <f>IF(AND(R1125="Yes",S1125&lt;&gt;"Yes",L1125&gt;0,B1125&lt;&gt;"TXO"),L1125,"")</f>
        <v/>
      </c>
      <c r="U1125" s="61">
        <f>IF(AND(R1125="Yes",S1125&lt;&gt;"Yes",L1125&lt;0,B1125&lt;&gt;"TXO"),L1125,"")</f>
        <v/>
      </c>
      <c r="V1125" s="61">
        <f>IF(AND(R1125="",S1125&lt;&gt;"Yes",L1125&gt;0,B1125&lt;&gt;"TXO"),L1125,"")</f>
        <v/>
      </c>
      <c r="W1125" s="61">
        <f>IF(AND(R1125="",S1125&lt;&gt;"Yes",L1125&lt;0,B1125&lt;&gt;"TXO"),L1125,"")</f>
        <v/>
      </c>
      <c r="X1125" s="226">
        <f>IF(AND(R1125="Yes",S1125="Yes",L1125&gt;0,B1125&lt;&gt;"TXO"),L1125,"")</f>
        <v/>
      </c>
      <c r="Y1125" s="226">
        <f>IF(AND(R1125="Yes",S1125="Yes",L1125&lt;0,B1125&lt;&gt;"TXO"),L1125,"")</f>
        <v/>
      </c>
      <c r="Z1125" s="226">
        <f>IF(AND(R1125="",S1125="Yes",L1125&gt;0,B1125&lt;&gt;"TXO"),L1125,"")</f>
        <v/>
      </c>
      <c r="AA1125" s="226">
        <f>IF(AND(R1125="",S1125="Yes",L1125&lt;0,B1125&lt;&gt;"TXO"),L1125,"")</f>
        <v/>
      </c>
    </row>
    <row r="1126" hidden="1" outlineLevel="2" ht="17.25" customHeight="1" thickBot="1">
      <c r="A1126" s="696" t="n">
        <v>43384</v>
      </c>
      <c r="B1126" s="234" t="inlineStr">
        <is>
          <t>TXO</t>
        </is>
      </c>
      <c r="C1126" s="229" t="inlineStr">
        <is>
          <t>台指選W2 10 9900  C</t>
        </is>
      </c>
      <c r="D1126" s="229" t="inlineStr">
        <is>
          <t>新倉</t>
        </is>
      </c>
      <c r="E1126" s="257" t="inlineStr">
        <is>
          <t>買</t>
        </is>
      </c>
      <c r="F1126" s="229" t="inlineStr">
        <is>
          <t>-</t>
        </is>
      </c>
      <c r="G1126" s="697" t="n">
        <v>1</v>
      </c>
      <c r="H1126" s="697" t="n">
        <v>25</v>
      </c>
      <c r="I1126" s="697" t="n">
        <v>-1250</v>
      </c>
      <c r="J1126" s="585" t="n">
        <v>18</v>
      </c>
      <c r="K1126" s="585" t="n">
        <v>1</v>
      </c>
      <c r="L1126" s="585">
        <f>IF(B1126="TXO",I1126-SUM(J1126:K1126),IF(B1126="FITX",IF(D1126="新倉",-SUM(J1126:K1126),IF(E1126="賣",(H1126-H1125)*G1126*200-SUM(J1126:K1126),(H1125-H1126)*G1126*200-SUM(J1126:K1126))),IF(D1126="新倉",-SUM(J1126:K1126),IF(E1126="賣",(H1126-H1125)*G1126*50-SUM(J1126:K1126),(H1125-H1126)*G1126*50-SUM(J1126:K1126)))))</f>
        <v/>
      </c>
      <c r="M1126" s="699">
        <f>L1126</f>
        <v/>
      </c>
      <c r="N1126" s="686">
        <f>IF(B1126="TXO","",IF(D1126="新倉","",IF(E1126="賣",(H1126-H1125)*G1126,(H1125-H1126)*G1126)))</f>
        <v/>
      </c>
      <c r="O1126" s="226">
        <f>ABS(I1126)</f>
        <v/>
      </c>
      <c r="P1126" s="667" t="n"/>
      <c r="S1126" s="249" t="n"/>
      <c r="T1126" s="61">
        <f>IF(AND(R1126="Yes",S1126&lt;&gt;"Yes",L1126&gt;0,B1126&lt;&gt;"TXO"),L1126,"")</f>
        <v/>
      </c>
      <c r="U1126" s="61">
        <f>IF(AND(R1126="Yes",S1126&lt;&gt;"Yes",L1126&lt;0,B1126&lt;&gt;"TXO"),L1126,"")</f>
        <v/>
      </c>
      <c r="V1126" s="61">
        <f>IF(AND(R1126="",S1126&lt;&gt;"Yes",L1126&gt;0,B1126&lt;&gt;"TXO"),L1126,"")</f>
        <v/>
      </c>
      <c r="W1126" s="61">
        <f>IF(AND(R1126="",S1126&lt;&gt;"Yes",L1126&lt;0,B1126&lt;&gt;"TXO"),L1126,"")</f>
        <v/>
      </c>
      <c r="X1126" s="226">
        <f>IF(AND(R1126="Yes",S1126="Yes",L1126&gt;0,B1126&lt;&gt;"TXO"),L1126,"")</f>
        <v/>
      </c>
      <c r="Y1126" s="226">
        <f>IF(AND(R1126="Yes",S1126="Yes",L1126&lt;0,B1126&lt;&gt;"TXO"),L1126,"")</f>
        <v/>
      </c>
      <c r="Z1126" s="226">
        <f>IF(AND(R1126="",S1126="Yes",L1126&gt;0,B1126&lt;&gt;"TXO"),L1126,"")</f>
        <v/>
      </c>
      <c r="AA1126" s="226">
        <f>IF(AND(R1126="",S1126="Yes",L1126&lt;0,B1126&lt;&gt;"TXO"),L1126,"")</f>
        <v/>
      </c>
    </row>
    <row r="1127" hidden="1" outlineLevel="2" ht="17.25" customHeight="1" thickBot="1">
      <c r="A1127" s="696" t="n">
        <v>43384</v>
      </c>
      <c r="B1127" s="234" t="inlineStr">
        <is>
          <t>TXO</t>
        </is>
      </c>
      <c r="C1127" s="229" t="inlineStr">
        <is>
          <t>台指選W2 10 9900  C</t>
        </is>
      </c>
      <c r="D1127" s="229" t="inlineStr">
        <is>
          <t>平倉</t>
        </is>
      </c>
      <c r="E1127" s="257" t="inlineStr">
        <is>
          <t>賣</t>
        </is>
      </c>
      <c r="F1127" s="229" t="inlineStr">
        <is>
          <t>-</t>
        </is>
      </c>
      <c r="G1127" s="697" t="n">
        <v>1</v>
      </c>
      <c r="H1127" s="697" t="n">
        <v>4.1</v>
      </c>
      <c r="I1127" s="697" t="n">
        <v>205</v>
      </c>
      <c r="J1127" s="585" t="n">
        <v>18</v>
      </c>
      <c r="K1127" s="585" t="n">
        <v>0</v>
      </c>
      <c r="L1127" s="585">
        <f>IF(B1127="TXO",I1127-SUM(J1127:K1127),IF(B1127="FITX",IF(D1127="新倉",-SUM(J1127:K1127),IF(E1127="賣",(H1127-H1126)*G1127*200-SUM(J1127:K1127),(H1126-H1127)*G1127*200-SUM(J1127:K1127))),IF(D1127="新倉",-SUM(J1127:K1127),IF(E1127="賣",(H1127-H1126)*G1127*50-SUM(J1127:K1127),(H1126-H1127)*G1127*50-SUM(J1127:K1127)))))</f>
        <v/>
      </c>
      <c r="M1127" s="699">
        <f>L1127</f>
        <v/>
      </c>
      <c r="N1127" s="686">
        <f>IF(B1127="TXO","",IF(D1127="新倉","",IF(E1127="賣",(H1127-H1126)*G1127,(H1126-H1127)*G1127)))</f>
        <v/>
      </c>
      <c r="O1127" s="226">
        <f>ABS(I1127)</f>
        <v/>
      </c>
      <c r="P1127" s="667" t="n"/>
      <c r="S1127" s="249" t="n"/>
      <c r="T1127" s="61">
        <f>IF(AND(R1127="Yes",S1127&lt;&gt;"Yes",L1127&gt;0,B1127&lt;&gt;"TXO"),L1127,"")</f>
        <v/>
      </c>
      <c r="U1127" s="61">
        <f>IF(AND(R1127="Yes",S1127&lt;&gt;"Yes",L1127&lt;0,B1127&lt;&gt;"TXO"),L1127,"")</f>
        <v/>
      </c>
      <c r="V1127" s="61">
        <f>IF(AND(R1127="",S1127&lt;&gt;"Yes",L1127&gt;0,B1127&lt;&gt;"TXO"),L1127,"")</f>
        <v/>
      </c>
      <c r="W1127" s="61">
        <f>IF(AND(R1127="",S1127&lt;&gt;"Yes",L1127&lt;0,B1127&lt;&gt;"TXO"),L1127,"")</f>
        <v/>
      </c>
      <c r="X1127" s="226">
        <f>IF(AND(R1127="Yes",S1127="Yes",L1127&gt;0,B1127&lt;&gt;"TXO"),L1127,"")</f>
        <v/>
      </c>
      <c r="Y1127" s="226">
        <f>IF(AND(R1127="Yes",S1127="Yes",L1127&lt;0,B1127&lt;&gt;"TXO"),L1127,"")</f>
        <v/>
      </c>
      <c r="Z1127" s="226">
        <f>IF(AND(R1127="",S1127="Yes",L1127&gt;0,B1127&lt;&gt;"TXO"),L1127,"")</f>
        <v/>
      </c>
      <c r="AA1127" s="226">
        <f>IF(AND(R1127="",S1127="Yes",L1127&lt;0,B1127&lt;&gt;"TXO"),L1127,"")</f>
        <v/>
      </c>
    </row>
    <row r="1128" hidden="1" outlineLevel="2" ht="17.25" customHeight="1" thickBot="1">
      <c r="A1128" s="696" t="n">
        <v>43384</v>
      </c>
      <c r="B1128" s="234" t="inlineStr">
        <is>
          <t>TXO</t>
        </is>
      </c>
      <c r="C1128" s="229" t="inlineStr">
        <is>
          <t>台指選W2 10 10000 C</t>
        </is>
      </c>
      <c r="D1128" s="229" t="inlineStr">
        <is>
          <t>新倉</t>
        </is>
      </c>
      <c r="E1128" s="257" t="inlineStr">
        <is>
          <t>買</t>
        </is>
      </c>
      <c r="F1128" s="229" t="inlineStr">
        <is>
          <t>-</t>
        </is>
      </c>
      <c r="G1128" s="697" t="n">
        <v>1</v>
      </c>
      <c r="H1128" s="697" t="n">
        <v>6</v>
      </c>
      <c r="I1128" s="697" t="n">
        <v>-300</v>
      </c>
      <c r="J1128" s="585" t="n">
        <v>18</v>
      </c>
      <c r="K1128" s="585" t="n">
        <v>0</v>
      </c>
      <c r="L1128" s="585">
        <f>IF(B1128="TXO",I1128-SUM(J1128:K1128),IF(B1128="FITX",IF(D1128="新倉",-SUM(J1128:K1128),IF(E1128="賣",(H1128-H1127)*G1128*200-SUM(J1128:K1128),(H1127-H1128)*G1128*200-SUM(J1128:K1128))),IF(D1128="新倉",-SUM(J1128:K1128),IF(E1128="賣",(H1128-H1127)*G1128*50-SUM(J1128:K1128),(H1127-H1128)*G1128*50-SUM(J1128:K1128)))))</f>
        <v/>
      </c>
      <c r="M1128" s="699">
        <f>L1128</f>
        <v/>
      </c>
      <c r="N1128" s="686">
        <f>IF(B1128="TXO","",IF(D1128="新倉","",IF(E1128="賣",(H1128-H1127)*G1128,(H1127-H1128)*G1128)))</f>
        <v/>
      </c>
      <c r="O1128" s="226">
        <f>ABS(I1128)</f>
        <v/>
      </c>
      <c r="P1128" s="667" t="n"/>
      <c r="S1128" s="249" t="n"/>
      <c r="T1128" s="61">
        <f>IF(AND(R1128="Yes",S1128&lt;&gt;"Yes",L1128&gt;0,B1128&lt;&gt;"TXO"),L1128,"")</f>
        <v/>
      </c>
      <c r="U1128" s="61">
        <f>IF(AND(R1128="Yes",S1128&lt;&gt;"Yes",L1128&lt;0,B1128&lt;&gt;"TXO"),L1128,"")</f>
        <v/>
      </c>
      <c r="V1128" s="61">
        <f>IF(AND(R1128="",S1128&lt;&gt;"Yes",L1128&gt;0,B1128&lt;&gt;"TXO"),L1128,"")</f>
        <v/>
      </c>
      <c r="W1128" s="61">
        <f>IF(AND(R1128="",S1128&lt;&gt;"Yes",L1128&lt;0,B1128&lt;&gt;"TXO"),L1128,"")</f>
        <v/>
      </c>
      <c r="X1128" s="226">
        <f>IF(AND(R1128="Yes",S1128="Yes",L1128&gt;0,B1128&lt;&gt;"TXO"),L1128,"")</f>
        <v/>
      </c>
      <c r="Y1128" s="226">
        <f>IF(AND(R1128="Yes",S1128="Yes",L1128&lt;0,B1128&lt;&gt;"TXO"),L1128,"")</f>
        <v/>
      </c>
      <c r="Z1128" s="226">
        <f>IF(AND(R1128="",S1128="Yes",L1128&gt;0,B1128&lt;&gt;"TXO"),L1128,"")</f>
        <v/>
      </c>
      <c r="AA1128" s="226">
        <f>IF(AND(R1128="",S1128="Yes",L1128&lt;0,B1128&lt;&gt;"TXO"),L1128,"")</f>
        <v/>
      </c>
    </row>
    <row r="1129" hidden="1" outlineLevel="2" ht="17.25" customHeight="1" thickBot="1">
      <c r="A1129" s="696" t="n">
        <v>43384</v>
      </c>
      <c r="B1129" s="234" t="inlineStr">
        <is>
          <t>TXO</t>
        </is>
      </c>
      <c r="C1129" s="229" t="inlineStr">
        <is>
          <t>台指選W2 10 10000 C</t>
        </is>
      </c>
      <c r="D1129" s="229" t="inlineStr">
        <is>
          <t>平倉</t>
        </is>
      </c>
      <c r="E1129" s="257" t="inlineStr">
        <is>
          <t>賣</t>
        </is>
      </c>
      <c r="F1129" s="229" t="inlineStr">
        <is>
          <t>-</t>
        </is>
      </c>
      <c r="G1129" s="697" t="n">
        <v>1</v>
      </c>
      <c r="H1129" s="697" t="n">
        <v>1.1</v>
      </c>
      <c r="I1129" s="697" t="n">
        <v>55</v>
      </c>
      <c r="J1129" s="585" t="n">
        <v>18</v>
      </c>
      <c r="K1129" s="585" t="n">
        <v>0</v>
      </c>
      <c r="L1129" s="585">
        <f>IF(B1129="TXO",I1129-SUM(J1129:K1129),IF(B1129="FITX",IF(D1129="新倉",-SUM(J1129:K1129),IF(E1129="賣",(H1129-H1128)*G1129*200-SUM(J1129:K1129),(H1128-H1129)*G1129*200-SUM(J1129:K1129))),IF(D1129="新倉",-SUM(J1129:K1129),IF(E1129="賣",(H1129-H1128)*G1129*50-SUM(J1129:K1129),(H1128-H1129)*G1129*50-SUM(J1129:K1129)))))</f>
        <v/>
      </c>
      <c r="M1129" s="699">
        <f>L1129</f>
        <v/>
      </c>
      <c r="N1129" s="686">
        <f>IF(B1129="TXO","",IF(D1129="新倉","",IF(E1129="賣",(H1129-H1128)*G1129,(H1128-H1129)*G1129)))</f>
        <v/>
      </c>
      <c r="O1129" s="226">
        <f>ABS(I1129)</f>
        <v/>
      </c>
      <c r="P1129" s="667" t="n"/>
      <c r="S1129" s="249" t="n"/>
      <c r="T1129" s="61">
        <f>IF(AND(R1129="Yes",S1129&lt;&gt;"Yes",L1129&gt;0,B1129&lt;&gt;"TXO"),L1129,"")</f>
        <v/>
      </c>
      <c r="U1129" s="61">
        <f>IF(AND(R1129="Yes",S1129&lt;&gt;"Yes",L1129&lt;0,B1129&lt;&gt;"TXO"),L1129,"")</f>
        <v/>
      </c>
      <c r="V1129" s="61">
        <f>IF(AND(R1129="",S1129&lt;&gt;"Yes",L1129&gt;0,B1129&lt;&gt;"TXO"),L1129,"")</f>
        <v/>
      </c>
      <c r="W1129" s="61">
        <f>IF(AND(R1129="",S1129&lt;&gt;"Yes",L1129&lt;0,B1129&lt;&gt;"TXO"),L1129,"")</f>
        <v/>
      </c>
      <c r="X1129" s="226">
        <f>IF(AND(R1129="Yes",S1129="Yes",L1129&gt;0,B1129&lt;&gt;"TXO"),L1129,"")</f>
        <v/>
      </c>
      <c r="Y1129" s="226">
        <f>IF(AND(R1129="Yes",S1129="Yes",L1129&lt;0,B1129&lt;&gt;"TXO"),L1129,"")</f>
        <v/>
      </c>
      <c r="Z1129" s="226">
        <f>IF(AND(R1129="",S1129="Yes",L1129&gt;0,B1129&lt;&gt;"TXO"),L1129,"")</f>
        <v/>
      </c>
      <c r="AA1129" s="226">
        <f>IF(AND(R1129="",S1129="Yes",L1129&lt;0,B1129&lt;&gt;"TXO"),L1129,"")</f>
        <v/>
      </c>
    </row>
    <row r="1130" hidden="1" outlineLevel="2" ht="17.25" customHeight="1" thickBot="1">
      <c r="A1130" s="696" t="n">
        <v>43384</v>
      </c>
      <c r="B1130" s="234" t="inlineStr">
        <is>
          <t>FIMTX</t>
        </is>
      </c>
      <c r="C1130" s="229" t="inlineStr">
        <is>
          <t>小指10</t>
        </is>
      </c>
      <c r="D1130" s="229" t="inlineStr">
        <is>
          <t>新倉</t>
        </is>
      </c>
      <c r="E1130" s="257" t="inlineStr">
        <is>
          <t>賣</t>
        </is>
      </c>
      <c r="F1130" s="229" t="inlineStr">
        <is>
          <t>-</t>
        </is>
      </c>
      <c r="G1130" s="697" t="n">
        <v>3</v>
      </c>
      <c r="H1130" s="697" t="n">
        <v>9893</v>
      </c>
      <c r="I1130" s="697" t="n">
        <v>0</v>
      </c>
      <c r="J1130" s="585" t="n">
        <v>69</v>
      </c>
      <c r="K1130" s="585" t="n">
        <v>30</v>
      </c>
      <c r="L1130" s="585">
        <f>IF(B1130="TXO",I1130-SUM(J1130:K1130),IF(B1130="FITX",IF(D1130="新倉",-SUM(J1130:K1130),IF(E1130="賣",(H1130-H1129)*G1130*200-SUM(J1130:K1130),(H1129-H1130)*G1130*200-SUM(J1130:K1130))),IF(D1130="新倉",-SUM(J1130:K1130),IF(E1130="賣",(H1130-H1129)*G1130*50-SUM(J1130:K1130),(H1129-H1130)*G1130*50-SUM(J1130:K1130)))))</f>
        <v/>
      </c>
      <c r="M1130" s="699">
        <f>L1130</f>
        <v/>
      </c>
      <c r="N1130" s="686">
        <f>IF(B1130="TXO","",IF(D1130="新倉","",IF(E1130="賣",(H1130-H1129)*G1130,(H1129-H1130)*G1130)))</f>
        <v/>
      </c>
      <c r="O1130" s="226">
        <f>ABS(I1130)</f>
        <v/>
      </c>
      <c r="P1130" s="667" t="n"/>
      <c r="S1130" s="249" t="n"/>
      <c r="T1130" s="61">
        <f>IF(AND(R1130="Yes",S1130&lt;&gt;"Yes",L1130&gt;0,B1130&lt;&gt;"TXO"),L1130,"")</f>
        <v/>
      </c>
      <c r="U1130" s="61">
        <f>IF(AND(R1130="Yes",S1130&lt;&gt;"Yes",L1130&lt;0,B1130&lt;&gt;"TXO"),L1130,"")</f>
        <v/>
      </c>
      <c r="V1130" s="61">
        <f>IF(AND(R1130="",S1130&lt;&gt;"Yes",L1130&gt;0,B1130&lt;&gt;"TXO"),L1130,"")</f>
        <v/>
      </c>
      <c r="W1130" s="61">
        <f>IF(AND(R1130="",S1130&lt;&gt;"Yes",L1130&lt;0,B1130&lt;&gt;"TXO"),L1130,"")</f>
        <v/>
      </c>
      <c r="X1130" s="226">
        <f>IF(AND(R1130="Yes",S1130="Yes",L1130&gt;0,B1130&lt;&gt;"TXO"),L1130,"")</f>
        <v/>
      </c>
      <c r="Y1130" s="226">
        <f>IF(AND(R1130="Yes",S1130="Yes",L1130&lt;0,B1130&lt;&gt;"TXO"),L1130,"")</f>
        <v/>
      </c>
      <c r="Z1130" s="226">
        <f>IF(AND(R1130="",S1130="Yes",L1130&gt;0,B1130&lt;&gt;"TXO"),L1130,"")</f>
        <v/>
      </c>
      <c r="AA1130" s="226">
        <f>IF(AND(R1130="",S1130="Yes",L1130&lt;0,B1130&lt;&gt;"TXO"),L1130,"")</f>
        <v/>
      </c>
    </row>
    <row r="1131" hidden="1" outlineLevel="2" ht="17.25" customHeight="1" thickBot="1">
      <c r="A1131" s="696" t="n">
        <v>43384</v>
      </c>
      <c r="B1131" s="234" t="inlineStr">
        <is>
          <t>FIMTX</t>
        </is>
      </c>
      <c r="C1131" s="229" t="inlineStr">
        <is>
          <t>小指10</t>
        </is>
      </c>
      <c r="D1131" s="229" t="inlineStr">
        <is>
          <t>平倉</t>
        </is>
      </c>
      <c r="E1131" s="257" t="inlineStr">
        <is>
          <t>買</t>
        </is>
      </c>
      <c r="F1131" s="229" t="inlineStr">
        <is>
          <t>-</t>
        </is>
      </c>
      <c r="G1131" s="697" t="n">
        <v>3</v>
      </c>
      <c r="H1131" s="697" t="n">
        <v>9887</v>
      </c>
      <c r="I1131" s="697" t="n">
        <v>0</v>
      </c>
      <c r="J1131" s="585" t="n">
        <v>69</v>
      </c>
      <c r="K1131" s="585" t="n">
        <v>30</v>
      </c>
      <c r="L1131" s="585">
        <f>IF(B1131="TXO",I1131-SUM(J1131:K1131),IF(B1131="FITX",IF(D1131="新倉",-SUM(J1131:K1131),IF(E1131="賣",(H1131-H1130)*G1131*200-SUM(J1131:K1131),(H1130-H1131)*G1131*200-SUM(J1131:K1131))),IF(D1131="新倉",-SUM(J1131:K1131),IF(E1131="賣",(H1131-H1130)*G1131*50-SUM(J1131:K1131),(H1130-H1131)*G1131*50-SUM(J1131:K1131)))))</f>
        <v/>
      </c>
      <c r="M1131" s="699">
        <f>L1131</f>
        <v/>
      </c>
      <c r="N1131" s="686">
        <f>IF(B1131="TXO","",IF(D1131="新倉","",IF(E1131="賣",(H1131-H1130)*G1131,(H1130-H1131)*G1131)))</f>
        <v/>
      </c>
      <c r="O1131" s="226">
        <f>ABS(I1131)</f>
        <v/>
      </c>
      <c r="P1131" s="667" t="n"/>
      <c r="S1131" s="249" t="n"/>
      <c r="T1131" s="61">
        <f>IF(AND(R1131="Yes",S1131&lt;&gt;"Yes",L1131&gt;0,B1131&lt;&gt;"TXO"),L1131,"")</f>
        <v/>
      </c>
      <c r="U1131" s="61">
        <f>IF(AND(R1131="Yes",S1131&lt;&gt;"Yes",L1131&lt;0,B1131&lt;&gt;"TXO"),L1131,"")</f>
        <v/>
      </c>
      <c r="V1131" s="61">
        <f>IF(AND(R1131="",S1131&lt;&gt;"Yes",L1131&gt;0,B1131&lt;&gt;"TXO"),L1131,"")</f>
        <v/>
      </c>
      <c r="W1131" s="61">
        <f>IF(AND(R1131="",S1131&lt;&gt;"Yes",L1131&lt;0,B1131&lt;&gt;"TXO"),L1131,"")</f>
        <v/>
      </c>
      <c r="X1131" s="226">
        <f>IF(AND(R1131="Yes",S1131="Yes",L1131&gt;0,B1131&lt;&gt;"TXO"),L1131,"")</f>
        <v/>
      </c>
      <c r="Y1131" s="226">
        <f>IF(AND(R1131="Yes",S1131="Yes",L1131&lt;0,B1131&lt;&gt;"TXO"),L1131,"")</f>
        <v/>
      </c>
      <c r="Z1131" s="226">
        <f>IF(AND(R1131="",S1131="Yes",L1131&gt;0,B1131&lt;&gt;"TXO"),L1131,"")</f>
        <v/>
      </c>
      <c r="AA1131" s="226">
        <f>IF(AND(R1131="",S1131="Yes",L1131&lt;0,B1131&lt;&gt;"TXO"),L1131,"")</f>
        <v/>
      </c>
    </row>
    <row r="1132" hidden="1" outlineLevel="2" ht="17.25" customHeight="1" thickBot="1">
      <c r="A1132" s="696" t="n">
        <v>43384</v>
      </c>
      <c r="B1132" s="234" t="inlineStr">
        <is>
          <t>TXO</t>
        </is>
      </c>
      <c r="C1132" s="229" t="inlineStr">
        <is>
          <t>台指選W2 10 9700  P</t>
        </is>
      </c>
      <c r="D1132" s="229" t="inlineStr">
        <is>
          <t>新倉</t>
        </is>
      </c>
      <c r="E1132" s="257" t="inlineStr">
        <is>
          <t>買</t>
        </is>
      </c>
      <c r="F1132" s="229" t="inlineStr">
        <is>
          <t>-</t>
        </is>
      </c>
      <c r="G1132" s="697" t="n">
        <v>2</v>
      </c>
      <c r="H1132" s="697" t="n">
        <v>8</v>
      </c>
      <c r="I1132" s="697" t="n">
        <v>-800</v>
      </c>
      <c r="J1132" s="585" t="n">
        <v>36</v>
      </c>
      <c r="K1132" s="585" t="n">
        <v>0</v>
      </c>
      <c r="L1132" s="585">
        <f>IF(B1132="TXO",I1132-SUM(J1132:K1132),IF(B1132="FITX",IF(D1132="新倉",-SUM(J1132:K1132),IF(E1132="賣",(H1132-H1131)*G1132*200-SUM(J1132:K1132),(H1131-H1132)*G1132*200-SUM(J1132:K1132))),IF(D1132="新倉",-SUM(J1132:K1132),IF(E1132="賣",(H1132-H1131)*G1132*50-SUM(J1132:K1132),(H1131-H1132)*G1132*50-SUM(J1132:K1132)))))</f>
        <v/>
      </c>
      <c r="M1132" s="699">
        <f>L1132</f>
        <v/>
      </c>
      <c r="N1132" s="686">
        <f>IF(B1132="TXO","",IF(D1132="新倉","",IF(E1132="賣",(H1132-H1131)*G1132,(H1131-H1132)*G1132)))</f>
        <v/>
      </c>
      <c r="O1132" s="226">
        <f>ABS(I1132)</f>
        <v/>
      </c>
      <c r="P1132" s="667" t="n"/>
      <c r="S1132" s="249" t="n"/>
      <c r="T1132" s="61">
        <f>IF(AND(R1132="Yes",S1132&lt;&gt;"Yes",L1132&gt;0,B1132&lt;&gt;"TXO"),L1132,"")</f>
        <v/>
      </c>
      <c r="U1132" s="61">
        <f>IF(AND(R1132="Yes",S1132&lt;&gt;"Yes",L1132&lt;0,B1132&lt;&gt;"TXO"),L1132,"")</f>
        <v/>
      </c>
      <c r="V1132" s="61">
        <f>IF(AND(R1132="",S1132&lt;&gt;"Yes",L1132&gt;0,B1132&lt;&gt;"TXO"),L1132,"")</f>
        <v/>
      </c>
      <c r="W1132" s="61">
        <f>IF(AND(R1132="",S1132&lt;&gt;"Yes",L1132&lt;0,B1132&lt;&gt;"TXO"),L1132,"")</f>
        <v/>
      </c>
      <c r="X1132" s="226">
        <f>IF(AND(R1132="Yes",S1132="Yes",L1132&gt;0,B1132&lt;&gt;"TXO"),L1132,"")</f>
        <v/>
      </c>
      <c r="Y1132" s="226">
        <f>IF(AND(R1132="Yes",S1132="Yes",L1132&lt;0,B1132&lt;&gt;"TXO"),L1132,"")</f>
        <v/>
      </c>
      <c r="Z1132" s="226">
        <f>IF(AND(R1132="",S1132="Yes",L1132&gt;0,B1132&lt;&gt;"TXO"),L1132,"")</f>
        <v/>
      </c>
      <c r="AA1132" s="226">
        <f>IF(AND(R1132="",S1132="Yes",L1132&lt;0,B1132&lt;&gt;"TXO"),L1132,"")</f>
        <v/>
      </c>
    </row>
    <row r="1133" hidden="1" outlineLevel="2" ht="17.25" customHeight="1" thickBot="1">
      <c r="A1133" s="696" t="n">
        <v>43384</v>
      </c>
      <c r="B1133" s="234" t="inlineStr">
        <is>
          <t>TXO</t>
        </is>
      </c>
      <c r="C1133" s="229" t="inlineStr">
        <is>
          <t>台指選W2 10 9700  P</t>
        </is>
      </c>
      <c r="D1133" s="229" t="inlineStr">
        <is>
          <t>平倉</t>
        </is>
      </c>
      <c r="E1133" s="257" t="inlineStr">
        <is>
          <t>賣</t>
        </is>
      </c>
      <c r="F1133" s="229" t="inlineStr">
        <is>
          <t>-</t>
        </is>
      </c>
      <c r="G1133" s="697" t="n">
        <v>2</v>
      </c>
      <c r="H1133" s="697" t="n">
        <v>10.5</v>
      </c>
      <c r="I1133" s="697" t="n">
        <v>1050</v>
      </c>
      <c r="J1133" s="585" t="n">
        <v>36</v>
      </c>
      <c r="K1133" s="585" t="n">
        <v>2</v>
      </c>
      <c r="L1133" s="585">
        <f>IF(B1133="TXO",I1133-SUM(J1133:K1133),IF(B1133="FITX",IF(D1133="新倉",-SUM(J1133:K1133),IF(E1133="賣",(H1133-H1132)*G1133*200-SUM(J1133:K1133),(H1132-H1133)*G1133*200-SUM(J1133:K1133))),IF(D1133="新倉",-SUM(J1133:K1133),IF(E1133="賣",(H1133-H1132)*G1133*50-SUM(J1133:K1133),(H1132-H1133)*G1133*50-SUM(J1133:K1133)))))</f>
        <v/>
      </c>
      <c r="M1133" s="699">
        <f>L1133</f>
        <v/>
      </c>
      <c r="N1133" s="686">
        <f>IF(B1133="TXO","",IF(D1133="新倉","",IF(E1133="賣",(H1133-H1132)*G1133,(H1132-H1133)*G1133)))</f>
        <v/>
      </c>
      <c r="O1133" s="226">
        <f>ABS(I1133)</f>
        <v/>
      </c>
      <c r="P1133" s="667" t="n"/>
      <c r="S1133" s="249" t="n"/>
      <c r="T1133" s="61">
        <f>IF(AND(R1133="Yes",S1133&lt;&gt;"Yes",L1133&gt;0,B1133&lt;&gt;"TXO"),L1133,"")</f>
        <v/>
      </c>
      <c r="U1133" s="61">
        <f>IF(AND(R1133="Yes",S1133&lt;&gt;"Yes",L1133&lt;0,B1133&lt;&gt;"TXO"),L1133,"")</f>
        <v/>
      </c>
      <c r="V1133" s="61">
        <f>IF(AND(R1133="",S1133&lt;&gt;"Yes",L1133&gt;0,B1133&lt;&gt;"TXO"),L1133,"")</f>
        <v/>
      </c>
      <c r="W1133" s="61">
        <f>IF(AND(R1133="",S1133&lt;&gt;"Yes",L1133&lt;0,B1133&lt;&gt;"TXO"),L1133,"")</f>
        <v/>
      </c>
      <c r="X1133" s="226">
        <f>IF(AND(R1133="Yes",S1133="Yes",L1133&gt;0,B1133&lt;&gt;"TXO"),L1133,"")</f>
        <v/>
      </c>
      <c r="Y1133" s="226">
        <f>IF(AND(R1133="Yes",S1133="Yes",L1133&lt;0,B1133&lt;&gt;"TXO"),L1133,"")</f>
        <v/>
      </c>
      <c r="Z1133" s="226">
        <f>IF(AND(R1133="",S1133="Yes",L1133&gt;0,B1133&lt;&gt;"TXO"),L1133,"")</f>
        <v/>
      </c>
      <c r="AA1133" s="226">
        <f>IF(AND(R1133="",S1133="Yes",L1133&lt;0,B1133&lt;&gt;"TXO"),L1133,"")</f>
        <v/>
      </c>
    </row>
    <row r="1134" hidden="1" outlineLevel="2" ht="17.25" customHeight="1" thickBot="1">
      <c r="A1134" s="696" t="n">
        <v>43384</v>
      </c>
      <c r="B1134" s="234" t="inlineStr">
        <is>
          <t>TXO</t>
        </is>
      </c>
      <c r="C1134" s="229" t="inlineStr">
        <is>
          <t>台指選W2 10 9700  P</t>
        </is>
      </c>
      <c r="D1134" s="229" t="inlineStr">
        <is>
          <t>新倉</t>
        </is>
      </c>
      <c r="E1134" s="257" t="inlineStr">
        <is>
          <t>買</t>
        </is>
      </c>
      <c r="F1134" s="229" t="inlineStr">
        <is>
          <t>-</t>
        </is>
      </c>
      <c r="G1134" s="697" t="n">
        <v>5</v>
      </c>
      <c r="H1134" s="697" t="n">
        <v>6</v>
      </c>
      <c r="I1134" s="697" t="n">
        <v>-1500</v>
      </c>
      <c r="J1134" s="585" t="n">
        <v>90</v>
      </c>
      <c r="K1134" s="585" t="n">
        <v>0</v>
      </c>
      <c r="L1134" s="585">
        <f>IF(B1134="TXO",I1134-SUM(J1134:K1134),IF(B1134="FITX",IF(D1134="新倉",-SUM(J1134:K1134),IF(E1134="賣",(H1134-H1133)*G1134*200-SUM(J1134:K1134),(H1133-H1134)*G1134*200-SUM(J1134:K1134))),IF(D1134="新倉",-SUM(J1134:K1134),IF(E1134="賣",(H1134-H1133)*G1134*50-SUM(J1134:K1134),(H1133-H1134)*G1134*50-SUM(J1134:K1134)))))</f>
        <v/>
      </c>
      <c r="M1134" s="699">
        <f>L1134</f>
        <v/>
      </c>
      <c r="N1134" s="686">
        <f>IF(B1134="TXO","",IF(D1134="新倉","",IF(E1134="賣",(H1134-H1133)*G1134,(H1133-H1134)*G1134)))</f>
        <v/>
      </c>
      <c r="O1134" s="226">
        <f>ABS(I1134)</f>
        <v/>
      </c>
      <c r="P1134" s="667" t="n"/>
      <c r="S1134" s="249" t="n"/>
      <c r="T1134" s="61">
        <f>IF(AND(R1134="Yes",S1134&lt;&gt;"Yes",L1134&gt;0,B1134&lt;&gt;"TXO"),L1134,"")</f>
        <v/>
      </c>
      <c r="U1134" s="61">
        <f>IF(AND(R1134="Yes",S1134&lt;&gt;"Yes",L1134&lt;0,B1134&lt;&gt;"TXO"),L1134,"")</f>
        <v/>
      </c>
      <c r="V1134" s="61">
        <f>IF(AND(R1134="",S1134&lt;&gt;"Yes",L1134&gt;0,B1134&lt;&gt;"TXO"),L1134,"")</f>
        <v/>
      </c>
      <c r="W1134" s="61">
        <f>IF(AND(R1134="",S1134&lt;&gt;"Yes",L1134&lt;0,B1134&lt;&gt;"TXO"),L1134,"")</f>
        <v/>
      </c>
      <c r="X1134" s="226">
        <f>IF(AND(R1134="Yes",S1134="Yes",L1134&gt;0,B1134&lt;&gt;"TXO"),L1134,"")</f>
        <v/>
      </c>
      <c r="Y1134" s="226">
        <f>IF(AND(R1134="Yes",S1134="Yes",L1134&lt;0,B1134&lt;&gt;"TXO"),L1134,"")</f>
        <v/>
      </c>
      <c r="Z1134" s="226">
        <f>IF(AND(R1134="",S1134="Yes",L1134&gt;0,B1134&lt;&gt;"TXO"),L1134,"")</f>
        <v/>
      </c>
      <c r="AA1134" s="226">
        <f>IF(AND(R1134="",S1134="Yes",L1134&lt;0,B1134&lt;&gt;"TXO"),L1134,"")</f>
        <v/>
      </c>
    </row>
    <row r="1135" hidden="1" outlineLevel="2" ht="17.25" customHeight="1" thickBot="1">
      <c r="A1135" s="696" t="n">
        <v>43384</v>
      </c>
      <c r="B1135" s="234" t="inlineStr">
        <is>
          <t>TXO</t>
        </is>
      </c>
      <c r="C1135" s="229" t="inlineStr">
        <is>
          <t>台指選W2 10 9700  P</t>
        </is>
      </c>
      <c r="D1135" s="229" t="inlineStr">
        <is>
          <t>平倉</t>
        </is>
      </c>
      <c r="E1135" s="257" t="inlineStr">
        <is>
          <t>賣</t>
        </is>
      </c>
      <c r="F1135" s="229" t="inlineStr">
        <is>
          <t>-</t>
        </is>
      </c>
      <c r="G1135" s="697" t="n">
        <v>5</v>
      </c>
      <c r="H1135" s="697" t="n">
        <v>9.1</v>
      </c>
      <c r="I1135" s="697" t="n">
        <v>2275</v>
      </c>
      <c r="J1135" s="585" t="n">
        <v>90</v>
      </c>
      <c r="K1135" s="585" t="n">
        <v>0</v>
      </c>
      <c r="L1135" s="585">
        <f>IF(B1135="TXO",I1135-SUM(J1135:K1135),IF(B1135="FITX",IF(D1135="新倉",-SUM(J1135:K1135),IF(E1135="賣",(H1135-H1134)*G1135*200-SUM(J1135:K1135),(H1134-H1135)*G1135*200-SUM(J1135:K1135))),IF(D1135="新倉",-SUM(J1135:K1135),IF(E1135="賣",(H1135-H1134)*G1135*50-SUM(J1135:K1135),(H1134-H1135)*G1135*50-SUM(J1135:K1135)))))</f>
        <v/>
      </c>
      <c r="M1135" s="699">
        <f>L1135</f>
        <v/>
      </c>
      <c r="N1135" s="686">
        <f>IF(B1135="TXO","",IF(D1135="新倉","",IF(E1135="賣",(H1135-H1134)*G1135,(H1134-H1135)*G1135)))</f>
        <v/>
      </c>
      <c r="O1135" s="226">
        <f>ABS(I1135)</f>
        <v/>
      </c>
      <c r="P1135" s="667" t="n"/>
      <c r="S1135" s="249" t="n"/>
      <c r="T1135" s="61">
        <f>IF(AND(R1135="Yes",S1135&lt;&gt;"Yes",L1135&gt;0,B1135&lt;&gt;"TXO"),L1135,"")</f>
        <v/>
      </c>
      <c r="U1135" s="61">
        <f>IF(AND(R1135="Yes",S1135&lt;&gt;"Yes",L1135&lt;0,B1135&lt;&gt;"TXO"),L1135,"")</f>
        <v/>
      </c>
      <c r="V1135" s="61">
        <f>IF(AND(R1135="",S1135&lt;&gt;"Yes",L1135&gt;0,B1135&lt;&gt;"TXO"),L1135,"")</f>
        <v/>
      </c>
      <c r="W1135" s="61">
        <f>IF(AND(R1135="",S1135&lt;&gt;"Yes",L1135&lt;0,B1135&lt;&gt;"TXO"),L1135,"")</f>
        <v/>
      </c>
      <c r="X1135" s="226">
        <f>IF(AND(R1135="Yes",S1135="Yes",L1135&gt;0,B1135&lt;&gt;"TXO"),L1135,"")</f>
        <v/>
      </c>
      <c r="Y1135" s="226">
        <f>IF(AND(R1135="Yes",S1135="Yes",L1135&lt;0,B1135&lt;&gt;"TXO"),L1135,"")</f>
        <v/>
      </c>
      <c r="Z1135" s="226">
        <f>IF(AND(R1135="",S1135="Yes",L1135&gt;0,B1135&lt;&gt;"TXO"),L1135,"")</f>
        <v/>
      </c>
      <c r="AA1135" s="226">
        <f>IF(AND(R1135="",S1135="Yes",L1135&lt;0,B1135&lt;&gt;"TXO"),L1135,"")</f>
        <v/>
      </c>
    </row>
    <row r="1136" hidden="1" outlineLevel="2" ht="17.25" customHeight="1" thickBot="1">
      <c r="A1136" s="696" t="n">
        <v>43384</v>
      </c>
      <c r="B1136" s="234" t="inlineStr">
        <is>
          <t>TXO</t>
        </is>
      </c>
      <c r="C1136" s="229" t="inlineStr">
        <is>
          <t>台指選W2 10 9700  P</t>
        </is>
      </c>
      <c r="D1136" s="229" t="inlineStr">
        <is>
          <t>新倉</t>
        </is>
      </c>
      <c r="E1136" s="257" t="inlineStr">
        <is>
          <t>買</t>
        </is>
      </c>
      <c r="F1136" s="229" t="inlineStr">
        <is>
          <t>-</t>
        </is>
      </c>
      <c r="G1136" s="697" t="n">
        <v>10</v>
      </c>
      <c r="H1136" s="697" t="n">
        <v>5.5</v>
      </c>
      <c r="I1136" s="697" t="n">
        <v>-2750</v>
      </c>
      <c r="J1136" s="585" t="n">
        <v>180</v>
      </c>
      <c r="K1136" s="585" t="n">
        <v>0</v>
      </c>
      <c r="L1136" s="585">
        <f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/>
      </c>
      <c r="M1136" s="699">
        <f>L1136</f>
        <v/>
      </c>
      <c r="N1136" s="686">
        <f>IF(B1136="TXO","",IF(D1136="新倉","",IF(E1136="賣",(H1136-H1135)*G1136,(H1135-H1136)*G1136)))</f>
        <v/>
      </c>
      <c r="O1136" s="226">
        <f>ABS(I1136)</f>
        <v/>
      </c>
      <c r="P1136" s="667" t="n"/>
      <c r="S1136" s="249" t="n"/>
      <c r="T1136" s="61">
        <f>IF(AND(R1136="Yes",S1136&lt;&gt;"Yes",L1136&gt;0,B1136&lt;&gt;"TXO"),L1136,"")</f>
        <v/>
      </c>
      <c r="U1136" s="61">
        <f>IF(AND(R1136="Yes",S1136&lt;&gt;"Yes",L1136&lt;0,B1136&lt;&gt;"TXO"),L1136,"")</f>
        <v/>
      </c>
      <c r="V1136" s="61">
        <f>IF(AND(R1136="",S1136&lt;&gt;"Yes",L1136&gt;0,B1136&lt;&gt;"TXO"),L1136,"")</f>
        <v/>
      </c>
      <c r="W1136" s="61">
        <f>IF(AND(R1136="",S1136&lt;&gt;"Yes",L1136&lt;0,B1136&lt;&gt;"TXO"),L1136,"")</f>
        <v/>
      </c>
      <c r="X1136" s="226">
        <f>IF(AND(R1136="Yes",S1136="Yes",L1136&gt;0,B1136&lt;&gt;"TXO"),L1136,"")</f>
        <v/>
      </c>
      <c r="Y1136" s="226">
        <f>IF(AND(R1136="Yes",S1136="Yes",L1136&lt;0,B1136&lt;&gt;"TXO"),L1136,"")</f>
        <v/>
      </c>
      <c r="Z1136" s="226">
        <f>IF(AND(R1136="",S1136="Yes",L1136&gt;0,B1136&lt;&gt;"TXO"),L1136,"")</f>
        <v/>
      </c>
      <c r="AA1136" s="226">
        <f>IF(AND(R1136="",S1136="Yes",L1136&lt;0,B1136&lt;&gt;"TXO"),L1136,"")</f>
        <v/>
      </c>
    </row>
    <row r="1137" hidden="1" outlineLevel="2" ht="17.25" customHeight="1" thickBot="1">
      <c r="A1137" s="696" t="n">
        <v>43384</v>
      </c>
      <c r="B1137" s="234" t="inlineStr">
        <is>
          <t>TXO</t>
        </is>
      </c>
      <c r="C1137" s="229" t="inlineStr">
        <is>
          <t>台指選W2 10 9700  P</t>
        </is>
      </c>
      <c r="D1137" s="229" t="inlineStr">
        <is>
          <t>新倉</t>
        </is>
      </c>
      <c r="E1137" s="257" t="inlineStr">
        <is>
          <t>買</t>
        </is>
      </c>
      <c r="F1137" s="229" t="inlineStr">
        <is>
          <t>-</t>
        </is>
      </c>
      <c r="G1137" s="697" t="n">
        <v>10</v>
      </c>
      <c r="H1137" s="697" t="n">
        <v>2</v>
      </c>
      <c r="I1137" s="697" t="n">
        <v>-1000</v>
      </c>
      <c r="J1137" s="585" t="n">
        <v>180</v>
      </c>
      <c r="K1137" s="585" t="n">
        <v>0</v>
      </c>
      <c r="L1137" s="585">
        <f>IF(B1137="TXO",I1137-SUM(J1137:K1137),IF(B1137="FITX",IF(D1137="新倉",-SUM(J1137:K1137),IF(E1137="賣",(H1137-H1136)*G1137*200-SUM(J1137:K1137),(H1136-H1137)*G1137*200-SUM(J1137:K1137))),IF(D1137="新倉",-SUM(J1137:K1137),IF(E1137="賣",(H1137-H1136)*G1137*50-SUM(J1137:K1137),(H1136-H1137)*G1137*50-SUM(J1137:K1137)))))</f>
        <v/>
      </c>
      <c r="M1137" s="699">
        <f>L1137</f>
        <v/>
      </c>
      <c r="N1137" s="686">
        <f>IF(B1137="TXO","",IF(D1137="新倉","",IF(E1137="賣",(H1137-H1136)*G1137,(H1136-H1137)*G1137)))</f>
        <v/>
      </c>
      <c r="O1137" s="226">
        <f>ABS(I1137)</f>
        <v/>
      </c>
      <c r="P1137" s="667" t="n"/>
      <c r="S1137" s="249" t="n"/>
      <c r="T1137" s="61">
        <f>IF(AND(R1137="Yes",S1137&lt;&gt;"Yes",L1137&gt;0,B1137&lt;&gt;"TXO"),L1137,"")</f>
        <v/>
      </c>
      <c r="U1137" s="61">
        <f>IF(AND(R1137="Yes",S1137&lt;&gt;"Yes",L1137&lt;0,B1137&lt;&gt;"TXO"),L1137,"")</f>
        <v/>
      </c>
      <c r="V1137" s="61">
        <f>IF(AND(R1137="",S1137&lt;&gt;"Yes",L1137&gt;0,B1137&lt;&gt;"TXO"),L1137,"")</f>
        <v/>
      </c>
      <c r="W1137" s="61">
        <f>IF(AND(R1137="",S1137&lt;&gt;"Yes",L1137&lt;0,B1137&lt;&gt;"TXO"),L1137,"")</f>
        <v/>
      </c>
      <c r="X1137" s="226">
        <f>IF(AND(R1137="Yes",S1137="Yes",L1137&gt;0,B1137&lt;&gt;"TXO"),L1137,"")</f>
        <v/>
      </c>
      <c r="Y1137" s="226">
        <f>IF(AND(R1137="Yes",S1137="Yes",L1137&lt;0,B1137&lt;&gt;"TXO"),L1137,"")</f>
        <v/>
      </c>
      <c r="Z1137" s="226">
        <f>IF(AND(R1137="",S1137="Yes",L1137&gt;0,B1137&lt;&gt;"TXO"),L1137,"")</f>
        <v/>
      </c>
      <c r="AA1137" s="226">
        <f>IF(AND(R1137="",S1137="Yes",L1137&lt;0,B1137&lt;&gt;"TXO"),L1137,"")</f>
        <v/>
      </c>
    </row>
    <row r="1138" hidden="1" outlineLevel="2" ht="17.25" customHeight="1" thickBot="1">
      <c r="A1138" s="696" t="n">
        <v>43384</v>
      </c>
      <c r="B1138" s="234" t="inlineStr">
        <is>
          <t>FIMTX</t>
        </is>
      </c>
      <c r="C1138" s="229" t="inlineStr">
        <is>
          <t>小指10</t>
        </is>
      </c>
      <c r="D1138" s="229" t="inlineStr">
        <is>
          <t>新倉</t>
        </is>
      </c>
      <c r="E1138" s="257" t="inlineStr">
        <is>
          <t>賣</t>
        </is>
      </c>
      <c r="F1138" s="229" t="inlineStr">
        <is>
          <t>-</t>
        </is>
      </c>
      <c r="G1138" s="697" t="n">
        <v>1</v>
      </c>
      <c r="H1138" s="697" t="n">
        <v>9647</v>
      </c>
      <c r="I1138" s="697" t="n">
        <v>0</v>
      </c>
      <c r="J1138" s="585" t="n">
        <v>23</v>
      </c>
      <c r="K1138" s="585" t="n">
        <v>10</v>
      </c>
      <c r="L1138" s="585">
        <f>IF(B1138="TXO",I1138-SUM(J1138:K1138),IF(B1138="FITX",IF(D1138="新倉",-SUM(J1138:K1138),IF(E1138="賣",(H1138-H1137)*G1138*200-SUM(J1138:K1138),(H1137-H1138)*G1138*200-SUM(J1138:K1138))),IF(D1138="新倉",-SUM(J1138:K1138),IF(E1138="賣",(H1138-H1137)*G1138*50-SUM(J1138:K1138),(H1137-H1138)*G1138*50-SUM(J1138:K1138)))))</f>
        <v/>
      </c>
      <c r="M1138" s="699">
        <f>L1138</f>
        <v/>
      </c>
      <c r="N1138" s="686">
        <f>IF(B1138="TXO","",IF(D1138="新倉","",IF(E1138="賣",(H1138-H1137)*G1138,(H1137-H1138)*G1138)))</f>
        <v/>
      </c>
      <c r="O1138" s="226">
        <f>ABS(I1138)</f>
        <v/>
      </c>
      <c r="P1138" s="667" t="n"/>
      <c r="S1138" s="249" t="n"/>
      <c r="T1138" s="61">
        <f>IF(AND(R1138="Yes",S1138&lt;&gt;"Yes",L1138&gt;0,B1138&lt;&gt;"TXO"),L1138,"")</f>
        <v/>
      </c>
      <c r="U1138" s="61">
        <f>IF(AND(R1138="Yes",S1138&lt;&gt;"Yes",L1138&lt;0,B1138&lt;&gt;"TXO"),L1138,"")</f>
        <v/>
      </c>
      <c r="V1138" s="61">
        <f>IF(AND(R1138="",S1138&lt;&gt;"Yes",L1138&gt;0,B1138&lt;&gt;"TXO"),L1138,"")</f>
        <v/>
      </c>
      <c r="W1138" s="61">
        <f>IF(AND(R1138="",S1138&lt;&gt;"Yes",L1138&lt;0,B1138&lt;&gt;"TXO"),L1138,"")</f>
        <v/>
      </c>
      <c r="X1138" s="226">
        <f>IF(AND(R1138="Yes",S1138="Yes",L1138&gt;0,B1138&lt;&gt;"TXO"),L1138,"")</f>
        <v/>
      </c>
      <c r="Y1138" s="226">
        <f>IF(AND(R1138="Yes",S1138="Yes",L1138&lt;0,B1138&lt;&gt;"TXO"),L1138,"")</f>
        <v/>
      </c>
      <c r="Z1138" s="226">
        <f>IF(AND(R1138="",S1138="Yes",L1138&gt;0,B1138&lt;&gt;"TXO"),L1138,"")</f>
        <v/>
      </c>
      <c r="AA1138" s="226">
        <f>IF(AND(R1138="",S1138="Yes",L1138&lt;0,B1138&lt;&gt;"TXO"),L1138,"")</f>
        <v/>
      </c>
    </row>
    <row r="1139" hidden="1" outlineLevel="2" ht="17.25" customHeight="1" thickBot="1">
      <c r="A1139" s="696" t="n">
        <v>43384</v>
      </c>
      <c r="B1139" s="234" t="inlineStr">
        <is>
          <t>FIMTX</t>
        </is>
      </c>
      <c r="C1139" s="229" t="inlineStr">
        <is>
          <t>小指10</t>
        </is>
      </c>
      <c r="D1139" s="229" t="inlineStr">
        <is>
          <t>平倉</t>
        </is>
      </c>
      <c r="E1139" s="257" t="inlineStr">
        <is>
          <t>買</t>
        </is>
      </c>
      <c r="F1139" s="229" t="inlineStr">
        <is>
          <t>-</t>
        </is>
      </c>
      <c r="G1139" s="697" t="n">
        <v>1</v>
      </c>
      <c r="H1139" s="697" t="n">
        <v>9658</v>
      </c>
      <c r="I1139" s="697" t="n">
        <v>0</v>
      </c>
      <c r="J1139" s="585" t="n">
        <v>23</v>
      </c>
      <c r="K1139" s="585" t="n">
        <v>10</v>
      </c>
      <c r="L1139" s="585">
        <f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/>
      </c>
      <c r="M1139" s="699">
        <f>L1139</f>
        <v/>
      </c>
      <c r="N1139" s="686">
        <f>IF(B1139="TXO","",IF(D1139="新倉","",IF(E1139="賣",(H1139-H1138)*G1139,(H1138-H1139)*G1139)))</f>
        <v/>
      </c>
      <c r="O1139" s="226">
        <f>ABS(I1139)</f>
        <v/>
      </c>
      <c r="P1139" s="667" t="n"/>
      <c r="S1139" s="249" t="n"/>
      <c r="T1139" s="61">
        <f>IF(AND(R1139="Yes",S1139&lt;&gt;"Yes",L1139&gt;0,B1139&lt;&gt;"TXO"),L1139,"")</f>
        <v/>
      </c>
      <c r="U1139" s="61">
        <f>IF(AND(R1139="Yes",S1139&lt;&gt;"Yes",L1139&lt;0,B1139&lt;&gt;"TXO"),L1139,"")</f>
        <v/>
      </c>
      <c r="V1139" s="61">
        <f>IF(AND(R1139="",S1139&lt;&gt;"Yes",L1139&gt;0,B1139&lt;&gt;"TXO"),L1139,"")</f>
        <v/>
      </c>
      <c r="W1139" s="61">
        <f>IF(AND(R1139="",S1139&lt;&gt;"Yes",L1139&lt;0,B1139&lt;&gt;"TXO"),L1139,"")</f>
        <v/>
      </c>
      <c r="X1139" s="226">
        <f>IF(AND(R1139="Yes",S1139="Yes",L1139&gt;0,B1139&lt;&gt;"TXO"),L1139,"")</f>
        <v/>
      </c>
      <c r="Y1139" s="226">
        <f>IF(AND(R1139="Yes",S1139="Yes",L1139&lt;0,B1139&lt;&gt;"TXO"),L1139,"")</f>
        <v/>
      </c>
      <c r="Z1139" s="226">
        <f>IF(AND(R1139="",S1139="Yes",L1139&gt;0,B1139&lt;&gt;"TXO"),L1139,"")</f>
        <v/>
      </c>
      <c r="AA1139" s="226">
        <f>IF(AND(R1139="",S1139="Yes",L1139&lt;0,B1139&lt;&gt;"TXO"),L1139,"")</f>
        <v/>
      </c>
    </row>
    <row r="1140" hidden="1" outlineLevel="2" ht="17.25" customHeight="1" thickBot="1">
      <c r="A1140" s="696" t="n">
        <v>43384</v>
      </c>
      <c r="B1140" s="234" t="inlineStr">
        <is>
          <t>FIMTX</t>
        </is>
      </c>
      <c r="C1140" s="229" t="inlineStr">
        <is>
          <t>小指10</t>
        </is>
      </c>
      <c r="D1140" s="229" t="inlineStr">
        <is>
          <t>新倉</t>
        </is>
      </c>
      <c r="E1140" s="257" t="inlineStr">
        <is>
          <t>賣</t>
        </is>
      </c>
      <c r="F1140" s="229" t="inlineStr">
        <is>
          <t>-</t>
        </is>
      </c>
      <c r="G1140" s="697" t="n">
        <v>1</v>
      </c>
      <c r="H1140" s="697" t="n">
        <v>9644</v>
      </c>
      <c r="I1140" s="697" t="n">
        <v>0</v>
      </c>
      <c r="J1140" s="585" t="n">
        <v>23</v>
      </c>
      <c r="K1140" s="585" t="n">
        <v>10</v>
      </c>
      <c r="L1140" s="585">
        <f>IF(B1140="TXO",I1140-SUM(J1140:K1140),IF(B1140="FITX",IF(D1140="新倉",-SUM(J1140:K1140),IF(E1140="賣",(H1140-H1139)*G1140*200-SUM(J1140:K1140),(H1139-H1140)*G1140*200-SUM(J1140:K1140))),IF(D1140="新倉",-SUM(J1140:K1140),IF(E1140="賣",(H1140-H1139)*G1140*50-SUM(J1140:K1140),(H1139-H1140)*G1140*50-SUM(J1140:K1140)))))</f>
        <v/>
      </c>
      <c r="M1140" s="699">
        <f>L1140</f>
        <v/>
      </c>
      <c r="N1140" s="686">
        <f>IF(B1140="TXO","",IF(D1140="新倉","",IF(E1140="賣",(H1140-H1139)*G1140,(H1139-H1140)*G1140)))</f>
        <v/>
      </c>
      <c r="O1140" s="226">
        <f>ABS(I1140)</f>
        <v/>
      </c>
      <c r="P1140" s="667" t="n"/>
      <c r="S1140" s="249" t="n"/>
      <c r="T1140" s="61">
        <f>IF(AND(R1140="Yes",S1140&lt;&gt;"Yes",L1140&gt;0,B1140&lt;&gt;"TXO"),L1140,"")</f>
        <v/>
      </c>
      <c r="U1140" s="61">
        <f>IF(AND(R1140="Yes",S1140&lt;&gt;"Yes",L1140&lt;0,B1140&lt;&gt;"TXO"),L1140,"")</f>
        <v/>
      </c>
      <c r="V1140" s="61">
        <f>IF(AND(R1140="",S1140&lt;&gt;"Yes",L1140&gt;0,B1140&lt;&gt;"TXO"),L1140,"")</f>
        <v/>
      </c>
      <c r="W1140" s="61">
        <f>IF(AND(R1140="",S1140&lt;&gt;"Yes",L1140&lt;0,B1140&lt;&gt;"TXO"),L1140,"")</f>
        <v/>
      </c>
      <c r="X1140" s="226">
        <f>IF(AND(R1140="Yes",S1140="Yes",L1140&gt;0,B1140&lt;&gt;"TXO"),L1140,"")</f>
        <v/>
      </c>
      <c r="Y1140" s="226">
        <f>IF(AND(R1140="Yes",S1140="Yes",L1140&lt;0,B1140&lt;&gt;"TXO"),L1140,"")</f>
        <v/>
      </c>
      <c r="Z1140" s="226">
        <f>IF(AND(R1140="",S1140="Yes",L1140&gt;0,B1140&lt;&gt;"TXO"),L1140,"")</f>
        <v/>
      </c>
      <c r="AA1140" s="226">
        <f>IF(AND(R1140="",S1140="Yes",L1140&lt;0,B1140&lt;&gt;"TXO"),L1140,"")</f>
        <v/>
      </c>
    </row>
    <row r="1141" hidden="1" outlineLevel="2" ht="17.25" customHeight="1" thickBot="1">
      <c r="A1141" s="696" t="n">
        <v>43384</v>
      </c>
      <c r="B1141" s="234" t="inlineStr">
        <is>
          <t>FIMTX</t>
        </is>
      </c>
      <c r="C1141" s="229" t="inlineStr">
        <is>
          <t>小指10</t>
        </is>
      </c>
      <c r="D1141" s="229" t="inlineStr">
        <is>
          <t>平倉</t>
        </is>
      </c>
      <c r="E1141" s="257" t="inlineStr">
        <is>
          <t>買</t>
        </is>
      </c>
      <c r="F1141" s="229" t="inlineStr">
        <is>
          <t>-</t>
        </is>
      </c>
      <c r="G1141" s="697" t="n">
        <v>1</v>
      </c>
      <c r="H1141" s="697" t="n">
        <v>9659</v>
      </c>
      <c r="I1141" s="697" t="n">
        <v>0</v>
      </c>
      <c r="J1141" s="585" t="n">
        <v>23</v>
      </c>
      <c r="K1141" s="585" t="n">
        <v>10</v>
      </c>
      <c r="L1141" s="585">
        <f>IF(B1141="TXO",I1141-SUM(J1141:K1141),IF(B1141="FITX",IF(D1141="新倉",-SUM(J1141:K1141),IF(E1141="賣",(H1141-H1140)*G1141*200-SUM(J1141:K1141),(H1140-H1141)*G1141*200-SUM(J1141:K1141))),IF(D1141="新倉",-SUM(J1141:K1141),IF(E1141="賣",(H1141-H1140)*G1141*50-SUM(J1141:K1141),(H1140-H1141)*G1141*50-SUM(J1141:K1141)))))</f>
        <v/>
      </c>
      <c r="M1141" s="699">
        <f>L1141</f>
        <v/>
      </c>
      <c r="N1141" s="686">
        <f>IF(B1141="TXO","",IF(D1141="新倉","",IF(E1141="賣",(H1141-H1140)*G1141,(H1140-H1141)*G1141)))</f>
        <v/>
      </c>
      <c r="O1141" s="226">
        <f>ABS(I1141)</f>
        <v/>
      </c>
      <c r="P1141" s="667" t="n"/>
      <c r="S1141" s="249" t="n"/>
      <c r="T1141" s="61">
        <f>IF(AND(R1141="Yes",S1141&lt;&gt;"Yes",L1141&gt;0,B1141&lt;&gt;"TXO"),L1141,"")</f>
        <v/>
      </c>
      <c r="U1141" s="61">
        <f>IF(AND(R1141="Yes",S1141&lt;&gt;"Yes",L1141&lt;0,B1141&lt;&gt;"TXO"),L1141,"")</f>
        <v/>
      </c>
      <c r="V1141" s="61">
        <f>IF(AND(R1141="",S1141&lt;&gt;"Yes",L1141&gt;0,B1141&lt;&gt;"TXO"),L1141,"")</f>
        <v/>
      </c>
      <c r="W1141" s="61">
        <f>IF(AND(R1141="",S1141&lt;&gt;"Yes",L1141&lt;0,B1141&lt;&gt;"TXO"),L1141,"")</f>
        <v/>
      </c>
      <c r="X1141" s="226">
        <f>IF(AND(R1141="Yes",S1141="Yes",L1141&gt;0,B1141&lt;&gt;"TXO"),L1141,"")</f>
        <v/>
      </c>
      <c r="Y1141" s="226">
        <f>IF(AND(R1141="Yes",S1141="Yes",L1141&lt;0,B1141&lt;&gt;"TXO"),L1141,"")</f>
        <v/>
      </c>
      <c r="Z1141" s="226">
        <f>IF(AND(R1141="",S1141="Yes",L1141&gt;0,B1141&lt;&gt;"TXO"),L1141,"")</f>
        <v/>
      </c>
      <c r="AA1141" s="226">
        <f>IF(AND(R1141="",S1141="Yes",L1141&lt;0,B1141&lt;&gt;"TXO"),L1141,"")</f>
        <v/>
      </c>
    </row>
    <row r="1142" hidden="1" outlineLevel="2" ht="17.25" customHeight="1" thickBot="1">
      <c r="A1142" s="696" t="n">
        <v>43384</v>
      </c>
      <c r="B1142" s="234" t="inlineStr">
        <is>
          <t>FIMTX</t>
        </is>
      </c>
      <c r="C1142" s="229" t="inlineStr">
        <is>
          <t>小指10</t>
        </is>
      </c>
      <c r="D1142" s="229" t="inlineStr">
        <is>
          <t>新倉</t>
        </is>
      </c>
      <c r="E1142" s="257" t="inlineStr">
        <is>
          <t>賣</t>
        </is>
      </c>
      <c r="F1142" s="229" t="inlineStr">
        <is>
          <t>-</t>
        </is>
      </c>
      <c r="G1142" s="697" t="n">
        <v>1</v>
      </c>
      <c r="H1142" s="697" t="n">
        <v>9643</v>
      </c>
      <c r="I1142" s="697" t="n">
        <v>0</v>
      </c>
      <c r="J1142" s="585" t="n">
        <v>23</v>
      </c>
      <c r="K1142" s="585" t="n">
        <v>10</v>
      </c>
      <c r="L1142" s="585">
        <f>IF(B1142="TXO",I1142-SUM(J1142:K1142),IF(B1142="FITX",IF(D1142="新倉",-SUM(J1142:K1142),IF(E1142="賣",(H1142-H1141)*G1142*200-SUM(J1142:K1142),(H1141-H1142)*G1142*200-SUM(J1142:K1142))),IF(D1142="新倉",-SUM(J1142:K1142),IF(E1142="賣",(H1142-H1141)*G1142*50-SUM(J1142:K1142),(H1141-H1142)*G1142*50-SUM(J1142:K1142)))))</f>
        <v/>
      </c>
      <c r="M1142" s="699">
        <f>L1142</f>
        <v/>
      </c>
      <c r="N1142" s="686">
        <f>IF(B1142="TXO","",IF(D1142="新倉","",IF(E1142="賣",(H1142-H1141)*G1142,(H1141-H1142)*G1142)))</f>
        <v/>
      </c>
      <c r="O1142" s="226">
        <f>ABS(I1142)</f>
        <v/>
      </c>
      <c r="P1142" s="667" t="n"/>
      <c r="S1142" s="249" t="n"/>
      <c r="T1142" s="61">
        <f>IF(AND(R1142="Yes",S1142&lt;&gt;"Yes",L1142&gt;0,B1142&lt;&gt;"TXO"),L1142,"")</f>
        <v/>
      </c>
      <c r="U1142" s="61">
        <f>IF(AND(R1142="Yes",S1142&lt;&gt;"Yes",L1142&lt;0,B1142&lt;&gt;"TXO"),L1142,"")</f>
        <v/>
      </c>
      <c r="V1142" s="61">
        <f>IF(AND(R1142="",S1142&lt;&gt;"Yes",L1142&gt;0,B1142&lt;&gt;"TXO"),L1142,"")</f>
        <v/>
      </c>
      <c r="W1142" s="61">
        <f>IF(AND(R1142="",S1142&lt;&gt;"Yes",L1142&lt;0,B1142&lt;&gt;"TXO"),L1142,"")</f>
        <v/>
      </c>
      <c r="X1142" s="226">
        <f>IF(AND(R1142="Yes",S1142="Yes",L1142&gt;0,B1142&lt;&gt;"TXO"),L1142,"")</f>
        <v/>
      </c>
      <c r="Y1142" s="226">
        <f>IF(AND(R1142="Yes",S1142="Yes",L1142&lt;0,B1142&lt;&gt;"TXO"),L1142,"")</f>
        <v/>
      </c>
      <c r="Z1142" s="226">
        <f>IF(AND(R1142="",S1142="Yes",L1142&gt;0,B1142&lt;&gt;"TXO"),L1142,"")</f>
        <v/>
      </c>
      <c r="AA1142" s="226">
        <f>IF(AND(R1142="",S1142="Yes",L1142&lt;0,B1142&lt;&gt;"TXO"),L1142,"")</f>
        <v/>
      </c>
    </row>
    <row r="1143" hidden="1" outlineLevel="2" ht="17.25" customHeight="1" thickBot="1">
      <c r="A1143" s="696" t="n">
        <v>43384</v>
      </c>
      <c r="B1143" s="234" t="inlineStr">
        <is>
          <t>FIMTX</t>
        </is>
      </c>
      <c r="C1143" s="229" t="inlineStr">
        <is>
          <t>小指10</t>
        </is>
      </c>
      <c r="D1143" s="229" t="inlineStr">
        <is>
          <t>平倉</t>
        </is>
      </c>
      <c r="E1143" s="257" t="inlineStr">
        <is>
          <t>買</t>
        </is>
      </c>
      <c r="F1143" s="229" t="inlineStr">
        <is>
          <t>-</t>
        </is>
      </c>
      <c r="G1143" s="697" t="n">
        <v>1</v>
      </c>
      <c r="H1143" s="697" t="n">
        <v>9635</v>
      </c>
      <c r="I1143" s="697" t="n">
        <v>0</v>
      </c>
      <c r="J1143" s="585" t="n">
        <v>23</v>
      </c>
      <c r="K1143" s="585" t="n">
        <v>10</v>
      </c>
      <c r="L1143" s="585">
        <f>IF(B1143="TXO",I1143-SUM(J1143:K1143),IF(B1143="FITX",IF(D1143="新倉",-SUM(J1143:K1143),IF(E1143="賣",(H1143-H1142)*G1143*200-SUM(J1143:K1143),(H1142-H1143)*G1143*200-SUM(J1143:K1143))),IF(D1143="新倉",-SUM(J1143:K1143),IF(E1143="賣",(H1143-H1142)*G1143*50-SUM(J1143:K1143),(H1142-H1143)*G1143*50-SUM(J1143:K1143)))))</f>
        <v/>
      </c>
      <c r="M1143" s="699">
        <f>L1143</f>
        <v/>
      </c>
      <c r="N1143" s="686">
        <f>IF(B1143="TXO","",IF(D1143="新倉","",IF(E1143="賣",(H1143-H1142)*G1143,(H1142-H1143)*G1143)))</f>
        <v/>
      </c>
      <c r="O1143" s="226">
        <f>ABS(I1143)</f>
        <v/>
      </c>
      <c r="P1143" s="667" t="n"/>
      <c r="S1143" s="249" t="n"/>
      <c r="T1143" s="61">
        <f>IF(AND(R1143="Yes",S1143&lt;&gt;"Yes",L1143&gt;0,B1143&lt;&gt;"TXO"),L1143,"")</f>
        <v/>
      </c>
      <c r="U1143" s="61">
        <f>IF(AND(R1143="Yes",S1143&lt;&gt;"Yes",L1143&lt;0,B1143&lt;&gt;"TXO"),L1143,"")</f>
        <v/>
      </c>
      <c r="V1143" s="61">
        <f>IF(AND(R1143="",S1143&lt;&gt;"Yes",L1143&gt;0,B1143&lt;&gt;"TXO"),L1143,"")</f>
        <v/>
      </c>
      <c r="W1143" s="61">
        <f>IF(AND(R1143="",S1143&lt;&gt;"Yes",L1143&lt;0,B1143&lt;&gt;"TXO"),L1143,"")</f>
        <v/>
      </c>
      <c r="X1143" s="226">
        <f>IF(AND(R1143="Yes",S1143="Yes",L1143&gt;0,B1143&lt;&gt;"TXO"),L1143,"")</f>
        <v/>
      </c>
      <c r="Y1143" s="226">
        <f>IF(AND(R1143="Yes",S1143="Yes",L1143&lt;0,B1143&lt;&gt;"TXO"),L1143,"")</f>
        <v/>
      </c>
      <c r="Z1143" s="226">
        <f>IF(AND(R1143="",S1143="Yes",L1143&gt;0,B1143&lt;&gt;"TXO"),L1143,"")</f>
        <v/>
      </c>
      <c r="AA1143" s="226">
        <f>IF(AND(R1143="",S1143="Yes",L1143&lt;0,B1143&lt;&gt;"TXO"),L1143,"")</f>
        <v/>
      </c>
    </row>
    <row r="1144" hidden="1" outlineLevel="2" ht="17.25" customHeight="1" thickBot="1">
      <c r="A1144" s="696" t="n">
        <v>43384</v>
      </c>
      <c r="B1144" s="234" t="inlineStr">
        <is>
          <t>FIMTX</t>
        </is>
      </c>
      <c r="C1144" s="229" t="inlineStr">
        <is>
          <t>小指10</t>
        </is>
      </c>
      <c r="D1144" s="229" t="inlineStr">
        <is>
          <t>新倉</t>
        </is>
      </c>
      <c r="E1144" s="257" t="inlineStr">
        <is>
          <t>賣</t>
        </is>
      </c>
      <c r="F1144" s="229" t="inlineStr">
        <is>
          <t>-</t>
        </is>
      </c>
      <c r="G1144" s="697" t="n">
        <v>2</v>
      </c>
      <c r="H1144" s="697" t="n">
        <v>9647</v>
      </c>
      <c r="I1144" s="697" t="n">
        <v>0</v>
      </c>
      <c r="J1144" s="585" t="n">
        <v>46</v>
      </c>
      <c r="K1144" s="585" t="n">
        <v>20</v>
      </c>
      <c r="L1144" s="585">
        <f>IF(B1144="TXO",I1144-SUM(J1144:K1144),IF(B1144="FITX",IF(D1144="新倉",-SUM(J1144:K1144),IF(E1144="賣",(H1144-H1143)*G1144*200-SUM(J1144:K1144),(H1143-H1144)*G1144*200-SUM(J1144:K1144))),IF(D1144="新倉",-SUM(J1144:K1144),IF(E1144="賣",(H1144-H1143)*G1144*50-SUM(J1144:K1144),(H1143-H1144)*G1144*50-SUM(J1144:K1144)))))</f>
        <v/>
      </c>
      <c r="M1144" s="699">
        <f>L1144</f>
        <v/>
      </c>
      <c r="N1144" s="686">
        <f>IF(B1144="TXO","",IF(D1144="新倉","",IF(E1144="賣",(H1144-H1143)*G1144,(H1143-H1144)*G1144)))</f>
        <v/>
      </c>
      <c r="O1144" s="226">
        <f>ABS(I1144)</f>
        <v/>
      </c>
      <c r="P1144" s="667" t="n"/>
      <c r="S1144" s="249" t="n"/>
      <c r="T1144" s="61">
        <f>IF(AND(R1144="Yes",S1144&lt;&gt;"Yes",L1144&gt;0,B1144&lt;&gt;"TXO"),L1144,"")</f>
        <v/>
      </c>
      <c r="U1144" s="61">
        <f>IF(AND(R1144="Yes",S1144&lt;&gt;"Yes",L1144&lt;0,B1144&lt;&gt;"TXO"),L1144,"")</f>
        <v/>
      </c>
      <c r="V1144" s="61">
        <f>IF(AND(R1144="",S1144&lt;&gt;"Yes",L1144&gt;0,B1144&lt;&gt;"TXO"),L1144,"")</f>
        <v/>
      </c>
      <c r="W1144" s="61">
        <f>IF(AND(R1144="",S1144&lt;&gt;"Yes",L1144&lt;0,B1144&lt;&gt;"TXO"),L1144,"")</f>
        <v/>
      </c>
      <c r="X1144" s="226">
        <f>IF(AND(R1144="Yes",S1144="Yes",L1144&gt;0,B1144&lt;&gt;"TXO"),L1144,"")</f>
        <v/>
      </c>
      <c r="Y1144" s="226">
        <f>IF(AND(R1144="Yes",S1144="Yes",L1144&lt;0,B1144&lt;&gt;"TXO"),L1144,"")</f>
        <v/>
      </c>
      <c r="Z1144" s="226">
        <f>IF(AND(R1144="",S1144="Yes",L1144&gt;0,B1144&lt;&gt;"TXO"),L1144,"")</f>
        <v/>
      </c>
      <c r="AA1144" s="226">
        <f>IF(AND(R1144="",S1144="Yes",L1144&lt;0,B1144&lt;&gt;"TXO"),L1144,"")</f>
        <v/>
      </c>
    </row>
    <row r="1145" hidden="1" outlineLevel="2" ht="17.25" customHeight="1" thickBot="1">
      <c r="A1145" s="696" t="n">
        <v>43384</v>
      </c>
      <c r="B1145" s="234" t="inlineStr">
        <is>
          <t>FIMTX</t>
        </is>
      </c>
      <c r="C1145" s="229" t="inlineStr">
        <is>
          <t>小指10</t>
        </is>
      </c>
      <c r="D1145" s="229" t="inlineStr">
        <is>
          <t>平倉</t>
        </is>
      </c>
      <c r="E1145" s="257" t="inlineStr">
        <is>
          <t>買</t>
        </is>
      </c>
      <c r="F1145" s="229" t="inlineStr">
        <is>
          <t>-</t>
        </is>
      </c>
      <c r="G1145" s="697" t="n">
        <v>2</v>
      </c>
      <c r="H1145" s="697" t="n">
        <v>9683</v>
      </c>
      <c r="I1145" s="697" t="n">
        <v>0</v>
      </c>
      <c r="J1145" s="585" t="n">
        <v>46</v>
      </c>
      <c r="K1145" s="585" t="n">
        <v>20</v>
      </c>
      <c r="L1145" s="585">
        <f>IF(B1145="TXO",I1145-SUM(J1145:K1145),IF(B1145="FITX",IF(D1145="新倉",-SUM(J1145:K1145),IF(E1145="賣",(H1145-H1144)*G1145*200-SUM(J1145:K1145),(H1144-H1145)*G1145*200-SUM(J1145:K1145))),IF(D1145="新倉",-SUM(J1145:K1145),IF(E1145="賣",(H1145-H1144)*G1145*50-SUM(J1145:K1145),(H1144-H1145)*G1145*50-SUM(J1145:K1145)))))</f>
        <v/>
      </c>
      <c r="M1145" s="699">
        <f>L1145</f>
        <v/>
      </c>
      <c r="N1145" s="686">
        <f>IF(B1145="TXO","",IF(D1145="新倉","",IF(E1145="賣",(H1145-H1144)*G1145,(H1144-H1145)*G1145)))</f>
        <v/>
      </c>
      <c r="O1145" s="226">
        <f>ABS(I1145)</f>
        <v/>
      </c>
      <c r="P1145" s="667" t="n"/>
      <c r="S1145" s="249" t="n"/>
      <c r="T1145" s="61">
        <f>IF(AND(R1145="Yes",S1145&lt;&gt;"Yes",L1145&gt;0,B1145&lt;&gt;"TXO"),L1145,"")</f>
        <v/>
      </c>
      <c r="U1145" s="61">
        <f>IF(AND(R1145="Yes",S1145&lt;&gt;"Yes",L1145&lt;0,B1145&lt;&gt;"TXO"),L1145,"")</f>
        <v/>
      </c>
      <c r="V1145" s="61">
        <f>IF(AND(R1145="",S1145&lt;&gt;"Yes",L1145&gt;0,B1145&lt;&gt;"TXO"),L1145,"")</f>
        <v/>
      </c>
      <c r="W1145" s="61">
        <f>IF(AND(R1145="",S1145&lt;&gt;"Yes",L1145&lt;0,B1145&lt;&gt;"TXO"),L1145,"")</f>
        <v/>
      </c>
      <c r="X1145" s="226">
        <f>IF(AND(R1145="Yes",S1145="Yes",L1145&gt;0,B1145&lt;&gt;"TXO"),L1145,"")</f>
        <v/>
      </c>
      <c r="Y1145" s="226">
        <f>IF(AND(R1145="Yes",S1145="Yes",L1145&lt;0,B1145&lt;&gt;"TXO"),L1145,"")</f>
        <v/>
      </c>
      <c r="Z1145" s="226">
        <f>IF(AND(R1145="",S1145="Yes",L1145&gt;0,B1145&lt;&gt;"TXO"),L1145,"")</f>
        <v/>
      </c>
      <c r="AA1145" s="226">
        <f>IF(AND(R1145="",S1145="Yes",L1145&lt;0,B1145&lt;&gt;"TXO"),L1145,"")</f>
        <v/>
      </c>
    </row>
    <row r="1146" hidden="1" outlineLevel="2" ht="17.25" customHeight="1" thickBot="1">
      <c r="A1146" s="696" t="n">
        <v>43384</v>
      </c>
      <c r="B1146" s="234" t="inlineStr">
        <is>
          <t>FIMTX</t>
        </is>
      </c>
      <c r="C1146" s="229" t="inlineStr">
        <is>
          <t>小指10</t>
        </is>
      </c>
      <c r="D1146" s="229" t="inlineStr">
        <is>
          <t>新倉</t>
        </is>
      </c>
      <c r="E1146" s="257" t="inlineStr">
        <is>
          <t>買</t>
        </is>
      </c>
      <c r="F1146" s="229" t="inlineStr">
        <is>
          <t>-</t>
        </is>
      </c>
      <c r="G1146" s="697" t="n">
        <v>2</v>
      </c>
      <c r="H1146" s="697" t="n">
        <v>9672</v>
      </c>
      <c r="I1146" s="697" t="n">
        <v>0</v>
      </c>
      <c r="J1146" s="585" t="n">
        <v>46</v>
      </c>
      <c r="K1146" s="585" t="n">
        <v>20</v>
      </c>
      <c r="L1146" s="585">
        <f>IF(B1146="TXO",I1146-SUM(J1146:K1146),IF(B1146="FITX",IF(D1146="新倉",-SUM(J1146:K1146),IF(E1146="賣",(H1146-H1145)*G1146*200-SUM(J1146:K1146),(H1145-H1146)*G1146*200-SUM(J1146:K1146))),IF(D1146="新倉",-SUM(J1146:K1146),IF(E1146="賣",(H1146-H1145)*G1146*50-SUM(J1146:K1146),(H1145-H1146)*G1146*50-SUM(J1146:K1146)))))</f>
        <v/>
      </c>
      <c r="M1146" s="699">
        <f>L1146</f>
        <v/>
      </c>
      <c r="N1146" s="686">
        <f>IF(B1146="TXO","",IF(D1146="新倉","",IF(E1146="賣",(H1146-H1145)*G1146,(H1145-H1146)*G1146)))</f>
        <v/>
      </c>
      <c r="O1146" s="226">
        <f>ABS(I1146)</f>
        <v/>
      </c>
      <c r="P1146" s="667" t="n"/>
      <c r="S1146" s="249" t="n"/>
      <c r="T1146" s="61">
        <f>IF(AND(R1146="Yes",S1146&lt;&gt;"Yes",L1146&gt;0,B1146&lt;&gt;"TXO"),L1146,"")</f>
        <v/>
      </c>
      <c r="U1146" s="61">
        <f>IF(AND(R1146="Yes",S1146&lt;&gt;"Yes",L1146&lt;0,B1146&lt;&gt;"TXO"),L1146,"")</f>
        <v/>
      </c>
      <c r="V1146" s="61">
        <f>IF(AND(R1146="",S1146&lt;&gt;"Yes",L1146&gt;0,B1146&lt;&gt;"TXO"),L1146,"")</f>
        <v/>
      </c>
      <c r="W1146" s="61">
        <f>IF(AND(R1146="",S1146&lt;&gt;"Yes",L1146&lt;0,B1146&lt;&gt;"TXO"),L1146,"")</f>
        <v/>
      </c>
      <c r="X1146" s="226">
        <f>IF(AND(R1146="Yes",S1146="Yes",L1146&gt;0,B1146&lt;&gt;"TXO"),L1146,"")</f>
        <v/>
      </c>
      <c r="Y1146" s="226">
        <f>IF(AND(R1146="Yes",S1146="Yes",L1146&lt;0,B1146&lt;&gt;"TXO"),L1146,"")</f>
        <v/>
      </c>
      <c r="Z1146" s="226">
        <f>IF(AND(R1146="",S1146="Yes",L1146&gt;0,B1146&lt;&gt;"TXO"),L1146,"")</f>
        <v/>
      </c>
      <c r="AA1146" s="226">
        <f>IF(AND(R1146="",S1146="Yes",L1146&lt;0,B1146&lt;&gt;"TXO"),L1146,"")</f>
        <v/>
      </c>
    </row>
    <row r="1147" hidden="1" outlineLevel="2" ht="17.25" customHeight="1" thickBot="1">
      <c r="A1147" s="696" t="n">
        <v>43384</v>
      </c>
      <c r="B1147" s="234" t="inlineStr">
        <is>
          <t>FIMTX</t>
        </is>
      </c>
      <c r="C1147" s="229" t="inlineStr">
        <is>
          <t>小指10</t>
        </is>
      </c>
      <c r="D1147" s="229" t="inlineStr">
        <is>
          <t>平倉</t>
        </is>
      </c>
      <c r="E1147" s="257" t="inlineStr">
        <is>
          <t>賣</t>
        </is>
      </c>
      <c r="F1147" s="229" t="inlineStr">
        <is>
          <t>-</t>
        </is>
      </c>
      <c r="G1147" s="697" t="n">
        <v>2</v>
      </c>
      <c r="H1147" s="697" t="n">
        <v>9681</v>
      </c>
      <c r="I1147" s="697" t="n">
        <v>0</v>
      </c>
      <c r="J1147" s="585" t="n">
        <v>46</v>
      </c>
      <c r="K1147" s="585" t="n">
        <v>20</v>
      </c>
      <c r="L1147" s="585">
        <f>IF(B1147="TXO",I1147-SUM(J1147:K1147),IF(B1147="FITX",IF(D1147="新倉",-SUM(J1147:K1147),IF(E1147="賣",(H1147-H1146)*G1147*200-SUM(J1147:K1147),(H1146-H1147)*G1147*200-SUM(J1147:K1147))),IF(D1147="新倉",-SUM(J1147:K1147),IF(E1147="賣",(H1147-H1146)*G1147*50-SUM(J1147:K1147),(H1146-H1147)*G1147*50-SUM(J1147:K1147)))))</f>
        <v/>
      </c>
      <c r="M1147" s="699">
        <f>L1147</f>
        <v/>
      </c>
      <c r="N1147" s="686">
        <f>IF(B1147="TXO","",IF(D1147="新倉","",IF(E1147="賣",(H1147-H1146)*G1147,(H1146-H1147)*G1147)))</f>
        <v/>
      </c>
      <c r="O1147" s="226">
        <f>ABS(I1147)</f>
        <v/>
      </c>
      <c r="P1147" s="667" t="n"/>
      <c r="S1147" s="249" t="n"/>
      <c r="T1147" s="61">
        <f>IF(AND(R1147="Yes",S1147&lt;&gt;"Yes",L1147&gt;0,B1147&lt;&gt;"TXO"),L1147,"")</f>
        <v/>
      </c>
      <c r="U1147" s="61">
        <f>IF(AND(R1147="Yes",S1147&lt;&gt;"Yes",L1147&lt;0,B1147&lt;&gt;"TXO"),L1147,"")</f>
        <v/>
      </c>
      <c r="V1147" s="61">
        <f>IF(AND(R1147="",S1147&lt;&gt;"Yes",L1147&gt;0,B1147&lt;&gt;"TXO"),L1147,"")</f>
        <v/>
      </c>
      <c r="W1147" s="61">
        <f>IF(AND(R1147="",S1147&lt;&gt;"Yes",L1147&lt;0,B1147&lt;&gt;"TXO"),L1147,"")</f>
        <v/>
      </c>
      <c r="X1147" s="226">
        <f>IF(AND(R1147="Yes",S1147="Yes",L1147&gt;0,B1147&lt;&gt;"TXO"),L1147,"")</f>
        <v/>
      </c>
      <c r="Y1147" s="226">
        <f>IF(AND(R1147="Yes",S1147="Yes",L1147&lt;0,B1147&lt;&gt;"TXO"),L1147,"")</f>
        <v/>
      </c>
      <c r="Z1147" s="226">
        <f>IF(AND(R1147="",S1147="Yes",L1147&gt;0,B1147&lt;&gt;"TXO"),L1147,"")</f>
        <v/>
      </c>
      <c r="AA1147" s="226">
        <f>IF(AND(R1147="",S1147="Yes",L1147&lt;0,B1147&lt;&gt;"TXO"),L1147,"")</f>
        <v/>
      </c>
    </row>
    <row r="1148" hidden="1" outlineLevel="2" ht="17.25" customHeight="1" thickBot="1">
      <c r="A1148" s="696" t="n">
        <v>43384</v>
      </c>
      <c r="B1148" s="234" t="inlineStr">
        <is>
          <t>FIMTX</t>
        </is>
      </c>
      <c r="C1148" s="229" t="inlineStr">
        <is>
          <t>小指10</t>
        </is>
      </c>
      <c r="D1148" s="229" t="inlineStr">
        <is>
          <t>新倉</t>
        </is>
      </c>
      <c r="E1148" s="257" t="inlineStr">
        <is>
          <t>買</t>
        </is>
      </c>
      <c r="F1148" s="229" t="inlineStr">
        <is>
          <t>-</t>
        </is>
      </c>
      <c r="G1148" s="697" t="n">
        <v>1</v>
      </c>
      <c r="H1148" s="697" t="n">
        <v>9692</v>
      </c>
      <c r="I1148" s="697" t="n">
        <v>0</v>
      </c>
      <c r="J1148" s="585" t="n">
        <v>23</v>
      </c>
      <c r="K1148" s="585" t="n">
        <v>10</v>
      </c>
      <c r="L1148" s="585">
        <f>IF(B1148="TXO",I1148-SUM(J1148:K1148),IF(B1148="FITX",IF(D1148="新倉",-SUM(J1148:K1148),IF(E1148="賣",(H1148-H1147)*G1148*200-SUM(J1148:K1148),(H1147-H1148)*G1148*200-SUM(J1148:K1148))),IF(D1148="新倉",-SUM(J1148:K1148),IF(E1148="賣",(H1148-H1147)*G1148*50-SUM(J1148:K1148),(H1147-H1148)*G1148*50-SUM(J1148:K1148)))))</f>
        <v/>
      </c>
      <c r="M1148" s="699">
        <f>L1148</f>
        <v/>
      </c>
      <c r="N1148" s="686">
        <f>IF(B1148="TXO","",IF(D1148="新倉","",IF(E1148="賣",(H1148-H1147)*G1148,(H1147-H1148)*G1148)))</f>
        <v/>
      </c>
      <c r="O1148" s="226">
        <f>ABS(I1148)</f>
        <v/>
      </c>
      <c r="P1148" s="667" t="n"/>
      <c r="S1148" s="249" t="n"/>
      <c r="T1148" s="61">
        <f>IF(AND(R1148="Yes",S1148&lt;&gt;"Yes",L1148&gt;0,B1148&lt;&gt;"TXO"),L1148,"")</f>
        <v/>
      </c>
      <c r="U1148" s="61">
        <f>IF(AND(R1148="Yes",S1148&lt;&gt;"Yes",L1148&lt;0,B1148&lt;&gt;"TXO"),L1148,"")</f>
        <v/>
      </c>
      <c r="V1148" s="61">
        <f>IF(AND(R1148="",S1148&lt;&gt;"Yes",L1148&gt;0,B1148&lt;&gt;"TXO"),L1148,"")</f>
        <v/>
      </c>
      <c r="W1148" s="61">
        <f>IF(AND(R1148="",S1148&lt;&gt;"Yes",L1148&lt;0,B1148&lt;&gt;"TXO"),L1148,"")</f>
        <v/>
      </c>
      <c r="X1148" s="226">
        <f>IF(AND(R1148="Yes",S1148="Yes",L1148&gt;0,B1148&lt;&gt;"TXO"),L1148,"")</f>
        <v/>
      </c>
      <c r="Y1148" s="226">
        <f>IF(AND(R1148="Yes",S1148="Yes",L1148&lt;0,B1148&lt;&gt;"TXO"),L1148,"")</f>
        <v/>
      </c>
      <c r="Z1148" s="226">
        <f>IF(AND(R1148="",S1148="Yes",L1148&gt;0,B1148&lt;&gt;"TXO"),L1148,"")</f>
        <v/>
      </c>
      <c r="AA1148" s="226">
        <f>IF(AND(R1148="",S1148="Yes",L1148&lt;0,B1148&lt;&gt;"TXO"),L1148,"")</f>
        <v/>
      </c>
    </row>
    <row r="1149" hidden="1" outlineLevel="2" ht="17.25" customHeight="1" thickBot="1">
      <c r="A1149" s="696" t="n">
        <v>43384</v>
      </c>
      <c r="B1149" s="234" t="inlineStr">
        <is>
          <t>FIMTX</t>
        </is>
      </c>
      <c r="C1149" s="229" t="inlineStr">
        <is>
          <t>小指10</t>
        </is>
      </c>
      <c r="D1149" s="229" t="inlineStr">
        <is>
          <t>平倉</t>
        </is>
      </c>
      <c r="E1149" s="257" t="inlineStr">
        <is>
          <t>賣</t>
        </is>
      </c>
      <c r="F1149" s="229" t="inlineStr">
        <is>
          <t>-</t>
        </is>
      </c>
      <c r="G1149" s="697" t="n">
        <v>1</v>
      </c>
      <c r="H1149" s="697" t="n">
        <v>9682</v>
      </c>
      <c r="I1149" s="697" t="n">
        <v>0</v>
      </c>
      <c r="J1149" s="585" t="n">
        <v>23</v>
      </c>
      <c r="K1149" s="585" t="n">
        <v>10</v>
      </c>
      <c r="L1149" s="585">
        <f>IF(B1149="TXO",I1149-SUM(J1149:K1149),IF(B1149="FITX",IF(D1149="新倉",-SUM(J1149:K1149),IF(E1149="賣",(H1149-H1148)*G1149*200-SUM(J1149:K1149),(H1148-H1149)*G1149*200-SUM(J1149:K1149))),IF(D1149="新倉",-SUM(J1149:K1149),IF(E1149="賣",(H1149-H1148)*G1149*50-SUM(J1149:K1149),(H1148-H1149)*G1149*50-SUM(J1149:K1149)))))</f>
        <v/>
      </c>
      <c r="M1149" s="699">
        <f>L1149</f>
        <v/>
      </c>
      <c r="N1149" s="686">
        <f>IF(B1149="TXO","",IF(D1149="新倉","",IF(E1149="賣",(H1149-H1148)*G1149,(H1148-H1149)*G1149)))</f>
        <v/>
      </c>
      <c r="O1149" s="226">
        <f>ABS(I1149)</f>
        <v/>
      </c>
      <c r="P1149" s="667" t="n"/>
      <c r="S1149" s="249" t="n"/>
      <c r="T1149" s="61">
        <f>IF(AND(R1149="Yes",S1149&lt;&gt;"Yes",L1149&gt;0,B1149&lt;&gt;"TXO"),L1149,"")</f>
        <v/>
      </c>
      <c r="U1149" s="61">
        <f>IF(AND(R1149="Yes",S1149&lt;&gt;"Yes",L1149&lt;0,B1149&lt;&gt;"TXO"),L1149,"")</f>
        <v/>
      </c>
      <c r="V1149" s="61">
        <f>IF(AND(R1149="",S1149&lt;&gt;"Yes",L1149&gt;0,B1149&lt;&gt;"TXO"),L1149,"")</f>
        <v/>
      </c>
      <c r="W1149" s="61">
        <f>IF(AND(R1149="",S1149&lt;&gt;"Yes",L1149&lt;0,B1149&lt;&gt;"TXO"),L1149,"")</f>
        <v/>
      </c>
      <c r="X1149" s="226">
        <f>IF(AND(R1149="Yes",S1149="Yes",L1149&gt;0,B1149&lt;&gt;"TXO"),L1149,"")</f>
        <v/>
      </c>
      <c r="Y1149" s="226">
        <f>IF(AND(R1149="Yes",S1149="Yes",L1149&lt;0,B1149&lt;&gt;"TXO"),L1149,"")</f>
        <v/>
      </c>
      <c r="Z1149" s="226">
        <f>IF(AND(R1149="",S1149="Yes",L1149&gt;0,B1149&lt;&gt;"TXO"),L1149,"")</f>
        <v/>
      </c>
      <c r="AA1149" s="226">
        <f>IF(AND(R1149="",S1149="Yes",L1149&lt;0,B1149&lt;&gt;"TXO"),L1149,"")</f>
        <v/>
      </c>
    </row>
    <row r="1150" hidden="1" outlineLevel="2" ht="17.25" customHeight="1" thickBot="1">
      <c r="A1150" s="696" t="n">
        <v>43384</v>
      </c>
      <c r="B1150" s="234" t="inlineStr">
        <is>
          <t>FIMTX</t>
        </is>
      </c>
      <c r="C1150" s="229" t="inlineStr">
        <is>
          <t>小指10</t>
        </is>
      </c>
      <c r="D1150" s="229" t="inlineStr">
        <is>
          <t>新倉</t>
        </is>
      </c>
      <c r="E1150" s="257" t="inlineStr">
        <is>
          <t>賣</t>
        </is>
      </c>
      <c r="F1150" s="229" t="inlineStr">
        <is>
          <t>-</t>
        </is>
      </c>
      <c r="G1150" s="697" t="n">
        <v>1</v>
      </c>
      <c r="H1150" s="697" t="n">
        <v>9646</v>
      </c>
      <c r="I1150" s="697" t="n">
        <v>0</v>
      </c>
      <c r="J1150" s="585" t="n">
        <v>23</v>
      </c>
      <c r="K1150" s="585" t="n">
        <v>10</v>
      </c>
      <c r="L1150" s="585">
        <f>IF(B1150="TXO",I1150-SUM(J1150:K1150),IF(B1150="FITX",IF(D1150="新倉",-SUM(J1150:K1150),IF(E1150="賣",(H1150-H1149)*G1150*200-SUM(J1150:K1150),(H1149-H1150)*G1150*200-SUM(J1150:K1150))),IF(D1150="新倉",-SUM(J1150:K1150),IF(E1150="賣",(H1150-H1149)*G1150*50-SUM(J1150:K1150),(H1149-H1150)*G1150*50-SUM(J1150:K1150)))))</f>
        <v/>
      </c>
      <c r="M1150" s="699">
        <f>L1150</f>
        <v/>
      </c>
      <c r="N1150" s="686">
        <f>IF(B1150="TXO","",IF(D1150="新倉","",IF(E1150="賣",(H1150-H1149)*G1150,(H1149-H1150)*G1150)))</f>
        <v/>
      </c>
      <c r="O1150" s="226">
        <f>ABS(I1150)</f>
        <v/>
      </c>
      <c r="P1150" s="667" t="n"/>
      <c r="S1150" s="249" t="n"/>
      <c r="T1150" s="61">
        <f>IF(AND(R1150="Yes",S1150&lt;&gt;"Yes",L1150&gt;0,B1150&lt;&gt;"TXO"),L1150,"")</f>
        <v/>
      </c>
      <c r="U1150" s="61">
        <f>IF(AND(R1150="Yes",S1150&lt;&gt;"Yes",L1150&lt;0,B1150&lt;&gt;"TXO"),L1150,"")</f>
        <v/>
      </c>
      <c r="V1150" s="61">
        <f>IF(AND(R1150="",S1150&lt;&gt;"Yes",L1150&gt;0,B1150&lt;&gt;"TXO"),L1150,"")</f>
        <v/>
      </c>
      <c r="W1150" s="61">
        <f>IF(AND(R1150="",S1150&lt;&gt;"Yes",L1150&lt;0,B1150&lt;&gt;"TXO"),L1150,"")</f>
        <v/>
      </c>
      <c r="X1150" s="226">
        <f>IF(AND(R1150="Yes",S1150="Yes",L1150&gt;0,B1150&lt;&gt;"TXO"),L1150,"")</f>
        <v/>
      </c>
      <c r="Y1150" s="226">
        <f>IF(AND(R1150="Yes",S1150="Yes",L1150&lt;0,B1150&lt;&gt;"TXO"),L1150,"")</f>
        <v/>
      </c>
      <c r="Z1150" s="226">
        <f>IF(AND(R1150="",S1150="Yes",L1150&gt;0,B1150&lt;&gt;"TXO"),L1150,"")</f>
        <v/>
      </c>
      <c r="AA1150" s="226">
        <f>IF(AND(R1150="",S1150="Yes",L1150&lt;0,B1150&lt;&gt;"TXO"),L1150,"")</f>
        <v/>
      </c>
    </row>
    <row r="1151" hidden="1" outlineLevel="2" ht="17.25" customHeight="1" thickBot="1">
      <c r="A1151" s="696" t="n">
        <v>43384</v>
      </c>
      <c r="B1151" s="234" t="inlineStr">
        <is>
          <t>FIMTX</t>
        </is>
      </c>
      <c r="C1151" s="229" t="inlineStr">
        <is>
          <t>小指10</t>
        </is>
      </c>
      <c r="D1151" s="229" t="inlineStr">
        <is>
          <t>平倉</t>
        </is>
      </c>
      <c r="E1151" s="257" t="inlineStr">
        <is>
          <t>買</t>
        </is>
      </c>
      <c r="F1151" s="229" t="inlineStr">
        <is>
          <t>-</t>
        </is>
      </c>
      <c r="G1151" s="697" t="n">
        <v>1</v>
      </c>
      <c r="H1151" s="697" t="n">
        <v>9654</v>
      </c>
      <c r="I1151" s="697" t="n">
        <v>0</v>
      </c>
      <c r="J1151" s="585" t="n">
        <v>23</v>
      </c>
      <c r="K1151" s="585" t="n">
        <v>10</v>
      </c>
      <c r="L1151" s="585">
        <f>IF(B1151="TXO",I1151-SUM(J1151:K1151),IF(B1151="FITX",IF(D1151="新倉",-SUM(J1151:K1151),IF(E1151="賣",(H1151-H1150)*G1151*200-SUM(J1151:K1151),(H1150-H1151)*G1151*200-SUM(J1151:K1151))),IF(D1151="新倉",-SUM(J1151:K1151),IF(E1151="賣",(H1151-H1150)*G1151*50-SUM(J1151:K1151),(H1150-H1151)*G1151*50-SUM(J1151:K1151)))))</f>
        <v/>
      </c>
      <c r="M1151" s="699">
        <f>L1151</f>
        <v/>
      </c>
      <c r="N1151" s="686">
        <f>IF(B1151="TXO","",IF(D1151="新倉","",IF(E1151="賣",(H1151-H1150)*G1151,(H1150-H1151)*G1151)))</f>
        <v/>
      </c>
      <c r="O1151" s="226">
        <f>ABS(I1151)</f>
        <v/>
      </c>
      <c r="P1151" s="667" t="n"/>
      <c r="S1151" s="249" t="n"/>
      <c r="T1151" s="61">
        <f>IF(AND(R1151="Yes",S1151&lt;&gt;"Yes",L1151&gt;0,B1151&lt;&gt;"TXO"),L1151,"")</f>
        <v/>
      </c>
      <c r="U1151" s="61">
        <f>IF(AND(R1151="Yes",S1151&lt;&gt;"Yes",L1151&lt;0,B1151&lt;&gt;"TXO"),L1151,"")</f>
        <v/>
      </c>
      <c r="V1151" s="61">
        <f>IF(AND(R1151="",S1151&lt;&gt;"Yes",L1151&gt;0,B1151&lt;&gt;"TXO"),L1151,"")</f>
        <v/>
      </c>
      <c r="W1151" s="61">
        <f>IF(AND(R1151="",S1151&lt;&gt;"Yes",L1151&lt;0,B1151&lt;&gt;"TXO"),L1151,"")</f>
        <v/>
      </c>
      <c r="X1151" s="226">
        <f>IF(AND(R1151="Yes",S1151="Yes",L1151&gt;0,B1151&lt;&gt;"TXO"),L1151,"")</f>
        <v/>
      </c>
      <c r="Y1151" s="226">
        <f>IF(AND(R1151="Yes",S1151="Yes",L1151&lt;0,B1151&lt;&gt;"TXO"),L1151,"")</f>
        <v/>
      </c>
      <c r="Z1151" s="226">
        <f>IF(AND(R1151="",S1151="Yes",L1151&gt;0,B1151&lt;&gt;"TXO"),L1151,"")</f>
        <v/>
      </c>
      <c r="AA1151" s="226">
        <f>IF(AND(R1151="",S1151="Yes",L1151&lt;0,B1151&lt;&gt;"TXO"),L1151,"")</f>
        <v/>
      </c>
    </row>
    <row r="1152" hidden="1" outlineLevel="2" ht="17.25" customHeight="1" thickBot="1">
      <c r="A1152" s="696" t="n">
        <v>43384</v>
      </c>
      <c r="B1152" s="234" t="inlineStr">
        <is>
          <t>FIMTX</t>
        </is>
      </c>
      <c r="C1152" s="229" t="inlineStr">
        <is>
          <t>小指10</t>
        </is>
      </c>
      <c r="D1152" s="229" t="inlineStr">
        <is>
          <t>新倉</t>
        </is>
      </c>
      <c r="E1152" s="257" t="inlineStr">
        <is>
          <t>賣</t>
        </is>
      </c>
      <c r="F1152" s="229" t="inlineStr">
        <is>
          <t>-</t>
        </is>
      </c>
      <c r="G1152" s="697" t="n">
        <v>1</v>
      </c>
      <c r="H1152" s="697" t="n">
        <v>9644</v>
      </c>
      <c r="I1152" s="697" t="n">
        <v>0</v>
      </c>
      <c r="J1152" s="585" t="n">
        <v>23</v>
      </c>
      <c r="K1152" s="585" t="n">
        <v>10</v>
      </c>
      <c r="L1152" s="585">
        <f>IF(B1152="TXO",I1152-SUM(J1152:K1152),IF(B1152="FITX",IF(D1152="新倉",-SUM(J1152:K1152),IF(E1152="賣",(H1152-H1151)*G1152*200-SUM(J1152:K1152),(H1151-H1152)*G1152*200-SUM(J1152:K1152))),IF(D1152="新倉",-SUM(J1152:K1152),IF(E1152="賣",(H1152-H1151)*G1152*50-SUM(J1152:K1152),(H1151-H1152)*G1152*50-SUM(J1152:K1152)))))</f>
        <v/>
      </c>
      <c r="M1152" s="699">
        <f>L1152</f>
        <v/>
      </c>
      <c r="N1152" s="686">
        <f>IF(B1152="TXO","",IF(D1152="新倉","",IF(E1152="賣",(H1152-H1151)*G1152,(H1151-H1152)*G1152)))</f>
        <v/>
      </c>
      <c r="O1152" s="226">
        <f>ABS(I1152)</f>
        <v/>
      </c>
      <c r="P1152" s="667" t="n"/>
      <c r="S1152" s="249" t="n"/>
      <c r="T1152" s="61">
        <f>IF(AND(R1152="Yes",S1152&lt;&gt;"Yes",L1152&gt;0,B1152&lt;&gt;"TXO"),L1152,"")</f>
        <v/>
      </c>
      <c r="U1152" s="61">
        <f>IF(AND(R1152="Yes",S1152&lt;&gt;"Yes",L1152&lt;0,B1152&lt;&gt;"TXO"),L1152,"")</f>
        <v/>
      </c>
      <c r="V1152" s="61">
        <f>IF(AND(R1152="",S1152&lt;&gt;"Yes",L1152&gt;0,B1152&lt;&gt;"TXO"),L1152,"")</f>
        <v/>
      </c>
      <c r="W1152" s="61">
        <f>IF(AND(R1152="",S1152&lt;&gt;"Yes",L1152&lt;0,B1152&lt;&gt;"TXO"),L1152,"")</f>
        <v/>
      </c>
      <c r="X1152" s="226">
        <f>IF(AND(R1152="Yes",S1152="Yes",L1152&gt;0,B1152&lt;&gt;"TXO"),L1152,"")</f>
        <v/>
      </c>
      <c r="Y1152" s="226">
        <f>IF(AND(R1152="Yes",S1152="Yes",L1152&lt;0,B1152&lt;&gt;"TXO"),L1152,"")</f>
        <v/>
      </c>
      <c r="Z1152" s="226">
        <f>IF(AND(R1152="",S1152="Yes",L1152&gt;0,B1152&lt;&gt;"TXO"),L1152,"")</f>
        <v/>
      </c>
      <c r="AA1152" s="226">
        <f>IF(AND(R1152="",S1152="Yes",L1152&lt;0,B1152&lt;&gt;"TXO"),L1152,"")</f>
        <v/>
      </c>
    </row>
    <row r="1153" hidden="1" outlineLevel="2" ht="17.25" customHeight="1" thickBot="1">
      <c r="A1153" s="696" t="n">
        <v>43384</v>
      </c>
      <c r="B1153" s="234" t="inlineStr">
        <is>
          <t>FIMTX</t>
        </is>
      </c>
      <c r="C1153" s="229" t="inlineStr">
        <is>
          <t>小指10</t>
        </is>
      </c>
      <c r="D1153" s="229" t="inlineStr">
        <is>
          <t>平倉</t>
        </is>
      </c>
      <c r="E1153" s="257" t="inlineStr">
        <is>
          <t>買</t>
        </is>
      </c>
      <c r="F1153" s="229" t="inlineStr">
        <is>
          <t>-</t>
        </is>
      </c>
      <c r="G1153" s="697" t="n">
        <v>1</v>
      </c>
      <c r="H1153" s="697" t="n">
        <v>9700</v>
      </c>
      <c r="I1153" s="697" t="n">
        <v>0</v>
      </c>
      <c r="J1153" s="585" t="n">
        <v>23</v>
      </c>
      <c r="K1153" s="585" t="n">
        <v>10</v>
      </c>
      <c r="L1153" s="585">
        <f>IF(B1153="TXO",I1153-SUM(J1153:K1153),IF(B1153="FITX",IF(D1153="新倉",-SUM(J1153:K1153),IF(E1153="賣",(H1153-H1152)*G1153*200-SUM(J1153:K1153),(H1152-H1153)*G1153*200-SUM(J1153:K1153))),IF(D1153="新倉",-SUM(J1153:K1153),IF(E1153="賣",(H1153-H1152)*G1153*50-SUM(J1153:K1153),(H1152-H1153)*G1153*50-SUM(J1153:K1153)))))</f>
        <v/>
      </c>
      <c r="M1153" s="699">
        <f>L1153</f>
        <v/>
      </c>
      <c r="N1153" s="686">
        <f>IF(B1153="TXO","",IF(D1153="新倉","",IF(E1153="賣",(H1153-H1152)*G1153,(H1152-H1153)*G1153)))</f>
        <v/>
      </c>
      <c r="O1153" s="226">
        <f>ABS(I1153)</f>
        <v/>
      </c>
      <c r="P1153" s="667" t="n"/>
      <c r="S1153" s="249" t="n"/>
      <c r="T1153" s="61">
        <f>IF(AND(R1153="Yes",S1153&lt;&gt;"Yes",L1153&gt;0,B1153&lt;&gt;"TXO"),L1153,"")</f>
        <v/>
      </c>
      <c r="U1153" s="61">
        <f>IF(AND(R1153="Yes",S1153&lt;&gt;"Yes",L1153&lt;0,B1153&lt;&gt;"TXO"),L1153,"")</f>
        <v/>
      </c>
      <c r="V1153" s="61">
        <f>IF(AND(R1153="",S1153&lt;&gt;"Yes",L1153&gt;0,B1153&lt;&gt;"TXO"),L1153,"")</f>
        <v/>
      </c>
      <c r="W1153" s="61">
        <f>IF(AND(R1153="",S1153&lt;&gt;"Yes",L1153&lt;0,B1153&lt;&gt;"TXO"),L1153,"")</f>
        <v/>
      </c>
      <c r="X1153" s="226">
        <f>IF(AND(R1153="Yes",S1153="Yes",L1153&gt;0,B1153&lt;&gt;"TXO"),L1153,"")</f>
        <v/>
      </c>
      <c r="Y1153" s="226">
        <f>IF(AND(R1153="Yes",S1153="Yes",L1153&lt;0,B1153&lt;&gt;"TXO"),L1153,"")</f>
        <v/>
      </c>
      <c r="Z1153" s="226">
        <f>IF(AND(R1153="",S1153="Yes",L1153&gt;0,B1153&lt;&gt;"TXO"),L1153,"")</f>
        <v/>
      </c>
      <c r="AA1153" s="226">
        <f>IF(AND(R1153="",S1153="Yes",L1153&lt;0,B1153&lt;&gt;"TXO"),L1153,"")</f>
        <v/>
      </c>
    </row>
    <row r="1154" hidden="1" outlineLevel="2" ht="17.25" customHeight="1" thickBot="1">
      <c r="A1154" s="696" t="n">
        <v>43384</v>
      </c>
      <c r="B1154" s="234" t="inlineStr">
        <is>
          <t>FIMTX</t>
        </is>
      </c>
      <c r="C1154" s="229" t="inlineStr">
        <is>
          <t>小指10</t>
        </is>
      </c>
      <c r="D1154" s="229" t="inlineStr">
        <is>
          <t>新倉</t>
        </is>
      </c>
      <c r="E1154" s="257" t="inlineStr">
        <is>
          <t>賣</t>
        </is>
      </c>
      <c r="F1154" s="229" t="inlineStr">
        <is>
          <t>-</t>
        </is>
      </c>
      <c r="G1154" s="697" t="n">
        <v>1</v>
      </c>
      <c r="H1154" s="697" t="n">
        <v>9666</v>
      </c>
      <c r="I1154" s="697" t="n">
        <v>0</v>
      </c>
      <c r="J1154" s="585" t="n">
        <v>23</v>
      </c>
      <c r="K1154" s="585" t="n">
        <v>10</v>
      </c>
      <c r="L1154" s="585">
        <f>IF(B1154="TXO",I1154-SUM(J1154:K1154),IF(B1154="FITX",IF(D1154="新倉",-SUM(J1154:K1154),IF(E1154="賣",(H1154-H1153)*G1154*200-SUM(J1154:K1154),(H1153-H1154)*G1154*200-SUM(J1154:K1154))),IF(D1154="新倉",-SUM(J1154:K1154),IF(E1154="賣",(H1154-H1153)*G1154*50-SUM(J1154:K1154),(H1153-H1154)*G1154*50-SUM(J1154:K1154)))))</f>
        <v/>
      </c>
      <c r="M1154" s="699">
        <f>L1154</f>
        <v/>
      </c>
      <c r="N1154" s="686">
        <f>IF(B1154="TXO","",IF(D1154="新倉","",IF(E1154="賣",(H1154-H1153)*G1154,(H1153-H1154)*G1154)))</f>
        <v/>
      </c>
      <c r="O1154" s="226">
        <f>ABS(I1154)</f>
        <v/>
      </c>
      <c r="P1154" s="667" t="n"/>
      <c r="S1154" s="249" t="n"/>
      <c r="T1154" s="61">
        <f>IF(AND(R1154="Yes",S1154&lt;&gt;"Yes",L1154&gt;0,B1154&lt;&gt;"TXO"),L1154,"")</f>
        <v/>
      </c>
      <c r="U1154" s="61">
        <f>IF(AND(R1154="Yes",S1154&lt;&gt;"Yes",L1154&lt;0,B1154&lt;&gt;"TXO"),L1154,"")</f>
        <v/>
      </c>
      <c r="V1154" s="61">
        <f>IF(AND(R1154="",S1154&lt;&gt;"Yes",L1154&gt;0,B1154&lt;&gt;"TXO"),L1154,"")</f>
        <v/>
      </c>
      <c r="W1154" s="61">
        <f>IF(AND(R1154="",S1154&lt;&gt;"Yes",L1154&lt;0,B1154&lt;&gt;"TXO"),L1154,"")</f>
        <v/>
      </c>
      <c r="X1154" s="226">
        <f>IF(AND(R1154="Yes",S1154="Yes",L1154&gt;0,B1154&lt;&gt;"TXO"),L1154,"")</f>
        <v/>
      </c>
      <c r="Y1154" s="226">
        <f>IF(AND(R1154="Yes",S1154="Yes",L1154&lt;0,B1154&lt;&gt;"TXO"),L1154,"")</f>
        <v/>
      </c>
      <c r="Z1154" s="226">
        <f>IF(AND(R1154="",S1154="Yes",L1154&gt;0,B1154&lt;&gt;"TXO"),L1154,"")</f>
        <v/>
      </c>
      <c r="AA1154" s="226">
        <f>IF(AND(R1154="",S1154="Yes",L1154&lt;0,B1154&lt;&gt;"TXO"),L1154,"")</f>
        <v/>
      </c>
    </row>
    <row r="1155" hidden="1" outlineLevel="2" ht="17.25" customHeight="1" thickBot="1">
      <c r="A1155" s="696" t="n">
        <v>43384</v>
      </c>
      <c r="B1155" s="234" t="inlineStr">
        <is>
          <t>FIMTX</t>
        </is>
      </c>
      <c r="C1155" s="229" t="inlineStr">
        <is>
          <t>小指10</t>
        </is>
      </c>
      <c r="D1155" s="229" t="inlineStr">
        <is>
          <t>平倉</t>
        </is>
      </c>
      <c r="E1155" s="257" t="inlineStr">
        <is>
          <t>買</t>
        </is>
      </c>
      <c r="F1155" s="229" t="inlineStr">
        <is>
          <t>-</t>
        </is>
      </c>
      <c r="G1155" s="697" t="n">
        <v>1</v>
      </c>
      <c r="H1155" s="697" t="n">
        <v>9656</v>
      </c>
      <c r="I1155" s="697" t="n">
        <v>0</v>
      </c>
      <c r="J1155" s="585" t="n">
        <v>23</v>
      </c>
      <c r="K1155" s="585" t="n">
        <v>10</v>
      </c>
      <c r="L1155" s="585">
        <f>IF(B1155="TXO",I1155-SUM(J1155:K1155),IF(B1155="FITX",IF(D1155="新倉",-SUM(J1155:K1155),IF(E1155="賣",(H1155-H1154)*G1155*200-SUM(J1155:K1155),(H1154-H1155)*G1155*200-SUM(J1155:K1155))),IF(D1155="新倉",-SUM(J1155:K1155),IF(E1155="賣",(H1155-H1154)*G1155*50-SUM(J1155:K1155),(H1154-H1155)*G1155*50-SUM(J1155:K1155)))))</f>
        <v/>
      </c>
      <c r="M1155" s="699">
        <f>L1155</f>
        <v/>
      </c>
      <c r="N1155" s="686">
        <f>IF(B1155="TXO","",IF(D1155="新倉","",IF(E1155="賣",(H1155-H1154)*G1155,(H1154-H1155)*G1155)))</f>
        <v/>
      </c>
      <c r="O1155" s="226">
        <f>ABS(I1155)</f>
        <v/>
      </c>
      <c r="P1155" s="667" t="n"/>
      <c r="S1155" s="249" t="n"/>
      <c r="T1155" s="61">
        <f>IF(AND(R1155="Yes",S1155&lt;&gt;"Yes",L1155&gt;0,B1155&lt;&gt;"TXO"),L1155,"")</f>
        <v/>
      </c>
      <c r="U1155" s="61">
        <f>IF(AND(R1155="Yes",S1155&lt;&gt;"Yes",L1155&lt;0,B1155&lt;&gt;"TXO"),L1155,"")</f>
        <v/>
      </c>
      <c r="V1155" s="61">
        <f>IF(AND(R1155="",S1155&lt;&gt;"Yes",L1155&gt;0,B1155&lt;&gt;"TXO"),L1155,"")</f>
        <v/>
      </c>
      <c r="W1155" s="61">
        <f>IF(AND(R1155="",S1155&lt;&gt;"Yes",L1155&lt;0,B1155&lt;&gt;"TXO"),L1155,"")</f>
        <v/>
      </c>
      <c r="X1155" s="226">
        <f>IF(AND(R1155="Yes",S1155="Yes",L1155&gt;0,B1155&lt;&gt;"TXO"),L1155,"")</f>
        <v/>
      </c>
      <c r="Y1155" s="226">
        <f>IF(AND(R1155="Yes",S1155="Yes",L1155&lt;0,B1155&lt;&gt;"TXO"),L1155,"")</f>
        <v/>
      </c>
      <c r="Z1155" s="226">
        <f>IF(AND(R1155="",S1155="Yes",L1155&gt;0,B1155&lt;&gt;"TXO"),L1155,"")</f>
        <v/>
      </c>
      <c r="AA1155" s="226">
        <f>IF(AND(R1155="",S1155="Yes",L1155&lt;0,B1155&lt;&gt;"TXO"),L1155,"")</f>
        <v/>
      </c>
    </row>
    <row r="1156" hidden="1" outlineLevel="2" ht="17.25" customHeight="1" thickBot="1">
      <c r="A1156" s="696" t="n">
        <v>43384</v>
      </c>
      <c r="B1156" s="234" t="inlineStr">
        <is>
          <t>FIMTX</t>
        </is>
      </c>
      <c r="C1156" s="229" t="inlineStr">
        <is>
          <t>小指10</t>
        </is>
      </c>
      <c r="D1156" s="229" t="inlineStr">
        <is>
          <t>新倉</t>
        </is>
      </c>
      <c r="E1156" s="257" t="inlineStr">
        <is>
          <t>賣</t>
        </is>
      </c>
      <c r="F1156" s="229" t="inlineStr">
        <is>
          <t>-</t>
        </is>
      </c>
      <c r="G1156" s="697" t="n">
        <v>1</v>
      </c>
      <c r="H1156" s="697" t="n">
        <v>9730</v>
      </c>
      <c r="I1156" s="697" t="n">
        <v>0</v>
      </c>
      <c r="J1156" s="585" t="n">
        <v>23</v>
      </c>
      <c r="K1156" s="585" t="n">
        <v>10</v>
      </c>
      <c r="L1156" s="585">
        <f>IF(B1156="TXO",I1156-SUM(J1156:K1156),IF(B1156="FITX",IF(D1156="新倉",-SUM(J1156:K1156),IF(E1156="賣",(H1156-H1155)*G1156*200-SUM(J1156:K1156),(H1155-H1156)*G1156*200-SUM(J1156:K1156))),IF(D1156="新倉",-SUM(J1156:K1156),IF(E1156="賣",(H1156-H1155)*G1156*50-SUM(J1156:K1156),(H1155-H1156)*G1156*50-SUM(J1156:K1156)))))</f>
        <v/>
      </c>
      <c r="M1156" s="699">
        <f>L1156</f>
        <v/>
      </c>
      <c r="N1156" s="686">
        <f>IF(B1156="TXO","",IF(D1156="新倉","",IF(E1156="賣",(H1156-H1155)*G1156,(H1155-H1156)*G1156)))</f>
        <v/>
      </c>
      <c r="O1156" s="226">
        <f>ABS(I1156)</f>
        <v/>
      </c>
      <c r="P1156" s="667" t="n"/>
      <c r="S1156" s="249" t="inlineStr">
        <is>
          <t>Yes</t>
        </is>
      </c>
      <c r="T1156" s="61">
        <f>IF(AND(R1156="Yes",S1156&lt;&gt;"Yes",L1156&gt;0,B1156&lt;&gt;"TXO"),L1156,"")</f>
        <v/>
      </c>
      <c r="U1156" s="61">
        <f>IF(AND(R1156="Yes",S1156&lt;&gt;"Yes",L1156&lt;0,B1156&lt;&gt;"TXO"),L1156,"")</f>
        <v/>
      </c>
      <c r="V1156" s="61">
        <f>IF(AND(R1156="",S1156&lt;&gt;"Yes",L1156&gt;0,B1156&lt;&gt;"TXO"),L1156,"")</f>
        <v/>
      </c>
      <c r="W1156" s="61">
        <f>IF(AND(R1156="",S1156&lt;&gt;"Yes",L1156&lt;0,B1156&lt;&gt;"TXO"),L1156,"")</f>
        <v/>
      </c>
      <c r="X1156" s="226">
        <f>IF(AND(R1156="Yes",S1156="Yes",L1156&gt;0,B1156&lt;&gt;"TXO"),L1156,"")</f>
        <v/>
      </c>
      <c r="Y1156" s="226">
        <f>IF(AND(R1156="Yes",S1156="Yes",L1156&lt;0,B1156&lt;&gt;"TXO"),L1156,"")</f>
        <v/>
      </c>
      <c r="Z1156" s="226">
        <f>IF(AND(R1156="",S1156="Yes",L1156&gt;0,B1156&lt;&gt;"TXO"),L1156,"")</f>
        <v/>
      </c>
      <c r="AA1156" s="226">
        <f>IF(AND(R1156="",S1156="Yes",L1156&lt;0,B1156&lt;&gt;"TXO"),L1156,"")</f>
        <v/>
      </c>
    </row>
    <row r="1157" hidden="1" outlineLevel="2" ht="17.25" customHeight="1" thickBot="1">
      <c r="A1157" s="696" t="n">
        <v>43384</v>
      </c>
      <c r="B1157" s="234" t="inlineStr">
        <is>
          <t>FIMTX</t>
        </is>
      </c>
      <c r="C1157" s="229" t="inlineStr">
        <is>
          <t>小指10</t>
        </is>
      </c>
      <c r="D1157" s="229" t="inlineStr">
        <is>
          <t>平倉</t>
        </is>
      </c>
      <c r="E1157" s="257" t="inlineStr">
        <is>
          <t>買</t>
        </is>
      </c>
      <c r="F1157" s="229" t="inlineStr">
        <is>
          <t>-</t>
        </is>
      </c>
      <c r="G1157" s="697" t="n">
        <v>1</v>
      </c>
      <c r="H1157" s="697" t="n">
        <v>9724</v>
      </c>
      <c r="I1157" s="697" t="n">
        <v>0</v>
      </c>
      <c r="J1157" s="585" t="n">
        <v>23</v>
      </c>
      <c r="K1157" s="585" t="n">
        <v>10</v>
      </c>
      <c r="L1157" s="585">
        <f>IF(B1157="TXO",I1157-SUM(J1157:K1157),IF(B1157="FITX",IF(D1157="新倉",-SUM(J1157:K1157),IF(E1157="賣",(H1157-H1156)*G1157*200-SUM(J1157:K1157),(H1156-H1157)*G1157*200-SUM(J1157:K1157))),IF(D1157="新倉",-SUM(J1157:K1157),IF(E1157="賣",(H1157-H1156)*G1157*50-SUM(J1157:K1157),(H1156-H1157)*G1157*50-SUM(J1157:K1157)))))</f>
        <v/>
      </c>
      <c r="M1157" s="699">
        <f>L1157</f>
        <v/>
      </c>
      <c r="N1157" s="686">
        <f>IF(B1157="TXO","",IF(D1157="新倉","",IF(E1157="賣",(H1157-H1156)*G1157,(H1156-H1157)*G1157)))</f>
        <v/>
      </c>
      <c r="O1157" s="226">
        <f>ABS(I1157)</f>
        <v/>
      </c>
      <c r="P1157" s="667" t="n"/>
      <c r="S1157" s="249" t="inlineStr">
        <is>
          <t>Yes</t>
        </is>
      </c>
      <c r="T1157" s="61">
        <f>IF(AND(R1157="Yes",S1157&lt;&gt;"Yes",L1157&gt;0,B1157&lt;&gt;"TXO"),L1157,"")</f>
        <v/>
      </c>
      <c r="U1157" s="61">
        <f>IF(AND(R1157="Yes",S1157&lt;&gt;"Yes",L1157&lt;0,B1157&lt;&gt;"TXO"),L1157,"")</f>
        <v/>
      </c>
      <c r="V1157" s="61">
        <f>IF(AND(R1157="",S1157&lt;&gt;"Yes",L1157&gt;0,B1157&lt;&gt;"TXO"),L1157,"")</f>
        <v/>
      </c>
      <c r="W1157" s="61">
        <f>IF(AND(R1157="",S1157&lt;&gt;"Yes",L1157&lt;0,B1157&lt;&gt;"TXO"),L1157,"")</f>
        <v/>
      </c>
      <c r="X1157" s="226">
        <f>IF(AND(R1157="Yes",S1157="Yes",L1157&gt;0,B1157&lt;&gt;"TXO"),L1157,"")</f>
        <v/>
      </c>
      <c r="Y1157" s="226">
        <f>IF(AND(R1157="Yes",S1157="Yes",L1157&lt;0,B1157&lt;&gt;"TXO"),L1157,"")</f>
        <v/>
      </c>
      <c r="Z1157" s="226">
        <f>IF(AND(R1157="",S1157="Yes",L1157&gt;0,B1157&lt;&gt;"TXO"),L1157,"")</f>
        <v/>
      </c>
      <c r="AA1157" s="226">
        <f>IF(AND(R1157="",S1157="Yes",L1157&lt;0,B1157&lt;&gt;"TXO"),L1157,"")</f>
        <v/>
      </c>
    </row>
    <row r="1158" hidden="1" outlineLevel="2" ht="17.25" customHeight="1" thickBot="1">
      <c r="A1158" s="696" t="n">
        <v>43384</v>
      </c>
      <c r="B1158" s="234" t="inlineStr">
        <is>
          <t>FIMTX</t>
        </is>
      </c>
      <c r="C1158" s="229" t="inlineStr">
        <is>
          <t>小指10</t>
        </is>
      </c>
      <c r="D1158" s="229" t="inlineStr">
        <is>
          <t>新倉</t>
        </is>
      </c>
      <c r="E1158" s="257" t="inlineStr">
        <is>
          <t>賣</t>
        </is>
      </c>
      <c r="F1158" s="229" t="inlineStr">
        <is>
          <t>-</t>
        </is>
      </c>
      <c r="G1158" s="697" t="n">
        <v>1</v>
      </c>
      <c r="H1158" s="697" t="n">
        <v>9709</v>
      </c>
      <c r="I1158" s="697" t="n">
        <v>0</v>
      </c>
      <c r="J1158" s="585" t="n">
        <v>23</v>
      </c>
      <c r="K1158" s="585" t="n">
        <v>10</v>
      </c>
      <c r="L1158" s="585">
        <f>IF(B1158="TXO",I1158-SUM(J1158:K1158),IF(B1158="FITX",IF(D1158="新倉",-SUM(J1158:K1158),IF(E1158="賣",(H1158-H1157)*G1158*200-SUM(J1158:K1158),(H1157-H1158)*G1158*200-SUM(J1158:K1158))),IF(D1158="新倉",-SUM(J1158:K1158),IF(E1158="賣",(H1158-H1157)*G1158*50-SUM(J1158:K1158),(H1157-H1158)*G1158*50-SUM(J1158:K1158)))))</f>
        <v/>
      </c>
      <c r="M1158" s="699">
        <f>L1158</f>
        <v/>
      </c>
      <c r="N1158" s="686">
        <f>IF(B1158="TXO","",IF(D1158="新倉","",IF(E1158="賣",(H1158-H1157)*G1158,(H1157-H1158)*G1158)))</f>
        <v/>
      </c>
      <c r="O1158" s="226">
        <f>ABS(I1158)</f>
        <v/>
      </c>
      <c r="P1158" s="667" t="n"/>
      <c r="S1158" s="249" t="inlineStr">
        <is>
          <t>Yes</t>
        </is>
      </c>
      <c r="T1158" s="61">
        <f>IF(AND(R1158="Yes",S1158&lt;&gt;"Yes",L1158&gt;0,B1158&lt;&gt;"TXO"),L1158,"")</f>
        <v/>
      </c>
      <c r="U1158" s="61">
        <f>IF(AND(R1158="Yes",S1158&lt;&gt;"Yes",L1158&lt;0,B1158&lt;&gt;"TXO"),L1158,"")</f>
        <v/>
      </c>
      <c r="V1158" s="61">
        <f>IF(AND(R1158="",S1158&lt;&gt;"Yes",L1158&gt;0,B1158&lt;&gt;"TXO"),L1158,"")</f>
        <v/>
      </c>
      <c r="W1158" s="61">
        <f>IF(AND(R1158="",S1158&lt;&gt;"Yes",L1158&lt;0,B1158&lt;&gt;"TXO"),L1158,"")</f>
        <v/>
      </c>
      <c r="X1158" s="226">
        <f>IF(AND(R1158="Yes",S1158="Yes",L1158&gt;0,B1158&lt;&gt;"TXO"),L1158,"")</f>
        <v/>
      </c>
      <c r="Y1158" s="226">
        <f>IF(AND(R1158="Yes",S1158="Yes",L1158&lt;0,B1158&lt;&gt;"TXO"),L1158,"")</f>
        <v/>
      </c>
      <c r="Z1158" s="226">
        <f>IF(AND(R1158="",S1158="Yes",L1158&gt;0,B1158&lt;&gt;"TXO"),L1158,"")</f>
        <v/>
      </c>
      <c r="AA1158" s="226">
        <f>IF(AND(R1158="",S1158="Yes",L1158&lt;0,B1158&lt;&gt;"TXO"),L1158,"")</f>
        <v/>
      </c>
    </row>
    <row r="1159" hidden="1" outlineLevel="2" ht="17.25" customHeight="1" thickBot="1">
      <c r="A1159" s="696" t="n">
        <v>43384</v>
      </c>
      <c r="B1159" s="234" t="inlineStr">
        <is>
          <t>FIMTX</t>
        </is>
      </c>
      <c r="C1159" s="229" t="inlineStr">
        <is>
          <t>小指10</t>
        </is>
      </c>
      <c r="D1159" s="229" t="inlineStr">
        <is>
          <t>平倉</t>
        </is>
      </c>
      <c r="E1159" s="257" t="inlineStr">
        <is>
          <t>買</t>
        </is>
      </c>
      <c r="F1159" s="229" t="inlineStr">
        <is>
          <t>-</t>
        </is>
      </c>
      <c r="G1159" s="697" t="n">
        <v>1</v>
      </c>
      <c r="H1159" s="697" t="n">
        <v>9704</v>
      </c>
      <c r="I1159" s="697" t="n">
        <v>0</v>
      </c>
      <c r="J1159" s="585" t="n">
        <v>23</v>
      </c>
      <c r="K1159" s="585" t="n">
        <v>10</v>
      </c>
      <c r="L1159" s="585">
        <f>IF(B1159="TXO",I1159-SUM(J1159:K1159),IF(B1159="FITX",IF(D1159="新倉",-SUM(J1159:K1159),IF(E1159="賣",(H1159-H1158)*G1159*200-SUM(J1159:K1159),(H1158-H1159)*G1159*200-SUM(J1159:K1159))),IF(D1159="新倉",-SUM(J1159:K1159),IF(E1159="賣",(H1159-H1158)*G1159*50-SUM(J1159:K1159),(H1158-H1159)*G1159*50-SUM(J1159:K1159)))))</f>
        <v/>
      </c>
      <c r="M1159" s="699">
        <f>L1159</f>
        <v/>
      </c>
      <c r="N1159" s="686">
        <f>IF(B1159="TXO","",IF(D1159="新倉","",IF(E1159="賣",(H1159-H1158)*G1159,(H1158-H1159)*G1159)))</f>
        <v/>
      </c>
      <c r="O1159" s="226">
        <f>ABS(I1159)</f>
        <v/>
      </c>
      <c r="P1159" s="667" t="n"/>
      <c r="S1159" s="249" t="inlineStr">
        <is>
          <t>Yes</t>
        </is>
      </c>
      <c r="T1159" s="61">
        <f>IF(AND(R1159="Yes",S1159&lt;&gt;"Yes",L1159&gt;0,B1159&lt;&gt;"TXO"),L1159,"")</f>
        <v/>
      </c>
      <c r="U1159" s="61">
        <f>IF(AND(R1159="Yes",S1159&lt;&gt;"Yes",L1159&lt;0,B1159&lt;&gt;"TXO"),L1159,"")</f>
        <v/>
      </c>
      <c r="V1159" s="61">
        <f>IF(AND(R1159="",S1159&lt;&gt;"Yes",L1159&gt;0,B1159&lt;&gt;"TXO"),L1159,"")</f>
        <v/>
      </c>
      <c r="W1159" s="61">
        <f>IF(AND(R1159="",S1159&lt;&gt;"Yes",L1159&lt;0,B1159&lt;&gt;"TXO"),L1159,"")</f>
        <v/>
      </c>
      <c r="X1159" s="226">
        <f>IF(AND(R1159="Yes",S1159="Yes",L1159&gt;0,B1159&lt;&gt;"TXO"),L1159,"")</f>
        <v/>
      </c>
      <c r="Y1159" s="226">
        <f>IF(AND(R1159="Yes",S1159="Yes",L1159&lt;0,B1159&lt;&gt;"TXO"),L1159,"")</f>
        <v/>
      </c>
      <c r="Z1159" s="226">
        <f>IF(AND(R1159="",S1159="Yes",L1159&gt;0,B1159&lt;&gt;"TXO"),L1159,"")</f>
        <v/>
      </c>
      <c r="AA1159" s="226">
        <f>IF(AND(R1159="",S1159="Yes",L1159&lt;0,B1159&lt;&gt;"TXO"),L1159,"")</f>
        <v/>
      </c>
    </row>
    <row r="1160" hidden="1" outlineLevel="2" ht="17.25" customHeight="1" thickBot="1">
      <c r="A1160" s="696" t="n">
        <v>43384</v>
      </c>
      <c r="B1160" s="234" t="inlineStr">
        <is>
          <t>FIMTX</t>
        </is>
      </c>
      <c r="C1160" s="229" t="inlineStr">
        <is>
          <t>小指10</t>
        </is>
      </c>
      <c r="D1160" s="229" t="inlineStr">
        <is>
          <t>新倉</t>
        </is>
      </c>
      <c r="E1160" s="257" t="inlineStr">
        <is>
          <t>賣</t>
        </is>
      </c>
      <c r="F1160" s="229" t="inlineStr">
        <is>
          <t>-</t>
        </is>
      </c>
      <c r="G1160" s="697" t="n">
        <v>1</v>
      </c>
      <c r="H1160" s="697" t="n">
        <v>9690</v>
      </c>
      <c r="I1160" s="697" t="n">
        <v>0</v>
      </c>
      <c r="J1160" s="585" t="n">
        <v>23</v>
      </c>
      <c r="K1160" s="585" t="n">
        <v>10</v>
      </c>
      <c r="L1160" s="585">
        <f>IF(B1160="TXO",I1160-SUM(J1160:K1160),IF(B1160="FITX",IF(D1160="新倉",-SUM(J1160:K1160),IF(E1160="賣",(H1160-H1159)*G1160*200-SUM(J1160:K1160),(H1159-H1160)*G1160*200-SUM(J1160:K1160))),IF(D1160="新倉",-SUM(J1160:K1160),IF(E1160="賣",(H1160-H1159)*G1160*50-SUM(J1160:K1160),(H1159-H1160)*G1160*50-SUM(J1160:K1160)))))</f>
        <v/>
      </c>
      <c r="M1160" s="699">
        <f>L1160</f>
        <v/>
      </c>
      <c r="N1160" s="686">
        <f>IF(B1160="TXO","",IF(D1160="新倉","",IF(E1160="賣",(H1160-H1159)*G1160,(H1159-H1160)*G1160)))</f>
        <v/>
      </c>
      <c r="O1160" s="226">
        <f>ABS(I1160)</f>
        <v/>
      </c>
      <c r="P1160" s="667" t="n"/>
      <c r="S1160" s="249" t="inlineStr">
        <is>
          <t>Yes</t>
        </is>
      </c>
      <c r="T1160" s="61">
        <f>IF(AND(R1160="Yes",S1160&lt;&gt;"Yes",L1160&gt;0,B1160&lt;&gt;"TXO"),L1160,"")</f>
        <v/>
      </c>
      <c r="U1160" s="61">
        <f>IF(AND(R1160="Yes",S1160&lt;&gt;"Yes",L1160&lt;0,B1160&lt;&gt;"TXO"),L1160,"")</f>
        <v/>
      </c>
      <c r="V1160" s="61">
        <f>IF(AND(R1160="",S1160&lt;&gt;"Yes",L1160&gt;0,B1160&lt;&gt;"TXO"),L1160,"")</f>
        <v/>
      </c>
      <c r="W1160" s="61">
        <f>IF(AND(R1160="",S1160&lt;&gt;"Yes",L1160&lt;0,B1160&lt;&gt;"TXO"),L1160,"")</f>
        <v/>
      </c>
      <c r="X1160" s="226">
        <f>IF(AND(R1160="Yes",S1160="Yes",L1160&gt;0,B1160&lt;&gt;"TXO"),L1160,"")</f>
        <v/>
      </c>
      <c r="Y1160" s="226">
        <f>IF(AND(R1160="Yes",S1160="Yes",L1160&lt;0,B1160&lt;&gt;"TXO"),L1160,"")</f>
        <v/>
      </c>
      <c r="Z1160" s="226">
        <f>IF(AND(R1160="",S1160="Yes",L1160&gt;0,B1160&lt;&gt;"TXO"),L1160,"")</f>
        <v/>
      </c>
      <c r="AA1160" s="226">
        <f>IF(AND(R1160="",S1160="Yes",L1160&lt;0,B1160&lt;&gt;"TXO"),L1160,"")</f>
        <v/>
      </c>
    </row>
    <row r="1161" hidden="1" outlineLevel="2" ht="17.25" customHeight="1" thickBot="1">
      <c r="A1161" s="696" t="n">
        <v>43384</v>
      </c>
      <c r="B1161" s="234" t="inlineStr">
        <is>
          <t>FIMTX</t>
        </is>
      </c>
      <c r="C1161" s="229" t="inlineStr">
        <is>
          <t>小指10</t>
        </is>
      </c>
      <c r="D1161" s="229" t="inlineStr">
        <is>
          <t>平倉</t>
        </is>
      </c>
      <c r="E1161" s="257" t="inlineStr">
        <is>
          <t>買</t>
        </is>
      </c>
      <c r="F1161" s="229" t="inlineStr">
        <is>
          <t>-</t>
        </is>
      </c>
      <c r="G1161" s="697" t="n">
        <v>1</v>
      </c>
      <c r="H1161" s="697" t="n">
        <v>9678</v>
      </c>
      <c r="I1161" s="697" t="n">
        <v>0</v>
      </c>
      <c r="J1161" s="585" t="n">
        <v>23</v>
      </c>
      <c r="K1161" s="585" t="n">
        <v>10</v>
      </c>
      <c r="L1161" s="585">
        <f>IF(B1161="TXO",I1161-SUM(J1161:K1161),IF(B1161="FITX",IF(D1161="新倉",-SUM(J1161:K1161),IF(E1161="賣",(H1161-H1160)*G1161*200-SUM(J1161:K1161),(H1160-H1161)*G1161*200-SUM(J1161:K1161))),IF(D1161="新倉",-SUM(J1161:K1161),IF(E1161="賣",(H1161-H1160)*G1161*50-SUM(J1161:K1161),(H1160-H1161)*G1161*50-SUM(J1161:K1161)))))</f>
        <v/>
      </c>
      <c r="M1161" s="699">
        <f>L1161</f>
        <v/>
      </c>
      <c r="N1161" s="686">
        <f>IF(B1161="TXO","",IF(D1161="新倉","",IF(E1161="賣",(H1161-H1160)*G1161,(H1160-H1161)*G1161)))</f>
        <v/>
      </c>
      <c r="O1161" s="226">
        <f>ABS(I1161)</f>
        <v/>
      </c>
      <c r="P1161" s="667" t="n"/>
      <c r="S1161" s="249" t="inlineStr">
        <is>
          <t>Yes</t>
        </is>
      </c>
      <c r="T1161" s="61">
        <f>IF(AND(R1161="Yes",S1161&lt;&gt;"Yes",L1161&gt;0,B1161&lt;&gt;"TXO"),L1161,"")</f>
        <v/>
      </c>
      <c r="U1161" s="61">
        <f>IF(AND(R1161="Yes",S1161&lt;&gt;"Yes",L1161&lt;0,B1161&lt;&gt;"TXO"),L1161,"")</f>
        <v/>
      </c>
      <c r="V1161" s="61">
        <f>IF(AND(R1161="",S1161&lt;&gt;"Yes",L1161&gt;0,B1161&lt;&gt;"TXO"),L1161,"")</f>
        <v/>
      </c>
      <c r="W1161" s="61">
        <f>IF(AND(R1161="",S1161&lt;&gt;"Yes",L1161&lt;0,B1161&lt;&gt;"TXO"),L1161,"")</f>
        <v/>
      </c>
      <c r="X1161" s="226">
        <f>IF(AND(R1161="Yes",S1161="Yes",L1161&gt;0,B1161&lt;&gt;"TXO"),L1161,"")</f>
        <v/>
      </c>
      <c r="Y1161" s="226">
        <f>IF(AND(R1161="Yes",S1161="Yes",L1161&lt;0,B1161&lt;&gt;"TXO"),L1161,"")</f>
        <v/>
      </c>
      <c r="Z1161" s="226">
        <f>IF(AND(R1161="",S1161="Yes",L1161&gt;0,B1161&lt;&gt;"TXO"),L1161,"")</f>
        <v/>
      </c>
      <c r="AA1161" s="226">
        <f>IF(AND(R1161="",S1161="Yes",L1161&lt;0,B1161&lt;&gt;"TXO"),L1161,"")</f>
        <v/>
      </c>
    </row>
    <row r="1162" hidden="1" outlineLevel="2" ht="17.25" customHeight="1" thickBot="1">
      <c r="A1162" s="696" t="n">
        <v>43384</v>
      </c>
      <c r="B1162" s="234" t="inlineStr">
        <is>
          <t>FIMTX</t>
        </is>
      </c>
      <c r="C1162" s="229" t="inlineStr">
        <is>
          <t>小指10</t>
        </is>
      </c>
      <c r="D1162" s="229" t="inlineStr">
        <is>
          <t>新倉</t>
        </is>
      </c>
      <c r="E1162" s="257" t="inlineStr">
        <is>
          <t>賣</t>
        </is>
      </c>
      <c r="F1162" s="229" t="inlineStr">
        <is>
          <t>-</t>
        </is>
      </c>
      <c r="G1162" s="697" t="n">
        <v>1</v>
      </c>
      <c r="H1162" s="697" t="n">
        <v>9680</v>
      </c>
      <c r="I1162" s="697" t="n">
        <v>0</v>
      </c>
      <c r="J1162" s="585" t="n">
        <v>23</v>
      </c>
      <c r="K1162" s="585" t="n">
        <v>10</v>
      </c>
      <c r="L1162" s="585">
        <f>IF(B1162="TXO",I1162-SUM(J1162:K1162),IF(B1162="FITX",IF(D1162="新倉",-SUM(J1162:K1162),IF(E1162="賣",(H1162-H1161)*G1162*200-SUM(J1162:K1162),(H1161-H1162)*G1162*200-SUM(J1162:K1162))),IF(D1162="新倉",-SUM(J1162:K1162),IF(E1162="賣",(H1162-H1161)*G1162*50-SUM(J1162:K1162),(H1161-H1162)*G1162*50-SUM(J1162:K1162)))))</f>
        <v/>
      </c>
      <c r="M1162" s="699">
        <f>L1162</f>
        <v/>
      </c>
      <c r="N1162" s="686">
        <f>IF(B1162="TXO","",IF(D1162="新倉","",IF(E1162="賣",(H1162-H1161)*G1162,(H1161-H1162)*G1162)))</f>
        <v/>
      </c>
      <c r="O1162" s="226">
        <f>ABS(I1162)</f>
        <v/>
      </c>
      <c r="P1162" s="667" t="n"/>
      <c r="S1162" s="249" t="inlineStr">
        <is>
          <t>Yes</t>
        </is>
      </c>
      <c r="T1162" s="61">
        <f>IF(AND(R1162="Yes",S1162&lt;&gt;"Yes",L1162&gt;0,B1162&lt;&gt;"TXO"),L1162,"")</f>
        <v/>
      </c>
      <c r="U1162" s="61">
        <f>IF(AND(R1162="Yes",S1162&lt;&gt;"Yes",L1162&lt;0,B1162&lt;&gt;"TXO"),L1162,"")</f>
        <v/>
      </c>
      <c r="V1162" s="61">
        <f>IF(AND(R1162="",S1162&lt;&gt;"Yes",L1162&gt;0,B1162&lt;&gt;"TXO"),L1162,"")</f>
        <v/>
      </c>
      <c r="W1162" s="61">
        <f>IF(AND(R1162="",S1162&lt;&gt;"Yes",L1162&lt;0,B1162&lt;&gt;"TXO"),L1162,"")</f>
        <v/>
      </c>
      <c r="X1162" s="226">
        <f>IF(AND(R1162="Yes",S1162="Yes",L1162&gt;0,B1162&lt;&gt;"TXO"),L1162,"")</f>
        <v/>
      </c>
      <c r="Y1162" s="226">
        <f>IF(AND(R1162="Yes",S1162="Yes",L1162&lt;0,B1162&lt;&gt;"TXO"),L1162,"")</f>
        <v/>
      </c>
      <c r="Z1162" s="226">
        <f>IF(AND(R1162="",S1162="Yes",L1162&gt;0,B1162&lt;&gt;"TXO"),L1162,"")</f>
        <v/>
      </c>
      <c r="AA1162" s="226">
        <f>IF(AND(R1162="",S1162="Yes",L1162&lt;0,B1162&lt;&gt;"TXO"),L1162,"")</f>
        <v/>
      </c>
    </row>
    <row r="1163" hidden="1" outlineLevel="2" ht="17.25" customHeight="1" thickBot="1">
      <c r="A1163" s="696" t="n">
        <v>43384</v>
      </c>
      <c r="B1163" s="234" t="inlineStr">
        <is>
          <t>FIMTX</t>
        </is>
      </c>
      <c r="C1163" s="229" t="inlineStr">
        <is>
          <t>小指10</t>
        </is>
      </c>
      <c r="D1163" s="229" t="inlineStr">
        <is>
          <t>平倉</t>
        </is>
      </c>
      <c r="E1163" s="257" t="inlineStr">
        <is>
          <t>買</t>
        </is>
      </c>
      <c r="F1163" s="229" t="inlineStr">
        <is>
          <t>-</t>
        </is>
      </c>
      <c r="G1163" s="697" t="n">
        <v>1</v>
      </c>
      <c r="H1163" s="697" t="n">
        <v>9670</v>
      </c>
      <c r="I1163" s="697" t="n">
        <v>0</v>
      </c>
      <c r="J1163" s="585" t="n">
        <v>23</v>
      </c>
      <c r="K1163" s="585" t="n">
        <v>10</v>
      </c>
      <c r="L1163" s="585">
        <f>IF(B1163="TXO",I1163-SUM(J1163:K1163),IF(B1163="FITX",IF(D1163="新倉",-SUM(J1163:K1163),IF(E1163="賣",(H1163-H1162)*G1163*200-SUM(J1163:K1163),(H1162-H1163)*G1163*200-SUM(J1163:K1163))),IF(D1163="新倉",-SUM(J1163:K1163),IF(E1163="賣",(H1163-H1162)*G1163*50-SUM(J1163:K1163),(H1162-H1163)*G1163*50-SUM(J1163:K1163)))))</f>
        <v/>
      </c>
      <c r="M1163" s="699">
        <f>L1163</f>
        <v/>
      </c>
      <c r="N1163" s="686">
        <f>IF(B1163="TXO","",IF(D1163="新倉","",IF(E1163="賣",(H1163-H1162)*G1163,(H1162-H1163)*G1163)))</f>
        <v/>
      </c>
      <c r="O1163" s="226">
        <f>ABS(I1163)</f>
        <v/>
      </c>
      <c r="P1163" s="667" t="n"/>
      <c r="S1163" s="249" t="inlineStr">
        <is>
          <t>Yes</t>
        </is>
      </c>
      <c r="T1163" s="61">
        <f>IF(AND(R1163="Yes",S1163&lt;&gt;"Yes",L1163&gt;0,B1163&lt;&gt;"TXO"),L1163,"")</f>
        <v/>
      </c>
      <c r="U1163" s="61">
        <f>IF(AND(R1163="Yes",S1163&lt;&gt;"Yes",L1163&lt;0,B1163&lt;&gt;"TXO"),L1163,"")</f>
        <v/>
      </c>
      <c r="V1163" s="61">
        <f>IF(AND(R1163="",S1163&lt;&gt;"Yes",L1163&gt;0,B1163&lt;&gt;"TXO"),L1163,"")</f>
        <v/>
      </c>
      <c r="W1163" s="61">
        <f>IF(AND(R1163="",S1163&lt;&gt;"Yes",L1163&lt;0,B1163&lt;&gt;"TXO"),L1163,"")</f>
        <v/>
      </c>
      <c r="X1163" s="226">
        <f>IF(AND(R1163="Yes",S1163="Yes",L1163&gt;0,B1163&lt;&gt;"TXO"),L1163,"")</f>
        <v/>
      </c>
      <c r="Y1163" s="226">
        <f>IF(AND(R1163="Yes",S1163="Yes",L1163&lt;0,B1163&lt;&gt;"TXO"),L1163,"")</f>
        <v/>
      </c>
      <c r="Z1163" s="226">
        <f>IF(AND(R1163="",S1163="Yes",L1163&gt;0,B1163&lt;&gt;"TXO"),L1163,"")</f>
        <v/>
      </c>
      <c r="AA1163" s="226">
        <f>IF(AND(R1163="",S1163="Yes",L1163&lt;0,B1163&lt;&gt;"TXO"),L1163,"")</f>
        <v/>
      </c>
    </row>
    <row r="1164" hidden="1" outlineLevel="2" ht="17.25" customHeight="1" thickBot="1">
      <c r="A1164" s="696" t="n">
        <v>43384</v>
      </c>
      <c r="B1164" s="234" t="inlineStr">
        <is>
          <t>FIMTX</t>
        </is>
      </c>
      <c r="C1164" s="229" t="inlineStr">
        <is>
          <t>小指10</t>
        </is>
      </c>
      <c r="D1164" s="229" t="inlineStr">
        <is>
          <t>新倉</t>
        </is>
      </c>
      <c r="E1164" s="257" t="inlineStr">
        <is>
          <t>賣</t>
        </is>
      </c>
      <c r="F1164" s="229" t="inlineStr">
        <is>
          <t>-</t>
        </is>
      </c>
      <c r="G1164" s="697" t="n">
        <v>1</v>
      </c>
      <c r="H1164" s="697" t="n">
        <v>9680</v>
      </c>
      <c r="I1164" s="697" t="n">
        <v>0</v>
      </c>
      <c r="J1164" s="585" t="n">
        <v>23</v>
      </c>
      <c r="K1164" s="585" t="n">
        <v>10</v>
      </c>
      <c r="L1164" s="585">
        <f>IF(B1164="TXO",I1164-SUM(J1164:K1164),IF(B1164="FITX",IF(D1164="新倉",-SUM(J1164:K1164),IF(E1164="賣",(H1164-H1163)*G1164*200-SUM(J1164:K1164),(H1163-H1164)*G1164*200-SUM(J1164:K1164))),IF(D1164="新倉",-SUM(J1164:K1164),IF(E1164="賣",(H1164-H1163)*G1164*50-SUM(J1164:K1164),(H1163-H1164)*G1164*50-SUM(J1164:K1164)))))</f>
        <v/>
      </c>
      <c r="M1164" s="699">
        <f>L1164</f>
        <v/>
      </c>
      <c r="N1164" s="686">
        <f>IF(B1164="TXO","",IF(D1164="新倉","",IF(E1164="賣",(H1164-H1163)*G1164,(H1163-H1164)*G1164)))</f>
        <v/>
      </c>
      <c r="O1164" s="226">
        <f>ABS(I1164)</f>
        <v/>
      </c>
      <c r="P1164" s="667" t="n"/>
      <c r="S1164" s="249" t="inlineStr">
        <is>
          <t>Yes</t>
        </is>
      </c>
      <c r="T1164" s="61">
        <f>IF(AND(R1164="Yes",S1164&lt;&gt;"Yes",L1164&gt;0,B1164&lt;&gt;"TXO"),L1164,"")</f>
        <v/>
      </c>
      <c r="U1164" s="61">
        <f>IF(AND(R1164="Yes",S1164&lt;&gt;"Yes",L1164&lt;0,B1164&lt;&gt;"TXO"),L1164,"")</f>
        <v/>
      </c>
      <c r="V1164" s="61">
        <f>IF(AND(R1164="",S1164&lt;&gt;"Yes",L1164&gt;0,B1164&lt;&gt;"TXO"),L1164,"")</f>
        <v/>
      </c>
      <c r="W1164" s="61">
        <f>IF(AND(R1164="",S1164&lt;&gt;"Yes",L1164&lt;0,B1164&lt;&gt;"TXO"),L1164,"")</f>
        <v/>
      </c>
      <c r="X1164" s="226">
        <f>IF(AND(R1164="Yes",S1164="Yes",L1164&gt;0,B1164&lt;&gt;"TXO"),L1164,"")</f>
        <v/>
      </c>
      <c r="Y1164" s="226">
        <f>IF(AND(R1164="Yes",S1164="Yes",L1164&lt;0,B1164&lt;&gt;"TXO"),L1164,"")</f>
        <v/>
      </c>
      <c r="Z1164" s="226">
        <f>IF(AND(R1164="",S1164="Yes",L1164&gt;0,B1164&lt;&gt;"TXO"),L1164,"")</f>
        <v/>
      </c>
      <c r="AA1164" s="226">
        <f>IF(AND(R1164="",S1164="Yes",L1164&lt;0,B1164&lt;&gt;"TXO"),L1164,"")</f>
        <v/>
      </c>
    </row>
    <row r="1165" hidden="1" outlineLevel="2" ht="17.25" customHeight="1" thickBot="1">
      <c r="A1165" s="696" t="n">
        <v>43384</v>
      </c>
      <c r="B1165" s="234" t="inlineStr">
        <is>
          <t>FIMTX</t>
        </is>
      </c>
      <c r="C1165" s="229" t="inlineStr">
        <is>
          <t>小指10</t>
        </is>
      </c>
      <c r="D1165" s="229" t="inlineStr">
        <is>
          <t>平倉</t>
        </is>
      </c>
      <c r="E1165" s="257" t="inlineStr">
        <is>
          <t>買</t>
        </is>
      </c>
      <c r="F1165" s="229" t="inlineStr">
        <is>
          <t>-</t>
        </is>
      </c>
      <c r="G1165" s="697" t="n">
        <v>1</v>
      </c>
      <c r="H1165" s="697" t="n">
        <v>9720</v>
      </c>
      <c r="I1165" s="697" t="n">
        <v>0</v>
      </c>
      <c r="J1165" s="585" t="n">
        <v>23</v>
      </c>
      <c r="K1165" s="585" t="n">
        <v>10</v>
      </c>
      <c r="L1165" s="585">
        <f>IF(B1165="TXO",I1165-SUM(J1165:K1165),IF(B1165="FITX",IF(D1165="新倉",-SUM(J1165:K1165),IF(E1165="賣",(H1165-H1164)*G1165*200-SUM(J1165:K1165),(H1164-H1165)*G1165*200-SUM(J1165:K1165))),IF(D1165="新倉",-SUM(J1165:K1165),IF(E1165="賣",(H1165-H1164)*G1165*50-SUM(J1165:K1165),(H1164-H1165)*G1165*50-SUM(J1165:K1165)))))</f>
        <v/>
      </c>
      <c r="M1165" s="699">
        <f>L1165</f>
        <v/>
      </c>
      <c r="N1165" s="686">
        <f>IF(B1165="TXO","",IF(D1165="新倉","",IF(E1165="賣",(H1165-H1164)*G1165,(H1164-H1165)*G1165)))</f>
        <v/>
      </c>
      <c r="O1165" s="226">
        <f>ABS(I1165)</f>
        <v/>
      </c>
      <c r="P1165" s="667" t="n"/>
      <c r="S1165" s="249" t="inlineStr">
        <is>
          <t>Yes</t>
        </is>
      </c>
      <c r="T1165" s="61">
        <f>IF(AND(R1165="Yes",S1165&lt;&gt;"Yes",L1165&gt;0,B1165&lt;&gt;"TXO"),L1165,"")</f>
        <v/>
      </c>
      <c r="U1165" s="61">
        <f>IF(AND(R1165="Yes",S1165&lt;&gt;"Yes",L1165&lt;0,B1165&lt;&gt;"TXO"),L1165,"")</f>
        <v/>
      </c>
      <c r="V1165" s="61">
        <f>IF(AND(R1165="",S1165&lt;&gt;"Yes",L1165&gt;0,B1165&lt;&gt;"TXO"),L1165,"")</f>
        <v/>
      </c>
      <c r="W1165" s="61">
        <f>IF(AND(R1165="",S1165&lt;&gt;"Yes",L1165&lt;0,B1165&lt;&gt;"TXO"),L1165,"")</f>
        <v/>
      </c>
      <c r="X1165" s="226">
        <f>IF(AND(R1165="Yes",S1165="Yes",L1165&gt;0,B1165&lt;&gt;"TXO"),L1165,"")</f>
        <v/>
      </c>
      <c r="Y1165" s="226">
        <f>IF(AND(R1165="Yes",S1165="Yes",L1165&lt;0,B1165&lt;&gt;"TXO"),L1165,"")</f>
        <v/>
      </c>
      <c r="Z1165" s="226">
        <f>IF(AND(R1165="",S1165="Yes",L1165&gt;0,B1165&lt;&gt;"TXO"),L1165,"")</f>
        <v/>
      </c>
      <c r="AA1165" s="226">
        <f>IF(AND(R1165="",S1165="Yes",L1165&lt;0,B1165&lt;&gt;"TXO"),L1165,"")</f>
        <v/>
      </c>
    </row>
    <row r="1166" hidden="1" outlineLevel="2" ht="17.25" customHeight="1" thickBot="1">
      <c r="A1166" s="696" t="n">
        <v>43384</v>
      </c>
      <c r="B1166" s="234" t="inlineStr">
        <is>
          <t>FIMTX</t>
        </is>
      </c>
      <c r="C1166" s="229" t="inlineStr">
        <is>
          <t>小指10</t>
        </is>
      </c>
      <c r="D1166" s="229" t="inlineStr">
        <is>
          <t>新倉</t>
        </is>
      </c>
      <c r="E1166" s="257" t="inlineStr">
        <is>
          <t>賣</t>
        </is>
      </c>
      <c r="F1166" s="229" t="inlineStr">
        <is>
          <t>-</t>
        </is>
      </c>
      <c r="G1166" s="697" t="n">
        <v>1</v>
      </c>
      <c r="H1166" s="697" t="n">
        <v>9726</v>
      </c>
      <c r="I1166" s="697" t="n">
        <v>0</v>
      </c>
      <c r="J1166" s="585" t="n">
        <v>23</v>
      </c>
      <c r="K1166" s="585" t="n">
        <v>10</v>
      </c>
      <c r="L1166" s="585">
        <f>IF(B1166="TXO",I1166-SUM(J1166:K1166),IF(B1166="FITX",IF(D1166="新倉",-SUM(J1166:K1166),IF(E1166="賣",(H1166-H1165)*G1166*200-SUM(J1166:K1166),(H1165-H1166)*G1166*200-SUM(J1166:K1166))),IF(D1166="新倉",-SUM(J1166:K1166),IF(E1166="賣",(H1166-H1165)*G1166*50-SUM(J1166:K1166),(H1165-H1166)*G1166*50-SUM(J1166:K1166)))))</f>
        <v/>
      </c>
      <c r="M1166" s="699">
        <f>L1166</f>
        <v/>
      </c>
      <c r="N1166" s="686">
        <f>IF(B1166="TXO","",IF(D1166="新倉","",IF(E1166="賣",(H1166-H1165)*G1166,(H1165-H1166)*G1166)))</f>
        <v/>
      </c>
      <c r="O1166" s="226">
        <f>ABS(I1166)</f>
        <v/>
      </c>
      <c r="P1166" s="667" t="n"/>
      <c r="S1166" s="249" t="inlineStr">
        <is>
          <t>Yes</t>
        </is>
      </c>
      <c r="T1166" s="61">
        <f>IF(AND(R1166="Yes",S1166&lt;&gt;"Yes",L1166&gt;0,B1166&lt;&gt;"TXO"),L1166,"")</f>
        <v/>
      </c>
      <c r="U1166" s="61">
        <f>IF(AND(R1166="Yes",S1166&lt;&gt;"Yes",L1166&lt;0,B1166&lt;&gt;"TXO"),L1166,"")</f>
        <v/>
      </c>
      <c r="V1166" s="61">
        <f>IF(AND(R1166="",S1166&lt;&gt;"Yes",L1166&gt;0,B1166&lt;&gt;"TXO"),L1166,"")</f>
        <v/>
      </c>
      <c r="W1166" s="61">
        <f>IF(AND(R1166="",S1166&lt;&gt;"Yes",L1166&lt;0,B1166&lt;&gt;"TXO"),L1166,"")</f>
        <v/>
      </c>
      <c r="X1166" s="226">
        <f>IF(AND(R1166="Yes",S1166="Yes",L1166&gt;0,B1166&lt;&gt;"TXO"),L1166,"")</f>
        <v/>
      </c>
      <c r="Y1166" s="226">
        <f>IF(AND(R1166="Yes",S1166="Yes",L1166&lt;0,B1166&lt;&gt;"TXO"),L1166,"")</f>
        <v/>
      </c>
      <c r="Z1166" s="226">
        <f>IF(AND(R1166="",S1166="Yes",L1166&gt;0,B1166&lt;&gt;"TXO"),L1166,"")</f>
        <v/>
      </c>
      <c r="AA1166" s="226">
        <f>IF(AND(R1166="",S1166="Yes",L1166&lt;0,B1166&lt;&gt;"TXO"),L1166,"")</f>
        <v/>
      </c>
    </row>
    <row r="1167" hidden="1" outlineLevel="2" ht="17.25" customHeight="1" thickBot="1">
      <c r="A1167" s="696" t="n">
        <v>43384</v>
      </c>
      <c r="B1167" s="234" t="inlineStr">
        <is>
          <t>FIMTX</t>
        </is>
      </c>
      <c r="C1167" s="229" t="inlineStr">
        <is>
          <t>小指10</t>
        </is>
      </c>
      <c r="D1167" s="229" t="inlineStr">
        <is>
          <t>平倉</t>
        </is>
      </c>
      <c r="E1167" s="257" t="inlineStr">
        <is>
          <t>買</t>
        </is>
      </c>
      <c r="F1167" s="229" t="inlineStr">
        <is>
          <t>-</t>
        </is>
      </c>
      <c r="G1167" s="697" t="n">
        <v>1</v>
      </c>
      <c r="H1167" s="697" t="n">
        <v>9736</v>
      </c>
      <c r="I1167" s="697" t="n">
        <v>0</v>
      </c>
      <c r="J1167" s="585" t="n">
        <v>23</v>
      </c>
      <c r="K1167" s="585" t="n">
        <v>10</v>
      </c>
      <c r="L1167" s="585">
        <f>IF(B1167="TXO",I1167-SUM(J1167:K1167),IF(B1167="FITX",IF(D1167="新倉",-SUM(J1167:K1167),IF(E1167="賣",(H1167-H1166)*G1167*200-SUM(J1167:K1167),(H1166-H1167)*G1167*200-SUM(J1167:K1167))),IF(D1167="新倉",-SUM(J1167:K1167),IF(E1167="賣",(H1167-H1166)*G1167*50-SUM(J1167:K1167),(H1166-H1167)*G1167*50-SUM(J1167:K1167)))))</f>
        <v/>
      </c>
      <c r="M1167" s="699">
        <f>L1167</f>
        <v/>
      </c>
      <c r="N1167" s="686">
        <f>IF(B1167="TXO","",IF(D1167="新倉","",IF(E1167="賣",(H1167-H1166)*G1167,(H1166-H1167)*G1167)))</f>
        <v/>
      </c>
      <c r="O1167" s="226">
        <f>ABS(I1167)</f>
        <v/>
      </c>
      <c r="P1167" s="667" t="n"/>
      <c r="S1167" s="249" t="inlineStr">
        <is>
          <t>Yes</t>
        </is>
      </c>
      <c r="T1167" s="61">
        <f>IF(AND(R1167="Yes",S1167&lt;&gt;"Yes",L1167&gt;0,B1167&lt;&gt;"TXO"),L1167,"")</f>
        <v/>
      </c>
      <c r="U1167" s="61">
        <f>IF(AND(R1167="Yes",S1167&lt;&gt;"Yes",L1167&lt;0,B1167&lt;&gt;"TXO"),L1167,"")</f>
        <v/>
      </c>
      <c r="V1167" s="61">
        <f>IF(AND(R1167="",S1167&lt;&gt;"Yes",L1167&gt;0,B1167&lt;&gt;"TXO"),L1167,"")</f>
        <v/>
      </c>
      <c r="W1167" s="61">
        <f>IF(AND(R1167="",S1167&lt;&gt;"Yes",L1167&lt;0,B1167&lt;&gt;"TXO"),L1167,"")</f>
        <v/>
      </c>
      <c r="X1167" s="226">
        <f>IF(AND(R1167="Yes",S1167="Yes",L1167&gt;0,B1167&lt;&gt;"TXO"),L1167,"")</f>
        <v/>
      </c>
      <c r="Y1167" s="226">
        <f>IF(AND(R1167="Yes",S1167="Yes",L1167&lt;0,B1167&lt;&gt;"TXO"),L1167,"")</f>
        <v/>
      </c>
      <c r="Z1167" s="226">
        <f>IF(AND(R1167="",S1167="Yes",L1167&gt;0,B1167&lt;&gt;"TXO"),L1167,"")</f>
        <v/>
      </c>
      <c r="AA1167" s="226">
        <f>IF(AND(R1167="",S1167="Yes",L1167&lt;0,B1167&lt;&gt;"TXO"),L1167,"")</f>
        <v/>
      </c>
    </row>
    <row r="1168" hidden="1" outlineLevel="2" ht="17.25" customHeight="1" thickBot="1">
      <c r="A1168" s="696" t="n">
        <v>43384</v>
      </c>
      <c r="B1168" s="234" t="inlineStr">
        <is>
          <t>FIMTX</t>
        </is>
      </c>
      <c r="C1168" s="229" t="inlineStr">
        <is>
          <t>小指10</t>
        </is>
      </c>
      <c r="D1168" s="229" t="inlineStr">
        <is>
          <t>新倉</t>
        </is>
      </c>
      <c r="E1168" s="257" t="inlineStr">
        <is>
          <t>賣</t>
        </is>
      </c>
      <c r="F1168" s="229" t="inlineStr">
        <is>
          <t>-</t>
        </is>
      </c>
      <c r="G1168" s="697" t="n">
        <v>1</v>
      </c>
      <c r="H1168" s="697" t="n">
        <v>9676</v>
      </c>
      <c r="I1168" s="697" t="n">
        <v>0</v>
      </c>
      <c r="J1168" s="585" t="n">
        <v>23</v>
      </c>
      <c r="K1168" s="585" t="n">
        <v>10</v>
      </c>
      <c r="L1168" s="585">
        <f>IF(B1168="TXO",I1168-SUM(J1168:K1168),IF(B1168="FITX",IF(D1168="新倉",-SUM(J1168:K1168),IF(E1168="賣",(H1168-H1167)*G1168*200-SUM(J1168:K1168),(H1167-H1168)*G1168*200-SUM(J1168:K1168))),IF(D1168="新倉",-SUM(J1168:K1168),IF(E1168="賣",(H1168-H1167)*G1168*50-SUM(J1168:K1168),(H1167-H1168)*G1168*50-SUM(J1168:K1168)))))</f>
        <v/>
      </c>
      <c r="M1168" s="699">
        <f>L1168</f>
        <v/>
      </c>
      <c r="N1168" s="686">
        <f>IF(B1168="TXO","",IF(D1168="新倉","",IF(E1168="賣",(H1168-H1167)*G1168,(H1167-H1168)*G1168)))</f>
        <v/>
      </c>
      <c r="O1168" s="226">
        <f>ABS(I1168)</f>
        <v/>
      </c>
      <c r="P1168" s="667" t="n"/>
      <c r="S1168" s="249" t="inlineStr">
        <is>
          <t>Yes</t>
        </is>
      </c>
      <c r="T1168" s="61">
        <f>IF(AND(R1168="Yes",S1168&lt;&gt;"Yes",L1168&gt;0,B1168&lt;&gt;"TXO"),L1168,"")</f>
        <v/>
      </c>
      <c r="U1168" s="61">
        <f>IF(AND(R1168="Yes",S1168&lt;&gt;"Yes",L1168&lt;0,B1168&lt;&gt;"TXO"),L1168,"")</f>
        <v/>
      </c>
      <c r="V1168" s="61">
        <f>IF(AND(R1168="",S1168&lt;&gt;"Yes",L1168&gt;0,B1168&lt;&gt;"TXO"),L1168,"")</f>
        <v/>
      </c>
      <c r="W1168" s="61">
        <f>IF(AND(R1168="",S1168&lt;&gt;"Yes",L1168&lt;0,B1168&lt;&gt;"TXO"),L1168,"")</f>
        <v/>
      </c>
      <c r="X1168" s="226">
        <f>IF(AND(R1168="Yes",S1168="Yes",L1168&gt;0,B1168&lt;&gt;"TXO"),L1168,"")</f>
        <v/>
      </c>
      <c r="Y1168" s="226">
        <f>IF(AND(R1168="Yes",S1168="Yes",L1168&lt;0,B1168&lt;&gt;"TXO"),L1168,"")</f>
        <v/>
      </c>
      <c r="Z1168" s="226">
        <f>IF(AND(R1168="",S1168="Yes",L1168&gt;0,B1168&lt;&gt;"TXO"),L1168,"")</f>
        <v/>
      </c>
      <c r="AA1168" s="226">
        <f>IF(AND(R1168="",S1168="Yes",L1168&lt;0,B1168&lt;&gt;"TXO"),L1168,"")</f>
        <v/>
      </c>
    </row>
    <row r="1169" hidden="1" outlineLevel="2" ht="17.25" customHeight="1" thickBot="1">
      <c r="A1169" s="696" t="n">
        <v>43385</v>
      </c>
      <c r="B1169" s="234" t="inlineStr">
        <is>
          <t>FIMTX</t>
        </is>
      </c>
      <c r="C1169" s="229" t="inlineStr">
        <is>
          <t>小指10</t>
        </is>
      </c>
      <c r="D1169" s="229" t="inlineStr">
        <is>
          <t>平倉</t>
        </is>
      </c>
      <c r="E1169" s="257" t="inlineStr">
        <is>
          <t>買</t>
        </is>
      </c>
      <c r="F1169" s="229" t="inlineStr">
        <is>
          <t>-</t>
        </is>
      </c>
      <c r="G1169" s="697" t="n">
        <v>1</v>
      </c>
      <c r="H1169" s="697" t="n">
        <v>9813</v>
      </c>
      <c r="I1169" s="697" t="n">
        <v>0</v>
      </c>
      <c r="J1169" s="585" t="n">
        <v>23</v>
      </c>
      <c r="K1169" s="585" t="n">
        <v>10</v>
      </c>
      <c r="L1169" s="585">
        <f>IF(B1169="TXO",I1169-SUM(J1169:K1169),IF(B1169="FITX",IF(D1169="新倉",-SUM(J1169:K1169),IF(E1169="賣",(H1169-H1168)*G1169*200-SUM(J1169:K1169),(H1168-H1169)*G1169*200-SUM(J1169:K1169))),IF(D1169="新倉",-SUM(J1169:K1169),IF(E1169="賣",(H1169-H1168)*G1169*50-SUM(J1169:K1169),(H1168-H1169)*G1169*50-SUM(J1169:K1169)))))</f>
        <v/>
      </c>
      <c r="M1169" s="699">
        <f>L1169</f>
        <v/>
      </c>
      <c r="N1169" s="686">
        <f>IF(B1169="TXO","",IF(D1169="新倉","",IF(E1169="賣",(H1169-H1168)*G1169,(H1168-H1169)*G1169)))</f>
        <v/>
      </c>
      <c r="O1169" s="226">
        <f>ABS(I1169)</f>
        <v/>
      </c>
      <c r="P1169" s="667" t="n"/>
      <c r="S1169" s="249" t="inlineStr">
        <is>
          <t>Yes</t>
        </is>
      </c>
      <c r="T1169" s="61">
        <f>IF(AND(R1169="Yes",S1169&lt;&gt;"Yes",L1169&gt;0,B1169&lt;&gt;"TXO"),L1169,"")</f>
        <v/>
      </c>
      <c r="U1169" s="61">
        <f>IF(AND(R1169="Yes",S1169&lt;&gt;"Yes",L1169&lt;0,B1169&lt;&gt;"TXO"),L1169,"")</f>
        <v/>
      </c>
      <c r="V1169" s="61">
        <f>IF(AND(R1169="",S1169&lt;&gt;"Yes",L1169&gt;0,B1169&lt;&gt;"TXO"),L1169,"")</f>
        <v/>
      </c>
      <c r="W1169" s="61">
        <f>IF(AND(R1169="",S1169&lt;&gt;"Yes",L1169&lt;0,B1169&lt;&gt;"TXO"),L1169,"")</f>
        <v/>
      </c>
      <c r="X1169" s="226">
        <f>IF(AND(R1169="Yes",S1169="Yes",L1169&gt;0,B1169&lt;&gt;"TXO"),L1169,"")</f>
        <v/>
      </c>
      <c r="Y1169" s="226">
        <f>IF(AND(R1169="Yes",S1169="Yes",L1169&lt;0,B1169&lt;&gt;"TXO"),L1169,"")</f>
        <v/>
      </c>
      <c r="Z1169" s="226">
        <f>IF(AND(R1169="",S1169="Yes",L1169&gt;0,B1169&lt;&gt;"TXO"),L1169,"")</f>
        <v/>
      </c>
      <c r="AA1169" s="226">
        <f>IF(AND(R1169="",S1169="Yes",L1169&lt;0,B1169&lt;&gt;"TXO"),L1169,"")</f>
        <v/>
      </c>
    </row>
    <row r="1170" hidden="1" outlineLevel="2" ht="17.25" customHeight="1" thickBot="1">
      <c r="A1170" s="696" t="n">
        <v>43384</v>
      </c>
      <c r="B1170" s="234" t="inlineStr">
        <is>
          <t>FIMTX</t>
        </is>
      </c>
      <c r="C1170" s="229" t="inlineStr">
        <is>
          <t>小指10</t>
        </is>
      </c>
      <c r="D1170" s="229" t="inlineStr">
        <is>
          <t>新倉</t>
        </is>
      </c>
      <c r="E1170" s="257" t="inlineStr">
        <is>
          <t>買</t>
        </is>
      </c>
      <c r="F1170" s="229" t="inlineStr">
        <is>
          <t>-</t>
        </is>
      </c>
      <c r="G1170" s="697" t="n">
        <v>1</v>
      </c>
      <c r="H1170" s="697" t="n">
        <v>9742</v>
      </c>
      <c r="I1170" s="697" t="n">
        <v>0</v>
      </c>
      <c r="J1170" s="585" t="n">
        <v>18</v>
      </c>
      <c r="K1170" s="585" t="n">
        <v>10</v>
      </c>
      <c r="L1170" s="585">
        <f>IF(B1170="TXO",I1170-SUM(J1170:K1170),IF(B1170="FITX",IF(D1170="新倉",-SUM(J1170:K1170),IF(E1170="賣",(H1170-H1169)*G1170*200-SUM(J1170:K1170),(H1169-H1170)*G1170*200-SUM(J1170:K1170))),IF(D1170="新倉",-SUM(J1170:K1170),IF(E1170="賣",(H1170-H1169)*G1170*50-SUM(J1170:K1170),(H1169-H1170)*G1170*50-SUM(J1170:K1170)))))</f>
        <v/>
      </c>
      <c r="M1170" s="699">
        <f>L1170</f>
        <v/>
      </c>
      <c r="N1170" s="686">
        <f>IF(B1170="TXO","",IF(D1170="新倉","",IF(E1170="賣",(H1170-H1169)*G1170,(H1169-H1170)*G1170)))</f>
        <v/>
      </c>
      <c r="O1170" s="226">
        <f>ABS(I1170)</f>
        <v/>
      </c>
      <c r="P1170" s="667">
        <f>SUM(L1170:L1201)</f>
        <v/>
      </c>
      <c r="S1170" s="249" t="inlineStr">
        <is>
          <t>Yes</t>
        </is>
      </c>
      <c r="T1170" s="61">
        <f>IF(AND(R1170="Yes",S1170&lt;&gt;"Yes",L1170&gt;0,B1170&lt;&gt;"TXO"),L1170,"")</f>
        <v/>
      </c>
      <c r="U1170" s="61">
        <f>IF(AND(R1170="Yes",S1170&lt;&gt;"Yes",L1170&lt;0,B1170&lt;&gt;"TXO"),L1170,"")</f>
        <v/>
      </c>
      <c r="V1170" s="61">
        <f>IF(AND(R1170="",S1170&lt;&gt;"Yes",L1170&gt;0,B1170&lt;&gt;"TXO"),L1170,"")</f>
        <v/>
      </c>
      <c r="W1170" s="61">
        <f>IF(AND(R1170="",S1170&lt;&gt;"Yes",L1170&lt;0,B1170&lt;&gt;"TXO"),L1170,"")</f>
        <v/>
      </c>
      <c r="X1170" s="226">
        <f>IF(AND(R1170="Yes",S1170="Yes",L1170&gt;0,B1170&lt;&gt;"TXO"),L1170,"")</f>
        <v/>
      </c>
      <c r="Y1170" s="226">
        <f>IF(AND(R1170="Yes",S1170="Yes",L1170&lt;0,B1170&lt;&gt;"TXO"),L1170,"")</f>
        <v/>
      </c>
      <c r="Z1170" s="226">
        <f>IF(AND(R1170="",S1170="Yes",L1170&gt;0,B1170&lt;&gt;"TXO"),L1170,"")</f>
        <v/>
      </c>
      <c r="AA1170" s="226">
        <f>IF(AND(R1170="",S1170="Yes",L1170&lt;0,B1170&lt;&gt;"TXO"),L1170,"")</f>
        <v/>
      </c>
    </row>
    <row r="1171" hidden="1" outlineLevel="2" ht="17.25" customHeight="1" thickBot="1">
      <c r="A1171" s="696" t="n">
        <v>43384</v>
      </c>
      <c r="B1171" s="234" t="inlineStr">
        <is>
          <t>FIMTX</t>
        </is>
      </c>
      <c r="C1171" s="229" t="inlineStr">
        <is>
          <t>小指10</t>
        </is>
      </c>
      <c r="D1171" s="229" t="inlineStr">
        <is>
          <t>平倉</t>
        </is>
      </c>
      <c r="E1171" s="257" t="inlineStr">
        <is>
          <t>賣</t>
        </is>
      </c>
      <c r="F1171" s="229" t="inlineStr">
        <is>
          <t>-</t>
        </is>
      </c>
      <c r="G1171" s="697" t="n">
        <v>1</v>
      </c>
      <c r="H1171" s="697" t="n">
        <v>9719</v>
      </c>
      <c r="I1171" s="697" t="n">
        <v>0</v>
      </c>
      <c r="J1171" s="585" t="n">
        <v>18</v>
      </c>
      <c r="K1171" s="585" t="n">
        <v>10</v>
      </c>
      <c r="L1171" s="585">
        <f>IF(B1171="TXO",I1171-SUM(J1171:K1171),IF(B1171="FITX",IF(D1171="新倉",-SUM(J1171:K1171),IF(E1171="賣",(H1171-H1170)*G1171*200-SUM(J1171:K1171),(H1170-H1171)*G1171*200-SUM(J1171:K1171))),IF(D1171="新倉",-SUM(J1171:K1171),IF(E1171="賣",(H1171-H1170)*G1171*50-SUM(J1171:K1171),(H1170-H1171)*G1171*50-SUM(J1171:K1171)))))</f>
        <v/>
      </c>
      <c r="M1171" s="699">
        <f>L1171</f>
        <v/>
      </c>
      <c r="N1171" s="686">
        <f>IF(B1171="TXO","",IF(D1171="新倉","",IF(E1171="賣",(H1171-H1170)*G1171,(H1170-H1171)*G1171)))</f>
        <v/>
      </c>
      <c r="O1171" s="226">
        <f>ABS(I1171)</f>
        <v/>
      </c>
      <c r="P1171" s="667" t="n"/>
      <c r="S1171" s="249" t="inlineStr">
        <is>
          <t>Yes</t>
        </is>
      </c>
      <c r="T1171" s="61">
        <f>IF(AND(R1171="Yes",S1171&lt;&gt;"Yes",L1171&gt;0,B1171&lt;&gt;"TXO"),L1171,"")</f>
        <v/>
      </c>
      <c r="U1171" s="61">
        <f>IF(AND(R1171="Yes",S1171&lt;&gt;"Yes",L1171&lt;0,B1171&lt;&gt;"TXO"),L1171,"")</f>
        <v/>
      </c>
      <c r="V1171" s="61">
        <f>IF(AND(R1171="",S1171&lt;&gt;"Yes",L1171&gt;0,B1171&lt;&gt;"TXO"),L1171,"")</f>
        <v/>
      </c>
      <c r="W1171" s="61">
        <f>IF(AND(R1171="",S1171&lt;&gt;"Yes",L1171&lt;0,B1171&lt;&gt;"TXO"),L1171,"")</f>
        <v/>
      </c>
      <c r="X1171" s="226">
        <f>IF(AND(R1171="Yes",S1171="Yes",L1171&gt;0,B1171&lt;&gt;"TXO"),L1171,"")</f>
        <v/>
      </c>
      <c r="Y1171" s="226">
        <f>IF(AND(R1171="Yes",S1171="Yes",L1171&lt;0,B1171&lt;&gt;"TXO"),L1171,"")</f>
        <v/>
      </c>
      <c r="Z1171" s="226">
        <f>IF(AND(R1171="",S1171="Yes",L1171&gt;0,B1171&lt;&gt;"TXO"),L1171,"")</f>
        <v/>
      </c>
      <c r="AA1171" s="226">
        <f>IF(AND(R1171="",S1171="Yes",L1171&lt;0,B1171&lt;&gt;"TXO"),L1171,"")</f>
        <v/>
      </c>
    </row>
    <row r="1172" hidden="1" outlineLevel="2" ht="17.25" customHeight="1" thickBot="1">
      <c r="A1172" s="696" t="n">
        <v>43384</v>
      </c>
      <c r="B1172" s="234" t="inlineStr">
        <is>
          <t>FIMTX</t>
        </is>
      </c>
      <c r="C1172" s="229" t="inlineStr">
        <is>
          <t>小指10</t>
        </is>
      </c>
      <c r="D1172" s="229" t="inlineStr">
        <is>
          <t>新倉</t>
        </is>
      </c>
      <c r="E1172" s="257" t="inlineStr">
        <is>
          <t>買</t>
        </is>
      </c>
      <c r="F1172" s="229" t="inlineStr">
        <is>
          <t>-</t>
        </is>
      </c>
      <c r="G1172" s="697" t="n">
        <v>1</v>
      </c>
      <c r="H1172" s="697" t="n">
        <v>9714</v>
      </c>
      <c r="I1172" s="697" t="n">
        <v>0</v>
      </c>
      <c r="J1172" s="585" t="n">
        <v>18</v>
      </c>
      <c r="K1172" s="585" t="n">
        <v>10</v>
      </c>
      <c r="L1172" s="585">
        <f>IF(B1172="TXO",I1172-SUM(J1172:K1172),IF(B1172="FITX",IF(D1172="新倉",-SUM(J1172:K1172),IF(E1172="賣",(H1172-H1171)*G1172*200-SUM(J1172:K1172),(H1171-H1172)*G1172*200-SUM(J1172:K1172))),IF(D1172="新倉",-SUM(J1172:K1172),IF(E1172="賣",(H1172-H1171)*G1172*50-SUM(J1172:K1172),(H1171-H1172)*G1172*50-SUM(J1172:K1172)))))</f>
        <v/>
      </c>
      <c r="M1172" s="699">
        <f>L1172</f>
        <v/>
      </c>
      <c r="N1172" s="686">
        <f>IF(B1172="TXO","",IF(D1172="新倉","",IF(E1172="賣",(H1172-H1171)*G1172,(H1171-H1172)*G1172)))</f>
        <v/>
      </c>
      <c r="O1172" s="226">
        <f>ABS(I1172)</f>
        <v/>
      </c>
      <c r="P1172" s="667" t="n"/>
      <c r="S1172" s="249" t="inlineStr">
        <is>
          <t>Yes</t>
        </is>
      </c>
      <c r="T1172" s="61">
        <f>IF(AND(R1172="Yes",S1172&lt;&gt;"Yes",L1172&gt;0,B1172&lt;&gt;"TXO"),L1172,"")</f>
        <v/>
      </c>
      <c r="U1172" s="61">
        <f>IF(AND(R1172="Yes",S1172&lt;&gt;"Yes",L1172&lt;0,B1172&lt;&gt;"TXO"),L1172,"")</f>
        <v/>
      </c>
      <c r="V1172" s="61">
        <f>IF(AND(R1172="",S1172&lt;&gt;"Yes",L1172&gt;0,B1172&lt;&gt;"TXO"),L1172,"")</f>
        <v/>
      </c>
      <c r="W1172" s="61">
        <f>IF(AND(R1172="",S1172&lt;&gt;"Yes",L1172&lt;0,B1172&lt;&gt;"TXO"),L1172,"")</f>
        <v/>
      </c>
      <c r="X1172" s="226">
        <f>IF(AND(R1172="Yes",S1172="Yes",L1172&gt;0,B1172&lt;&gt;"TXO"),L1172,"")</f>
        <v/>
      </c>
      <c r="Y1172" s="226">
        <f>IF(AND(R1172="Yes",S1172="Yes",L1172&lt;0,B1172&lt;&gt;"TXO"),L1172,"")</f>
        <v/>
      </c>
      <c r="Z1172" s="226">
        <f>IF(AND(R1172="",S1172="Yes",L1172&gt;0,B1172&lt;&gt;"TXO"),L1172,"")</f>
        <v/>
      </c>
      <c r="AA1172" s="226">
        <f>IF(AND(R1172="",S1172="Yes",L1172&lt;0,B1172&lt;&gt;"TXO"),L1172,"")</f>
        <v/>
      </c>
    </row>
    <row r="1173" hidden="1" outlineLevel="2" ht="17.25" customHeight="1" thickBot="1">
      <c r="A1173" s="696" t="n">
        <v>43384</v>
      </c>
      <c r="B1173" s="234" t="inlineStr">
        <is>
          <t>FIMTX</t>
        </is>
      </c>
      <c r="C1173" s="229" t="inlineStr">
        <is>
          <t>小指10</t>
        </is>
      </c>
      <c r="D1173" s="229" t="inlineStr">
        <is>
          <t>平倉</t>
        </is>
      </c>
      <c r="E1173" s="257" t="inlineStr">
        <is>
          <t>賣</t>
        </is>
      </c>
      <c r="F1173" s="229" t="inlineStr">
        <is>
          <t>-</t>
        </is>
      </c>
      <c r="G1173" s="697" t="n">
        <v>1</v>
      </c>
      <c r="H1173" s="697" t="n">
        <v>9700</v>
      </c>
      <c r="I1173" s="697" t="n">
        <v>0</v>
      </c>
      <c r="J1173" s="585" t="n">
        <v>18</v>
      </c>
      <c r="K1173" s="585" t="n">
        <v>10</v>
      </c>
      <c r="L1173" s="585">
        <f>IF(B1173="TXO",I1173-SUM(J1173:K1173),IF(B1173="FITX",IF(D1173="新倉",-SUM(J1173:K1173),IF(E1173="賣",(H1173-H1172)*G1173*200-SUM(J1173:K1173),(H1172-H1173)*G1173*200-SUM(J1173:K1173))),IF(D1173="新倉",-SUM(J1173:K1173),IF(E1173="賣",(H1173-H1172)*G1173*50-SUM(J1173:K1173),(H1172-H1173)*G1173*50-SUM(J1173:K1173)))))</f>
        <v/>
      </c>
      <c r="M1173" s="699">
        <f>L1173</f>
        <v/>
      </c>
      <c r="N1173" s="686">
        <f>IF(B1173="TXO","",IF(D1173="新倉","",IF(E1173="賣",(H1173-H1172)*G1173,(H1172-H1173)*G1173)))</f>
        <v/>
      </c>
      <c r="O1173" s="226">
        <f>ABS(I1173)</f>
        <v/>
      </c>
      <c r="P1173" s="667" t="n"/>
      <c r="S1173" s="249" t="inlineStr">
        <is>
          <t>Yes</t>
        </is>
      </c>
      <c r="T1173" s="61">
        <f>IF(AND(R1173="Yes",S1173&lt;&gt;"Yes",L1173&gt;0,B1173&lt;&gt;"TXO"),L1173,"")</f>
        <v/>
      </c>
      <c r="U1173" s="61">
        <f>IF(AND(R1173="Yes",S1173&lt;&gt;"Yes",L1173&lt;0,B1173&lt;&gt;"TXO"),L1173,"")</f>
        <v/>
      </c>
      <c r="V1173" s="61">
        <f>IF(AND(R1173="",S1173&lt;&gt;"Yes",L1173&gt;0,B1173&lt;&gt;"TXO"),L1173,"")</f>
        <v/>
      </c>
      <c r="W1173" s="61">
        <f>IF(AND(R1173="",S1173&lt;&gt;"Yes",L1173&lt;0,B1173&lt;&gt;"TXO"),L1173,"")</f>
        <v/>
      </c>
      <c r="X1173" s="226">
        <f>IF(AND(R1173="Yes",S1173="Yes",L1173&gt;0,B1173&lt;&gt;"TXO"),L1173,"")</f>
        <v/>
      </c>
      <c r="Y1173" s="226">
        <f>IF(AND(R1173="Yes",S1173="Yes",L1173&lt;0,B1173&lt;&gt;"TXO"),L1173,"")</f>
        <v/>
      </c>
      <c r="Z1173" s="226">
        <f>IF(AND(R1173="",S1173="Yes",L1173&gt;0,B1173&lt;&gt;"TXO"),L1173,"")</f>
        <v/>
      </c>
      <c r="AA1173" s="226">
        <f>IF(AND(R1173="",S1173="Yes",L1173&lt;0,B1173&lt;&gt;"TXO"),L1173,"")</f>
        <v/>
      </c>
    </row>
    <row r="1174" hidden="1" outlineLevel="2" ht="17.25" customHeight="1" thickBot="1">
      <c r="A1174" s="696" t="n">
        <v>43384</v>
      </c>
      <c r="B1174" s="234" t="inlineStr">
        <is>
          <t>FIMTX</t>
        </is>
      </c>
      <c r="C1174" s="229" t="inlineStr">
        <is>
          <t>小指10</t>
        </is>
      </c>
      <c r="D1174" s="229" t="inlineStr">
        <is>
          <t>新倉</t>
        </is>
      </c>
      <c r="E1174" s="257" t="inlineStr">
        <is>
          <t>賣</t>
        </is>
      </c>
      <c r="F1174" s="229" t="inlineStr">
        <is>
          <t>-</t>
        </is>
      </c>
      <c r="G1174" s="697" t="n">
        <v>1</v>
      </c>
      <c r="H1174" s="697" t="n">
        <v>9675</v>
      </c>
      <c r="I1174" s="697" t="n">
        <v>0</v>
      </c>
      <c r="J1174" s="585" t="n">
        <v>18</v>
      </c>
      <c r="K1174" s="585" t="n">
        <v>10</v>
      </c>
      <c r="L1174" s="585">
        <f>IF(B1174="TXO",I1174-SUM(J1174:K1174),IF(B1174="FITX",IF(D1174="新倉",-SUM(J1174:K1174),IF(E1174="賣",(H1174-H1173)*G1174*200-SUM(J1174:K1174),(H1173-H1174)*G1174*200-SUM(J1174:K1174))),IF(D1174="新倉",-SUM(J1174:K1174),IF(E1174="賣",(H1174-H1173)*G1174*50-SUM(J1174:K1174),(H1173-H1174)*G1174*50-SUM(J1174:K1174)))))</f>
        <v/>
      </c>
      <c r="M1174" s="699">
        <f>L1174</f>
        <v/>
      </c>
      <c r="N1174" s="686">
        <f>IF(B1174="TXO","",IF(D1174="新倉","",IF(E1174="賣",(H1174-H1173)*G1174,(H1173-H1174)*G1174)))</f>
        <v/>
      </c>
      <c r="O1174" s="226">
        <f>ABS(I1174)</f>
        <v/>
      </c>
      <c r="P1174" s="667" t="n"/>
      <c r="S1174" s="249" t="inlineStr">
        <is>
          <t>Yes</t>
        </is>
      </c>
      <c r="T1174" s="61">
        <f>IF(AND(R1174="Yes",S1174&lt;&gt;"Yes",L1174&gt;0,B1174&lt;&gt;"TXO"),L1174,"")</f>
        <v/>
      </c>
      <c r="U1174" s="61">
        <f>IF(AND(R1174="Yes",S1174&lt;&gt;"Yes",L1174&lt;0,B1174&lt;&gt;"TXO"),L1174,"")</f>
        <v/>
      </c>
      <c r="V1174" s="61">
        <f>IF(AND(R1174="",S1174&lt;&gt;"Yes",L1174&gt;0,B1174&lt;&gt;"TXO"),L1174,"")</f>
        <v/>
      </c>
      <c r="W1174" s="61">
        <f>IF(AND(R1174="",S1174&lt;&gt;"Yes",L1174&lt;0,B1174&lt;&gt;"TXO"),L1174,"")</f>
        <v/>
      </c>
      <c r="X1174" s="226">
        <f>IF(AND(R1174="Yes",S1174="Yes",L1174&gt;0,B1174&lt;&gt;"TXO"),L1174,"")</f>
        <v/>
      </c>
      <c r="Y1174" s="226">
        <f>IF(AND(R1174="Yes",S1174="Yes",L1174&lt;0,B1174&lt;&gt;"TXO"),L1174,"")</f>
        <v/>
      </c>
      <c r="Z1174" s="226">
        <f>IF(AND(R1174="",S1174="Yes",L1174&gt;0,B1174&lt;&gt;"TXO"),L1174,"")</f>
        <v/>
      </c>
      <c r="AA1174" s="226">
        <f>IF(AND(R1174="",S1174="Yes",L1174&lt;0,B1174&lt;&gt;"TXO"),L1174,"")</f>
        <v/>
      </c>
    </row>
    <row r="1175" hidden="1" outlineLevel="2" ht="17.25" customHeight="1" thickBot="1">
      <c r="A1175" s="696" t="n">
        <v>43384</v>
      </c>
      <c r="B1175" s="234" t="inlineStr">
        <is>
          <t>FIMTX</t>
        </is>
      </c>
      <c r="C1175" s="229" t="inlineStr">
        <is>
          <t>小指10</t>
        </is>
      </c>
      <c r="D1175" s="229" t="inlineStr">
        <is>
          <t>平倉</t>
        </is>
      </c>
      <c r="E1175" s="257" t="inlineStr">
        <is>
          <t>買</t>
        </is>
      </c>
      <c r="F1175" s="229" t="inlineStr">
        <is>
          <t>-</t>
        </is>
      </c>
      <c r="G1175" s="697" t="n">
        <v>1</v>
      </c>
      <c r="H1175" s="697" t="n">
        <v>9692</v>
      </c>
      <c r="I1175" s="697" t="n">
        <v>0</v>
      </c>
      <c r="J1175" s="585" t="n">
        <v>18</v>
      </c>
      <c r="K1175" s="585" t="n">
        <v>10</v>
      </c>
      <c r="L1175" s="585">
        <f>IF(B1175="TXO",I1175-SUM(J1175:K1175),IF(B1175="FITX",IF(D1175="新倉",-SUM(J1175:K1175),IF(E1175="賣",(H1175-H1174)*G1175*200-SUM(J1175:K1175),(H1174-H1175)*G1175*200-SUM(J1175:K1175))),IF(D1175="新倉",-SUM(J1175:K1175),IF(E1175="賣",(H1175-H1174)*G1175*50-SUM(J1175:K1175),(H1174-H1175)*G1175*50-SUM(J1175:K1175)))))</f>
        <v/>
      </c>
      <c r="M1175" s="699">
        <f>L1175</f>
        <v/>
      </c>
      <c r="N1175" s="686">
        <f>IF(B1175="TXO","",IF(D1175="新倉","",IF(E1175="賣",(H1175-H1174)*G1175,(H1174-H1175)*G1175)))</f>
        <v/>
      </c>
      <c r="O1175" s="226">
        <f>ABS(I1175)</f>
        <v/>
      </c>
      <c r="P1175" s="667" t="n"/>
      <c r="S1175" s="249" t="inlineStr">
        <is>
          <t>Yes</t>
        </is>
      </c>
      <c r="T1175" s="61">
        <f>IF(AND(R1175="Yes",S1175&lt;&gt;"Yes",L1175&gt;0,B1175&lt;&gt;"TXO"),L1175,"")</f>
        <v/>
      </c>
      <c r="U1175" s="61">
        <f>IF(AND(R1175="Yes",S1175&lt;&gt;"Yes",L1175&lt;0,B1175&lt;&gt;"TXO"),L1175,"")</f>
        <v/>
      </c>
      <c r="V1175" s="61">
        <f>IF(AND(R1175="",S1175&lt;&gt;"Yes",L1175&gt;0,B1175&lt;&gt;"TXO"),L1175,"")</f>
        <v/>
      </c>
      <c r="W1175" s="61">
        <f>IF(AND(R1175="",S1175&lt;&gt;"Yes",L1175&lt;0,B1175&lt;&gt;"TXO"),L1175,"")</f>
        <v/>
      </c>
      <c r="X1175" s="226">
        <f>IF(AND(R1175="Yes",S1175="Yes",L1175&gt;0,B1175&lt;&gt;"TXO"),L1175,"")</f>
        <v/>
      </c>
      <c r="Y1175" s="226">
        <f>IF(AND(R1175="Yes",S1175="Yes",L1175&lt;0,B1175&lt;&gt;"TXO"),L1175,"")</f>
        <v/>
      </c>
      <c r="Z1175" s="226">
        <f>IF(AND(R1175="",S1175="Yes",L1175&gt;0,B1175&lt;&gt;"TXO"),L1175,"")</f>
        <v/>
      </c>
      <c r="AA1175" s="226">
        <f>IF(AND(R1175="",S1175="Yes",L1175&lt;0,B1175&lt;&gt;"TXO"),L1175,"")</f>
        <v/>
      </c>
    </row>
    <row r="1176" hidden="1" outlineLevel="2" ht="17.25" customHeight="1" thickBot="1">
      <c r="A1176" s="696" t="n">
        <v>43384</v>
      </c>
      <c r="B1176" s="234" t="inlineStr">
        <is>
          <t>FIMTX</t>
        </is>
      </c>
      <c r="C1176" s="229" t="inlineStr">
        <is>
          <t>小指10</t>
        </is>
      </c>
      <c r="D1176" s="229" t="inlineStr">
        <is>
          <t>新倉</t>
        </is>
      </c>
      <c r="E1176" s="257" t="inlineStr">
        <is>
          <t>賣</t>
        </is>
      </c>
      <c r="F1176" s="229" t="inlineStr">
        <is>
          <t>-</t>
        </is>
      </c>
      <c r="G1176" s="697" t="n">
        <v>1</v>
      </c>
      <c r="H1176" s="697" t="n">
        <v>9698</v>
      </c>
      <c r="I1176" s="697" t="n">
        <v>0</v>
      </c>
      <c r="J1176" s="585" t="n">
        <v>18</v>
      </c>
      <c r="K1176" s="585" t="n">
        <v>10</v>
      </c>
      <c r="L1176" s="585">
        <f>IF(B1176="TXO",I1176-SUM(J1176:K1176),IF(B1176="FITX",IF(D1176="新倉",-SUM(J1176:K1176),IF(E1176="賣",(H1176-H1175)*G1176*200-SUM(J1176:K1176),(H1175-H1176)*G1176*200-SUM(J1176:K1176))),IF(D1176="新倉",-SUM(J1176:K1176),IF(E1176="賣",(H1176-H1175)*G1176*50-SUM(J1176:K1176),(H1175-H1176)*G1176*50-SUM(J1176:K1176)))))</f>
        <v/>
      </c>
      <c r="M1176" s="699">
        <f>L1176</f>
        <v/>
      </c>
      <c r="N1176" s="686">
        <f>IF(B1176="TXO","",IF(D1176="新倉","",IF(E1176="賣",(H1176-H1175)*G1176,(H1175-H1176)*G1176)))</f>
        <v/>
      </c>
      <c r="O1176" s="226">
        <f>ABS(I1176)</f>
        <v/>
      </c>
      <c r="P1176" s="667" t="n"/>
      <c r="S1176" s="249" t="inlineStr">
        <is>
          <t>Yes</t>
        </is>
      </c>
      <c r="T1176" s="61">
        <f>IF(AND(R1176="Yes",S1176&lt;&gt;"Yes",L1176&gt;0,B1176&lt;&gt;"TXO"),L1176,"")</f>
        <v/>
      </c>
      <c r="U1176" s="61">
        <f>IF(AND(R1176="Yes",S1176&lt;&gt;"Yes",L1176&lt;0,B1176&lt;&gt;"TXO"),L1176,"")</f>
        <v/>
      </c>
      <c r="V1176" s="61">
        <f>IF(AND(R1176="",S1176&lt;&gt;"Yes",L1176&gt;0,B1176&lt;&gt;"TXO"),L1176,"")</f>
        <v/>
      </c>
      <c r="W1176" s="61">
        <f>IF(AND(R1176="",S1176&lt;&gt;"Yes",L1176&lt;0,B1176&lt;&gt;"TXO"),L1176,"")</f>
        <v/>
      </c>
      <c r="X1176" s="226">
        <f>IF(AND(R1176="Yes",S1176="Yes",L1176&gt;0,B1176&lt;&gt;"TXO"),L1176,"")</f>
        <v/>
      </c>
      <c r="Y1176" s="226">
        <f>IF(AND(R1176="Yes",S1176="Yes",L1176&lt;0,B1176&lt;&gt;"TXO"),L1176,"")</f>
        <v/>
      </c>
      <c r="Z1176" s="226">
        <f>IF(AND(R1176="",S1176="Yes",L1176&gt;0,B1176&lt;&gt;"TXO"),L1176,"")</f>
        <v/>
      </c>
      <c r="AA1176" s="226">
        <f>IF(AND(R1176="",S1176="Yes",L1176&lt;0,B1176&lt;&gt;"TXO"),L1176,"")</f>
        <v/>
      </c>
    </row>
    <row r="1177" hidden="1" outlineLevel="2" ht="17.25" customHeight="1" thickBot="1">
      <c r="A1177" s="696" t="n">
        <v>43384</v>
      </c>
      <c r="B1177" s="234" t="inlineStr">
        <is>
          <t>FIMTX</t>
        </is>
      </c>
      <c r="C1177" s="229" t="inlineStr">
        <is>
          <t>小指10</t>
        </is>
      </c>
      <c r="D1177" s="229" t="inlineStr">
        <is>
          <t>平倉</t>
        </is>
      </c>
      <c r="E1177" s="257" t="inlineStr">
        <is>
          <t>買</t>
        </is>
      </c>
      <c r="F1177" s="229" t="inlineStr">
        <is>
          <t>-</t>
        </is>
      </c>
      <c r="G1177" s="697" t="n">
        <v>1</v>
      </c>
      <c r="H1177" s="697" t="n">
        <v>9696</v>
      </c>
      <c r="I1177" s="697" t="n">
        <v>0</v>
      </c>
      <c r="J1177" s="585" t="n">
        <v>18</v>
      </c>
      <c r="K1177" s="585" t="n">
        <v>10</v>
      </c>
      <c r="L1177" s="585">
        <f>IF(B1177="TXO",I1177-SUM(J1177:K1177),IF(B1177="FITX",IF(D1177="新倉",-SUM(J1177:K1177),IF(E1177="賣",(H1177-H1176)*G1177*200-SUM(J1177:K1177),(H1176-H1177)*G1177*200-SUM(J1177:K1177))),IF(D1177="新倉",-SUM(J1177:K1177),IF(E1177="賣",(H1177-H1176)*G1177*50-SUM(J1177:K1177),(H1176-H1177)*G1177*50-SUM(J1177:K1177)))))</f>
        <v/>
      </c>
      <c r="M1177" s="699">
        <f>L1177</f>
        <v/>
      </c>
      <c r="N1177" s="686">
        <f>IF(B1177="TXO","",IF(D1177="新倉","",IF(E1177="賣",(H1177-H1176)*G1177,(H1176-H1177)*G1177)))</f>
        <v/>
      </c>
      <c r="O1177" s="226">
        <f>ABS(I1177)</f>
        <v/>
      </c>
      <c r="P1177" s="667" t="n"/>
      <c r="S1177" s="249" t="inlineStr">
        <is>
          <t>Yes</t>
        </is>
      </c>
      <c r="T1177" s="61">
        <f>IF(AND(R1177="Yes",S1177&lt;&gt;"Yes",L1177&gt;0,B1177&lt;&gt;"TXO"),L1177,"")</f>
        <v/>
      </c>
      <c r="U1177" s="61">
        <f>IF(AND(R1177="Yes",S1177&lt;&gt;"Yes",L1177&lt;0,B1177&lt;&gt;"TXO"),L1177,"")</f>
        <v/>
      </c>
      <c r="V1177" s="61">
        <f>IF(AND(R1177="",S1177&lt;&gt;"Yes",L1177&gt;0,B1177&lt;&gt;"TXO"),L1177,"")</f>
        <v/>
      </c>
      <c r="W1177" s="61">
        <f>IF(AND(R1177="",S1177&lt;&gt;"Yes",L1177&lt;0,B1177&lt;&gt;"TXO"),L1177,"")</f>
        <v/>
      </c>
      <c r="X1177" s="226">
        <f>IF(AND(R1177="Yes",S1177="Yes",L1177&gt;0,B1177&lt;&gt;"TXO"),L1177,"")</f>
        <v/>
      </c>
      <c r="Y1177" s="226">
        <f>IF(AND(R1177="Yes",S1177="Yes",L1177&lt;0,B1177&lt;&gt;"TXO"),L1177,"")</f>
        <v/>
      </c>
      <c r="Z1177" s="226">
        <f>IF(AND(R1177="",S1177="Yes",L1177&gt;0,B1177&lt;&gt;"TXO"),L1177,"")</f>
        <v/>
      </c>
      <c r="AA1177" s="226">
        <f>IF(AND(R1177="",S1177="Yes",L1177&lt;0,B1177&lt;&gt;"TXO"),L1177,"")</f>
        <v/>
      </c>
    </row>
    <row r="1178" hidden="1" outlineLevel="2" ht="17.25" customHeight="1" thickBot="1">
      <c r="A1178" s="696" t="n">
        <v>43384</v>
      </c>
      <c r="B1178" s="234" t="inlineStr">
        <is>
          <t>FIMTX</t>
        </is>
      </c>
      <c r="C1178" s="229" t="inlineStr">
        <is>
          <t>小指10</t>
        </is>
      </c>
      <c r="D1178" s="229" t="inlineStr">
        <is>
          <t>新倉</t>
        </is>
      </c>
      <c r="E1178" s="257" t="inlineStr">
        <is>
          <t>賣</t>
        </is>
      </c>
      <c r="F1178" s="229" t="inlineStr">
        <is>
          <t>-</t>
        </is>
      </c>
      <c r="G1178" s="697" t="n">
        <v>1</v>
      </c>
      <c r="H1178" s="697" t="n">
        <v>9700</v>
      </c>
      <c r="I1178" s="697" t="n">
        <v>0</v>
      </c>
      <c r="J1178" s="585" t="n">
        <v>18</v>
      </c>
      <c r="K1178" s="585" t="n">
        <v>10</v>
      </c>
      <c r="L1178" s="585">
        <f>IF(B1178="TXO",I1178-SUM(J1178:K1178),IF(B1178="FITX",IF(D1178="新倉",-SUM(J1178:K1178),IF(E1178="賣",(H1178-H1177)*G1178*200-SUM(J1178:K1178),(H1177-H1178)*G1178*200-SUM(J1178:K1178))),IF(D1178="新倉",-SUM(J1178:K1178),IF(E1178="賣",(H1178-H1177)*G1178*50-SUM(J1178:K1178),(H1177-H1178)*G1178*50-SUM(J1178:K1178)))))</f>
        <v/>
      </c>
      <c r="M1178" s="699">
        <f>L1178</f>
        <v/>
      </c>
      <c r="N1178" s="686">
        <f>IF(B1178="TXO","",IF(D1178="新倉","",IF(E1178="賣",(H1178-H1177)*G1178,(H1177-H1178)*G1178)))</f>
        <v/>
      </c>
      <c r="O1178" s="226">
        <f>ABS(I1178)</f>
        <v/>
      </c>
      <c r="P1178" s="667" t="n"/>
      <c r="S1178" s="249" t="inlineStr">
        <is>
          <t>Yes</t>
        </is>
      </c>
      <c r="T1178" s="61">
        <f>IF(AND(R1178="Yes",S1178&lt;&gt;"Yes",L1178&gt;0,B1178&lt;&gt;"TXO"),L1178,"")</f>
        <v/>
      </c>
      <c r="U1178" s="61">
        <f>IF(AND(R1178="Yes",S1178&lt;&gt;"Yes",L1178&lt;0,B1178&lt;&gt;"TXO"),L1178,"")</f>
        <v/>
      </c>
      <c r="V1178" s="61">
        <f>IF(AND(R1178="",S1178&lt;&gt;"Yes",L1178&gt;0,B1178&lt;&gt;"TXO"),L1178,"")</f>
        <v/>
      </c>
      <c r="W1178" s="61">
        <f>IF(AND(R1178="",S1178&lt;&gt;"Yes",L1178&lt;0,B1178&lt;&gt;"TXO"),L1178,"")</f>
        <v/>
      </c>
      <c r="X1178" s="226">
        <f>IF(AND(R1178="Yes",S1178="Yes",L1178&gt;0,B1178&lt;&gt;"TXO"),L1178,"")</f>
        <v/>
      </c>
      <c r="Y1178" s="226">
        <f>IF(AND(R1178="Yes",S1178="Yes",L1178&lt;0,B1178&lt;&gt;"TXO"),L1178,"")</f>
        <v/>
      </c>
      <c r="Z1178" s="226">
        <f>IF(AND(R1178="",S1178="Yes",L1178&gt;0,B1178&lt;&gt;"TXO"),L1178,"")</f>
        <v/>
      </c>
      <c r="AA1178" s="226">
        <f>IF(AND(R1178="",S1178="Yes",L1178&lt;0,B1178&lt;&gt;"TXO"),L1178,"")</f>
        <v/>
      </c>
    </row>
    <row r="1179" hidden="1" outlineLevel="2" ht="17.25" customHeight="1" thickBot="1">
      <c r="A1179" s="696" t="n">
        <v>43384</v>
      </c>
      <c r="B1179" s="234" t="inlineStr">
        <is>
          <t>FIMTX</t>
        </is>
      </c>
      <c r="C1179" s="229" t="inlineStr">
        <is>
          <t>小指10</t>
        </is>
      </c>
      <c r="D1179" s="229" t="inlineStr">
        <is>
          <t>平倉</t>
        </is>
      </c>
      <c r="E1179" s="257" t="inlineStr">
        <is>
          <t>買</t>
        </is>
      </c>
      <c r="F1179" s="229" t="inlineStr">
        <is>
          <t>-</t>
        </is>
      </c>
      <c r="G1179" s="697" t="n">
        <v>1</v>
      </c>
      <c r="H1179" s="697" t="n">
        <v>9695</v>
      </c>
      <c r="I1179" s="697" t="n">
        <v>0</v>
      </c>
      <c r="J1179" s="585" t="n">
        <v>18</v>
      </c>
      <c r="K1179" s="585" t="n">
        <v>10</v>
      </c>
      <c r="L1179" s="585">
        <f>IF(B1179="TXO",I1179-SUM(J1179:K1179),IF(B1179="FITX",IF(D1179="新倉",-SUM(J1179:K1179),IF(E1179="賣",(H1179-H1178)*G1179*200-SUM(J1179:K1179),(H1178-H1179)*G1179*200-SUM(J1179:K1179))),IF(D1179="新倉",-SUM(J1179:K1179),IF(E1179="賣",(H1179-H1178)*G1179*50-SUM(J1179:K1179),(H1178-H1179)*G1179*50-SUM(J1179:K1179)))))</f>
        <v/>
      </c>
      <c r="M1179" s="699">
        <f>L1179</f>
        <v/>
      </c>
      <c r="N1179" s="686">
        <f>IF(B1179="TXO","",IF(D1179="新倉","",IF(E1179="賣",(H1179-H1178)*G1179,(H1178-H1179)*G1179)))</f>
        <v/>
      </c>
      <c r="O1179" s="226">
        <f>ABS(I1179)</f>
        <v/>
      </c>
      <c r="P1179" s="667" t="n"/>
      <c r="S1179" s="249" t="inlineStr">
        <is>
          <t>Yes</t>
        </is>
      </c>
      <c r="T1179" s="61">
        <f>IF(AND(R1179="Yes",S1179&lt;&gt;"Yes",L1179&gt;0,B1179&lt;&gt;"TXO"),L1179,"")</f>
        <v/>
      </c>
      <c r="U1179" s="61">
        <f>IF(AND(R1179="Yes",S1179&lt;&gt;"Yes",L1179&lt;0,B1179&lt;&gt;"TXO"),L1179,"")</f>
        <v/>
      </c>
      <c r="V1179" s="61">
        <f>IF(AND(R1179="",S1179&lt;&gt;"Yes",L1179&gt;0,B1179&lt;&gt;"TXO"),L1179,"")</f>
        <v/>
      </c>
      <c r="W1179" s="61">
        <f>IF(AND(R1179="",S1179&lt;&gt;"Yes",L1179&lt;0,B1179&lt;&gt;"TXO"),L1179,"")</f>
        <v/>
      </c>
      <c r="X1179" s="226">
        <f>IF(AND(R1179="Yes",S1179="Yes",L1179&gt;0,B1179&lt;&gt;"TXO"),L1179,"")</f>
        <v/>
      </c>
      <c r="Y1179" s="226">
        <f>IF(AND(R1179="Yes",S1179="Yes",L1179&lt;0,B1179&lt;&gt;"TXO"),L1179,"")</f>
        <v/>
      </c>
      <c r="Z1179" s="226">
        <f>IF(AND(R1179="",S1179="Yes",L1179&gt;0,B1179&lt;&gt;"TXO"),L1179,"")</f>
        <v/>
      </c>
      <c r="AA1179" s="226">
        <f>IF(AND(R1179="",S1179="Yes",L1179&lt;0,B1179&lt;&gt;"TXO"),L1179,"")</f>
        <v/>
      </c>
    </row>
    <row r="1180" hidden="1" outlineLevel="2" ht="17.25" customHeight="1" thickBot="1">
      <c r="A1180" s="696" t="n">
        <v>43384</v>
      </c>
      <c r="B1180" s="234" t="inlineStr">
        <is>
          <t>FIMTX</t>
        </is>
      </c>
      <c r="C1180" s="229" t="inlineStr">
        <is>
          <t>小指10</t>
        </is>
      </c>
      <c r="D1180" s="229" t="inlineStr">
        <is>
          <t>新倉</t>
        </is>
      </c>
      <c r="E1180" s="257" t="inlineStr">
        <is>
          <t>買</t>
        </is>
      </c>
      <c r="F1180" s="229" t="inlineStr">
        <is>
          <t>-</t>
        </is>
      </c>
      <c r="G1180" s="697" t="n">
        <v>1</v>
      </c>
      <c r="H1180" s="697" t="n">
        <v>9697</v>
      </c>
      <c r="I1180" s="697" t="n">
        <v>0</v>
      </c>
      <c r="J1180" s="585" t="n">
        <v>18</v>
      </c>
      <c r="K1180" s="585" t="n">
        <v>10</v>
      </c>
      <c r="L1180" s="585">
        <f>IF(B1180="TXO",I1180-SUM(J1180:K1180),IF(B1180="FITX",IF(D1180="新倉",-SUM(J1180:K1180),IF(E1180="賣",(H1180-H1179)*G1180*200-SUM(J1180:K1180),(H1179-H1180)*G1180*200-SUM(J1180:K1180))),IF(D1180="新倉",-SUM(J1180:K1180),IF(E1180="賣",(H1180-H1179)*G1180*50-SUM(J1180:K1180),(H1179-H1180)*G1180*50-SUM(J1180:K1180)))))</f>
        <v/>
      </c>
      <c r="M1180" s="699">
        <f>L1180</f>
        <v/>
      </c>
      <c r="N1180" s="686">
        <f>IF(B1180="TXO","",IF(D1180="新倉","",IF(E1180="賣",(H1180-H1179)*G1180,(H1179-H1180)*G1180)))</f>
        <v/>
      </c>
      <c r="O1180" s="226">
        <f>ABS(I1180)</f>
        <v/>
      </c>
      <c r="P1180" s="667" t="n"/>
      <c r="S1180" s="249" t="inlineStr">
        <is>
          <t>Yes</t>
        </is>
      </c>
      <c r="T1180" s="61">
        <f>IF(AND(R1180="Yes",S1180&lt;&gt;"Yes",L1180&gt;0,B1180&lt;&gt;"TXO"),L1180,"")</f>
        <v/>
      </c>
      <c r="U1180" s="61">
        <f>IF(AND(R1180="Yes",S1180&lt;&gt;"Yes",L1180&lt;0,B1180&lt;&gt;"TXO"),L1180,"")</f>
        <v/>
      </c>
      <c r="V1180" s="61">
        <f>IF(AND(R1180="",S1180&lt;&gt;"Yes",L1180&gt;0,B1180&lt;&gt;"TXO"),L1180,"")</f>
        <v/>
      </c>
      <c r="W1180" s="61">
        <f>IF(AND(R1180="",S1180&lt;&gt;"Yes",L1180&lt;0,B1180&lt;&gt;"TXO"),L1180,"")</f>
        <v/>
      </c>
      <c r="X1180" s="226">
        <f>IF(AND(R1180="Yes",S1180="Yes",L1180&gt;0,B1180&lt;&gt;"TXO"),L1180,"")</f>
        <v/>
      </c>
      <c r="Y1180" s="226">
        <f>IF(AND(R1180="Yes",S1180="Yes",L1180&lt;0,B1180&lt;&gt;"TXO"),L1180,"")</f>
        <v/>
      </c>
      <c r="Z1180" s="226">
        <f>IF(AND(R1180="",S1180="Yes",L1180&gt;0,B1180&lt;&gt;"TXO"),L1180,"")</f>
        <v/>
      </c>
      <c r="AA1180" s="226">
        <f>IF(AND(R1180="",S1180="Yes",L1180&lt;0,B1180&lt;&gt;"TXO"),L1180,"")</f>
        <v/>
      </c>
    </row>
    <row r="1181" hidden="1" outlineLevel="2" ht="17.25" customHeight="1" thickBot="1">
      <c r="A1181" s="696" t="n">
        <v>43384</v>
      </c>
      <c r="B1181" s="234" t="inlineStr">
        <is>
          <t>FIMTX</t>
        </is>
      </c>
      <c r="C1181" s="229" t="inlineStr">
        <is>
          <t>小指10</t>
        </is>
      </c>
      <c r="D1181" s="229" t="inlineStr">
        <is>
          <t>平倉</t>
        </is>
      </c>
      <c r="E1181" s="257" t="inlineStr">
        <is>
          <t>賣</t>
        </is>
      </c>
      <c r="F1181" s="229" t="inlineStr">
        <is>
          <t>-</t>
        </is>
      </c>
      <c r="G1181" s="697" t="n">
        <v>1</v>
      </c>
      <c r="H1181" s="697" t="n">
        <v>9706</v>
      </c>
      <c r="I1181" s="697" t="n">
        <v>0</v>
      </c>
      <c r="J1181" s="585" t="n">
        <v>18</v>
      </c>
      <c r="K1181" s="585" t="n">
        <v>10</v>
      </c>
      <c r="L1181" s="585">
        <f>IF(B1181="TXO",I1181-SUM(J1181:K1181),IF(B1181="FITX",IF(D1181="新倉",-SUM(J1181:K1181),IF(E1181="賣",(H1181-H1180)*G1181*200-SUM(J1181:K1181),(H1180-H1181)*G1181*200-SUM(J1181:K1181))),IF(D1181="新倉",-SUM(J1181:K1181),IF(E1181="賣",(H1181-H1180)*G1181*50-SUM(J1181:K1181),(H1180-H1181)*G1181*50-SUM(J1181:K1181)))))</f>
        <v/>
      </c>
      <c r="M1181" s="699">
        <f>L1181</f>
        <v/>
      </c>
      <c r="N1181" s="686">
        <f>IF(B1181="TXO","",IF(D1181="新倉","",IF(E1181="賣",(H1181-H1180)*G1181,(H1180-H1181)*G1181)))</f>
        <v/>
      </c>
      <c r="O1181" s="226">
        <f>ABS(I1181)</f>
        <v/>
      </c>
      <c r="P1181" s="667" t="n"/>
      <c r="S1181" s="249" t="inlineStr">
        <is>
          <t>Yes</t>
        </is>
      </c>
      <c r="T1181" s="61">
        <f>IF(AND(R1181="Yes",S1181&lt;&gt;"Yes",L1181&gt;0,B1181&lt;&gt;"TXO"),L1181,"")</f>
        <v/>
      </c>
      <c r="U1181" s="61">
        <f>IF(AND(R1181="Yes",S1181&lt;&gt;"Yes",L1181&lt;0,B1181&lt;&gt;"TXO"),L1181,"")</f>
        <v/>
      </c>
      <c r="V1181" s="61">
        <f>IF(AND(R1181="",S1181&lt;&gt;"Yes",L1181&gt;0,B1181&lt;&gt;"TXO"),L1181,"")</f>
        <v/>
      </c>
      <c r="W1181" s="61">
        <f>IF(AND(R1181="",S1181&lt;&gt;"Yes",L1181&lt;0,B1181&lt;&gt;"TXO"),L1181,"")</f>
        <v/>
      </c>
      <c r="X1181" s="226">
        <f>IF(AND(R1181="Yes",S1181="Yes",L1181&gt;0,B1181&lt;&gt;"TXO"),L1181,"")</f>
        <v/>
      </c>
      <c r="Y1181" s="226">
        <f>IF(AND(R1181="Yes",S1181="Yes",L1181&lt;0,B1181&lt;&gt;"TXO"),L1181,"")</f>
        <v/>
      </c>
      <c r="Z1181" s="226">
        <f>IF(AND(R1181="",S1181="Yes",L1181&gt;0,B1181&lt;&gt;"TXO"),L1181,"")</f>
        <v/>
      </c>
      <c r="AA1181" s="226">
        <f>IF(AND(R1181="",S1181="Yes",L1181&lt;0,B1181&lt;&gt;"TXO"),L1181,"")</f>
        <v/>
      </c>
    </row>
    <row r="1182" hidden="1" outlineLevel="2" ht="17.25" customHeight="1" thickBot="1">
      <c r="A1182" s="696" t="n">
        <v>43384</v>
      </c>
      <c r="B1182" s="234" t="inlineStr">
        <is>
          <t>FIMTX</t>
        </is>
      </c>
      <c r="C1182" s="229" t="inlineStr">
        <is>
          <t>小指10</t>
        </is>
      </c>
      <c r="D1182" s="229" t="inlineStr">
        <is>
          <t>新倉</t>
        </is>
      </c>
      <c r="E1182" s="257" t="inlineStr">
        <is>
          <t>買</t>
        </is>
      </c>
      <c r="F1182" s="229" t="inlineStr">
        <is>
          <t>-</t>
        </is>
      </c>
      <c r="G1182" s="697" t="n">
        <v>1</v>
      </c>
      <c r="H1182" s="697" t="n">
        <v>9710</v>
      </c>
      <c r="I1182" s="697" t="n">
        <v>0</v>
      </c>
      <c r="J1182" s="585" t="n">
        <v>18</v>
      </c>
      <c r="K1182" s="585" t="n">
        <v>10</v>
      </c>
      <c r="L1182" s="585">
        <f>IF(B1182="TXO",I1182-SUM(J1182:K1182),IF(B1182="FITX",IF(D1182="新倉",-SUM(J1182:K1182),IF(E1182="賣",(H1182-H1181)*G1182*200-SUM(J1182:K1182),(H1181-H1182)*G1182*200-SUM(J1182:K1182))),IF(D1182="新倉",-SUM(J1182:K1182),IF(E1182="賣",(H1182-H1181)*G1182*50-SUM(J1182:K1182),(H1181-H1182)*G1182*50-SUM(J1182:K1182)))))</f>
        <v/>
      </c>
      <c r="M1182" s="699">
        <f>L1182</f>
        <v/>
      </c>
      <c r="N1182" s="686">
        <f>IF(B1182="TXO","",IF(D1182="新倉","",IF(E1182="賣",(H1182-H1181)*G1182,(H1181-H1182)*G1182)))</f>
        <v/>
      </c>
      <c r="O1182" s="226">
        <f>ABS(I1182)</f>
        <v/>
      </c>
      <c r="P1182" s="667" t="n"/>
      <c r="S1182" s="249" t="inlineStr">
        <is>
          <t>Yes</t>
        </is>
      </c>
      <c r="T1182" s="61">
        <f>IF(AND(R1182="Yes",S1182&lt;&gt;"Yes",L1182&gt;0,B1182&lt;&gt;"TXO"),L1182,"")</f>
        <v/>
      </c>
      <c r="U1182" s="61">
        <f>IF(AND(R1182="Yes",S1182&lt;&gt;"Yes",L1182&lt;0,B1182&lt;&gt;"TXO"),L1182,"")</f>
        <v/>
      </c>
      <c r="V1182" s="61">
        <f>IF(AND(R1182="",S1182&lt;&gt;"Yes",L1182&gt;0,B1182&lt;&gt;"TXO"),L1182,"")</f>
        <v/>
      </c>
      <c r="W1182" s="61">
        <f>IF(AND(R1182="",S1182&lt;&gt;"Yes",L1182&lt;0,B1182&lt;&gt;"TXO"),L1182,"")</f>
        <v/>
      </c>
      <c r="X1182" s="226">
        <f>IF(AND(R1182="Yes",S1182="Yes",L1182&gt;0,B1182&lt;&gt;"TXO"),L1182,"")</f>
        <v/>
      </c>
      <c r="Y1182" s="226">
        <f>IF(AND(R1182="Yes",S1182="Yes",L1182&lt;0,B1182&lt;&gt;"TXO"),L1182,"")</f>
        <v/>
      </c>
      <c r="Z1182" s="226">
        <f>IF(AND(R1182="",S1182="Yes",L1182&gt;0,B1182&lt;&gt;"TXO"),L1182,"")</f>
        <v/>
      </c>
      <c r="AA1182" s="226">
        <f>IF(AND(R1182="",S1182="Yes",L1182&lt;0,B1182&lt;&gt;"TXO"),L1182,"")</f>
        <v/>
      </c>
    </row>
    <row r="1183" hidden="1" outlineLevel="2" ht="17.25" customHeight="1" thickBot="1">
      <c r="A1183" s="696" t="n">
        <v>43384</v>
      </c>
      <c r="B1183" s="234" t="inlineStr">
        <is>
          <t>FIMTX</t>
        </is>
      </c>
      <c r="C1183" s="229" t="inlineStr">
        <is>
          <t>小指10</t>
        </is>
      </c>
      <c r="D1183" s="229" t="inlineStr">
        <is>
          <t>平倉</t>
        </is>
      </c>
      <c r="E1183" s="257" t="inlineStr">
        <is>
          <t>賣</t>
        </is>
      </c>
      <c r="F1183" s="229" t="inlineStr">
        <is>
          <t>-</t>
        </is>
      </c>
      <c r="G1183" s="697" t="n">
        <v>1</v>
      </c>
      <c r="H1183" s="697" t="n">
        <v>9715</v>
      </c>
      <c r="I1183" s="697" t="n">
        <v>0</v>
      </c>
      <c r="J1183" s="585" t="n">
        <v>18</v>
      </c>
      <c r="K1183" s="585" t="n">
        <v>10</v>
      </c>
      <c r="L1183" s="585">
        <f>IF(B1183="TXO",I1183-SUM(J1183:K1183),IF(B1183="FITX",IF(D1183="新倉",-SUM(J1183:K1183),IF(E1183="賣",(H1183-H1182)*G1183*200-SUM(J1183:K1183),(H1182-H1183)*G1183*200-SUM(J1183:K1183))),IF(D1183="新倉",-SUM(J1183:K1183),IF(E1183="賣",(H1183-H1182)*G1183*50-SUM(J1183:K1183),(H1182-H1183)*G1183*50-SUM(J1183:K1183)))))</f>
        <v/>
      </c>
      <c r="M1183" s="699">
        <f>L1183</f>
        <v/>
      </c>
      <c r="N1183" s="686">
        <f>IF(B1183="TXO","",IF(D1183="新倉","",IF(E1183="賣",(H1183-H1182)*G1183,(H1182-H1183)*G1183)))</f>
        <v/>
      </c>
      <c r="O1183" s="226">
        <f>ABS(I1183)</f>
        <v/>
      </c>
      <c r="P1183" s="667" t="n"/>
      <c r="S1183" s="249" t="inlineStr">
        <is>
          <t>Yes</t>
        </is>
      </c>
      <c r="T1183" s="61">
        <f>IF(AND(R1183="Yes",S1183&lt;&gt;"Yes",L1183&gt;0,B1183&lt;&gt;"TXO"),L1183,"")</f>
        <v/>
      </c>
      <c r="U1183" s="61">
        <f>IF(AND(R1183="Yes",S1183&lt;&gt;"Yes",L1183&lt;0,B1183&lt;&gt;"TXO"),L1183,"")</f>
        <v/>
      </c>
      <c r="V1183" s="61">
        <f>IF(AND(R1183="",S1183&lt;&gt;"Yes",L1183&gt;0,B1183&lt;&gt;"TXO"),L1183,"")</f>
        <v/>
      </c>
      <c r="W1183" s="61">
        <f>IF(AND(R1183="",S1183&lt;&gt;"Yes",L1183&lt;0,B1183&lt;&gt;"TXO"),L1183,"")</f>
        <v/>
      </c>
      <c r="X1183" s="226">
        <f>IF(AND(R1183="Yes",S1183="Yes",L1183&gt;0,B1183&lt;&gt;"TXO"),L1183,"")</f>
        <v/>
      </c>
      <c r="Y1183" s="226">
        <f>IF(AND(R1183="Yes",S1183="Yes",L1183&lt;0,B1183&lt;&gt;"TXO"),L1183,"")</f>
        <v/>
      </c>
      <c r="Z1183" s="226">
        <f>IF(AND(R1183="",S1183="Yes",L1183&gt;0,B1183&lt;&gt;"TXO"),L1183,"")</f>
        <v/>
      </c>
      <c r="AA1183" s="226">
        <f>IF(AND(R1183="",S1183="Yes",L1183&lt;0,B1183&lt;&gt;"TXO"),L1183,"")</f>
        <v/>
      </c>
    </row>
    <row r="1184" hidden="1" outlineLevel="2" ht="17.25" customHeight="1" thickBot="1">
      <c r="A1184" s="696" t="n">
        <v>43384</v>
      </c>
      <c r="B1184" s="234" t="inlineStr">
        <is>
          <t>FIMTX</t>
        </is>
      </c>
      <c r="C1184" s="229" t="inlineStr">
        <is>
          <t>小指10</t>
        </is>
      </c>
      <c r="D1184" s="229" t="inlineStr">
        <is>
          <t>新倉</t>
        </is>
      </c>
      <c r="E1184" s="257" t="inlineStr">
        <is>
          <t>買</t>
        </is>
      </c>
      <c r="F1184" s="229" t="inlineStr">
        <is>
          <t>-</t>
        </is>
      </c>
      <c r="G1184" s="697" t="n">
        <v>1</v>
      </c>
      <c r="H1184" s="697" t="n">
        <v>9726</v>
      </c>
      <c r="I1184" s="697" t="n">
        <v>0</v>
      </c>
      <c r="J1184" s="585" t="n">
        <v>18</v>
      </c>
      <c r="K1184" s="585" t="n">
        <v>10</v>
      </c>
      <c r="L1184" s="585">
        <f>IF(B1184="TXO",I1184-SUM(J1184:K1184),IF(B1184="FITX",IF(D1184="新倉",-SUM(J1184:K1184),IF(E1184="賣",(H1184-H1183)*G1184*200-SUM(J1184:K1184),(H1183-H1184)*G1184*200-SUM(J1184:K1184))),IF(D1184="新倉",-SUM(J1184:K1184),IF(E1184="賣",(H1184-H1183)*G1184*50-SUM(J1184:K1184),(H1183-H1184)*G1184*50-SUM(J1184:K1184)))))</f>
        <v/>
      </c>
      <c r="M1184" s="699">
        <f>L1184</f>
        <v/>
      </c>
      <c r="N1184" s="686">
        <f>IF(B1184="TXO","",IF(D1184="新倉","",IF(E1184="賣",(H1184-H1183)*G1184,(H1183-H1184)*G1184)))</f>
        <v/>
      </c>
      <c r="O1184" s="226">
        <f>ABS(I1184)</f>
        <v/>
      </c>
      <c r="P1184" s="667" t="n"/>
      <c r="S1184" s="249" t="inlineStr">
        <is>
          <t>Yes</t>
        </is>
      </c>
      <c r="T1184" s="61">
        <f>IF(AND(R1184="Yes",S1184&lt;&gt;"Yes",L1184&gt;0,B1184&lt;&gt;"TXO"),L1184,"")</f>
        <v/>
      </c>
      <c r="U1184" s="61">
        <f>IF(AND(R1184="Yes",S1184&lt;&gt;"Yes",L1184&lt;0,B1184&lt;&gt;"TXO"),L1184,"")</f>
        <v/>
      </c>
      <c r="V1184" s="61">
        <f>IF(AND(R1184="",S1184&lt;&gt;"Yes",L1184&gt;0,B1184&lt;&gt;"TXO"),L1184,"")</f>
        <v/>
      </c>
      <c r="W1184" s="61">
        <f>IF(AND(R1184="",S1184&lt;&gt;"Yes",L1184&lt;0,B1184&lt;&gt;"TXO"),L1184,"")</f>
        <v/>
      </c>
      <c r="X1184" s="226">
        <f>IF(AND(R1184="Yes",S1184="Yes",L1184&gt;0,B1184&lt;&gt;"TXO"),L1184,"")</f>
        <v/>
      </c>
      <c r="Y1184" s="226">
        <f>IF(AND(R1184="Yes",S1184="Yes",L1184&lt;0,B1184&lt;&gt;"TXO"),L1184,"")</f>
        <v/>
      </c>
      <c r="Z1184" s="226">
        <f>IF(AND(R1184="",S1184="Yes",L1184&gt;0,B1184&lt;&gt;"TXO"),L1184,"")</f>
        <v/>
      </c>
      <c r="AA1184" s="226">
        <f>IF(AND(R1184="",S1184="Yes",L1184&lt;0,B1184&lt;&gt;"TXO"),L1184,"")</f>
        <v/>
      </c>
    </row>
    <row r="1185" hidden="1" outlineLevel="2" ht="17.25" customHeight="1" thickBot="1">
      <c r="A1185" s="696" t="n">
        <v>43384</v>
      </c>
      <c r="B1185" s="234" t="inlineStr">
        <is>
          <t>FIMTX</t>
        </is>
      </c>
      <c r="C1185" s="229" t="inlineStr">
        <is>
          <t>小指10</t>
        </is>
      </c>
      <c r="D1185" s="229" t="inlineStr">
        <is>
          <t>平倉</t>
        </is>
      </c>
      <c r="E1185" s="257" t="inlineStr">
        <is>
          <t>賣</t>
        </is>
      </c>
      <c r="F1185" s="229" t="inlineStr">
        <is>
          <t>-</t>
        </is>
      </c>
      <c r="G1185" s="697" t="n">
        <v>1</v>
      </c>
      <c r="H1185" s="697" t="n">
        <v>9736</v>
      </c>
      <c r="I1185" s="697" t="n">
        <v>0</v>
      </c>
      <c r="J1185" s="585" t="n">
        <v>18</v>
      </c>
      <c r="K1185" s="585" t="n">
        <v>10</v>
      </c>
      <c r="L1185" s="585">
        <f>IF(B1185="TXO",I1185-SUM(J1185:K1185),IF(B1185="FITX",IF(D1185="新倉",-SUM(J1185:K1185),IF(E1185="賣",(H1185-H1184)*G1185*200-SUM(J1185:K1185),(H1184-H1185)*G1185*200-SUM(J1185:K1185))),IF(D1185="新倉",-SUM(J1185:K1185),IF(E1185="賣",(H1185-H1184)*G1185*50-SUM(J1185:K1185),(H1184-H1185)*G1185*50-SUM(J1185:K1185)))))</f>
        <v/>
      </c>
      <c r="M1185" s="699">
        <f>L1185</f>
        <v/>
      </c>
      <c r="N1185" s="686">
        <f>IF(B1185="TXO","",IF(D1185="新倉","",IF(E1185="賣",(H1185-H1184)*G1185,(H1184-H1185)*G1185)))</f>
        <v/>
      </c>
      <c r="O1185" s="226">
        <f>ABS(I1185)</f>
        <v/>
      </c>
      <c r="P1185" s="667" t="n"/>
      <c r="S1185" s="249" t="inlineStr">
        <is>
          <t>Yes</t>
        </is>
      </c>
      <c r="T1185" s="61">
        <f>IF(AND(R1185="Yes",S1185&lt;&gt;"Yes",L1185&gt;0,B1185&lt;&gt;"TXO"),L1185,"")</f>
        <v/>
      </c>
      <c r="U1185" s="61">
        <f>IF(AND(R1185="Yes",S1185&lt;&gt;"Yes",L1185&lt;0,B1185&lt;&gt;"TXO"),L1185,"")</f>
        <v/>
      </c>
      <c r="V1185" s="61">
        <f>IF(AND(R1185="",S1185&lt;&gt;"Yes",L1185&gt;0,B1185&lt;&gt;"TXO"),L1185,"")</f>
        <v/>
      </c>
      <c r="W1185" s="61">
        <f>IF(AND(R1185="",S1185&lt;&gt;"Yes",L1185&lt;0,B1185&lt;&gt;"TXO"),L1185,"")</f>
        <v/>
      </c>
      <c r="X1185" s="226">
        <f>IF(AND(R1185="Yes",S1185="Yes",L1185&gt;0,B1185&lt;&gt;"TXO"),L1185,"")</f>
        <v/>
      </c>
      <c r="Y1185" s="226">
        <f>IF(AND(R1185="Yes",S1185="Yes",L1185&lt;0,B1185&lt;&gt;"TXO"),L1185,"")</f>
        <v/>
      </c>
      <c r="Z1185" s="226">
        <f>IF(AND(R1185="",S1185="Yes",L1185&gt;0,B1185&lt;&gt;"TXO"),L1185,"")</f>
        <v/>
      </c>
      <c r="AA1185" s="226">
        <f>IF(AND(R1185="",S1185="Yes",L1185&lt;0,B1185&lt;&gt;"TXO"),L1185,"")</f>
        <v/>
      </c>
    </row>
    <row r="1186" hidden="1" outlineLevel="2" ht="17.25" customHeight="1" thickBot="1">
      <c r="A1186" s="696" t="n">
        <v>43384</v>
      </c>
      <c r="B1186" s="234" t="inlineStr">
        <is>
          <t>FIMTX</t>
        </is>
      </c>
      <c r="C1186" s="229" t="inlineStr">
        <is>
          <t>小指10</t>
        </is>
      </c>
      <c r="D1186" s="229" t="inlineStr">
        <is>
          <t>新倉</t>
        </is>
      </c>
      <c r="E1186" s="257" t="inlineStr">
        <is>
          <t>買</t>
        </is>
      </c>
      <c r="F1186" s="229" t="inlineStr">
        <is>
          <t>-</t>
        </is>
      </c>
      <c r="G1186" s="697" t="n">
        <v>1</v>
      </c>
      <c r="H1186" s="697" t="n">
        <v>9736</v>
      </c>
      <c r="I1186" s="697" t="n">
        <v>0</v>
      </c>
      <c r="J1186" s="585" t="n">
        <v>18</v>
      </c>
      <c r="K1186" s="585" t="n">
        <v>10</v>
      </c>
      <c r="L1186" s="585">
        <f>IF(B1186="TXO",I1186-SUM(J1186:K1186),IF(B1186="FITX",IF(D1186="新倉",-SUM(J1186:K1186),IF(E1186="賣",(H1186-H1185)*G1186*200-SUM(J1186:K1186),(H1185-H1186)*G1186*200-SUM(J1186:K1186))),IF(D1186="新倉",-SUM(J1186:K1186),IF(E1186="賣",(H1186-H1185)*G1186*50-SUM(J1186:K1186),(H1185-H1186)*G1186*50-SUM(J1186:K1186)))))</f>
        <v/>
      </c>
      <c r="M1186" s="699">
        <f>L1186</f>
        <v/>
      </c>
      <c r="N1186" s="686">
        <f>IF(B1186="TXO","",IF(D1186="新倉","",IF(E1186="賣",(H1186-H1185)*G1186,(H1185-H1186)*G1186)))</f>
        <v/>
      </c>
      <c r="O1186" s="226">
        <f>ABS(I1186)</f>
        <v/>
      </c>
      <c r="P1186" s="667" t="n"/>
      <c r="S1186" s="249" t="inlineStr">
        <is>
          <t>Yes</t>
        </is>
      </c>
      <c r="T1186" s="61">
        <f>IF(AND(R1186="Yes",S1186&lt;&gt;"Yes",L1186&gt;0,B1186&lt;&gt;"TXO"),L1186,"")</f>
        <v/>
      </c>
      <c r="U1186" s="61">
        <f>IF(AND(R1186="Yes",S1186&lt;&gt;"Yes",L1186&lt;0,B1186&lt;&gt;"TXO"),L1186,"")</f>
        <v/>
      </c>
      <c r="V1186" s="61">
        <f>IF(AND(R1186="",S1186&lt;&gt;"Yes",L1186&gt;0,B1186&lt;&gt;"TXO"),L1186,"")</f>
        <v/>
      </c>
      <c r="W1186" s="61">
        <f>IF(AND(R1186="",S1186&lt;&gt;"Yes",L1186&lt;0,B1186&lt;&gt;"TXO"),L1186,"")</f>
        <v/>
      </c>
      <c r="X1186" s="226">
        <f>IF(AND(R1186="Yes",S1186="Yes",L1186&gt;0,B1186&lt;&gt;"TXO"),L1186,"")</f>
        <v/>
      </c>
      <c r="Y1186" s="226">
        <f>IF(AND(R1186="Yes",S1186="Yes",L1186&lt;0,B1186&lt;&gt;"TXO"),L1186,"")</f>
        <v/>
      </c>
      <c r="Z1186" s="226">
        <f>IF(AND(R1186="",S1186="Yes",L1186&gt;0,B1186&lt;&gt;"TXO"),L1186,"")</f>
        <v/>
      </c>
      <c r="AA1186" s="226">
        <f>IF(AND(R1186="",S1186="Yes",L1186&lt;0,B1186&lt;&gt;"TXO"),L1186,"")</f>
        <v/>
      </c>
    </row>
    <row r="1187" hidden="1" outlineLevel="2" ht="17.25" customHeight="1" thickBot="1">
      <c r="A1187" s="696" t="n">
        <v>43384</v>
      </c>
      <c r="B1187" s="234" t="inlineStr">
        <is>
          <t>FIMTX</t>
        </is>
      </c>
      <c r="C1187" s="229" t="inlineStr">
        <is>
          <t>小指10</t>
        </is>
      </c>
      <c r="D1187" s="229" t="inlineStr">
        <is>
          <t>平倉</t>
        </is>
      </c>
      <c r="E1187" s="257" t="inlineStr">
        <is>
          <t>賣</t>
        </is>
      </c>
      <c r="F1187" s="229" t="inlineStr">
        <is>
          <t>-</t>
        </is>
      </c>
      <c r="G1187" s="697" t="n">
        <v>1</v>
      </c>
      <c r="H1187" s="697" t="n">
        <v>9736</v>
      </c>
      <c r="I1187" s="697" t="n">
        <v>0</v>
      </c>
      <c r="J1187" s="585" t="n">
        <v>18</v>
      </c>
      <c r="K1187" s="585" t="n">
        <v>10</v>
      </c>
      <c r="L1187" s="585">
        <f>IF(B1187="TXO",I1187-SUM(J1187:K1187),IF(B1187="FITX",IF(D1187="新倉",-SUM(J1187:K1187),IF(E1187="賣",(H1187-H1186)*G1187*200-SUM(J1187:K1187),(H1186-H1187)*G1187*200-SUM(J1187:K1187))),IF(D1187="新倉",-SUM(J1187:K1187),IF(E1187="賣",(H1187-H1186)*G1187*50-SUM(J1187:K1187),(H1186-H1187)*G1187*50-SUM(J1187:K1187)))))</f>
        <v/>
      </c>
      <c r="M1187" s="699">
        <f>L1187</f>
        <v/>
      </c>
      <c r="N1187" s="686">
        <f>IF(B1187="TXO","",IF(D1187="新倉","",IF(E1187="賣",(H1187-H1186)*G1187,(H1186-H1187)*G1187)))</f>
        <v/>
      </c>
      <c r="O1187" s="226">
        <f>ABS(I1187)</f>
        <v/>
      </c>
      <c r="P1187" s="667" t="n"/>
      <c r="S1187" s="249" t="inlineStr">
        <is>
          <t>Yes</t>
        </is>
      </c>
      <c r="T1187" s="61">
        <f>IF(AND(R1187="Yes",S1187&lt;&gt;"Yes",L1187&gt;0,B1187&lt;&gt;"TXO"),L1187,"")</f>
        <v/>
      </c>
      <c r="U1187" s="61">
        <f>IF(AND(R1187="Yes",S1187&lt;&gt;"Yes",L1187&lt;0,B1187&lt;&gt;"TXO"),L1187,"")</f>
        <v/>
      </c>
      <c r="V1187" s="61">
        <f>IF(AND(R1187="",S1187&lt;&gt;"Yes",L1187&gt;0,B1187&lt;&gt;"TXO"),L1187,"")</f>
        <v/>
      </c>
      <c r="W1187" s="61">
        <f>IF(AND(R1187="",S1187&lt;&gt;"Yes",L1187&lt;0,B1187&lt;&gt;"TXO"),L1187,"")</f>
        <v/>
      </c>
      <c r="X1187" s="226">
        <f>IF(AND(R1187="Yes",S1187="Yes",L1187&gt;0,B1187&lt;&gt;"TXO"),L1187,"")</f>
        <v/>
      </c>
      <c r="Y1187" s="226">
        <f>IF(AND(R1187="Yes",S1187="Yes",L1187&lt;0,B1187&lt;&gt;"TXO"),L1187,"")</f>
        <v/>
      </c>
      <c r="Z1187" s="226">
        <f>IF(AND(R1187="",S1187="Yes",L1187&gt;0,B1187&lt;&gt;"TXO"),L1187,"")</f>
        <v/>
      </c>
      <c r="AA1187" s="226">
        <f>IF(AND(R1187="",S1187="Yes",L1187&lt;0,B1187&lt;&gt;"TXO"),L1187,"")</f>
        <v/>
      </c>
    </row>
    <row r="1188" hidden="1" outlineLevel="2" ht="17.25" customHeight="1" thickBot="1">
      <c r="A1188" s="696" t="n">
        <v>43384</v>
      </c>
      <c r="B1188" s="234" t="inlineStr">
        <is>
          <t>FIMTX</t>
        </is>
      </c>
      <c r="C1188" s="229" t="inlineStr">
        <is>
          <t>小指10</t>
        </is>
      </c>
      <c r="D1188" s="229" t="inlineStr">
        <is>
          <t>新倉</t>
        </is>
      </c>
      <c r="E1188" s="257" t="inlineStr">
        <is>
          <t>買</t>
        </is>
      </c>
      <c r="F1188" s="229" t="inlineStr">
        <is>
          <t>-</t>
        </is>
      </c>
      <c r="G1188" s="697" t="n">
        <v>1</v>
      </c>
      <c r="H1188" s="697" t="n">
        <v>9734</v>
      </c>
      <c r="I1188" s="697" t="n">
        <v>0</v>
      </c>
      <c r="J1188" s="585" t="n">
        <v>18</v>
      </c>
      <c r="K1188" s="585" t="n">
        <v>10</v>
      </c>
      <c r="L1188" s="585">
        <f>IF(B1188="TXO",I1188-SUM(J1188:K1188),IF(B1188="FITX",IF(D1188="新倉",-SUM(J1188:K1188),IF(E1188="賣",(H1188-H1187)*G1188*200-SUM(J1188:K1188),(H1187-H1188)*G1188*200-SUM(J1188:K1188))),IF(D1188="新倉",-SUM(J1188:K1188),IF(E1188="賣",(H1188-H1187)*G1188*50-SUM(J1188:K1188),(H1187-H1188)*G1188*50-SUM(J1188:K1188)))))</f>
        <v/>
      </c>
      <c r="M1188" s="699">
        <f>L1188</f>
        <v/>
      </c>
      <c r="N1188" s="686">
        <f>IF(B1188="TXO","",IF(D1188="新倉","",IF(E1188="賣",(H1188-H1187)*G1188,(H1187-H1188)*G1188)))</f>
        <v/>
      </c>
      <c r="O1188" s="226">
        <f>ABS(I1188)</f>
        <v/>
      </c>
      <c r="P1188" s="667" t="n"/>
      <c r="S1188" s="249" t="inlineStr">
        <is>
          <t>Yes</t>
        </is>
      </c>
      <c r="T1188" s="61">
        <f>IF(AND(R1188="Yes",S1188&lt;&gt;"Yes",L1188&gt;0,B1188&lt;&gt;"TXO"),L1188,"")</f>
        <v/>
      </c>
      <c r="U1188" s="61">
        <f>IF(AND(R1188="Yes",S1188&lt;&gt;"Yes",L1188&lt;0,B1188&lt;&gt;"TXO"),L1188,"")</f>
        <v/>
      </c>
      <c r="V1188" s="61">
        <f>IF(AND(R1188="",S1188&lt;&gt;"Yes",L1188&gt;0,B1188&lt;&gt;"TXO"),L1188,"")</f>
        <v/>
      </c>
      <c r="W1188" s="61">
        <f>IF(AND(R1188="",S1188&lt;&gt;"Yes",L1188&lt;0,B1188&lt;&gt;"TXO"),L1188,"")</f>
        <v/>
      </c>
      <c r="X1188" s="226">
        <f>IF(AND(R1188="Yes",S1188="Yes",L1188&gt;0,B1188&lt;&gt;"TXO"),L1188,"")</f>
        <v/>
      </c>
      <c r="Y1188" s="226">
        <f>IF(AND(R1188="Yes",S1188="Yes",L1188&lt;0,B1188&lt;&gt;"TXO"),L1188,"")</f>
        <v/>
      </c>
      <c r="Z1188" s="226">
        <f>IF(AND(R1188="",S1188="Yes",L1188&gt;0,B1188&lt;&gt;"TXO"),L1188,"")</f>
        <v/>
      </c>
      <c r="AA1188" s="226">
        <f>IF(AND(R1188="",S1188="Yes",L1188&lt;0,B1188&lt;&gt;"TXO"),L1188,"")</f>
        <v/>
      </c>
    </row>
    <row r="1189" hidden="1" outlineLevel="2" ht="17.25" customHeight="1" thickBot="1">
      <c r="A1189" s="696" t="n">
        <v>43384</v>
      </c>
      <c r="B1189" s="234" t="inlineStr">
        <is>
          <t>FIMTX</t>
        </is>
      </c>
      <c r="C1189" s="229" t="inlineStr">
        <is>
          <t>小指10</t>
        </is>
      </c>
      <c r="D1189" s="229" t="inlineStr">
        <is>
          <t>平倉</t>
        </is>
      </c>
      <c r="E1189" s="257" t="inlineStr">
        <is>
          <t>賣</t>
        </is>
      </c>
      <c r="F1189" s="229" t="inlineStr">
        <is>
          <t>-</t>
        </is>
      </c>
      <c r="G1189" s="697" t="n">
        <v>1</v>
      </c>
      <c r="H1189" s="697" t="n">
        <v>9735</v>
      </c>
      <c r="I1189" s="697" t="n">
        <v>0</v>
      </c>
      <c r="J1189" s="585" t="n">
        <v>18</v>
      </c>
      <c r="K1189" s="585" t="n">
        <v>10</v>
      </c>
      <c r="L1189" s="585">
        <f>IF(B1189="TXO",I1189-SUM(J1189:K1189),IF(B1189="FITX",IF(D1189="新倉",-SUM(J1189:K1189),IF(E1189="賣",(H1189-H1188)*G1189*200-SUM(J1189:K1189),(H1188-H1189)*G1189*200-SUM(J1189:K1189))),IF(D1189="新倉",-SUM(J1189:K1189),IF(E1189="賣",(H1189-H1188)*G1189*50-SUM(J1189:K1189),(H1188-H1189)*G1189*50-SUM(J1189:K1189)))))</f>
        <v/>
      </c>
      <c r="M1189" s="699">
        <f>L1189</f>
        <v/>
      </c>
      <c r="N1189" s="686">
        <f>IF(B1189="TXO","",IF(D1189="新倉","",IF(E1189="賣",(H1189-H1188)*G1189,(H1188-H1189)*G1189)))</f>
        <v/>
      </c>
      <c r="O1189" s="226">
        <f>ABS(I1189)</f>
        <v/>
      </c>
      <c r="P1189" s="667" t="n"/>
      <c r="S1189" s="249" t="inlineStr">
        <is>
          <t>Yes</t>
        </is>
      </c>
      <c r="T1189" s="61">
        <f>IF(AND(R1189="Yes",S1189&lt;&gt;"Yes",L1189&gt;0,B1189&lt;&gt;"TXO"),L1189,"")</f>
        <v/>
      </c>
      <c r="U1189" s="61">
        <f>IF(AND(R1189="Yes",S1189&lt;&gt;"Yes",L1189&lt;0,B1189&lt;&gt;"TXO"),L1189,"")</f>
        <v/>
      </c>
      <c r="V1189" s="61">
        <f>IF(AND(R1189="",S1189&lt;&gt;"Yes",L1189&gt;0,B1189&lt;&gt;"TXO"),L1189,"")</f>
        <v/>
      </c>
      <c r="W1189" s="61">
        <f>IF(AND(R1189="",S1189&lt;&gt;"Yes",L1189&lt;0,B1189&lt;&gt;"TXO"),L1189,"")</f>
        <v/>
      </c>
      <c r="X1189" s="226">
        <f>IF(AND(R1189="Yes",S1189="Yes",L1189&gt;0,B1189&lt;&gt;"TXO"),L1189,"")</f>
        <v/>
      </c>
      <c r="Y1189" s="226">
        <f>IF(AND(R1189="Yes",S1189="Yes",L1189&lt;0,B1189&lt;&gt;"TXO"),L1189,"")</f>
        <v/>
      </c>
      <c r="Z1189" s="226">
        <f>IF(AND(R1189="",S1189="Yes",L1189&gt;0,B1189&lt;&gt;"TXO"),L1189,"")</f>
        <v/>
      </c>
      <c r="AA1189" s="226">
        <f>IF(AND(R1189="",S1189="Yes",L1189&lt;0,B1189&lt;&gt;"TXO"),L1189,"")</f>
        <v/>
      </c>
    </row>
    <row r="1190" hidden="1" outlineLevel="2" ht="17.25" customHeight="1" thickBot="1">
      <c r="A1190" s="696" t="n">
        <v>43384</v>
      </c>
      <c r="B1190" s="234" t="inlineStr">
        <is>
          <t>FIMTX</t>
        </is>
      </c>
      <c r="C1190" s="229" t="inlineStr">
        <is>
          <t>小指10</t>
        </is>
      </c>
      <c r="D1190" s="229" t="inlineStr">
        <is>
          <t>新倉</t>
        </is>
      </c>
      <c r="E1190" s="257" t="inlineStr">
        <is>
          <t>買</t>
        </is>
      </c>
      <c r="F1190" s="229" t="inlineStr">
        <is>
          <t>-</t>
        </is>
      </c>
      <c r="G1190" s="697" t="n">
        <v>1</v>
      </c>
      <c r="H1190" s="697" t="n">
        <v>9724</v>
      </c>
      <c r="I1190" s="697" t="n">
        <v>0</v>
      </c>
      <c r="J1190" s="585" t="n">
        <v>18</v>
      </c>
      <c r="K1190" s="585" t="n">
        <v>10</v>
      </c>
      <c r="L1190" s="585">
        <f>IF(B1190="TXO",I1190-SUM(J1190:K1190),IF(B1190="FITX",IF(D1190="新倉",-SUM(J1190:K1190),IF(E1190="賣",(H1190-H1189)*G1190*200-SUM(J1190:K1190),(H1189-H1190)*G1190*200-SUM(J1190:K1190))),IF(D1190="新倉",-SUM(J1190:K1190),IF(E1190="賣",(H1190-H1189)*G1190*50-SUM(J1190:K1190),(H1189-H1190)*G1190*50-SUM(J1190:K1190)))))</f>
        <v/>
      </c>
      <c r="M1190" s="699">
        <f>L1190</f>
        <v/>
      </c>
      <c r="N1190" s="686">
        <f>IF(B1190="TXO","",IF(D1190="新倉","",IF(E1190="賣",(H1190-H1189)*G1190,(H1189-H1190)*G1190)))</f>
        <v/>
      </c>
      <c r="O1190" s="226">
        <f>ABS(I1190)</f>
        <v/>
      </c>
      <c r="P1190" s="667" t="n"/>
      <c r="S1190" s="249" t="inlineStr">
        <is>
          <t>Yes</t>
        </is>
      </c>
      <c r="T1190" s="61">
        <f>IF(AND(R1190="Yes",S1190&lt;&gt;"Yes",L1190&gt;0,B1190&lt;&gt;"TXO"),L1190,"")</f>
        <v/>
      </c>
      <c r="U1190" s="61">
        <f>IF(AND(R1190="Yes",S1190&lt;&gt;"Yes",L1190&lt;0,B1190&lt;&gt;"TXO"),L1190,"")</f>
        <v/>
      </c>
      <c r="V1190" s="61">
        <f>IF(AND(R1190="",S1190&lt;&gt;"Yes",L1190&gt;0,B1190&lt;&gt;"TXO"),L1190,"")</f>
        <v/>
      </c>
      <c r="W1190" s="61">
        <f>IF(AND(R1190="",S1190&lt;&gt;"Yes",L1190&lt;0,B1190&lt;&gt;"TXO"),L1190,"")</f>
        <v/>
      </c>
      <c r="X1190" s="226">
        <f>IF(AND(R1190="Yes",S1190="Yes",L1190&gt;0,B1190&lt;&gt;"TXO"),L1190,"")</f>
        <v/>
      </c>
      <c r="Y1190" s="226">
        <f>IF(AND(R1190="Yes",S1190="Yes",L1190&lt;0,B1190&lt;&gt;"TXO"),L1190,"")</f>
        <v/>
      </c>
      <c r="Z1190" s="226">
        <f>IF(AND(R1190="",S1190="Yes",L1190&gt;0,B1190&lt;&gt;"TXO"),L1190,"")</f>
        <v/>
      </c>
      <c r="AA1190" s="226">
        <f>IF(AND(R1190="",S1190="Yes",L1190&lt;0,B1190&lt;&gt;"TXO"),L1190,"")</f>
        <v/>
      </c>
    </row>
    <row r="1191" hidden="1" outlineLevel="2" ht="17.25" customHeight="1" thickBot="1">
      <c r="A1191" s="696" t="n">
        <v>43384</v>
      </c>
      <c r="B1191" s="234" t="inlineStr">
        <is>
          <t>FIMTX</t>
        </is>
      </c>
      <c r="C1191" s="229" t="inlineStr">
        <is>
          <t>小指10</t>
        </is>
      </c>
      <c r="D1191" s="229" t="inlineStr">
        <is>
          <t>平倉</t>
        </is>
      </c>
      <c r="E1191" s="257" t="inlineStr">
        <is>
          <t>賣</t>
        </is>
      </c>
      <c r="F1191" s="229" t="inlineStr">
        <is>
          <t>-</t>
        </is>
      </c>
      <c r="G1191" s="697" t="n">
        <v>1</v>
      </c>
      <c r="H1191" s="697" t="n">
        <v>9735</v>
      </c>
      <c r="I1191" s="697" t="n">
        <v>0</v>
      </c>
      <c r="J1191" s="585" t="n">
        <v>18</v>
      </c>
      <c r="K1191" s="585" t="n">
        <v>10</v>
      </c>
      <c r="L1191" s="585">
        <f>IF(B1191="TXO",I1191-SUM(J1191:K1191),IF(B1191="FITX",IF(D1191="新倉",-SUM(J1191:K1191),IF(E1191="賣",(H1191-H1190)*G1191*200-SUM(J1191:K1191),(H1190-H1191)*G1191*200-SUM(J1191:K1191))),IF(D1191="新倉",-SUM(J1191:K1191),IF(E1191="賣",(H1191-H1190)*G1191*50-SUM(J1191:K1191),(H1190-H1191)*G1191*50-SUM(J1191:K1191)))))</f>
        <v/>
      </c>
      <c r="M1191" s="699">
        <f>L1191</f>
        <v/>
      </c>
      <c r="N1191" s="686">
        <f>IF(B1191="TXO","",IF(D1191="新倉","",IF(E1191="賣",(H1191-H1190)*G1191,(H1190-H1191)*G1191)))</f>
        <v/>
      </c>
      <c r="O1191" s="226">
        <f>ABS(I1191)</f>
        <v/>
      </c>
      <c r="P1191" s="667" t="n"/>
      <c r="S1191" s="249" t="inlineStr">
        <is>
          <t>Yes</t>
        </is>
      </c>
      <c r="T1191" s="61">
        <f>IF(AND(R1191="Yes",S1191&lt;&gt;"Yes",L1191&gt;0,B1191&lt;&gt;"TXO"),L1191,"")</f>
        <v/>
      </c>
      <c r="U1191" s="61">
        <f>IF(AND(R1191="Yes",S1191&lt;&gt;"Yes",L1191&lt;0,B1191&lt;&gt;"TXO"),L1191,"")</f>
        <v/>
      </c>
      <c r="V1191" s="61">
        <f>IF(AND(R1191="",S1191&lt;&gt;"Yes",L1191&gt;0,B1191&lt;&gt;"TXO"),L1191,"")</f>
        <v/>
      </c>
      <c r="W1191" s="61">
        <f>IF(AND(R1191="",S1191&lt;&gt;"Yes",L1191&lt;0,B1191&lt;&gt;"TXO"),L1191,"")</f>
        <v/>
      </c>
      <c r="X1191" s="226">
        <f>IF(AND(R1191="Yes",S1191="Yes",L1191&gt;0,B1191&lt;&gt;"TXO"),L1191,"")</f>
        <v/>
      </c>
      <c r="Y1191" s="226">
        <f>IF(AND(R1191="Yes",S1191="Yes",L1191&lt;0,B1191&lt;&gt;"TXO"),L1191,"")</f>
        <v/>
      </c>
      <c r="Z1191" s="226">
        <f>IF(AND(R1191="",S1191="Yes",L1191&gt;0,B1191&lt;&gt;"TXO"),L1191,"")</f>
        <v/>
      </c>
      <c r="AA1191" s="226">
        <f>IF(AND(R1191="",S1191="Yes",L1191&lt;0,B1191&lt;&gt;"TXO"),L1191,"")</f>
        <v/>
      </c>
    </row>
    <row r="1192" hidden="1" outlineLevel="2" ht="17.25" customHeight="1" thickBot="1">
      <c r="A1192" s="696" t="n">
        <v>43384</v>
      </c>
      <c r="B1192" s="234" t="inlineStr">
        <is>
          <t>FIMTX</t>
        </is>
      </c>
      <c r="C1192" s="229" t="inlineStr">
        <is>
          <t>小指10</t>
        </is>
      </c>
      <c r="D1192" s="229" t="inlineStr">
        <is>
          <t>新倉</t>
        </is>
      </c>
      <c r="E1192" s="257" t="inlineStr">
        <is>
          <t>買</t>
        </is>
      </c>
      <c r="F1192" s="229" t="inlineStr">
        <is>
          <t>-</t>
        </is>
      </c>
      <c r="G1192" s="697" t="n">
        <v>2</v>
      </c>
      <c r="H1192" s="697" t="n">
        <v>9742</v>
      </c>
      <c r="I1192" s="697" t="n">
        <v>0</v>
      </c>
      <c r="J1192" s="585" t="n">
        <v>36</v>
      </c>
      <c r="K1192" s="585" t="n">
        <v>20</v>
      </c>
      <c r="L1192" s="585">
        <f>IF(B1192="TXO",I1192-SUM(J1192:K1192),IF(B1192="FITX",IF(D1192="新倉",-SUM(J1192:K1192),IF(E1192="賣",(H1192-H1191)*G1192*200-SUM(J1192:K1192),(H1191-H1192)*G1192*200-SUM(J1192:K1192))),IF(D1192="新倉",-SUM(J1192:K1192),IF(E1192="賣",(H1192-H1191)*G1192*50-SUM(J1192:K1192),(H1191-H1192)*G1192*50-SUM(J1192:K1192)))))</f>
        <v/>
      </c>
      <c r="M1192" s="699">
        <f>L1192</f>
        <v/>
      </c>
      <c r="N1192" s="686">
        <f>IF(B1192="TXO","",IF(D1192="新倉","",IF(E1192="賣",(H1192-H1191)*G1192,(H1191-H1192)*G1192)))</f>
        <v/>
      </c>
      <c r="O1192" s="226">
        <f>ABS(I1192)</f>
        <v/>
      </c>
      <c r="P1192" s="667" t="n"/>
      <c r="S1192" s="249" t="inlineStr">
        <is>
          <t>Yes</t>
        </is>
      </c>
      <c r="T1192" s="61">
        <f>IF(AND(R1192="Yes",S1192&lt;&gt;"Yes",L1192&gt;0,B1192&lt;&gt;"TXO"),L1192,"")</f>
        <v/>
      </c>
      <c r="U1192" s="61">
        <f>IF(AND(R1192="Yes",S1192&lt;&gt;"Yes",L1192&lt;0,B1192&lt;&gt;"TXO"),L1192,"")</f>
        <v/>
      </c>
      <c r="V1192" s="61">
        <f>IF(AND(R1192="",S1192&lt;&gt;"Yes",L1192&gt;0,B1192&lt;&gt;"TXO"),L1192,"")</f>
        <v/>
      </c>
      <c r="W1192" s="61">
        <f>IF(AND(R1192="",S1192&lt;&gt;"Yes",L1192&lt;0,B1192&lt;&gt;"TXO"),L1192,"")</f>
        <v/>
      </c>
      <c r="X1192" s="226">
        <f>IF(AND(R1192="Yes",S1192="Yes",L1192&gt;0,B1192&lt;&gt;"TXO"),L1192,"")</f>
        <v/>
      </c>
      <c r="Y1192" s="226">
        <f>IF(AND(R1192="Yes",S1192="Yes",L1192&lt;0,B1192&lt;&gt;"TXO"),L1192,"")</f>
        <v/>
      </c>
      <c r="Z1192" s="226">
        <f>IF(AND(R1192="",S1192="Yes",L1192&gt;0,B1192&lt;&gt;"TXO"),L1192,"")</f>
        <v/>
      </c>
      <c r="AA1192" s="226">
        <f>IF(AND(R1192="",S1192="Yes",L1192&lt;0,B1192&lt;&gt;"TXO"),L1192,"")</f>
        <v/>
      </c>
    </row>
    <row r="1193" hidden="1" outlineLevel="2" ht="17.25" customHeight="1" thickBot="1">
      <c r="A1193" s="696" t="n">
        <v>43384</v>
      </c>
      <c r="B1193" s="234" t="inlineStr">
        <is>
          <t>FIMTX</t>
        </is>
      </c>
      <c r="C1193" s="229" t="inlineStr">
        <is>
          <t>小指10</t>
        </is>
      </c>
      <c r="D1193" s="229" t="inlineStr">
        <is>
          <t>平倉</t>
        </is>
      </c>
      <c r="E1193" s="257" t="inlineStr">
        <is>
          <t>賣</t>
        </is>
      </c>
      <c r="F1193" s="229" t="inlineStr">
        <is>
          <t>-</t>
        </is>
      </c>
      <c r="G1193" s="697" t="n">
        <v>2</v>
      </c>
      <c r="H1193" s="697" t="n">
        <v>9753</v>
      </c>
      <c r="I1193" s="697" t="n">
        <v>0</v>
      </c>
      <c r="J1193" s="585" t="n">
        <v>36</v>
      </c>
      <c r="K1193" s="585" t="n">
        <v>20</v>
      </c>
      <c r="L1193" s="585">
        <f>IF(B1193="TXO",I1193-SUM(J1193:K1193),IF(B1193="FITX",IF(D1193="新倉",-SUM(J1193:K1193),IF(E1193="賣",(H1193-H1192)*G1193*200-SUM(J1193:K1193),(H1192-H1193)*G1193*200-SUM(J1193:K1193))),IF(D1193="新倉",-SUM(J1193:K1193),IF(E1193="賣",(H1193-H1192)*G1193*50-SUM(J1193:K1193),(H1192-H1193)*G1193*50-SUM(J1193:K1193)))))</f>
        <v/>
      </c>
      <c r="M1193" s="699">
        <f>L1193</f>
        <v/>
      </c>
      <c r="N1193" s="686">
        <f>IF(B1193="TXO","",IF(D1193="新倉","",IF(E1193="賣",(H1193-H1192)*G1193,(H1192-H1193)*G1193)))</f>
        <v/>
      </c>
      <c r="O1193" s="226">
        <f>ABS(I1193)</f>
        <v/>
      </c>
      <c r="P1193" s="667" t="n"/>
      <c r="S1193" s="249" t="inlineStr">
        <is>
          <t>Yes</t>
        </is>
      </c>
      <c r="T1193" s="61">
        <f>IF(AND(R1193="Yes",S1193&lt;&gt;"Yes",L1193&gt;0,B1193&lt;&gt;"TXO"),L1193,"")</f>
        <v/>
      </c>
      <c r="U1193" s="61">
        <f>IF(AND(R1193="Yes",S1193&lt;&gt;"Yes",L1193&lt;0,B1193&lt;&gt;"TXO"),L1193,"")</f>
        <v/>
      </c>
      <c r="V1193" s="61">
        <f>IF(AND(R1193="",S1193&lt;&gt;"Yes",L1193&gt;0,B1193&lt;&gt;"TXO"),L1193,"")</f>
        <v/>
      </c>
      <c r="W1193" s="61">
        <f>IF(AND(R1193="",S1193&lt;&gt;"Yes",L1193&lt;0,B1193&lt;&gt;"TXO"),L1193,"")</f>
        <v/>
      </c>
      <c r="X1193" s="226">
        <f>IF(AND(R1193="Yes",S1193="Yes",L1193&gt;0,B1193&lt;&gt;"TXO"),L1193,"")</f>
        <v/>
      </c>
      <c r="Y1193" s="226">
        <f>IF(AND(R1193="Yes",S1193="Yes",L1193&lt;0,B1193&lt;&gt;"TXO"),L1193,"")</f>
        <v/>
      </c>
      <c r="Z1193" s="226">
        <f>IF(AND(R1193="",S1193="Yes",L1193&gt;0,B1193&lt;&gt;"TXO"),L1193,"")</f>
        <v/>
      </c>
      <c r="AA1193" s="226">
        <f>IF(AND(R1193="",S1193="Yes",L1193&lt;0,B1193&lt;&gt;"TXO"),L1193,"")</f>
        <v/>
      </c>
    </row>
    <row r="1194" hidden="1" outlineLevel="2" ht="17.25" customHeight="1" thickBot="1">
      <c r="A1194" s="696" t="n">
        <v>43384</v>
      </c>
      <c r="B1194" s="234" t="inlineStr">
        <is>
          <t>FIMTX</t>
        </is>
      </c>
      <c r="C1194" s="229" t="inlineStr">
        <is>
          <t>小指10</t>
        </is>
      </c>
      <c r="D1194" s="229" t="inlineStr">
        <is>
          <t>新倉</t>
        </is>
      </c>
      <c r="E1194" s="257" t="inlineStr">
        <is>
          <t>賣</t>
        </is>
      </c>
      <c r="F1194" s="229" t="inlineStr">
        <is>
          <t>-</t>
        </is>
      </c>
      <c r="G1194" s="697" t="n">
        <v>1</v>
      </c>
      <c r="H1194" s="697" t="n">
        <v>9719</v>
      </c>
      <c r="I1194" s="697" t="n">
        <v>0</v>
      </c>
      <c r="J1194" s="585" t="n">
        <v>18</v>
      </c>
      <c r="K1194" s="585" t="n">
        <v>10</v>
      </c>
      <c r="L1194" s="585">
        <f>IF(B1194="TXO",I1194-SUM(J1194:K1194),IF(B1194="FITX",IF(D1194="新倉",-SUM(J1194:K1194),IF(E1194="賣",(H1194-H1193)*G1194*200-SUM(J1194:K1194),(H1193-H1194)*G1194*200-SUM(J1194:K1194))),IF(D1194="新倉",-SUM(J1194:K1194),IF(E1194="賣",(H1194-H1193)*G1194*50-SUM(J1194:K1194),(H1193-H1194)*G1194*50-SUM(J1194:K1194)))))</f>
        <v/>
      </c>
      <c r="M1194" s="699">
        <f>L1194</f>
        <v/>
      </c>
      <c r="N1194" s="686">
        <f>IF(B1194="TXO","",IF(D1194="新倉","",IF(E1194="賣",(H1194-H1193)*G1194,(H1193-H1194)*G1194)))</f>
        <v/>
      </c>
      <c r="O1194" s="226">
        <f>ABS(I1194)</f>
        <v/>
      </c>
      <c r="P1194" s="667" t="n"/>
      <c r="S1194" s="249" t="inlineStr">
        <is>
          <t>Yes</t>
        </is>
      </c>
      <c r="T1194" s="61">
        <f>IF(AND(R1194="Yes",S1194&lt;&gt;"Yes",L1194&gt;0,B1194&lt;&gt;"TXO"),L1194,"")</f>
        <v/>
      </c>
      <c r="U1194" s="61">
        <f>IF(AND(R1194="Yes",S1194&lt;&gt;"Yes",L1194&lt;0,B1194&lt;&gt;"TXO"),L1194,"")</f>
        <v/>
      </c>
      <c r="V1194" s="61">
        <f>IF(AND(R1194="",S1194&lt;&gt;"Yes",L1194&gt;0,B1194&lt;&gt;"TXO"),L1194,"")</f>
        <v/>
      </c>
      <c r="W1194" s="61">
        <f>IF(AND(R1194="",S1194&lt;&gt;"Yes",L1194&lt;0,B1194&lt;&gt;"TXO"),L1194,"")</f>
        <v/>
      </c>
      <c r="X1194" s="226">
        <f>IF(AND(R1194="Yes",S1194="Yes",L1194&gt;0,B1194&lt;&gt;"TXO"),L1194,"")</f>
        <v/>
      </c>
      <c r="Y1194" s="226">
        <f>IF(AND(R1194="Yes",S1194="Yes",L1194&lt;0,B1194&lt;&gt;"TXO"),L1194,"")</f>
        <v/>
      </c>
      <c r="Z1194" s="226">
        <f>IF(AND(R1194="",S1194="Yes",L1194&gt;0,B1194&lt;&gt;"TXO"),L1194,"")</f>
        <v/>
      </c>
      <c r="AA1194" s="226">
        <f>IF(AND(R1194="",S1194="Yes",L1194&lt;0,B1194&lt;&gt;"TXO"),L1194,"")</f>
        <v/>
      </c>
    </row>
    <row r="1195" hidden="1" outlineLevel="2" ht="17.25" customHeight="1" thickBot="1">
      <c r="A1195" s="696" t="n">
        <v>43384</v>
      </c>
      <c r="B1195" s="234" t="inlineStr">
        <is>
          <t>FIMTX</t>
        </is>
      </c>
      <c r="C1195" s="229" t="inlineStr">
        <is>
          <t>小指10</t>
        </is>
      </c>
      <c r="D1195" s="229" t="inlineStr">
        <is>
          <t>平倉</t>
        </is>
      </c>
      <c r="E1195" s="257" t="inlineStr">
        <is>
          <t>買</t>
        </is>
      </c>
      <c r="F1195" s="229" t="inlineStr">
        <is>
          <t>-</t>
        </is>
      </c>
      <c r="G1195" s="697" t="n">
        <v>1</v>
      </c>
      <c r="H1195" s="697" t="n">
        <v>9709</v>
      </c>
      <c r="I1195" s="697" t="n">
        <v>0</v>
      </c>
      <c r="J1195" s="585" t="n">
        <v>18</v>
      </c>
      <c r="K1195" s="585" t="n">
        <v>10</v>
      </c>
      <c r="L1195" s="585">
        <f>IF(B1195="TXO",I1195-SUM(J1195:K1195),IF(B1195="FITX",IF(D1195="新倉",-SUM(J1195:K1195),IF(E1195="賣",(H1195-H1194)*G1195*200-SUM(J1195:K1195),(H1194-H1195)*G1195*200-SUM(J1195:K1195))),IF(D1195="新倉",-SUM(J1195:K1195),IF(E1195="賣",(H1195-H1194)*G1195*50-SUM(J1195:K1195),(H1194-H1195)*G1195*50-SUM(J1195:K1195)))))</f>
        <v/>
      </c>
      <c r="M1195" s="699">
        <f>L1195</f>
        <v/>
      </c>
      <c r="N1195" s="686">
        <f>IF(B1195="TXO","",IF(D1195="新倉","",IF(E1195="賣",(H1195-H1194)*G1195,(H1194-H1195)*G1195)))</f>
        <v/>
      </c>
      <c r="O1195" s="226">
        <f>ABS(I1195)</f>
        <v/>
      </c>
      <c r="P1195" s="667" t="n"/>
      <c r="S1195" s="249" t="inlineStr">
        <is>
          <t>Yes</t>
        </is>
      </c>
      <c r="T1195" s="61">
        <f>IF(AND(R1195="Yes",S1195&lt;&gt;"Yes",L1195&gt;0,B1195&lt;&gt;"TXO"),L1195,"")</f>
        <v/>
      </c>
      <c r="U1195" s="61">
        <f>IF(AND(R1195="Yes",S1195&lt;&gt;"Yes",L1195&lt;0,B1195&lt;&gt;"TXO"),L1195,"")</f>
        <v/>
      </c>
      <c r="V1195" s="61">
        <f>IF(AND(R1195="",S1195&lt;&gt;"Yes",L1195&gt;0,B1195&lt;&gt;"TXO"),L1195,"")</f>
        <v/>
      </c>
      <c r="W1195" s="61">
        <f>IF(AND(R1195="",S1195&lt;&gt;"Yes",L1195&lt;0,B1195&lt;&gt;"TXO"),L1195,"")</f>
        <v/>
      </c>
      <c r="X1195" s="226">
        <f>IF(AND(R1195="Yes",S1195="Yes",L1195&gt;0,B1195&lt;&gt;"TXO"),L1195,"")</f>
        <v/>
      </c>
      <c r="Y1195" s="226">
        <f>IF(AND(R1195="Yes",S1195="Yes",L1195&lt;0,B1195&lt;&gt;"TXO"),L1195,"")</f>
        <v/>
      </c>
      <c r="Z1195" s="226">
        <f>IF(AND(R1195="",S1195="Yes",L1195&gt;0,B1195&lt;&gt;"TXO"),L1195,"")</f>
        <v/>
      </c>
      <c r="AA1195" s="226">
        <f>IF(AND(R1195="",S1195="Yes",L1195&lt;0,B1195&lt;&gt;"TXO"),L1195,"")</f>
        <v/>
      </c>
    </row>
    <row r="1196" hidden="1" outlineLevel="2" ht="17.25" customHeight="1" thickBot="1">
      <c r="A1196" s="696" t="n">
        <v>43384</v>
      </c>
      <c r="B1196" s="234" t="inlineStr">
        <is>
          <t>FIMTX</t>
        </is>
      </c>
      <c r="C1196" s="229" t="inlineStr">
        <is>
          <t>小指10</t>
        </is>
      </c>
      <c r="D1196" s="229" t="inlineStr">
        <is>
          <t>新倉</t>
        </is>
      </c>
      <c r="E1196" s="257" t="inlineStr">
        <is>
          <t>賣</t>
        </is>
      </c>
      <c r="F1196" s="229" t="inlineStr">
        <is>
          <t>-</t>
        </is>
      </c>
      <c r="G1196" s="697" t="n">
        <v>1</v>
      </c>
      <c r="H1196" s="697" t="n">
        <v>9719</v>
      </c>
      <c r="I1196" s="697" t="n">
        <v>0</v>
      </c>
      <c r="J1196" s="585" t="n">
        <v>18</v>
      </c>
      <c r="K1196" s="585" t="n">
        <v>10</v>
      </c>
      <c r="L1196" s="585">
        <f>IF(B1196="TXO",I1196-SUM(J1196:K1196),IF(B1196="FITX",IF(D1196="新倉",-SUM(J1196:K1196),IF(E1196="賣",(H1196-H1195)*G1196*200-SUM(J1196:K1196),(H1195-H1196)*G1196*200-SUM(J1196:K1196))),IF(D1196="新倉",-SUM(J1196:K1196),IF(E1196="賣",(H1196-H1195)*G1196*50-SUM(J1196:K1196),(H1195-H1196)*G1196*50-SUM(J1196:K1196)))))</f>
        <v/>
      </c>
      <c r="M1196" s="699">
        <f>L1196</f>
        <v/>
      </c>
      <c r="N1196" s="686">
        <f>IF(B1196="TXO","",IF(D1196="新倉","",IF(E1196="賣",(H1196-H1195)*G1196,(H1195-H1196)*G1196)))</f>
        <v/>
      </c>
      <c r="O1196" s="226">
        <f>ABS(I1196)</f>
        <v/>
      </c>
      <c r="P1196" s="667" t="n"/>
      <c r="S1196" s="249" t="inlineStr">
        <is>
          <t>Yes</t>
        </is>
      </c>
      <c r="T1196" s="61">
        <f>IF(AND(R1196="Yes",S1196&lt;&gt;"Yes",L1196&gt;0,B1196&lt;&gt;"TXO"),L1196,"")</f>
        <v/>
      </c>
      <c r="U1196" s="61">
        <f>IF(AND(R1196="Yes",S1196&lt;&gt;"Yes",L1196&lt;0,B1196&lt;&gt;"TXO"),L1196,"")</f>
        <v/>
      </c>
      <c r="V1196" s="61">
        <f>IF(AND(R1196="",S1196&lt;&gt;"Yes",L1196&gt;0,B1196&lt;&gt;"TXO"),L1196,"")</f>
        <v/>
      </c>
      <c r="W1196" s="61">
        <f>IF(AND(R1196="",S1196&lt;&gt;"Yes",L1196&lt;0,B1196&lt;&gt;"TXO"),L1196,"")</f>
        <v/>
      </c>
      <c r="X1196" s="226">
        <f>IF(AND(R1196="Yes",S1196="Yes",L1196&gt;0,B1196&lt;&gt;"TXO"),L1196,"")</f>
        <v/>
      </c>
      <c r="Y1196" s="226">
        <f>IF(AND(R1196="Yes",S1196="Yes",L1196&lt;0,B1196&lt;&gt;"TXO"),L1196,"")</f>
        <v/>
      </c>
      <c r="Z1196" s="226">
        <f>IF(AND(R1196="",S1196="Yes",L1196&gt;0,B1196&lt;&gt;"TXO"),L1196,"")</f>
        <v/>
      </c>
      <c r="AA1196" s="226">
        <f>IF(AND(R1196="",S1196="Yes",L1196&lt;0,B1196&lt;&gt;"TXO"),L1196,"")</f>
        <v/>
      </c>
    </row>
    <row r="1197" hidden="1" outlineLevel="2" ht="17.25" customHeight="1" thickBot="1">
      <c r="A1197" s="696" t="n">
        <v>43384</v>
      </c>
      <c r="B1197" s="234" t="inlineStr">
        <is>
          <t>FIMTX</t>
        </is>
      </c>
      <c r="C1197" s="229" t="inlineStr">
        <is>
          <t>小指10</t>
        </is>
      </c>
      <c r="D1197" s="229" t="inlineStr">
        <is>
          <t>平倉</t>
        </is>
      </c>
      <c r="E1197" s="257" t="inlineStr">
        <is>
          <t>買</t>
        </is>
      </c>
      <c r="F1197" s="229" t="inlineStr">
        <is>
          <t>-</t>
        </is>
      </c>
      <c r="G1197" s="697" t="n">
        <v>1</v>
      </c>
      <c r="H1197" s="697" t="n">
        <v>9709</v>
      </c>
      <c r="I1197" s="697" t="n">
        <v>0</v>
      </c>
      <c r="J1197" s="585" t="n">
        <v>18</v>
      </c>
      <c r="K1197" s="585" t="n">
        <v>10</v>
      </c>
      <c r="L1197" s="585">
        <f>IF(B1197="TXO",I1197-SUM(J1197:K1197),IF(B1197="FITX",IF(D1197="新倉",-SUM(J1197:K1197),IF(E1197="賣",(H1197-H1196)*G1197*200-SUM(J1197:K1197),(H1196-H1197)*G1197*200-SUM(J1197:K1197))),IF(D1197="新倉",-SUM(J1197:K1197),IF(E1197="賣",(H1197-H1196)*G1197*50-SUM(J1197:K1197),(H1196-H1197)*G1197*50-SUM(J1197:K1197)))))</f>
        <v/>
      </c>
      <c r="M1197" s="699">
        <f>L1197</f>
        <v/>
      </c>
      <c r="N1197" s="686">
        <f>IF(B1197="TXO","",IF(D1197="新倉","",IF(E1197="賣",(H1197-H1196)*G1197,(H1196-H1197)*G1197)))</f>
        <v/>
      </c>
      <c r="O1197" s="226">
        <f>ABS(I1197)</f>
        <v/>
      </c>
      <c r="P1197" s="667" t="n"/>
      <c r="S1197" s="249" t="inlineStr">
        <is>
          <t>Yes</t>
        </is>
      </c>
      <c r="T1197" s="61">
        <f>IF(AND(R1197="Yes",S1197&lt;&gt;"Yes",L1197&gt;0,B1197&lt;&gt;"TXO"),L1197,"")</f>
        <v/>
      </c>
      <c r="U1197" s="61">
        <f>IF(AND(R1197="Yes",S1197&lt;&gt;"Yes",L1197&lt;0,B1197&lt;&gt;"TXO"),L1197,"")</f>
        <v/>
      </c>
      <c r="V1197" s="61">
        <f>IF(AND(R1197="",S1197&lt;&gt;"Yes",L1197&gt;0,B1197&lt;&gt;"TXO"),L1197,"")</f>
        <v/>
      </c>
      <c r="W1197" s="61">
        <f>IF(AND(R1197="",S1197&lt;&gt;"Yes",L1197&lt;0,B1197&lt;&gt;"TXO"),L1197,"")</f>
        <v/>
      </c>
      <c r="X1197" s="226">
        <f>IF(AND(R1197="Yes",S1197="Yes",L1197&gt;0,B1197&lt;&gt;"TXO"),L1197,"")</f>
        <v/>
      </c>
      <c r="Y1197" s="226">
        <f>IF(AND(R1197="Yes",S1197="Yes",L1197&lt;0,B1197&lt;&gt;"TXO"),L1197,"")</f>
        <v/>
      </c>
      <c r="Z1197" s="226">
        <f>IF(AND(R1197="",S1197="Yes",L1197&gt;0,B1197&lt;&gt;"TXO"),L1197,"")</f>
        <v/>
      </c>
      <c r="AA1197" s="226">
        <f>IF(AND(R1197="",S1197="Yes",L1197&lt;0,B1197&lt;&gt;"TXO"),L1197,"")</f>
        <v/>
      </c>
    </row>
    <row r="1198" hidden="1" outlineLevel="2" ht="17.25" customHeight="1" thickBot="1">
      <c r="A1198" s="696" t="n">
        <v>43384</v>
      </c>
      <c r="B1198" s="234" t="inlineStr">
        <is>
          <t>FIMTX</t>
        </is>
      </c>
      <c r="C1198" s="229" t="inlineStr">
        <is>
          <t>小指10</t>
        </is>
      </c>
      <c r="D1198" s="229" t="inlineStr">
        <is>
          <t>新倉</t>
        </is>
      </c>
      <c r="E1198" s="257" t="inlineStr">
        <is>
          <t>買</t>
        </is>
      </c>
      <c r="F1198" s="229" t="inlineStr">
        <is>
          <t>-</t>
        </is>
      </c>
      <c r="G1198" s="697" t="n">
        <v>1</v>
      </c>
      <c r="H1198" s="697" t="n">
        <v>9732</v>
      </c>
      <c r="I1198" s="697" t="n">
        <v>0</v>
      </c>
      <c r="J1198" s="585" t="n">
        <v>18</v>
      </c>
      <c r="K1198" s="585" t="n">
        <v>10</v>
      </c>
      <c r="L1198" s="585">
        <f>IF(B1198="TXO",I1198-SUM(J1198:K1198),IF(B1198="FITX",IF(D1198="新倉",-SUM(J1198:K1198),IF(E1198="賣",(H1198-H1197)*G1198*200-SUM(J1198:K1198),(H1197-H1198)*G1198*200-SUM(J1198:K1198))),IF(D1198="新倉",-SUM(J1198:K1198),IF(E1198="賣",(H1198-H1197)*G1198*50-SUM(J1198:K1198),(H1197-H1198)*G1198*50-SUM(J1198:K1198)))))</f>
        <v/>
      </c>
      <c r="M1198" s="699">
        <f>L1198</f>
        <v/>
      </c>
      <c r="N1198" s="686">
        <f>IF(B1198="TXO","",IF(D1198="新倉","",IF(E1198="賣",(H1198-H1197)*G1198,(H1197-H1198)*G1198)))</f>
        <v/>
      </c>
      <c r="O1198" s="226">
        <f>ABS(I1198)</f>
        <v/>
      </c>
      <c r="P1198" s="667" t="n"/>
      <c r="S1198" s="249" t="inlineStr">
        <is>
          <t>Yes</t>
        </is>
      </c>
      <c r="T1198" s="61">
        <f>IF(AND(R1198="Yes",S1198&lt;&gt;"Yes",L1198&gt;0,B1198&lt;&gt;"TXO"),L1198,"")</f>
        <v/>
      </c>
      <c r="U1198" s="61">
        <f>IF(AND(R1198="Yes",S1198&lt;&gt;"Yes",L1198&lt;0,B1198&lt;&gt;"TXO"),L1198,"")</f>
        <v/>
      </c>
      <c r="V1198" s="61">
        <f>IF(AND(R1198="",S1198&lt;&gt;"Yes",L1198&gt;0,B1198&lt;&gt;"TXO"),L1198,"")</f>
        <v/>
      </c>
      <c r="W1198" s="61">
        <f>IF(AND(R1198="",S1198&lt;&gt;"Yes",L1198&lt;0,B1198&lt;&gt;"TXO"),L1198,"")</f>
        <v/>
      </c>
      <c r="X1198" s="226">
        <f>IF(AND(R1198="Yes",S1198="Yes",L1198&gt;0,B1198&lt;&gt;"TXO"),L1198,"")</f>
        <v/>
      </c>
      <c r="Y1198" s="226">
        <f>IF(AND(R1198="Yes",S1198="Yes",L1198&lt;0,B1198&lt;&gt;"TXO"),L1198,"")</f>
        <v/>
      </c>
      <c r="Z1198" s="226">
        <f>IF(AND(R1198="",S1198="Yes",L1198&gt;0,B1198&lt;&gt;"TXO"),L1198,"")</f>
        <v/>
      </c>
      <c r="AA1198" s="226">
        <f>IF(AND(R1198="",S1198="Yes",L1198&lt;0,B1198&lt;&gt;"TXO"),L1198,"")</f>
        <v/>
      </c>
    </row>
    <row r="1199" hidden="1" outlineLevel="2" ht="17.25" customHeight="1" thickBot="1">
      <c r="A1199" s="696" t="n">
        <v>43384</v>
      </c>
      <c r="B1199" s="234" t="inlineStr">
        <is>
          <t>FIMTX</t>
        </is>
      </c>
      <c r="C1199" s="229" t="inlineStr">
        <is>
          <t>小指10</t>
        </is>
      </c>
      <c r="D1199" s="229" t="inlineStr">
        <is>
          <t>平倉</t>
        </is>
      </c>
      <c r="E1199" s="257" t="inlineStr">
        <is>
          <t>賣</t>
        </is>
      </c>
      <c r="F1199" s="229" t="inlineStr">
        <is>
          <t>-</t>
        </is>
      </c>
      <c r="G1199" s="697" t="n">
        <v>1</v>
      </c>
      <c r="H1199" s="697" t="n">
        <v>9742</v>
      </c>
      <c r="I1199" s="697" t="n">
        <v>0</v>
      </c>
      <c r="J1199" s="585" t="n">
        <v>18</v>
      </c>
      <c r="K1199" s="585" t="n">
        <v>10</v>
      </c>
      <c r="L1199" s="585">
        <f>IF(B1199="TXO",I1199-SUM(J1199:K1199),IF(B1199="FITX",IF(D1199="新倉",-SUM(J1199:K1199),IF(E1199="賣",(H1199-H1198)*G1199*200-SUM(J1199:K1199),(H1198-H1199)*G1199*200-SUM(J1199:K1199))),IF(D1199="新倉",-SUM(J1199:K1199),IF(E1199="賣",(H1199-H1198)*G1199*50-SUM(J1199:K1199),(H1198-H1199)*G1199*50-SUM(J1199:K1199)))))</f>
        <v/>
      </c>
      <c r="M1199" s="699">
        <f>L1199</f>
        <v/>
      </c>
      <c r="N1199" s="686">
        <f>IF(B1199="TXO","",IF(D1199="新倉","",IF(E1199="賣",(H1199-H1198)*G1199,(H1198-H1199)*G1199)))</f>
        <v/>
      </c>
      <c r="O1199" s="226">
        <f>ABS(I1199)</f>
        <v/>
      </c>
      <c r="P1199" s="667" t="n"/>
      <c r="S1199" s="249" t="inlineStr">
        <is>
          <t>Yes</t>
        </is>
      </c>
      <c r="T1199" s="61">
        <f>IF(AND(R1199="Yes",S1199&lt;&gt;"Yes",L1199&gt;0,B1199&lt;&gt;"TXO"),L1199,"")</f>
        <v/>
      </c>
      <c r="U1199" s="61">
        <f>IF(AND(R1199="Yes",S1199&lt;&gt;"Yes",L1199&lt;0,B1199&lt;&gt;"TXO"),L1199,"")</f>
        <v/>
      </c>
      <c r="V1199" s="61">
        <f>IF(AND(R1199="",S1199&lt;&gt;"Yes",L1199&gt;0,B1199&lt;&gt;"TXO"),L1199,"")</f>
        <v/>
      </c>
      <c r="W1199" s="61">
        <f>IF(AND(R1199="",S1199&lt;&gt;"Yes",L1199&lt;0,B1199&lt;&gt;"TXO"),L1199,"")</f>
        <v/>
      </c>
      <c r="X1199" s="226">
        <f>IF(AND(R1199="Yes",S1199="Yes",L1199&gt;0,B1199&lt;&gt;"TXO"),L1199,"")</f>
        <v/>
      </c>
      <c r="Y1199" s="226">
        <f>IF(AND(R1199="Yes",S1199="Yes",L1199&lt;0,B1199&lt;&gt;"TXO"),L1199,"")</f>
        <v/>
      </c>
      <c r="Z1199" s="226">
        <f>IF(AND(R1199="",S1199="Yes",L1199&gt;0,B1199&lt;&gt;"TXO"),L1199,"")</f>
        <v/>
      </c>
      <c r="AA1199" s="226">
        <f>IF(AND(R1199="",S1199="Yes",L1199&lt;0,B1199&lt;&gt;"TXO"),L1199,"")</f>
        <v/>
      </c>
    </row>
    <row r="1200" hidden="1" outlineLevel="2" ht="17.25" customHeight="1" thickBot="1">
      <c r="A1200" s="696" t="n">
        <v>43384</v>
      </c>
      <c r="B1200" s="234" t="inlineStr">
        <is>
          <t>FIMTX</t>
        </is>
      </c>
      <c r="C1200" s="229" t="inlineStr">
        <is>
          <t>小指10</t>
        </is>
      </c>
      <c r="D1200" s="229" t="inlineStr">
        <is>
          <t>新倉</t>
        </is>
      </c>
      <c r="E1200" s="257" t="inlineStr">
        <is>
          <t>買</t>
        </is>
      </c>
      <c r="F1200" s="229" t="inlineStr">
        <is>
          <t>-</t>
        </is>
      </c>
      <c r="G1200" s="697" t="n">
        <v>1</v>
      </c>
      <c r="H1200" s="697" t="n">
        <v>9732</v>
      </c>
      <c r="I1200" s="697" t="n">
        <v>0</v>
      </c>
      <c r="J1200" s="585" t="n">
        <v>18</v>
      </c>
      <c r="K1200" s="585" t="n">
        <v>10</v>
      </c>
      <c r="L1200" s="585">
        <f>IF(B1200="TXO",I1200-SUM(J1200:K1200),IF(B1200="FITX",IF(D1200="新倉",-SUM(J1200:K1200),IF(E1200="賣",(H1200-H1199)*G1200*200-SUM(J1200:K1200),(H1199-H1200)*G1200*200-SUM(J1200:K1200))),IF(D1200="新倉",-SUM(J1200:K1200),IF(E1200="賣",(H1200-H1199)*G1200*50-SUM(J1200:K1200),(H1199-H1200)*G1200*50-SUM(J1200:K1200)))))</f>
        <v/>
      </c>
      <c r="M1200" s="699">
        <f>L1200</f>
        <v/>
      </c>
      <c r="N1200" s="686">
        <f>IF(B1200="TXO","",IF(D1200="新倉","",IF(E1200="賣",(H1200-H1199)*G1200,(H1199-H1200)*G1200)))</f>
        <v/>
      </c>
      <c r="O1200" s="226">
        <f>ABS(I1200)</f>
        <v/>
      </c>
      <c r="P1200" s="667" t="n"/>
      <c r="S1200" s="249" t="inlineStr">
        <is>
          <t>Yes</t>
        </is>
      </c>
      <c r="T1200" s="61">
        <f>IF(AND(R1200="Yes",S1200&lt;&gt;"Yes",L1200&gt;0,B1200&lt;&gt;"TXO"),L1200,"")</f>
        <v/>
      </c>
      <c r="U1200" s="61">
        <f>IF(AND(R1200="Yes",S1200&lt;&gt;"Yes",L1200&lt;0,B1200&lt;&gt;"TXO"),L1200,"")</f>
        <v/>
      </c>
      <c r="V1200" s="61">
        <f>IF(AND(R1200="",S1200&lt;&gt;"Yes",L1200&gt;0,B1200&lt;&gt;"TXO"),L1200,"")</f>
        <v/>
      </c>
      <c r="W1200" s="61">
        <f>IF(AND(R1200="",S1200&lt;&gt;"Yes",L1200&lt;0,B1200&lt;&gt;"TXO"),L1200,"")</f>
        <v/>
      </c>
      <c r="X1200" s="226">
        <f>IF(AND(R1200="Yes",S1200="Yes",L1200&gt;0,B1200&lt;&gt;"TXO"),L1200,"")</f>
        <v/>
      </c>
      <c r="Y1200" s="226">
        <f>IF(AND(R1200="Yes",S1200="Yes",L1200&lt;0,B1200&lt;&gt;"TXO"),L1200,"")</f>
        <v/>
      </c>
      <c r="Z1200" s="226">
        <f>IF(AND(R1200="",S1200="Yes",L1200&gt;0,B1200&lt;&gt;"TXO"),L1200,"")</f>
        <v/>
      </c>
      <c r="AA1200" s="226">
        <f>IF(AND(R1200="",S1200="Yes",L1200&lt;0,B1200&lt;&gt;"TXO"),L1200,"")</f>
        <v/>
      </c>
    </row>
    <row r="1201" hidden="1" outlineLevel="2" ht="17.25" customHeight="1" thickBot="1">
      <c r="A1201" s="696" t="n">
        <v>43384</v>
      </c>
      <c r="B1201" s="234" t="inlineStr">
        <is>
          <t>FIMTX</t>
        </is>
      </c>
      <c r="C1201" s="229" t="inlineStr">
        <is>
          <t>小指10</t>
        </is>
      </c>
      <c r="D1201" s="229" t="inlineStr">
        <is>
          <t>平倉</t>
        </is>
      </c>
      <c r="E1201" s="257" t="inlineStr">
        <is>
          <t>賣</t>
        </is>
      </c>
      <c r="F1201" s="229" t="inlineStr">
        <is>
          <t>-</t>
        </is>
      </c>
      <c r="G1201" s="697" t="n">
        <v>1</v>
      </c>
      <c r="H1201" s="697" t="n">
        <v>9730</v>
      </c>
      <c r="I1201" s="697" t="n">
        <v>0</v>
      </c>
      <c r="J1201" s="585" t="n">
        <v>18</v>
      </c>
      <c r="K1201" s="585" t="n">
        <v>10</v>
      </c>
      <c r="L1201" s="585">
        <f>IF(B1201="TXO",I1201-SUM(J1201:K1201),IF(B1201="FITX",IF(D1201="新倉",-SUM(J1201:K1201),IF(E1201="賣",(H1201-H1200)*G1201*200-SUM(J1201:K1201),(H1200-H1201)*G1201*200-SUM(J1201:K1201))),IF(D1201="新倉",-SUM(J1201:K1201),IF(E1201="賣",(H1201-H1200)*G1201*50-SUM(J1201:K1201),(H1200-H1201)*G1201*50-SUM(J1201:K1201)))))</f>
        <v/>
      </c>
      <c r="M1201" s="699">
        <f>L1201</f>
        <v/>
      </c>
      <c r="N1201" s="686">
        <f>IF(B1201="TXO","",IF(D1201="新倉","",IF(E1201="賣",(H1201-H1200)*G1201,(H1200-H1201)*G1201)))</f>
        <v/>
      </c>
      <c r="O1201" s="226">
        <f>ABS(I1201)</f>
        <v/>
      </c>
      <c r="P1201" s="667" t="n"/>
      <c r="S1201" s="249" t="inlineStr">
        <is>
          <t>Yes</t>
        </is>
      </c>
      <c r="T1201" s="61">
        <f>IF(AND(R1201="Yes",S1201&lt;&gt;"Yes",L1201&gt;0,B1201&lt;&gt;"TXO"),L1201,"")</f>
        <v/>
      </c>
      <c r="U1201" s="61">
        <f>IF(AND(R1201="Yes",S1201&lt;&gt;"Yes",L1201&lt;0,B1201&lt;&gt;"TXO"),L1201,"")</f>
        <v/>
      </c>
      <c r="V1201" s="61">
        <f>IF(AND(R1201="",S1201&lt;&gt;"Yes",L1201&gt;0,B1201&lt;&gt;"TXO"),L1201,"")</f>
        <v/>
      </c>
      <c r="W1201" s="61">
        <f>IF(AND(R1201="",S1201&lt;&gt;"Yes",L1201&lt;0,B1201&lt;&gt;"TXO"),L1201,"")</f>
        <v/>
      </c>
      <c r="X1201" s="226">
        <f>IF(AND(R1201="Yes",S1201="Yes",L1201&gt;0,B1201&lt;&gt;"TXO"),L1201,"")</f>
        <v/>
      </c>
      <c r="Y1201" s="226">
        <f>IF(AND(R1201="Yes",S1201="Yes",L1201&lt;0,B1201&lt;&gt;"TXO"),L1201,"")</f>
        <v/>
      </c>
      <c r="Z1201" s="226">
        <f>IF(AND(R1201="",S1201="Yes",L1201&gt;0,B1201&lt;&gt;"TXO"),L1201,"")</f>
        <v/>
      </c>
      <c r="AA1201" s="226">
        <f>IF(AND(R1201="",S1201="Yes",L1201&lt;0,B1201&lt;&gt;"TXO"),L1201,"")</f>
        <v/>
      </c>
    </row>
    <row r="1202" hidden="1" outlineLevel="1" ht="17.25" customHeight="1" thickBot="1">
      <c r="A1202" s="740" t="n">
        <v>43385</v>
      </c>
      <c r="B1202" s="299" t="inlineStr">
        <is>
          <t>FIMTX</t>
        </is>
      </c>
      <c r="C1202" s="300" t="inlineStr">
        <is>
          <t>小指10</t>
        </is>
      </c>
      <c r="D1202" s="300" t="inlineStr">
        <is>
          <t>新倉</t>
        </is>
      </c>
      <c r="E1202" s="301" t="inlineStr">
        <is>
          <t>賣</t>
        </is>
      </c>
      <c r="F1202" s="300" t="inlineStr">
        <is>
          <t>-</t>
        </is>
      </c>
      <c r="G1202" s="741" t="n">
        <v>1</v>
      </c>
      <c r="H1202" s="741" t="n">
        <v>9796</v>
      </c>
      <c r="I1202" s="741" t="n">
        <v>0</v>
      </c>
      <c r="J1202" s="742" t="n">
        <v>23</v>
      </c>
      <c r="K1202" s="742" t="n">
        <v>10</v>
      </c>
      <c r="L1202" s="742">
        <f>IF(B1202="TXO",I1202-SUM(J1202:K1202),IF(B1202="FITX",IF(D1202="新倉",-SUM(J1202:K1202),IF(E1202="賣",(H1202-H1201)*G1202*200-SUM(J1202:K1202),(H1201-H1202)*G1202*200-SUM(J1202:K1202))),IF(D1202="新倉",-SUM(J1202:K1202),IF(E1202="賣",(H1202-H1201)*G1202*50-SUM(J1202:K1202),(H1201-H1202)*G1202*50-SUM(J1202:K1202)))))</f>
        <v/>
      </c>
      <c r="M1202" s="743">
        <f>L1202</f>
        <v/>
      </c>
      <c r="N1202" s="686">
        <f>IF(B1202="TXO","",IF(D1202="新倉","",IF(E1202="賣",(H1202-H1201)*G1202,(H1201-H1202)*G1202)))</f>
        <v/>
      </c>
      <c r="O1202" s="226" t="n">
        <v>0</v>
      </c>
      <c r="P1202" s="667">
        <f>SUM(L1202:L1301)</f>
        <v/>
      </c>
      <c r="S1202" s="249" t="n"/>
      <c r="T1202" s="61">
        <f>IF(AND(R1202="Yes",S1202&lt;&gt;"Yes",L1202&gt;0,B1202&lt;&gt;"TXO"),L1202,"")</f>
        <v/>
      </c>
      <c r="U1202" s="61">
        <f>IF(AND(R1202="Yes",S1202&lt;&gt;"Yes",L1202&lt;0,B1202&lt;&gt;"TXO"),L1202,"")</f>
        <v/>
      </c>
      <c r="V1202" s="61">
        <f>IF(AND(R1202="",S1202&lt;&gt;"Yes",L1202&gt;0,B1202&lt;&gt;"TXO"),L1202,"")</f>
        <v/>
      </c>
      <c r="W1202" s="61">
        <f>IF(AND(R1202="",S1202&lt;&gt;"Yes",L1202&lt;0,B1202&lt;&gt;"TXO"),L1202,"")</f>
        <v/>
      </c>
      <c r="X1202" s="226">
        <f>IF(AND(R1202="Yes",S1202="Yes",L1202&gt;0,B1202&lt;&gt;"TXO"),L1202,"")</f>
        <v/>
      </c>
      <c r="Y1202" s="226">
        <f>IF(AND(R1202="Yes",S1202="Yes",L1202&lt;0,B1202&lt;&gt;"TXO"),L1202,"")</f>
        <v/>
      </c>
      <c r="Z1202" s="226">
        <f>IF(AND(R1202="",S1202="Yes",L1202&gt;0,B1202&lt;&gt;"TXO"),L1202,"")</f>
        <v/>
      </c>
      <c r="AA1202" s="226">
        <f>IF(AND(R1202="",S1202="Yes",L1202&lt;0,B1202&lt;&gt;"TXO"),L1202,"")</f>
        <v/>
      </c>
    </row>
    <row r="1203" hidden="1" outlineLevel="2" collapsed="1" ht="17.25" customHeight="1" thickBot="1">
      <c r="A1203" s="740" t="n">
        <v>43385</v>
      </c>
      <c r="B1203" s="299" t="inlineStr">
        <is>
          <t>FIMTX</t>
        </is>
      </c>
      <c r="C1203" s="300" t="inlineStr">
        <is>
          <t>小指10</t>
        </is>
      </c>
      <c r="D1203" s="300" t="inlineStr">
        <is>
          <t>平倉</t>
        </is>
      </c>
      <c r="E1203" s="301" t="inlineStr">
        <is>
          <t>買</t>
        </is>
      </c>
      <c r="F1203" s="300" t="inlineStr">
        <is>
          <t>-</t>
        </is>
      </c>
      <c r="G1203" s="741" t="n">
        <v>1</v>
      </c>
      <c r="H1203" s="741" t="n">
        <v>9815</v>
      </c>
      <c r="I1203" s="741" t="n">
        <v>0</v>
      </c>
      <c r="J1203" s="742" t="n">
        <v>23</v>
      </c>
      <c r="K1203" s="742" t="n">
        <v>10</v>
      </c>
      <c r="L1203" s="742">
        <f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/>
      </c>
      <c r="M1203" s="743">
        <f>L1203</f>
        <v/>
      </c>
      <c r="N1203" s="686">
        <f>IF(B1203="TXO","",IF(D1203="新倉","",IF(E1203="賣",(H1203-H1202)*G1203,(H1202-H1203)*G1203)))</f>
        <v/>
      </c>
      <c r="O1203" s="226" t="n">
        <v>0</v>
      </c>
      <c r="P1203" s="667" t="n"/>
      <c r="S1203" s="249" t="n"/>
      <c r="T1203" s="61">
        <f>IF(AND(R1203="Yes",S1203&lt;&gt;"Yes",L1203&gt;0,B1203&lt;&gt;"TXO"),L1203,"")</f>
        <v/>
      </c>
      <c r="U1203" s="61">
        <f>IF(AND(R1203="Yes",S1203&lt;&gt;"Yes",L1203&lt;0,B1203&lt;&gt;"TXO"),L1203,"")</f>
        <v/>
      </c>
      <c r="V1203" s="61">
        <f>IF(AND(R1203="",S1203&lt;&gt;"Yes",L1203&gt;0,B1203&lt;&gt;"TXO"),L1203,"")</f>
        <v/>
      </c>
      <c r="W1203" s="61">
        <f>IF(AND(R1203="",S1203&lt;&gt;"Yes",L1203&lt;0,B1203&lt;&gt;"TXO"),L1203,"")</f>
        <v/>
      </c>
      <c r="X1203" s="226">
        <f>IF(AND(R1203="Yes",S1203="Yes",L1203&gt;0,B1203&lt;&gt;"TXO"),L1203,"")</f>
        <v/>
      </c>
      <c r="Y1203" s="226">
        <f>IF(AND(R1203="Yes",S1203="Yes",L1203&lt;0,B1203&lt;&gt;"TXO"),L1203,"")</f>
        <v/>
      </c>
      <c r="Z1203" s="226">
        <f>IF(AND(R1203="",S1203="Yes",L1203&gt;0,B1203&lt;&gt;"TXO"),L1203,"")</f>
        <v/>
      </c>
      <c r="AA1203" s="226">
        <f>IF(AND(R1203="",S1203="Yes",L1203&lt;0,B1203&lt;&gt;"TXO"),L1203,"")</f>
        <v/>
      </c>
    </row>
    <row r="1204" hidden="1" outlineLevel="2" collapsed="1" ht="17.25" customHeight="1" thickBot="1">
      <c r="A1204" s="740" t="n">
        <v>43385</v>
      </c>
      <c r="B1204" s="299" t="inlineStr">
        <is>
          <t>FIMTX</t>
        </is>
      </c>
      <c r="C1204" s="300" t="inlineStr">
        <is>
          <t>小指10</t>
        </is>
      </c>
      <c r="D1204" s="300" t="inlineStr">
        <is>
          <t>新倉</t>
        </is>
      </c>
      <c r="E1204" s="301" t="inlineStr">
        <is>
          <t>賣</t>
        </is>
      </c>
      <c r="F1204" s="300" t="inlineStr">
        <is>
          <t>-</t>
        </is>
      </c>
      <c r="G1204" s="741" t="n">
        <v>1</v>
      </c>
      <c r="H1204" s="741" t="n">
        <v>9791</v>
      </c>
      <c r="I1204" s="741" t="n">
        <v>0</v>
      </c>
      <c r="J1204" s="742" t="n">
        <v>23</v>
      </c>
      <c r="K1204" s="742" t="n">
        <v>10</v>
      </c>
      <c r="L1204" s="742">
        <f>IF(B1204="TXO",I1204-SUM(J1204:K1204),IF(B1204="FITX",IF(D1204="新倉",-SUM(J1204:K1204),IF(E1204="賣",(H1204-H1203)*G1204*200-SUM(J1204:K1204),(H1203-H1204)*G1204*200-SUM(J1204:K1204))),IF(D1204="新倉",-SUM(J1204:K1204),IF(E1204="賣",(H1204-H1203)*G1204*50-SUM(J1204:K1204),(H1203-H1204)*G1204*50-SUM(J1204:K1204)))))</f>
        <v/>
      </c>
      <c r="M1204" s="743">
        <f>L1204</f>
        <v/>
      </c>
      <c r="N1204" s="686">
        <f>IF(B1204="TXO","",IF(D1204="新倉","",IF(E1204="賣",(H1204-H1203)*G1204,(H1203-H1204)*G1204)))</f>
        <v/>
      </c>
      <c r="O1204" s="226" t="n">
        <v>0</v>
      </c>
      <c r="P1204" s="667" t="n"/>
      <c r="S1204" s="249" t="n"/>
      <c r="T1204" s="61">
        <f>IF(AND(R1204="Yes",S1204&lt;&gt;"Yes",L1204&gt;0,B1204&lt;&gt;"TXO"),L1204,"")</f>
        <v/>
      </c>
      <c r="U1204" s="61">
        <f>IF(AND(R1204="Yes",S1204&lt;&gt;"Yes",L1204&lt;0,B1204&lt;&gt;"TXO"),L1204,"")</f>
        <v/>
      </c>
      <c r="V1204" s="61">
        <f>IF(AND(R1204="",S1204&lt;&gt;"Yes",L1204&gt;0,B1204&lt;&gt;"TXO"),L1204,"")</f>
        <v/>
      </c>
      <c r="W1204" s="61">
        <f>IF(AND(R1204="",S1204&lt;&gt;"Yes",L1204&lt;0,B1204&lt;&gt;"TXO"),L1204,"")</f>
        <v/>
      </c>
      <c r="X1204" s="226">
        <f>IF(AND(R1204="Yes",S1204="Yes",L1204&gt;0,B1204&lt;&gt;"TXO"),L1204,"")</f>
        <v/>
      </c>
      <c r="Y1204" s="226">
        <f>IF(AND(R1204="Yes",S1204="Yes",L1204&lt;0,B1204&lt;&gt;"TXO"),L1204,"")</f>
        <v/>
      </c>
      <c r="Z1204" s="226">
        <f>IF(AND(R1204="",S1204="Yes",L1204&gt;0,B1204&lt;&gt;"TXO"),L1204,"")</f>
        <v/>
      </c>
      <c r="AA1204" s="226">
        <f>IF(AND(R1204="",S1204="Yes",L1204&lt;0,B1204&lt;&gt;"TXO"),L1204,"")</f>
        <v/>
      </c>
    </row>
    <row r="1205" hidden="1" outlineLevel="2" collapsed="1" ht="17.25" customHeight="1" thickBot="1">
      <c r="A1205" s="740" t="n">
        <v>43385</v>
      </c>
      <c r="B1205" s="299" t="inlineStr">
        <is>
          <t>FIMTX</t>
        </is>
      </c>
      <c r="C1205" s="300" t="inlineStr">
        <is>
          <t>小指10</t>
        </is>
      </c>
      <c r="D1205" s="300" t="inlineStr">
        <is>
          <t>平倉</t>
        </is>
      </c>
      <c r="E1205" s="301" t="inlineStr">
        <is>
          <t>買</t>
        </is>
      </c>
      <c r="F1205" s="300" t="inlineStr">
        <is>
          <t>-</t>
        </is>
      </c>
      <c r="G1205" s="741" t="n">
        <v>1</v>
      </c>
      <c r="H1205" s="741" t="n">
        <v>9807</v>
      </c>
      <c r="I1205" s="741" t="n">
        <v>0</v>
      </c>
      <c r="J1205" s="742" t="n">
        <v>23</v>
      </c>
      <c r="K1205" s="742" t="n">
        <v>10</v>
      </c>
      <c r="L1205" s="742">
        <f>IF(B1205="TXO",I1205-SUM(J1205:K1205),IF(B1205="FITX",IF(D1205="新倉",-SUM(J1205:K1205),IF(E1205="賣",(H1205-H1204)*G1205*200-SUM(J1205:K1205),(H1204-H1205)*G1205*200-SUM(J1205:K1205))),IF(D1205="新倉",-SUM(J1205:K1205),IF(E1205="賣",(H1205-H1204)*G1205*50-SUM(J1205:K1205),(H1204-H1205)*G1205*50-SUM(J1205:K1205)))))</f>
        <v/>
      </c>
      <c r="M1205" s="743">
        <f>L1205</f>
        <v/>
      </c>
      <c r="N1205" s="686">
        <f>IF(B1205="TXO","",IF(D1205="新倉","",IF(E1205="賣",(H1205-H1204)*G1205,(H1204-H1205)*G1205)))</f>
        <v/>
      </c>
      <c r="O1205" s="226" t="n">
        <v>0</v>
      </c>
      <c r="P1205" s="667" t="n"/>
      <c r="S1205" s="249" t="n"/>
      <c r="T1205" s="61">
        <f>IF(AND(R1205="Yes",S1205&lt;&gt;"Yes",L1205&gt;0,B1205&lt;&gt;"TXO"),L1205,"")</f>
        <v/>
      </c>
      <c r="U1205" s="61">
        <f>IF(AND(R1205="Yes",S1205&lt;&gt;"Yes",L1205&lt;0,B1205&lt;&gt;"TXO"),L1205,"")</f>
        <v/>
      </c>
      <c r="V1205" s="61">
        <f>IF(AND(R1205="",S1205&lt;&gt;"Yes",L1205&gt;0,B1205&lt;&gt;"TXO"),L1205,"")</f>
        <v/>
      </c>
      <c r="W1205" s="61">
        <f>IF(AND(R1205="",S1205&lt;&gt;"Yes",L1205&lt;0,B1205&lt;&gt;"TXO"),L1205,"")</f>
        <v/>
      </c>
      <c r="X1205" s="226">
        <f>IF(AND(R1205="Yes",S1205="Yes",L1205&gt;0,B1205&lt;&gt;"TXO"),L1205,"")</f>
        <v/>
      </c>
      <c r="Y1205" s="226">
        <f>IF(AND(R1205="Yes",S1205="Yes",L1205&lt;0,B1205&lt;&gt;"TXO"),L1205,"")</f>
        <v/>
      </c>
      <c r="Z1205" s="226">
        <f>IF(AND(R1205="",S1205="Yes",L1205&gt;0,B1205&lt;&gt;"TXO"),L1205,"")</f>
        <v/>
      </c>
      <c r="AA1205" s="226">
        <f>IF(AND(R1205="",S1205="Yes",L1205&lt;0,B1205&lt;&gt;"TXO"),L1205,"")</f>
        <v/>
      </c>
    </row>
    <row r="1206" hidden="1" outlineLevel="2" collapsed="1" ht="17.25" customHeight="1" thickBot="1">
      <c r="A1206" s="740" t="n">
        <v>43385</v>
      </c>
      <c r="B1206" s="299" t="inlineStr">
        <is>
          <t>FIMTX</t>
        </is>
      </c>
      <c r="C1206" s="300" t="inlineStr">
        <is>
          <t>小指10</t>
        </is>
      </c>
      <c r="D1206" s="300" t="inlineStr">
        <is>
          <t>新倉</t>
        </is>
      </c>
      <c r="E1206" s="301" t="inlineStr">
        <is>
          <t>買</t>
        </is>
      </c>
      <c r="F1206" s="300" t="inlineStr">
        <is>
          <t>-</t>
        </is>
      </c>
      <c r="G1206" s="741" t="n">
        <v>1</v>
      </c>
      <c r="H1206" s="741" t="n">
        <v>9798</v>
      </c>
      <c r="I1206" s="741" t="n">
        <v>0</v>
      </c>
      <c r="J1206" s="742" t="n">
        <v>18</v>
      </c>
      <c r="K1206" s="742" t="n">
        <v>10</v>
      </c>
      <c r="L1206" s="742">
        <f>IF(B1206="TXO",I1206-SUM(J1206:K1206),IF(B1206="FITX",IF(D1206="新倉",-SUM(J1206:K1206),IF(E1206="賣",(H1206-H1205)*G1206*200-SUM(J1206:K1206),(H1205-H1206)*G1206*200-SUM(J1206:K1206))),IF(D1206="新倉",-SUM(J1206:K1206),IF(E1206="賣",(H1206-H1205)*G1206*50-SUM(J1206:K1206),(H1205-H1206)*G1206*50-SUM(J1206:K1206)))))</f>
        <v/>
      </c>
      <c r="M1206" s="743">
        <f>L1206</f>
        <v/>
      </c>
      <c r="N1206" s="686">
        <f>IF(B1206="TXO","",IF(D1206="新倉","",IF(E1206="賣",(H1206-H1205)*G1206,(H1205-H1206)*G1206)))</f>
        <v/>
      </c>
      <c r="O1206" s="226" t="n">
        <v>0</v>
      </c>
      <c r="P1206" s="667">
        <f>SUM(L1206:L1237)</f>
        <v/>
      </c>
      <c r="S1206" s="249" t="n"/>
      <c r="T1206" s="61">
        <f>IF(AND(R1206="Yes",S1206&lt;&gt;"Yes",L1206&gt;0,B1206&lt;&gt;"TXO"),L1206,"")</f>
        <v/>
      </c>
      <c r="U1206" s="61">
        <f>IF(AND(R1206="Yes",S1206&lt;&gt;"Yes",L1206&lt;0,B1206&lt;&gt;"TXO"),L1206,"")</f>
        <v/>
      </c>
      <c r="V1206" s="61">
        <f>IF(AND(R1206="",S1206&lt;&gt;"Yes",L1206&gt;0,B1206&lt;&gt;"TXO"),L1206,"")</f>
        <v/>
      </c>
      <c r="W1206" s="61">
        <f>IF(AND(R1206="",S1206&lt;&gt;"Yes",L1206&lt;0,B1206&lt;&gt;"TXO"),L1206,"")</f>
        <v/>
      </c>
      <c r="X1206" s="226">
        <f>IF(AND(R1206="Yes",S1206="Yes",L1206&gt;0,B1206&lt;&gt;"TXO"),L1206,"")</f>
        <v/>
      </c>
      <c r="Y1206" s="226">
        <f>IF(AND(R1206="Yes",S1206="Yes",L1206&lt;0,B1206&lt;&gt;"TXO"),L1206,"")</f>
        <v/>
      </c>
      <c r="Z1206" s="226">
        <f>IF(AND(R1206="",S1206="Yes",L1206&gt;0,B1206&lt;&gt;"TXO"),L1206,"")</f>
        <v/>
      </c>
      <c r="AA1206" s="226">
        <f>IF(AND(R1206="",S1206="Yes",L1206&lt;0,B1206&lt;&gt;"TXO"),L1206,"")</f>
        <v/>
      </c>
    </row>
    <row r="1207" hidden="1" outlineLevel="2" collapsed="1" ht="17.25" customHeight="1" thickBot="1">
      <c r="A1207" s="740" t="n">
        <v>43385</v>
      </c>
      <c r="B1207" s="299" t="inlineStr">
        <is>
          <t>FIMTX</t>
        </is>
      </c>
      <c r="C1207" s="300" t="inlineStr">
        <is>
          <t>小指10</t>
        </is>
      </c>
      <c r="D1207" s="300" t="inlineStr">
        <is>
          <t>平倉</t>
        </is>
      </c>
      <c r="E1207" s="301" t="inlineStr">
        <is>
          <t>賣</t>
        </is>
      </c>
      <c r="F1207" s="300" t="inlineStr">
        <is>
          <t>-</t>
        </is>
      </c>
      <c r="G1207" s="741" t="n">
        <v>1</v>
      </c>
      <c r="H1207" s="741" t="n">
        <v>9807</v>
      </c>
      <c r="I1207" s="741" t="n">
        <v>0</v>
      </c>
      <c r="J1207" s="742" t="n">
        <v>18</v>
      </c>
      <c r="K1207" s="742" t="n">
        <v>10</v>
      </c>
      <c r="L1207" s="742">
        <f>IF(B1207="TXO",I1207-SUM(J1207:K1207),IF(B1207="FITX",IF(D1207="新倉",-SUM(J1207:K1207),IF(E1207="賣",(H1207-H1206)*G1207*200-SUM(J1207:K1207),(H1206-H1207)*G1207*200-SUM(J1207:K1207))),IF(D1207="新倉",-SUM(J1207:K1207),IF(E1207="賣",(H1207-H1206)*G1207*50-SUM(J1207:K1207),(H1206-H1207)*G1207*50-SUM(J1207:K1207)))))</f>
        <v/>
      </c>
      <c r="M1207" s="743">
        <f>L1207</f>
        <v/>
      </c>
      <c r="N1207" s="686">
        <f>IF(B1207="TXO","",IF(D1207="新倉","",IF(E1207="賣",(H1207-H1206)*G1207,(H1206-H1207)*G1207)))</f>
        <v/>
      </c>
      <c r="O1207" s="226" t="n">
        <v>0</v>
      </c>
      <c r="P1207" s="667" t="n"/>
      <c r="S1207" s="249" t="n"/>
      <c r="T1207" s="61">
        <f>IF(AND(R1207="Yes",S1207&lt;&gt;"Yes",L1207&gt;0,B1207&lt;&gt;"TXO"),L1207,"")</f>
        <v/>
      </c>
      <c r="U1207" s="61">
        <f>IF(AND(R1207="Yes",S1207&lt;&gt;"Yes",L1207&lt;0,B1207&lt;&gt;"TXO"),L1207,"")</f>
        <v/>
      </c>
      <c r="V1207" s="61">
        <f>IF(AND(R1207="",S1207&lt;&gt;"Yes",L1207&gt;0,B1207&lt;&gt;"TXO"),L1207,"")</f>
        <v/>
      </c>
      <c r="W1207" s="61">
        <f>IF(AND(R1207="",S1207&lt;&gt;"Yes",L1207&lt;0,B1207&lt;&gt;"TXO"),L1207,"")</f>
        <v/>
      </c>
      <c r="X1207" s="226">
        <f>IF(AND(R1207="Yes",S1207="Yes",L1207&gt;0,B1207&lt;&gt;"TXO"),L1207,"")</f>
        <v/>
      </c>
      <c r="Y1207" s="226">
        <f>IF(AND(R1207="Yes",S1207="Yes",L1207&lt;0,B1207&lt;&gt;"TXO"),L1207,"")</f>
        <v/>
      </c>
      <c r="Z1207" s="226">
        <f>IF(AND(R1207="",S1207="Yes",L1207&gt;0,B1207&lt;&gt;"TXO"),L1207,"")</f>
        <v/>
      </c>
      <c r="AA1207" s="226">
        <f>IF(AND(R1207="",S1207="Yes",L1207&lt;0,B1207&lt;&gt;"TXO"),L1207,"")</f>
        <v/>
      </c>
    </row>
    <row r="1208" hidden="1" outlineLevel="2" collapsed="1" ht="17.25" customHeight="1" thickBot="1">
      <c r="A1208" s="740" t="n">
        <v>43385</v>
      </c>
      <c r="B1208" s="299" t="inlineStr">
        <is>
          <t>FIMTX</t>
        </is>
      </c>
      <c r="C1208" s="300" t="inlineStr">
        <is>
          <t>小指10</t>
        </is>
      </c>
      <c r="D1208" s="300" t="inlineStr">
        <is>
          <t>新倉</t>
        </is>
      </c>
      <c r="E1208" s="301" t="inlineStr">
        <is>
          <t>買</t>
        </is>
      </c>
      <c r="F1208" s="300" t="inlineStr">
        <is>
          <t>-</t>
        </is>
      </c>
      <c r="G1208" s="741" t="n">
        <v>1</v>
      </c>
      <c r="H1208" s="741" t="n">
        <v>9797</v>
      </c>
      <c r="I1208" s="741" t="n">
        <v>0</v>
      </c>
      <c r="J1208" s="742" t="n">
        <v>18</v>
      </c>
      <c r="K1208" s="742" t="n">
        <v>10</v>
      </c>
      <c r="L1208" s="742">
        <f>IF(B1208="TXO",I1208-SUM(J1208:K1208),IF(B1208="FITX",IF(D1208="新倉",-SUM(J1208:K1208),IF(E1208="賣",(H1208-H1207)*G1208*200-SUM(J1208:K1208),(H1207-H1208)*G1208*200-SUM(J1208:K1208))),IF(D1208="新倉",-SUM(J1208:K1208),IF(E1208="賣",(H1208-H1207)*G1208*50-SUM(J1208:K1208),(H1207-H1208)*G1208*50-SUM(J1208:K1208)))))</f>
        <v/>
      </c>
      <c r="M1208" s="743">
        <f>L1208</f>
        <v/>
      </c>
      <c r="N1208" s="686">
        <f>IF(B1208="TXO","",IF(D1208="新倉","",IF(E1208="賣",(H1208-H1207)*G1208,(H1207-H1208)*G1208)))</f>
        <v/>
      </c>
      <c r="O1208" s="226" t="n">
        <v>0</v>
      </c>
      <c r="P1208" s="667" t="n"/>
      <c r="S1208" s="249" t="n"/>
      <c r="T1208" s="61">
        <f>IF(AND(R1208="Yes",S1208&lt;&gt;"Yes",L1208&gt;0,B1208&lt;&gt;"TXO"),L1208,"")</f>
        <v/>
      </c>
      <c r="U1208" s="61">
        <f>IF(AND(R1208="Yes",S1208&lt;&gt;"Yes",L1208&lt;0,B1208&lt;&gt;"TXO"),L1208,"")</f>
        <v/>
      </c>
      <c r="V1208" s="61">
        <f>IF(AND(R1208="",S1208&lt;&gt;"Yes",L1208&gt;0,B1208&lt;&gt;"TXO"),L1208,"")</f>
        <v/>
      </c>
      <c r="W1208" s="61">
        <f>IF(AND(R1208="",S1208&lt;&gt;"Yes",L1208&lt;0,B1208&lt;&gt;"TXO"),L1208,"")</f>
        <v/>
      </c>
      <c r="X1208" s="226">
        <f>IF(AND(R1208="Yes",S1208="Yes",L1208&gt;0,B1208&lt;&gt;"TXO"),L1208,"")</f>
        <v/>
      </c>
      <c r="Y1208" s="226">
        <f>IF(AND(R1208="Yes",S1208="Yes",L1208&lt;0,B1208&lt;&gt;"TXO"),L1208,"")</f>
        <v/>
      </c>
      <c r="Z1208" s="226">
        <f>IF(AND(R1208="",S1208="Yes",L1208&gt;0,B1208&lt;&gt;"TXO"),L1208,"")</f>
        <v/>
      </c>
      <c r="AA1208" s="226">
        <f>IF(AND(R1208="",S1208="Yes",L1208&lt;0,B1208&lt;&gt;"TXO"),L1208,"")</f>
        <v/>
      </c>
    </row>
    <row r="1209" hidden="1" outlineLevel="2" collapsed="1" ht="17.25" customHeight="1" thickBot="1">
      <c r="A1209" s="740" t="n">
        <v>43385</v>
      </c>
      <c r="B1209" s="299" t="inlineStr">
        <is>
          <t>FIMTX</t>
        </is>
      </c>
      <c r="C1209" s="300" t="inlineStr">
        <is>
          <t>小指10</t>
        </is>
      </c>
      <c r="D1209" s="300" t="inlineStr">
        <is>
          <t>平倉</t>
        </is>
      </c>
      <c r="E1209" s="301" t="inlineStr">
        <is>
          <t>賣</t>
        </is>
      </c>
      <c r="F1209" s="300" t="inlineStr">
        <is>
          <t>-</t>
        </is>
      </c>
      <c r="G1209" s="741" t="n">
        <v>1</v>
      </c>
      <c r="H1209" s="741" t="n">
        <v>9806</v>
      </c>
      <c r="I1209" s="741" t="n">
        <v>0</v>
      </c>
      <c r="J1209" s="742" t="n">
        <v>18</v>
      </c>
      <c r="K1209" s="742" t="n">
        <v>10</v>
      </c>
      <c r="L1209" s="742">
        <f>IF(B1209="TXO",I1209-SUM(J1209:K1209),IF(B1209="FITX",IF(D1209="新倉",-SUM(J1209:K1209),IF(E1209="賣",(H1209-H1208)*G1209*200-SUM(J1209:K1209),(H1208-H1209)*G1209*200-SUM(J1209:K1209))),IF(D1209="新倉",-SUM(J1209:K1209),IF(E1209="賣",(H1209-H1208)*G1209*50-SUM(J1209:K1209),(H1208-H1209)*G1209*50-SUM(J1209:K1209)))))</f>
        <v/>
      </c>
      <c r="M1209" s="743">
        <f>L1209</f>
        <v/>
      </c>
      <c r="N1209" s="686">
        <f>IF(B1209="TXO","",IF(D1209="新倉","",IF(E1209="賣",(H1209-H1208)*G1209,(H1208-H1209)*G1209)))</f>
        <v/>
      </c>
      <c r="O1209" s="226" t="n">
        <v>0</v>
      </c>
      <c r="P1209" s="667" t="n"/>
      <c r="S1209" s="249" t="n"/>
      <c r="T1209" s="61">
        <f>IF(AND(R1209="Yes",S1209&lt;&gt;"Yes",L1209&gt;0,B1209&lt;&gt;"TXO"),L1209,"")</f>
        <v/>
      </c>
      <c r="U1209" s="61">
        <f>IF(AND(R1209="Yes",S1209&lt;&gt;"Yes",L1209&lt;0,B1209&lt;&gt;"TXO"),L1209,"")</f>
        <v/>
      </c>
      <c r="V1209" s="61">
        <f>IF(AND(R1209="",S1209&lt;&gt;"Yes",L1209&gt;0,B1209&lt;&gt;"TXO"),L1209,"")</f>
        <v/>
      </c>
      <c r="W1209" s="61">
        <f>IF(AND(R1209="",S1209&lt;&gt;"Yes",L1209&lt;0,B1209&lt;&gt;"TXO"),L1209,"")</f>
        <v/>
      </c>
      <c r="X1209" s="226">
        <f>IF(AND(R1209="Yes",S1209="Yes",L1209&gt;0,B1209&lt;&gt;"TXO"),L1209,"")</f>
        <v/>
      </c>
      <c r="Y1209" s="226">
        <f>IF(AND(R1209="Yes",S1209="Yes",L1209&lt;0,B1209&lt;&gt;"TXO"),L1209,"")</f>
        <v/>
      </c>
      <c r="Z1209" s="226">
        <f>IF(AND(R1209="",S1209="Yes",L1209&gt;0,B1209&lt;&gt;"TXO"),L1209,"")</f>
        <v/>
      </c>
      <c r="AA1209" s="226">
        <f>IF(AND(R1209="",S1209="Yes",L1209&lt;0,B1209&lt;&gt;"TXO"),L1209,"")</f>
        <v/>
      </c>
    </row>
    <row r="1210" hidden="1" outlineLevel="2" collapsed="1" ht="17.25" customHeight="1" thickBot="1">
      <c r="A1210" s="740" t="n">
        <v>43385</v>
      </c>
      <c r="B1210" s="299" t="inlineStr">
        <is>
          <t>FIMTX</t>
        </is>
      </c>
      <c r="C1210" s="300" t="inlineStr">
        <is>
          <t>小指10</t>
        </is>
      </c>
      <c r="D1210" s="300" t="inlineStr">
        <is>
          <t>新倉</t>
        </is>
      </c>
      <c r="E1210" s="301" t="inlineStr">
        <is>
          <t>買</t>
        </is>
      </c>
      <c r="F1210" s="300" t="inlineStr">
        <is>
          <t>-</t>
        </is>
      </c>
      <c r="G1210" s="741" t="n">
        <v>1</v>
      </c>
      <c r="H1210" s="741" t="n">
        <v>9796</v>
      </c>
      <c r="I1210" s="741" t="n">
        <v>0</v>
      </c>
      <c r="J1210" s="742" t="n">
        <v>18</v>
      </c>
      <c r="K1210" s="742" t="n">
        <v>10</v>
      </c>
      <c r="L1210" s="742">
        <f>IF(B1210="TXO",I1210-SUM(J1210:K1210),IF(B1210="FITX",IF(D1210="新倉",-SUM(J1210:K1210),IF(E1210="賣",(H1210-H1209)*G1210*200-SUM(J1210:K1210),(H1209-H1210)*G1210*200-SUM(J1210:K1210))),IF(D1210="新倉",-SUM(J1210:K1210),IF(E1210="賣",(H1210-H1209)*G1210*50-SUM(J1210:K1210),(H1209-H1210)*G1210*50-SUM(J1210:K1210)))))</f>
        <v/>
      </c>
      <c r="M1210" s="743">
        <f>L1210</f>
        <v/>
      </c>
      <c r="N1210" s="686">
        <f>IF(B1210="TXO","",IF(D1210="新倉","",IF(E1210="賣",(H1210-H1209)*G1210,(H1209-H1210)*G1210)))</f>
        <v/>
      </c>
      <c r="O1210" s="226" t="n">
        <v>0</v>
      </c>
      <c r="P1210" s="667" t="n"/>
      <c r="S1210" s="249" t="n"/>
      <c r="T1210" s="61">
        <f>IF(AND(R1210="Yes",S1210&lt;&gt;"Yes",L1210&gt;0,B1210&lt;&gt;"TXO"),L1210,"")</f>
        <v/>
      </c>
      <c r="U1210" s="61">
        <f>IF(AND(R1210="Yes",S1210&lt;&gt;"Yes",L1210&lt;0,B1210&lt;&gt;"TXO"),L1210,"")</f>
        <v/>
      </c>
      <c r="V1210" s="61">
        <f>IF(AND(R1210="",S1210&lt;&gt;"Yes",L1210&gt;0,B1210&lt;&gt;"TXO"),L1210,"")</f>
        <v/>
      </c>
      <c r="W1210" s="61">
        <f>IF(AND(R1210="",S1210&lt;&gt;"Yes",L1210&lt;0,B1210&lt;&gt;"TXO"),L1210,"")</f>
        <v/>
      </c>
      <c r="X1210" s="226">
        <f>IF(AND(R1210="Yes",S1210="Yes",L1210&gt;0,B1210&lt;&gt;"TXO"),L1210,"")</f>
        <v/>
      </c>
      <c r="Y1210" s="226">
        <f>IF(AND(R1210="Yes",S1210="Yes",L1210&lt;0,B1210&lt;&gt;"TXO"),L1210,"")</f>
        <v/>
      </c>
      <c r="Z1210" s="226">
        <f>IF(AND(R1210="",S1210="Yes",L1210&gt;0,B1210&lt;&gt;"TXO"),L1210,"")</f>
        <v/>
      </c>
      <c r="AA1210" s="226">
        <f>IF(AND(R1210="",S1210="Yes",L1210&lt;0,B1210&lt;&gt;"TXO"),L1210,"")</f>
        <v/>
      </c>
    </row>
    <row r="1211" hidden="1" outlineLevel="2" collapsed="1" ht="17.25" customHeight="1" thickBot="1">
      <c r="A1211" s="740" t="n">
        <v>43385</v>
      </c>
      <c r="B1211" s="299" t="inlineStr">
        <is>
          <t>FIMTX</t>
        </is>
      </c>
      <c r="C1211" s="300" t="inlineStr">
        <is>
          <t>小指10</t>
        </is>
      </c>
      <c r="D1211" s="300" t="inlineStr">
        <is>
          <t>平倉</t>
        </is>
      </c>
      <c r="E1211" s="301" t="inlineStr">
        <is>
          <t>賣</t>
        </is>
      </c>
      <c r="F1211" s="300" t="inlineStr">
        <is>
          <t>-</t>
        </is>
      </c>
      <c r="G1211" s="741" t="n">
        <v>1</v>
      </c>
      <c r="H1211" s="741" t="n">
        <v>9793</v>
      </c>
      <c r="I1211" s="741" t="n">
        <v>0</v>
      </c>
      <c r="J1211" s="742" t="n">
        <v>18</v>
      </c>
      <c r="K1211" s="742" t="n">
        <v>10</v>
      </c>
      <c r="L1211" s="742">
        <f>IF(B1211="TXO",I1211-SUM(J1211:K1211),IF(B1211="FITX",IF(D1211="新倉",-SUM(J1211:K1211),IF(E1211="賣",(H1211-H1210)*G1211*200-SUM(J1211:K1211),(H1210-H1211)*G1211*200-SUM(J1211:K1211))),IF(D1211="新倉",-SUM(J1211:K1211),IF(E1211="賣",(H1211-H1210)*G1211*50-SUM(J1211:K1211),(H1210-H1211)*G1211*50-SUM(J1211:K1211)))))</f>
        <v/>
      </c>
      <c r="M1211" s="743">
        <f>L1211</f>
        <v/>
      </c>
      <c r="N1211" s="686">
        <f>IF(B1211="TXO","",IF(D1211="新倉","",IF(E1211="賣",(H1211-H1210)*G1211,(H1210-H1211)*G1211)))</f>
        <v/>
      </c>
      <c r="O1211" s="226" t="n">
        <v>0</v>
      </c>
      <c r="P1211" s="667" t="n"/>
      <c r="S1211" s="249" t="n"/>
      <c r="T1211" s="61">
        <f>IF(AND(R1211="Yes",S1211&lt;&gt;"Yes",L1211&gt;0,B1211&lt;&gt;"TXO"),L1211,"")</f>
        <v/>
      </c>
      <c r="U1211" s="61">
        <f>IF(AND(R1211="Yes",S1211&lt;&gt;"Yes",L1211&lt;0,B1211&lt;&gt;"TXO"),L1211,"")</f>
        <v/>
      </c>
      <c r="V1211" s="61">
        <f>IF(AND(R1211="",S1211&lt;&gt;"Yes",L1211&gt;0,B1211&lt;&gt;"TXO"),L1211,"")</f>
        <v/>
      </c>
      <c r="W1211" s="61">
        <f>IF(AND(R1211="",S1211&lt;&gt;"Yes",L1211&lt;0,B1211&lt;&gt;"TXO"),L1211,"")</f>
        <v/>
      </c>
      <c r="X1211" s="226">
        <f>IF(AND(R1211="Yes",S1211="Yes",L1211&gt;0,B1211&lt;&gt;"TXO"),L1211,"")</f>
        <v/>
      </c>
      <c r="Y1211" s="226">
        <f>IF(AND(R1211="Yes",S1211="Yes",L1211&lt;0,B1211&lt;&gt;"TXO"),L1211,"")</f>
        <v/>
      </c>
      <c r="Z1211" s="226">
        <f>IF(AND(R1211="",S1211="Yes",L1211&gt;0,B1211&lt;&gt;"TXO"),L1211,"")</f>
        <v/>
      </c>
      <c r="AA1211" s="226">
        <f>IF(AND(R1211="",S1211="Yes",L1211&lt;0,B1211&lt;&gt;"TXO"),L1211,"")</f>
        <v/>
      </c>
    </row>
    <row r="1212" hidden="1" outlineLevel="2" collapsed="1" ht="17.25" customHeight="1" thickBot="1">
      <c r="A1212" s="740" t="n">
        <v>43385</v>
      </c>
      <c r="B1212" s="299" t="inlineStr">
        <is>
          <t>FIMTX</t>
        </is>
      </c>
      <c r="C1212" s="300" t="inlineStr">
        <is>
          <t>小指10</t>
        </is>
      </c>
      <c r="D1212" s="300" t="inlineStr">
        <is>
          <t>新倉</t>
        </is>
      </c>
      <c r="E1212" s="301" t="inlineStr">
        <is>
          <t>買</t>
        </is>
      </c>
      <c r="F1212" s="300" t="inlineStr">
        <is>
          <t>-</t>
        </is>
      </c>
      <c r="G1212" s="741" t="n">
        <v>1</v>
      </c>
      <c r="H1212" s="741" t="n">
        <v>9802</v>
      </c>
      <c r="I1212" s="741" t="n">
        <v>0</v>
      </c>
      <c r="J1212" s="742" t="n">
        <v>18</v>
      </c>
      <c r="K1212" s="742" t="n">
        <v>10</v>
      </c>
      <c r="L1212" s="742">
        <f>IF(B1212="TXO",I1212-SUM(J1212:K1212),IF(B1212="FITX",IF(D1212="新倉",-SUM(J1212:K1212),IF(E1212="賣",(H1212-H1211)*G1212*200-SUM(J1212:K1212),(H1211-H1212)*G1212*200-SUM(J1212:K1212))),IF(D1212="新倉",-SUM(J1212:K1212),IF(E1212="賣",(H1212-H1211)*G1212*50-SUM(J1212:K1212),(H1211-H1212)*G1212*50-SUM(J1212:K1212)))))</f>
        <v/>
      </c>
      <c r="M1212" s="743">
        <f>L1212</f>
        <v/>
      </c>
      <c r="N1212" s="686">
        <f>IF(B1212="TXO","",IF(D1212="新倉","",IF(E1212="賣",(H1212-H1211)*G1212,(H1211-H1212)*G1212)))</f>
        <v/>
      </c>
      <c r="O1212" s="226" t="n">
        <v>0</v>
      </c>
      <c r="P1212" s="667" t="n"/>
      <c r="S1212" s="249" t="n"/>
      <c r="T1212" s="61">
        <f>IF(AND(R1212="Yes",S1212&lt;&gt;"Yes",L1212&gt;0,B1212&lt;&gt;"TXO"),L1212,"")</f>
        <v/>
      </c>
      <c r="U1212" s="61">
        <f>IF(AND(R1212="Yes",S1212&lt;&gt;"Yes",L1212&lt;0,B1212&lt;&gt;"TXO"),L1212,"")</f>
        <v/>
      </c>
      <c r="V1212" s="61">
        <f>IF(AND(R1212="",S1212&lt;&gt;"Yes",L1212&gt;0,B1212&lt;&gt;"TXO"),L1212,"")</f>
        <v/>
      </c>
      <c r="W1212" s="61">
        <f>IF(AND(R1212="",S1212&lt;&gt;"Yes",L1212&lt;0,B1212&lt;&gt;"TXO"),L1212,"")</f>
        <v/>
      </c>
      <c r="X1212" s="226">
        <f>IF(AND(R1212="Yes",S1212="Yes",L1212&gt;0,B1212&lt;&gt;"TXO"),L1212,"")</f>
        <v/>
      </c>
      <c r="Y1212" s="226">
        <f>IF(AND(R1212="Yes",S1212="Yes",L1212&lt;0,B1212&lt;&gt;"TXO"),L1212,"")</f>
        <v/>
      </c>
      <c r="Z1212" s="226">
        <f>IF(AND(R1212="",S1212="Yes",L1212&gt;0,B1212&lt;&gt;"TXO"),L1212,"")</f>
        <v/>
      </c>
      <c r="AA1212" s="226">
        <f>IF(AND(R1212="",S1212="Yes",L1212&lt;0,B1212&lt;&gt;"TXO"),L1212,"")</f>
        <v/>
      </c>
    </row>
    <row r="1213" hidden="1" outlineLevel="2" collapsed="1" ht="17.25" customHeight="1" thickBot="1">
      <c r="A1213" s="740" t="n">
        <v>43385</v>
      </c>
      <c r="B1213" s="299" t="inlineStr">
        <is>
          <t>FIMTX</t>
        </is>
      </c>
      <c r="C1213" s="300" t="inlineStr">
        <is>
          <t>小指10</t>
        </is>
      </c>
      <c r="D1213" s="300" t="inlineStr">
        <is>
          <t>平倉</t>
        </is>
      </c>
      <c r="E1213" s="301" t="inlineStr">
        <is>
          <t>賣</t>
        </is>
      </c>
      <c r="F1213" s="300" t="inlineStr">
        <is>
          <t>-</t>
        </is>
      </c>
      <c r="G1213" s="741" t="n">
        <v>1</v>
      </c>
      <c r="H1213" s="741" t="n">
        <v>9796</v>
      </c>
      <c r="I1213" s="741" t="n">
        <v>0</v>
      </c>
      <c r="J1213" s="742" t="n">
        <v>18</v>
      </c>
      <c r="K1213" s="742" t="n">
        <v>10</v>
      </c>
      <c r="L1213" s="742">
        <f>IF(B1213="TXO",I1213-SUM(J1213:K1213),IF(B1213="FITX",IF(D1213="新倉",-SUM(J1213:K1213),IF(E1213="賣",(H1213-H1212)*G1213*200-SUM(J1213:K1213),(H1212-H1213)*G1213*200-SUM(J1213:K1213))),IF(D1213="新倉",-SUM(J1213:K1213),IF(E1213="賣",(H1213-H1212)*G1213*50-SUM(J1213:K1213),(H1212-H1213)*G1213*50-SUM(J1213:K1213)))))</f>
        <v/>
      </c>
      <c r="M1213" s="743">
        <f>L1213</f>
        <v/>
      </c>
      <c r="N1213" s="686">
        <f>IF(B1213="TXO","",IF(D1213="新倉","",IF(E1213="賣",(H1213-H1212)*G1213,(H1212-H1213)*G1213)))</f>
        <v/>
      </c>
      <c r="O1213" s="226" t="n">
        <v>0</v>
      </c>
      <c r="P1213" s="667" t="n"/>
      <c r="S1213" s="249" t="n"/>
      <c r="T1213" s="61">
        <f>IF(AND(R1213="Yes",S1213&lt;&gt;"Yes",L1213&gt;0,B1213&lt;&gt;"TXO"),L1213,"")</f>
        <v/>
      </c>
      <c r="U1213" s="61">
        <f>IF(AND(R1213="Yes",S1213&lt;&gt;"Yes",L1213&lt;0,B1213&lt;&gt;"TXO"),L1213,"")</f>
        <v/>
      </c>
      <c r="V1213" s="61">
        <f>IF(AND(R1213="",S1213&lt;&gt;"Yes",L1213&gt;0,B1213&lt;&gt;"TXO"),L1213,"")</f>
        <v/>
      </c>
      <c r="W1213" s="61">
        <f>IF(AND(R1213="",S1213&lt;&gt;"Yes",L1213&lt;0,B1213&lt;&gt;"TXO"),L1213,"")</f>
        <v/>
      </c>
      <c r="X1213" s="226">
        <f>IF(AND(R1213="Yes",S1213="Yes",L1213&gt;0,B1213&lt;&gt;"TXO"),L1213,"")</f>
        <v/>
      </c>
      <c r="Y1213" s="226">
        <f>IF(AND(R1213="Yes",S1213="Yes",L1213&lt;0,B1213&lt;&gt;"TXO"),L1213,"")</f>
        <v/>
      </c>
      <c r="Z1213" s="226">
        <f>IF(AND(R1213="",S1213="Yes",L1213&gt;0,B1213&lt;&gt;"TXO"),L1213,"")</f>
        <v/>
      </c>
      <c r="AA1213" s="226">
        <f>IF(AND(R1213="",S1213="Yes",L1213&lt;0,B1213&lt;&gt;"TXO"),L1213,"")</f>
        <v/>
      </c>
    </row>
    <row r="1214" hidden="1" outlineLevel="2" collapsed="1" ht="17.25" customHeight="1" thickBot="1">
      <c r="A1214" s="740" t="n">
        <v>43385</v>
      </c>
      <c r="B1214" s="299" t="inlineStr">
        <is>
          <t>FIMTX</t>
        </is>
      </c>
      <c r="C1214" s="300" t="inlineStr">
        <is>
          <t>小指10</t>
        </is>
      </c>
      <c r="D1214" s="300" t="inlineStr">
        <is>
          <t>新倉</t>
        </is>
      </c>
      <c r="E1214" s="301" t="inlineStr">
        <is>
          <t>買</t>
        </is>
      </c>
      <c r="F1214" s="300" t="inlineStr">
        <is>
          <t>-</t>
        </is>
      </c>
      <c r="G1214" s="741" t="n">
        <v>1</v>
      </c>
      <c r="H1214" s="741" t="n">
        <v>9803</v>
      </c>
      <c r="I1214" s="741" t="n">
        <v>0</v>
      </c>
      <c r="J1214" s="742" t="n">
        <v>18</v>
      </c>
      <c r="K1214" s="742" t="n">
        <v>10</v>
      </c>
      <c r="L1214" s="742">
        <f>IF(B1214="TXO",I1214-SUM(J1214:K1214),IF(B1214="FITX",IF(D1214="新倉",-SUM(J1214:K1214),IF(E1214="賣",(H1214-H1213)*G1214*200-SUM(J1214:K1214),(H1213-H1214)*G1214*200-SUM(J1214:K1214))),IF(D1214="新倉",-SUM(J1214:K1214),IF(E1214="賣",(H1214-H1213)*G1214*50-SUM(J1214:K1214),(H1213-H1214)*G1214*50-SUM(J1214:K1214)))))</f>
        <v/>
      </c>
      <c r="M1214" s="743">
        <f>L1214</f>
        <v/>
      </c>
      <c r="N1214" s="686">
        <f>IF(B1214="TXO","",IF(D1214="新倉","",IF(E1214="賣",(H1214-H1213)*G1214,(H1213-H1214)*G1214)))</f>
        <v/>
      </c>
      <c r="O1214" s="226" t="n">
        <v>0</v>
      </c>
      <c r="P1214" s="667" t="n"/>
      <c r="S1214" s="249" t="n"/>
      <c r="T1214" s="61">
        <f>IF(AND(R1214="Yes",S1214&lt;&gt;"Yes",L1214&gt;0,B1214&lt;&gt;"TXO"),L1214,"")</f>
        <v/>
      </c>
      <c r="U1214" s="61">
        <f>IF(AND(R1214="Yes",S1214&lt;&gt;"Yes",L1214&lt;0,B1214&lt;&gt;"TXO"),L1214,"")</f>
        <v/>
      </c>
      <c r="V1214" s="61">
        <f>IF(AND(R1214="",S1214&lt;&gt;"Yes",L1214&gt;0,B1214&lt;&gt;"TXO"),L1214,"")</f>
        <v/>
      </c>
      <c r="W1214" s="61">
        <f>IF(AND(R1214="",S1214&lt;&gt;"Yes",L1214&lt;0,B1214&lt;&gt;"TXO"),L1214,"")</f>
        <v/>
      </c>
      <c r="X1214" s="226">
        <f>IF(AND(R1214="Yes",S1214="Yes",L1214&gt;0,B1214&lt;&gt;"TXO"),L1214,"")</f>
        <v/>
      </c>
      <c r="Y1214" s="226">
        <f>IF(AND(R1214="Yes",S1214="Yes",L1214&lt;0,B1214&lt;&gt;"TXO"),L1214,"")</f>
        <v/>
      </c>
      <c r="Z1214" s="226">
        <f>IF(AND(R1214="",S1214="Yes",L1214&gt;0,B1214&lt;&gt;"TXO"),L1214,"")</f>
        <v/>
      </c>
      <c r="AA1214" s="226">
        <f>IF(AND(R1214="",S1214="Yes",L1214&lt;0,B1214&lt;&gt;"TXO"),L1214,"")</f>
        <v/>
      </c>
    </row>
    <row r="1215" hidden="1" outlineLevel="2" collapsed="1" ht="17.25" customHeight="1" thickBot="1">
      <c r="A1215" s="740" t="n">
        <v>43385</v>
      </c>
      <c r="B1215" s="299" t="inlineStr">
        <is>
          <t>FIMTX</t>
        </is>
      </c>
      <c r="C1215" s="300" t="inlineStr">
        <is>
          <t>小指10</t>
        </is>
      </c>
      <c r="D1215" s="300" t="inlineStr">
        <is>
          <t>平倉</t>
        </is>
      </c>
      <c r="E1215" s="301" t="inlineStr">
        <is>
          <t>賣</t>
        </is>
      </c>
      <c r="F1215" s="300" t="inlineStr">
        <is>
          <t>-</t>
        </is>
      </c>
      <c r="G1215" s="741" t="n">
        <v>1</v>
      </c>
      <c r="H1215" s="741" t="n">
        <v>9806</v>
      </c>
      <c r="I1215" s="741" t="n">
        <v>0</v>
      </c>
      <c r="J1215" s="742" t="n">
        <v>18</v>
      </c>
      <c r="K1215" s="742" t="n">
        <v>10</v>
      </c>
      <c r="L1215" s="742">
        <f>IF(B1215="TXO",I1215-SUM(J1215:K1215),IF(B1215="FITX",IF(D1215="新倉",-SUM(J1215:K1215),IF(E1215="賣",(H1215-H1214)*G1215*200-SUM(J1215:K1215),(H1214-H1215)*G1215*200-SUM(J1215:K1215))),IF(D1215="新倉",-SUM(J1215:K1215),IF(E1215="賣",(H1215-H1214)*G1215*50-SUM(J1215:K1215),(H1214-H1215)*G1215*50-SUM(J1215:K1215)))))</f>
        <v/>
      </c>
      <c r="M1215" s="743">
        <f>L1215</f>
        <v/>
      </c>
      <c r="N1215" s="686">
        <f>IF(B1215="TXO","",IF(D1215="新倉","",IF(E1215="賣",(H1215-H1214)*G1215,(H1214-H1215)*G1215)))</f>
        <v/>
      </c>
      <c r="O1215" s="226" t="n">
        <v>0</v>
      </c>
      <c r="P1215" s="667" t="n"/>
      <c r="S1215" s="249" t="n"/>
      <c r="T1215" s="61">
        <f>IF(AND(R1215="Yes",S1215&lt;&gt;"Yes",L1215&gt;0,B1215&lt;&gt;"TXO"),L1215,"")</f>
        <v/>
      </c>
      <c r="U1215" s="61">
        <f>IF(AND(R1215="Yes",S1215&lt;&gt;"Yes",L1215&lt;0,B1215&lt;&gt;"TXO"),L1215,"")</f>
        <v/>
      </c>
      <c r="V1215" s="61">
        <f>IF(AND(R1215="",S1215&lt;&gt;"Yes",L1215&gt;0,B1215&lt;&gt;"TXO"),L1215,"")</f>
        <v/>
      </c>
      <c r="W1215" s="61">
        <f>IF(AND(R1215="",S1215&lt;&gt;"Yes",L1215&lt;0,B1215&lt;&gt;"TXO"),L1215,"")</f>
        <v/>
      </c>
      <c r="X1215" s="226">
        <f>IF(AND(R1215="Yes",S1215="Yes",L1215&gt;0,B1215&lt;&gt;"TXO"),L1215,"")</f>
        <v/>
      </c>
      <c r="Y1215" s="226">
        <f>IF(AND(R1215="Yes",S1215="Yes",L1215&lt;0,B1215&lt;&gt;"TXO"),L1215,"")</f>
        <v/>
      </c>
      <c r="Z1215" s="226">
        <f>IF(AND(R1215="",S1215="Yes",L1215&gt;0,B1215&lt;&gt;"TXO"),L1215,"")</f>
        <v/>
      </c>
      <c r="AA1215" s="226">
        <f>IF(AND(R1215="",S1215="Yes",L1215&lt;0,B1215&lt;&gt;"TXO"),L1215,"")</f>
        <v/>
      </c>
    </row>
    <row r="1216" hidden="1" outlineLevel="2" collapsed="1" ht="17.25" customHeight="1" thickBot="1">
      <c r="A1216" s="740" t="n">
        <v>43385</v>
      </c>
      <c r="B1216" s="299" t="inlineStr">
        <is>
          <t>FIMTX</t>
        </is>
      </c>
      <c r="C1216" s="300" t="inlineStr">
        <is>
          <t>小指10</t>
        </is>
      </c>
      <c r="D1216" s="300" t="inlineStr">
        <is>
          <t>新倉</t>
        </is>
      </c>
      <c r="E1216" s="301" t="inlineStr">
        <is>
          <t>買</t>
        </is>
      </c>
      <c r="F1216" s="300" t="inlineStr">
        <is>
          <t>-</t>
        </is>
      </c>
      <c r="G1216" s="741" t="n">
        <v>1</v>
      </c>
      <c r="H1216" s="741" t="n">
        <v>9803</v>
      </c>
      <c r="I1216" s="741" t="n">
        <v>0</v>
      </c>
      <c r="J1216" s="742" t="n">
        <v>18</v>
      </c>
      <c r="K1216" s="742" t="n">
        <v>10</v>
      </c>
      <c r="L1216" s="742">
        <f>IF(B1216="TXO",I1216-SUM(J1216:K1216),IF(B1216="FITX",IF(D1216="新倉",-SUM(J1216:K1216),IF(E1216="賣",(H1216-H1215)*G1216*200-SUM(J1216:K1216),(H1215-H1216)*G1216*200-SUM(J1216:K1216))),IF(D1216="新倉",-SUM(J1216:K1216),IF(E1216="賣",(H1216-H1215)*G1216*50-SUM(J1216:K1216),(H1215-H1216)*G1216*50-SUM(J1216:K1216)))))</f>
        <v/>
      </c>
      <c r="M1216" s="743">
        <f>L1216</f>
        <v/>
      </c>
      <c r="N1216" s="686">
        <f>IF(B1216="TXO","",IF(D1216="新倉","",IF(E1216="賣",(H1216-H1215)*G1216,(H1215-H1216)*G1216)))</f>
        <v/>
      </c>
      <c r="O1216" s="226" t="n">
        <v>0</v>
      </c>
      <c r="P1216" s="667" t="n"/>
      <c r="S1216" s="249" t="n"/>
      <c r="T1216" s="61">
        <f>IF(AND(R1216="Yes",S1216&lt;&gt;"Yes",L1216&gt;0,B1216&lt;&gt;"TXO"),L1216,"")</f>
        <v/>
      </c>
      <c r="U1216" s="61">
        <f>IF(AND(R1216="Yes",S1216&lt;&gt;"Yes",L1216&lt;0,B1216&lt;&gt;"TXO"),L1216,"")</f>
        <v/>
      </c>
      <c r="V1216" s="61">
        <f>IF(AND(R1216="",S1216&lt;&gt;"Yes",L1216&gt;0,B1216&lt;&gt;"TXO"),L1216,"")</f>
        <v/>
      </c>
      <c r="W1216" s="61">
        <f>IF(AND(R1216="",S1216&lt;&gt;"Yes",L1216&lt;0,B1216&lt;&gt;"TXO"),L1216,"")</f>
        <v/>
      </c>
      <c r="X1216" s="226">
        <f>IF(AND(R1216="Yes",S1216="Yes",L1216&gt;0,B1216&lt;&gt;"TXO"),L1216,"")</f>
        <v/>
      </c>
      <c r="Y1216" s="226">
        <f>IF(AND(R1216="Yes",S1216="Yes",L1216&lt;0,B1216&lt;&gt;"TXO"),L1216,"")</f>
        <v/>
      </c>
      <c r="Z1216" s="226">
        <f>IF(AND(R1216="",S1216="Yes",L1216&gt;0,B1216&lt;&gt;"TXO"),L1216,"")</f>
        <v/>
      </c>
      <c r="AA1216" s="226">
        <f>IF(AND(R1216="",S1216="Yes",L1216&lt;0,B1216&lt;&gt;"TXO"),L1216,"")</f>
        <v/>
      </c>
    </row>
    <row r="1217" hidden="1" outlineLevel="2" collapsed="1" ht="17.25" customHeight="1" thickBot="1">
      <c r="A1217" s="740" t="n">
        <v>43385</v>
      </c>
      <c r="B1217" s="299" t="inlineStr">
        <is>
          <t>FIMTX</t>
        </is>
      </c>
      <c r="C1217" s="300" t="inlineStr">
        <is>
          <t>小指10</t>
        </is>
      </c>
      <c r="D1217" s="300" t="inlineStr">
        <is>
          <t>平倉</t>
        </is>
      </c>
      <c r="E1217" s="301" t="inlineStr">
        <is>
          <t>賣</t>
        </is>
      </c>
      <c r="F1217" s="300" t="inlineStr">
        <is>
          <t>-</t>
        </is>
      </c>
      <c r="G1217" s="741" t="n">
        <v>1</v>
      </c>
      <c r="H1217" s="741" t="n">
        <v>9810</v>
      </c>
      <c r="I1217" s="741" t="n">
        <v>0</v>
      </c>
      <c r="J1217" s="742" t="n">
        <v>18</v>
      </c>
      <c r="K1217" s="742" t="n">
        <v>10</v>
      </c>
      <c r="L1217" s="742">
        <f>IF(B1217="TXO",I1217-SUM(J1217:K1217),IF(B1217="FITX",IF(D1217="新倉",-SUM(J1217:K1217),IF(E1217="賣",(H1217-H1216)*G1217*200-SUM(J1217:K1217),(H1216-H1217)*G1217*200-SUM(J1217:K1217))),IF(D1217="新倉",-SUM(J1217:K1217),IF(E1217="賣",(H1217-H1216)*G1217*50-SUM(J1217:K1217),(H1216-H1217)*G1217*50-SUM(J1217:K1217)))))</f>
        <v/>
      </c>
      <c r="M1217" s="743">
        <f>L1217</f>
        <v/>
      </c>
      <c r="N1217" s="686">
        <f>IF(B1217="TXO","",IF(D1217="新倉","",IF(E1217="賣",(H1217-H1216)*G1217,(H1216-H1217)*G1217)))</f>
        <v/>
      </c>
      <c r="O1217" s="226" t="n">
        <v>0</v>
      </c>
      <c r="P1217" s="667" t="n"/>
      <c r="S1217" s="249" t="n"/>
      <c r="T1217" s="61">
        <f>IF(AND(R1217="Yes",S1217&lt;&gt;"Yes",L1217&gt;0,B1217&lt;&gt;"TXO"),L1217,"")</f>
        <v/>
      </c>
      <c r="U1217" s="61">
        <f>IF(AND(R1217="Yes",S1217&lt;&gt;"Yes",L1217&lt;0,B1217&lt;&gt;"TXO"),L1217,"")</f>
        <v/>
      </c>
      <c r="V1217" s="61">
        <f>IF(AND(R1217="",S1217&lt;&gt;"Yes",L1217&gt;0,B1217&lt;&gt;"TXO"),L1217,"")</f>
        <v/>
      </c>
      <c r="W1217" s="61">
        <f>IF(AND(R1217="",S1217&lt;&gt;"Yes",L1217&lt;0,B1217&lt;&gt;"TXO"),L1217,"")</f>
        <v/>
      </c>
      <c r="X1217" s="226">
        <f>IF(AND(R1217="Yes",S1217="Yes",L1217&gt;0,B1217&lt;&gt;"TXO"),L1217,"")</f>
        <v/>
      </c>
      <c r="Y1217" s="226">
        <f>IF(AND(R1217="Yes",S1217="Yes",L1217&lt;0,B1217&lt;&gt;"TXO"),L1217,"")</f>
        <v/>
      </c>
      <c r="Z1217" s="226">
        <f>IF(AND(R1217="",S1217="Yes",L1217&gt;0,B1217&lt;&gt;"TXO"),L1217,"")</f>
        <v/>
      </c>
      <c r="AA1217" s="226">
        <f>IF(AND(R1217="",S1217="Yes",L1217&lt;0,B1217&lt;&gt;"TXO"),L1217,"")</f>
        <v/>
      </c>
    </row>
    <row r="1218" hidden="1" outlineLevel="2" collapsed="1" ht="17.25" customHeight="1" thickBot="1">
      <c r="A1218" s="740" t="n">
        <v>43385</v>
      </c>
      <c r="B1218" s="299" t="inlineStr">
        <is>
          <t>FIMTX</t>
        </is>
      </c>
      <c r="C1218" s="300" t="inlineStr">
        <is>
          <t>小指10</t>
        </is>
      </c>
      <c r="D1218" s="300" t="inlineStr">
        <is>
          <t>新倉</t>
        </is>
      </c>
      <c r="E1218" s="301" t="inlineStr">
        <is>
          <t>買</t>
        </is>
      </c>
      <c r="F1218" s="300" t="inlineStr">
        <is>
          <t>-</t>
        </is>
      </c>
      <c r="G1218" s="741" t="n">
        <v>1</v>
      </c>
      <c r="H1218" s="741" t="n">
        <v>9805</v>
      </c>
      <c r="I1218" s="741" t="n">
        <v>0</v>
      </c>
      <c r="J1218" s="742" t="n">
        <v>18</v>
      </c>
      <c r="K1218" s="742" t="n">
        <v>10</v>
      </c>
      <c r="L1218" s="742">
        <f>IF(B1218="TXO",I1218-SUM(J1218:K1218),IF(B1218="FITX",IF(D1218="新倉",-SUM(J1218:K1218),IF(E1218="賣",(H1218-H1217)*G1218*200-SUM(J1218:K1218),(H1217-H1218)*G1218*200-SUM(J1218:K1218))),IF(D1218="新倉",-SUM(J1218:K1218),IF(E1218="賣",(H1218-H1217)*G1218*50-SUM(J1218:K1218),(H1217-H1218)*G1218*50-SUM(J1218:K1218)))))</f>
        <v/>
      </c>
      <c r="M1218" s="743">
        <f>L1218</f>
        <v/>
      </c>
      <c r="N1218" s="686">
        <f>IF(B1218="TXO","",IF(D1218="新倉","",IF(E1218="賣",(H1218-H1217)*G1218,(H1217-H1218)*G1218)))</f>
        <v/>
      </c>
      <c r="O1218" s="226" t="n">
        <v>0</v>
      </c>
      <c r="P1218" s="667" t="n"/>
      <c r="S1218" s="249" t="n"/>
      <c r="T1218" s="61">
        <f>IF(AND(R1218="Yes",S1218&lt;&gt;"Yes",L1218&gt;0,B1218&lt;&gt;"TXO"),L1218,"")</f>
        <v/>
      </c>
      <c r="U1218" s="61">
        <f>IF(AND(R1218="Yes",S1218&lt;&gt;"Yes",L1218&lt;0,B1218&lt;&gt;"TXO"),L1218,"")</f>
        <v/>
      </c>
      <c r="V1218" s="61">
        <f>IF(AND(R1218="",S1218&lt;&gt;"Yes",L1218&gt;0,B1218&lt;&gt;"TXO"),L1218,"")</f>
        <v/>
      </c>
      <c r="W1218" s="61">
        <f>IF(AND(R1218="",S1218&lt;&gt;"Yes",L1218&lt;0,B1218&lt;&gt;"TXO"),L1218,"")</f>
        <v/>
      </c>
      <c r="X1218" s="226">
        <f>IF(AND(R1218="Yes",S1218="Yes",L1218&gt;0,B1218&lt;&gt;"TXO"),L1218,"")</f>
        <v/>
      </c>
      <c r="Y1218" s="226">
        <f>IF(AND(R1218="Yes",S1218="Yes",L1218&lt;0,B1218&lt;&gt;"TXO"),L1218,"")</f>
        <v/>
      </c>
      <c r="Z1218" s="226">
        <f>IF(AND(R1218="",S1218="Yes",L1218&gt;0,B1218&lt;&gt;"TXO"),L1218,"")</f>
        <v/>
      </c>
      <c r="AA1218" s="226">
        <f>IF(AND(R1218="",S1218="Yes",L1218&lt;0,B1218&lt;&gt;"TXO"),L1218,"")</f>
        <v/>
      </c>
    </row>
    <row r="1219" hidden="1" outlineLevel="2" collapsed="1" ht="17.25" customHeight="1" thickBot="1">
      <c r="A1219" s="740" t="n">
        <v>43385</v>
      </c>
      <c r="B1219" s="299" t="inlineStr">
        <is>
          <t>FIMTX</t>
        </is>
      </c>
      <c r="C1219" s="300" t="inlineStr">
        <is>
          <t>小指10</t>
        </is>
      </c>
      <c r="D1219" s="300" t="inlineStr">
        <is>
          <t>平倉</t>
        </is>
      </c>
      <c r="E1219" s="301" t="inlineStr">
        <is>
          <t>賣</t>
        </is>
      </c>
      <c r="F1219" s="300" t="inlineStr">
        <is>
          <t>-</t>
        </is>
      </c>
      <c r="G1219" s="741" t="n">
        <v>1</v>
      </c>
      <c r="H1219" s="741" t="n">
        <v>9809</v>
      </c>
      <c r="I1219" s="741" t="n">
        <v>0</v>
      </c>
      <c r="J1219" s="742" t="n">
        <v>18</v>
      </c>
      <c r="K1219" s="742" t="n">
        <v>10</v>
      </c>
      <c r="L1219" s="742">
        <f>IF(B1219="TXO",I1219-SUM(J1219:K1219),IF(B1219="FITX",IF(D1219="新倉",-SUM(J1219:K1219),IF(E1219="賣",(H1219-H1218)*G1219*200-SUM(J1219:K1219),(H1218-H1219)*G1219*200-SUM(J1219:K1219))),IF(D1219="新倉",-SUM(J1219:K1219),IF(E1219="賣",(H1219-H1218)*G1219*50-SUM(J1219:K1219),(H1218-H1219)*G1219*50-SUM(J1219:K1219)))))</f>
        <v/>
      </c>
      <c r="M1219" s="743">
        <f>L1219</f>
        <v/>
      </c>
      <c r="N1219" s="686">
        <f>IF(B1219="TXO","",IF(D1219="新倉","",IF(E1219="賣",(H1219-H1218)*G1219,(H1218-H1219)*G1219)))</f>
        <v/>
      </c>
      <c r="O1219" s="226" t="n">
        <v>0</v>
      </c>
      <c r="P1219" s="667" t="n"/>
      <c r="S1219" s="249" t="n"/>
      <c r="T1219" s="61">
        <f>IF(AND(R1219="Yes",S1219&lt;&gt;"Yes",L1219&gt;0,B1219&lt;&gt;"TXO"),L1219,"")</f>
        <v/>
      </c>
      <c r="U1219" s="61">
        <f>IF(AND(R1219="Yes",S1219&lt;&gt;"Yes",L1219&lt;0,B1219&lt;&gt;"TXO"),L1219,"")</f>
        <v/>
      </c>
      <c r="V1219" s="61">
        <f>IF(AND(R1219="",S1219&lt;&gt;"Yes",L1219&gt;0,B1219&lt;&gt;"TXO"),L1219,"")</f>
        <v/>
      </c>
      <c r="W1219" s="61">
        <f>IF(AND(R1219="",S1219&lt;&gt;"Yes",L1219&lt;0,B1219&lt;&gt;"TXO"),L1219,"")</f>
        <v/>
      </c>
      <c r="X1219" s="226">
        <f>IF(AND(R1219="Yes",S1219="Yes",L1219&gt;0,B1219&lt;&gt;"TXO"),L1219,"")</f>
        <v/>
      </c>
      <c r="Y1219" s="226">
        <f>IF(AND(R1219="Yes",S1219="Yes",L1219&lt;0,B1219&lt;&gt;"TXO"),L1219,"")</f>
        <v/>
      </c>
      <c r="Z1219" s="226">
        <f>IF(AND(R1219="",S1219="Yes",L1219&gt;0,B1219&lt;&gt;"TXO"),L1219,"")</f>
        <v/>
      </c>
      <c r="AA1219" s="226">
        <f>IF(AND(R1219="",S1219="Yes",L1219&lt;0,B1219&lt;&gt;"TXO"),L1219,"")</f>
        <v/>
      </c>
    </row>
    <row r="1220" hidden="1" outlineLevel="2" collapsed="1" ht="17.25" customHeight="1" thickBot="1">
      <c r="A1220" s="740" t="n">
        <v>43385</v>
      </c>
      <c r="B1220" s="299" t="inlineStr">
        <is>
          <t>FIMTX</t>
        </is>
      </c>
      <c r="C1220" s="300" t="inlineStr">
        <is>
          <t>小指10</t>
        </is>
      </c>
      <c r="D1220" s="300" t="inlineStr">
        <is>
          <t>新倉</t>
        </is>
      </c>
      <c r="E1220" s="301" t="inlineStr">
        <is>
          <t>買</t>
        </is>
      </c>
      <c r="F1220" s="300" t="inlineStr">
        <is>
          <t>-</t>
        </is>
      </c>
      <c r="G1220" s="741" t="n">
        <v>1</v>
      </c>
      <c r="H1220" s="741" t="n">
        <v>9805</v>
      </c>
      <c r="I1220" s="741" t="n">
        <v>0</v>
      </c>
      <c r="J1220" s="742" t="n">
        <v>18</v>
      </c>
      <c r="K1220" s="742" t="n">
        <v>10</v>
      </c>
      <c r="L1220" s="742">
        <f>IF(B1220="TXO",I1220-SUM(J1220:K1220),IF(B1220="FITX",IF(D1220="新倉",-SUM(J1220:K1220),IF(E1220="賣",(H1220-H1219)*G1220*200-SUM(J1220:K1220),(H1219-H1220)*G1220*200-SUM(J1220:K1220))),IF(D1220="新倉",-SUM(J1220:K1220),IF(E1220="賣",(H1220-H1219)*G1220*50-SUM(J1220:K1220),(H1219-H1220)*G1220*50-SUM(J1220:K1220)))))</f>
        <v/>
      </c>
      <c r="M1220" s="743">
        <f>L1220</f>
        <v/>
      </c>
      <c r="N1220" s="686">
        <f>IF(B1220="TXO","",IF(D1220="新倉","",IF(E1220="賣",(H1220-H1219)*G1220,(H1219-H1220)*G1220)))</f>
        <v/>
      </c>
      <c r="O1220" s="226" t="n">
        <v>0</v>
      </c>
      <c r="P1220" s="667" t="n"/>
      <c r="S1220" s="249" t="n"/>
      <c r="T1220" s="61">
        <f>IF(AND(R1220="Yes",S1220&lt;&gt;"Yes",L1220&gt;0,B1220&lt;&gt;"TXO"),L1220,"")</f>
        <v/>
      </c>
      <c r="U1220" s="61">
        <f>IF(AND(R1220="Yes",S1220&lt;&gt;"Yes",L1220&lt;0,B1220&lt;&gt;"TXO"),L1220,"")</f>
        <v/>
      </c>
      <c r="V1220" s="61">
        <f>IF(AND(R1220="",S1220&lt;&gt;"Yes",L1220&gt;0,B1220&lt;&gt;"TXO"),L1220,"")</f>
        <v/>
      </c>
      <c r="W1220" s="61">
        <f>IF(AND(R1220="",S1220&lt;&gt;"Yes",L1220&lt;0,B1220&lt;&gt;"TXO"),L1220,"")</f>
        <v/>
      </c>
      <c r="X1220" s="226">
        <f>IF(AND(R1220="Yes",S1220="Yes",L1220&gt;0,B1220&lt;&gt;"TXO"),L1220,"")</f>
        <v/>
      </c>
      <c r="Y1220" s="226">
        <f>IF(AND(R1220="Yes",S1220="Yes",L1220&lt;0,B1220&lt;&gt;"TXO"),L1220,"")</f>
        <v/>
      </c>
      <c r="Z1220" s="226">
        <f>IF(AND(R1220="",S1220="Yes",L1220&gt;0,B1220&lt;&gt;"TXO"),L1220,"")</f>
        <v/>
      </c>
      <c r="AA1220" s="226">
        <f>IF(AND(R1220="",S1220="Yes",L1220&lt;0,B1220&lt;&gt;"TXO"),L1220,"")</f>
        <v/>
      </c>
    </row>
    <row r="1221" hidden="1" outlineLevel="2" collapsed="1" ht="17.25" customHeight="1" thickBot="1">
      <c r="A1221" s="740" t="n">
        <v>43385</v>
      </c>
      <c r="B1221" s="299" t="inlineStr">
        <is>
          <t>FIMTX</t>
        </is>
      </c>
      <c r="C1221" s="300" t="inlineStr">
        <is>
          <t>小指10</t>
        </is>
      </c>
      <c r="D1221" s="300" t="inlineStr">
        <is>
          <t>平倉</t>
        </is>
      </c>
      <c r="E1221" s="301" t="inlineStr">
        <is>
          <t>賣</t>
        </is>
      </c>
      <c r="F1221" s="300" t="inlineStr">
        <is>
          <t>-</t>
        </is>
      </c>
      <c r="G1221" s="741" t="n">
        <v>1</v>
      </c>
      <c r="H1221" s="741" t="n">
        <v>9808</v>
      </c>
      <c r="I1221" s="741" t="n">
        <v>0</v>
      </c>
      <c r="J1221" s="742" t="n">
        <v>18</v>
      </c>
      <c r="K1221" s="742" t="n">
        <v>10</v>
      </c>
      <c r="L1221" s="742">
        <f>IF(B1221="TXO",I1221-SUM(J1221:K1221),IF(B1221="FITX",IF(D1221="新倉",-SUM(J1221:K1221),IF(E1221="賣",(H1221-H1220)*G1221*200-SUM(J1221:K1221),(H1220-H1221)*G1221*200-SUM(J1221:K1221))),IF(D1221="新倉",-SUM(J1221:K1221),IF(E1221="賣",(H1221-H1220)*G1221*50-SUM(J1221:K1221),(H1220-H1221)*G1221*50-SUM(J1221:K1221)))))</f>
        <v/>
      </c>
      <c r="M1221" s="743">
        <f>L1221</f>
        <v/>
      </c>
      <c r="N1221" s="686">
        <f>IF(B1221="TXO","",IF(D1221="新倉","",IF(E1221="賣",(H1221-H1220)*G1221,(H1220-H1221)*G1221)))</f>
        <v/>
      </c>
      <c r="O1221" s="226" t="n">
        <v>0</v>
      </c>
      <c r="P1221" s="667" t="n"/>
      <c r="S1221" s="249" t="n"/>
      <c r="T1221" s="61">
        <f>IF(AND(R1221="Yes",S1221&lt;&gt;"Yes",L1221&gt;0,B1221&lt;&gt;"TXO"),L1221,"")</f>
        <v/>
      </c>
      <c r="U1221" s="61">
        <f>IF(AND(R1221="Yes",S1221&lt;&gt;"Yes",L1221&lt;0,B1221&lt;&gt;"TXO"),L1221,"")</f>
        <v/>
      </c>
      <c r="V1221" s="61">
        <f>IF(AND(R1221="",S1221&lt;&gt;"Yes",L1221&gt;0,B1221&lt;&gt;"TXO"),L1221,"")</f>
        <v/>
      </c>
      <c r="W1221" s="61">
        <f>IF(AND(R1221="",S1221&lt;&gt;"Yes",L1221&lt;0,B1221&lt;&gt;"TXO"),L1221,"")</f>
        <v/>
      </c>
      <c r="X1221" s="226">
        <f>IF(AND(R1221="Yes",S1221="Yes",L1221&gt;0,B1221&lt;&gt;"TXO"),L1221,"")</f>
        <v/>
      </c>
      <c r="Y1221" s="226">
        <f>IF(AND(R1221="Yes",S1221="Yes",L1221&lt;0,B1221&lt;&gt;"TXO"),L1221,"")</f>
        <v/>
      </c>
      <c r="Z1221" s="226">
        <f>IF(AND(R1221="",S1221="Yes",L1221&gt;0,B1221&lt;&gt;"TXO"),L1221,"")</f>
        <v/>
      </c>
      <c r="AA1221" s="226">
        <f>IF(AND(R1221="",S1221="Yes",L1221&lt;0,B1221&lt;&gt;"TXO"),L1221,"")</f>
        <v/>
      </c>
    </row>
    <row r="1222" hidden="1" outlineLevel="2" collapsed="1" ht="17.25" customHeight="1" thickBot="1">
      <c r="A1222" s="740" t="n">
        <v>43385</v>
      </c>
      <c r="B1222" s="299" t="inlineStr">
        <is>
          <t>FIMTX</t>
        </is>
      </c>
      <c r="C1222" s="300" t="inlineStr">
        <is>
          <t>小指10</t>
        </is>
      </c>
      <c r="D1222" s="300" t="inlineStr">
        <is>
          <t>新倉</t>
        </is>
      </c>
      <c r="E1222" s="301" t="inlineStr">
        <is>
          <t>買</t>
        </is>
      </c>
      <c r="F1222" s="300" t="inlineStr">
        <is>
          <t>-</t>
        </is>
      </c>
      <c r="G1222" s="741" t="n">
        <v>1</v>
      </c>
      <c r="H1222" s="741" t="n">
        <v>9803</v>
      </c>
      <c r="I1222" s="741" t="n">
        <v>0</v>
      </c>
      <c r="J1222" s="742" t="n">
        <v>18</v>
      </c>
      <c r="K1222" s="742" t="n">
        <v>10</v>
      </c>
      <c r="L1222" s="742">
        <f>IF(B1222="TXO",I1222-SUM(J1222:K1222),IF(B1222="FITX",IF(D1222="新倉",-SUM(J1222:K1222),IF(E1222="賣",(H1222-H1221)*G1222*200-SUM(J1222:K1222),(H1221-H1222)*G1222*200-SUM(J1222:K1222))),IF(D1222="新倉",-SUM(J1222:K1222),IF(E1222="賣",(H1222-H1221)*G1222*50-SUM(J1222:K1222),(H1221-H1222)*G1222*50-SUM(J1222:K1222)))))</f>
        <v/>
      </c>
      <c r="M1222" s="743">
        <f>L1222</f>
        <v/>
      </c>
      <c r="N1222" s="686">
        <f>IF(B1222="TXO","",IF(D1222="新倉","",IF(E1222="賣",(H1222-H1221)*G1222,(H1221-H1222)*G1222)))</f>
        <v/>
      </c>
      <c r="O1222" s="226" t="n">
        <v>0</v>
      </c>
      <c r="P1222" s="667" t="n"/>
      <c r="S1222" s="249" t="n"/>
      <c r="T1222" s="61">
        <f>IF(AND(R1222="Yes",S1222&lt;&gt;"Yes",L1222&gt;0,B1222&lt;&gt;"TXO"),L1222,"")</f>
        <v/>
      </c>
      <c r="U1222" s="61">
        <f>IF(AND(R1222="Yes",S1222&lt;&gt;"Yes",L1222&lt;0,B1222&lt;&gt;"TXO"),L1222,"")</f>
        <v/>
      </c>
      <c r="V1222" s="61">
        <f>IF(AND(R1222="",S1222&lt;&gt;"Yes",L1222&gt;0,B1222&lt;&gt;"TXO"),L1222,"")</f>
        <v/>
      </c>
      <c r="W1222" s="61">
        <f>IF(AND(R1222="",S1222&lt;&gt;"Yes",L1222&lt;0,B1222&lt;&gt;"TXO"),L1222,"")</f>
        <v/>
      </c>
      <c r="X1222" s="226">
        <f>IF(AND(R1222="Yes",S1222="Yes",L1222&gt;0,B1222&lt;&gt;"TXO"),L1222,"")</f>
        <v/>
      </c>
      <c r="Y1222" s="226">
        <f>IF(AND(R1222="Yes",S1222="Yes",L1222&lt;0,B1222&lt;&gt;"TXO"),L1222,"")</f>
        <v/>
      </c>
      <c r="Z1222" s="226">
        <f>IF(AND(R1222="",S1222="Yes",L1222&gt;0,B1222&lt;&gt;"TXO"),L1222,"")</f>
        <v/>
      </c>
      <c r="AA1222" s="226">
        <f>IF(AND(R1222="",S1222="Yes",L1222&lt;0,B1222&lt;&gt;"TXO"),L1222,"")</f>
        <v/>
      </c>
    </row>
    <row r="1223" hidden="1" outlineLevel="2" collapsed="1" ht="17.25" customHeight="1" thickBot="1">
      <c r="A1223" s="740" t="n">
        <v>43385</v>
      </c>
      <c r="B1223" s="299" t="inlineStr">
        <is>
          <t>FIMTX</t>
        </is>
      </c>
      <c r="C1223" s="300" t="inlineStr">
        <is>
          <t>小指10</t>
        </is>
      </c>
      <c r="D1223" s="300" t="inlineStr">
        <is>
          <t>平倉</t>
        </is>
      </c>
      <c r="E1223" s="301" t="inlineStr">
        <is>
          <t>賣</t>
        </is>
      </c>
      <c r="F1223" s="300" t="inlineStr">
        <is>
          <t>-</t>
        </is>
      </c>
      <c r="G1223" s="741" t="n">
        <v>1</v>
      </c>
      <c r="H1223" s="741" t="n">
        <v>9808</v>
      </c>
      <c r="I1223" s="741" t="n">
        <v>0</v>
      </c>
      <c r="J1223" s="742" t="n">
        <v>18</v>
      </c>
      <c r="K1223" s="742" t="n">
        <v>10</v>
      </c>
      <c r="L1223" s="742">
        <f>IF(B1223="TXO",I1223-SUM(J1223:K1223),IF(B1223="FITX",IF(D1223="新倉",-SUM(J1223:K1223),IF(E1223="賣",(H1223-H1222)*G1223*200-SUM(J1223:K1223),(H1222-H1223)*G1223*200-SUM(J1223:K1223))),IF(D1223="新倉",-SUM(J1223:K1223),IF(E1223="賣",(H1223-H1222)*G1223*50-SUM(J1223:K1223),(H1222-H1223)*G1223*50-SUM(J1223:K1223)))))</f>
        <v/>
      </c>
      <c r="M1223" s="743">
        <f>L1223</f>
        <v/>
      </c>
      <c r="N1223" s="686">
        <f>IF(B1223="TXO","",IF(D1223="新倉","",IF(E1223="賣",(H1223-H1222)*G1223,(H1222-H1223)*G1223)))</f>
        <v/>
      </c>
      <c r="O1223" s="226" t="n">
        <v>0</v>
      </c>
      <c r="P1223" s="667" t="n"/>
      <c r="S1223" s="249" t="n"/>
      <c r="T1223" s="61">
        <f>IF(AND(R1223="Yes",S1223&lt;&gt;"Yes",L1223&gt;0,B1223&lt;&gt;"TXO"),L1223,"")</f>
        <v/>
      </c>
      <c r="U1223" s="61">
        <f>IF(AND(R1223="Yes",S1223&lt;&gt;"Yes",L1223&lt;0,B1223&lt;&gt;"TXO"),L1223,"")</f>
        <v/>
      </c>
      <c r="V1223" s="61">
        <f>IF(AND(R1223="",S1223&lt;&gt;"Yes",L1223&gt;0,B1223&lt;&gt;"TXO"),L1223,"")</f>
        <v/>
      </c>
      <c r="W1223" s="61">
        <f>IF(AND(R1223="",S1223&lt;&gt;"Yes",L1223&lt;0,B1223&lt;&gt;"TXO"),L1223,"")</f>
        <v/>
      </c>
      <c r="X1223" s="226">
        <f>IF(AND(R1223="Yes",S1223="Yes",L1223&gt;0,B1223&lt;&gt;"TXO"),L1223,"")</f>
        <v/>
      </c>
      <c r="Y1223" s="226">
        <f>IF(AND(R1223="Yes",S1223="Yes",L1223&lt;0,B1223&lt;&gt;"TXO"),L1223,"")</f>
        <v/>
      </c>
      <c r="Z1223" s="226">
        <f>IF(AND(R1223="",S1223="Yes",L1223&gt;0,B1223&lt;&gt;"TXO"),L1223,"")</f>
        <v/>
      </c>
      <c r="AA1223" s="226">
        <f>IF(AND(R1223="",S1223="Yes",L1223&lt;0,B1223&lt;&gt;"TXO"),L1223,"")</f>
        <v/>
      </c>
    </row>
    <row r="1224" hidden="1" outlineLevel="2" collapsed="1" ht="17.25" customHeight="1" thickBot="1">
      <c r="A1224" s="740" t="n">
        <v>43385</v>
      </c>
      <c r="B1224" s="299" t="inlineStr">
        <is>
          <t>FIMTX</t>
        </is>
      </c>
      <c r="C1224" s="300" t="inlineStr">
        <is>
          <t>小指10</t>
        </is>
      </c>
      <c r="D1224" s="300" t="inlineStr">
        <is>
          <t>新倉</t>
        </is>
      </c>
      <c r="E1224" s="301" t="inlineStr">
        <is>
          <t>買</t>
        </is>
      </c>
      <c r="F1224" s="300" t="inlineStr">
        <is>
          <t>-</t>
        </is>
      </c>
      <c r="G1224" s="741" t="n">
        <v>1</v>
      </c>
      <c r="H1224" s="741" t="n">
        <v>9803</v>
      </c>
      <c r="I1224" s="741" t="n">
        <v>0</v>
      </c>
      <c r="J1224" s="742" t="n">
        <v>18</v>
      </c>
      <c r="K1224" s="742" t="n">
        <v>10</v>
      </c>
      <c r="L1224" s="742">
        <f>IF(B1224="TXO",I1224-SUM(J1224:K1224),IF(B1224="FITX",IF(D1224="新倉",-SUM(J1224:K1224),IF(E1224="賣",(H1224-H1223)*G1224*200-SUM(J1224:K1224),(H1223-H1224)*G1224*200-SUM(J1224:K1224))),IF(D1224="新倉",-SUM(J1224:K1224),IF(E1224="賣",(H1224-H1223)*G1224*50-SUM(J1224:K1224),(H1223-H1224)*G1224*50-SUM(J1224:K1224)))))</f>
        <v/>
      </c>
      <c r="M1224" s="743">
        <f>L1224</f>
        <v/>
      </c>
      <c r="N1224" s="686">
        <f>IF(B1224="TXO","",IF(D1224="新倉","",IF(E1224="賣",(H1224-H1223)*G1224,(H1223-H1224)*G1224)))</f>
        <v/>
      </c>
      <c r="O1224" s="226" t="n">
        <v>0</v>
      </c>
      <c r="P1224" s="667" t="n"/>
      <c r="S1224" s="249" t="n"/>
      <c r="T1224" s="61">
        <f>IF(AND(R1224="Yes",S1224&lt;&gt;"Yes",L1224&gt;0,B1224&lt;&gt;"TXO"),L1224,"")</f>
        <v/>
      </c>
      <c r="U1224" s="61">
        <f>IF(AND(R1224="Yes",S1224&lt;&gt;"Yes",L1224&lt;0,B1224&lt;&gt;"TXO"),L1224,"")</f>
        <v/>
      </c>
      <c r="V1224" s="61">
        <f>IF(AND(R1224="",S1224&lt;&gt;"Yes",L1224&gt;0,B1224&lt;&gt;"TXO"),L1224,"")</f>
        <v/>
      </c>
      <c r="W1224" s="61">
        <f>IF(AND(R1224="",S1224&lt;&gt;"Yes",L1224&lt;0,B1224&lt;&gt;"TXO"),L1224,"")</f>
        <v/>
      </c>
      <c r="X1224" s="226">
        <f>IF(AND(R1224="Yes",S1224="Yes",L1224&gt;0,B1224&lt;&gt;"TXO"),L1224,"")</f>
        <v/>
      </c>
      <c r="Y1224" s="226">
        <f>IF(AND(R1224="Yes",S1224="Yes",L1224&lt;0,B1224&lt;&gt;"TXO"),L1224,"")</f>
        <v/>
      </c>
      <c r="Z1224" s="226">
        <f>IF(AND(R1224="",S1224="Yes",L1224&gt;0,B1224&lt;&gt;"TXO"),L1224,"")</f>
        <v/>
      </c>
      <c r="AA1224" s="226">
        <f>IF(AND(R1224="",S1224="Yes",L1224&lt;0,B1224&lt;&gt;"TXO"),L1224,"")</f>
        <v/>
      </c>
    </row>
    <row r="1225" hidden="1" outlineLevel="2" collapsed="1" ht="17.25" customHeight="1" thickBot="1">
      <c r="A1225" s="740" t="n">
        <v>43385</v>
      </c>
      <c r="B1225" s="299" t="inlineStr">
        <is>
          <t>FIMTX</t>
        </is>
      </c>
      <c r="C1225" s="300" t="inlineStr">
        <is>
          <t>小指10</t>
        </is>
      </c>
      <c r="D1225" s="300" t="inlineStr">
        <is>
          <t>平倉</t>
        </is>
      </c>
      <c r="E1225" s="301" t="inlineStr">
        <is>
          <t>賣</t>
        </is>
      </c>
      <c r="F1225" s="300" t="inlineStr">
        <is>
          <t>-</t>
        </is>
      </c>
      <c r="G1225" s="741" t="n">
        <v>1</v>
      </c>
      <c r="H1225" s="741" t="n">
        <v>9815</v>
      </c>
      <c r="I1225" s="741" t="n">
        <v>0</v>
      </c>
      <c r="J1225" s="742" t="n">
        <v>18</v>
      </c>
      <c r="K1225" s="742" t="n">
        <v>10</v>
      </c>
      <c r="L1225" s="742">
        <f>IF(B1225="TXO",I1225-SUM(J1225:K1225),IF(B1225="FITX",IF(D1225="新倉",-SUM(J1225:K1225),IF(E1225="賣",(H1225-H1224)*G1225*200-SUM(J1225:K1225),(H1224-H1225)*G1225*200-SUM(J1225:K1225))),IF(D1225="新倉",-SUM(J1225:K1225),IF(E1225="賣",(H1225-H1224)*G1225*50-SUM(J1225:K1225),(H1224-H1225)*G1225*50-SUM(J1225:K1225)))))</f>
        <v/>
      </c>
      <c r="M1225" s="743">
        <f>L1225</f>
        <v/>
      </c>
      <c r="N1225" s="686">
        <f>IF(B1225="TXO","",IF(D1225="新倉","",IF(E1225="賣",(H1225-H1224)*G1225,(H1224-H1225)*G1225)))</f>
        <v/>
      </c>
      <c r="O1225" s="226" t="n">
        <v>0</v>
      </c>
      <c r="P1225" s="667" t="n"/>
      <c r="S1225" s="249" t="n"/>
      <c r="T1225" s="61">
        <f>IF(AND(R1225="Yes",S1225&lt;&gt;"Yes",L1225&gt;0,B1225&lt;&gt;"TXO"),L1225,"")</f>
        <v/>
      </c>
      <c r="U1225" s="61">
        <f>IF(AND(R1225="Yes",S1225&lt;&gt;"Yes",L1225&lt;0,B1225&lt;&gt;"TXO"),L1225,"")</f>
        <v/>
      </c>
      <c r="V1225" s="61">
        <f>IF(AND(R1225="",S1225&lt;&gt;"Yes",L1225&gt;0,B1225&lt;&gt;"TXO"),L1225,"")</f>
        <v/>
      </c>
      <c r="W1225" s="61">
        <f>IF(AND(R1225="",S1225&lt;&gt;"Yes",L1225&lt;0,B1225&lt;&gt;"TXO"),L1225,"")</f>
        <v/>
      </c>
      <c r="X1225" s="226">
        <f>IF(AND(R1225="Yes",S1225="Yes",L1225&gt;0,B1225&lt;&gt;"TXO"),L1225,"")</f>
        <v/>
      </c>
      <c r="Y1225" s="226">
        <f>IF(AND(R1225="Yes",S1225="Yes",L1225&lt;0,B1225&lt;&gt;"TXO"),L1225,"")</f>
        <v/>
      </c>
      <c r="Z1225" s="226">
        <f>IF(AND(R1225="",S1225="Yes",L1225&gt;0,B1225&lt;&gt;"TXO"),L1225,"")</f>
        <v/>
      </c>
      <c r="AA1225" s="226">
        <f>IF(AND(R1225="",S1225="Yes",L1225&lt;0,B1225&lt;&gt;"TXO"),L1225,"")</f>
        <v/>
      </c>
    </row>
    <row r="1226" hidden="1" outlineLevel="2" collapsed="1" ht="17.25" customHeight="1" thickBot="1">
      <c r="A1226" s="740" t="n">
        <v>43385</v>
      </c>
      <c r="B1226" s="299" t="inlineStr">
        <is>
          <t>FIMTX</t>
        </is>
      </c>
      <c r="C1226" s="300" t="inlineStr">
        <is>
          <t>小指10</t>
        </is>
      </c>
      <c r="D1226" s="300" t="inlineStr">
        <is>
          <t>新倉</t>
        </is>
      </c>
      <c r="E1226" s="301" t="inlineStr">
        <is>
          <t>買</t>
        </is>
      </c>
      <c r="F1226" s="300" t="inlineStr">
        <is>
          <t>-</t>
        </is>
      </c>
      <c r="G1226" s="741" t="n">
        <v>1</v>
      </c>
      <c r="H1226" s="741" t="n">
        <v>9810</v>
      </c>
      <c r="I1226" s="741" t="n">
        <v>0</v>
      </c>
      <c r="J1226" s="742" t="n">
        <v>18</v>
      </c>
      <c r="K1226" s="742" t="n">
        <v>10</v>
      </c>
      <c r="L1226" s="742">
        <f>IF(B1226="TXO",I1226-SUM(J1226:K1226),IF(B1226="FITX",IF(D1226="新倉",-SUM(J1226:K1226),IF(E1226="賣",(H1226-H1225)*G1226*200-SUM(J1226:K1226),(H1225-H1226)*G1226*200-SUM(J1226:K1226))),IF(D1226="新倉",-SUM(J1226:K1226),IF(E1226="賣",(H1226-H1225)*G1226*50-SUM(J1226:K1226),(H1225-H1226)*G1226*50-SUM(J1226:K1226)))))</f>
        <v/>
      </c>
      <c r="M1226" s="743">
        <f>L1226</f>
        <v/>
      </c>
      <c r="N1226" s="686">
        <f>IF(B1226="TXO","",IF(D1226="新倉","",IF(E1226="賣",(H1226-H1225)*G1226,(H1225-H1226)*G1226)))</f>
        <v/>
      </c>
      <c r="O1226" s="226" t="n">
        <v>0</v>
      </c>
      <c r="P1226" s="667" t="n"/>
      <c r="S1226" s="249" t="n"/>
      <c r="T1226" s="61">
        <f>IF(AND(R1226="Yes",S1226&lt;&gt;"Yes",L1226&gt;0,B1226&lt;&gt;"TXO"),L1226,"")</f>
        <v/>
      </c>
      <c r="U1226" s="61">
        <f>IF(AND(R1226="Yes",S1226&lt;&gt;"Yes",L1226&lt;0,B1226&lt;&gt;"TXO"),L1226,"")</f>
        <v/>
      </c>
      <c r="V1226" s="61">
        <f>IF(AND(R1226="",S1226&lt;&gt;"Yes",L1226&gt;0,B1226&lt;&gt;"TXO"),L1226,"")</f>
        <v/>
      </c>
      <c r="W1226" s="61">
        <f>IF(AND(R1226="",S1226&lt;&gt;"Yes",L1226&lt;0,B1226&lt;&gt;"TXO"),L1226,"")</f>
        <v/>
      </c>
      <c r="X1226" s="226">
        <f>IF(AND(R1226="Yes",S1226="Yes",L1226&gt;0,B1226&lt;&gt;"TXO"),L1226,"")</f>
        <v/>
      </c>
      <c r="Y1226" s="226">
        <f>IF(AND(R1226="Yes",S1226="Yes",L1226&lt;0,B1226&lt;&gt;"TXO"),L1226,"")</f>
        <v/>
      </c>
      <c r="Z1226" s="226">
        <f>IF(AND(R1226="",S1226="Yes",L1226&gt;0,B1226&lt;&gt;"TXO"),L1226,"")</f>
        <v/>
      </c>
      <c r="AA1226" s="226">
        <f>IF(AND(R1226="",S1226="Yes",L1226&lt;0,B1226&lt;&gt;"TXO"),L1226,"")</f>
        <v/>
      </c>
    </row>
    <row r="1227" hidden="1" outlineLevel="2" collapsed="1" ht="17.25" customHeight="1" thickBot="1">
      <c r="A1227" s="740" t="n">
        <v>43385</v>
      </c>
      <c r="B1227" s="299" t="inlineStr">
        <is>
          <t>FIMTX</t>
        </is>
      </c>
      <c r="C1227" s="300" t="inlineStr">
        <is>
          <t>小指10</t>
        </is>
      </c>
      <c r="D1227" s="300" t="inlineStr">
        <is>
          <t>平倉</t>
        </is>
      </c>
      <c r="E1227" s="301" t="inlineStr">
        <is>
          <t>賣</t>
        </is>
      </c>
      <c r="F1227" s="300" t="inlineStr">
        <is>
          <t>-</t>
        </is>
      </c>
      <c r="G1227" s="741" t="n">
        <v>1</v>
      </c>
      <c r="H1227" s="741" t="n">
        <v>9813</v>
      </c>
      <c r="I1227" s="741" t="n">
        <v>0</v>
      </c>
      <c r="J1227" s="742" t="n">
        <v>18</v>
      </c>
      <c r="K1227" s="742" t="n">
        <v>10</v>
      </c>
      <c r="L1227" s="742">
        <f>IF(B1227="TXO",I1227-SUM(J1227:K1227),IF(B1227="FITX",IF(D1227="新倉",-SUM(J1227:K1227),IF(E1227="賣",(H1227-H1226)*G1227*200-SUM(J1227:K1227),(H1226-H1227)*G1227*200-SUM(J1227:K1227))),IF(D1227="新倉",-SUM(J1227:K1227),IF(E1227="賣",(H1227-H1226)*G1227*50-SUM(J1227:K1227),(H1226-H1227)*G1227*50-SUM(J1227:K1227)))))</f>
        <v/>
      </c>
      <c r="M1227" s="743">
        <f>L1227</f>
        <v/>
      </c>
      <c r="N1227" s="686">
        <f>IF(B1227="TXO","",IF(D1227="新倉","",IF(E1227="賣",(H1227-H1226)*G1227,(H1226-H1227)*G1227)))</f>
        <v/>
      </c>
      <c r="O1227" s="226" t="n">
        <v>0</v>
      </c>
      <c r="P1227" s="667" t="n"/>
      <c r="S1227" s="249" t="n"/>
      <c r="T1227" s="61">
        <f>IF(AND(R1227="Yes",S1227&lt;&gt;"Yes",L1227&gt;0,B1227&lt;&gt;"TXO"),L1227,"")</f>
        <v/>
      </c>
      <c r="U1227" s="61">
        <f>IF(AND(R1227="Yes",S1227&lt;&gt;"Yes",L1227&lt;0,B1227&lt;&gt;"TXO"),L1227,"")</f>
        <v/>
      </c>
      <c r="V1227" s="61">
        <f>IF(AND(R1227="",S1227&lt;&gt;"Yes",L1227&gt;0,B1227&lt;&gt;"TXO"),L1227,"")</f>
        <v/>
      </c>
      <c r="W1227" s="61">
        <f>IF(AND(R1227="",S1227&lt;&gt;"Yes",L1227&lt;0,B1227&lt;&gt;"TXO"),L1227,"")</f>
        <v/>
      </c>
      <c r="X1227" s="226">
        <f>IF(AND(R1227="Yes",S1227="Yes",L1227&gt;0,B1227&lt;&gt;"TXO"),L1227,"")</f>
        <v/>
      </c>
      <c r="Y1227" s="226">
        <f>IF(AND(R1227="Yes",S1227="Yes",L1227&lt;0,B1227&lt;&gt;"TXO"),L1227,"")</f>
        <v/>
      </c>
      <c r="Z1227" s="226">
        <f>IF(AND(R1227="",S1227="Yes",L1227&gt;0,B1227&lt;&gt;"TXO"),L1227,"")</f>
        <v/>
      </c>
      <c r="AA1227" s="226">
        <f>IF(AND(R1227="",S1227="Yes",L1227&lt;0,B1227&lt;&gt;"TXO"),L1227,"")</f>
        <v/>
      </c>
    </row>
    <row r="1228" hidden="1" outlineLevel="2" collapsed="1" ht="17.25" customHeight="1" thickBot="1">
      <c r="A1228" s="740" t="n">
        <v>43385</v>
      </c>
      <c r="B1228" s="299" t="inlineStr">
        <is>
          <t>FIMTX</t>
        </is>
      </c>
      <c r="C1228" s="300" t="inlineStr">
        <is>
          <t>小指10</t>
        </is>
      </c>
      <c r="D1228" s="300" t="inlineStr">
        <is>
          <t>新倉</t>
        </is>
      </c>
      <c r="E1228" s="301" t="inlineStr">
        <is>
          <t>買</t>
        </is>
      </c>
      <c r="F1228" s="300" t="inlineStr">
        <is>
          <t>-</t>
        </is>
      </c>
      <c r="G1228" s="741" t="n">
        <v>1</v>
      </c>
      <c r="H1228" s="741" t="n">
        <v>9808</v>
      </c>
      <c r="I1228" s="741" t="n">
        <v>0</v>
      </c>
      <c r="J1228" s="742" t="n">
        <v>18</v>
      </c>
      <c r="K1228" s="742" t="n">
        <v>10</v>
      </c>
      <c r="L1228" s="742">
        <f>IF(B1228="TXO",I1228-SUM(J1228:K1228),IF(B1228="FITX",IF(D1228="新倉",-SUM(J1228:K1228),IF(E1228="賣",(H1228-H1227)*G1228*200-SUM(J1228:K1228),(H1227-H1228)*G1228*200-SUM(J1228:K1228))),IF(D1228="新倉",-SUM(J1228:K1228),IF(E1228="賣",(H1228-H1227)*G1228*50-SUM(J1228:K1228),(H1227-H1228)*G1228*50-SUM(J1228:K1228)))))</f>
        <v/>
      </c>
      <c r="M1228" s="743">
        <f>L1228</f>
        <v/>
      </c>
      <c r="N1228" s="686">
        <f>IF(B1228="TXO","",IF(D1228="新倉","",IF(E1228="賣",(H1228-H1227)*G1228,(H1227-H1228)*G1228)))</f>
        <v/>
      </c>
      <c r="O1228" s="226" t="n">
        <v>0</v>
      </c>
      <c r="P1228" s="667" t="n"/>
      <c r="S1228" s="249" t="n"/>
      <c r="T1228" s="61">
        <f>IF(AND(R1228="Yes",S1228&lt;&gt;"Yes",L1228&gt;0,B1228&lt;&gt;"TXO"),L1228,"")</f>
        <v/>
      </c>
      <c r="U1228" s="61">
        <f>IF(AND(R1228="Yes",S1228&lt;&gt;"Yes",L1228&lt;0,B1228&lt;&gt;"TXO"),L1228,"")</f>
        <v/>
      </c>
      <c r="V1228" s="61">
        <f>IF(AND(R1228="",S1228&lt;&gt;"Yes",L1228&gt;0,B1228&lt;&gt;"TXO"),L1228,"")</f>
        <v/>
      </c>
      <c r="W1228" s="61">
        <f>IF(AND(R1228="",S1228&lt;&gt;"Yes",L1228&lt;0,B1228&lt;&gt;"TXO"),L1228,"")</f>
        <v/>
      </c>
      <c r="X1228" s="226">
        <f>IF(AND(R1228="Yes",S1228="Yes",L1228&gt;0,B1228&lt;&gt;"TXO"),L1228,"")</f>
        <v/>
      </c>
      <c r="Y1228" s="226">
        <f>IF(AND(R1228="Yes",S1228="Yes",L1228&lt;0,B1228&lt;&gt;"TXO"),L1228,"")</f>
        <v/>
      </c>
      <c r="Z1228" s="226">
        <f>IF(AND(R1228="",S1228="Yes",L1228&gt;0,B1228&lt;&gt;"TXO"),L1228,"")</f>
        <v/>
      </c>
      <c r="AA1228" s="226">
        <f>IF(AND(R1228="",S1228="Yes",L1228&lt;0,B1228&lt;&gt;"TXO"),L1228,"")</f>
        <v/>
      </c>
    </row>
    <row r="1229" hidden="1" outlineLevel="2" collapsed="1" ht="17.25" customHeight="1" thickBot="1">
      <c r="A1229" s="740" t="n">
        <v>43385</v>
      </c>
      <c r="B1229" s="299" t="inlineStr">
        <is>
          <t>FIMTX</t>
        </is>
      </c>
      <c r="C1229" s="300" t="inlineStr">
        <is>
          <t>小指10</t>
        </is>
      </c>
      <c r="D1229" s="300" t="inlineStr">
        <is>
          <t>平倉</t>
        </is>
      </c>
      <c r="E1229" s="301" t="inlineStr">
        <is>
          <t>賣</t>
        </is>
      </c>
      <c r="F1229" s="300" t="inlineStr">
        <is>
          <t>-</t>
        </is>
      </c>
      <c r="G1229" s="741" t="n">
        <v>1</v>
      </c>
      <c r="H1229" s="741" t="n">
        <v>9815</v>
      </c>
      <c r="I1229" s="741" t="n">
        <v>0</v>
      </c>
      <c r="J1229" s="742" t="n">
        <v>18</v>
      </c>
      <c r="K1229" s="742" t="n">
        <v>10</v>
      </c>
      <c r="L1229" s="742">
        <f>IF(B1229="TXO",I1229-SUM(J1229:K1229),IF(B1229="FITX",IF(D1229="新倉",-SUM(J1229:K1229),IF(E1229="賣",(H1229-H1228)*G1229*200-SUM(J1229:K1229),(H1228-H1229)*G1229*200-SUM(J1229:K1229))),IF(D1229="新倉",-SUM(J1229:K1229),IF(E1229="賣",(H1229-H1228)*G1229*50-SUM(J1229:K1229),(H1228-H1229)*G1229*50-SUM(J1229:K1229)))))</f>
        <v/>
      </c>
      <c r="M1229" s="743">
        <f>L1229</f>
        <v/>
      </c>
      <c r="N1229" s="686">
        <f>IF(B1229="TXO","",IF(D1229="新倉","",IF(E1229="賣",(H1229-H1228)*G1229,(H1228-H1229)*G1229)))</f>
        <v/>
      </c>
      <c r="O1229" s="226" t="n">
        <v>0</v>
      </c>
      <c r="P1229" s="667" t="n"/>
      <c r="S1229" s="249" t="n"/>
      <c r="T1229" s="61">
        <f>IF(AND(R1229="Yes",S1229&lt;&gt;"Yes",L1229&gt;0,B1229&lt;&gt;"TXO"),L1229,"")</f>
        <v/>
      </c>
      <c r="U1229" s="61">
        <f>IF(AND(R1229="Yes",S1229&lt;&gt;"Yes",L1229&lt;0,B1229&lt;&gt;"TXO"),L1229,"")</f>
        <v/>
      </c>
      <c r="V1229" s="61">
        <f>IF(AND(R1229="",S1229&lt;&gt;"Yes",L1229&gt;0,B1229&lt;&gt;"TXO"),L1229,"")</f>
        <v/>
      </c>
      <c r="W1229" s="61">
        <f>IF(AND(R1229="",S1229&lt;&gt;"Yes",L1229&lt;0,B1229&lt;&gt;"TXO"),L1229,"")</f>
        <v/>
      </c>
      <c r="X1229" s="226">
        <f>IF(AND(R1229="Yes",S1229="Yes",L1229&gt;0,B1229&lt;&gt;"TXO"),L1229,"")</f>
        <v/>
      </c>
      <c r="Y1229" s="226">
        <f>IF(AND(R1229="Yes",S1229="Yes",L1229&lt;0,B1229&lt;&gt;"TXO"),L1229,"")</f>
        <v/>
      </c>
      <c r="Z1229" s="226">
        <f>IF(AND(R1229="",S1229="Yes",L1229&gt;0,B1229&lt;&gt;"TXO"),L1229,"")</f>
        <v/>
      </c>
      <c r="AA1229" s="226">
        <f>IF(AND(R1229="",S1229="Yes",L1229&lt;0,B1229&lt;&gt;"TXO"),L1229,"")</f>
        <v/>
      </c>
    </row>
    <row r="1230" hidden="1" outlineLevel="2" collapsed="1" ht="17.25" customHeight="1" thickBot="1">
      <c r="A1230" s="740" t="n">
        <v>43385</v>
      </c>
      <c r="B1230" s="299" t="inlineStr">
        <is>
          <t>FIMTX</t>
        </is>
      </c>
      <c r="C1230" s="300" t="inlineStr">
        <is>
          <t>小指10</t>
        </is>
      </c>
      <c r="D1230" s="300" t="inlineStr">
        <is>
          <t>新倉</t>
        </is>
      </c>
      <c r="E1230" s="301" t="inlineStr">
        <is>
          <t>買</t>
        </is>
      </c>
      <c r="F1230" s="300" t="inlineStr">
        <is>
          <t>-</t>
        </is>
      </c>
      <c r="G1230" s="741" t="n">
        <v>1</v>
      </c>
      <c r="H1230" s="741" t="n">
        <v>9810</v>
      </c>
      <c r="I1230" s="741" t="n">
        <v>0</v>
      </c>
      <c r="J1230" s="742" t="n">
        <v>18</v>
      </c>
      <c r="K1230" s="742" t="n">
        <v>10</v>
      </c>
      <c r="L1230" s="742">
        <f>IF(B1230="TXO",I1230-SUM(J1230:K1230),IF(B1230="FITX",IF(D1230="新倉",-SUM(J1230:K1230),IF(E1230="賣",(H1230-H1229)*G1230*200-SUM(J1230:K1230),(H1229-H1230)*G1230*200-SUM(J1230:K1230))),IF(D1230="新倉",-SUM(J1230:K1230),IF(E1230="賣",(H1230-H1229)*G1230*50-SUM(J1230:K1230),(H1229-H1230)*G1230*50-SUM(J1230:K1230)))))</f>
        <v/>
      </c>
      <c r="M1230" s="743">
        <f>L1230</f>
        <v/>
      </c>
      <c r="N1230" s="686">
        <f>IF(B1230="TXO","",IF(D1230="新倉","",IF(E1230="賣",(H1230-H1229)*G1230,(H1229-H1230)*G1230)))</f>
        <v/>
      </c>
      <c r="O1230" s="226" t="n">
        <v>0</v>
      </c>
      <c r="P1230" s="667" t="n"/>
      <c r="S1230" s="249" t="n"/>
      <c r="T1230" s="61">
        <f>IF(AND(R1230="Yes",S1230&lt;&gt;"Yes",L1230&gt;0,B1230&lt;&gt;"TXO"),L1230,"")</f>
        <v/>
      </c>
      <c r="U1230" s="61">
        <f>IF(AND(R1230="Yes",S1230&lt;&gt;"Yes",L1230&lt;0,B1230&lt;&gt;"TXO"),L1230,"")</f>
        <v/>
      </c>
      <c r="V1230" s="61">
        <f>IF(AND(R1230="",S1230&lt;&gt;"Yes",L1230&gt;0,B1230&lt;&gt;"TXO"),L1230,"")</f>
        <v/>
      </c>
      <c r="W1230" s="61">
        <f>IF(AND(R1230="",S1230&lt;&gt;"Yes",L1230&lt;0,B1230&lt;&gt;"TXO"),L1230,"")</f>
        <v/>
      </c>
      <c r="X1230" s="226">
        <f>IF(AND(R1230="Yes",S1230="Yes",L1230&gt;0,B1230&lt;&gt;"TXO"),L1230,"")</f>
        <v/>
      </c>
      <c r="Y1230" s="226">
        <f>IF(AND(R1230="Yes",S1230="Yes",L1230&lt;0,B1230&lt;&gt;"TXO"),L1230,"")</f>
        <v/>
      </c>
      <c r="Z1230" s="226">
        <f>IF(AND(R1230="",S1230="Yes",L1230&gt;0,B1230&lt;&gt;"TXO"),L1230,"")</f>
        <v/>
      </c>
      <c r="AA1230" s="226">
        <f>IF(AND(R1230="",S1230="Yes",L1230&lt;0,B1230&lt;&gt;"TXO"),L1230,"")</f>
        <v/>
      </c>
    </row>
    <row r="1231" hidden="1" outlineLevel="2" collapsed="1" ht="17.25" customHeight="1" thickBot="1">
      <c r="A1231" s="740" t="n">
        <v>43385</v>
      </c>
      <c r="B1231" s="299" t="inlineStr">
        <is>
          <t>FIMTX</t>
        </is>
      </c>
      <c r="C1231" s="300" t="inlineStr">
        <is>
          <t>小指10</t>
        </is>
      </c>
      <c r="D1231" s="300" t="inlineStr">
        <is>
          <t>平倉</t>
        </is>
      </c>
      <c r="E1231" s="301" t="inlineStr">
        <is>
          <t>賣</t>
        </is>
      </c>
      <c r="F1231" s="300" t="inlineStr">
        <is>
          <t>-</t>
        </is>
      </c>
      <c r="G1231" s="741" t="n">
        <v>1</v>
      </c>
      <c r="H1231" s="741" t="n">
        <v>9787</v>
      </c>
      <c r="I1231" s="741" t="n">
        <v>0</v>
      </c>
      <c r="J1231" s="742" t="n">
        <v>18</v>
      </c>
      <c r="K1231" s="742" t="n">
        <v>10</v>
      </c>
      <c r="L1231" s="742">
        <f>IF(B1231="TXO",I1231-SUM(J1231:K1231),IF(B1231="FITX",IF(D1231="新倉",-SUM(J1231:K1231),IF(E1231="賣",(H1231-H1230)*G1231*200-SUM(J1231:K1231),(H1230-H1231)*G1231*200-SUM(J1231:K1231))),IF(D1231="新倉",-SUM(J1231:K1231),IF(E1231="賣",(H1231-H1230)*G1231*50-SUM(J1231:K1231),(H1230-H1231)*G1231*50-SUM(J1231:K1231)))))</f>
        <v/>
      </c>
      <c r="M1231" s="743">
        <f>L1231</f>
        <v/>
      </c>
      <c r="N1231" s="686">
        <f>IF(B1231="TXO","",IF(D1231="新倉","",IF(E1231="賣",(H1231-H1230)*G1231,(H1230-H1231)*G1231)))</f>
        <v/>
      </c>
      <c r="O1231" s="226" t="n">
        <v>0</v>
      </c>
      <c r="P1231" s="667" t="n"/>
      <c r="S1231" s="249" t="n"/>
      <c r="T1231" s="61">
        <f>IF(AND(R1231="Yes",S1231&lt;&gt;"Yes",L1231&gt;0,B1231&lt;&gt;"TXO"),L1231,"")</f>
        <v/>
      </c>
      <c r="U1231" s="61">
        <f>IF(AND(R1231="Yes",S1231&lt;&gt;"Yes",L1231&lt;0,B1231&lt;&gt;"TXO"),L1231,"")</f>
        <v/>
      </c>
      <c r="V1231" s="61">
        <f>IF(AND(R1231="",S1231&lt;&gt;"Yes",L1231&gt;0,B1231&lt;&gt;"TXO"),L1231,"")</f>
        <v/>
      </c>
      <c r="W1231" s="61">
        <f>IF(AND(R1231="",S1231&lt;&gt;"Yes",L1231&lt;0,B1231&lt;&gt;"TXO"),L1231,"")</f>
        <v/>
      </c>
      <c r="X1231" s="226">
        <f>IF(AND(R1231="Yes",S1231="Yes",L1231&gt;0,B1231&lt;&gt;"TXO"),L1231,"")</f>
        <v/>
      </c>
      <c r="Y1231" s="226">
        <f>IF(AND(R1231="Yes",S1231="Yes",L1231&lt;0,B1231&lt;&gt;"TXO"),L1231,"")</f>
        <v/>
      </c>
      <c r="Z1231" s="226">
        <f>IF(AND(R1231="",S1231="Yes",L1231&gt;0,B1231&lt;&gt;"TXO"),L1231,"")</f>
        <v/>
      </c>
      <c r="AA1231" s="226">
        <f>IF(AND(R1231="",S1231="Yes",L1231&lt;0,B1231&lt;&gt;"TXO"),L1231,"")</f>
        <v/>
      </c>
    </row>
    <row r="1232" hidden="1" outlineLevel="2" collapsed="1" ht="17.25" customHeight="1" thickBot="1">
      <c r="A1232" s="740" t="n">
        <v>43385</v>
      </c>
      <c r="B1232" s="299" t="inlineStr">
        <is>
          <t>FIMTX</t>
        </is>
      </c>
      <c r="C1232" s="300" t="inlineStr">
        <is>
          <t>小指10</t>
        </is>
      </c>
      <c r="D1232" s="300" t="inlineStr">
        <is>
          <t>新倉</t>
        </is>
      </c>
      <c r="E1232" s="301" t="inlineStr">
        <is>
          <t>買</t>
        </is>
      </c>
      <c r="F1232" s="300" t="inlineStr">
        <is>
          <t>-</t>
        </is>
      </c>
      <c r="G1232" s="741" t="n">
        <v>1</v>
      </c>
      <c r="H1232" s="741" t="n">
        <v>9801</v>
      </c>
      <c r="I1232" s="741" t="n">
        <v>0</v>
      </c>
      <c r="J1232" s="742" t="n">
        <v>18</v>
      </c>
      <c r="K1232" s="742" t="n">
        <v>10</v>
      </c>
      <c r="L1232" s="742">
        <f>IF(B1232="TXO",I1232-SUM(J1232:K1232),IF(B1232="FITX",IF(D1232="新倉",-SUM(J1232:K1232),IF(E1232="賣",(H1232-H1231)*G1232*200-SUM(J1232:K1232),(H1231-H1232)*G1232*200-SUM(J1232:K1232))),IF(D1232="新倉",-SUM(J1232:K1232),IF(E1232="賣",(H1232-H1231)*G1232*50-SUM(J1232:K1232),(H1231-H1232)*G1232*50-SUM(J1232:K1232)))))</f>
        <v/>
      </c>
      <c r="M1232" s="743">
        <f>L1232</f>
        <v/>
      </c>
      <c r="N1232" s="686">
        <f>IF(B1232="TXO","",IF(D1232="新倉","",IF(E1232="賣",(H1232-H1231)*G1232,(H1231-H1232)*G1232)))</f>
        <v/>
      </c>
      <c r="O1232" s="226" t="n">
        <v>0</v>
      </c>
      <c r="P1232" s="667" t="n"/>
      <c r="S1232" s="249" t="n"/>
      <c r="T1232" s="61">
        <f>IF(AND(R1232="Yes",S1232&lt;&gt;"Yes",L1232&gt;0,B1232&lt;&gt;"TXO"),L1232,"")</f>
        <v/>
      </c>
      <c r="U1232" s="61">
        <f>IF(AND(R1232="Yes",S1232&lt;&gt;"Yes",L1232&lt;0,B1232&lt;&gt;"TXO"),L1232,"")</f>
        <v/>
      </c>
      <c r="V1232" s="61">
        <f>IF(AND(R1232="",S1232&lt;&gt;"Yes",L1232&gt;0,B1232&lt;&gt;"TXO"),L1232,"")</f>
        <v/>
      </c>
      <c r="W1232" s="61">
        <f>IF(AND(R1232="",S1232&lt;&gt;"Yes",L1232&lt;0,B1232&lt;&gt;"TXO"),L1232,"")</f>
        <v/>
      </c>
      <c r="X1232" s="226">
        <f>IF(AND(R1232="Yes",S1232="Yes",L1232&gt;0,B1232&lt;&gt;"TXO"),L1232,"")</f>
        <v/>
      </c>
      <c r="Y1232" s="226">
        <f>IF(AND(R1232="Yes",S1232="Yes",L1232&lt;0,B1232&lt;&gt;"TXO"),L1232,"")</f>
        <v/>
      </c>
      <c r="Z1232" s="226">
        <f>IF(AND(R1232="",S1232="Yes",L1232&gt;0,B1232&lt;&gt;"TXO"),L1232,"")</f>
        <v/>
      </c>
      <c r="AA1232" s="226">
        <f>IF(AND(R1232="",S1232="Yes",L1232&lt;0,B1232&lt;&gt;"TXO"),L1232,"")</f>
        <v/>
      </c>
    </row>
    <row r="1233" hidden="1" outlineLevel="2" collapsed="1" ht="17.25" customHeight="1" thickBot="1">
      <c r="A1233" s="740" t="n">
        <v>43385</v>
      </c>
      <c r="B1233" s="299" t="inlineStr">
        <is>
          <t>FIMTX</t>
        </is>
      </c>
      <c r="C1233" s="300" t="inlineStr">
        <is>
          <t>小指10</t>
        </is>
      </c>
      <c r="D1233" s="300" t="inlineStr">
        <is>
          <t>平倉</t>
        </is>
      </c>
      <c r="E1233" s="301" t="inlineStr">
        <is>
          <t>賣</t>
        </is>
      </c>
      <c r="F1233" s="300" t="inlineStr">
        <is>
          <t>-</t>
        </is>
      </c>
      <c r="G1233" s="741" t="n">
        <v>1</v>
      </c>
      <c r="H1233" s="741" t="n">
        <v>9786</v>
      </c>
      <c r="I1233" s="741" t="n">
        <v>0</v>
      </c>
      <c r="J1233" s="742" t="n">
        <v>18</v>
      </c>
      <c r="K1233" s="742" t="n">
        <v>10</v>
      </c>
      <c r="L1233" s="742">
        <f>IF(B1233="TXO",I1233-SUM(J1233:K1233),IF(B1233="FITX",IF(D1233="新倉",-SUM(J1233:K1233),IF(E1233="賣",(H1233-H1232)*G1233*200-SUM(J1233:K1233),(H1232-H1233)*G1233*200-SUM(J1233:K1233))),IF(D1233="新倉",-SUM(J1233:K1233),IF(E1233="賣",(H1233-H1232)*G1233*50-SUM(J1233:K1233),(H1232-H1233)*G1233*50-SUM(J1233:K1233)))))</f>
        <v/>
      </c>
      <c r="M1233" s="743">
        <f>L1233</f>
        <v/>
      </c>
      <c r="N1233" s="686">
        <f>IF(B1233="TXO","",IF(D1233="新倉","",IF(E1233="賣",(H1233-H1232)*G1233,(H1232-H1233)*G1233)))</f>
        <v/>
      </c>
      <c r="O1233" s="226" t="n">
        <v>0</v>
      </c>
      <c r="P1233" s="667" t="n"/>
      <c r="S1233" s="249" t="n"/>
      <c r="T1233" s="61">
        <f>IF(AND(R1233="Yes",S1233&lt;&gt;"Yes",L1233&gt;0,B1233&lt;&gt;"TXO"),L1233,"")</f>
        <v/>
      </c>
      <c r="U1233" s="61">
        <f>IF(AND(R1233="Yes",S1233&lt;&gt;"Yes",L1233&lt;0,B1233&lt;&gt;"TXO"),L1233,"")</f>
        <v/>
      </c>
      <c r="V1233" s="61">
        <f>IF(AND(R1233="",S1233&lt;&gt;"Yes",L1233&gt;0,B1233&lt;&gt;"TXO"),L1233,"")</f>
        <v/>
      </c>
      <c r="W1233" s="61">
        <f>IF(AND(R1233="",S1233&lt;&gt;"Yes",L1233&lt;0,B1233&lt;&gt;"TXO"),L1233,"")</f>
        <v/>
      </c>
      <c r="X1233" s="226">
        <f>IF(AND(R1233="Yes",S1233="Yes",L1233&gt;0,B1233&lt;&gt;"TXO"),L1233,"")</f>
        <v/>
      </c>
      <c r="Y1233" s="226">
        <f>IF(AND(R1233="Yes",S1233="Yes",L1233&lt;0,B1233&lt;&gt;"TXO"),L1233,"")</f>
        <v/>
      </c>
      <c r="Z1233" s="226">
        <f>IF(AND(R1233="",S1233="Yes",L1233&gt;0,B1233&lt;&gt;"TXO"),L1233,"")</f>
        <v/>
      </c>
      <c r="AA1233" s="226">
        <f>IF(AND(R1233="",S1233="Yes",L1233&lt;0,B1233&lt;&gt;"TXO"),L1233,"")</f>
        <v/>
      </c>
    </row>
    <row r="1234" hidden="1" outlineLevel="2" collapsed="1" ht="17.25" customHeight="1" thickBot="1">
      <c r="A1234" s="740" t="n">
        <v>43385</v>
      </c>
      <c r="B1234" s="299" t="inlineStr">
        <is>
          <t>FIMTX</t>
        </is>
      </c>
      <c r="C1234" s="300" t="inlineStr">
        <is>
          <t>小指10</t>
        </is>
      </c>
      <c r="D1234" s="300" t="inlineStr">
        <is>
          <t>新倉</t>
        </is>
      </c>
      <c r="E1234" s="301" t="inlineStr">
        <is>
          <t>買</t>
        </is>
      </c>
      <c r="F1234" s="300" t="inlineStr">
        <is>
          <t>-</t>
        </is>
      </c>
      <c r="G1234" s="741" t="n">
        <v>1</v>
      </c>
      <c r="H1234" s="741" t="n">
        <v>9798</v>
      </c>
      <c r="I1234" s="741" t="n">
        <v>0</v>
      </c>
      <c r="J1234" s="742" t="n">
        <v>18</v>
      </c>
      <c r="K1234" s="742" t="n">
        <v>10</v>
      </c>
      <c r="L1234" s="742">
        <f>IF(B1234="TXO",I1234-SUM(J1234:K1234),IF(B1234="FITX",IF(D1234="新倉",-SUM(J1234:K1234),IF(E1234="賣",(H1234-H1233)*G1234*200-SUM(J1234:K1234),(H1233-H1234)*G1234*200-SUM(J1234:K1234))),IF(D1234="新倉",-SUM(J1234:K1234),IF(E1234="賣",(H1234-H1233)*G1234*50-SUM(J1234:K1234),(H1233-H1234)*G1234*50-SUM(J1234:K1234)))))</f>
        <v/>
      </c>
      <c r="M1234" s="743">
        <f>L1234</f>
        <v/>
      </c>
      <c r="N1234" s="686">
        <f>IF(B1234="TXO","",IF(D1234="新倉","",IF(E1234="賣",(H1234-H1233)*G1234,(H1233-H1234)*G1234)))</f>
        <v/>
      </c>
      <c r="O1234" s="226" t="n">
        <v>0</v>
      </c>
      <c r="P1234" s="667" t="n"/>
      <c r="S1234" s="249" t="n"/>
      <c r="T1234" s="61">
        <f>IF(AND(R1234="Yes",S1234&lt;&gt;"Yes",L1234&gt;0,B1234&lt;&gt;"TXO"),L1234,"")</f>
        <v/>
      </c>
      <c r="U1234" s="61">
        <f>IF(AND(R1234="Yes",S1234&lt;&gt;"Yes",L1234&lt;0,B1234&lt;&gt;"TXO"),L1234,"")</f>
        <v/>
      </c>
      <c r="V1234" s="61">
        <f>IF(AND(R1234="",S1234&lt;&gt;"Yes",L1234&gt;0,B1234&lt;&gt;"TXO"),L1234,"")</f>
        <v/>
      </c>
      <c r="W1234" s="61">
        <f>IF(AND(R1234="",S1234&lt;&gt;"Yes",L1234&lt;0,B1234&lt;&gt;"TXO"),L1234,"")</f>
        <v/>
      </c>
      <c r="X1234" s="226">
        <f>IF(AND(R1234="Yes",S1234="Yes",L1234&gt;0,B1234&lt;&gt;"TXO"),L1234,"")</f>
        <v/>
      </c>
      <c r="Y1234" s="226">
        <f>IF(AND(R1234="Yes",S1234="Yes",L1234&lt;0,B1234&lt;&gt;"TXO"),L1234,"")</f>
        <v/>
      </c>
      <c r="Z1234" s="226">
        <f>IF(AND(R1234="",S1234="Yes",L1234&gt;0,B1234&lt;&gt;"TXO"),L1234,"")</f>
        <v/>
      </c>
      <c r="AA1234" s="226">
        <f>IF(AND(R1234="",S1234="Yes",L1234&lt;0,B1234&lt;&gt;"TXO"),L1234,"")</f>
        <v/>
      </c>
    </row>
    <row r="1235" hidden="1" outlineLevel="2" collapsed="1" ht="17.25" customHeight="1" thickBot="1">
      <c r="A1235" s="740" t="n">
        <v>43385</v>
      </c>
      <c r="B1235" s="299" t="inlineStr">
        <is>
          <t>FIMTX</t>
        </is>
      </c>
      <c r="C1235" s="300" t="inlineStr">
        <is>
          <t>小指10</t>
        </is>
      </c>
      <c r="D1235" s="300" t="inlineStr">
        <is>
          <t>平倉</t>
        </is>
      </c>
      <c r="E1235" s="301" t="inlineStr">
        <is>
          <t>賣</t>
        </is>
      </c>
      <c r="F1235" s="300" t="inlineStr">
        <is>
          <t>-</t>
        </is>
      </c>
      <c r="G1235" s="741" t="n">
        <v>1</v>
      </c>
      <c r="H1235" s="741" t="n">
        <v>9803</v>
      </c>
      <c r="I1235" s="741" t="n">
        <v>0</v>
      </c>
      <c r="J1235" s="742" t="n">
        <v>18</v>
      </c>
      <c r="K1235" s="742" t="n">
        <v>10</v>
      </c>
      <c r="L1235" s="742">
        <f>IF(B1235="TXO",I1235-SUM(J1235:K1235),IF(B1235="FITX",IF(D1235="新倉",-SUM(J1235:K1235),IF(E1235="賣",(H1235-H1234)*G1235*200-SUM(J1235:K1235),(H1234-H1235)*G1235*200-SUM(J1235:K1235))),IF(D1235="新倉",-SUM(J1235:K1235),IF(E1235="賣",(H1235-H1234)*G1235*50-SUM(J1235:K1235),(H1234-H1235)*G1235*50-SUM(J1235:K1235)))))</f>
        <v/>
      </c>
      <c r="M1235" s="743">
        <f>L1235</f>
        <v/>
      </c>
      <c r="N1235" s="686">
        <f>IF(B1235="TXO","",IF(D1235="新倉","",IF(E1235="賣",(H1235-H1234)*G1235,(H1234-H1235)*G1235)))</f>
        <v/>
      </c>
      <c r="O1235" s="226" t="n">
        <v>0</v>
      </c>
      <c r="P1235" s="667" t="n"/>
      <c r="S1235" s="249" t="n"/>
      <c r="T1235" s="61">
        <f>IF(AND(R1235="Yes",S1235&lt;&gt;"Yes",L1235&gt;0,B1235&lt;&gt;"TXO"),L1235,"")</f>
        <v/>
      </c>
      <c r="U1235" s="61">
        <f>IF(AND(R1235="Yes",S1235&lt;&gt;"Yes",L1235&lt;0,B1235&lt;&gt;"TXO"),L1235,"")</f>
        <v/>
      </c>
      <c r="V1235" s="61">
        <f>IF(AND(R1235="",S1235&lt;&gt;"Yes",L1235&gt;0,B1235&lt;&gt;"TXO"),L1235,"")</f>
        <v/>
      </c>
      <c r="W1235" s="61">
        <f>IF(AND(R1235="",S1235&lt;&gt;"Yes",L1235&lt;0,B1235&lt;&gt;"TXO"),L1235,"")</f>
        <v/>
      </c>
      <c r="X1235" s="226">
        <f>IF(AND(R1235="Yes",S1235="Yes",L1235&gt;0,B1235&lt;&gt;"TXO"),L1235,"")</f>
        <v/>
      </c>
      <c r="Y1235" s="226">
        <f>IF(AND(R1235="Yes",S1235="Yes",L1235&lt;0,B1235&lt;&gt;"TXO"),L1235,"")</f>
        <v/>
      </c>
      <c r="Z1235" s="226">
        <f>IF(AND(R1235="",S1235="Yes",L1235&gt;0,B1235&lt;&gt;"TXO"),L1235,"")</f>
        <v/>
      </c>
      <c r="AA1235" s="226">
        <f>IF(AND(R1235="",S1235="Yes",L1235&lt;0,B1235&lt;&gt;"TXO"),L1235,"")</f>
        <v/>
      </c>
    </row>
    <row r="1236" hidden="1" outlineLevel="2" collapsed="1" ht="17.25" customHeight="1" thickBot="1">
      <c r="A1236" s="740" t="n">
        <v>43385</v>
      </c>
      <c r="B1236" s="299" t="inlineStr">
        <is>
          <t>FIMTX</t>
        </is>
      </c>
      <c r="C1236" s="300" t="inlineStr">
        <is>
          <t>小指10</t>
        </is>
      </c>
      <c r="D1236" s="300" t="inlineStr">
        <is>
          <t>新倉</t>
        </is>
      </c>
      <c r="E1236" s="301" t="inlineStr">
        <is>
          <t>買</t>
        </is>
      </c>
      <c r="F1236" s="300" t="inlineStr">
        <is>
          <t>-</t>
        </is>
      </c>
      <c r="G1236" s="741" t="n">
        <v>1</v>
      </c>
      <c r="H1236" s="741" t="n">
        <v>9797</v>
      </c>
      <c r="I1236" s="741" t="n">
        <v>0</v>
      </c>
      <c r="J1236" s="742" t="n">
        <v>18</v>
      </c>
      <c r="K1236" s="742" t="n">
        <v>10</v>
      </c>
      <c r="L1236" s="742">
        <f>IF(B1236="TXO",I1236-SUM(J1236:K1236),IF(B1236="FITX",IF(D1236="新倉",-SUM(J1236:K1236),IF(E1236="賣",(H1236-H1235)*G1236*200-SUM(J1236:K1236),(H1235-H1236)*G1236*200-SUM(J1236:K1236))),IF(D1236="新倉",-SUM(J1236:K1236),IF(E1236="賣",(H1236-H1235)*G1236*50-SUM(J1236:K1236),(H1235-H1236)*G1236*50-SUM(J1236:K1236)))))</f>
        <v/>
      </c>
      <c r="M1236" s="743">
        <f>L1236</f>
        <v/>
      </c>
      <c r="N1236" s="686">
        <f>IF(B1236="TXO","",IF(D1236="新倉","",IF(E1236="賣",(H1236-H1235)*G1236,(H1235-H1236)*G1236)))</f>
        <v/>
      </c>
      <c r="O1236" s="226" t="n">
        <v>0</v>
      </c>
      <c r="P1236" s="667" t="n"/>
      <c r="S1236" s="249" t="n"/>
      <c r="T1236" s="61">
        <f>IF(AND(R1236="Yes",S1236&lt;&gt;"Yes",L1236&gt;0,B1236&lt;&gt;"TXO"),L1236,"")</f>
        <v/>
      </c>
      <c r="U1236" s="61">
        <f>IF(AND(R1236="Yes",S1236&lt;&gt;"Yes",L1236&lt;0,B1236&lt;&gt;"TXO"),L1236,"")</f>
        <v/>
      </c>
      <c r="V1236" s="61">
        <f>IF(AND(R1236="",S1236&lt;&gt;"Yes",L1236&gt;0,B1236&lt;&gt;"TXO"),L1236,"")</f>
        <v/>
      </c>
      <c r="W1236" s="61">
        <f>IF(AND(R1236="",S1236&lt;&gt;"Yes",L1236&lt;0,B1236&lt;&gt;"TXO"),L1236,"")</f>
        <v/>
      </c>
      <c r="X1236" s="226">
        <f>IF(AND(R1236="Yes",S1236="Yes",L1236&gt;0,B1236&lt;&gt;"TXO"),L1236,"")</f>
        <v/>
      </c>
      <c r="Y1236" s="226">
        <f>IF(AND(R1236="Yes",S1236="Yes",L1236&lt;0,B1236&lt;&gt;"TXO"),L1236,"")</f>
        <v/>
      </c>
      <c r="Z1236" s="226">
        <f>IF(AND(R1236="",S1236="Yes",L1236&gt;0,B1236&lt;&gt;"TXO"),L1236,"")</f>
        <v/>
      </c>
      <c r="AA1236" s="226">
        <f>IF(AND(R1236="",S1236="Yes",L1236&lt;0,B1236&lt;&gt;"TXO"),L1236,"")</f>
        <v/>
      </c>
    </row>
    <row r="1237" hidden="1" outlineLevel="2" collapsed="1" ht="17.25" customHeight="1" thickBot="1">
      <c r="A1237" s="740" t="n">
        <v>43385</v>
      </c>
      <c r="B1237" s="299" t="inlineStr">
        <is>
          <t>FIMTX</t>
        </is>
      </c>
      <c r="C1237" s="300" t="inlineStr">
        <is>
          <t>小指10</t>
        </is>
      </c>
      <c r="D1237" s="300" t="inlineStr">
        <is>
          <t>平倉</t>
        </is>
      </c>
      <c r="E1237" s="301" t="inlineStr">
        <is>
          <t>賣</t>
        </is>
      </c>
      <c r="F1237" s="300" t="inlineStr">
        <is>
          <t>-</t>
        </is>
      </c>
      <c r="G1237" s="741" t="n">
        <v>1</v>
      </c>
      <c r="H1237" s="741" t="n">
        <v>9799</v>
      </c>
      <c r="I1237" s="741" t="n">
        <v>0</v>
      </c>
      <c r="J1237" s="742" t="n">
        <v>18</v>
      </c>
      <c r="K1237" s="742" t="n">
        <v>10</v>
      </c>
      <c r="L1237" s="742">
        <f>IF(B1237="TXO",I1237-SUM(J1237:K1237),IF(B1237="FITX",IF(D1237="新倉",-SUM(J1237:K1237),IF(E1237="賣",(H1237-H1236)*G1237*200-SUM(J1237:K1237),(H1236-H1237)*G1237*200-SUM(J1237:K1237))),IF(D1237="新倉",-SUM(J1237:K1237),IF(E1237="賣",(H1237-H1236)*G1237*50-SUM(J1237:K1237),(H1236-H1237)*G1237*50-SUM(J1237:K1237)))))</f>
        <v/>
      </c>
      <c r="M1237" s="743">
        <f>L1237</f>
        <v/>
      </c>
      <c r="N1237" s="686">
        <f>IF(B1237="TXO","",IF(D1237="新倉","",IF(E1237="賣",(H1237-H1236)*G1237,(H1236-H1237)*G1237)))</f>
        <v/>
      </c>
      <c r="O1237" s="226" t="n">
        <v>0</v>
      </c>
      <c r="P1237" s="667" t="n"/>
      <c r="S1237" s="249" t="n"/>
      <c r="T1237" s="61">
        <f>IF(AND(R1237="Yes",S1237&lt;&gt;"Yes",L1237&gt;0,B1237&lt;&gt;"TXO"),L1237,"")</f>
        <v/>
      </c>
      <c r="U1237" s="61">
        <f>IF(AND(R1237="Yes",S1237&lt;&gt;"Yes",L1237&lt;0,B1237&lt;&gt;"TXO"),L1237,"")</f>
        <v/>
      </c>
      <c r="V1237" s="61">
        <f>IF(AND(R1237="",S1237&lt;&gt;"Yes",L1237&gt;0,B1237&lt;&gt;"TXO"),L1237,"")</f>
        <v/>
      </c>
      <c r="W1237" s="61">
        <f>IF(AND(R1237="",S1237&lt;&gt;"Yes",L1237&lt;0,B1237&lt;&gt;"TXO"),L1237,"")</f>
        <v/>
      </c>
      <c r="X1237" s="226">
        <f>IF(AND(R1237="Yes",S1237="Yes",L1237&gt;0,B1237&lt;&gt;"TXO"),L1237,"")</f>
        <v/>
      </c>
      <c r="Y1237" s="226">
        <f>IF(AND(R1237="Yes",S1237="Yes",L1237&lt;0,B1237&lt;&gt;"TXO"),L1237,"")</f>
        <v/>
      </c>
      <c r="Z1237" s="226">
        <f>IF(AND(R1237="",S1237="Yes",L1237&gt;0,B1237&lt;&gt;"TXO"),L1237,"")</f>
        <v/>
      </c>
      <c r="AA1237" s="226">
        <f>IF(AND(R1237="",S1237="Yes",L1237&lt;0,B1237&lt;&gt;"TXO"),L1237,"")</f>
        <v/>
      </c>
    </row>
    <row r="1238" hidden="1" outlineLevel="2" collapsed="1" ht="17.25" customHeight="1" thickBot="1">
      <c r="A1238" s="740" t="n">
        <v>43385</v>
      </c>
      <c r="B1238" s="299" t="inlineStr">
        <is>
          <t>FIMTX</t>
        </is>
      </c>
      <c r="C1238" s="300" t="inlineStr">
        <is>
          <t>小指10</t>
        </is>
      </c>
      <c r="D1238" s="300" t="inlineStr">
        <is>
          <t>新倉</t>
        </is>
      </c>
      <c r="E1238" s="301" t="inlineStr">
        <is>
          <t>賣</t>
        </is>
      </c>
      <c r="F1238" s="300" t="inlineStr">
        <is>
          <t>-</t>
        </is>
      </c>
      <c r="G1238" s="741" t="n">
        <v>2</v>
      </c>
      <c r="H1238" s="741" t="n">
        <v>9804</v>
      </c>
      <c r="I1238" s="741" t="n">
        <v>0</v>
      </c>
      <c r="J1238" s="742" t="n">
        <v>46</v>
      </c>
      <c r="K1238" s="742" t="n">
        <v>20</v>
      </c>
      <c r="L1238" s="742">
        <f>IF(B1238="TXO",I1238-SUM(J1238:K1238),IF(B1238="FITX",IF(D1238="新倉",-SUM(J1238:K1238),IF(E1238="賣",(H1238-H1237)*G1238*200-SUM(J1238:K1238),(H1237-H1238)*G1238*200-SUM(J1238:K1238))),IF(D1238="新倉",-SUM(J1238:K1238),IF(E1238="賣",(H1238-H1237)*G1238*50-SUM(J1238:K1238),(H1237-H1238)*G1238*50-SUM(J1238:K1238)))))</f>
        <v/>
      </c>
      <c r="M1238" s="743">
        <f>L1238</f>
        <v/>
      </c>
      <c r="N1238" s="686">
        <f>IF(B1238="TXO","",IF(D1238="新倉","",IF(E1238="賣",(H1238-H1237)*G1238,(H1237-H1238)*G1238)))</f>
        <v/>
      </c>
      <c r="O1238" s="226" t="n">
        <v>0</v>
      </c>
      <c r="P1238" s="667" t="n"/>
      <c r="S1238" s="249" t="n"/>
      <c r="T1238" s="61">
        <f>IF(AND(R1238="Yes",S1238&lt;&gt;"Yes",L1238&gt;0,B1238&lt;&gt;"TXO"),L1238,"")</f>
        <v/>
      </c>
      <c r="U1238" s="61">
        <f>IF(AND(R1238="Yes",S1238&lt;&gt;"Yes",L1238&lt;0,B1238&lt;&gt;"TXO"),L1238,"")</f>
        <v/>
      </c>
      <c r="V1238" s="61">
        <f>IF(AND(R1238="",S1238&lt;&gt;"Yes",L1238&gt;0,B1238&lt;&gt;"TXO"),L1238,"")</f>
        <v/>
      </c>
      <c r="W1238" s="61">
        <f>IF(AND(R1238="",S1238&lt;&gt;"Yes",L1238&lt;0,B1238&lt;&gt;"TXO"),L1238,"")</f>
        <v/>
      </c>
      <c r="X1238" s="226">
        <f>IF(AND(R1238="Yes",S1238="Yes",L1238&gt;0,B1238&lt;&gt;"TXO"),L1238,"")</f>
        <v/>
      </c>
      <c r="Y1238" s="226">
        <f>IF(AND(R1238="Yes",S1238="Yes",L1238&lt;0,B1238&lt;&gt;"TXO"),L1238,"")</f>
        <v/>
      </c>
      <c r="Z1238" s="226">
        <f>IF(AND(R1238="",S1238="Yes",L1238&gt;0,B1238&lt;&gt;"TXO"),L1238,"")</f>
        <v/>
      </c>
      <c r="AA1238" s="226">
        <f>IF(AND(R1238="",S1238="Yes",L1238&lt;0,B1238&lt;&gt;"TXO"),L1238,"")</f>
        <v/>
      </c>
    </row>
    <row r="1239" hidden="1" outlineLevel="2" collapsed="1" ht="17.25" customHeight="1" thickBot="1">
      <c r="A1239" s="740" t="n">
        <v>43385</v>
      </c>
      <c r="B1239" s="299" t="inlineStr">
        <is>
          <t>FIMTX</t>
        </is>
      </c>
      <c r="C1239" s="300" t="inlineStr">
        <is>
          <t>小指10</t>
        </is>
      </c>
      <c r="D1239" s="300" t="inlineStr">
        <is>
          <t>平倉</t>
        </is>
      </c>
      <c r="E1239" s="301" t="inlineStr">
        <is>
          <t>買</t>
        </is>
      </c>
      <c r="F1239" s="300" t="inlineStr">
        <is>
          <t>-</t>
        </is>
      </c>
      <c r="G1239" s="741" t="n">
        <v>2</v>
      </c>
      <c r="H1239" s="741" t="n">
        <v>9799</v>
      </c>
      <c r="I1239" s="741" t="n">
        <v>0</v>
      </c>
      <c r="J1239" s="742" t="n">
        <v>46</v>
      </c>
      <c r="K1239" s="742" t="n">
        <v>20</v>
      </c>
      <c r="L1239" s="742">
        <f>IF(B1239="TXO",I1239-SUM(J1239:K1239),IF(B1239="FITX",IF(D1239="新倉",-SUM(J1239:K1239),IF(E1239="賣",(H1239-H1238)*G1239*200-SUM(J1239:K1239),(H1238-H1239)*G1239*200-SUM(J1239:K1239))),IF(D1239="新倉",-SUM(J1239:K1239),IF(E1239="賣",(H1239-H1238)*G1239*50-SUM(J1239:K1239),(H1238-H1239)*G1239*50-SUM(J1239:K1239)))))</f>
        <v/>
      </c>
      <c r="M1239" s="743">
        <f>L1239</f>
        <v/>
      </c>
      <c r="N1239" s="686">
        <f>IF(B1239="TXO","",IF(D1239="新倉","",IF(E1239="賣",(H1239-H1238)*G1239,(H1238-H1239)*G1239)))</f>
        <v/>
      </c>
      <c r="O1239" s="226" t="n">
        <v>0</v>
      </c>
      <c r="P1239" s="667" t="n"/>
      <c r="S1239" s="249" t="n"/>
      <c r="T1239" s="61">
        <f>IF(AND(R1239="Yes",S1239&lt;&gt;"Yes",L1239&gt;0,B1239&lt;&gt;"TXO"),L1239,"")</f>
        <v/>
      </c>
      <c r="U1239" s="61">
        <f>IF(AND(R1239="Yes",S1239&lt;&gt;"Yes",L1239&lt;0,B1239&lt;&gt;"TXO"),L1239,"")</f>
        <v/>
      </c>
      <c r="V1239" s="61">
        <f>IF(AND(R1239="",S1239&lt;&gt;"Yes",L1239&gt;0,B1239&lt;&gt;"TXO"),L1239,"")</f>
        <v/>
      </c>
      <c r="W1239" s="61">
        <f>IF(AND(R1239="",S1239&lt;&gt;"Yes",L1239&lt;0,B1239&lt;&gt;"TXO"),L1239,"")</f>
        <v/>
      </c>
      <c r="X1239" s="226">
        <f>IF(AND(R1239="Yes",S1239="Yes",L1239&gt;0,B1239&lt;&gt;"TXO"),L1239,"")</f>
        <v/>
      </c>
      <c r="Y1239" s="226">
        <f>IF(AND(R1239="Yes",S1239="Yes",L1239&lt;0,B1239&lt;&gt;"TXO"),L1239,"")</f>
        <v/>
      </c>
      <c r="Z1239" s="226">
        <f>IF(AND(R1239="",S1239="Yes",L1239&gt;0,B1239&lt;&gt;"TXO"),L1239,"")</f>
        <v/>
      </c>
      <c r="AA1239" s="226">
        <f>IF(AND(R1239="",S1239="Yes",L1239&lt;0,B1239&lt;&gt;"TXO"),L1239,"")</f>
        <v/>
      </c>
    </row>
    <row r="1240" hidden="1" outlineLevel="2" collapsed="1" ht="17.25" customHeight="1" thickBot="1">
      <c r="A1240" s="740" t="n">
        <v>43385</v>
      </c>
      <c r="B1240" s="299" t="inlineStr">
        <is>
          <t>FIMTX</t>
        </is>
      </c>
      <c r="C1240" s="300" t="inlineStr">
        <is>
          <t>小指10</t>
        </is>
      </c>
      <c r="D1240" s="300" t="inlineStr">
        <is>
          <t>新倉</t>
        </is>
      </c>
      <c r="E1240" s="301" t="inlineStr">
        <is>
          <t>賣</t>
        </is>
      </c>
      <c r="F1240" s="300" t="inlineStr">
        <is>
          <t>-</t>
        </is>
      </c>
      <c r="G1240" s="741" t="n">
        <v>2</v>
      </c>
      <c r="H1240" s="741" t="n">
        <v>9796</v>
      </c>
      <c r="I1240" s="741" t="n">
        <v>0</v>
      </c>
      <c r="J1240" s="742" t="n">
        <v>46</v>
      </c>
      <c r="K1240" s="742" t="n">
        <v>20</v>
      </c>
      <c r="L1240" s="742">
        <f>IF(B1240="TXO",I1240-SUM(J1240:K1240),IF(B1240="FITX",IF(D1240="新倉",-SUM(J1240:K1240),IF(E1240="賣",(H1240-H1239)*G1240*200-SUM(J1240:K1240),(H1239-H1240)*G1240*200-SUM(J1240:K1240))),IF(D1240="新倉",-SUM(J1240:K1240),IF(E1240="賣",(H1240-H1239)*G1240*50-SUM(J1240:K1240),(H1239-H1240)*G1240*50-SUM(J1240:K1240)))))</f>
        <v/>
      </c>
      <c r="M1240" s="743">
        <f>L1240</f>
        <v/>
      </c>
      <c r="N1240" s="686">
        <f>IF(B1240="TXO","",IF(D1240="新倉","",IF(E1240="賣",(H1240-H1239)*G1240,(H1239-H1240)*G1240)))</f>
        <v/>
      </c>
      <c r="O1240" s="226" t="n">
        <v>0</v>
      </c>
      <c r="P1240" s="667" t="n"/>
      <c r="S1240" s="249" t="n"/>
      <c r="T1240" s="61">
        <f>IF(AND(R1240="Yes",S1240&lt;&gt;"Yes",L1240&gt;0,B1240&lt;&gt;"TXO"),L1240,"")</f>
        <v/>
      </c>
      <c r="U1240" s="61">
        <f>IF(AND(R1240="Yes",S1240&lt;&gt;"Yes",L1240&lt;0,B1240&lt;&gt;"TXO"),L1240,"")</f>
        <v/>
      </c>
      <c r="V1240" s="61">
        <f>IF(AND(R1240="",S1240&lt;&gt;"Yes",L1240&gt;0,B1240&lt;&gt;"TXO"),L1240,"")</f>
        <v/>
      </c>
      <c r="W1240" s="61">
        <f>IF(AND(R1240="",S1240&lt;&gt;"Yes",L1240&lt;0,B1240&lt;&gt;"TXO"),L1240,"")</f>
        <v/>
      </c>
      <c r="X1240" s="226">
        <f>IF(AND(R1240="Yes",S1240="Yes",L1240&gt;0,B1240&lt;&gt;"TXO"),L1240,"")</f>
        <v/>
      </c>
      <c r="Y1240" s="226">
        <f>IF(AND(R1240="Yes",S1240="Yes",L1240&lt;0,B1240&lt;&gt;"TXO"),L1240,"")</f>
        <v/>
      </c>
      <c r="Z1240" s="226">
        <f>IF(AND(R1240="",S1240="Yes",L1240&gt;0,B1240&lt;&gt;"TXO"),L1240,"")</f>
        <v/>
      </c>
      <c r="AA1240" s="226">
        <f>IF(AND(R1240="",S1240="Yes",L1240&lt;0,B1240&lt;&gt;"TXO"),L1240,"")</f>
        <v/>
      </c>
    </row>
    <row r="1241" hidden="1" outlineLevel="2" collapsed="1" ht="17.25" customHeight="1" thickBot="1">
      <c r="A1241" s="740" t="n">
        <v>43385</v>
      </c>
      <c r="B1241" s="299" t="inlineStr">
        <is>
          <t>FIMTX</t>
        </is>
      </c>
      <c r="C1241" s="300" t="inlineStr">
        <is>
          <t>小指10</t>
        </is>
      </c>
      <c r="D1241" s="300" t="inlineStr">
        <is>
          <t>平倉</t>
        </is>
      </c>
      <c r="E1241" s="301" t="inlineStr">
        <is>
          <t>買</t>
        </is>
      </c>
      <c r="F1241" s="300" t="inlineStr">
        <is>
          <t>-</t>
        </is>
      </c>
      <c r="G1241" s="741" t="n">
        <v>2</v>
      </c>
      <c r="H1241" s="741" t="n">
        <v>9810</v>
      </c>
      <c r="I1241" s="741" t="n">
        <v>0</v>
      </c>
      <c r="J1241" s="742" t="n">
        <v>46</v>
      </c>
      <c r="K1241" s="742" t="n">
        <v>20</v>
      </c>
      <c r="L1241" s="742">
        <f>IF(B1241="TXO",I1241-SUM(J1241:K1241),IF(B1241="FITX",IF(D1241="新倉",-SUM(J1241:K1241),IF(E1241="賣",(H1241-H1240)*G1241*200-SUM(J1241:K1241),(H1240-H1241)*G1241*200-SUM(J1241:K1241))),IF(D1241="新倉",-SUM(J1241:K1241),IF(E1241="賣",(H1241-H1240)*G1241*50-SUM(J1241:K1241),(H1240-H1241)*G1241*50-SUM(J1241:K1241)))))</f>
        <v/>
      </c>
      <c r="M1241" s="743">
        <f>L1241</f>
        <v/>
      </c>
      <c r="N1241" s="686">
        <f>IF(B1241="TXO","",IF(D1241="新倉","",IF(E1241="賣",(H1241-H1240)*G1241,(H1240-H1241)*G1241)))</f>
        <v/>
      </c>
      <c r="O1241" s="226" t="n">
        <v>0</v>
      </c>
      <c r="P1241" s="667" t="n"/>
      <c r="S1241" s="249" t="n"/>
      <c r="T1241" s="61">
        <f>IF(AND(R1241="Yes",S1241&lt;&gt;"Yes",L1241&gt;0,B1241&lt;&gt;"TXO"),L1241,"")</f>
        <v/>
      </c>
      <c r="U1241" s="61">
        <f>IF(AND(R1241="Yes",S1241&lt;&gt;"Yes",L1241&lt;0,B1241&lt;&gt;"TXO"),L1241,"")</f>
        <v/>
      </c>
      <c r="V1241" s="61">
        <f>IF(AND(R1241="",S1241&lt;&gt;"Yes",L1241&gt;0,B1241&lt;&gt;"TXO"),L1241,"")</f>
        <v/>
      </c>
      <c r="W1241" s="61">
        <f>IF(AND(R1241="",S1241&lt;&gt;"Yes",L1241&lt;0,B1241&lt;&gt;"TXO"),L1241,"")</f>
        <v/>
      </c>
      <c r="X1241" s="226">
        <f>IF(AND(R1241="Yes",S1241="Yes",L1241&gt;0,B1241&lt;&gt;"TXO"),L1241,"")</f>
        <v/>
      </c>
      <c r="Y1241" s="226">
        <f>IF(AND(R1241="Yes",S1241="Yes",L1241&lt;0,B1241&lt;&gt;"TXO"),L1241,"")</f>
        <v/>
      </c>
      <c r="Z1241" s="226">
        <f>IF(AND(R1241="",S1241="Yes",L1241&gt;0,B1241&lt;&gt;"TXO"),L1241,"")</f>
        <v/>
      </c>
      <c r="AA1241" s="226">
        <f>IF(AND(R1241="",S1241="Yes",L1241&lt;0,B1241&lt;&gt;"TXO"),L1241,"")</f>
        <v/>
      </c>
    </row>
    <row r="1242" hidden="1" outlineLevel="2" collapsed="1" ht="17.25" customHeight="1" thickBot="1">
      <c r="A1242" s="740" t="n">
        <v>43385</v>
      </c>
      <c r="B1242" s="299" t="inlineStr">
        <is>
          <t>FIMTX</t>
        </is>
      </c>
      <c r="C1242" s="300" t="inlineStr">
        <is>
          <t>小指10</t>
        </is>
      </c>
      <c r="D1242" s="300" t="inlineStr">
        <is>
          <t>新倉</t>
        </is>
      </c>
      <c r="E1242" s="301" t="inlineStr">
        <is>
          <t>買</t>
        </is>
      </c>
      <c r="F1242" s="300" t="inlineStr">
        <is>
          <t>-</t>
        </is>
      </c>
      <c r="G1242" s="741" t="n">
        <v>2</v>
      </c>
      <c r="H1242" s="741" t="n">
        <v>9828</v>
      </c>
      <c r="I1242" s="741" t="n">
        <v>0</v>
      </c>
      <c r="J1242" s="742" t="n">
        <v>46</v>
      </c>
      <c r="K1242" s="742" t="n">
        <v>20</v>
      </c>
      <c r="L1242" s="742">
        <f>IF(B1242="TXO",I1242-SUM(J1242:K1242),IF(B1242="FITX",IF(D1242="新倉",-SUM(J1242:K1242),IF(E1242="賣",(H1242-H1241)*G1242*200-SUM(J1242:K1242),(H1241-H1242)*G1242*200-SUM(J1242:K1242))),IF(D1242="新倉",-SUM(J1242:K1242),IF(E1242="賣",(H1242-H1241)*G1242*50-SUM(J1242:K1242),(H1241-H1242)*G1242*50-SUM(J1242:K1242)))))</f>
        <v/>
      </c>
      <c r="M1242" s="743">
        <f>L1242</f>
        <v/>
      </c>
      <c r="N1242" s="686">
        <f>IF(B1242="TXO","",IF(D1242="新倉","",IF(E1242="賣",(H1242-H1241)*G1242,(H1241-H1242)*G1242)))</f>
        <v/>
      </c>
      <c r="O1242" s="226" t="n">
        <v>0</v>
      </c>
      <c r="P1242" s="667" t="n"/>
      <c r="S1242" s="249" t="n"/>
      <c r="T1242" s="61">
        <f>IF(AND(R1242="Yes",S1242&lt;&gt;"Yes",L1242&gt;0,B1242&lt;&gt;"TXO"),L1242,"")</f>
        <v/>
      </c>
      <c r="U1242" s="61">
        <f>IF(AND(R1242="Yes",S1242&lt;&gt;"Yes",L1242&lt;0,B1242&lt;&gt;"TXO"),L1242,"")</f>
        <v/>
      </c>
      <c r="V1242" s="61">
        <f>IF(AND(R1242="",S1242&lt;&gt;"Yes",L1242&gt;0,B1242&lt;&gt;"TXO"),L1242,"")</f>
        <v/>
      </c>
      <c r="W1242" s="61">
        <f>IF(AND(R1242="",S1242&lt;&gt;"Yes",L1242&lt;0,B1242&lt;&gt;"TXO"),L1242,"")</f>
        <v/>
      </c>
      <c r="X1242" s="226">
        <f>IF(AND(R1242="Yes",S1242="Yes",L1242&gt;0,B1242&lt;&gt;"TXO"),L1242,"")</f>
        <v/>
      </c>
      <c r="Y1242" s="226">
        <f>IF(AND(R1242="Yes",S1242="Yes",L1242&lt;0,B1242&lt;&gt;"TXO"),L1242,"")</f>
        <v/>
      </c>
      <c r="Z1242" s="226">
        <f>IF(AND(R1242="",S1242="Yes",L1242&gt;0,B1242&lt;&gt;"TXO"),L1242,"")</f>
        <v/>
      </c>
      <c r="AA1242" s="226">
        <f>IF(AND(R1242="",S1242="Yes",L1242&lt;0,B1242&lt;&gt;"TXO"),L1242,"")</f>
        <v/>
      </c>
    </row>
    <row r="1243" hidden="1" outlineLevel="2" collapsed="1" ht="17.25" customHeight="1" thickBot="1">
      <c r="A1243" s="740" t="n">
        <v>43385</v>
      </c>
      <c r="B1243" s="299" t="inlineStr">
        <is>
          <t>FIMTX</t>
        </is>
      </c>
      <c r="C1243" s="300" t="inlineStr">
        <is>
          <t>小指10</t>
        </is>
      </c>
      <c r="D1243" s="300" t="inlineStr">
        <is>
          <t>平倉</t>
        </is>
      </c>
      <c r="E1243" s="301" t="inlineStr">
        <is>
          <t>賣</t>
        </is>
      </c>
      <c r="F1243" s="300" t="inlineStr">
        <is>
          <t>-</t>
        </is>
      </c>
      <c r="G1243" s="741" t="n">
        <v>2</v>
      </c>
      <c r="H1243" s="741" t="n">
        <v>9830</v>
      </c>
      <c r="I1243" s="741" t="n">
        <v>0</v>
      </c>
      <c r="J1243" s="742" t="n">
        <v>46</v>
      </c>
      <c r="K1243" s="742" t="n">
        <v>20</v>
      </c>
      <c r="L1243" s="742">
        <f>IF(B1243="TXO",I1243-SUM(J1243:K1243),IF(B1243="FITX",IF(D1243="新倉",-SUM(J1243:K1243),IF(E1243="賣",(H1243-H1242)*G1243*200-SUM(J1243:K1243),(H1242-H1243)*G1243*200-SUM(J1243:K1243))),IF(D1243="新倉",-SUM(J1243:K1243),IF(E1243="賣",(H1243-H1242)*G1243*50-SUM(J1243:K1243),(H1242-H1243)*G1243*50-SUM(J1243:K1243)))))</f>
        <v/>
      </c>
      <c r="M1243" s="743">
        <f>L1243</f>
        <v/>
      </c>
      <c r="N1243" s="686">
        <f>IF(B1243="TXO","",IF(D1243="新倉","",IF(E1243="賣",(H1243-H1242)*G1243,(H1242-H1243)*G1243)))</f>
        <v/>
      </c>
      <c r="O1243" s="226" t="n">
        <v>0</v>
      </c>
      <c r="P1243" s="667" t="n"/>
      <c r="S1243" s="249" t="n"/>
      <c r="T1243" s="61">
        <f>IF(AND(R1243="Yes",S1243&lt;&gt;"Yes",L1243&gt;0,B1243&lt;&gt;"TXO"),L1243,"")</f>
        <v/>
      </c>
      <c r="U1243" s="61">
        <f>IF(AND(R1243="Yes",S1243&lt;&gt;"Yes",L1243&lt;0,B1243&lt;&gt;"TXO"),L1243,"")</f>
        <v/>
      </c>
      <c r="V1243" s="61">
        <f>IF(AND(R1243="",S1243&lt;&gt;"Yes",L1243&gt;0,B1243&lt;&gt;"TXO"),L1243,"")</f>
        <v/>
      </c>
      <c r="W1243" s="61">
        <f>IF(AND(R1243="",S1243&lt;&gt;"Yes",L1243&lt;0,B1243&lt;&gt;"TXO"),L1243,"")</f>
        <v/>
      </c>
      <c r="X1243" s="226">
        <f>IF(AND(R1243="Yes",S1243="Yes",L1243&gt;0,B1243&lt;&gt;"TXO"),L1243,"")</f>
        <v/>
      </c>
      <c r="Y1243" s="226">
        <f>IF(AND(R1243="Yes",S1243="Yes",L1243&lt;0,B1243&lt;&gt;"TXO"),L1243,"")</f>
        <v/>
      </c>
      <c r="Z1243" s="226">
        <f>IF(AND(R1243="",S1243="Yes",L1243&gt;0,B1243&lt;&gt;"TXO"),L1243,"")</f>
        <v/>
      </c>
      <c r="AA1243" s="226">
        <f>IF(AND(R1243="",S1243="Yes",L1243&lt;0,B1243&lt;&gt;"TXO"),L1243,"")</f>
        <v/>
      </c>
    </row>
    <row r="1244" hidden="1" outlineLevel="2" collapsed="1" ht="17.25" customHeight="1" thickBot="1">
      <c r="A1244" s="740" t="n">
        <v>43385</v>
      </c>
      <c r="B1244" s="299" t="inlineStr">
        <is>
          <t>FIMTX</t>
        </is>
      </c>
      <c r="C1244" s="300" t="inlineStr">
        <is>
          <t>小指10</t>
        </is>
      </c>
      <c r="D1244" s="300" t="inlineStr">
        <is>
          <t>新倉</t>
        </is>
      </c>
      <c r="E1244" s="301" t="inlineStr">
        <is>
          <t>買</t>
        </is>
      </c>
      <c r="F1244" s="300" t="inlineStr">
        <is>
          <t>-</t>
        </is>
      </c>
      <c r="G1244" s="741" t="n">
        <v>1</v>
      </c>
      <c r="H1244" s="741" t="n">
        <v>9827</v>
      </c>
      <c r="I1244" s="741" t="n">
        <v>0</v>
      </c>
      <c r="J1244" s="742" t="n">
        <v>23</v>
      </c>
      <c r="K1244" s="742" t="n">
        <v>10</v>
      </c>
      <c r="L1244" s="742">
        <f>IF(B1244="TXO",I1244-SUM(J1244:K1244),IF(B1244="FITX",IF(D1244="新倉",-SUM(J1244:K1244),IF(E1244="賣",(H1244-H1243)*G1244*200-SUM(J1244:K1244),(H1243-H1244)*G1244*200-SUM(J1244:K1244))),IF(D1244="新倉",-SUM(J1244:K1244),IF(E1244="賣",(H1244-H1243)*G1244*50-SUM(J1244:K1244),(H1243-H1244)*G1244*50-SUM(J1244:K1244)))))</f>
        <v/>
      </c>
      <c r="M1244" s="743">
        <f>L1244</f>
        <v/>
      </c>
      <c r="N1244" s="686">
        <f>IF(B1244="TXO","",IF(D1244="新倉","",IF(E1244="賣",(H1244-H1243)*G1244,(H1243-H1244)*G1244)))</f>
        <v/>
      </c>
      <c r="O1244" s="226" t="n">
        <v>0</v>
      </c>
      <c r="P1244" s="667" t="n"/>
      <c r="S1244" s="249" t="n"/>
      <c r="T1244" s="61">
        <f>IF(AND(R1244="Yes",S1244&lt;&gt;"Yes",L1244&gt;0,B1244&lt;&gt;"TXO"),L1244,"")</f>
        <v/>
      </c>
      <c r="U1244" s="61">
        <f>IF(AND(R1244="Yes",S1244&lt;&gt;"Yes",L1244&lt;0,B1244&lt;&gt;"TXO"),L1244,"")</f>
        <v/>
      </c>
      <c r="V1244" s="61">
        <f>IF(AND(R1244="",S1244&lt;&gt;"Yes",L1244&gt;0,B1244&lt;&gt;"TXO"),L1244,"")</f>
        <v/>
      </c>
      <c r="W1244" s="61">
        <f>IF(AND(R1244="",S1244&lt;&gt;"Yes",L1244&lt;0,B1244&lt;&gt;"TXO"),L1244,"")</f>
        <v/>
      </c>
      <c r="X1244" s="226">
        <f>IF(AND(R1244="Yes",S1244="Yes",L1244&gt;0,B1244&lt;&gt;"TXO"),L1244,"")</f>
        <v/>
      </c>
      <c r="Y1244" s="226">
        <f>IF(AND(R1244="Yes",S1244="Yes",L1244&lt;0,B1244&lt;&gt;"TXO"),L1244,"")</f>
        <v/>
      </c>
      <c r="Z1244" s="226">
        <f>IF(AND(R1244="",S1244="Yes",L1244&gt;0,B1244&lt;&gt;"TXO"),L1244,"")</f>
        <v/>
      </c>
      <c r="AA1244" s="226">
        <f>IF(AND(R1244="",S1244="Yes",L1244&lt;0,B1244&lt;&gt;"TXO"),L1244,"")</f>
        <v/>
      </c>
    </row>
    <row r="1245" hidden="1" outlineLevel="2" collapsed="1" ht="17.25" customHeight="1" thickBot="1">
      <c r="A1245" s="740" t="n">
        <v>43385</v>
      </c>
      <c r="B1245" s="299" t="inlineStr">
        <is>
          <t>FIMTX</t>
        </is>
      </c>
      <c r="C1245" s="300" t="inlineStr">
        <is>
          <t>小指10</t>
        </is>
      </c>
      <c r="D1245" s="300" t="inlineStr">
        <is>
          <t>平倉</t>
        </is>
      </c>
      <c r="E1245" s="301" t="inlineStr">
        <is>
          <t>賣</t>
        </is>
      </c>
      <c r="F1245" s="300" t="inlineStr">
        <is>
          <t>-</t>
        </is>
      </c>
      <c r="G1245" s="741" t="n">
        <v>1</v>
      </c>
      <c r="H1245" s="741" t="n">
        <v>9830</v>
      </c>
      <c r="I1245" s="741" t="n">
        <v>0</v>
      </c>
      <c r="J1245" s="742" t="n">
        <v>23</v>
      </c>
      <c r="K1245" s="742" t="n">
        <v>10</v>
      </c>
      <c r="L1245" s="742">
        <f>IF(B1245="TXO",I1245-SUM(J1245:K1245),IF(B1245="FITX",IF(D1245="新倉",-SUM(J1245:K1245),IF(E1245="賣",(H1245-H1244)*G1245*200-SUM(J1245:K1245),(H1244-H1245)*G1245*200-SUM(J1245:K1245))),IF(D1245="新倉",-SUM(J1245:K1245),IF(E1245="賣",(H1245-H1244)*G1245*50-SUM(J1245:K1245),(H1244-H1245)*G1245*50-SUM(J1245:K1245)))))</f>
        <v/>
      </c>
      <c r="M1245" s="743">
        <f>L1245</f>
        <v/>
      </c>
      <c r="N1245" s="686">
        <f>IF(B1245="TXO","",IF(D1245="新倉","",IF(E1245="賣",(H1245-H1244)*G1245,(H1244-H1245)*G1245)))</f>
        <v/>
      </c>
      <c r="O1245" s="226" t="n">
        <v>0</v>
      </c>
      <c r="P1245" s="667" t="n"/>
      <c r="S1245" s="249" t="n"/>
      <c r="T1245" s="61">
        <f>IF(AND(R1245="Yes",S1245&lt;&gt;"Yes",L1245&gt;0,B1245&lt;&gt;"TXO"),L1245,"")</f>
        <v/>
      </c>
      <c r="U1245" s="61">
        <f>IF(AND(R1245="Yes",S1245&lt;&gt;"Yes",L1245&lt;0,B1245&lt;&gt;"TXO"),L1245,"")</f>
        <v/>
      </c>
      <c r="V1245" s="61">
        <f>IF(AND(R1245="",S1245&lt;&gt;"Yes",L1245&gt;0,B1245&lt;&gt;"TXO"),L1245,"")</f>
        <v/>
      </c>
      <c r="W1245" s="61">
        <f>IF(AND(R1245="",S1245&lt;&gt;"Yes",L1245&lt;0,B1245&lt;&gt;"TXO"),L1245,"")</f>
        <v/>
      </c>
      <c r="X1245" s="226">
        <f>IF(AND(R1245="Yes",S1245="Yes",L1245&gt;0,B1245&lt;&gt;"TXO"),L1245,"")</f>
        <v/>
      </c>
      <c r="Y1245" s="226">
        <f>IF(AND(R1245="Yes",S1245="Yes",L1245&lt;0,B1245&lt;&gt;"TXO"),L1245,"")</f>
        <v/>
      </c>
      <c r="Z1245" s="226">
        <f>IF(AND(R1245="",S1245="Yes",L1245&gt;0,B1245&lt;&gt;"TXO"),L1245,"")</f>
        <v/>
      </c>
      <c r="AA1245" s="226">
        <f>IF(AND(R1245="",S1245="Yes",L1245&lt;0,B1245&lt;&gt;"TXO"),L1245,"")</f>
        <v/>
      </c>
    </row>
    <row r="1246" hidden="1" outlineLevel="2" collapsed="1" ht="17.25" customHeight="1" thickBot="1">
      <c r="A1246" s="740" t="n">
        <v>43385</v>
      </c>
      <c r="B1246" s="299" t="inlineStr">
        <is>
          <t>FIMTX</t>
        </is>
      </c>
      <c r="C1246" s="300" t="inlineStr">
        <is>
          <t>小指10</t>
        </is>
      </c>
      <c r="D1246" s="300" t="inlineStr">
        <is>
          <t>新倉</t>
        </is>
      </c>
      <c r="E1246" s="301" t="inlineStr">
        <is>
          <t>買</t>
        </is>
      </c>
      <c r="F1246" s="300" t="inlineStr">
        <is>
          <t>-</t>
        </is>
      </c>
      <c r="G1246" s="741" t="n">
        <v>1</v>
      </c>
      <c r="H1246" s="741" t="n">
        <v>9827</v>
      </c>
      <c r="I1246" s="741" t="n">
        <v>0</v>
      </c>
      <c r="J1246" s="742" t="n">
        <v>23</v>
      </c>
      <c r="K1246" s="742" t="n">
        <v>10</v>
      </c>
      <c r="L1246" s="742">
        <f>IF(B1246="TXO",I1246-SUM(J1246:K1246),IF(B1246="FITX",IF(D1246="新倉",-SUM(J1246:K1246),IF(E1246="賣",(H1246-H1245)*G1246*200-SUM(J1246:K1246),(H1245-H1246)*G1246*200-SUM(J1246:K1246))),IF(D1246="新倉",-SUM(J1246:K1246),IF(E1246="賣",(H1246-H1245)*G1246*50-SUM(J1246:K1246),(H1245-H1246)*G1246*50-SUM(J1246:K1246)))))</f>
        <v/>
      </c>
      <c r="M1246" s="743">
        <f>L1246</f>
        <v/>
      </c>
      <c r="N1246" s="686">
        <f>IF(B1246="TXO","",IF(D1246="新倉","",IF(E1246="賣",(H1246-H1245)*G1246,(H1245-H1246)*G1246)))</f>
        <v/>
      </c>
      <c r="O1246" s="226" t="n">
        <v>0</v>
      </c>
      <c r="P1246" s="667" t="n"/>
      <c r="S1246" s="249" t="n"/>
      <c r="T1246" s="61">
        <f>IF(AND(R1246="Yes",S1246&lt;&gt;"Yes",L1246&gt;0,B1246&lt;&gt;"TXO"),L1246,"")</f>
        <v/>
      </c>
      <c r="U1246" s="61">
        <f>IF(AND(R1246="Yes",S1246&lt;&gt;"Yes",L1246&lt;0,B1246&lt;&gt;"TXO"),L1246,"")</f>
        <v/>
      </c>
      <c r="V1246" s="61">
        <f>IF(AND(R1246="",S1246&lt;&gt;"Yes",L1246&gt;0,B1246&lt;&gt;"TXO"),L1246,"")</f>
        <v/>
      </c>
      <c r="W1246" s="61">
        <f>IF(AND(R1246="",S1246&lt;&gt;"Yes",L1246&lt;0,B1246&lt;&gt;"TXO"),L1246,"")</f>
        <v/>
      </c>
      <c r="X1246" s="226">
        <f>IF(AND(R1246="Yes",S1246="Yes",L1246&gt;0,B1246&lt;&gt;"TXO"),L1246,"")</f>
        <v/>
      </c>
      <c r="Y1246" s="226">
        <f>IF(AND(R1246="Yes",S1246="Yes",L1246&lt;0,B1246&lt;&gt;"TXO"),L1246,"")</f>
        <v/>
      </c>
      <c r="Z1246" s="226">
        <f>IF(AND(R1246="",S1246="Yes",L1246&gt;0,B1246&lt;&gt;"TXO"),L1246,"")</f>
        <v/>
      </c>
      <c r="AA1246" s="226">
        <f>IF(AND(R1246="",S1246="Yes",L1246&lt;0,B1246&lt;&gt;"TXO"),L1246,"")</f>
        <v/>
      </c>
    </row>
    <row r="1247" hidden="1" outlineLevel="2" collapsed="1" ht="17.25" customHeight="1" thickBot="1">
      <c r="A1247" s="740" t="n">
        <v>43385</v>
      </c>
      <c r="B1247" s="299" t="inlineStr">
        <is>
          <t>FIMTX</t>
        </is>
      </c>
      <c r="C1247" s="300" t="inlineStr">
        <is>
          <t>小指10</t>
        </is>
      </c>
      <c r="D1247" s="300" t="inlineStr">
        <is>
          <t>平倉</t>
        </is>
      </c>
      <c r="E1247" s="301" t="inlineStr">
        <is>
          <t>賣</t>
        </is>
      </c>
      <c r="F1247" s="300" t="inlineStr">
        <is>
          <t>-</t>
        </is>
      </c>
      <c r="G1247" s="741" t="n">
        <v>1</v>
      </c>
      <c r="H1247" s="741" t="n">
        <v>9831</v>
      </c>
      <c r="I1247" s="741" t="n">
        <v>0</v>
      </c>
      <c r="J1247" s="742" t="n">
        <v>23</v>
      </c>
      <c r="K1247" s="742" t="n">
        <v>10</v>
      </c>
      <c r="L1247" s="742">
        <f>IF(B1247="TXO",I1247-SUM(J1247:K1247),IF(B1247="FITX",IF(D1247="新倉",-SUM(J1247:K1247),IF(E1247="賣",(H1247-H1246)*G1247*200-SUM(J1247:K1247),(H1246-H1247)*G1247*200-SUM(J1247:K1247))),IF(D1247="新倉",-SUM(J1247:K1247),IF(E1247="賣",(H1247-H1246)*G1247*50-SUM(J1247:K1247),(H1246-H1247)*G1247*50-SUM(J1247:K1247)))))</f>
        <v/>
      </c>
      <c r="M1247" s="743">
        <f>L1247</f>
        <v/>
      </c>
      <c r="N1247" s="686">
        <f>IF(B1247="TXO","",IF(D1247="新倉","",IF(E1247="賣",(H1247-H1246)*G1247,(H1246-H1247)*G1247)))</f>
        <v/>
      </c>
      <c r="O1247" s="226" t="n">
        <v>0</v>
      </c>
      <c r="P1247" s="667" t="n"/>
      <c r="S1247" s="249" t="n"/>
      <c r="T1247" s="61">
        <f>IF(AND(R1247="Yes",S1247&lt;&gt;"Yes",L1247&gt;0,B1247&lt;&gt;"TXO"),L1247,"")</f>
        <v/>
      </c>
      <c r="U1247" s="61">
        <f>IF(AND(R1247="Yes",S1247&lt;&gt;"Yes",L1247&lt;0,B1247&lt;&gt;"TXO"),L1247,"")</f>
        <v/>
      </c>
      <c r="V1247" s="61">
        <f>IF(AND(R1247="",S1247&lt;&gt;"Yes",L1247&gt;0,B1247&lt;&gt;"TXO"),L1247,"")</f>
        <v/>
      </c>
      <c r="W1247" s="61">
        <f>IF(AND(R1247="",S1247&lt;&gt;"Yes",L1247&lt;0,B1247&lt;&gt;"TXO"),L1247,"")</f>
        <v/>
      </c>
      <c r="X1247" s="226">
        <f>IF(AND(R1247="Yes",S1247="Yes",L1247&gt;0,B1247&lt;&gt;"TXO"),L1247,"")</f>
        <v/>
      </c>
      <c r="Y1247" s="226">
        <f>IF(AND(R1247="Yes",S1247="Yes",L1247&lt;0,B1247&lt;&gt;"TXO"),L1247,"")</f>
        <v/>
      </c>
      <c r="Z1247" s="226">
        <f>IF(AND(R1247="",S1247="Yes",L1247&gt;0,B1247&lt;&gt;"TXO"),L1247,"")</f>
        <v/>
      </c>
      <c r="AA1247" s="226">
        <f>IF(AND(R1247="",S1247="Yes",L1247&lt;0,B1247&lt;&gt;"TXO"),L1247,"")</f>
        <v/>
      </c>
    </row>
    <row r="1248" hidden="1" outlineLevel="2" collapsed="1" ht="17.25" customHeight="1" thickBot="1">
      <c r="A1248" s="740" t="n">
        <v>43385</v>
      </c>
      <c r="B1248" s="299" t="inlineStr">
        <is>
          <t>FIMTX</t>
        </is>
      </c>
      <c r="C1248" s="300" t="inlineStr">
        <is>
          <t>小指10</t>
        </is>
      </c>
      <c r="D1248" s="300" t="inlineStr">
        <is>
          <t>新倉</t>
        </is>
      </c>
      <c r="E1248" s="301" t="inlineStr">
        <is>
          <t>買</t>
        </is>
      </c>
      <c r="F1248" s="300" t="inlineStr">
        <is>
          <t>-</t>
        </is>
      </c>
      <c r="G1248" s="741" t="n">
        <v>1</v>
      </c>
      <c r="H1248" s="741" t="n">
        <v>9863</v>
      </c>
      <c r="I1248" s="741" t="n">
        <v>0</v>
      </c>
      <c r="J1248" s="742" t="n">
        <v>23</v>
      </c>
      <c r="K1248" s="742" t="n">
        <v>10</v>
      </c>
      <c r="L1248" s="742">
        <f>IF(B1248="TXO",I1248-SUM(J1248:K1248),IF(B1248="FITX",IF(D1248="新倉",-SUM(J1248:K1248),IF(E1248="賣",(H1248-H1247)*G1248*200-SUM(J1248:K1248),(H1247-H1248)*G1248*200-SUM(J1248:K1248))),IF(D1248="新倉",-SUM(J1248:K1248),IF(E1248="賣",(H1248-H1247)*G1248*50-SUM(J1248:K1248),(H1247-H1248)*G1248*50-SUM(J1248:K1248)))))</f>
        <v/>
      </c>
      <c r="M1248" s="743">
        <f>L1248</f>
        <v/>
      </c>
      <c r="N1248" s="686">
        <f>IF(B1248="TXO","",IF(D1248="新倉","",IF(E1248="賣",(H1248-H1247)*G1248,(H1247-H1248)*G1248)))</f>
        <v/>
      </c>
      <c r="O1248" s="226" t="n">
        <v>0</v>
      </c>
      <c r="P1248" s="667" t="n"/>
      <c r="S1248" s="249" t="n"/>
      <c r="T1248" s="61">
        <f>IF(AND(R1248="Yes",S1248&lt;&gt;"Yes",L1248&gt;0,B1248&lt;&gt;"TXO"),L1248,"")</f>
        <v/>
      </c>
      <c r="U1248" s="61">
        <f>IF(AND(R1248="Yes",S1248&lt;&gt;"Yes",L1248&lt;0,B1248&lt;&gt;"TXO"),L1248,"")</f>
        <v/>
      </c>
      <c r="V1248" s="61">
        <f>IF(AND(R1248="",S1248&lt;&gt;"Yes",L1248&gt;0,B1248&lt;&gt;"TXO"),L1248,"")</f>
        <v/>
      </c>
      <c r="W1248" s="61">
        <f>IF(AND(R1248="",S1248&lt;&gt;"Yes",L1248&lt;0,B1248&lt;&gt;"TXO"),L1248,"")</f>
        <v/>
      </c>
      <c r="X1248" s="226">
        <f>IF(AND(R1248="Yes",S1248="Yes",L1248&gt;0,B1248&lt;&gt;"TXO"),L1248,"")</f>
        <v/>
      </c>
      <c r="Y1248" s="226">
        <f>IF(AND(R1248="Yes",S1248="Yes",L1248&lt;0,B1248&lt;&gt;"TXO"),L1248,"")</f>
        <v/>
      </c>
      <c r="Z1248" s="226">
        <f>IF(AND(R1248="",S1248="Yes",L1248&gt;0,B1248&lt;&gt;"TXO"),L1248,"")</f>
        <v/>
      </c>
      <c r="AA1248" s="226">
        <f>IF(AND(R1248="",S1248="Yes",L1248&lt;0,B1248&lt;&gt;"TXO"),L1248,"")</f>
        <v/>
      </c>
    </row>
    <row r="1249" hidden="1" outlineLevel="2" collapsed="1" ht="17.25" customHeight="1" thickBot="1">
      <c r="A1249" s="740" t="n">
        <v>43385</v>
      </c>
      <c r="B1249" s="299" t="inlineStr">
        <is>
          <t>FIMTX</t>
        </is>
      </c>
      <c r="C1249" s="300" t="inlineStr">
        <is>
          <t>小指10</t>
        </is>
      </c>
      <c r="D1249" s="300" t="inlineStr">
        <is>
          <t>平倉</t>
        </is>
      </c>
      <c r="E1249" s="301" t="inlineStr">
        <is>
          <t>賣</t>
        </is>
      </c>
      <c r="F1249" s="300" t="inlineStr">
        <is>
          <t>-</t>
        </is>
      </c>
      <c r="G1249" s="741" t="n">
        <v>1</v>
      </c>
      <c r="H1249" s="741" t="n">
        <v>9870</v>
      </c>
      <c r="I1249" s="741" t="n">
        <v>0</v>
      </c>
      <c r="J1249" s="742" t="n">
        <v>23</v>
      </c>
      <c r="K1249" s="742" t="n">
        <v>10</v>
      </c>
      <c r="L1249" s="742">
        <f>IF(B1249="TXO",I1249-SUM(J1249:K1249),IF(B1249="FITX",IF(D1249="新倉",-SUM(J1249:K1249),IF(E1249="賣",(H1249-H1248)*G1249*200-SUM(J1249:K1249),(H1248-H1249)*G1249*200-SUM(J1249:K1249))),IF(D1249="新倉",-SUM(J1249:K1249),IF(E1249="賣",(H1249-H1248)*G1249*50-SUM(J1249:K1249),(H1248-H1249)*G1249*50-SUM(J1249:K1249)))))</f>
        <v/>
      </c>
      <c r="M1249" s="743">
        <f>L1249</f>
        <v/>
      </c>
      <c r="N1249" s="686">
        <f>IF(B1249="TXO","",IF(D1249="新倉","",IF(E1249="賣",(H1249-H1248)*G1249,(H1248-H1249)*G1249)))</f>
        <v/>
      </c>
      <c r="O1249" s="226" t="n">
        <v>0</v>
      </c>
      <c r="P1249" s="667" t="n"/>
      <c r="S1249" s="249" t="n"/>
      <c r="T1249" s="61">
        <f>IF(AND(R1249="Yes",S1249&lt;&gt;"Yes",L1249&gt;0,B1249&lt;&gt;"TXO"),L1249,"")</f>
        <v/>
      </c>
      <c r="U1249" s="61">
        <f>IF(AND(R1249="Yes",S1249&lt;&gt;"Yes",L1249&lt;0,B1249&lt;&gt;"TXO"),L1249,"")</f>
        <v/>
      </c>
      <c r="V1249" s="61">
        <f>IF(AND(R1249="",S1249&lt;&gt;"Yes",L1249&gt;0,B1249&lt;&gt;"TXO"),L1249,"")</f>
        <v/>
      </c>
      <c r="W1249" s="61">
        <f>IF(AND(R1249="",S1249&lt;&gt;"Yes",L1249&lt;0,B1249&lt;&gt;"TXO"),L1249,"")</f>
        <v/>
      </c>
      <c r="X1249" s="226">
        <f>IF(AND(R1249="Yes",S1249="Yes",L1249&gt;0,B1249&lt;&gt;"TXO"),L1249,"")</f>
        <v/>
      </c>
      <c r="Y1249" s="226">
        <f>IF(AND(R1249="Yes",S1249="Yes",L1249&lt;0,B1249&lt;&gt;"TXO"),L1249,"")</f>
        <v/>
      </c>
      <c r="Z1249" s="226">
        <f>IF(AND(R1249="",S1249="Yes",L1249&gt;0,B1249&lt;&gt;"TXO"),L1249,"")</f>
        <v/>
      </c>
      <c r="AA1249" s="226">
        <f>IF(AND(R1249="",S1249="Yes",L1249&lt;0,B1249&lt;&gt;"TXO"),L1249,"")</f>
        <v/>
      </c>
    </row>
    <row r="1250" hidden="1" outlineLevel="2" collapsed="1" ht="17.25" customHeight="1" thickBot="1">
      <c r="A1250" s="740" t="n">
        <v>43385</v>
      </c>
      <c r="B1250" s="299" t="inlineStr">
        <is>
          <t>FIMTX</t>
        </is>
      </c>
      <c r="C1250" s="300" t="inlineStr">
        <is>
          <t>小指10</t>
        </is>
      </c>
      <c r="D1250" s="300" t="inlineStr">
        <is>
          <t>新倉</t>
        </is>
      </c>
      <c r="E1250" s="301" t="inlineStr">
        <is>
          <t>買</t>
        </is>
      </c>
      <c r="F1250" s="300" t="inlineStr">
        <is>
          <t>-</t>
        </is>
      </c>
      <c r="G1250" s="741" t="n">
        <v>1</v>
      </c>
      <c r="H1250" s="741" t="n">
        <v>9862</v>
      </c>
      <c r="I1250" s="741" t="n">
        <v>0</v>
      </c>
      <c r="J1250" s="742" t="n">
        <v>23</v>
      </c>
      <c r="K1250" s="742" t="n">
        <v>10</v>
      </c>
      <c r="L1250" s="742">
        <f>IF(B1250="TXO",I1250-SUM(J1250:K1250),IF(B1250="FITX",IF(D1250="新倉",-SUM(J1250:K1250),IF(E1250="賣",(H1250-H1249)*G1250*200-SUM(J1250:K1250),(H1249-H1250)*G1250*200-SUM(J1250:K1250))),IF(D1250="新倉",-SUM(J1250:K1250),IF(E1250="賣",(H1250-H1249)*G1250*50-SUM(J1250:K1250),(H1249-H1250)*G1250*50-SUM(J1250:K1250)))))</f>
        <v/>
      </c>
      <c r="M1250" s="743">
        <f>L1250</f>
        <v/>
      </c>
      <c r="N1250" s="686">
        <f>IF(B1250="TXO","",IF(D1250="新倉","",IF(E1250="賣",(H1250-H1249)*G1250,(H1249-H1250)*G1250)))</f>
        <v/>
      </c>
      <c r="O1250" s="226" t="n">
        <v>0</v>
      </c>
      <c r="P1250" s="667" t="n"/>
      <c r="S1250" s="249" t="n"/>
      <c r="T1250" s="61">
        <f>IF(AND(R1250="Yes",S1250&lt;&gt;"Yes",L1250&gt;0,B1250&lt;&gt;"TXO"),L1250,"")</f>
        <v/>
      </c>
      <c r="U1250" s="61">
        <f>IF(AND(R1250="Yes",S1250&lt;&gt;"Yes",L1250&lt;0,B1250&lt;&gt;"TXO"),L1250,"")</f>
        <v/>
      </c>
      <c r="V1250" s="61">
        <f>IF(AND(R1250="",S1250&lt;&gt;"Yes",L1250&gt;0,B1250&lt;&gt;"TXO"),L1250,"")</f>
        <v/>
      </c>
      <c r="W1250" s="61">
        <f>IF(AND(R1250="",S1250&lt;&gt;"Yes",L1250&lt;0,B1250&lt;&gt;"TXO"),L1250,"")</f>
        <v/>
      </c>
      <c r="X1250" s="226">
        <f>IF(AND(R1250="Yes",S1250="Yes",L1250&gt;0,B1250&lt;&gt;"TXO"),L1250,"")</f>
        <v/>
      </c>
      <c r="Y1250" s="226">
        <f>IF(AND(R1250="Yes",S1250="Yes",L1250&lt;0,B1250&lt;&gt;"TXO"),L1250,"")</f>
        <v/>
      </c>
      <c r="Z1250" s="226">
        <f>IF(AND(R1250="",S1250="Yes",L1250&gt;0,B1250&lt;&gt;"TXO"),L1250,"")</f>
        <v/>
      </c>
      <c r="AA1250" s="226">
        <f>IF(AND(R1250="",S1250="Yes",L1250&lt;0,B1250&lt;&gt;"TXO"),L1250,"")</f>
        <v/>
      </c>
    </row>
    <row r="1251" hidden="1" outlineLevel="2" collapsed="1" ht="17.25" customHeight="1" thickBot="1">
      <c r="A1251" s="740" t="n">
        <v>43385</v>
      </c>
      <c r="B1251" s="299" t="inlineStr">
        <is>
          <t>FIMTX</t>
        </is>
      </c>
      <c r="C1251" s="300" t="inlineStr">
        <is>
          <t>小指10</t>
        </is>
      </c>
      <c r="D1251" s="300" t="inlineStr">
        <is>
          <t>平倉</t>
        </is>
      </c>
      <c r="E1251" s="301" t="inlineStr">
        <is>
          <t>賣</t>
        </is>
      </c>
      <c r="F1251" s="300" t="inlineStr">
        <is>
          <t>-</t>
        </is>
      </c>
      <c r="G1251" s="741" t="n">
        <v>1</v>
      </c>
      <c r="H1251" s="741" t="n">
        <v>9871</v>
      </c>
      <c r="I1251" s="741" t="n">
        <v>0</v>
      </c>
      <c r="J1251" s="742" t="n">
        <v>23</v>
      </c>
      <c r="K1251" s="742" t="n">
        <v>10</v>
      </c>
      <c r="L1251" s="742">
        <f>IF(B1251="TXO",I1251-SUM(J1251:K1251),IF(B1251="FITX",IF(D1251="新倉",-SUM(J1251:K1251),IF(E1251="賣",(H1251-H1250)*G1251*200-SUM(J1251:K1251),(H1250-H1251)*G1251*200-SUM(J1251:K1251))),IF(D1251="新倉",-SUM(J1251:K1251),IF(E1251="賣",(H1251-H1250)*G1251*50-SUM(J1251:K1251),(H1250-H1251)*G1251*50-SUM(J1251:K1251)))))</f>
        <v/>
      </c>
      <c r="M1251" s="743">
        <f>L1251</f>
        <v/>
      </c>
      <c r="N1251" s="686">
        <f>IF(B1251="TXO","",IF(D1251="新倉","",IF(E1251="賣",(H1251-H1250)*G1251,(H1250-H1251)*G1251)))</f>
        <v/>
      </c>
      <c r="O1251" s="226" t="n">
        <v>0</v>
      </c>
      <c r="P1251" s="667" t="n"/>
      <c r="S1251" s="249" t="n"/>
      <c r="T1251" s="61">
        <f>IF(AND(R1251="Yes",S1251&lt;&gt;"Yes",L1251&gt;0,B1251&lt;&gt;"TXO"),L1251,"")</f>
        <v/>
      </c>
      <c r="U1251" s="61">
        <f>IF(AND(R1251="Yes",S1251&lt;&gt;"Yes",L1251&lt;0,B1251&lt;&gt;"TXO"),L1251,"")</f>
        <v/>
      </c>
      <c r="V1251" s="61">
        <f>IF(AND(R1251="",S1251&lt;&gt;"Yes",L1251&gt;0,B1251&lt;&gt;"TXO"),L1251,"")</f>
        <v/>
      </c>
      <c r="W1251" s="61">
        <f>IF(AND(R1251="",S1251&lt;&gt;"Yes",L1251&lt;0,B1251&lt;&gt;"TXO"),L1251,"")</f>
        <v/>
      </c>
      <c r="X1251" s="226">
        <f>IF(AND(R1251="Yes",S1251="Yes",L1251&gt;0,B1251&lt;&gt;"TXO"),L1251,"")</f>
        <v/>
      </c>
      <c r="Y1251" s="226">
        <f>IF(AND(R1251="Yes",S1251="Yes",L1251&lt;0,B1251&lt;&gt;"TXO"),L1251,"")</f>
        <v/>
      </c>
      <c r="Z1251" s="226">
        <f>IF(AND(R1251="",S1251="Yes",L1251&gt;0,B1251&lt;&gt;"TXO"),L1251,"")</f>
        <v/>
      </c>
      <c r="AA1251" s="226">
        <f>IF(AND(R1251="",S1251="Yes",L1251&lt;0,B1251&lt;&gt;"TXO"),L1251,"")</f>
        <v/>
      </c>
    </row>
    <row r="1252" hidden="1" outlineLevel="2" collapsed="1" ht="17.25" customHeight="1" thickBot="1">
      <c r="A1252" s="740" t="n">
        <v>43385</v>
      </c>
      <c r="B1252" s="299" t="inlineStr">
        <is>
          <t>FIMTX</t>
        </is>
      </c>
      <c r="C1252" s="300" t="inlineStr">
        <is>
          <t>小指10</t>
        </is>
      </c>
      <c r="D1252" s="300" t="inlineStr">
        <is>
          <t>新倉</t>
        </is>
      </c>
      <c r="E1252" s="301" t="inlineStr">
        <is>
          <t>買</t>
        </is>
      </c>
      <c r="F1252" s="300" t="inlineStr">
        <is>
          <t>-</t>
        </is>
      </c>
      <c r="G1252" s="741" t="n">
        <v>2</v>
      </c>
      <c r="H1252" s="741" t="n">
        <v>9896</v>
      </c>
      <c r="I1252" s="741" t="n">
        <v>0</v>
      </c>
      <c r="J1252" s="742" t="n">
        <v>46</v>
      </c>
      <c r="K1252" s="742" t="n">
        <v>20</v>
      </c>
      <c r="L1252" s="742">
        <f>IF(B1252="TXO",I1252-SUM(J1252:K1252),IF(B1252="FITX",IF(D1252="新倉",-SUM(J1252:K1252),IF(E1252="賣",(H1252-H1251)*G1252*200-SUM(J1252:K1252),(H1251-H1252)*G1252*200-SUM(J1252:K1252))),IF(D1252="新倉",-SUM(J1252:K1252),IF(E1252="賣",(H1252-H1251)*G1252*50-SUM(J1252:K1252),(H1251-H1252)*G1252*50-SUM(J1252:K1252)))))</f>
        <v/>
      </c>
      <c r="M1252" s="743">
        <f>L1252</f>
        <v/>
      </c>
      <c r="N1252" s="686">
        <f>IF(B1252="TXO","",IF(D1252="新倉","",IF(E1252="賣",(H1252-H1251)*G1252,(H1251-H1252)*G1252)))</f>
        <v/>
      </c>
      <c r="O1252" s="226" t="n">
        <v>0</v>
      </c>
      <c r="P1252" s="667" t="n"/>
      <c r="S1252" s="249" t="n"/>
      <c r="T1252" s="61">
        <f>IF(AND(R1252="Yes",S1252&lt;&gt;"Yes",L1252&gt;0,B1252&lt;&gt;"TXO"),L1252,"")</f>
        <v/>
      </c>
      <c r="U1252" s="61">
        <f>IF(AND(R1252="Yes",S1252&lt;&gt;"Yes",L1252&lt;0,B1252&lt;&gt;"TXO"),L1252,"")</f>
        <v/>
      </c>
      <c r="V1252" s="61">
        <f>IF(AND(R1252="",S1252&lt;&gt;"Yes",L1252&gt;0,B1252&lt;&gt;"TXO"),L1252,"")</f>
        <v/>
      </c>
      <c r="W1252" s="61">
        <f>IF(AND(R1252="",S1252&lt;&gt;"Yes",L1252&lt;0,B1252&lt;&gt;"TXO"),L1252,"")</f>
        <v/>
      </c>
      <c r="X1252" s="226">
        <f>IF(AND(R1252="Yes",S1252="Yes",L1252&gt;0,B1252&lt;&gt;"TXO"),L1252,"")</f>
        <v/>
      </c>
      <c r="Y1252" s="226">
        <f>IF(AND(R1252="Yes",S1252="Yes",L1252&lt;0,B1252&lt;&gt;"TXO"),L1252,"")</f>
        <v/>
      </c>
      <c r="Z1252" s="226">
        <f>IF(AND(R1252="",S1252="Yes",L1252&gt;0,B1252&lt;&gt;"TXO"),L1252,"")</f>
        <v/>
      </c>
      <c r="AA1252" s="226">
        <f>IF(AND(R1252="",S1252="Yes",L1252&lt;0,B1252&lt;&gt;"TXO"),L1252,"")</f>
        <v/>
      </c>
    </row>
    <row r="1253" hidden="1" outlineLevel="2" collapsed="1" ht="17.25" customHeight="1" thickBot="1">
      <c r="A1253" s="740" t="n">
        <v>43385</v>
      </c>
      <c r="B1253" s="299" t="inlineStr">
        <is>
          <t>FIMTX</t>
        </is>
      </c>
      <c r="C1253" s="300" t="inlineStr">
        <is>
          <t>小指10</t>
        </is>
      </c>
      <c r="D1253" s="300" t="inlineStr">
        <is>
          <t>平倉</t>
        </is>
      </c>
      <c r="E1253" s="301" t="inlineStr">
        <is>
          <t>賣</t>
        </is>
      </c>
      <c r="F1253" s="300" t="inlineStr">
        <is>
          <t>-</t>
        </is>
      </c>
      <c r="G1253" s="741" t="n">
        <v>2</v>
      </c>
      <c r="H1253" s="741" t="n">
        <v>9902</v>
      </c>
      <c r="I1253" s="741" t="n">
        <v>0</v>
      </c>
      <c r="J1253" s="742" t="n">
        <v>46</v>
      </c>
      <c r="K1253" s="742" t="n">
        <v>20</v>
      </c>
      <c r="L1253" s="742">
        <f>IF(B1253="TXO",I1253-SUM(J1253:K1253),IF(B1253="FITX",IF(D1253="新倉",-SUM(J1253:K1253),IF(E1253="賣",(H1253-H1252)*G1253*200-SUM(J1253:K1253),(H1252-H1253)*G1253*200-SUM(J1253:K1253))),IF(D1253="新倉",-SUM(J1253:K1253),IF(E1253="賣",(H1253-H1252)*G1253*50-SUM(J1253:K1253),(H1252-H1253)*G1253*50-SUM(J1253:K1253)))))</f>
        <v/>
      </c>
      <c r="M1253" s="743">
        <f>L1253</f>
        <v/>
      </c>
      <c r="N1253" s="686">
        <f>IF(B1253="TXO","",IF(D1253="新倉","",IF(E1253="賣",(H1253-H1252)*G1253,(H1252-H1253)*G1253)))</f>
        <v/>
      </c>
      <c r="O1253" s="226" t="n">
        <v>0</v>
      </c>
      <c r="P1253" s="667" t="n"/>
      <c r="S1253" s="249" t="n"/>
      <c r="T1253" s="61">
        <f>IF(AND(R1253="Yes",S1253&lt;&gt;"Yes",L1253&gt;0,B1253&lt;&gt;"TXO"),L1253,"")</f>
        <v/>
      </c>
      <c r="U1253" s="61">
        <f>IF(AND(R1253="Yes",S1253&lt;&gt;"Yes",L1253&lt;0,B1253&lt;&gt;"TXO"),L1253,"")</f>
        <v/>
      </c>
      <c r="V1253" s="61">
        <f>IF(AND(R1253="",S1253&lt;&gt;"Yes",L1253&gt;0,B1253&lt;&gt;"TXO"),L1253,"")</f>
        <v/>
      </c>
      <c r="W1253" s="61">
        <f>IF(AND(R1253="",S1253&lt;&gt;"Yes",L1253&lt;0,B1253&lt;&gt;"TXO"),L1253,"")</f>
        <v/>
      </c>
      <c r="X1253" s="226">
        <f>IF(AND(R1253="Yes",S1253="Yes",L1253&gt;0,B1253&lt;&gt;"TXO"),L1253,"")</f>
        <v/>
      </c>
      <c r="Y1253" s="226">
        <f>IF(AND(R1253="Yes",S1253="Yes",L1253&lt;0,B1253&lt;&gt;"TXO"),L1253,"")</f>
        <v/>
      </c>
      <c r="Z1253" s="226">
        <f>IF(AND(R1253="",S1253="Yes",L1253&gt;0,B1253&lt;&gt;"TXO"),L1253,"")</f>
        <v/>
      </c>
      <c r="AA1253" s="226">
        <f>IF(AND(R1253="",S1253="Yes",L1253&lt;0,B1253&lt;&gt;"TXO"),L1253,"")</f>
        <v/>
      </c>
    </row>
    <row r="1254" hidden="1" outlineLevel="2" collapsed="1" ht="17.25" customHeight="1" thickBot="1">
      <c r="A1254" s="740" t="n">
        <v>43385</v>
      </c>
      <c r="B1254" s="299" t="inlineStr">
        <is>
          <t>FIMTX</t>
        </is>
      </c>
      <c r="C1254" s="300" t="inlineStr">
        <is>
          <t>小指10</t>
        </is>
      </c>
      <c r="D1254" s="300" t="inlineStr">
        <is>
          <t>新倉</t>
        </is>
      </c>
      <c r="E1254" s="301" t="inlineStr">
        <is>
          <t>買</t>
        </is>
      </c>
      <c r="F1254" s="300" t="inlineStr">
        <is>
          <t>-</t>
        </is>
      </c>
      <c r="G1254" s="741" t="n">
        <v>2</v>
      </c>
      <c r="H1254" s="741" t="n">
        <v>9920</v>
      </c>
      <c r="I1254" s="741" t="n">
        <v>0</v>
      </c>
      <c r="J1254" s="742" t="n">
        <v>46</v>
      </c>
      <c r="K1254" s="742" t="n">
        <v>20</v>
      </c>
      <c r="L1254" s="742">
        <f>IF(B1254="TXO",I1254-SUM(J1254:K1254),IF(B1254="FITX",IF(D1254="新倉",-SUM(J1254:K1254),IF(E1254="賣",(H1254-H1253)*G1254*200-SUM(J1254:K1254),(H1253-H1254)*G1254*200-SUM(J1254:K1254))),IF(D1254="新倉",-SUM(J1254:K1254),IF(E1254="賣",(H1254-H1253)*G1254*50-SUM(J1254:K1254),(H1253-H1254)*G1254*50-SUM(J1254:K1254)))))</f>
        <v/>
      </c>
      <c r="M1254" s="743">
        <f>L1254</f>
        <v/>
      </c>
      <c r="N1254" s="686">
        <f>IF(B1254="TXO","",IF(D1254="新倉","",IF(E1254="賣",(H1254-H1253)*G1254,(H1253-H1254)*G1254)))</f>
        <v/>
      </c>
      <c r="O1254" s="226" t="n">
        <v>0</v>
      </c>
      <c r="P1254" s="667" t="n"/>
      <c r="S1254" s="249" t="n"/>
      <c r="T1254" s="61">
        <f>IF(AND(R1254="Yes",S1254&lt;&gt;"Yes",L1254&gt;0,B1254&lt;&gt;"TXO"),L1254,"")</f>
        <v/>
      </c>
      <c r="U1254" s="61">
        <f>IF(AND(R1254="Yes",S1254&lt;&gt;"Yes",L1254&lt;0,B1254&lt;&gt;"TXO"),L1254,"")</f>
        <v/>
      </c>
      <c r="V1254" s="61">
        <f>IF(AND(R1254="",S1254&lt;&gt;"Yes",L1254&gt;0,B1254&lt;&gt;"TXO"),L1254,"")</f>
        <v/>
      </c>
      <c r="W1254" s="61">
        <f>IF(AND(R1254="",S1254&lt;&gt;"Yes",L1254&lt;0,B1254&lt;&gt;"TXO"),L1254,"")</f>
        <v/>
      </c>
      <c r="X1254" s="226">
        <f>IF(AND(R1254="Yes",S1254="Yes",L1254&gt;0,B1254&lt;&gt;"TXO"),L1254,"")</f>
        <v/>
      </c>
      <c r="Y1254" s="226">
        <f>IF(AND(R1254="Yes",S1254="Yes",L1254&lt;0,B1254&lt;&gt;"TXO"),L1254,"")</f>
        <v/>
      </c>
      <c r="Z1254" s="226">
        <f>IF(AND(R1254="",S1254="Yes",L1254&gt;0,B1254&lt;&gt;"TXO"),L1254,"")</f>
        <v/>
      </c>
      <c r="AA1254" s="226">
        <f>IF(AND(R1254="",S1254="Yes",L1254&lt;0,B1254&lt;&gt;"TXO"),L1254,"")</f>
        <v/>
      </c>
    </row>
    <row r="1255" hidden="1" outlineLevel="2" collapsed="1" ht="17.25" customHeight="1" thickBot="1">
      <c r="A1255" s="740" t="n">
        <v>43385</v>
      </c>
      <c r="B1255" s="299" t="inlineStr">
        <is>
          <t>FIMTX</t>
        </is>
      </c>
      <c r="C1255" s="300" t="inlineStr">
        <is>
          <t>小指10</t>
        </is>
      </c>
      <c r="D1255" s="300" t="inlineStr">
        <is>
          <t>平倉</t>
        </is>
      </c>
      <c r="E1255" s="301" t="inlineStr">
        <is>
          <t>賣</t>
        </is>
      </c>
      <c r="F1255" s="300" t="inlineStr">
        <is>
          <t>-</t>
        </is>
      </c>
      <c r="G1255" s="741" t="n">
        <v>2</v>
      </c>
      <c r="H1255" s="741" t="n">
        <v>9929</v>
      </c>
      <c r="I1255" s="741" t="n">
        <v>0</v>
      </c>
      <c r="J1255" s="742" t="n">
        <v>46</v>
      </c>
      <c r="K1255" s="742" t="n">
        <v>20</v>
      </c>
      <c r="L1255" s="742">
        <f>IF(B1255="TXO",I1255-SUM(J1255:K1255),IF(B1255="FITX",IF(D1255="新倉",-SUM(J1255:K1255),IF(E1255="賣",(H1255-H1254)*G1255*200-SUM(J1255:K1255),(H1254-H1255)*G1255*200-SUM(J1255:K1255))),IF(D1255="新倉",-SUM(J1255:K1255),IF(E1255="賣",(H1255-H1254)*G1255*50-SUM(J1255:K1255),(H1254-H1255)*G1255*50-SUM(J1255:K1255)))))</f>
        <v/>
      </c>
      <c r="M1255" s="743">
        <f>L1255</f>
        <v/>
      </c>
      <c r="N1255" s="686">
        <f>IF(B1255="TXO","",IF(D1255="新倉","",IF(E1255="賣",(H1255-H1254)*G1255,(H1254-H1255)*G1255)))</f>
        <v/>
      </c>
      <c r="O1255" s="226" t="n">
        <v>0</v>
      </c>
      <c r="P1255" s="667" t="n"/>
      <c r="S1255" s="249" t="n"/>
      <c r="T1255" s="61">
        <f>IF(AND(R1255="Yes",S1255&lt;&gt;"Yes",L1255&gt;0,B1255&lt;&gt;"TXO"),L1255,"")</f>
        <v/>
      </c>
      <c r="U1255" s="61">
        <f>IF(AND(R1255="Yes",S1255&lt;&gt;"Yes",L1255&lt;0,B1255&lt;&gt;"TXO"),L1255,"")</f>
        <v/>
      </c>
      <c r="V1255" s="61">
        <f>IF(AND(R1255="",S1255&lt;&gt;"Yes",L1255&gt;0,B1255&lt;&gt;"TXO"),L1255,"")</f>
        <v/>
      </c>
      <c r="W1255" s="61">
        <f>IF(AND(R1255="",S1255&lt;&gt;"Yes",L1255&lt;0,B1255&lt;&gt;"TXO"),L1255,"")</f>
        <v/>
      </c>
      <c r="X1255" s="226">
        <f>IF(AND(R1255="Yes",S1255="Yes",L1255&gt;0,B1255&lt;&gt;"TXO"),L1255,"")</f>
        <v/>
      </c>
      <c r="Y1255" s="226">
        <f>IF(AND(R1255="Yes",S1255="Yes",L1255&lt;0,B1255&lt;&gt;"TXO"),L1255,"")</f>
        <v/>
      </c>
      <c r="Z1255" s="226">
        <f>IF(AND(R1255="",S1255="Yes",L1255&gt;0,B1255&lt;&gt;"TXO"),L1255,"")</f>
        <v/>
      </c>
      <c r="AA1255" s="226">
        <f>IF(AND(R1255="",S1255="Yes",L1255&lt;0,B1255&lt;&gt;"TXO"),L1255,"")</f>
        <v/>
      </c>
    </row>
    <row r="1256" hidden="1" outlineLevel="2" collapsed="1" ht="17.25" customHeight="1" thickBot="1">
      <c r="A1256" s="740" t="n">
        <v>43385</v>
      </c>
      <c r="B1256" s="299" t="inlineStr">
        <is>
          <t>FIMTX</t>
        </is>
      </c>
      <c r="C1256" s="300" t="inlineStr">
        <is>
          <t>小指10</t>
        </is>
      </c>
      <c r="D1256" s="300" t="inlineStr">
        <is>
          <t>新倉</t>
        </is>
      </c>
      <c r="E1256" s="301" t="inlineStr">
        <is>
          <t>買</t>
        </is>
      </c>
      <c r="F1256" s="300" t="inlineStr">
        <is>
          <t>-</t>
        </is>
      </c>
      <c r="G1256" s="741" t="n">
        <v>2</v>
      </c>
      <c r="H1256" s="741" t="n">
        <v>9942</v>
      </c>
      <c r="I1256" s="741" t="n">
        <v>0</v>
      </c>
      <c r="J1256" s="742" t="n">
        <v>46</v>
      </c>
      <c r="K1256" s="742" t="n">
        <v>20</v>
      </c>
      <c r="L1256" s="742">
        <f>IF(B1256="TXO",I1256-SUM(J1256:K1256),IF(B1256="FITX",IF(D1256="新倉",-SUM(J1256:K1256),IF(E1256="賣",(H1256-H1255)*G1256*200-SUM(J1256:K1256),(H1255-H1256)*G1256*200-SUM(J1256:K1256))),IF(D1256="新倉",-SUM(J1256:K1256),IF(E1256="賣",(H1256-H1255)*G1256*50-SUM(J1256:K1256),(H1255-H1256)*G1256*50-SUM(J1256:K1256)))))</f>
        <v/>
      </c>
      <c r="M1256" s="743">
        <f>L1256</f>
        <v/>
      </c>
      <c r="N1256" s="686">
        <f>IF(B1256="TXO","",IF(D1256="新倉","",IF(E1256="賣",(H1256-H1255)*G1256,(H1255-H1256)*G1256)))</f>
        <v/>
      </c>
      <c r="O1256" s="226" t="n">
        <v>0</v>
      </c>
      <c r="P1256" s="667" t="n"/>
      <c r="S1256" s="249" t="n"/>
      <c r="T1256" s="61">
        <f>IF(AND(R1256="Yes",S1256&lt;&gt;"Yes",L1256&gt;0,B1256&lt;&gt;"TXO"),L1256,"")</f>
        <v/>
      </c>
      <c r="U1256" s="61">
        <f>IF(AND(R1256="Yes",S1256&lt;&gt;"Yes",L1256&lt;0,B1256&lt;&gt;"TXO"),L1256,"")</f>
        <v/>
      </c>
      <c r="V1256" s="61">
        <f>IF(AND(R1256="",S1256&lt;&gt;"Yes",L1256&gt;0,B1256&lt;&gt;"TXO"),L1256,"")</f>
        <v/>
      </c>
      <c r="W1256" s="61">
        <f>IF(AND(R1256="",S1256&lt;&gt;"Yes",L1256&lt;0,B1256&lt;&gt;"TXO"),L1256,"")</f>
        <v/>
      </c>
      <c r="X1256" s="226">
        <f>IF(AND(R1256="Yes",S1256="Yes",L1256&gt;0,B1256&lt;&gt;"TXO"),L1256,"")</f>
        <v/>
      </c>
      <c r="Y1256" s="226">
        <f>IF(AND(R1256="Yes",S1256="Yes",L1256&lt;0,B1256&lt;&gt;"TXO"),L1256,"")</f>
        <v/>
      </c>
      <c r="Z1256" s="226">
        <f>IF(AND(R1256="",S1256="Yes",L1256&gt;0,B1256&lt;&gt;"TXO"),L1256,"")</f>
        <v/>
      </c>
      <c r="AA1256" s="226">
        <f>IF(AND(R1256="",S1256="Yes",L1256&lt;0,B1256&lt;&gt;"TXO"),L1256,"")</f>
        <v/>
      </c>
    </row>
    <row r="1257" hidden="1" outlineLevel="2" collapsed="1" ht="17.25" customHeight="1" thickBot="1">
      <c r="A1257" s="740" t="n">
        <v>43385</v>
      </c>
      <c r="B1257" s="299" t="inlineStr">
        <is>
          <t>FIMTX</t>
        </is>
      </c>
      <c r="C1257" s="300" t="inlineStr">
        <is>
          <t>小指10</t>
        </is>
      </c>
      <c r="D1257" s="300" t="inlineStr">
        <is>
          <t>平倉</t>
        </is>
      </c>
      <c r="E1257" s="301" t="inlineStr">
        <is>
          <t>賣</t>
        </is>
      </c>
      <c r="F1257" s="300" t="inlineStr">
        <is>
          <t>-</t>
        </is>
      </c>
      <c r="G1257" s="741" t="n">
        <v>2</v>
      </c>
      <c r="H1257" s="741" t="n">
        <v>9926</v>
      </c>
      <c r="I1257" s="741" t="n">
        <v>0</v>
      </c>
      <c r="J1257" s="742" t="n">
        <v>46</v>
      </c>
      <c r="K1257" s="742" t="n">
        <v>20</v>
      </c>
      <c r="L1257" s="742">
        <f>IF(B1257="TXO",I1257-SUM(J1257:K1257),IF(B1257="FITX",IF(D1257="新倉",-SUM(J1257:K1257),IF(E1257="賣",(H1257-H1256)*G1257*200-SUM(J1257:K1257),(H1256-H1257)*G1257*200-SUM(J1257:K1257))),IF(D1257="新倉",-SUM(J1257:K1257),IF(E1257="賣",(H1257-H1256)*G1257*50-SUM(J1257:K1257),(H1256-H1257)*G1257*50-SUM(J1257:K1257)))))</f>
        <v/>
      </c>
      <c r="M1257" s="743">
        <f>L1257</f>
        <v/>
      </c>
      <c r="N1257" s="686">
        <f>IF(B1257="TXO","",IF(D1257="新倉","",IF(E1257="賣",(H1257-H1256)*G1257,(H1256-H1257)*G1257)))</f>
        <v/>
      </c>
      <c r="O1257" s="226" t="n">
        <v>0</v>
      </c>
      <c r="P1257" s="667" t="n"/>
      <c r="S1257" s="249" t="n"/>
      <c r="T1257" s="61">
        <f>IF(AND(R1257="Yes",S1257&lt;&gt;"Yes",L1257&gt;0,B1257&lt;&gt;"TXO"),L1257,"")</f>
        <v/>
      </c>
      <c r="U1257" s="61">
        <f>IF(AND(R1257="Yes",S1257&lt;&gt;"Yes",L1257&lt;0,B1257&lt;&gt;"TXO"),L1257,"")</f>
        <v/>
      </c>
      <c r="V1257" s="61">
        <f>IF(AND(R1257="",S1257&lt;&gt;"Yes",L1257&gt;0,B1257&lt;&gt;"TXO"),L1257,"")</f>
        <v/>
      </c>
      <c r="W1257" s="61">
        <f>IF(AND(R1257="",S1257&lt;&gt;"Yes",L1257&lt;0,B1257&lt;&gt;"TXO"),L1257,"")</f>
        <v/>
      </c>
      <c r="X1257" s="226">
        <f>IF(AND(R1257="Yes",S1257="Yes",L1257&gt;0,B1257&lt;&gt;"TXO"),L1257,"")</f>
        <v/>
      </c>
      <c r="Y1257" s="226">
        <f>IF(AND(R1257="Yes",S1257="Yes",L1257&lt;0,B1257&lt;&gt;"TXO"),L1257,"")</f>
        <v/>
      </c>
      <c r="Z1257" s="226">
        <f>IF(AND(R1257="",S1257="Yes",L1257&gt;0,B1257&lt;&gt;"TXO"),L1257,"")</f>
        <v/>
      </c>
      <c r="AA1257" s="226">
        <f>IF(AND(R1257="",S1257="Yes",L1257&lt;0,B1257&lt;&gt;"TXO"),L1257,"")</f>
        <v/>
      </c>
    </row>
    <row r="1258" hidden="1" outlineLevel="2" collapsed="1" ht="17.25" customHeight="1" thickBot="1">
      <c r="A1258" s="740" t="n">
        <v>43385</v>
      </c>
      <c r="B1258" s="299" t="inlineStr">
        <is>
          <t>FIMTX</t>
        </is>
      </c>
      <c r="C1258" s="300" t="inlineStr">
        <is>
          <t>小指10</t>
        </is>
      </c>
      <c r="D1258" s="300" t="inlineStr">
        <is>
          <t>新倉</t>
        </is>
      </c>
      <c r="E1258" s="301" t="inlineStr">
        <is>
          <t>買</t>
        </is>
      </c>
      <c r="F1258" s="300" t="inlineStr">
        <is>
          <t>-</t>
        </is>
      </c>
      <c r="G1258" s="741" t="n">
        <v>2</v>
      </c>
      <c r="H1258" s="741" t="n">
        <v>9937</v>
      </c>
      <c r="I1258" s="741" t="n">
        <v>0</v>
      </c>
      <c r="J1258" s="742" t="n">
        <v>46</v>
      </c>
      <c r="K1258" s="742" t="n">
        <v>20</v>
      </c>
      <c r="L1258" s="742">
        <f>IF(B1258="TXO",I1258-SUM(J1258:K1258),IF(B1258="FITX",IF(D1258="新倉",-SUM(J1258:K1258),IF(E1258="賣",(H1258-H1257)*G1258*200-SUM(J1258:K1258),(H1257-H1258)*G1258*200-SUM(J1258:K1258))),IF(D1258="新倉",-SUM(J1258:K1258),IF(E1258="賣",(H1258-H1257)*G1258*50-SUM(J1258:K1258),(H1257-H1258)*G1258*50-SUM(J1258:K1258)))))</f>
        <v/>
      </c>
      <c r="M1258" s="743">
        <f>L1258</f>
        <v/>
      </c>
      <c r="N1258" s="686">
        <f>IF(B1258="TXO","",IF(D1258="新倉","",IF(E1258="賣",(H1258-H1257)*G1258,(H1257-H1258)*G1258)))</f>
        <v/>
      </c>
      <c r="O1258" s="226" t="n">
        <v>0</v>
      </c>
      <c r="P1258" s="667" t="n"/>
      <c r="S1258" s="249" t="n"/>
      <c r="T1258" s="61">
        <f>IF(AND(R1258="Yes",S1258&lt;&gt;"Yes",L1258&gt;0,B1258&lt;&gt;"TXO"),L1258,"")</f>
        <v/>
      </c>
      <c r="U1258" s="61">
        <f>IF(AND(R1258="Yes",S1258&lt;&gt;"Yes",L1258&lt;0,B1258&lt;&gt;"TXO"),L1258,"")</f>
        <v/>
      </c>
      <c r="V1258" s="61">
        <f>IF(AND(R1258="",S1258&lt;&gt;"Yes",L1258&gt;0,B1258&lt;&gt;"TXO"),L1258,"")</f>
        <v/>
      </c>
      <c r="W1258" s="61">
        <f>IF(AND(R1258="",S1258&lt;&gt;"Yes",L1258&lt;0,B1258&lt;&gt;"TXO"),L1258,"")</f>
        <v/>
      </c>
      <c r="X1258" s="226">
        <f>IF(AND(R1258="Yes",S1258="Yes",L1258&gt;0,B1258&lt;&gt;"TXO"),L1258,"")</f>
        <v/>
      </c>
      <c r="Y1258" s="226">
        <f>IF(AND(R1258="Yes",S1258="Yes",L1258&lt;0,B1258&lt;&gt;"TXO"),L1258,"")</f>
        <v/>
      </c>
      <c r="Z1258" s="226">
        <f>IF(AND(R1258="",S1258="Yes",L1258&gt;0,B1258&lt;&gt;"TXO"),L1258,"")</f>
        <v/>
      </c>
      <c r="AA1258" s="226">
        <f>IF(AND(R1258="",S1258="Yes",L1258&lt;0,B1258&lt;&gt;"TXO"),L1258,"")</f>
        <v/>
      </c>
    </row>
    <row r="1259" hidden="1" outlineLevel="2" collapsed="1" ht="17.25" customHeight="1" thickBot="1">
      <c r="A1259" s="740" t="n">
        <v>43385</v>
      </c>
      <c r="B1259" s="299" t="inlineStr">
        <is>
          <t>FIMTX</t>
        </is>
      </c>
      <c r="C1259" s="300" t="inlineStr">
        <is>
          <t>小指10</t>
        </is>
      </c>
      <c r="D1259" s="300" t="inlineStr">
        <is>
          <t>平倉</t>
        </is>
      </c>
      <c r="E1259" s="301" t="inlineStr">
        <is>
          <t>賣</t>
        </is>
      </c>
      <c r="F1259" s="300" t="inlineStr">
        <is>
          <t>-</t>
        </is>
      </c>
      <c r="G1259" s="741" t="n">
        <v>2</v>
      </c>
      <c r="H1259" s="741" t="n">
        <v>9940</v>
      </c>
      <c r="I1259" s="741" t="n">
        <v>0</v>
      </c>
      <c r="J1259" s="742" t="n">
        <v>46</v>
      </c>
      <c r="K1259" s="742" t="n">
        <v>20</v>
      </c>
      <c r="L1259" s="742">
        <f>IF(B1259="TXO",I1259-SUM(J1259:K1259),IF(B1259="FITX",IF(D1259="新倉",-SUM(J1259:K1259),IF(E1259="賣",(H1259-H1258)*G1259*200-SUM(J1259:K1259),(H1258-H1259)*G1259*200-SUM(J1259:K1259))),IF(D1259="新倉",-SUM(J1259:K1259),IF(E1259="賣",(H1259-H1258)*G1259*50-SUM(J1259:K1259),(H1258-H1259)*G1259*50-SUM(J1259:K1259)))))</f>
        <v/>
      </c>
      <c r="M1259" s="743">
        <f>L1259</f>
        <v/>
      </c>
      <c r="N1259" s="686">
        <f>IF(B1259="TXO","",IF(D1259="新倉","",IF(E1259="賣",(H1259-H1258)*G1259,(H1258-H1259)*G1259)))</f>
        <v/>
      </c>
      <c r="O1259" s="226" t="n">
        <v>0</v>
      </c>
      <c r="P1259" s="667" t="n"/>
      <c r="S1259" s="249" t="n"/>
      <c r="T1259" s="61">
        <f>IF(AND(R1259="Yes",S1259&lt;&gt;"Yes",L1259&gt;0,B1259&lt;&gt;"TXO"),L1259,"")</f>
        <v/>
      </c>
      <c r="U1259" s="61">
        <f>IF(AND(R1259="Yes",S1259&lt;&gt;"Yes",L1259&lt;0,B1259&lt;&gt;"TXO"),L1259,"")</f>
        <v/>
      </c>
      <c r="V1259" s="61">
        <f>IF(AND(R1259="",S1259&lt;&gt;"Yes",L1259&gt;0,B1259&lt;&gt;"TXO"),L1259,"")</f>
        <v/>
      </c>
      <c r="W1259" s="61">
        <f>IF(AND(R1259="",S1259&lt;&gt;"Yes",L1259&lt;0,B1259&lt;&gt;"TXO"),L1259,"")</f>
        <v/>
      </c>
      <c r="X1259" s="226">
        <f>IF(AND(R1259="Yes",S1259="Yes",L1259&gt;0,B1259&lt;&gt;"TXO"),L1259,"")</f>
        <v/>
      </c>
      <c r="Y1259" s="226">
        <f>IF(AND(R1259="Yes",S1259="Yes",L1259&lt;0,B1259&lt;&gt;"TXO"),L1259,"")</f>
        <v/>
      </c>
      <c r="Z1259" s="226">
        <f>IF(AND(R1259="",S1259="Yes",L1259&gt;0,B1259&lt;&gt;"TXO"),L1259,"")</f>
        <v/>
      </c>
      <c r="AA1259" s="226">
        <f>IF(AND(R1259="",S1259="Yes",L1259&lt;0,B1259&lt;&gt;"TXO"),L1259,"")</f>
        <v/>
      </c>
    </row>
    <row r="1260" hidden="1" outlineLevel="2" collapsed="1" ht="17.25" customHeight="1" thickBot="1">
      <c r="A1260" s="740" t="n">
        <v>43385</v>
      </c>
      <c r="B1260" s="299" t="inlineStr">
        <is>
          <t>FIMTX</t>
        </is>
      </c>
      <c r="C1260" s="300" t="inlineStr">
        <is>
          <t>小指10</t>
        </is>
      </c>
      <c r="D1260" s="300" t="inlineStr">
        <is>
          <t>新倉</t>
        </is>
      </c>
      <c r="E1260" s="301" t="inlineStr">
        <is>
          <t>買</t>
        </is>
      </c>
      <c r="F1260" s="300" t="inlineStr">
        <is>
          <t>-</t>
        </is>
      </c>
      <c r="G1260" s="741" t="n">
        <v>2</v>
      </c>
      <c r="H1260" s="741" t="n">
        <v>9945</v>
      </c>
      <c r="I1260" s="741" t="n">
        <v>0</v>
      </c>
      <c r="J1260" s="742" t="n">
        <v>46</v>
      </c>
      <c r="K1260" s="742" t="n">
        <v>20</v>
      </c>
      <c r="L1260" s="742">
        <f>IF(B1260="TXO",I1260-SUM(J1260:K1260),IF(B1260="FITX",IF(D1260="新倉",-SUM(J1260:K1260),IF(E1260="賣",(H1260-H1259)*G1260*200-SUM(J1260:K1260),(H1259-H1260)*G1260*200-SUM(J1260:K1260))),IF(D1260="新倉",-SUM(J1260:K1260),IF(E1260="賣",(H1260-H1259)*G1260*50-SUM(J1260:K1260),(H1259-H1260)*G1260*50-SUM(J1260:K1260)))))</f>
        <v/>
      </c>
      <c r="M1260" s="743">
        <f>L1260</f>
        <v/>
      </c>
      <c r="N1260" s="686">
        <f>IF(B1260="TXO","",IF(D1260="新倉","",IF(E1260="賣",(H1260-H1259)*G1260,(H1259-H1260)*G1260)))</f>
        <v/>
      </c>
      <c r="O1260" s="226" t="n">
        <v>0</v>
      </c>
      <c r="P1260" s="667" t="n"/>
      <c r="S1260" s="249" t="n"/>
      <c r="T1260" s="61">
        <f>IF(AND(R1260="Yes",S1260&lt;&gt;"Yes",L1260&gt;0,B1260&lt;&gt;"TXO"),L1260,"")</f>
        <v/>
      </c>
      <c r="U1260" s="61">
        <f>IF(AND(R1260="Yes",S1260&lt;&gt;"Yes",L1260&lt;0,B1260&lt;&gt;"TXO"),L1260,"")</f>
        <v/>
      </c>
      <c r="V1260" s="61">
        <f>IF(AND(R1260="",S1260&lt;&gt;"Yes",L1260&gt;0,B1260&lt;&gt;"TXO"),L1260,"")</f>
        <v/>
      </c>
      <c r="W1260" s="61">
        <f>IF(AND(R1260="",S1260&lt;&gt;"Yes",L1260&lt;0,B1260&lt;&gt;"TXO"),L1260,"")</f>
        <v/>
      </c>
      <c r="X1260" s="226">
        <f>IF(AND(R1260="Yes",S1260="Yes",L1260&gt;0,B1260&lt;&gt;"TXO"),L1260,"")</f>
        <v/>
      </c>
      <c r="Y1260" s="226">
        <f>IF(AND(R1260="Yes",S1260="Yes",L1260&lt;0,B1260&lt;&gt;"TXO"),L1260,"")</f>
        <v/>
      </c>
      <c r="Z1260" s="226">
        <f>IF(AND(R1260="",S1260="Yes",L1260&gt;0,B1260&lt;&gt;"TXO"),L1260,"")</f>
        <v/>
      </c>
      <c r="AA1260" s="226">
        <f>IF(AND(R1260="",S1260="Yes",L1260&lt;0,B1260&lt;&gt;"TXO"),L1260,"")</f>
        <v/>
      </c>
    </row>
    <row r="1261" hidden="1" outlineLevel="2" collapsed="1" ht="17.25" customHeight="1" thickBot="1">
      <c r="A1261" s="740" t="n">
        <v>43385</v>
      </c>
      <c r="B1261" s="299" t="inlineStr">
        <is>
          <t>FIMTX</t>
        </is>
      </c>
      <c r="C1261" s="300" t="inlineStr">
        <is>
          <t>小指10</t>
        </is>
      </c>
      <c r="D1261" s="300" t="inlineStr">
        <is>
          <t>平倉</t>
        </is>
      </c>
      <c r="E1261" s="301" t="inlineStr">
        <is>
          <t>賣</t>
        </is>
      </c>
      <c r="F1261" s="300" t="inlineStr">
        <is>
          <t>-</t>
        </is>
      </c>
      <c r="G1261" s="741" t="n">
        <v>2</v>
      </c>
      <c r="H1261" s="741" t="n">
        <v>9951</v>
      </c>
      <c r="I1261" s="741" t="n">
        <v>0</v>
      </c>
      <c r="J1261" s="742" t="n">
        <v>46</v>
      </c>
      <c r="K1261" s="742" t="n">
        <v>20</v>
      </c>
      <c r="L1261" s="742">
        <f>IF(B1261="TXO",I1261-SUM(J1261:K1261),IF(B1261="FITX",IF(D1261="新倉",-SUM(J1261:K1261),IF(E1261="賣",(H1261-H1260)*G1261*200-SUM(J1261:K1261),(H1260-H1261)*G1261*200-SUM(J1261:K1261))),IF(D1261="新倉",-SUM(J1261:K1261),IF(E1261="賣",(H1261-H1260)*G1261*50-SUM(J1261:K1261),(H1260-H1261)*G1261*50-SUM(J1261:K1261)))))</f>
        <v/>
      </c>
      <c r="M1261" s="743">
        <f>L1261</f>
        <v/>
      </c>
      <c r="N1261" s="686">
        <f>IF(B1261="TXO","",IF(D1261="新倉","",IF(E1261="賣",(H1261-H1260)*G1261,(H1260-H1261)*G1261)))</f>
        <v/>
      </c>
      <c r="O1261" s="226" t="n">
        <v>0</v>
      </c>
      <c r="P1261" s="667" t="n"/>
      <c r="S1261" s="249" t="n"/>
      <c r="T1261" s="61">
        <f>IF(AND(R1261="Yes",S1261&lt;&gt;"Yes",L1261&gt;0,B1261&lt;&gt;"TXO"),L1261,"")</f>
        <v/>
      </c>
      <c r="U1261" s="61">
        <f>IF(AND(R1261="Yes",S1261&lt;&gt;"Yes",L1261&lt;0,B1261&lt;&gt;"TXO"),L1261,"")</f>
        <v/>
      </c>
      <c r="V1261" s="61">
        <f>IF(AND(R1261="",S1261&lt;&gt;"Yes",L1261&gt;0,B1261&lt;&gt;"TXO"),L1261,"")</f>
        <v/>
      </c>
      <c r="W1261" s="61">
        <f>IF(AND(R1261="",S1261&lt;&gt;"Yes",L1261&lt;0,B1261&lt;&gt;"TXO"),L1261,"")</f>
        <v/>
      </c>
      <c r="X1261" s="226">
        <f>IF(AND(R1261="Yes",S1261="Yes",L1261&gt;0,B1261&lt;&gt;"TXO"),L1261,"")</f>
        <v/>
      </c>
      <c r="Y1261" s="226">
        <f>IF(AND(R1261="Yes",S1261="Yes",L1261&lt;0,B1261&lt;&gt;"TXO"),L1261,"")</f>
        <v/>
      </c>
      <c r="Z1261" s="226">
        <f>IF(AND(R1261="",S1261="Yes",L1261&gt;0,B1261&lt;&gt;"TXO"),L1261,"")</f>
        <v/>
      </c>
      <c r="AA1261" s="226">
        <f>IF(AND(R1261="",S1261="Yes",L1261&lt;0,B1261&lt;&gt;"TXO"),L1261,"")</f>
        <v/>
      </c>
    </row>
    <row r="1262" hidden="1" outlineLevel="2" collapsed="1" ht="17.25" customHeight="1" thickBot="1">
      <c r="A1262" s="740" t="n">
        <v>43385</v>
      </c>
      <c r="B1262" s="299" t="inlineStr">
        <is>
          <t>FIMTX</t>
        </is>
      </c>
      <c r="C1262" s="300" t="inlineStr">
        <is>
          <t>小指10</t>
        </is>
      </c>
      <c r="D1262" s="300" t="inlineStr">
        <is>
          <t>新倉</t>
        </is>
      </c>
      <c r="E1262" s="301" t="inlineStr">
        <is>
          <t>買</t>
        </is>
      </c>
      <c r="F1262" s="300" t="inlineStr">
        <is>
          <t>-</t>
        </is>
      </c>
      <c r="G1262" s="741" t="n">
        <v>2</v>
      </c>
      <c r="H1262" s="741" t="n">
        <v>9963</v>
      </c>
      <c r="I1262" s="741" t="n">
        <v>0</v>
      </c>
      <c r="J1262" s="742" t="n">
        <v>46</v>
      </c>
      <c r="K1262" s="742" t="n">
        <v>20</v>
      </c>
      <c r="L1262" s="742">
        <f>IF(B1262="TXO",I1262-SUM(J1262:K1262),IF(B1262="FITX",IF(D1262="新倉",-SUM(J1262:K1262),IF(E1262="賣",(H1262-H1261)*G1262*200-SUM(J1262:K1262),(H1261-H1262)*G1262*200-SUM(J1262:K1262))),IF(D1262="新倉",-SUM(J1262:K1262),IF(E1262="賣",(H1262-H1261)*G1262*50-SUM(J1262:K1262),(H1261-H1262)*G1262*50-SUM(J1262:K1262)))))</f>
        <v/>
      </c>
      <c r="M1262" s="743">
        <f>L1262</f>
        <v/>
      </c>
      <c r="N1262" s="686">
        <f>IF(B1262="TXO","",IF(D1262="新倉","",IF(E1262="賣",(H1262-H1261)*G1262,(H1261-H1262)*G1262)))</f>
        <v/>
      </c>
      <c r="O1262" s="226" t="n">
        <v>0</v>
      </c>
      <c r="P1262" s="667" t="n"/>
      <c r="S1262" s="249" t="n"/>
      <c r="T1262" s="61">
        <f>IF(AND(R1262="Yes",S1262&lt;&gt;"Yes",L1262&gt;0,B1262&lt;&gt;"TXO"),L1262,"")</f>
        <v/>
      </c>
      <c r="U1262" s="61">
        <f>IF(AND(R1262="Yes",S1262&lt;&gt;"Yes",L1262&lt;0,B1262&lt;&gt;"TXO"),L1262,"")</f>
        <v/>
      </c>
      <c r="V1262" s="61">
        <f>IF(AND(R1262="",S1262&lt;&gt;"Yes",L1262&gt;0,B1262&lt;&gt;"TXO"),L1262,"")</f>
        <v/>
      </c>
      <c r="W1262" s="61">
        <f>IF(AND(R1262="",S1262&lt;&gt;"Yes",L1262&lt;0,B1262&lt;&gt;"TXO"),L1262,"")</f>
        <v/>
      </c>
      <c r="X1262" s="226">
        <f>IF(AND(R1262="Yes",S1262="Yes",L1262&gt;0,B1262&lt;&gt;"TXO"),L1262,"")</f>
        <v/>
      </c>
      <c r="Y1262" s="226">
        <f>IF(AND(R1262="Yes",S1262="Yes",L1262&lt;0,B1262&lt;&gt;"TXO"),L1262,"")</f>
        <v/>
      </c>
      <c r="Z1262" s="226">
        <f>IF(AND(R1262="",S1262="Yes",L1262&gt;0,B1262&lt;&gt;"TXO"),L1262,"")</f>
        <v/>
      </c>
      <c r="AA1262" s="226">
        <f>IF(AND(R1262="",S1262="Yes",L1262&lt;0,B1262&lt;&gt;"TXO"),L1262,"")</f>
        <v/>
      </c>
    </row>
    <row r="1263" hidden="1" outlineLevel="2" collapsed="1" ht="17.25" customHeight="1" thickBot="1">
      <c r="A1263" s="740" t="n">
        <v>43385</v>
      </c>
      <c r="B1263" s="299" t="inlineStr">
        <is>
          <t>FIMTX</t>
        </is>
      </c>
      <c r="C1263" s="300" t="inlineStr">
        <is>
          <t>小指10</t>
        </is>
      </c>
      <c r="D1263" s="300" t="inlineStr">
        <is>
          <t>平倉</t>
        </is>
      </c>
      <c r="E1263" s="301" t="inlineStr">
        <is>
          <t>賣</t>
        </is>
      </c>
      <c r="F1263" s="300" t="inlineStr">
        <is>
          <t>-</t>
        </is>
      </c>
      <c r="G1263" s="741" t="n">
        <v>2</v>
      </c>
      <c r="H1263" s="741" t="n">
        <v>9970</v>
      </c>
      <c r="I1263" s="741" t="n">
        <v>0</v>
      </c>
      <c r="J1263" s="742" t="n">
        <v>46</v>
      </c>
      <c r="K1263" s="742" t="n">
        <v>20</v>
      </c>
      <c r="L1263" s="742">
        <f>IF(B1263="TXO",I1263-SUM(J1263:K1263),IF(B1263="FITX",IF(D1263="新倉",-SUM(J1263:K1263),IF(E1263="賣",(H1263-H1262)*G1263*200-SUM(J1263:K1263),(H1262-H1263)*G1263*200-SUM(J1263:K1263))),IF(D1263="新倉",-SUM(J1263:K1263),IF(E1263="賣",(H1263-H1262)*G1263*50-SUM(J1263:K1263),(H1262-H1263)*G1263*50-SUM(J1263:K1263)))))</f>
        <v/>
      </c>
      <c r="M1263" s="743">
        <f>L1263</f>
        <v/>
      </c>
      <c r="N1263" s="686">
        <f>IF(B1263="TXO","",IF(D1263="新倉","",IF(E1263="賣",(H1263-H1262)*G1263,(H1262-H1263)*G1263)))</f>
        <v/>
      </c>
      <c r="O1263" s="226" t="n">
        <v>0</v>
      </c>
      <c r="P1263" s="667" t="n"/>
      <c r="S1263" s="249" t="n"/>
      <c r="T1263" s="61">
        <f>IF(AND(R1263="Yes",S1263&lt;&gt;"Yes",L1263&gt;0,B1263&lt;&gt;"TXO"),L1263,"")</f>
        <v/>
      </c>
      <c r="U1263" s="61">
        <f>IF(AND(R1263="Yes",S1263&lt;&gt;"Yes",L1263&lt;0,B1263&lt;&gt;"TXO"),L1263,"")</f>
        <v/>
      </c>
      <c r="V1263" s="61">
        <f>IF(AND(R1263="",S1263&lt;&gt;"Yes",L1263&gt;0,B1263&lt;&gt;"TXO"),L1263,"")</f>
        <v/>
      </c>
      <c r="W1263" s="61">
        <f>IF(AND(R1263="",S1263&lt;&gt;"Yes",L1263&lt;0,B1263&lt;&gt;"TXO"),L1263,"")</f>
        <v/>
      </c>
      <c r="X1263" s="226">
        <f>IF(AND(R1263="Yes",S1263="Yes",L1263&gt;0,B1263&lt;&gt;"TXO"),L1263,"")</f>
        <v/>
      </c>
      <c r="Y1263" s="226">
        <f>IF(AND(R1263="Yes",S1263="Yes",L1263&lt;0,B1263&lt;&gt;"TXO"),L1263,"")</f>
        <v/>
      </c>
      <c r="Z1263" s="226">
        <f>IF(AND(R1263="",S1263="Yes",L1263&gt;0,B1263&lt;&gt;"TXO"),L1263,"")</f>
        <v/>
      </c>
      <c r="AA1263" s="226">
        <f>IF(AND(R1263="",S1263="Yes",L1263&lt;0,B1263&lt;&gt;"TXO"),L1263,"")</f>
        <v/>
      </c>
    </row>
    <row r="1264" hidden="1" outlineLevel="2" collapsed="1" ht="17.25" customHeight="1" thickBot="1">
      <c r="A1264" s="740" t="n">
        <v>43385</v>
      </c>
      <c r="B1264" s="299" t="inlineStr">
        <is>
          <t>FIMTX</t>
        </is>
      </c>
      <c r="C1264" s="300" t="inlineStr">
        <is>
          <t>小指10</t>
        </is>
      </c>
      <c r="D1264" s="300" t="inlineStr">
        <is>
          <t>新倉</t>
        </is>
      </c>
      <c r="E1264" s="301" t="inlineStr">
        <is>
          <t>買</t>
        </is>
      </c>
      <c r="F1264" s="300" t="inlineStr">
        <is>
          <t>-</t>
        </is>
      </c>
      <c r="G1264" s="741" t="n">
        <v>2</v>
      </c>
      <c r="H1264" s="741" t="n">
        <v>9987</v>
      </c>
      <c r="I1264" s="741" t="n">
        <v>0</v>
      </c>
      <c r="J1264" s="742" t="n">
        <v>46</v>
      </c>
      <c r="K1264" s="742" t="n">
        <v>20</v>
      </c>
      <c r="L1264" s="742">
        <f>IF(B1264="TXO",I1264-SUM(J1264:K1264),IF(B1264="FITX",IF(D1264="新倉",-SUM(J1264:K1264),IF(E1264="賣",(H1264-H1263)*G1264*200-SUM(J1264:K1264),(H1263-H1264)*G1264*200-SUM(J1264:K1264))),IF(D1264="新倉",-SUM(J1264:K1264),IF(E1264="賣",(H1264-H1263)*G1264*50-SUM(J1264:K1264),(H1263-H1264)*G1264*50-SUM(J1264:K1264)))))</f>
        <v/>
      </c>
      <c r="M1264" s="743">
        <f>L1264</f>
        <v/>
      </c>
      <c r="N1264" s="686">
        <f>IF(B1264="TXO","",IF(D1264="新倉","",IF(E1264="賣",(H1264-H1263)*G1264,(H1263-H1264)*G1264)))</f>
        <v/>
      </c>
      <c r="O1264" s="226" t="n">
        <v>0</v>
      </c>
      <c r="P1264" s="667" t="n"/>
      <c r="S1264" s="249" t="n"/>
      <c r="T1264" s="61">
        <f>IF(AND(R1264="Yes",S1264&lt;&gt;"Yes",L1264&gt;0,B1264&lt;&gt;"TXO"),L1264,"")</f>
        <v/>
      </c>
      <c r="U1264" s="61">
        <f>IF(AND(R1264="Yes",S1264&lt;&gt;"Yes",L1264&lt;0,B1264&lt;&gt;"TXO"),L1264,"")</f>
        <v/>
      </c>
      <c r="V1264" s="61">
        <f>IF(AND(R1264="",S1264&lt;&gt;"Yes",L1264&gt;0,B1264&lt;&gt;"TXO"),L1264,"")</f>
        <v/>
      </c>
      <c r="W1264" s="61">
        <f>IF(AND(R1264="",S1264&lt;&gt;"Yes",L1264&lt;0,B1264&lt;&gt;"TXO"),L1264,"")</f>
        <v/>
      </c>
      <c r="X1264" s="226">
        <f>IF(AND(R1264="Yes",S1264="Yes",L1264&gt;0,B1264&lt;&gt;"TXO"),L1264,"")</f>
        <v/>
      </c>
      <c r="Y1264" s="226">
        <f>IF(AND(R1264="Yes",S1264="Yes",L1264&lt;0,B1264&lt;&gt;"TXO"),L1264,"")</f>
        <v/>
      </c>
      <c r="Z1264" s="226">
        <f>IF(AND(R1264="",S1264="Yes",L1264&gt;0,B1264&lt;&gt;"TXO"),L1264,"")</f>
        <v/>
      </c>
      <c r="AA1264" s="226">
        <f>IF(AND(R1264="",S1264="Yes",L1264&lt;0,B1264&lt;&gt;"TXO"),L1264,"")</f>
        <v/>
      </c>
    </row>
    <row r="1265" hidden="1" outlineLevel="2" collapsed="1" ht="17.25" customHeight="1" thickBot="1">
      <c r="A1265" s="740" t="n">
        <v>43385</v>
      </c>
      <c r="B1265" s="299" t="inlineStr">
        <is>
          <t>FIMTX</t>
        </is>
      </c>
      <c r="C1265" s="300" t="inlineStr">
        <is>
          <t>小指10</t>
        </is>
      </c>
      <c r="D1265" s="300" t="inlineStr">
        <is>
          <t>平倉</t>
        </is>
      </c>
      <c r="E1265" s="301" t="inlineStr">
        <is>
          <t>賣</t>
        </is>
      </c>
      <c r="F1265" s="300" t="inlineStr">
        <is>
          <t>-</t>
        </is>
      </c>
      <c r="G1265" s="741" t="n">
        <v>2</v>
      </c>
      <c r="H1265" s="741" t="n">
        <v>9988</v>
      </c>
      <c r="I1265" s="741" t="n">
        <v>0</v>
      </c>
      <c r="J1265" s="742" t="n">
        <v>46</v>
      </c>
      <c r="K1265" s="742" t="n">
        <v>20</v>
      </c>
      <c r="L1265" s="742">
        <f>IF(B1265="TXO",I1265-SUM(J1265:K1265),IF(B1265="FITX",IF(D1265="新倉",-SUM(J1265:K1265),IF(E1265="賣",(H1265-H1264)*G1265*200-SUM(J1265:K1265),(H1264-H1265)*G1265*200-SUM(J1265:K1265))),IF(D1265="新倉",-SUM(J1265:K1265),IF(E1265="賣",(H1265-H1264)*G1265*50-SUM(J1265:K1265),(H1264-H1265)*G1265*50-SUM(J1265:K1265)))))</f>
        <v/>
      </c>
      <c r="M1265" s="743">
        <f>L1265</f>
        <v/>
      </c>
      <c r="N1265" s="686">
        <f>IF(B1265="TXO","",IF(D1265="新倉","",IF(E1265="賣",(H1265-H1264)*G1265,(H1264-H1265)*G1265)))</f>
        <v/>
      </c>
      <c r="O1265" s="226" t="n">
        <v>0</v>
      </c>
      <c r="P1265" s="667" t="n"/>
      <c r="S1265" s="249" t="n"/>
      <c r="T1265" s="61">
        <f>IF(AND(R1265="Yes",S1265&lt;&gt;"Yes",L1265&gt;0,B1265&lt;&gt;"TXO"),L1265,"")</f>
        <v/>
      </c>
      <c r="U1265" s="61">
        <f>IF(AND(R1265="Yes",S1265&lt;&gt;"Yes",L1265&lt;0,B1265&lt;&gt;"TXO"),L1265,"")</f>
        <v/>
      </c>
      <c r="V1265" s="61">
        <f>IF(AND(R1265="",S1265&lt;&gt;"Yes",L1265&gt;0,B1265&lt;&gt;"TXO"),L1265,"")</f>
        <v/>
      </c>
      <c r="W1265" s="61">
        <f>IF(AND(R1265="",S1265&lt;&gt;"Yes",L1265&lt;0,B1265&lt;&gt;"TXO"),L1265,"")</f>
        <v/>
      </c>
      <c r="X1265" s="226">
        <f>IF(AND(R1265="Yes",S1265="Yes",L1265&gt;0,B1265&lt;&gt;"TXO"),L1265,"")</f>
        <v/>
      </c>
      <c r="Y1265" s="226">
        <f>IF(AND(R1265="Yes",S1265="Yes",L1265&lt;0,B1265&lt;&gt;"TXO"),L1265,"")</f>
        <v/>
      </c>
      <c r="Z1265" s="226">
        <f>IF(AND(R1265="",S1265="Yes",L1265&gt;0,B1265&lt;&gt;"TXO"),L1265,"")</f>
        <v/>
      </c>
      <c r="AA1265" s="226">
        <f>IF(AND(R1265="",S1265="Yes",L1265&lt;0,B1265&lt;&gt;"TXO"),L1265,"")</f>
        <v/>
      </c>
    </row>
    <row r="1266" hidden="1" outlineLevel="2" collapsed="1" ht="17.25" customHeight="1" thickBot="1">
      <c r="A1266" s="740" t="n">
        <v>43385</v>
      </c>
      <c r="B1266" s="299" t="inlineStr">
        <is>
          <t>FIMTX</t>
        </is>
      </c>
      <c r="C1266" s="300" t="inlineStr">
        <is>
          <t>小指10</t>
        </is>
      </c>
      <c r="D1266" s="300" t="inlineStr">
        <is>
          <t>新倉</t>
        </is>
      </c>
      <c r="E1266" s="301" t="inlineStr">
        <is>
          <t>買</t>
        </is>
      </c>
      <c r="F1266" s="300" t="inlineStr">
        <is>
          <t>-</t>
        </is>
      </c>
      <c r="G1266" s="741" t="n">
        <v>2</v>
      </c>
      <c r="H1266" s="741" t="n">
        <v>9978</v>
      </c>
      <c r="I1266" s="741" t="n">
        <v>0</v>
      </c>
      <c r="J1266" s="742" t="n">
        <v>46</v>
      </c>
      <c r="K1266" s="742" t="n">
        <v>20</v>
      </c>
      <c r="L1266" s="742">
        <f>IF(B1266="TXO",I1266-SUM(J1266:K1266),IF(B1266="FITX",IF(D1266="新倉",-SUM(J1266:K1266),IF(E1266="賣",(H1266-H1265)*G1266*200-SUM(J1266:K1266),(H1265-H1266)*G1266*200-SUM(J1266:K1266))),IF(D1266="新倉",-SUM(J1266:K1266),IF(E1266="賣",(H1266-H1265)*G1266*50-SUM(J1266:K1266),(H1265-H1266)*G1266*50-SUM(J1266:K1266)))))</f>
        <v/>
      </c>
      <c r="M1266" s="743">
        <f>L1266</f>
        <v/>
      </c>
      <c r="N1266" s="686">
        <f>IF(B1266="TXO","",IF(D1266="新倉","",IF(E1266="賣",(H1266-H1265)*G1266,(H1265-H1266)*G1266)))</f>
        <v/>
      </c>
      <c r="O1266" s="226" t="n">
        <v>0</v>
      </c>
      <c r="P1266" s="667" t="n"/>
      <c r="S1266" s="249" t="n"/>
      <c r="T1266" s="61">
        <f>IF(AND(R1266="Yes",S1266&lt;&gt;"Yes",L1266&gt;0,B1266&lt;&gt;"TXO"),L1266,"")</f>
        <v/>
      </c>
      <c r="U1266" s="61">
        <f>IF(AND(R1266="Yes",S1266&lt;&gt;"Yes",L1266&lt;0,B1266&lt;&gt;"TXO"),L1266,"")</f>
        <v/>
      </c>
      <c r="V1266" s="61">
        <f>IF(AND(R1266="",S1266&lt;&gt;"Yes",L1266&gt;0,B1266&lt;&gt;"TXO"),L1266,"")</f>
        <v/>
      </c>
      <c r="W1266" s="61">
        <f>IF(AND(R1266="",S1266&lt;&gt;"Yes",L1266&lt;0,B1266&lt;&gt;"TXO"),L1266,"")</f>
        <v/>
      </c>
      <c r="X1266" s="226">
        <f>IF(AND(R1266="Yes",S1266="Yes",L1266&gt;0,B1266&lt;&gt;"TXO"),L1266,"")</f>
        <v/>
      </c>
      <c r="Y1266" s="226">
        <f>IF(AND(R1266="Yes",S1266="Yes",L1266&lt;0,B1266&lt;&gt;"TXO"),L1266,"")</f>
        <v/>
      </c>
      <c r="Z1266" s="226">
        <f>IF(AND(R1266="",S1266="Yes",L1266&gt;0,B1266&lt;&gt;"TXO"),L1266,"")</f>
        <v/>
      </c>
      <c r="AA1266" s="226">
        <f>IF(AND(R1266="",S1266="Yes",L1266&lt;0,B1266&lt;&gt;"TXO"),L1266,"")</f>
        <v/>
      </c>
    </row>
    <row r="1267" hidden="1" outlineLevel="2" collapsed="1" ht="17.25" customHeight="1" thickBot="1">
      <c r="A1267" s="740" t="n">
        <v>43385</v>
      </c>
      <c r="B1267" s="299" t="inlineStr">
        <is>
          <t>FIMTX</t>
        </is>
      </c>
      <c r="C1267" s="300" t="inlineStr">
        <is>
          <t>小指10</t>
        </is>
      </c>
      <c r="D1267" s="300" t="inlineStr">
        <is>
          <t>平倉</t>
        </is>
      </c>
      <c r="E1267" s="301" t="inlineStr">
        <is>
          <t>賣</t>
        </is>
      </c>
      <c r="F1267" s="300" t="inlineStr">
        <is>
          <t>-</t>
        </is>
      </c>
      <c r="G1267" s="741" t="n">
        <v>2</v>
      </c>
      <c r="H1267" s="741" t="n">
        <v>9988</v>
      </c>
      <c r="I1267" s="741" t="n">
        <v>0</v>
      </c>
      <c r="J1267" s="742" t="n">
        <v>46</v>
      </c>
      <c r="K1267" s="742" t="n">
        <v>20</v>
      </c>
      <c r="L1267" s="742">
        <f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/>
      </c>
      <c r="M1267" s="743">
        <f>L1267</f>
        <v/>
      </c>
      <c r="N1267" s="686">
        <f>IF(B1267="TXO","",IF(D1267="新倉","",IF(E1267="賣",(H1267-H1266)*G1267,(H1266-H1267)*G1267)))</f>
        <v/>
      </c>
      <c r="O1267" s="226" t="n">
        <v>0</v>
      </c>
      <c r="P1267" s="667" t="n"/>
      <c r="S1267" s="249" t="n"/>
      <c r="T1267" s="61">
        <f>IF(AND(R1267="Yes",S1267&lt;&gt;"Yes",L1267&gt;0,B1267&lt;&gt;"TXO"),L1267,"")</f>
        <v/>
      </c>
      <c r="U1267" s="61">
        <f>IF(AND(R1267="Yes",S1267&lt;&gt;"Yes",L1267&lt;0,B1267&lt;&gt;"TXO"),L1267,"")</f>
        <v/>
      </c>
      <c r="V1267" s="61">
        <f>IF(AND(R1267="",S1267&lt;&gt;"Yes",L1267&gt;0,B1267&lt;&gt;"TXO"),L1267,"")</f>
        <v/>
      </c>
      <c r="W1267" s="61">
        <f>IF(AND(R1267="",S1267&lt;&gt;"Yes",L1267&lt;0,B1267&lt;&gt;"TXO"),L1267,"")</f>
        <v/>
      </c>
      <c r="X1267" s="226">
        <f>IF(AND(R1267="Yes",S1267="Yes",L1267&gt;0,B1267&lt;&gt;"TXO"),L1267,"")</f>
        <v/>
      </c>
      <c r="Y1267" s="226">
        <f>IF(AND(R1267="Yes",S1267="Yes",L1267&lt;0,B1267&lt;&gt;"TXO"),L1267,"")</f>
        <v/>
      </c>
      <c r="Z1267" s="226">
        <f>IF(AND(R1267="",S1267="Yes",L1267&gt;0,B1267&lt;&gt;"TXO"),L1267,"")</f>
        <v/>
      </c>
      <c r="AA1267" s="226">
        <f>IF(AND(R1267="",S1267="Yes",L1267&lt;0,B1267&lt;&gt;"TXO"),L1267,"")</f>
        <v/>
      </c>
    </row>
    <row r="1268" hidden="1" outlineLevel="2" collapsed="1" ht="17.25" customHeight="1" thickBot="1">
      <c r="A1268" s="740" t="n">
        <v>43385</v>
      </c>
      <c r="B1268" s="299" t="inlineStr">
        <is>
          <t>FIMTX</t>
        </is>
      </c>
      <c r="C1268" s="300" t="inlineStr">
        <is>
          <t>小指10</t>
        </is>
      </c>
      <c r="D1268" s="300" t="inlineStr">
        <is>
          <t>新倉</t>
        </is>
      </c>
      <c r="E1268" s="301" t="inlineStr">
        <is>
          <t>買</t>
        </is>
      </c>
      <c r="F1268" s="300" t="inlineStr">
        <is>
          <t>-</t>
        </is>
      </c>
      <c r="G1268" s="741" t="n">
        <v>1</v>
      </c>
      <c r="H1268" s="741" t="n">
        <v>10000</v>
      </c>
      <c r="I1268" s="741" t="n">
        <v>0</v>
      </c>
      <c r="J1268" s="742" t="n">
        <v>23</v>
      </c>
      <c r="K1268" s="742" t="n">
        <v>10</v>
      </c>
      <c r="L1268" s="742">
        <f>IF(B1268="TXO",I1268-SUM(J1268:K1268),IF(B1268="FITX",IF(D1268="新倉",-SUM(J1268:K1268),IF(E1268="賣",(H1268-H1267)*G1268*200-SUM(J1268:K1268),(H1267-H1268)*G1268*200-SUM(J1268:K1268))),IF(D1268="新倉",-SUM(J1268:K1268),IF(E1268="賣",(H1268-H1267)*G1268*50-SUM(J1268:K1268),(H1267-H1268)*G1268*50-SUM(J1268:K1268)))))</f>
        <v/>
      </c>
      <c r="M1268" s="743">
        <f>L1268</f>
        <v/>
      </c>
      <c r="N1268" s="686">
        <f>IF(B1268="TXO","",IF(D1268="新倉","",IF(E1268="賣",(H1268-H1267)*G1268,(H1267-H1268)*G1268)))</f>
        <v/>
      </c>
      <c r="O1268" s="226" t="n">
        <v>0</v>
      </c>
      <c r="P1268" s="667" t="n"/>
      <c r="S1268" s="249" t="n"/>
      <c r="T1268" s="61">
        <f>IF(AND(R1268="Yes",S1268&lt;&gt;"Yes",L1268&gt;0,B1268&lt;&gt;"TXO"),L1268,"")</f>
        <v/>
      </c>
      <c r="U1268" s="61">
        <f>IF(AND(R1268="Yes",S1268&lt;&gt;"Yes",L1268&lt;0,B1268&lt;&gt;"TXO"),L1268,"")</f>
        <v/>
      </c>
      <c r="V1268" s="61">
        <f>IF(AND(R1268="",S1268&lt;&gt;"Yes",L1268&gt;0,B1268&lt;&gt;"TXO"),L1268,"")</f>
        <v/>
      </c>
      <c r="W1268" s="61">
        <f>IF(AND(R1268="",S1268&lt;&gt;"Yes",L1268&lt;0,B1268&lt;&gt;"TXO"),L1268,"")</f>
        <v/>
      </c>
      <c r="X1268" s="226">
        <f>IF(AND(R1268="Yes",S1268="Yes",L1268&gt;0,B1268&lt;&gt;"TXO"),L1268,"")</f>
        <v/>
      </c>
      <c r="Y1268" s="226">
        <f>IF(AND(R1268="Yes",S1268="Yes",L1268&lt;0,B1268&lt;&gt;"TXO"),L1268,"")</f>
        <v/>
      </c>
      <c r="Z1268" s="226">
        <f>IF(AND(R1268="",S1268="Yes",L1268&gt;0,B1268&lt;&gt;"TXO"),L1268,"")</f>
        <v/>
      </c>
      <c r="AA1268" s="226">
        <f>IF(AND(R1268="",S1268="Yes",L1268&lt;0,B1268&lt;&gt;"TXO"),L1268,"")</f>
        <v/>
      </c>
    </row>
    <row r="1269" hidden="1" outlineLevel="2" collapsed="1" ht="17.25" customHeight="1" thickBot="1">
      <c r="A1269" s="740" t="n">
        <v>43385</v>
      </c>
      <c r="B1269" s="299" t="inlineStr">
        <is>
          <t>FIMTX</t>
        </is>
      </c>
      <c r="C1269" s="300" t="inlineStr">
        <is>
          <t>小指10</t>
        </is>
      </c>
      <c r="D1269" s="300" t="inlineStr">
        <is>
          <t>平倉</t>
        </is>
      </c>
      <c r="E1269" s="301" t="inlineStr">
        <is>
          <t>賣</t>
        </is>
      </c>
      <c r="F1269" s="300" t="inlineStr">
        <is>
          <t>-</t>
        </is>
      </c>
      <c r="G1269" s="741" t="n">
        <v>1</v>
      </c>
      <c r="H1269" s="741" t="n">
        <v>10002</v>
      </c>
      <c r="I1269" s="741" t="n">
        <v>0</v>
      </c>
      <c r="J1269" s="742" t="n">
        <v>23</v>
      </c>
      <c r="K1269" s="742" t="n">
        <v>10</v>
      </c>
      <c r="L1269" s="742">
        <f>IF(B1269="TXO",I1269-SUM(J1269:K1269),IF(B1269="FITX",IF(D1269="新倉",-SUM(J1269:K1269),IF(E1269="賣",(H1269-H1268)*G1269*200-SUM(J1269:K1269),(H1268-H1269)*G1269*200-SUM(J1269:K1269))),IF(D1269="新倉",-SUM(J1269:K1269),IF(E1269="賣",(H1269-H1268)*G1269*50-SUM(J1269:K1269),(H1268-H1269)*G1269*50-SUM(J1269:K1269)))))</f>
        <v/>
      </c>
      <c r="M1269" s="743">
        <f>L1269</f>
        <v/>
      </c>
      <c r="N1269" s="686">
        <f>IF(B1269="TXO","",IF(D1269="新倉","",IF(E1269="賣",(H1269-H1268)*G1269,(H1268-H1269)*G1269)))</f>
        <v/>
      </c>
      <c r="O1269" s="226" t="n">
        <v>0</v>
      </c>
      <c r="P1269" s="667" t="n"/>
      <c r="S1269" s="249" t="n"/>
      <c r="T1269" s="61">
        <f>IF(AND(R1269="Yes",S1269&lt;&gt;"Yes",L1269&gt;0,B1269&lt;&gt;"TXO"),L1269,"")</f>
        <v/>
      </c>
      <c r="U1269" s="61">
        <f>IF(AND(R1269="Yes",S1269&lt;&gt;"Yes",L1269&lt;0,B1269&lt;&gt;"TXO"),L1269,"")</f>
        <v/>
      </c>
      <c r="V1269" s="61">
        <f>IF(AND(R1269="",S1269&lt;&gt;"Yes",L1269&gt;0,B1269&lt;&gt;"TXO"),L1269,"")</f>
        <v/>
      </c>
      <c r="W1269" s="61">
        <f>IF(AND(R1269="",S1269&lt;&gt;"Yes",L1269&lt;0,B1269&lt;&gt;"TXO"),L1269,"")</f>
        <v/>
      </c>
      <c r="X1269" s="226">
        <f>IF(AND(R1269="Yes",S1269="Yes",L1269&gt;0,B1269&lt;&gt;"TXO"),L1269,"")</f>
        <v/>
      </c>
      <c r="Y1269" s="226">
        <f>IF(AND(R1269="Yes",S1269="Yes",L1269&lt;0,B1269&lt;&gt;"TXO"),L1269,"")</f>
        <v/>
      </c>
      <c r="Z1269" s="226">
        <f>IF(AND(R1269="",S1269="Yes",L1269&gt;0,B1269&lt;&gt;"TXO"),L1269,"")</f>
        <v/>
      </c>
      <c r="AA1269" s="226">
        <f>IF(AND(R1269="",S1269="Yes",L1269&lt;0,B1269&lt;&gt;"TXO"),L1269,"")</f>
        <v/>
      </c>
    </row>
    <row r="1270" hidden="1" outlineLevel="2" collapsed="1" ht="17.25" customHeight="1" thickBot="1">
      <c r="A1270" s="740" t="n">
        <v>43385</v>
      </c>
      <c r="B1270" s="299" t="inlineStr">
        <is>
          <t>FIMTX</t>
        </is>
      </c>
      <c r="C1270" s="300" t="inlineStr">
        <is>
          <t>小指10</t>
        </is>
      </c>
      <c r="D1270" s="300" t="inlineStr">
        <is>
          <t>新倉</t>
        </is>
      </c>
      <c r="E1270" s="301" t="inlineStr">
        <is>
          <t>買</t>
        </is>
      </c>
      <c r="F1270" s="300" t="inlineStr">
        <is>
          <t>-</t>
        </is>
      </c>
      <c r="G1270" s="741" t="n">
        <v>2</v>
      </c>
      <c r="H1270" s="741" t="n">
        <v>9998</v>
      </c>
      <c r="I1270" s="741" t="n">
        <v>0</v>
      </c>
      <c r="J1270" s="742" t="n">
        <v>46</v>
      </c>
      <c r="K1270" s="742" t="n">
        <v>20</v>
      </c>
      <c r="L1270" s="742">
        <f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/>
      </c>
      <c r="M1270" s="743">
        <f>L1270</f>
        <v/>
      </c>
      <c r="N1270" s="686">
        <f>IF(B1270="TXO","",IF(D1270="新倉","",IF(E1270="賣",(H1270-H1269)*G1270,(H1269-H1270)*G1270)))</f>
        <v/>
      </c>
      <c r="O1270" s="226" t="n">
        <v>0</v>
      </c>
      <c r="P1270" s="667" t="n"/>
      <c r="S1270" s="249" t="n"/>
      <c r="T1270" s="61">
        <f>IF(AND(R1270="Yes",S1270&lt;&gt;"Yes",L1270&gt;0,B1270&lt;&gt;"TXO"),L1270,"")</f>
        <v/>
      </c>
      <c r="U1270" s="61">
        <f>IF(AND(R1270="Yes",S1270&lt;&gt;"Yes",L1270&lt;0,B1270&lt;&gt;"TXO"),L1270,"")</f>
        <v/>
      </c>
      <c r="V1270" s="61">
        <f>IF(AND(R1270="",S1270&lt;&gt;"Yes",L1270&gt;0,B1270&lt;&gt;"TXO"),L1270,"")</f>
        <v/>
      </c>
      <c r="W1270" s="61">
        <f>IF(AND(R1270="",S1270&lt;&gt;"Yes",L1270&lt;0,B1270&lt;&gt;"TXO"),L1270,"")</f>
        <v/>
      </c>
      <c r="X1270" s="226">
        <f>IF(AND(R1270="Yes",S1270="Yes",L1270&gt;0,B1270&lt;&gt;"TXO"),L1270,"")</f>
        <v/>
      </c>
      <c r="Y1270" s="226">
        <f>IF(AND(R1270="Yes",S1270="Yes",L1270&lt;0,B1270&lt;&gt;"TXO"),L1270,"")</f>
        <v/>
      </c>
      <c r="Z1270" s="226">
        <f>IF(AND(R1270="",S1270="Yes",L1270&gt;0,B1270&lt;&gt;"TXO"),L1270,"")</f>
        <v/>
      </c>
      <c r="AA1270" s="226">
        <f>IF(AND(R1270="",S1270="Yes",L1270&lt;0,B1270&lt;&gt;"TXO"),L1270,"")</f>
        <v/>
      </c>
    </row>
    <row r="1271" hidden="1" outlineLevel="2" collapsed="1" ht="17.25" customHeight="1" thickBot="1">
      <c r="A1271" s="740" t="n">
        <v>43385</v>
      </c>
      <c r="B1271" s="299" t="inlineStr">
        <is>
          <t>FIMTX</t>
        </is>
      </c>
      <c r="C1271" s="300" t="inlineStr">
        <is>
          <t>小指10</t>
        </is>
      </c>
      <c r="D1271" s="300" t="inlineStr">
        <is>
          <t>平倉</t>
        </is>
      </c>
      <c r="E1271" s="301" t="inlineStr">
        <is>
          <t>賣</t>
        </is>
      </c>
      <c r="F1271" s="300" t="inlineStr">
        <is>
          <t>-</t>
        </is>
      </c>
      <c r="G1271" s="741" t="n">
        <v>2</v>
      </c>
      <c r="H1271" s="741" t="n">
        <v>10002</v>
      </c>
      <c r="I1271" s="741" t="n">
        <v>0</v>
      </c>
      <c r="J1271" s="742" t="n">
        <v>46</v>
      </c>
      <c r="K1271" s="742" t="n">
        <v>20</v>
      </c>
      <c r="L1271" s="742">
        <f>IF(B1271="TXO",I1271-SUM(J1271:K1271),IF(B1271="FITX",IF(D1271="新倉",-SUM(J1271:K1271),IF(E1271="賣",(H1271-H1270)*G1271*200-SUM(J1271:K1271),(H1270-H1271)*G1271*200-SUM(J1271:K1271))),IF(D1271="新倉",-SUM(J1271:K1271),IF(E1271="賣",(H1271-H1270)*G1271*50-SUM(J1271:K1271),(H1270-H1271)*G1271*50-SUM(J1271:K1271)))))</f>
        <v/>
      </c>
      <c r="M1271" s="743">
        <f>L1271</f>
        <v/>
      </c>
      <c r="N1271" s="686">
        <f>IF(B1271="TXO","",IF(D1271="新倉","",IF(E1271="賣",(H1271-H1270)*G1271,(H1270-H1271)*G1271)))</f>
        <v/>
      </c>
      <c r="O1271" s="226" t="n">
        <v>0</v>
      </c>
      <c r="P1271" s="667" t="n"/>
      <c r="S1271" s="249" t="n"/>
      <c r="T1271" s="61">
        <f>IF(AND(R1271="Yes",S1271&lt;&gt;"Yes",L1271&gt;0,B1271&lt;&gt;"TXO"),L1271,"")</f>
        <v/>
      </c>
      <c r="U1271" s="61">
        <f>IF(AND(R1271="Yes",S1271&lt;&gt;"Yes",L1271&lt;0,B1271&lt;&gt;"TXO"),L1271,"")</f>
        <v/>
      </c>
      <c r="V1271" s="61">
        <f>IF(AND(R1271="",S1271&lt;&gt;"Yes",L1271&gt;0,B1271&lt;&gt;"TXO"),L1271,"")</f>
        <v/>
      </c>
      <c r="W1271" s="61">
        <f>IF(AND(R1271="",S1271&lt;&gt;"Yes",L1271&lt;0,B1271&lt;&gt;"TXO"),L1271,"")</f>
        <v/>
      </c>
      <c r="X1271" s="226">
        <f>IF(AND(R1271="Yes",S1271="Yes",L1271&gt;0,B1271&lt;&gt;"TXO"),L1271,"")</f>
        <v/>
      </c>
      <c r="Y1271" s="226">
        <f>IF(AND(R1271="Yes",S1271="Yes",L1271&lt;0,B1271&lt;&gt;"TXO"),L1271,"")</f>
        <v/>
      </c>
      <c r="Z1271" s="226">
        <f>IF(AND(R1271="",S1271="Yes",L1271&gt;0,B1271&lt;&gt;"TXO"),L1271,"")</f>
        <v/>
      </c>
      <c r="AA1271" s="226">
        <f>IF(AND(R1271="",S1271="Yes",L1271&lt;0,B1271&lt;&gt;"TXO"),L1271,"")</f>
        <v/>
      </c>
    </row>
    <row r="1272" hidden="1" outlineLevel="2" collapsed="1" ht="17.25" customHeight="1" thickBot="1">
      <c r="A1272" s="740" t="n">
        <v>43385</v>
      </c>
      <c r="B1272" s="299" t="inlineStr">
        <is>
          <t>FIMTX</t>
        </is>
      </c>
      <c r="C1272" s="300" t="inlineStr">
        <is>
          <t>小指10</t>
        </is>
      </c>
      <c r="D1272" s="300" t="inlineStr">
        <is>
          <t>新倉</t>
        </is>
      </c>
      <c r="E1272" s="301" t="inlineStr">
        <is>
          <t>買</t>
        </is>
      </c>
      <c r="F1272" s="300" t="inlineStr">
        <is>
          <t>-</t>
        </is>
      </c>
      <c r="G1272" s="741" t="n">
        <v>1</v>
      </c>
      <c r="H1272" s="741" t="n">
        <v>9995</v>
      </c>
      <c r="I1272" s="741" t="n">
        <v>0</v>
      </c>
      <c r="J1272" s="742" t="n">
        <v>23</v>
      </c>
      <c r="K1272" s="742" t="n">
        <v>10</v>
      </c>
      <c r="L1272" s="742">
        <f>IF(B1272="TXO",I1272-SUM(J1272:K1272),IF(B1272="FITX",IF(D1272="新倉",-SUM(J1272:K1272),IF(E1272="賣",(H1272-H1271)*G1272*200-SUM(J1272:K1272),(H1271-H1272)*G1272*200-SUM(J1272:K1272))),IF(D1272="新倉",-SUM(J1272:K1272),IF(E1272="賣",(H1272-H1271)*G1272*50-SUM(J1272:K1272),(H1271-H1272)*G1272*50-SUM(J1272:K1272)))))</f>
        <v/>
      </c>
      <c r="M1272" s="743">
        <f>L1272</f>
        <v/>
      </c>
      <c r="N1272" s="686">
        <f>IF(B1272="TXO","",IF(D1272="新倉","",IF(E1272="賣",(H1272-H1271)*G1272,(H1271-H1272)*G1272)))</f>
        <v/>
      </c>
      <c r="O1272" s="226" t="n">
        <v>0</v>
      </c>
      <c r="P1272" s="667" t="n"/>
      <c r="S1272" s="249" t="n"/>
      <c r="T1272" s="61">
        <f>IF(AND(R1272="Yes",S1272&lt;&gt;"Yes",L1272&gt;0,B1272&lt;&gt;"TXO"),L1272,"")</f>
        <v/>
      </c>
      <c r="U1272" s="61">
        <f>IF(AND(R1272="Yes",S1272&lt;&gt;"Yes",L1272&lt;0,B1272&lt;&gt;"TXO"),L1272,"")</f>
        <v/>
      </c>
      <c r="V1272" s="61">
        <f>IF(AND(R1272="",S1272&lt;&gt;"Yes",L1272&gt;0,B1272&lt;&gt;"TXO"),L1272,"")</f>
        <v/>
      </c>
      <c r="W1272" s="61">
        <f>IF(AND(R1272="",S1272&lt;&gt;"Yes",L1272&lt;0,B1272&lt;&gt;"TXO"),L1272,"")</f>
        <v/>
      </c>
      <c r="X1272" s="226">
        <f>IF(AND(R1272="Yes",S1272="Yes",L1272&gt;0,B1272&lt;&gt;"TXO"),L1272,"")</f>
        <v/>
      </c>
      <c r="Y1272" s="226">
        <f>IF(AND(R1272="Yes",S1272="Yes",L1272&lt;0,B1272&lt;&gt;"TXO"),L1272,"")</f>
        <v/>
      </c>
      <c r="Z1272" s="226">
        <f>IF(AND(R1272="",S1272="Yes",L1272&gt;0,B1272&lt;&gt;"TXO"),L1272,"")</f>
        <v/>
      </c>
      <c r="AA1272" s="226">
        <f>IF(AND(R1272="",S1272="Yes",L1272&lt;0,B1272&lt;&gt;"TXO"),L1272,"")</f>
        <v/>
      </c>
    </row>
    <row r="1273" hidden="1" outlineLevel="2" collapsed="1" ht="17.25" customHeight="1" thickBot="1">
      <c r="A1273" s="740" t="n">
        <v>43385</v>
      </c>
      <c r="B1273" s="299" t="inlineStr">
        <is>
          <t>FIMTX</t>
        </is>
      </c>
      <c r="C1273" s="300" t="inlineStr">
        <is>
          <t>小指10</t>
        </is>
      </c>
      <c r="D1273" s="300" t="inlineStr">
        <is>
          <t>平倉</t>
        </is>
      </c>
      <c r="E1273" s="301" t="inlineStr">
        <is>
          <t>賣</t>
        </is>
      </c>
      <c r="F1273" s="300" t="inlineStr">
        <is>
          <t>-</t>
        </is>
      </c>
      <c r="G1273" s="741" t="n">
        <v>1</v>
      </c>
      <c r="H1273" s="741" t="n">
        <v>10002</v>
      </c>
      <c r="I1273" s="741" t="n">
        <v>0</v>
      </c>
      <c r="J1273" s="742" t="n">
        <v>23</v>
      </c>
      <c r="K1273" s="742" t="n">
        <v>10</v>
      </c>
      <c r="L1273" s="742">
        <f>IF(B1273="TXO",I1273-SUM(J1273:K1273),IF(B1273="FITX",IF(D1273="新倉",-SUM(J1273:K1273),IF(E1273="賣",(H1273-H1272)*G1273*200-SUM(J1273:K1273),(H1272-H1273)*G1273*200-SUM(J1273:K1273))),IF(D1273="新倉",-SUM(J1273:K1273),IF(E1273="賣",(H1273-H1272)*G1273*50-SUM(J1273:K1273),(H1272-H1273)*G1273*50-SUM(J1273:K1273)))))</f>
        <v/>
      </c>
      <c r="M1273" s="743">
        <f>L1273</f>
        <v/>
      </c>
      <c r="N1273" s="686">
        <f>IF(B1273="TXO","",IF(D1273="新倉","",IF(E1273="賣",(H1273-H1272)*G1273,(H1272-H1273)*G1273)))</f>
        <v/>
      </c>
      <c r="O1273" s="226" t="n">
        <v>0</v>
      </c>
      <c r="P1273" s="667" t="n"/>
      <c r="S1273" s="249" t="n"/>
      <c r="T1273" s="61">
        <f>IF(AND(R1273="Yes",S1273&lt;&gt;"Yes",L1273&gt;0,B1273&lt;&gt;"TXO"),L1273,"")</f>
        <v/>
      </c>
      <c r="U1273" s="61">
        <f>IF(AND(R1273="Yes",S1273&lt;&gt;"Yes",L1273&lt;0,B1273&lt;&gt;"TXO"),L1273,"")</f>
        <v/>
      </c>
      <c r="V1273" s="61">
        <f>IF(AND(R1273="",S1273&lt;&gt;"Yes",L1273&gt;0,B1273&lt;&gt;"TXO"),L1273,"")</f>
        <v/>
      </c>
      <c r="W1273" s="61">
        <f>IF(AND(R1273="",S1273&lt;&gt;"Yes",L1273&lt;0,B1273&lt;&gt;"TXO"),L1273,"")</f>
        <v/>
      </c>
      <c r="X1273" s="226">
        <f>IF(AND(R1273="Yes",S1273="Yes",L1273&gt;0,B1273&lt;&gt;"TXO"),L1273,"")</f>
        <v/>
      </c>
      <c r="Y1273" s="226">
        <f>IF(AND(R1273="Yes",S1273="Yes",L1273&lt;0,B1273&lt;&gt;"TXO"),L1273,"")</f>
        <v/>
      </c>
      <c r="Z1273" s="226">
        <f>IF(AND(R1273="",S1273="Yes",L1273&gt;0,B1273&lt;&gt;"TXO"),L1273,"")</f>
        <v/>
      </c>
      <c r="AA1273" s="226">
        <f>IF(AND(R1273="",S1273="Yes",L1273&lt;0,B1273&lt;&gt;"TXO"),L1273,"")</f>
        <v/>
      </c>
    </row>
    <row r="1274" hidden="1" outlineLevel="2" collapsed="1" ht="17.25" customHeight="1" thickBot="1">
      <c r="A1274" s="740" t="n">
        <v>43385</v>
      </c>
      <c r="B1274" s="299" t="inlineStr">
        <is>
          <t>FIMTX</t>
        </is>
      </c>
      <c r="C1274" s="300" t="inlineStr">
        <is>
          <t>小指10</t>
        </is>
      </c>
      <c r="D1274" s="300" t="inlineStr">
        <is>
          <t>新倉</t>
        </is>
      </c>
      <c r="E1274" s="301" t="inlineStr">
        <is>
          <t>買</t>
        </is>
      </c>
      <c r="F1274" s="300" t="inlineStr">
        <is>
          <t>-</t>
        </is>
      </c>
      <c r="G1274" s="741" t="n">
        <v>1</v>
      </c>
      <c r="H1274" s="741" t="n">
        <v>9958</v>
      </c>
      <c r="I1274" s="741" t="n">
        <v>0</v>
      </c>
      <c r="J1274" s="742" t="n">
        <v>23</v>
      </c>
      <c r="K1274" s="742" t="n">
        <v>10</v>
      </c>
      <c r="L1274" s="742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/>
      </c>
      <c r="M1274" s="743">
        <f>L1274</f>
        <v/>
      </c>
      <c r="N1274" s="686">
        <f>IF(B1274="TXO","",IF(D1274="新倉","",IF(E1274="賣",(H1274-H1273)*G1274,(H1273-H1274)*G1274)))</f>
        <v/>
      </c>
      <c r="O1274" s="226" t="n">
        <v>0</v>
      </c>
      <c r="P1274" s="667">
        <f>SUM(L1274:L1301)</f>
        <v/>
      </c>
      <c r="Q1274" s="249" t="inlineStr">
        <is>
          <t>技法: 3/3 買進二口</t>
        </is>
      </c>
      <c r="R1274" s="249" t="inlineStr">
        <is>
          <t>Yes</t>
        </is>
      </c>
      <c r="S1274" s="249" t="inlineStr">
        <is>
          <t>Yes</t>
        </is>
      </c>
      <c r="T1274" s="61">
        <f>IF(AND(R1274="Yes",S1274&lt;&gt;"Yes",L1274&gt;0,B1274&lt;&gt;"TXO"),L1274,"")</f>
        <v/>
      </c>
      <c r="U1274" s="61">
        <f>IF(AND(R1274="Yes",S1274&lt;&gt;"Yes",L1274&lt;0,B1274&lt;&gt;"TXO"),L1274,"")</f>
        <v/>
      </c>
      <c r="V1274" s="61">
        <f>IF(AND(R1274="",S1274&lt;&gt;"Yes",L1274&gt;0,B1274&lt;&gt;"TXO"),L1274,"")</f>
        <v/>
      </c>
      <c r="W1274" s="61">
        <f>IF(AND(R1274="",S1274&lt;&gt;"Yes",L1274&lt;0,B1274&lt;&gt;"TXO"),L1274,"")</f>
        <v/>
      </c>
      <c r="X1274" s="226">
        <f>IF(AND(R1274="Yes",S1274="Yes",L1274&gt;0,B1274&lt;&gt;"TXO"),L1274,"")</f>
        <v/>
      </c>
      <c r="Y1274" s="226">
        <f>IF(AND(R1274="Yes",S1274="Yes",L1274&lt;0,B1274&lt;&gt;"TXO"),L1274,"")</f>
        <v/>
      </c>
      <c r="Z1274" s="226">
        <f>IF(AND(R1274="",S1274="Yes",L1274&gt;0,B1274&lt;&gt;"TXO"),L1274,"")</f>
        <v/>
      </c>
      <c r="AA1274" s="226">
        <f>IF(AND(R1274="",S1274="Yes",L1274&lt;0,B1274&lt;&gt;"TXO"),L1274,"")</f>
        <v/>
      </c>
    </row>
    <row r="1275" hidden="1" outlineLevel="2" collapsed="1" ht="17.25" customHeight="1" thickBot="1">
      <c r="A1275" s="740" t="n">
        <v>43385</v>
      </c>
      <c r="B1275" s="299" t="inlineStr">
        <is>
          <t>FIMTX</t>
        </is>
      </c>
      <c r="C1275" s="300" t="inlineStr">
        <is>
          <t>小指10</t>
        </is>
      </c>
      <c r="D1275" s="300" t="inlineStr">
        <is>
          <t>平倉</t>
        </is>
      </c>
      <c r="E1275" s="301" t="inlineStr">
        <is>
          <t>賣</t>
        </is>
      </c>
      <c r="F1275" s="300" t="inlineStr">
        <is>
          <t>-</t>
        </is>
      </c>
      <c r="G1275" s="741" t="n">
        <v>1</v>
      </c>
      <c r="H1275" s="741" t="n">
        <v>9948</v>
      </c>
      <c r="I1275" s="741" t="n">
        <v>0</v>
      </c>
      <c r="J1275" s="742" t="n">
        <v>23</v>
      </c>
      <c r="K1275" s="742" t="n">
        <v>10</v>
      </c>
      <c r="L1275" s="742">
        <f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/>
      </c>
      <c r="M1275" s="743">
        <f>L1275</f>
        <v/>
      </c>
      <c r="N1275" s="686">
        <f>IF(B1275="TXO","",IF(D1275="新倉","",IF(E1275="賣",(H1275-H1274)*G1275,(H1274-H1275)*G1275)))</f>
        <v/>
      </c>
      <c r="O1275" s="226" t="n">
        <v>0</v>
      </c>
      <c r="P1275" s="667" t="n"/>
      <c r="Q1275" s="249" t="inlineStr">
        <is>
          <t>技法: 碰10MA停損</t>
        </is>
      </c>
      <c r="R1275" s="249" t="inlineStr">
        <is>
          <t>Yes</t>
        </is>
      </c>
      <c r="S1275" s="249" t="inlineStr">
        <is>
          <t>Yes</t>
        </is>
      </c>
      <c r="T1275" s="61">
        <f>IF(AND(R1275="Yes",S1275&lt;&gt;"Yes",L1275&gt;0,B1275&lt;&gt;"TXO"),L1275,"")</f>
        <v/>
      </c>
      <c r="U1275" s="61">
        <f>IF(AND(R1275="Yes",S1275&lt;&gt;"Yes",L1275&lt;0,B1275&lt;&gt;"TXO"),L1275,"")</f>
        <v/>
      </c>
      <c r="V1275" s="61">
        <f>IF(AND(R1275="",S1275&lt;&gt;"Yes",L1275&gt;0,B1275&lt;&gt;"TXO"),L1275,"")</f>
        <v/>
      </c>
      <c r="W1275" s="61">
        <f>IF(AND(R1275="",S1275&lt;&gt;"Yes",L1275&lt;0,B1275&lt;&gt;"TXO"),L1275,"")</f>
        <v/>
      </c>
      <c r="X1275" s="226">
        <f>IF(AND(R1275="Yes",S1275="Yes",L1275&gt;0,B1275&lt;&gt;"TXO"),L1275,"")</f>
        <v/>
      </c>
      <c r="Y1275" s="226">
        <f>IF(AND(R1275="Yes",S1275="Yes",L1275&lt;0,B1275&lt;&gt;"TXO"),L1275,"")</f>
        <v/>
      </c>
      <c r="Z1275" s="226">
        <f>IF(AND(R1275="",S1275="Yes",L1275&gt;0,B1275&lt;&gt;"TXO"),L1275,"")</f>
        <v/>
      </c>
      <c r="AA1275" s="226">
        <f>IF(AND(R1275="",S1275="Yes",L1275&lt;0,B1275&lt;&gt;"TXO"),L1275,"")</f>
        <v/>
      </c>
    </row>
    <row r="1276" hidden="1" outlineLevel="2" collapsed="1" ht="17.25" customHeight="1" thickBot="1">
      <c r="A1276" s="740" t="n">
        <v>43385</v>
      </c>
      <c r="B1276" s="299" t="inlineStr">
        <is>
          <t>FIMTX</t>
        </is>
      </c>
      <c r="C1276" s="300" t="inlineStr">
        <is>
          <t>小指10</t>
        </is>
      </c>
      <c r="D1276" s="300" t="inlineStr">
        <is>
          <t>新倉</t>
        </is>
      </c>
      <c r="E1276" s="301" t="inlineStr">
        <is>
          <t>買</t>
        </is>
      </c>
      <c r="F1276" s="300" t="inlineStr">
        <is>
          <t>-</t>
        </is>
      </c>
      <c r="G1276" s="741" t="n">
        <v>1</v>
      </c>
      <c r="H1276" s="741" t="n">
        <v>9957</v>
      </c>
      <c r="I1276" s="741" t="n">
        <v>0</v>
      </c>
      <c r="J1276" s="742" t="n">
        <v>23</v>
      </c>
      <c r="K1276" s="742" t="n">
        <v>10</v>
      </c>
      <c r="L1276" s="742">
        <f>IF(B1276="TXO",I1276-SUM(J1276:K1276),IF(B1276="FITX",IF(D1276="新倉",-SUM(J1276:K1276),IF(E1276="賣",(H1276-H1275)*G1276*200-SUM(J1276:K1276),(H1275-H1276)*G1276*200-SUM(J1276:K1276))),IF(D1276="新倉",-SUM(J1276:K1276),IF(E1276="賣",(H1276-H1275)*G1276*50-SUM(J1276:K1276),(H1275-H1276)*G1276*50-SUM(J1276:K1276)))))</f>
        <v/>
      </c>
      <c r="M1276" s="743">
        <f>L1276</f>
        <v/>
      </c>
      <c r="N1276" s="686">
        <f>IF(B1276="TXO","",IF(D1276="新倉","",IF(E1276="賣",(H1276-H1275)*G1276,(H1275-H1276)*G1276)))</f>
        <v/>
      </c>
      <c r="O1276" s="226" t="n">
        <v>0</v>
      </c>
      <c r="P1276" s="667" t="n"/>
      <c r="R1276" s="249" t="inlineStr">
        <is>
          <t>Yes</t>
        </is>
      </c>
      <c r="S1276" s="249" t="inlineStr">
        <is>
          <t>Yes</t>
        </is>
      </c>
      <c r="T1276" s="61">
        <f>IF(AND(R1276="Yes",S1276&lt;&gt;"Yes",L1276&gt;0,B1276&lt;&gt;"TXO"),L1276,"")</f>
        <v/>
      </c>
      <c r="U1276" s="61">
        <f>IF(AND(R1276="Yes",S1276&lt;&gt;"Yes",L1276&lt;0,B1276&lt;&gt;"TXO"),L1276,"")</f>
        <v/>
      </c>
      <c r="V1276" s="61">
        <f>IF(AND(R1276="",S1276&lt;&gt;"Yes",L1276&gt;0,B1276&lt;&gt;"TXO"),L1276,"")</f>
        <v/>
      </c>
      <c r="W1276" s="61">
        <f>IF(AND(R1276="",S1276&lt;&gt;"Yes",L1276&lt;0,B1276&lt;&gt;"TXO"),L1276,"")</f>
        <v/>
      </c>
      <c r="X1276" s="226">
        <f>IF(AND(R1276="Yes",S1276="Yes",L1276&gt;0,B1276&lt;&gt;"TXO"),L1276,"")</f>
        <v/>
      </c>
      <c r="Y1276" s="226">
        <f>IF(AND(R1276="Yes",S1276="Yes",L1276&lt;0,B1276&lt;&gt;"TXO"),L1276,"")</f>
        <v/>
      </c>
      <c r="Z1276" s="226">
        <f>IF(AND(R1276="",S1276="Yes",L1276&gt;0,B1276&lt;&gt;"TXO"),L1276,"")</f>
        <v/>
      </c>
      <c r="AA1276" s="226">
        <f>IF(AND(R1276="",S1276="Yes",L1276&lt;0,B1276&lt;&gt;"TXO"),L1276,"")</f>
        <v/>
      </c>
    </row>
    <row r="1277" hidden="1" outlineLevel="2" collapsed="1" ht="17.25" customHeight="1" thickBot="1">
      <c r="A1277" s="740" t="n">
        <v>43385</v>
      </c>
      <c r="B1277" s="299" t="inlineStr">
        <is>
          <t>FIMTX</t>
        </is>
      </c>
      <c r="C1277" s="300" t="inlineStr">
        <is>
          <t>小指10</t>
        </is>
      </c>
      <c r="D1277" s="300" t="inlineStr">
        <is>
          <t>平倉</t>
        </is>
      </c>
      <c r="E1277" s="301" t="inlineStr">
        <is>
          <t>賣</t>
        </is>
      </c>
      <c r="F1277" s="300" t="inlineStr">
        <is>
          <t>-</t>
        </is>
      </c>
      <c r="G1277" s="741" t="n">
        <v>1</v>
      </c>
      <c r="H1277" s="741" t="n">
        <v>9948</v>
      </c>
      <c r="I1277" s="741" t="n">
        <v>0</v>
      </c>
      <c r="J1277" s="742" t="n">
        <v>23</v>
      </c>
      <c r="K1277" s="742" t="n">
        <v>10</v>
      </c>
      <c r="L1277" s="742">
        <f>IF(B1277="TXO",I1277-SUM(J1277:K1277),IF(B1277="FITX",IF(D1277="新倉",-SUM(J1277:K1277),IF(E1277="賣",(H1277-H1276)*G1277*200-SUM(J1277:K1277),(H1276-H1277)*G1277*200-SUM(J1277:K1277))),IF(D1277="新倉",-SUM(J1277:K1277),IF(E1277="賣",(H1277-H1276)*G1277*50-SUM(J1277:K1277),(H1276-H1277)*G1277*50-SUM(J1277:K1277)))))</f>
        <v/>
      </c>
      <c r="M1277" s="743">
        <f>L1277</f>
        <v/>
      </c>
      <c r="N1277" s="686">
        <f>IF(B1277="TXO","",IF(D1277="新倉","",IF(E1277="賣",(H1277-H1276)*G1277,(H1276-H1277)*G1277)))</f>
        <v/>
      </c>
      <c r="O1277" s="226" t="n">
        <v>0</v>
      </c>
      <c r="P1277" s="667" t="n"/>
      <c r="Q1277" s="249" t="inlineStr">
        <is>
          <t>技法: 碰10MA停損</t>
        </is>
      </c>
      <c r="R1277" s="249" t="inlineStr">
        <is>
          <t>Yes</t>
        </is>
      </c>
      <c r="S1277" s="249" t="inlineStr">
        <is>
          <t>Yes</t>
        </is>
      </c>
      <c r="T1277" s="61">
        <f>IF(AND(R1277="Yes",S1277&lt;&gt;"Yes",L1277&gt;0,B1277&lt;&gt;"TXO"),L1277,"")</f>
        <v/>
      </c>
      <c r="U1277" s="61">
        <f>IF(AND(R1277="Yes",S1277&lt;&gt;"Yes",L1277&lt;0,B1277&lt;&gt;"TXO"),L1277,"")</f>
        <v/>
      </c>
      <c r="V1277" s="61">
        <f>IF(AND(R1277="",S1277&lt;&gt;"Yes",L1277&gt;0,B1277&lt;&gt;"TXO"),L1277,"")</f>
        <v/>
      </c>
      <c r="W1277" s="61">
        <f>IF(AND(R1277="",S1277&lt;&gt;"Yes",L1277&lt;0,B1277&lt;&gt;"TXO"),L1277,"")</f>
        <v/>
      </c>
      <c r="X1277" s="226">
        <f>IF(AND(R1277="Yes",S1277="Yes",L1277&gt;0,B1277&lt;&gt;"TXO"),L1277,"")</f>
        <v/>
      </c>
      <c r="Y1277" s="226">
        <f>IF(AND(R1277="Yes",S1277="Yes",L1277&lt;0,B1277&lt;&gt;"TXO"),L1277,"")</f>
        <v/>
      </c>
      <c r="Z1277" s="226">
        <f>IF(AND(R1277="",S1277="Yes",L1277&gt;0,B1277&lt;&gt;"TXO"),L1277,"")</f>
        <v/>
      </c>
      <c r="AA1277" s="226">
        <f>IF(AND(R1277="",S1277="Yes",L1277&lt;0,B1277&lt;&gt;"TXO"),L1277,"")</f>
        <v/>
      </c>
    </row>
    <row r="1278" hidden="1" outlineLevel="2" collapsed="1" ht="17.25" customHeight="1" thickBot="1">
      <c r="A1278" s="740" t="n">
        <v>43385</v>
      </c>
      <c r="B1278" s="299" t="inlineStr">
        <is>
          <t>FIMTX</t>
        </is>
      </c>
      <c r="C1278" s="300" t="inlineStr">
        <is>
          <t>小指10</t>
        </is>
      </c>
      <c r="D1278" s="300" t="inlineStr">
        <is>
          <t>新倉</t>
        </is>
      </c>
      <c r="E1278" s="301" t="inlineStr">
        <is>
          <t>賣</t>
        </is>
      </c>
      <c r="F1278" s="300" t="inlineStr">
        <is>
          <t>-</t>
        </is>
      </c>
      <c r="G1278" s="741" t="n">
        <v>1</v>
      </c>
      <c r="H1278" s="741" t="n">
        <v>9945</v>
      </c>
      <c r="I1278" s="741" t="n">
        <v>0</v>
      </c>
      <c r="J1278" s="742" t="n">
        <v>23</v>
      </c>
      <c r="K1278" s="742" t="n">
        <v>10</v>
      </c>
      <c r="L1278" s="742">
        <f>IF(B1278="TXO",I1278-SUM(J1278:K1278),IF(B1278="FITX",IF(D1278="新倉",-SUM(J1278:K1278),IF(E1278="賣",(H1278-H1277)*G1278*200-SUM(J1278:K1278),(H1277-H1278)*G1278*200-SUM(J1278:K1278))),IF(D1278="新倉",-SUM(J1278:K1278),IF(E1278="賣",(H1278-H1277)*G1278*50-SUM(J1278:K1278),(H1277-H1278)*G1278*50-SUM(J1278:K1278)))))</f>
        <v/>
      </c>
      <c r="M1278" s="743">
        <f>L1278</f>
        <v/>
      </c>
      <c r="N1278" s="686">
        <f>IF(B1278="TXO","",IF(D1278="新倉","",IF(E1278="賣",(H1278-H1277)*G1278,(H1277-H1278)*G1278)))</f>
        <v/>
      </c>
      <c r="O1278" s="226" t="n">
        <v>0</v>
      </c>
      <c r="P1278" s="667" t="n"/>
      <c r="Q1278" s="249" t="inlineStr">
        <is>
          <t>技法: 3/3 買進三口</t>
        </is>
      </c>
      <c r="R1278" s="249" t="inlineStr">
        <is>
          <t>Yes</t>
        </is>
      </c>
      <c r="S1278" s="249" t="inlineStr">
        <is>
          <t>Yes</t>
        </is>
      </c>
      <c r="T1278" s="61">
        <f>IF(AND(R1278="Yes",S1278&lt;&gt;"Yes",L1278&gt;0,B1278&lt;&gt;"TXO"),L1278,"")</f>
        <v/>
      </c>
      <c r="U1278" s="61">
        <f>IF(AND(R1278="Yes",S1278&lt;&gt;"Yes",L1278&lt;0,B1278&lt;&gt;"TXO"),L1278,"")</f>
        <v/>
      </c>
      <c r="V1278" s="61">
        <f>IF(AND(R1278="",S1278&lt;&gt;"Yes",L1278&gt;0,B1278&lt;&gt;"TXO"),L1278,"")</f>
        <v/>
      </c>
      <c r="W1278" s="61">
        <f>IF(AND(R1278="",S1278&lt;&gt;"Yes",L1278&lt;0,B1278&lt;&gt;"TXO"),L1278,"")</f>
        <v/>
      </c>
      <c r="X1278" s="226">
        <f>IF(AND(R1278="Yes",S1278="Yes",L1278&gt;0,B1278&lt;&gt;"TXO"),L1278,"")</f>
        <v/>
      </c>
      <c r="Y1278" s="226">
        <f>IF(AND(R1278="Yes",S1278="Yes",L1278&lt;0,B1278&lt;&gt;"TXO"),L1278,"")</f>
        <v/>
      </c>
      <c r="Z1278" s="226">
        <f>IF(AND(R1278="",S1278="Yes",L1278&gt;0,B1278&lt;&gt;"TXO"),L1278,"")</f>
        <v/>
      </c>
      <c r="AA1278" s="226">
        <f>IF(AND(R1278="",S1278="Yes",L1278&lt;0,B1278&lt;&gt;"TXO"),L1278,"")</f>
        <v/>
      </c>
    </row>
    <row r="1279" hidden="1" outlineLevel="2" collapsed="1" ht="17.25" customHeight="1" thickBot="1">
      <c r="A1279" s="740" t="n">
        <v>43385</v>
      </c>
      <c r="B1279" s="299" t="inlineStr">
        <is>
          <t>FIMTX</t>
        </is>
      </c>
      <c r="C1279" s="300" t="inlineStr">
        <is>
          <t>小指10</t>
        </is>
      </c>
      <c r="D1279" s="300" t="inlineStr">
        <is>
          <t>平倉</t>
        </is>
      </c>
      <c r="E1279" s="301" t="inlineStr">
        <is>
          <t>買</t>
        </is>
      </c>
      <c r="F1279" s="300" t="inlineStr">
        <is>
          <t>-</t>
        </is>
      </c>
      <c r="G1279" s="741" t="n">
        <v>1</v>
      </c>
      <c r="H1279" s="741" t="n">
        <v>9939</v>
      </c>
      <c r="I1279" s="741" t="n">
        <v>0</v>
      </c>
      <c r="J1279" s="742" t="n">
        <v>23</v>
      </c>
      <c r="K1279" s="742" t="n">
        <v>10</v>
      </c>
      <c r="L1279" s="742">
        <f>IF(B1279="TXO",I1279-SUM(J1279:K1279),IF(B1279="FITX",IF(D1279="新倉",-SUM(J1279:K1279),IF(E1279="賣",(H1279-H1278)*G1279*200-SUM(J1279:K1279),(H1278-H1279)*G1279*200-SUM(J1279:K1279))),IF(D1279="新倉",-SUM(J1279:K1279),IF(E1279="賣",(H1279-H1278)*G1279*50-SUM(J1279:K1279),(H1278-H1279)*G1279*50-SUM(J1279:K1279)))))</f>
        <v/>
      </c>
      <c r="M1279" s="743">
        <f>L1279</f>
        <v/>
      </c>
      <c r="N1279" s="686">
        <f>IF(B1279="TXO","",IF(D1279="新倉","",IF(E1279="賣",(H1279-H1278)*G1279,(H1278-H1279)*G1279)))</f>
        <v/>
      </c>
      <c r="O1279" s="226" t="n">
        <v>0</v>
      </c>
      <c r="P1279" s="667" t="n"/>
      <c r="Q1279" s="249" t="inlineStr">
        <is>
          <t>技法: 刺補</t>
        </is>
      </c>
      <c r="R1279" s="249" t="inlineStr">
        <is>
          <t>Yes</t>
        </is>
      </c>
      <c r="S1279" s="249" t="inlineStr">
        <is>
          <t>Yes</t>
        </is>
      </c>
      <c r="T1279" s="61">
        <f>IF(AND(R1279="Yes",S1279&lt;&gt;"Yes",L1279&gt;0,B1279&lt;&gt;"TXO"),L1279,"")</f>
        <v/>
      </c>
      <c r="U1279" s="61">
        <f>IF(AND(R1279="Yes",S1279&lt;&gt;"Yes",L1279&lt;0,B1279&lt;&gt;"TXO"),L1279,"")</f>
        <v/>
      </c>
      <c r="V1279" s="61">
        <f>IF(AND(R1279="",S1279&lt;&gt;"Yes",L1279&gt;0,B1279&lt;&gt;"TXO"),L1279,"")</f>
        <v/>
      </c>
      <c r="W1279" s="61">
        <f>IF(AND(R1279="",S1279&lt;&gt;"Yes",L1279&lt;0,B1279&lt;&gt;"TXO"),L1279,"")</f>
        <v/>
      </c>
      <c r="X1279" s="226">
        <f>IF(AND(R1279="Yes",S1279="Yes",L1279&gt;0,B1279&lt;&gt;"TXO"),L1279,"")</f>
        <v/>
      </c>
      <c r="Y1279" s="226">
        <f>IF(AND(R1279="Yes",S1279="Yes",L1279&lt;0,B1279&lt;&gt;"TXO"),L1279,"")</f>
        <v/>
      </c>
      <c r="Z1279" s="226">
        <f>IF(AND(R1279="",S1279="Yes",L1279&gt;0,B1279&lt;&gt;"TXO"),L1279,"")</f>
        <v/>
      </c>
      <c r="AA1279" s="226">
        <f>IF(AND(R1279="",S1279="Yes",L1279&lt;0,B1279&lt;&gt;"TXO"),L1279,"")</f>
        <v/>
      </c>
    </row>
    <row r="1280" hidden="1" outlineLevel="2" collapsed="1" ht="17.25" customHeight="1" thickBot="1">
      <c r="A1280" s="740" t="n">
        <v>43385</v>
      </c>
      <c r="B1280" s="299" t="inlineStr">
        <is>
          <t>FIMTX</t>
        </is>
      </c>
      <c r="C1280" s="300" t="inlineStr">
        <is>
          <t>小指10</t>
        </is>
      </c>
      <c r="D1280" s="300" t="inlineStr">
        <is>
          <t>新倉</t>
        </is>
      </c>
      <c r="E1280" s="301" t="inlineStr">
        <is>
          <t>賣</t>
        </is>
      </c>
      <c r="F1280" s="300" t="inlineStr">
        <is>
          <t>-</t>
        </is>
      </c>
      <c r="G1280" s="741" t="n">
        <v>1</v>
      </c>
      <c r="H1280" s="741" t="n">
        <v>9945</v>
      </c>
      <c r="I1280" s="741" t="n">
        <v>0</v>
      </c>
      <c r="J1280" s="742" t="n">
        <v>23</v>
      </c>
      <c r="K1280" s="742" t="n">
        <v>10</v>
      </c>
      <c r="L1280" s="742">
        <f>IF(B1280="TXO",I1280-SUM(J1280:K1280),IF(B1280="FITX",IF(D1280="新倉",-SUM(J1280:K1280),IF(E1280="賣",(H1280-H1279)*G1280*200-SUM(J1280:K1280),(H1279-H1280)*G1280*200-SUM(J1280:K1280))),IF(D1280="新倉",-SUM(J1280:K1280),IF(E1280="賣",(H1280-H1279)*G1280*50-SUM(J1280:K1280),(H1279-H1280)*G1280*50-SUM(J1280:K1280)))))</f>
        <v/>
      </c>
      <c r="M1280" s="743">
        <f>L1280</f>
        <v/>
      </c>
      <c r="N1280" s="686">
        <f>IF(B1280="TXO","",IF(D1280="新倉","",IF(E1280="賣",(H1280-H1279)*G1280,(H1279-H1280)*G1280)))</f>
        <v/>
      </c>
      <c r="O1280" s="226" t="n">
        <v>0</v>
      </c>
      <c r="P1280" s="667" t="n"/>
      <c r="R1280" s="249" t="inlineStr">
        <is>
          <t>Yes</t>
        </is>
      </c>
      <c r="S1280" s="249" t="inlineStr">
        <is>
          <t>Yes</t>
        </is>
      </c>
      <c r="T1280" s="61">
        <f>IF(AND(R1280="Yes",S1280&lt;&gt;"Yes",L1280&gt;0,B1280&lt;&gt;"TXO"),L1280,"")</f>
        <v/>
      </c>
      <c r="U1280" s="61">
        <f>IF(AND(R1280="Yes",S1280&lt;&gt;"Yes",L1280&lt;0,B1280&lt;&gt;"TXO"),L1280,"")</f>
        <v/>
      </c>
      <c r="V1280" s="61">
        <f>IF(AND(R1280="",S1280&lt;&gt;"Yes",L1280&gt;0,B1280&lt;&gt;"TXO"),L1280,"")</f>
        <v/>
      </c>
      <c r="W1280" s="61">
        <f>IF(AND(R1280="",S1280&lt;&gt;"Yes",L1280&lt;0,B1280&lt;&gt;"TXO"),L1280,"")</f>
        <v/>
      </c>
      <c r="X1280" s="226">
        <f>IF(AND(R1280="Yes",S1280="Yes",L1280&gt;0,B1280&lt;&gt;"TXO"),L1280,"")</f>
        <v/>
      </c>
      <c r="Y1280" s="226">
        <f>IF(AND(R1280="Yes",S1280="Yes",L1280&lt;0,B1280&lt;&gt;"TXO"),L1280,"")</f>
        <v/>
      </c>
      <c r="Z1280" s="226">
        <f>IF(AND(R1280="",S1280="Yes",L1280&gt;0,B1280&lt;&gt;"TXO"),L1280,"")</f>
        <v/>
      </c>
      <c r="AA1280" s="226">
        <f>IF(AND(R1280="",S1280="Yes",L1280&lt;0,B1280&lt;&gt;"TXO"),L1280,"")</f>
        <v/>
      </c>
    </row>
    <row r="1281" hidden="1" outlineLevel="2" collapsed="1" ht="17.25" customHeight="1" thickBot="1">
      <c r="A1281" s="740" t="n">
        <v>43385</v>
      </c>
      <c r="B1281" s="299" t="inlineStr">
        <is>
          <t>FIMTX</t>
        </is>
      </c>
      <c r="C1281" s="300" t="inlineStr">
        <is>
          <t>小指10</t>
        </is>
      </c>
      <c r="D1281" s="300" t="inlineStr">
        <is>
          <t>平倉</t>
        </is>
      </c>
      <c r="E1281" s="301" t="inlineStr">
        <is>
          <t>買</t>
        </is>
      </c>
      <c r="F1281" s="300" t="inlineStr">
        <is>
          <t>-</t>
        </is>
      </c>
      <c r="G1281" s="741" t="n">
        <v>1</v>
      </c>
      <c r="H1281" s="741" t="n">
        <v>9944</v>
      </c>
      <c r="I1281" s="741" t="n">
        <v>0</v>
      </c>
      <c r="J1281" s="742" t="n">
        <v>23</v>
      </c>
      <c r="K1281" s="742" t="n">
        <v>10</v>
      </c>
      <c r="L1281" s="742">
        <f>IF(B1281="TXO",I1281-SUM(J1281:K1281),IF(B1281="FITX",IF(D1281="新倉",-SUM(J1281:K1281),IF(E1281="賣",(H1281-H1280)*G1281*200-SUM(J1281:K1281),(H1280-H1281)*G1281*200-SUM(J1281:K1281))),IF(D1281="新倉",-SUM(J1281:K1281),IF(E1281="賣",(H1281-H1280)*G1281*50-SUM(J1281:K1281),(H1280-H1281)*G1281*50-SUM(J1281:K1281)))))</f>
        <v/>
      </c>
      <c r="M1281" s="743">
        <f>L1281</f>
        <v/>
      </c>
      <c r="N1281" s="686">
        <f>IF(B1281="TXO","",IF(D1281="新倉","",IF(E1281="賣",(H1281-H1280)*G1281,(H1280-H1281)*G1281)))</f>
        <v/>
      </c>
      <c r="O1281" s="226" t="n">
        <v>0</v>
      </c>
      <c r="P1281" s="667" t="n"/>
      <c r="Q1281" s="249" t="inlineStr">
        <is>
          <t>技法: 移動式停利</t>
        </is>
      </c>
      <c r="R1281" s="249" t="inlineStr">
        <is>
          <t>Yes</t>
        </is>
      </c>
      <c r="S1281" s="249" t="inlineStr">
        <is>
          <t>Yes</t>
        </is>
      </c>
      <c r="T1281" s="61">
        <f>IF(AND(R1281="Yes",S1281&lt;&gt;"Yes",L1281&gt;0,B1281&lt;&gt;"TXO"),L1281,"")</f>
        <v/>
      </c>
      <c r="U1281" s="61">
        <f>IF(AND(R1281="Yes",S1281&lt;&gt;"Yes",L1281&lt;0,B1281&lt;&gt;"TXO"),L1281,"")</f>
        <v/>
      </c>
      <c r="V1281" s="61">
        <f>IF(AND(R1281="",S1281&lt;&gt;"Yes",L1281&gt;0,B1281&lt;&gt;"TXO"),L1281,"")</f>
        <v/>
      </c>
      <c r="W1281" s="61">
        <f>IF(AND(R1281="",S1281&lt;&gt;"Yes",L1281&lt;0,B1281&lt;&gt;"TXO"),L1281,"")</f>
        <v/>
      </c>
      <c r="X1281" s="226">
        <f>IF(AND(R1281="Yes",S1281="Yes",L1281&gt;0,B1281&lt;&gt;"TXO"),L1281,"")</f>
        <v/>
      </c>
      <c r="Y1281" s="226">
        <f>IF(AND(R1281="Yes",S1281="Yes",L1281&lt;0,B1281&lt;&gt;"TXO"),L1281,"")</f>
        <v/>
      </c>
      <c r="Z1281" s="226">
        <f>IF(AND(R1281="",S1281="Yes",L1281&gt;0,B1281&lt;&gt;"TXO"),L1281,"")</f>
        <v/>
      </c>
      <c r="AA1281" s="226">
        <f>IF(AND(R1281="",S1281="Yes",L1281&lt;0,B1281&lt;&gt;"TXO"),L1281,"")</f>
        <v/>
      </c>
    </row>
    <row r="1282" hidden="1" outlineLevel="2" collapsed="1" ht="17.25" customHeight="1" thickBot="1">
      <c r="A1282" s="740" t="n">
        <v>43385</v>
      </c>
      <c r="B1282" s="299" t="inlineStr">
        <is>
          <t>FIMTX</t>
        </is>
      </c>
      <c r="C1282" s="300" t="inlineStr">
        <is>
          <t>小指10</t>
        </is>
      </c>
      <c r="D1282" s="300" t="inlineStr">
        <is>
          <t>新倉</t>
        </is>
      </c>
      <c r="E1282" s="301" t="inlineStr">
        <is>
          <t>賣</t>
        </is>
      </c>
      <c r="F1282" s="300" t="inlineStr">
        <is>
          <t>-</t>
        </is>
      </c>
      <c r="G1282" s="741" t="n">
        <v>1</v>
      </c>
      <c r="H1282" s="741" t="n">
        <v>9945</v>
      </c>
      <c r="I1282" s="741" t="n">
        <v>0</v>
      </c>
      <c r="J1282" s="742" t="n">
        <v>23</v>
      </c>
      <c r="K1282" s="742" t="n">
        <v>10</v>
      </c>
      <c r="L1282" s="742">
        <f>IF(B1282="TXO",I1282-SUM(J1282:K1282),IF(B1282="FITX",IF(D1282="新倉",-SUM(J1282:K1282),IF(E1282="賣",(H1282-H1281)*G1282*200-SUM(J1282:K1282),(H1281-H1282)*G1282*200-SUM(J1282:K1282))),IF(D1282="新倉",-SUM(J1282:K1282),IF(E1282="賣",(H1282-H1281)*G1282*50-SUM(J1282:K1282),(H1281-H1282)*G1282*50-SUM(J1282:K1282)))))</f>
        <v/>
      </c>
      <c r="M1282" s="743">
        <f>L1282</f>
        <v/>
      </c>
      <c r="N1282" s="686">
        <f>IF(B1282="TXO","",IF(D1282="新倉","",IF(E1282="賣",(H1282-H1281)*G1282,(H1281-H1282)*G1282)))</f>
        <v/>
      </c>
      <c r="O1282" s="226" t="n">
        <v>0</v>
      </c>
      <c r="P1282" s="667" t="n"/>
      <c r="R1282" s="249" t="inlineStr">
        <is>
          <t>Yes</t>
        </is>
      </c>
      <c r="S1282" s="249" t="inlineStr">
        <is>
          <t>Yes</t>
        </is>
      </c>
      <c r="T1282" s="61">
        <f>IF(AND(R1282="Yes",S1282&lt;&gt;"Yes",L1282&gt;0,B1282&lt;&gt;"TXO"),L1282,"")</f>
        <v/>
      </c>
      <c r="U1282" s="61">
        <f>IF(AND(R1282="Yes",S1282&lt;&gt;"Yes",L1282&lt;0,B1282&lt;&gt;"TXO"),L1282,"")</f>
        <v/>
      </c>
      <c r="V1282" s="61">
        <f>IF(AND(R1282="",S1282&lt;&gt;"Yes",L1282&gt;0,B1282&lt;&gt;"TXO"),L1282,"")</f>
        <v/>
      </c>
      <c r="W1282" s="61">
        <f>IF(AND(R1282="",S1282&lt;&gt;"Yes",L1282&lt;0,B1282&lt;&gt;"TXO"),L1282,"")</f>
        <v/>
      </c>
      <c r="X1282" s="226">
        <f>IF(AND(R1282="Yes",S1282="Yes",L1282&gt;0,B1282&lt;&gt;"TXO"),L1282,"")</f>
        <v/>
      </c>
      <c r="Y1282" s="226">
        <f>IF(AND(R1282="Yes",S1282="Yes",L1282&lt;0,B1282&lt;&gt;"TXO"),L1282,"")</f>
        <v/>
      </c>
      <c r="Z1282" s="226">
        <f>IF(AND(R1282="",S1282="Yes",L1282&gt;0,B1282&lt;&gt;"TXO"),L1282,"")</f>
        <v/>
      </c>
      <c r="AA1282" s="226">
        <f>IF(AND(R1282="",S1282="Yes",L1282&lt;0,B1282&lt;&gt;"TXO"),L1282,"")</f>
        <v/>
      </c>
    </row>
    <row r="1283" hidden="1" outlineLevel="2" collapsed="1" ht="17.25" customHeight="1" thickBot="1">
      <c r="A1283" s="740" t="n">
        <v>43385</v>
      </c>
      <c r="B1283" s="299" t="inlineStr">
        <is>
          <t>FIMTX</t>
        </is>
      </c>
      <c r="C1283" s="300" t="inlineStr">
        <is>
          <t>小指10</t>
        </is>
      </c>
      <c r="D1283" s="300" t="inlineStr">
        <is>
          <t>平倉</t>
        </is>
      </c>
      <c r="E1283" s="301" t="inlineStr">
        <is>
          <t>買</t>
        </is>
      </c>
      <c r="F1283" s="300" t="inlineStr">
        <is>
          <t>-</t>
        </is>
      </c>
      <c r="G1283" s="741" t="n">
        <v>1</v>
      </c>
      <c r="H1283" s="741" t="n">
        <v>9944</v>
      </c>
      <c r="I1283" s="741" t="n">
        <v>0</v>
      </c>
      <c r="J1283" s="742" t="n">
        <v>23</v>
      </c>
      <c r="K1283" s="742" t="n">
        <v>10</v>
      </c>
      <c r="L1283" s="742">
        <f>IF(B1283="TXO",I1283-SUM(J1283:K1283),IF(B1283="FITX",IF(D1283="新倉",-SUM(J1283:K1283),IF(E1283="賣",(H1283-H1282)*G1283*200-SUM(J1283:K1283),(H1282-H1283)*G1283*200-SUM(J1283:K1283))),IF(D1283="新倉",-SUM(J1283:K1283),IF(E1283="賣",(H1283-H1282)*G1283*50-SUM(J1283:K1283),(H1282-H1283)*G1283*50-SUM(J1283:K1283)))))</f>
        <v/>
      </c>
      <c r="M1283" s="743">
        <f>L1283</f>
        <v/>
      </c>
      <c r="N1283" s="686">
        <f>IF(B1283="TXO","",IF(D1283="新倉","",IF(E1283="賣",(H1283-H1282)*G1283,(H1282-H1283)*G1283)))</f>
        <v/>
      </c>
      <c r="O1283" s="226" t="n">
        <v>0</v>
      </c>
      <c r="P1283" s="667" t="n"/>
      <c r="Q1283" s="249" t="inlineStr">
        <is>
          <t>技法: 移動式停利</t>
        </is>
      </c>
      <c r="R1283" s="249" t="inlineStr">
        <is>
          <t>Yes</t>
        </is>
      </c>
      <c r="S1283" s="249" t="inlineStr">
        <is>
          <t>Yes</t>
        </is>
      </c>
      <c r="T1283" s="61">
        <f>IF(AND(R1283="Yes",S1283&lt;&gt;"Yes",L1283&gt;0,B1283&lt;&gt;"TXO"),L1283,"")</f>
        <v/>
      </c>
      <c r="U1283" s="61">
        <f>IF(AND(R1283="Yes",S1283&lt;&gt;"Yes",L1283&lt;0,B1283&lt;&gt;"TXO"),L1283,"")</f>
        <v/>
      </c>
      <c r="V1283" s="61">
        <f>IF(AND(R1283="",S1283&lt;&gt;"Yes",L1283&gt;0,B1283&lt;&gt;"TXO"),L1283,"")</f>
        <v/>
      </c>
      <c r="W1283" s="61">
        <f>IF(AND(R1283="",S1283&lt;&gt;"Yes",L1283&lt;0,B1283&lt;&gt;"TXO"),L1283,"")</f>
        <v/>
      </c>
      <c r="X1283" s="226">
        <f>IF(AND(R1283="Yes",S1283="Yes",L1283&gt;0,B1283&lt;&gt;"TXO"),L1283,"")</f>
        <v/>
      </c>
      <c r="Y1283" s="226">
        <f>IF(AND(R1283="Yes",S1283="Yes",L1283&lt;0,B1283&lt;&gt;"TXO"),L1283,"")</f>
        <v/>
      </c>
      <c r="Z1283" s="226">
        <f>IF(AND(R1283="",S1283="Yes",L1283&gt;0,B1283&lt;&gt;"TXO"),L1283,"")</f>
        <v/>
      </c>
      <c r="AA1283" s="226">
        <f>IF(AND(R1283="",S1283="Yes",L1283&lt;0,B1283&lt;&gt;"TXO"),L1283,"")</f>
        <v/>
      </c>
    </row>
    <row r="1284" hidden="1" outlineLevel="2" collapsed="1" ht="17.25" customHeight="1" thickBot="1">
      <c r="A1284" s="740" t="n">
        <v>43385</v>
      </c>
      <c r="B1284" s="299" t="inlineStr">
        <is>
          <t>FIMTX</t>
        </is>
      </c>
      <c r="C1284" s="300" t="inlineStr">
        <is>
          <t>小指10</t>
        </is>
      </c>
      <c r="D1284" s="300" t="inlineStr">
        <is>
          <t>新倉</t>
        </is>
      </c>
      <c r="E1284" s="301" t="inlineStr">
        <is>
          <t>賣</t>
        </is>
      </c>
      <c r="F1284" s="300" t="inlineStr">
        <is>
          <t>-</t>
        </is>
      </c>
      <c r="G1284" s="741" t="n">
        <v>1</v>
      </c>
      <c r="H1284" s="741" t="n">
        <v>9943</v>
      </c>
      <c r="I1284" s="741" t="n">
        <v>0</v>
      </c>
      <c r="J1284" s="742" t="n">
        <v>23</v>
      </c>
      <c r="K1284" s="742" t="n">
        <v>10</v>
      </c>
      <c r="L1284" s="742">
        <f>IF(B1284="TXO",I1284-SUM(J1284:K1284),IF(B1284="FITX",IF(D1284="新倉",-SUM(J1284:K1284),IF(E1284="賣",(H1284-H1283)*G1284*200-SUM(J1284:K1284),(H1283-H1284)*G1284*200-SUM(J1284:K1284))),IF(D1284="新倉",-SUM(J1284:K1284),IF(E1284="賣",(H1284-H1283)*G1284*50-SUM(J1284:K1284),(H1283-H1284)*G1284*50-SUM(J1284:K1284)))))</f>
        <v/>
      </c>
      <c r="M1284" s="743">
        <f>L1284</f>
        <v/>
      </c>
      <c r="N1284" s="686">
        <f>IF(B1284="TXO","",IF(D1284="新倉","",IF(E1284="賣",(H1284-H1283)*G1284,(H1283-H1284)*G1284)))</f>
        <v/>
      </c>
      <c r="O1284" s="226" t="n">
        <v>0</v>
      </c>
      <c r="P1284" s="667" t="n"/>
      <c r="Q1284" s="249" t="inlineStr">
        <is>
          <t>點錯位置</t>
        </is>
      </c>
      <c r="S1284" s="249" t="inlineStr">
        <is>
          <t>Yes</t>
        </is>
      </c>
      <c r="T1284" s="61">
        <f>IF(AND(R1284="Yes",S1284&lt;&gt;"Yes",L1284&gt;0,B1284&lt;&gt;"TXO"),L1284,"")</f>
        <v/>
      </c>
      <c r="U1284" s="61">
        <f>IF(AND(R1284="Yes",S1284&lt;&gt;"Yes",L1284&lt;0,B1284&lt;&gt;"TXO"),L1284,"")</f>
        <v/>
      </c>
      <c r="V1284" s="61">
        <f>IF(AND(R1284="",S1284&lt;&gt;"Yes",L1284&gt;0,B1284&lt;&gt;"TXO"),L1284,"")</f>
        <v/>
      </c>
      <c r="W1284" s="61">
        <f>IF(AND(R1284="",S1284&lt;&gt;"Yes",L1284&lt;0,B1284&lt;&gt;"TXO"),L1284,"")</f>
        <v/>
      </c>
      <c r="X1284" s="226">
        <f>IF(AND(R1284="Yes",S1284="Yes",L1284&gt;0,B1284&lt;&gt;"TXO"),L1284,"")</f>
        <v/>
      </c>
      <c r="Y1284" s="226">
        <f>IF(AND(R1284="Yes",S1284="Yes",L1284&lt;0,B1284&lt;&gt;"TXO"),L1284,"")</f>
        <v/>
      </c>
      <c r="Z1284" s="226">
        <f>IF(AND(R1284="",S1284="Yes",L1284&gt;0,B1284&lt;&gt;"TXO"),L1284,"")</f>
        <v/>
      </c>
      <c r="AA1284" s="226">
        <f>IF(AND(R1284="",S1284="Yes",L1284&lt;0,B1284&lt;&gt;"TXO"),L1284,"")</f>
        <v/>
      </c>
    </row>
    <row r="1285" hidden="1" outlineLevel="2" collapsed="1" ht="17.25" customHeight="1" thickBot="1">
      <c r="A1285" s="740" t="n">
        <v>43385</v>
      </c>
      <c r="B1285" s="299" t="inlineStr">
        <is>
          <t>FIMTX</t>
        </is>
      </c>
      <c r="C1285" s="300" t="inlineStr">
        <is>
          <t>小指10</t>
        </is>
      </c>
      <c r="D1285" s="300" t="inlineStr">
        <is>
          <t>平倉</t>
        </is>
      </c>
      <c r="E1285" s="301" t="inlineStr">
        <is>
          <t>買</t>
        </is>
      </c>
      <c r="F1285" s="300" t="inlineStr">
        <is>
          <t>-</t>
        </is>
      </c>
      <c r="G1285" s="741" t="n">
        <v>1</v>
      </c>
      <c r="H1285" s="741" t="n">
        <v>9953</v>
      </c>
      <c r="I1285" s="741" t="n">
        <v>0</v>
      </c>
      <c r="J1285" s="742" t="n">
        <v>23</v>
      </c>
      <c r="K1285" s="742" t="n">
        <v>10</v>
      </c>
      <c r="L1285" s="742">
        <f>IF(B1285="TXO",I1285-SUM(J1285:K1285),IF(B1285="FITX",IF(D1285="新倉",-SUM(J1285:K1285),IF(E1285="賣",(H1285-H1284)*G1285*200-SUM(J1285:K1285),(H1284-H1285)*G1285*200-SUM(J1285:K1285))),IF(D1285="新倉",-SUM(J1285:K1285),IF(E1285="賣",(H1285-H1284)*G1285*50-SUM(J1285:K1285),(H1284-H1285)*G1285*50-SUM(J1285:K1285)))))</f>
        <v/>
      </c>
      <c r="M1285" s="743">
        <f>L1285</f>
        <v/>
      </c>
      <c r="N1285" s="686">
        <f>IF(B1285="TXO","",IF(D1285="新倉","",IF(E1285="賣",(H1285-H1284)*G1285,(H1284-H1285)*G1285)))</f>
        <v/>
      </c>
      <c r="O1285" s="226" t="n">
        <v>0</v>
      </c>
      <c r="P1285" s="667" t="n"/>
      <c r="Q1285" s="249" t="inlineStr">
        <is>
          <t>技法: 碰10MA停損</t>
        </is>
      </c>
      <c r="S1285" s="249" t="inlineStr">
        <is>
          <t>Yes</t>
        </is>
      </c>
      <c r="T1285" s="61">
        <f>IF(AND(R1285="Yes",S1285&lt;&gt;"Yes",L1285&gt;0,B1285&lt;&gt;"TXO"),L1285,"")</f>
        <v/>
      </c>
      <c r="U1285" s="61">
        <f>IF(AND(R1285="Yes",S1285&lt;&gt;"Yes",L1285&lt;0,B1285&lt;&gt;"TXO"),L1285,"")</f>
        <v/>
      </c>
      <c r="V1285" s="61">
        <f>IF(AND(R1285="",S1285&lt;&gt;"Yes",L1285&gt;0,B1285&lt;&gt;"TXO"),L1285,"")</f>
        <v/>
      </c>
      <c r="W1285" s="61">
        <f>IF(AND(R1285="",S1285&lt;&gt;"Yes",L1285&lt;0,B1285&lt;&gt;"TXO"),L1285,"")</f>
        <v/>
      </c>
      <c r="X1285" s="226">
        <f>IF(AND(R1285="Yes",S1285="Yes",L1285&gt;0,B1285&lt;&gt;"TXO"),L1285,"")</f>
        <v/>
      </c>
      <c r="Y1285" s="226">
        <f>IF(AND(R1285="Yes",S1285="Yes",L1285&lt;0,B1285&lt;&gt;"TXO"),L1285,"")</f>
        <v/>
      </c>
      <c r="Z1285" s="226">
        <f>IF(AND(R1285="",S1285="Yes",L1285&gt;0,B1285&lt;&gt;"TXO"),L1285,"")</f>
        <v/>
      </c>
      <c r="AA1285" s="226">
        <f>IF(AND(R1285="",S1285="Yes",L1285&lt;0,B1285&lt;&gt;"TXO"),L1285,"")</f>
        <v/>
      </c>
    </row>
    <row r="1286" hidden="1" outlineLevel="2" collapsed="1" ht="17.25" customHeight="1" thickBot="1">
      <c r="A1286" s="740" t="n">
        <v>43385</v>
      </c>
      <c r="B1286" s="299" t="inlineStr">
        <is>
          <t>FIMTX</t>
        </is>
      </c>
      <c r="C1286" s="300" t="inlineStr">
        <is>
          <t>小指10</t>
        </is>
      </c>
      <c r="D1286" s="300" t="inlineStr">
        <is>
          <t>新倉</t>
        </is>
      </c>
      <c r="E1286" s="301" t="inlineStr">
        <is>
          <t>賣</t>
        </is>
      </c>
      <c r="F1286" s="300" t="inlineStr">
        <is>
          <t>-</t>
        </is>
      </c>
      <c r="G1286" s="741" t="n">
        <v>1</v>
      </c>
      <c r="H1286" s="741" t="n">
        <v>9945</v>
      </c>
      <c r="I1286" s="741" t="n">
        <v>0</v>
      </c>
      <c r="J1286" s="742" t="n">
        <v>23</v>
      </c>
      <c r="K1286" s="742" t="n">
        <v>10</v>
      </c>
      <c r="L1286" s="742">
        <f>IF(B1286="TXO",I1286-SUM(J1286:K1286),IF(B1286="FITX",IF(D1286="新倉",-SUM(J1286:K1286),IF(E1286="賣",(H1286-H1285)*G1286*200-SUM(J1286:K1286),(H1285-H1286)*G1286*200-SUM(J1286:K1286))),IF(D1286="新倉",-SUM(J1286:K1286),IF(E1286="賣",(H1286-H1285)*G1286*50-SUM(J1286:K1286),(H1285-H1286)*G1286*50-SUM(J1286:K1286)))))</f>
        <v/>
      </c>
      <c r="M1286" s="743">
        <f>L1286</f>
        <v/>
      </c>
      <c r="N1286" s="686">
        <f>IF(B1286="TXO","",IF(D1286="新倉","",IF(E1286="賣",(H1286-H1285)*G1286,(H1285-H1286)*G1286)))</f>
        <v/>
      </c>
      <c r="O1286" s="226" t="n">
        <v>0</v>
      </c>
      <c r="P1286" s="667" t="n"/>
      <c r="Q1286" s="249" t="inlineStr">
        <is>
          <t>技法: 3/3 買進三口</t>
        </is>
      </c>
      <c r="R1286" s="249" t="inlineStr">
        <is>
          <t>Yes</t>
        </is>
      </c>
      <c r="S1286" s="249" t="inlineStr">
        <is>
          <t>Yes</t>
        </is>
      </c>
      <c r="T1286" s="61">
        <f>IF(AND(R1286="Yes",S1286&lt;&gt;"Yes",L1286&gt;0,B1286&lt;&gt;"TXO"),L1286,"")</f>
        <v/>
      </c>
      <c r="U1286" s="61">
        <f>IF(AND(R1286="Yes",S1286&lt;&gt;"Yes",L1286&lt;0,B1286&lt;&gt;"TXO"),L1286,"")</f>
        <v/>
      </c>
      <c r="V1286" s="61">
        <f>IF(AND(R1286="",S1286&lt;&gt;"Yes",L1286&gt;0,B1286&lt;&gt;"TXO"),L1286,"")</f>
        <v/>
      </c>
      <c r="W1286" s="61">
        <f>IF(AND(R1286="",S1286&lt;&gt;"Yes",L1286&lt;0,B1286&lt;&gt;"TXO"),L1286,"")</f>
        <v/>
      </c>
      <c r="X1286" s="226">
        <f>IF(AND(R1286="Yes",S1286="Yes",L1286&gt;0,B1286&lt;&gt;"TXO"),L1286,"")</f>
        <v/>
      </c>
      <c r="Y1286" s="226">
        <f>IF(AND(R1286="Yes",S1286="Yes",L1286&lt;0,B1286&lt;&gt;"TXO"),L1286,"")</f>
        <v/>
      </c>
      <c r="Z1286" s="226">
        <f>IF(AND(R1286="",S1286="Yes",L1286&gt;0,B1286&lt;&gt;"TXO"),L1286,"")</f>
        <v/>
      </c>
      <c r="AA1286" s="226">
        <f>IF(AND(R1286="",S1286="Yes",L1286&lt;0,B1286&lt;&gt;"TXO"),L1286,"")</f>
        <v/>
      </c>
    </row>
    <row r="1287" hidden="1" outlineLevel="2" collapsed="1" ht="17.25" customHeight="1" thickBot="1">
      <c r="A1287" s="740" t="n">
        <v>43385</v>
      </c>
      <c r="B1287" s="299" t="inlineStr">
        <is>
          <t>FIMTX</t>
        </is>
      </c>
      <c r="C1287" s="300" t="inlineStr">
        <is>
          <t>小指10</t>
        </is>
      </c>
      <c r="D1287" s="300" t="inlineStr">
        <is>
          <t>平倉</t>
        </is>
      </c>
      <c r="E1287" s="301" t="inlineStr">
        <is>
          <t>買</t>
        </is>
      </c>
      <c r="F1287" s="300" t="inlineStr">
        <is>
          <t>-</t>
        </is>
      </c>
      <c r="G1287" s="741" t="n">
        <v>1</v>
      </c>
      <c r="H1287" s="741" t="n">
        <v>9932</v>
      </c>
      <c r="I1287" s="741" t="n">
        <v>0</v>
      </c>
      <c r="J1287" s="742" t="n">
        <v>23</v>
      </c>
      <c r="K1287" s="742" t="n">
        <v>10</v>
      </c>
      <c r="L1287" s="742">
        <f>IF(B1287="TXO",I1287-SUM(J1287:K1287),IF(B1287="FITX",IF(D1287="新倉",-SUM(J1287:K1287),IF(E1287="賣",(H1287-H1286)*G1287*200-SUM(J1287:K1287),(H1286-H1287)*G1287*200-SUM(J1287:K1287))),IF(D1287="新倉",-SUM(J1287:K1287),IF(E1287="賣",(H1287-H1286)*G1287*50-SUM(J1287:K1287),(H1286-H1287)*G1287*50-SUM(J1287:K1287)))))</f>
        <v/>
      </c>
      <c r="M1287" s="743">
        <f>L1287</f>
        <v/>
      </c>
      <c r="N1287" s="686">
        <f>IF(B1287="TXO","",IF(D1287="新倉","",IF(E1287="賣",(H1287-H1286)*G1287,(H1286-H1287)*G1287)))</f>
        <v/>
      </c>
      <c r="O1287" s="226" t="n">
        <v>0</v>
      </c>
      <c r="P1287" s="667" t="n"/>
      <c r="Q1287" s="249" t="inlineStr">
        <is>
          <t>技法: 刺補</t>
        </is>
      </c>
      <c r="R1287" s="249" t="inlineStr">
        <is>
          <t>Yes</t>
        </is>
      </c>
      <c r="S1287" s="249" t="inlineStr">
        <is>
          <t>Yes</t>
        </is>
      </c>
      <c r="T1287" s="61">
        <f>IF(AND(R1287="Yes",S1287&lt;&gt;"Yes",L1287&gt;0,B1287&lt;&gt;"TXO"),L1287,"")</f>
        <v/>
      </c>
      <c r="U1287" s="61">
        <f>IF(AND(R1287="Yes",S1287&lt;&gt;"Yes",L1287&lt;0,B1287&lt;&gt;"TXO"),L1287,"")</f>
        <v/>
      </c>
      <c r="V1287" s="61">
        <f>IF(AND(R1287="",S1287&lt;&gt;"Yes",L1287&gt;0,B1287&lt;&gt;"TXO"),L1287,"")</f>
        <v/>
      </c>
      <c r="W1287" s="61">
        <f>IF(AND(R1287="",S1287&lt;&gt;"Yes",L1287&lt;0,B1287&lt;&gt;"TXO"),L1287,"")</f>
        <v/>
      </c>
      <c r="X1287" s="226">
        <f>IF(AND(R1287="Yes",S1287="Yes",L1287&gt;0,B1287&lt;&gt;"TXO"),L1287,"")</f>
        <v/>
      </c>
      <c r="Y1287" s="226">
        <f>IF(AND(R1287="Yes",S1287="Yes",L1287&lt;0,B1287&lt;&gt;"TXO"),L1287,"")</f>
        <v/>
      </c>
      <c r="Z1287" s="226">
        <f>IF(AND(R1287="",S1287="Yes",L1287&gt;0,B1287&lt;&gt;"TXO"),L1287,"")</f>
        <v/>
      </c>
      <c r="AA1287" s="226">
        <f>IF(AND(R1287="",S1287="Yes",L1287&lt;0,B1287&lt;&gt;"TXO"),L1287,"")</f>
        <v/>
      </c>
    </row>
    <row r="1288" hidden="1" outlineLevel="2" collapsed="1" ht="17.25" customHeight="1" thickBot="1">
      <c r="A1288" s="740" t="n">
        <v>43385</v>
      </c>
      <c r="B1288" s="299" t="inlineStr">
        <is>
          <t>FIMTX</t>
        </is>
      </c>
      <c r="C1288" s="300" t="inlineStr">
        <is>
          <t>小指10</t>
        </is>
      </c>
      <c r="D1288" s="300" t="inlineStr">
        <is>
          <t>新倉</t>
        </is>
      </c>
      <c r="E1288" s="301" t="inlineStr">
        <is>
          <t>賣</t>
        </is>
      </c>
      <c r="F1288" s="300" t="inlineStr">
        <is>
          <t>-</t>
        </is>
      </c>
      <c r="G1288" s="741" t="n">
        <v>1</v>
      </c>
      <c r="H1288" s="741" t="n">
        <v>9945</v>
      </c>
      <c r="I1288" s="741" t="n">
        <v>0</v>
      </c>
      <c r="J1288" s="742" t="n">
        <v>23</v>
      </c>
      <c r="K1288" s="742" t="n">
        <v>10</v>
      </c>
      <c r="L1288" s="742">
        <f>IF(B1288="TXO",I1288-SUM(J1288:K1288),IF(B1288="FITX",IF(D1288="新倉",-SUM(J1288:K1288),IF(E1288="賣",(H1288-H1287)*G1288*200-SUM(J1288:K1288),(H1287-H1288)*G1288*200-SUM(J1288:K1288))),IF(D1288="新倉",-SUM(J1288:K1288),IF(E1288="賣",(H1288-H1287)*G1288*50-SUM(J1288:K1288),(H1287-H1288)*G1288*50-SUM(J1288:K1288)))))</f>
        <v/>
      </c>
      <c r="M1288" s="743">
        <f>L1288</f>
        <v/>
      </c>
      <c r="N1288" s="686">
        <f>IF(B1288="TXO","",IF(D1288="新倉","",IF(E1288="賣",(H1288-H1287)*G1288,(H1287-H1288)*G1288)))</f>
        <v/>
      </c>
      <c r="O1288" s="226" t="n">
        <v>0</v>
      </c>
      <c r="P1288" s="667" t="n"/>
      <c r="R1288" s="249" t="inlineStr">
        <is>
          <t>Yes</t>
        </is>
      </c>
      <c r="S1288" s="249" t="inlineStr">
        <is>
          <t>Yes</t>
        </is>
      </c>
      <c r="T1288" s="61">
        <f>IF(AND(R1288="Yes",S1288&lt;&gt;"Yes",L1288&gt;0,B1288&lt;&gt;"TXO"),L1288,"")</f>
        <v/>
      </c>
      <c r="U1288" s="61">
        <f>IF(AND(R1288="Yes",S1288&lt;&gt;"Yes",L1288&lt;0,B1288&lt;&gt;"TXO"),L1288,"")</f>
        <v/>
      </c>
      <c r="V1288" s="61">
        <f>IF(AND(R1288="",S1288&lt;&gt;"Yes",L1288&gt;0,B1288&lt;&gt;"TXO"),L1288,"")</f>
        <v/>
      </c>
      <c r="W1288" s="61">
        <f>IF(AND(R1288="",S1288&lt;&gt;"Yes",L1288&lt;0,B1288&lt;&gt;"TXO"),L1288,"")</f>
        <v/>
      </c>
      <c r="X1288" s="226">
        <f>IF(AND(R1288="Yes",S1288="Yes",L1288&gt;0,B1288&lt;&gt;"TXO"),L1288,"")</f>
        <v/>
      </c>
      <c r="Y1288" s="226">
        <f>IF(AND(R1288="Yes",S1288="Yes",L1288&lt;0,B1288&lt;&gt;"TXO"),L1288,"")</f>
        <v/>
      </c>
      <c r="Z1288" s="226">
        <f>IF(AND(R1288="",S1288="Yes",L1288&gt;0,B1288&lt;&gt;"TXO"),L1288,"")</f>
        <v/>
      </c>
      <c r="AA1288" s="226">
        <f>IF(AND(R1288="",S1288="Yes",L1288&lt;0,B1288&lt;&gt;"TXO"),L1288,"")</f>
        <v/>
      </c>
    </row>
    <row r="1289" hidden="1" outlineLevel="2" collapsed="1" ht="17.25" customHeight="1" thickBot="1">
      <c r="A1289" s="740" t="n">
        <v>43385</v>
      </c>
      <c r="B1289" s="299" t="inlineStr">
        <is>
          <t>FIMTX</t>
        </is>
      </c>
      <c r="C1289" s="300" t="inlineStr">
        <is>
          <t>小指10</t>
        </is>
      </c>
      <c r="D1289" s="300" t="inlineStr">
        <is>
          <t>平倉</t>
        </is>
      </c>
      <c r="E1289" s="301" t="inlineStr">
        <is>
          <t>買</t>
        </is>
      </c>
      <c r="F1289" s="300" t="inlineStr">
        <is>
          <t>-</t>
        </is>
      </c>
      <c r="G1289" s="741" t="n">
        <v>1</v>
      </c>
      <c r="H1289" s="741" t="n">
        <v>9925</v>
      </c>
      <c r="I1289" s="741" t="n">
        <v>0</v>
      </c>
      <c r="J1289" s="742" t="n">
        <v>23</v>
      </c>
      <c r="K1289" s="742" t="n">
        <v>10</v>
      </c>
      <c r="L1289" s="742">
        <f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/>
      </c>
      <c r="M1289" s="743">
        <f>L1289</f>
        <v/>
      </c>
      <c r="N1289" s="686">
        <f>IF(B1289="TXO","",IF(D1289="新倉","",IF(E1289="賣",(H1289-H1288)*G1289,(H1288-H1289)*G1289)))</f>
        <v/>
      </c>
      <c r="O1289" s="226" t="n">
        <v>0</v>
      </c>
      <c r="P1289" s="667" t="n"/>
      <c r="Q1289" s="249" t="inlineStr">
        <is>
          <t>技法: 刺補</t>
        </is>
      </c>
      <c r="R1289" s="249" t="inlineStr">
        <is>
          <t>Yes</t>
        </is>
      </c>
      <c r="S1289" s="249" t="inlineStr">
        <is>
          <t>Yes</t>
        </is>
      </c>
      <c r="T1289" s="61">
        <f>IF(AND(R1289="Yes",S1289&lt;&gt;"Yes",L1289&gt;0,B1289&lt;&gt;"TXO"),L1289,"")</f>
        <v/>
      </c>
      <c r="U1289" s="61">
        <f>IF(AND(R1289="Yes",S1289&lt;&gt;"Yes",L1289&lt;0,B1289&lt;&gt;"TXO"),L1289,"")</f>
        <v/>
      </c>
      <c r="V1289" s="61">
        <f>IF(AND(R1289="",S1289&lt;&gt;"Yes",L1289&gt;0,B1289&lt;&gt;"TXO"),L1289,"")</f>
        <v/>
      </c>
      <c r="W1289" s="61">
        <f>IF(AND(R1289="",S1289&lt;&gt;"Yes",L1289&lt;0,B1289&lt;&gt;"TXO"),L1289,"")</f>
        <v/>
      </c>
      <c r="X1289" s="226">
        <f>IF(AND(R1289="Yes",S1289="Yes",L1289&gt;0,B1289&lt;&gt;"TXO"),L1289,"")</f>
        <v/>
      </c>
      <c r="Y1289" s="226">
        <f>IF(AND(R1289="Yes",S1289="Yes",L1289&lt;0,B1289&lt;&gt;"TXO"),L1289,"")</f>
        <v/>
      </c>
      <c r="Z1289" s="226">
        <f>IF(AND(R1289="",S1289="Yes",L1289&gt;0,B1289&lt;&gt;"TXO"),L1289,"")</f>
        <v/>
      </c>
      <c r="AA1289" s="226">
        <f>IF(AND(R1289="",S1289="Yes",L1289&lt;0,B1289&lt;&gt;"TXO"),L1289,"")</f>
        <v/>
      </c>
    </row>
    <row r="1290" hidden="1" outlineLevel="2" collapsed="1" ht="17.25" customHeight="1" thickBot="1">
      <c r="A1290" s="740" t="n">
        <v>43385</v>
      </c>
      <c r="B1290" s="299" t="inlineStr">
        <is>
          <t>FIMTX</t>
        </is>
      </c>
      <c r="C1290" s="300" t="inlineStr">
        <is>
          <t>小指10</t>
        </is>
      </c>
      <c r="D1290" s="300" t="inlineStr">
        <is>
          <t>新倉</t>
        </is>
      </c>
      <c r="E1290" s="301" t="inlineStr">
        <is>
          <t>賣</t>
        </is>
      </c>
      <c r="F1290" s="300" t="inlineStr">
        <is>
          <t>-</t>
        </is>
      </c>
      <c r="G1290" s="741" t="n">
        <v>1</v>
      </c>
      <c r="H1290" s="741" t="n">
        <v>9945</v>
      </c>
      <c r="I1290" s="741" t="n">
        <v>0</v>
      </c>
      <c r="J1290" s="742" t="n">
        <v>23</v>
      </c>
      <c r="K1290" s="742" t="n">
        <v>10</v>
      </c>
      <c r="L1290" s="742">
        <f>IF(B1290="TXO",I1290-SUM(J1290:K1290),IF(B1290="FITX",IF(D1290="新倉",-SUM(J1290:K1290),IF(E1290="賣",(H1290-H1289)*G1290*200-SUM(J1290:K1290),(H1289-H1290)*G1290*200-SUM(J1290:K1290))),IF(D1290="新倉",-SUM(J1290:K1290),IF(E1290="賣",(H1290-H1289)*G1290*50-SUM(J1290:K1290),(H1289-H1290)*G1290*50-SUM(J1290:K1290)))))</f>
        <v/>
      </c>
      <c r="M1290" s="743">
        <f>L1290</f>
        <v/>
      </c>
      <c r="N1290" s="686">
        <f>IF(B1290="TXO","",IF(D1290="新倉","",IF(E1290="賣",(H1290-H1289)*G1290,(H1289-H1290)*G1290)))</f>
        <v/>
      </c>
      <c r="O1290" s="226" t="n">
        <v>0</v>
      </c>
      <c r="P1290" s="667" t="n"/>
      <c r="R1290" s="249" t="inlineStr">
        <is>
          <t>Yes</t>
        </is>
      </c>
      <c r="S1290" s="249" t="inlineStr">
        <is>
          <t>Yes</t>
        </is>
      </c>
      <c r="T1290" s="61">
        <f>IF(AND(R1290="Yes",S1290&lt;&gt;"Yes",L1290&gt;0,B1290&lt;&gt;"TXO"),L1290,"")</f>
        <v/>
      </c>
      <c r="U1290" s="61">
        <f>IF(AND(R1290="Yes",S1290&lt;&gt;"Yes",L1290&lt;0,B1290&lt;&gt;"TXO"),L1290,"")</f>
        <v/>
      </c>
      <c r="V1290" s="61">
        <f>IF(AND(R1290="",S1290&lt;&gt;"Yes",L1290&gt;0,B1290&lt;&gt;"TXO"),L1290,"")</f>
        <v/>
      </c>
      <c r="W1290" s="61">
        <f>IF(AND(R1290="",S1290&lt;&gt;"Yes",L1290&lt;0,B1290&lt;&gt;"TXO"),L1290,"")</f>
        <v/>
      </c>
      <c r="X1290" s="226">
        <f>IF(AND(R1290="Yes",S1290="Yes",L1290&gt;0,B1290&lt;&gt;"TXO"),L1290,"")</f>
        <v/>
      </c>
      <c r="Y1290" s="226">
        <f>IF(AND(R1290="Yes",S1290="Yes",L1290&lt;0,B1290&lt;&gt;"TXO"),L1290,"")</f>
        <v/>
      </c>
      <c r="Z1290" s="226">
        <f>IF(AND(R1290="",S1290="Yes",L1290&gt;0,B1290&lt;&gt;"TXO"),L1290,"")</f>
        <v/>
      </c>
      <c r="AA1290" s="226">
        <f>IF(AND(R1290="",S1290="Yes",L1290&lt;0,B1290&lt;&gt;"TXO"),L1290,"")</f>
        <v/>
      </c>
    </row>
    <row r="1291" hidden="1" outlineLevel="2" collapsed="1" ht="17.25" customHeight="1" thickBot="1">
      <c r="A1291" s="740" t="n">
        <v>43385</v>
      </c>
      <c r="B1291" s="299" t="inlineStr">
        <is>
          <t>FIMTX</t>
        </is>
      </c>
      <c r="C1291" s="300" t="inlineStr">
        <is>
          <t>小指10</t>
        </is>
      </c>
      <c r="D1291" s="300" t="inlineStr">
        <is>
          <t>平倉</t>
        </is>
      </c>
      <c r="E1291" s="301" t="inlineStr">
        <is>
          <t>買</t>
        </is>
      </c>
      <c r="F1291" s="300" t="inlineStr">
        <is>
          <t>-</t>
        </is>
      </c>
      <c r="G1291" s="741" t="n">
        <v>1</v>
      </c>
      <c r="H1291" s="741" t="n">
        <v>9925</v>
      </c>
      <c r="I1291" s="741" t="n">
        <v>0</v>
      </c>
      <c r="J1291" s="742" t="n">
        <v>23</v>
      </c>
      <c r="K1291" s="742" t="n">
        <v>10</v>
      </c>
      <c r="L1291" s="742">
        <f>IF(B1291="TXO",I1291-SUM(J1291:K1291),IF(B1291="FITX",IF(D1291="新倉",-SUM(J1291:K1291),IF(E1291="賣",(H1291-H1290)*G1291*200-SUM(J1291:K1291),(H1290-H1291)*G1291*200-SUM(J1291:K1291))),IF(D1291="新倉",-SUM(J1291:K1291),IF(E1291="賣",(H1291-H1290)*G1291*50-SUM(J1291:K1291),(H1290-H1291)*G1291*50-SUM(J1291:K1291)))))</f>
        <v/>
      </c>
      <c r="M1291" s="743">
        <f>L1291</f>
        <v/>
      </c>
      <c r="N1291" s="686">
        <f>IF(B1291="TXO","",IF(D1291="新倉","",IF(E1291="賣",(H1291-H1290)*G1291,(H1290-H1291)*G1291)))</f>
        <v/>
      </c>
      <c r="O1291" s="226" t="n">
        <v>0</v>
      </c>
      <c r="P1291" s="667" t="n"/>
      <c r="Q1291" s="249" t="inlineStr">
        <is>
          <t>技法: 移動式停利</t>
        </is>
      </c>
      <c r="R1291" s="249" t="inlineStr">
        <is>
          <t>Yes</t>
        </is>
      </c>
      <c r="S1291" s="249" t="inlineStr">
        <is>
          <t>Yes</t>
        </is>
      </c>
      <c r="T1291" s="61">
        <f>IF(AND(R1291="Yes",S1291&lt;&gt;"Yes",L1291&gt;0,B1291&lt;&gt;"TXO"),L1291,"")</f>
        <v/>
      </c>
      <c r="U1291" s="61">
        <f>IF(AND(R1291="Yes",S1291&lt;&gt;"Yes",L1291&lt;0,B1291&lt;&gt;"TXO"),L1291,"")</f>
        <v/>
      </c>
      <c r="V1291" s="61">
        <f>IF(AND(R1291="",S1291&lt;&gt;"Yes",L1291&gt;0,B1291&lt;&gt;"TXO"),L1291,"")</f>
        <v/>
      </c>
      <c r="W1291" s="61">
        <f>IF(AND(R1291="",S1291&lt;&gt;"Yes",L1291&lt;0,B1291&lt;&gt;"TXO"),L1291,"")</f>
        <v/>
      </c>
      <c r="X1291" s="226">
        <f>IF(AND(R1291="Yes",S1291="Yes",L1291&gt;0,B1291&lt;&gt;"TXO"),L1291,"")</f>
        <v/>
      </c>
      <c r="Y1291" s="226">
        <f>IF(AND(R1291="Yes",S1291="Yes",L1291&lt;0,B1291&lt;&gt;"TXO"),L1291,"")</f>
        <v/>
      </c>
      <c r="Z1291" s="226">
        <f>IF(AND(R1291="",S1291="Yes",L1291&gt;0,B1291&lt;&gt;"TXO"),L1291,"")</f>
        <v/>
      </c>
      <c r="AA1291" s="226">
        <f>IF(AND(R1291="",S1291="Yes",L1291&lt;0,B1291&lt;&gt;"TXO"),L1291,"")</f>
        <v/>
      </c>
    </row>
    <row r="1292" hidden="1" outlineLevel="2" collapsed="1" ht="17.25" customHeight="1" thickBot="1">
      <c r="A1292" s="740" t="n">
        <v>43385</v>
      </c>
      <c r="B1292" s="299" t="inlineStr">
        <is>
          <t>FIMTX</t>
        </is>
      </c>
      <c r="C1292" s="300" t="inlineStr">
        <is>
          <t>小指10</t>
        </is>
      </c>
      <c r="D1292" s="300" t="inlineStr">
        <is>
          <t>新倉</t>
        </is>
      </c>
      <c r="E1292" s="301" t="inlineStr">
        <is>
          <t>賣</t>
        </is>
      </c>
      <c r="F1292" s="300" t="inlineStr">
        <is>
          <t>-</t>
        </is>
      </c>
      <c r="G1292" s="741" t="n">
        <v>1</v>
      </c>
      <c r="H1292" s="741" t="n">
        <v>9933</v>
      </c>
      <c r="I1292" s="741" t="n">
        <v>0</v>
      </c>
      <c r="J1292" s="742" t="n">
        <v>23</v>
      </c>
      <c r="K1292" s="742" t="n">
        <v>10</v>
      </c>
      <c r="L1292" s="742">
        <f>IF(B1292="TXO",I1292-SUM(J1292:K1292),IF(B1292="FITX",IF(D1292="新倉",-SUM(J1292:K1292),IF(E1292="賣",(H1292-H1291)*G1292*200-SUM(J1292:K1292),(H1291-H1292)*G1292*200-SUM(J1292:K1292))),IF(D1292="新倉",-SUM(J1292:K1292),IF(E1292="賣",(H1292-H1291)*G1292*50-SUM(J1292:K1292),(H1291-H1292)*G1292*50-SUM(J1292:K1292)))))</f>
        <v/>
      </c>
      <c r="M1292" s="743">
        <f>L1292</f>
        <v/>
      </c>
      <c r="N1292" s="686">
        <f>IF(B1292="TXO","",IF(D1292="新倉","",IF(E1292="賣",(H1292-H1291)*G1292,(H1291-H1292)*G1292)))</f>
        <v/>
      </c>
      <c r="O1292" s="226" t="n">
        <v>0</v>
      </c>
      <c r="P1292" s="667" t="n"/>
      <c r="Q1292" s="249" t="inlineStr">
        <is>
          <t>點錯位置</t>
        </is>
      </c>
      <c r="R1292" s="249" t="inlineStr">
        <is>
          <t>Yes</t>
        </is>
      </c>
      <c r="S1292" s="249" t="inlineStr">
        <is>
          <t>Yes</t>
        </is>
      </c>
      <c r="T1292" s="61">
        <f>IF(AND(R1292="Yes",S1292&lt;&gt;"Yes",L1292&gt;0,B1292&lt;&gt;"TXO"),L1292,"")</f>
        <v/>
      </c>
      <c r="U1292" s="61">
        <f>IF(AND(R1292="Yes",S1292&lt;&gt;"Yes",L1292&lt;0,B1292&lt;&gt;"TXO"),L1292,"")</f>
        <v/>
      </c>
      <c r="V1292" s="61">
        <f>IF(AND(R1292="",S1292&lt;&gt;"Yes",L1292&gt;0,B1292&lt;&gt;"TXO"),L1292,"")</f>
        <v/>
      </c>
      <c r="W1292" s="61">
        <f>IF(AND(R1292="",S1292&lt;&gt;"Yes",L1292&lt;0,B1292&lt;&gt;"TXO"),L1292,"")</f>
        <v/>
      </c>
      <c r="X1292" s="226">
        <f>IF(AND(R1292="Yes",S1292="Yes",L1292&gt;0,B1292&lt;&gt;"TXO"),L1292,"")</f>
        <v/>
      </c>
      <c r="Y1292" s="226">
        <f>IF(AND(R1292="Yes",S1292="Yes",L1292&lt;0,B1292&lt;&gt;"TXO"),L1292,"")</f>
        <v/>
      </c>
      <c r="Z1292" s="226">
        <f>IF(AND(R1292="",S1292="Yes",L1292&gt;0,B1292&lt;&gt;"TXO"),L1292,"")</f>
        <v/>
      </c>
      <c r="AA1292" s="226">
        <f>IF(AND(R1292="",S1292="Yes",L1292&lt;0,B1292&lt;&gt;"TXO"),L1292,"")</f>
        <v/>
      </c>
    </row>
    <row r="1293" hidden="1" outlineLevel="2" collapsed="1" ht="17.25" customHeight="1" thickBot="1">
      <c r="A1293" s="740" t="n">
        <v>43385</v>
      </c>
      <c r="B1293" s="299" t="inlineStr">
        <is>
          <t>FIMTX</t>
        </is>
      </c>
      <c r="C1293" s="300" t="inlineStr">
        <is>
          <t>小指10</t>
        </is>
      </c>
      <c r="D1293" s="300" t="inlineStr">
        <is>
          <t>平倉</t>
        </is>
      </c>
      <c r="E1293" s="301" t="inlineStr">
        <is>
          <t>買</t>
        </is>
      </c>
      <c r="F1293" s="300" t="inlineStr">
        <is>
          <t>-</t>
        </is>
      </c>
      <c r="G1293" s="741" t="n">
        <v>1</v>
      </c>
      <c r="H1293" s="741" t="n">
        <v>9929</v>
      </c>
      <c r="I1293" s="741" t="n">
        <v>0</v>
      </c>
      <c r="J1293" s="742" t="n">
        <v>23</v>
      </c>
      <c r="K1293" s="742" t="n">
        <v>10</v>
      </c>
      <c r="L1293" s="742">
        <f>IF(B1293="TXO",I1293-SUM(J1293:K1293),IF(B1293="FITX",IF(D1293="新倉",-SUM(J1293:K1293),IF(E1293="賣",(H1293-H1292)*G1293*200-SUM(J1293:K1293),(H1292-H1293)*G1293*200-SUM(J1293:K1293))),IF(D1293="新倉",-SUM(J1293:K1293),IF(E1293="賣",(H1293-H1292)*G1293*50-SUM(J1293:K1293),(H1292-H1293)*G1293*50-SUM(J1293:K1293)))))</f>
        <v/>
      </c>
      <c r="M1293" s="743">
        <f>L1293</f>
        <v/>
      </c>
      <c r="N1293" s="686">
        <f>IF(B1293="TXO","",IF(D1293="新倉","",IF(E1293="賣",(H1293-H1292)*G1293,(H1292-H1293)*G1293)))</f>
        <v/>
      </c>
      <c r="O1293" s="226" t="n">
        <v>0</v>
      </c>
      <c r="P1293" s="667" t="n"/>
      <c r="Q1293" s="249" t="inlineStr">
        <is>
          <t>停利</t>
        </is>
      </c>
      <c r="R1293" s="249" t="inlineStr">
        <is>
          <t>Yes</t>
        </is>
      </c>
      <c r="S1293" s="249" t="inlineStr">
        <is>
          <t>Yes</t>
        </is>
      </c>
      <c r="T1293" s="61">
        <f>IF(AND(R1293="Yes",S1293&lt;&gt;"Yes",L1293&gt;0,B1293&lt;&gt;"TXO"),L1293,"")</f>
        <v/>
      </c>
      <c r="U1293" s="61">
        <f>IF(AND(R1293="Yes",S1293&lt;&gt;"Yes",L1293&lt;0,B1293&lt;&gt;"TXO"),L1293,"")</f>
        <v/>
      </c>
      <c r="V1293" s="61">
        <f>IF(AND(R1293="",S1293&lt;&gt;"Yes",L1293&gt;0,B1293&lt;&gt;"TXO"),L1293,"")</f>
        <v/>
      </c>
      <c r="W1293" s="61">
        <f>IF(AND(R1293="",S1293&lt;&gt;"Yes",L1293&lt;0,B1293&lt;&gt;"TXO"),L1293,"")</f>
        <v/>
      </c>
      <c r="X1293" s="226">
        <f>IF(AND(R1293="Yes",S1293="Yes",L1293&gt;0,B1293&lt;&gt;"TXO"),L1293,"")</f>
        <v/>
      </c>
      <c r="Y1293" s="226">
        <f>IF(AND(R1293="Yes",S1293="Yes",L1293&lt;0,B1293&lt;&gt;"TXO"),L1293,"")</f>
        <v/>
      </c>
      <c r="Z1293" s="226">
        <f>IF(AND(R1293="",S1293="Yes",L1293&gt;0,B1293&lt;&gt;"TXO"),L1293,"")</f>
        <v/>
      </c>
      <c r="AA1293" s="226">
        <f>IF(AND(R1293="",S1293="Yes",L1293&lt;0,B1293&lt;&gt;"TXO"),L1293,"")</f>
        <v/>
      </c>
    </row>
    <row r="1294" hidden="1" outlineLevel="2" collapsed="1" ht="17.25" customHeight="1" thickBot="1">
      <c r="A1294" s="740" t="n">
        <v>43385</v>
      </c>
      <c r="B1294" s="299" t="inlineStr">
        <is>
          <t>FIMTX</t>
        </is>
      </c>
      <c r="C1294" s="300" t="inlineStr">
        <is>
          <t>小指10</t>
        </is>
      </c>
      <c r="D1294" s="300" t="inlineStr">
        <is>
          <t>新倉</t>
        </is>
      </c>
      <c r="E1294" s="301" t="inlineStr">
        <is>
          <t>賣</t>
        </is>
      </c>
      <c r="F1294" s="300" t="inlineStr">
        <is>
          <t>-</t>
        </is>
      </c>
      <c r="G1294" s="741" t="n">
        <v>1</v>
      </c>
      <c r="H1294" s="741" t="n">
        <v>9927</v>
      </c>
      <c r="I1294" s="741" t="n">
        <v>0</v>
      </c>
      <c r="J1294" s="742" t="n">
        <v>23</v>
      </c>
      <c r="K1294" s="742" t="n">
        <v>10</v>
      </c>
      <c r="L1294" s="742">
        <f>IF(B1294="TXO",I1294-SUM(J1294:K1294),IF(B1294="FITX",IF(D1294="新倉",-SUM(J1294:K1294),IF(E1294="賣",(H1294-H1293)*G1294*200-SUM(J1294:K1294),(H1293-H1294)*G1294*200-SUM(J1294:K1294))),IF(D1294="新倉",-SUM(J1294:K1294),IF(E1294="賣",(H1294-H1293)*G1294*50-SUM(J1294:K1294),(H1293-H1294)*G1294*50-SUM(J1294:K1294)))))</f>
        <v/>
      </c>
      <c r="M1294" s="743">
        <f>L1294</f>
        <v/>
      </c>
      <c r="N1294" s="686">
        <f>IF(B1294="TXO","",IF(D1294="新倉","",IF(E1294="賣",(H1294-H1293)*G1294,(H1293-H1294)*G1294)))</f>
        <v/>
      </c>
      <c r="O1294" s="226" t="n">
        <v>0</v>
      </c>
      <c r="P1294" s="667" t="n"/>
      <c r="Q1294" s="249" t="inlineStr">
        <is>
          <t>技法: 3/3 買進三口</t>
        </is>
      </c>
      <c r="R1294" s="249" t="inlineStr">
        <is>
          <t>Yes</t>
        </is>
      </c>
      <c r="S1294" s="249" t="inlineStr">
        <is>
          <t>Yes</t>
        </is>
      </c>
      <c r="T1294" s="61">
        <f>IF(AND(R1294="Yes",S1294&lt;&gt;"Yes",L1294&gt;0,B1294&lt;&gt;"TXO"),L1294,"")</f>
        <v/>
      </c>
      <c r="U1294" s="61">
        <f>IF(AND(R1294="Yes",S1294&lt;&gt;"Yes",L1294&lt;0,B1294&lt;&gt;"TXO"),L1294,"")</f>
        <v/>
      </c>
      <c r="V1294" s="61">
        <f>IF(AND(R1294="",S1294&lt;&gt;"Yes",L1294&gt;0,B1294&lt;&gt;"TXO"),L1294,"")</f>
        <v/>
      </c>
      <c r="W1294" s="61">
        <f>IF(AND(R1294="",S1294&lt;&gt;"Yes",L1294&lt;0,B1294&lt;&gt;"TXO"),L1294,"")</f>
        <v/>
      </c>
      <c r="X1294" s="226">
        <f>IF(AND(R1294="Yes",S1294="Yes",L1294&gt;0,B1294&lt;&gt;"TXO"),L1294,"")</f>
        <v/>
      </c>
      <c r="Y1294" s="226">
        <f>IF(AND(R1294="Yes",S1294="Yes",L1294&lt;0,B1294&lt;&gt;"TXO"),L1294,"")</f>
        <v/>
      </c>
      <c r="Z1294" s="226">
        <f>IF(AND(R1294="",S1294="Yes",L1294&gt;0,B1294&lt;&gt;"TXO"),L1294,"")</f>
        <v/>
      </c>
      <c r="AA1294" s="226">
        <f>IF(AND(R1294="",S1294="Yes",L1294&lt;0,B1294&lt;&gt;"TXO"),L1294,"")</f>
        <v/>
      </c>
    </row>
    <row r="1295" hidden="1" outlineLevel="2" collapsed="1" ht="17.25" customHeight="1" thickBot="1">
      <c r="A1295" s="740" t="n">
        <v>43385</v>
      </c>
      <c r="B1295" s="299" t="inlineStr">
        <is>
          <t>FIMTX</t>
        </is>
      </c>
      <c r="C1295" s="300" t="inlineStr">
        <is>
          <t>小指10</t>
        </is>
      </c>
      <c r="D1295" s="300" t="inlineStr">
        <is>
          <t>平倉</t>
        </is>
      </c>
      <c r="E1295" s="301" t="inlineStr">
        <is>
          <t>買</t>
        </is>
      </c>
      <c r="F1295" s="300" t="inlineStr">
        <is>
          <t>-</t>
        </is>
      </c>
      <c r="G1295" s="741" t="n">
        <v>1</v>
      </c>
      <c r="H1295" s="741" t="n">
        <v>9915</v>
      </c>
      <c r="I1295" s="741" t="n">
        <v>0</v>
      </c>
      <c r="J1295" s="742" t="n">
        <v>23</v>
      </c>
      <c r="K1295" s="742" t="n">
        <v>10</v>
      </c>
      <c r="L1295" s="742">
        <f>IF(B1295="TXO",I1295-SUM(J1295:K1295),IF(B1295="FITX",IF(D1295="新倉",-SUM(J1295:K1295),IF(E1295="賣",(H1295-H1294)*G1295*200-SUM(J1295:K1295),(H1294-H1295)*G1295*200-SUM(J1295:K1295))),IF(D1295="新倉",-SUM(J1295:K1295),IF(E1295="賣",(H1295-H1294)*G1295*50-SUM(J1295:K1295),(H1294-H1295)*G1295*50-SUM(J1295:K1295)))))</f>
        <v/>
      </c>
      <c r="M1295" s="743">
        <f>L1295</f>
        <v/>
      </c>
      <c r="N1295" s="686">
        <f>IF(B1295="TXO","",IF(D1295="新倉","",IF(E1295="賣",(H1295-H1294)*G1295,(H1294-H1295)*G1295)))</f>
        <v/>
      </c>
      <c r="O1295" s="226" t="n">
        <v>0</v>
      </c>
      <c r="P1295" s="667" t="n"/>
      <c r="Q1295" s="249" t="inlineStr">
        <is>
          <t>技法: 刺補</t>
        </is>
      </c>
      <c r="R1295" s="249" t="inlineStr">
        <is>
          <t>Yes</t>
        </is>
      </c>
      <c r="S1295" s="249" t="inlineStr">
        <is>
          <t>Yes</t>
        </is>
      </c>
      <c r="T1295" s="61">
        <f>IF(AND(R1295="Yes",S1295&lt;&gt;"Yes",L1295&gt;0,B1295&lt;&gt;"TXO"),L1295,"")</f>
        <v/>
      </c>
      <c r="U1295" s="61">
        <f>IF(AND(R1295="Yes",S1295&lt;&gt;"Yes",L1295&lt;0,B1295&lt;&gt;"TXO"),L1295,"")</f>
        <v/>
      </c>
      <c r="V1295" s="61">
        <f>IF(AND(R1295="",S1295&lt;&gt;"Yes",L1295&gt;0,B1295&lt;&gt;"TXO"),L1295,"")</f>
        <v/>
      </c>
      <c r="W1295" s="61">
        <f>IF(AND(R1295="",S1295&lt;&gt;"Yes",L1295&lt;0,B1295&lt;&gt;"TXO"),L1295,"")</f>
        <v/>
      </c>
      <c r="X1295" s="226">
        <f>IF(AND(R1295="Yes",S1295="Yes",L1295&gt;0,B1295&lt;&gt;"TXO"),L1295,"")</f>
        <v/>
      </c>
      <c r="Y1295" s="226">
        <f>IF(AND(R1295="Yes",S1295="Yes",L1295&lt;0,B1295&lt;&gt;"TXO"),L1295,"")</f>
        <v/>
      </c>
      <c r="Z1295" s="226">
        <f>IF(AND(R1295="",S1295="Yes",L1295&gt;0,B1295&lt;&gt;"TXO"),L1295,"")</f>
        <v/>
      </c>
      <c r="AA1295" s="226">
        <f>IF(AND(R1295="",S1295="Yes",L1295&lt;0,B1295&lt;&gt;"TXO"),L1295,"")</f>
        <v/>
      </c>
    </row>
    <row r="1296" hidden="1" outlineLevel="2" collapsed="1" ht="17.25" customHeight="1" thickBot="1">
      <c r="A1296" s="740" t="n">
        <v>43385</v>
      </c>
      <c r="B1296" s="299" t="inlineStr">
        <is>
          <t>FIMTX</t>
        </is>
      </c>
      <c r="C1296" s="300" t="inlineStr">
        <is>
          <t>小指10</t>
        </is>
      </c>
      <c r="D1296" s="300" t="inlineStr">
        <is>
          <t>新倉</t>
        </is>
      </c>
      <c r="E1296" s="301" t="inlineStr">
        <is>
          <t>賣</t>
        </is>
      </c>
      <c r="F1296" s="300" t="inlineStr">
        <is>
          <t>-</t>
        </is>
      </c>
      <c r="G1296" s="741" t="n">
        <v>2</v>
      </c>
      <c r="H1296" s="741" t="n">
        <v>9927</v>
      </c>
      <c r="I1296" s="741" t="n">
        <v>0</v>
      </c>
      <c r="J1296" s="742" t="n">
        <v>46</v>
      </c>
      <c r="K1296" s="742" t="n">
        <v>20</v>
      </c>
      <c r="L1296" s="742">
        <f>IF(B1296="TXO",I1296-SUM(J1296:K1296),IF(B1296="FITX",IF(D1296="新倉",-SUM(J1296:K1296),IF(E1296="賣",(H1296-H1295)*G1296*200-SUM(J1296:K1296),(H1295-H1296)*G1296*200-SUM(J1296:K1296))),IF(D1296="新倉",-SUM(J1296:K1296),IF(E1296="賣",(H1296-H1295)*G1296*50-SUM(J1296:K1296),(H1295-H1296)*G1296*50-SUM(J1296:K1296)))))</f>
        <v/>
      </c>
      <c r="M1296" s="743">
        <f>L1296</f>
        <v/>
      </c>
      <c r="N1296" s="686">
        <f>IF(B1296="TXO","",IF(D1296="新倉","",IF(E1296="賣",(H1296-H1295)*G1296,(H1295-H1296)*G1296)))</f>
        <v/>
      </c>
      <c r="O1296" s="226" t="n">
        <v>0</v>
      </c>
      <c r="P1296" s="667" t="n"/>
      <c r="R1296" s="249" t="inlineStr">
        <is>
          <t>Yes</t>
        </is>
      </c>
      <c r="S1296" s="249" t="inlineStr">
        <is>
          <t>Yes</t>
        </is>
      </c>
      <c r="T1296" s="61">
        <f>IF(AND(R1296="Yes",S1296&lt;&gt;"Yes",L1296&gt;0,B1296&lt;&gt;"TXO"),L1296,"")</f>
        <v/>
      </c>
      <c r="U1296" s="61">
        <f>IF(AND(R1296="Yes",S1296&lt;&gt;"Yes",L1296&lt;0,B1296&lt;&gt;"TXO"),L1296,"")</f>
        <v/>
      </c>
      <c r="V1296" s="61">
        <f>IF(AND(R1296="",S1296&lt;&gt;"Yes",L1296&gt;0,B1296&lt;&gt;"TXO"),L1296,"")</f>
        <v/>
      </c>
      <c r="W1296" s="61">
        <f>IF(AND(R1296="",S1296&lt;&gt;"Yes",L1296&lt;0,B1296&lt;&gt;"TXO"),L1296,"")</f>
        <v/>
      </c>
      <c r="X1296" s="226">
        <f>IF(AND(R1296="Yes",S1296="Yes",L1296&gt;0,B1296&lt;&gt;"TXO"),L1296,"")</f>
        <v/>
      </c>
      <c r="Y1296" s="226">
        <f>IF(AND(R1296="Yes",S1296="Yes",L1296&lt;0,B1296&lt;&gt;"TXO"),L1296,"")</f>
        <v/>
      </c>
      <c r="Z1296" s="226">
        <f>IF(AND(R1296="",S1296="Yes",L1296&gt;0,B1296&lt;&gt;"TXO"),L1296,"")</f>
        <v/>
      </c>
      <c r="AA1296" s="226">
        <f>IF(AND(R1296="",S1296="Yes",L1296&lt;0,B1296&lt;&gt;"TXO"),L1296,"")</f>
        <v/>
      </c>
    </row>
    <row r="1297" hidden="1" outlineLevel="2" collapsed="1" ht="17.25" customHeight="1" thickBot="1">
      <c r="A1297" s="740" t="n">
        <v>43385</v>
      </c>
      <c r="B1297" s="299" t="inlineStr">
        <is>
          <t>FIMTX</t>
        </is>
      </c>
      <c r="C1297" s="300" t="inlineStr">
        <is>
          <t>小指10</t>
        </is>
      </c>
      <c r="D1297" s="300" t="inlineStr">
        <is>
          <t>平倉</t>
        </is>
      </c>
      <c r="E1297" s="301" t="inlineStr">
        <is>
          <t>買</t>
        </is>
      </c>
      <c r="F1297" s="300" t="inlineStr">
        <is>
          <t>-</t>
        </is>
      </c>
      <c r="G1297" s="741" t="n">
        <v>2</v>
      </c>
      <c r="H1297" s="741" t="n">
        <v>9920</v>
      </c>
      <c r="I1297" s="741" t="n">
        <v>0</v>
      </c>
      <c r="J1297" s="742" t="n">
        <v>46</v>
      </c>
      <c r="K1297" s="742" t="n">
        <v>20</v>
      </c>
      <c r="L1297" s="742">
        <f>IF(B1297="TXO",I1297-SUM(J1297:K1297),IF(B1297="FITX",IF(D1297="新倉",-SUM(J1297:K1297),IF(E1297="賣",(H1297-H1296)*G1297*200-SUM(J1297:K1297),(H1296-H1297)*G1297*200-SUM(J1297:K1297))),IF(D1297="新倉",-SUM(J1297:K1297),IF(E1297="賣",(H1297-H1296)*G1297*50-SUM(J1297:K1297),(H1296-H1297)*G1297*50-SUM(J1297:K1297)))))</f>
        <v/>
      </c>
      <c r="M1297" s="743">
        <f>L1297</f>
        <v/>
      </c>
      <c r="N1297" s="686">
        <f>IF(B1297="TXO","",IF(D1297="新倉","",IF(E1297="賣",(H1297-H1296)*G1297,(H1296-H1297)*G1297)))</f>
        <v/>
      </c>
      <c r="O1297" s="226" t="n">
        <v>0</v>
      </c>
      <c r="P1297" s="667" t="n"/>
      <c r="Q1297" s="249" t="inlineStr">
        <is>
          <t>技法: 移動式停利</t>
        </is>
      </c>
      <c r="R1297" s="249" t="inlineStr">
        <is>
          <t>Yes</t>
        </is>
      </c>
      <c r="S1297" s="249" t="inlineStr">
        <is>
          <t>Yes</t>
        </is>
      </c>
      <c r="T1297" s="61">
        <f>IF(AND(R1297="Yes",S1297&lt;&gt;"Yes",L1297&gt;0,B1297&lt;&gt;"TXO"),L1297,"")</f>
        <v/>
      </c>
      <c r="U1297" s="61">
        <f>IF(AND(R1297="Yes",S1297&lt;&gt;"Yes",L1297&lt;0,B1297&lt;&gt;"TXO"),L1297,"")</f>
        <v/>
      </c>
      <c r="V1297" s="61">
        <f>IF(AND(R1297="",S1297&lt;&gt;"Yes",L1297&gt;0,B1297&lt;&gt;"TXO"),L1297,"")</f>
        <v/>
      </c>
      <c r="W1297" s="61">
        <f>IF(AND(R1297="",S1297&lt;&gt;"Yes",L1297&lt;0,B1297&lt;&gt;"TXO"),L1297,"")</f>
        <v/>
      </c>
      <c r="X1297" s="226">
        <f>IF(AND(R1297="Yes",S1297="Yes",L1297&gt;0,B1297&lt;&gt;"TXO"),L1297,"")</f>
        <v/>
      </c>
      <c r="Y1297" s="226">
        <f>IF(AND(R1297="Yes",S1297="Yes",L1297&lt;0,B1297&lt;&gt;"TXO"),L1297,"")</f>
        <v/>
      </c>
      <c r="Z1297" s="226">
        <f>IF(AND(R1297="",S1297="Yes",L1297&gt;0,B1297&lt;&gt;"TXO"),L1297,"")</f>
        <v/>
      </c>
      <c r="AA1297" s="226">
        <f>IF(AND(R1297="",S1297="Yes",L1297&lt;0,B1297&lt;&gt;"TXO"),L1297,"")</f>
        <v/>
      </c>
    </row>
    <row r="1298" hidden="1" outlineLevel="2" collapsed="1" ht="17.25" customHeight="1" thickBot="1">
      <c r="A1298" s="740" t="n">
        <v>43385</v>
      </c>
      <c r="B1298" s="299" t="inlineStr">
        <is>
          <t>FIMTX</t>
        </is>
      </c>
      <c r="C1298" s="300" t="inlineStr">
        <is>
          <t>小指10</t>
        </is>
      </c>
      <c r="D1298" s="300" t="inlineStr">
        <is>
          <t>新倉</t>
        </is>
      </c>
      <c r="E1298" s="301" t="inlineStr">
        <is>
          <t>賣</t>
        </is>
      </c>
      <c r="F1298" s="300" t="inlineStr">
        <is>
          <t>-</t>
        </is>
      </c>
      <c r="G1298" s="741" t="n">
        <v>1</v>
      </c>
      <c r="H1298" s="741" t="n">
        <v>9909</v>
      </c>
      <c r="I1298" s="741" t="n">
        <v>0</v>
      </c>
      <c r="J1298" s="742" t="n">
        <v>23</v>
      </c>
      <c r="K1298" s="742" t="n">
        <v>10</v>
      </c>
      <c r="L1298" s="742">
        <f>IF(B1298="TXO",I1298-SUM(J1298:K1298),IF(B1298="FITX",IF(D1298="新倉",-SUM(J1298:K1298),IF(E1298="賣",(H1298-H1297)*G1298*200-SUM(J1298:K1298),(H1297-H1298)*G1298*200-SUM(J1298:K1298))),IF(D1298="新倉",-SUM(J1298:K1298),IF(E1298="賣",(H1298-H1297)*G1298*50-SUM(J1298:K1298),(H1297-H1298)*G1298*50-SUM(J1298:K1298)))))</f>
        <v/>
      </c>
      <c r="M1298" s="743">
        <f>L1298</f>
        <v/>
      </c>
      <c r="N1298" s="686">
        <f>IF(B1298="TXO","",IF(D1298="新倉","",IF(E1298="賣",(H1298-H1297)*G1298,(H1297-H1298)*G1298)))</f>
        <v/>
      </c>
      <c r="O1298" s="226" t="n">
        <v>0</v>
      </c>
      <c r="P1298" s="667" t="n"/>
      <c r="Q1298" s="249" t="inlineStr">
        <is>
          <t>追跌</t>
        </is>
      </c>
      <c r="S1298" s="249" t="inlineStr">
        <is>
          <t>Yes</t>
        </is>
      </c>
      <c r="T1298" s="61">
        <f>IF(AND(R1298="Yes",S1298&lt;&gt;"Yes",L1298&gt;0,B1298&lt;&gt;"TXO"),L1298,"")</f>
        <v/>
      </c>
      <c r="U1298" s="61">
        <f>IF(AND(R1298="Yes",S1298&lt;&gt;"Yes",L1298&lt;0,B1298&lt;&gt;"TXO"),L1298,"")</f>
        <v/>
      </c>
      <c r="V1298" s="61">
        <f>IF(AND(R1298="",S1298&lt;&gt;"Yes",L1298&gt;0,B1298&lt;&gt;"TXO"),L1298,"")</f>
        <v/>
      </c>
      <c r="W1298" s="61">
        <f>IF(AND(R1298="",S1298&lt;&gt;"Yes",L1298&lt;0,B1298&lt;&gt;"TXO"),L1298,"")</f>
        <v/>
      </c>
      <c r="X1298" s="226">
        <f>IF(AND(R1298="Yes",S1298="Yes",L1298&gt;0,B1298&lt;&gt;"TXO"),L1298,"")</f>
        <v/>
      </c>
      <c r="Y1298" s="226">
        <f>IF(AND(R1298="Yes",S1298="Yes",L1298&lt;0,B1298&lt;&gt;"TXO"),L1298,"")</f>
        <v/>
      </c>
      <c r="Z1298" s="226">
        <f>IF(AND(R1298="",S1298="Yes",L1298&gt;0,B1298&lt;&gt;"TXO"),L1298,"")</f>
        <v/>
      </c>
      <c r="AA1298" s="226">
        <f>IF(AND(R1298="",S1298="Yes",L1298&lt;0,B1298&lt;&gt;"TXO"),L1298,"")</f>
        <v/>
      </c>
    </row>
    <row r="1299" hidden="1" outlineLevel="2" collapsed="1" ht="17.25" customHeight="1" thickBot="1">
      <c r="A1299" s="740" t="n">
        <v>43385</v>
      </c>
      <c r="B1299" s="299" t="inlineStr">
        <is>
          <t>FIMTX</t>
        </is>
      </c>
      <c r="C1299" s="300" t="inlineStr">
        <is>
          <t>小指10</t>
        </is>
      </c>
      <c r="D1299" s="300" t="inlineStr">
        <is>
          <t>平倉</t>
        </is>
      </c>
      <c r="E1299" s="301" t="inlineStr">
        <is>
          <t>買</t>
        </is>
      </c>
      <c r="F1299" s="300" t="inlineStr">
        <is>
          <t>-</t>
        </is>
      </c>
      <c r="G1299" s="741" t="n">
        <v>1</v>
      </c>
      <c r="H1299" s="741" t="n">
        <v>9904</v>
      </c>
      <c r="I1299" s="741" t="n">
        <v>0</v>
      </c>
      <c r="J1299" s="742" t="n">
        <v>23</v>
      </c>
      <c r="K1299" s="742" t="n">
        <v>10</v>
      </c>
      <c r="L1299" s="742">
        <f>IF(B1299="TXO",I1299-SUM(J1299:K1299),IF(B1299="FITX",IF(D1299="新倉",-SUM(J1299:K1299),IF(E1299="賣",(H1299-H1298)*G1299*200-SUM(J1299:K1299),(H1298-H1299)*G1299*200-SUM(J1299:K1299))),IF(D1299="新倉",-SUM(J1299:K1299),IF(E1299="賣",(H1299-H1298)*G1299*50-SUM(J1299:K1299),(H1298-H1299)*G1299*50-SUM(J1299:K1299)))))</f>
        <v/>
      </c>
      <c r="M1299" s="743">
        <f>L1299</f>
        <v/>
      </c>
      <c r="N1299" s="686">
        <f>IF(B1299="TXO","",IF(D1299="新倉","",IF(E1299="賣",(H1299-H1298)*G1299,(H1298-H1299)*G1299)))</f>
        <v/>
      </c>
      <c r="O1299" s="226" t="n">
        <v>0</v>
      </c>
      <c r="P1299" s="667" t="n"/>
      <c r="Q1299" s="249" t="inlineStr">
        <is>
          <t>停利</t>
        </is>
      </c>
      <c r="S1299" s="249" t="inlineStr">
        <is>
          <t>Yes</t>
        </is>
      </c>
      <c r="T1299" s="61">
        <f>IF(AND(R1299="Yes",S1299&lt;&gt;"Yes",L1299&gt;0,B1299&lt;&gt;"TXO"),L1299,"")</f>
        <v/>
      </c>
      <c r="U1299" s="61">
        <f>IF(AND(R1299="Yes",S1299&lt;&gt;"Yes",L1299&lt;0,B1299&lt;&gt;"TXO"),L1299,"")</f>
        <v/>
      </c>
      <c r="V1299" s="61">
        <f>IF(AND(R1299="",S1299&lt;&gt;"Yes",L1299&gt;0,B1299&lt;&gt;"TXO"),L1299,"")</f>
        <v/>
      </c>
      <c r="W1299" s="61">
        <f>IF(AND(R1299="",S1299&lt;&gt;"Yes",L1299&lt;0,B1299&lt;&gt;"TXO"),L1299,"")</f>
        <v/>
      </c>
      <c r="X1299" s="226">
        <f>IF(AND(R1299="Yes",S1299="Yes",L1299&gt;0,B1299&lt;&gt;"TXO"),L1299,"")</f>
        <v/>
      </c>
      <c r="Y1299" s="226">
        <f>IF(AND(R1299="Yes",S1299="Yes",L1299&lt;0,B1299&lt;&gt;"TXO"),L1299,"")</f>
        <v/>
      </c>
      <c r="Z1299" s="226">
        <f>IF(AND(R1299="",S1299="Yes",L1299&gt;0,B1299&lt;&gt;"TXO"),L1299,"")</f>
        <v/>
      </c>
      <c r="AA1299" s="226">
        <f>IF(AND(R1299="",S1299="Yes",L1299&lt;0,B1299&lt;&gt;"TXO"),L1299,"")</f>
        <v/>
      </c>
    </row>
    <row r="1300" hidden="1" outlineLevel="2" collapsed="1" ht="17.25" customHeight="1" thickBot="1">
      <c r="A1300" s="740" t="n">
        <v>43385</v>
      </c>
      <c r="B1300" s="299" t="inlineStr">
        <is>
          <t>FIMTX</t>
        </is>
      </c>
      <c r="C1300" s="300" t="inlineStr">
        <is>
          <t>小指10</t>
        </is>
      </c>
      <c r="D1300" s="300" t="inlineStr">
        <is>
          <t>新倉</t>
        </is>
      </c>
      <c r="E1300" s="301" t="inlineStr">
        <is>
          <t>賣</t>
        </is>
      </c>
      <c r="F1300" s="300" t="inlineStr">
        <is>
          <t>-</t>
        </is>
      </c>
      <c r="G1300" s="741" t="n">
        <v>1</v>
      </c>
      <c r="H1300" s="741" t="n">
        <v>9909</v>
      </c>
      <c r="I1300" s="741" t="n">
        <v>0</v>
      </c>
      <c r="J1300" s="742" t="n">
        <v>23</v>
      </c>
      <c r="K1300" s="742" t="n">
        <v>10</v>
      </c>
      <c r="L1300" s="742">
        <f>IF(B1300="TXO",I1300-SUM(J1300:K1300),IF(B1300="FITX",IF(D1300="新倉",-SUM(J1300:K1300),IF(E1300="賣",(H1300-H1299)*G1300*200-SUM(J1300:K1300),(H1299-H1300)*G1300*200-SUM(J1300:K1300))),IF(D1300="新倉",-SUM(J1300:K1300),IF(E1300="賣",(H1300-H1299)*G1300*50-SUM(J1300:K1300),(H1299-H1300)*G1300*50-SUM(J1300:K1300)))))</f>
        <v/>
      </c>
      <c r="M1300" s="743">
        <f>L1300</f>
        <v/>
      </c>
      <c r="N1300" s="686">
        <f>IF(B1300="TXO","",IF(D1300="新倉","",IF(E1300="賣",(H1300-H1299)*G1300,(H1299-H1300)*G1300)))</f>
        <v/>
      </c>
      <c r="O1300" s="226" t="n">
        <v>0</v>
      </c>
      <c r="P1300" s="667" t="n"/>
      <c r="Q1300" s="249" t="inlineStr">
        <is>
          <t>追跌</t>
        </is>
      </c>
      <c r="S1300" s="249" t="inlineStr">
        <is>
          <t>Yes</t>
        </is>
      </c>
      <c r="T1300" s="61">
        <f>IF(AND(R1300="Yes",S1300&lt;&gt;"Yes",L1300&gt;0,B1300&lt;&gt;"TXO"),L1300,"")</f>
        <v/>
      </c>
      <c r="U1300" s="61">
        <f>IF(AND(R1300="Yes",S1300&lt;&gt;"Yes",L1300&lt;0,B1300&lt;&gt;"TXO"),L1300,"")</f>
        <v/>
      </c>
      <c r="V1300" s="61">
        <f>IF(AND(R1300="",S1300&lt;&gt;"Yes",L1300&gt;0,B1300&lt;&gt;"TXO"),L1300,"")</f>
        <v/>
      </c>
      <c r="W1300" s="61">
        <f>IF(AND(R1300="",S1300&lt;&gt;"Yes",L1300&lt;0,B1300&lt;&gt;"TXO"),L1300,"")</f>
        <v/>
      </c>
      <c r="X1300" s="226">
        <f>IF(AND(R1300="Yes",S1300="Yes",L1300&gt;0,B1300&lt;&gt;"TXO"),L1300,"")</f>
        <v/>
      </c>
      <c r="Y1300" s="226">
        <f>IF(AND(R1300="Yes",S1300="Yes",L1300&lt;0,B1300&lt;&gt;"TXO"),L1300,"")</f>
        <v/>
      </c>
      <c r="Z1300" s="226">
        <f>IF(AND(R1300="",S1300="Yes",L1300&gt;0,B1300&lt;&gt;"TXO"),L1300,"")</f>
        <v/>
      </c>
      <c r="AA1300" s="226">
        <f>IF(AND(R1300="",S1300="Yes",L1300&lt;0,B1300&lt;&gt;"TXO"),L1300,"")</f>
        <v/>
      </c>
    </row>
    <row r="1301" hidden="1" outlineLevel="2" collapsed="1" ht="17.25" customHeight="1" thickBot="1">
      <c r="A1301" s="740" t="n">
        <v>43385</v>
      </c>
      <c r="B1301" s="299" t="inlineStr">
        <is>
          <t>FIMTX</t>
        </is>
      </c>
      <c r="C1301" s="300" t="inlineStr">
        <is>
          <t>小指10</t>
        </is>
      </c>
      <c r="D1301" s="300" t="inlineStr">
        <is>
          <t>平倉</t>
        </is>
      </c>
      <c r="E1301" s="301" t="inlineStr">
        <is>
          <t>買</t>
        </is>
      </c>
      <c r="F1301" s="300" t="inlineStr">
        <is>
          <t>-</t>
        </is>
      </c>
      <c r="G1301" s="741" t="n">
        <v>1</v>
      </c>
      <c r="H1301" s="741" t="n">
        <v>9882</v>
      </c>
      <c r="I1301" s="741" t="n">
        <v>0</v>
      </c>
      <c r="J1301" s="742" t="n">
        <v>23</v>
      </c>
      <c r="K1301" s="742" t="n">
        <v>10</v>
      </c>
      <c r="L1301" s="742">
        <f>IF(B1301="TXO",I1301-SUM(J1301:K1301),IF(B1301="FITX",IF(D1301="新倉",-SUM(J1301:K1301),IF(E1301="賣",(H1301-H1300)*G1301*200-SUM(J1301:K1301),(H1300-H1301)*G1301*200-SUM(J1301:K1301))),IF(D1301="新倉",-SUM(J1301:K1301),IF(E1301="賣",(H1301-H1300)*G1301*50-SUM(J1301:K1301),(H1300-H1301)*G1301*50-SUM(J1301:K1301)))))</f>
        <v/>
      </c>
      <c r="M1301" s="743">
        <f>L1301</f>
        <v/>
      </c>
      <c r="N1301" s="686">
        <f>IF(B1301="TXO","",IF(D1301="新倉","",IF(E1301="賣",(H1301-H1300)*G1301,(H1300-H1301)*G1301)))</f>
        <v/>
      </c>
      <c r="O1301" s="226" t="n">
        <v>0</v>
      </c>
      <c r="P1301" s="667" t="n"/>
      <c r="Q1301" s="249" t="inlineStr">
        <is>
          <t>停利</t>
        </is>
      </c>
      <c r="S1301" s="249" t="inlineStr">
        <is>
          <t>Yes</t>
        </is>
      </c>
      <c r="T1301" s="61">
        <f>IF(AND(R1301="Yes",S1301&lt;&gt;"Yes",L1301&gt;0,B1301&lt;&gt;"TXO"),L1301,"")</f>
        <v/>
      </c>
      <c r="U1301" s="61">
        <f>IF(AND(R1301="Yes",S1301&lt;&gt;"Yes",L1301&lt;0,B1301&lt;&gt;"TXO"),L1301,"")</f>
        <v/>
      </c>
      <c r="V1301" s="61">
        <f>IF(AND(R1301="",S1301&lt;&gt;"Yes",L1301&gt;0,B1301&lt;&gt;"TXO"),L1301,"")</f>
        <v/>
      </c>
      <c r="W1301" s="61">
        <f>IF(AND(R1301="",S1301&lt;&gt;"Yes",L1301&lt;0,B1301&lt;&gt;"TXO"),L1301,"")</f>
        <v/>
      </c>
      <c r="X1301" s="226">
        <f>IF(AND(R1301="Yes",S1301="Yes",L1301&gt;0,B1301&lt;&gt;"TXO"),L1301,"")</f>
        <v/>
      </c>
      <c r="Y1301" s="226">
        <f>IF(AND(R1301="Yes",S1301="Yes",L1301&lt;0,B1301&lt;&gt;"TXO"),L1301,"")</f>
        <v/>
      </c>
      <c r="Z1301" s="226">
        <f>IF(AND(R1301="",S1301="Yes",L1301&gt;0,B1301&lt;&gt;"TXO"),L1301,"")</f>
        <v/>
      </c>
      <c r="AA1301" s="226">
        <f>IF(AND(R1301="",S1301="Yes",L1301&lt;0,B1301&lt;&gt;"TXO"),L1301,"")</f>
        <v/>
      </c>
    </row>
    <row r="1302" hidden="1" outlineLevel="1" ht="33.75" customHeight="1" thickBot="1">
      <c r="A1302" s="696" t="n">
        <v>43388</v>
      </c>
      <c r="B1302" s="234" t="inlineStr">
        <is>
          <t>FIMTX</t>
        </is>
      </c>
      <c r="C1302" s="229" t="inlineStr">
        <is>
          <t>小指10</t>
        </is>
      </c>
      <c r="D1302" s="229" t="inlineStr">
        <is>
          <t>新倉</t>
        </is>
      </c>
      <c r="E1302" s="257" t="inlineStr">
        <is>
          <t>買</t>
        </is>
      </c>
      <c r="F1302" s="229" t="inlineStr">
        <is>
          <t>-</t>
        </is>
      </c>
      <c r="G1302" s="697" t="n">
        <v>1</v>
      </c>
      <c r="H1302" s="697" t="n">
        <v>9900</v>
      </c>
      <c r="I1302" s="697" t="n">
        <v>0</v>
      </c>
      <c r="J1302" s="585" t="n">
        <v>23</v>
      </c>
      <c r="K1302" s="585" t="n">
        <v>10</v>
      </c>
      <c r="L1302" s="585">
        <f>IF(B1302="TXO",I1302-SUM(J1302:K1302),IF(B1302="FITX",IF(D1302="新倉",-SUM(J1302:K1302),IF(E1302="賣",(H1302-H1301)*G1302*200-SUM(J1302:K1302),(H1301-H1302)*G1302*200-SUM(J1302:K1302))),IF(D1302="新倉",-SUM(J1302:K1302),IF(E1302="賣",(H1302-H1301)*G1302*50-SUM(J1302:K1302),(H1301-H1302)*G1302*50-SUM(J1302:K1302)))))</f>
        <v/>
      </c>
      <c r="M1302" s="699">
        <f>L1302</f>
        <v/>
      </c>
      <c r="N1302" s="686">
        <f>IF(B1302="TXO","",IF(D1302="新倉","",IF(E1302="賣",(H1302-H1301)*G1302,(H1301-H1302)*G1302)))</f>
        <v/>
      </c>
      <c r="O1302" s="226">
        <f>ABS(I1302)</f>
        <v/>
      </c>
      <c r="P1302" s="667">
        <f>SUM(L1302:L1351)</f>
        <v/>
      </c>
      <c r="Q1302" s="249" t="inlineStr">
        <is>
          <t>技法: 籌碼三強，突破開盤高點下多單</t>
        </is>
      </c>
      <c r="R1302" s="249" t="inlineStr">
        <is>
          <t>Yes</t>
        </is>
      </c>
      <c r="S1302" s="249" t="n"/>
      <c r="T1302" s="61">
        <f>IF(AND(R1302="Yes",S1302&lt;&gt;"Yes",L1302&gt;0,B1302&lt;&gt;"TXO"),L1302,"")</f>
        <v/>
      </c>
      <c r="U1302" s="61">
        <f>IF(AND(R1302="Yes",S1302&lt;&gt;"Yes",L1302&lt;0,B1302&lt;&gt;"TXO"),L1302,"")</f>
        <v/>
      </c>
      <c r="V1302" s="61">
        <f>IF(AND(R1302="",S1302&lt;&gt;"Yes",L1302&gt;0,B1302&lt;&gt;"TXO"),L1302,"")</f>
        <v/>
      </c>
      <c r="W1302" s="61">
        <f>IF(AND(R1302="",S1302&lt;&gt;"Yes",L1302&lt;0,B1302&lt;&gt;"TXO"),L1302,"")</f>
        <v/>
      </c>
      <c r="X1302" s="226">
        <f>IF(AND(R1302="Yes",S1302="Yes",L1302&gt;0,B1302&lt;&gt;"TXO"),L1302,"")</f>
        <v/>
      </c>
      <c r="Y1302" s="226">
        <f>IF(AND(R1302="Yes",S1302="Yes",L1302&lt;0,B1302&lt;&gt;"TXO"),L1302,"")</f>
        <v/>
      </c>
      <c r="Z1302" s="226">
        <f>IF(AND(R1302="",S1302="Yes",L1302&gt;0,B1302&lt;&gt;"TXO"),L1302,"")</f>
        <v/>
      </c>
      <c r="AA1302" s="226">
        <f>IF(AND(R1302="",S1302="Yes",L1302&lt;0,B1302&lt;&gt;"TXO"),L1302,"")</f>
        <v/>
      </c>
    </row>
    <row r="1303" hidden="1" outlineLevel="2" ht="17.25" customHeight="1" thickBot="1">
      <c r="A1303" s="696" t="n">
        <v>43388</v>
      </c>
      <c r="B1303" s="234" t="inlineStr">
        <is>
          <t>FIMTX</t>
        </is>
      </c>
      <c r="C1303" s="229" t="inlineStr">
        <is>
          <t>小指10</t>
        </is>
      </c>
      <c r="D1303" s="229" t="inlineStr">
        <is>
          <t>平倉</t>
        </is>
      </c>
      <c r="E1303" s="257" t="inlineStr">
        <is>
          <t>賣</t>
        </is>
      </c>
      <c r="F1303" s="229" t="inlineStr">
        <is>
          <t>-</t>
        </is>
      </c>
      <c r="G1303" s="697" t="n">
        <v>1</v>
      </c>
      <c r="H1303" s="697" t="n">
        <v>9910</v>
      </c>
      <c r="I1303" s="697" t="n">
        <v>0</v>
      </c>
      <c r="J1303" s="585" t="n">
        <v>23</v>
      </c>
      <c r="K1303" s="585" t="n">
        <v>10</v>
      </c>
      <c r="L1303" s="585">
        <f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/>
      </c>
      <c r="M1303" s="699">
        <f>L1303</f>
        <v/>
      </c>
      <c r="N1303" s="686">
        <f>IF(B1303="TXO","",IF(D1303="新倉","",IF(E1303="賣",(H1303-H1302)*G1303,(H1302-H1303)*G1303)))</f>
        <v/>
      </c>
      <c r="O1303" s="226">
        <f>ABS(I1303)</f>
        <v/>
      </c>
      <c r="P1303" s="667" t="n"/>
      <c r="Q1303" s="249" t="inlineStr">
        <is>
          <t>技法: 移動式停利</t>
        </is>
      </c>
      <c r="R1303" s="249" t="inlineStr">
        <is>
          <t>Yes</t>
        </is>
      </c>
      <c r="S1303" s="249" t="n"/>
      <c r="T1303" s="61">
        <f>IF(AND(R1303="Yes",S1303&lt;&gt;"Yes",L1303&gt;0,B1303&lt;&gt;"TXO"),L1303,"")</f>
        <v/>
      </c>
      <c r="U1303" s="61">
        <f>IF(AND(R1303="Yes",S1303&lt;&gt;"Yes",L1303&lt;0,B1303&lt;&gt;"TXO"),L1303,"")</f>
        <v/>
      </c>
      <c r="V1303" s="61">
        <f>IF(AND(R1303="",S1303&lt;&gt;"Yes",L1303&gt;0,B1303&lt;&gt;"TXO"),L1303,"")</f>
        <v/>
      </c>
      <c r="W1303" s="61">
        <f>IF(AND(R1303="",S1303&lt;&gt;"Yes",L1303&lt;0,B1303&lt;&gt;"TXO"),L1303,"")</f>
        <v/>
      </c>
      <c r="X1303" s="226">
        <f>IF(AND(R1303="Yes",S1303="Yes",L1303&gt;0,B1303&lt;&gt;"TXO"),L1303,"")</f>
        <v/>
      </c>
      <c r="Y1303" s="226">
        <f>IF(AND(R1303="Yes",S1303="Yes",L1303&lt;0,B1303&lt;&gt;"TXO"),L1303,"")</f>
        <v/>
      </c>
      <c r="Z1303" s="226">
        <f>IF(AND(R1303="",S1303="Yes",L1303&gt;0,B1303&lt;&gt;"TXO"),L1303,"")</f>
        <v/>
      </c>
      <c r="AA1303" s="226">
        <f>IF(AND(R1303="",S1303="Yes",L1303&lt;0,B1303&lt;&gt;"TXO"),L1303,"")</f>
        <v/>
      </c>
    </row>
    <row r="1304" hidden="1" outlineLevel="2" ht="17.25" customHeight="1" thickBot="1">
      <c r="A1304" s="696" t="n">
        <v>43388</v>
      </c>
      <c r="B1304" s="234" t="inlineStr">
        <is>
          <t>FIMTX</t>
        </is>
      </c>
      <c r="C1304" s="229" t="inlineStr">
        <is>
          <t>小指10</t>
        </is>
      </c>
      <c r="D1304" s="229" t="inlineStr">
        <is>
          <t>新倉</t>
        </is>
      </c>
      <c r="E1304" s="257" t="inlineStr">
        <is>
          <t>買</t>
        </is>
      </c>
      <c r="F1304" s="229" t="inlineStr">
        <is>
          <t>-</t>
        </is>
      </c>
      <c r="G1304" s="697" t="n">
        <v>1</v>
      </c>
      <c r="H1304" s="697" t="n">
        <v>9898</v>
      </c>
      <c r="I1304" s="697" t="n">
        <v>0</v>
      </c>
      <c r="J1304" s="585" t="n">
        <v>23</v>
      </c>
      <c r="K1304" s="585" t="n">
        <v>10</v>
      </c>
      <c r="L1304" s="585">
        <f>IF(B1304="TXO",I1304-SUM(J1304:K1304),IF(B1304="FITX",IF(D1304="新倉",-SUM(J1304:K1304),IF(E1304="賣",(H1304-H1303)*G1304*200-SUM(J1304:K1304),(H1303-H1304)*G1304*200-SUM(J1304:K1304))),IF(D1304="新倉",-SUM(J1304:K1304),IF(E1304="賣",(H1304-H1303)*G1304*50-SUM(J1304:K1304),(H1303-H1304)*G1304*50-SUM(J1304:K1304)))))</f>
        <v/>
      </c>
      <c r="M1304" s="699">
        <f>L1304</f>
        <v/>
      </c>
      <c r="N1304" s="686">
        <f>IF(B1304="TXO","",IF(D1304="新倉","",IF(E1304="賣",(H1304-H1303)*G1304,(H1303-H1304)*G1304)))</f>
        <v/>
      </c>
      <c r="O1304" s="226">
        <f>ABS(I1304)</f>
        <v/>
      </c>
      <c r="P1304" s="667" t="n"/>
      <c r="R1304" s="249" t="inlineStr">
        <is>
          <t>Yes</t>
        </is>
      </c>
      <c r="S1304" s="249" t="n"/>
      <c r="T1304" s="61">
        <f>IF(AND(R1304="Yes",S1304&lt;&gt;"Yes",L1304&gt;0,B1304&lt;&gt;"TXO"),L1304,"")</f>
        <v/>
      </c>
      <c r="U1304" s="61">
        <f>IF(AND(R1304="Yes",S1304&lt;&gt;"Yes",L1304&lt;0,B1304&lt;&gt;"TXO"),L1304,"")</f>
        <v/>
      </c>
      <c r="V1304" s="61">
        <f>IF(AND(R1304="",S1304&lt;&gt;"Yes",L1304&gt;0,B1304&lt;&gt;"TXO"),L1304,"")</f>
        <v/>
      </c>
      <c r="W1304" s="61">
        <f>IF(AND(R1304="",S1304&lt;&gt;"Yes",L1304&lt;0,B1304&lt;&gt;"TXO"),L1304,"")</f>
        <v/>
      </c>
      <c r="X1304" s="226">
        <f>IF(AND(R1304="Yes",S1304="Yes",L1304&gt;0,B1304&lt;&gt;"TXO"),L1304,"")</f>
        <v/>
      </c>
      <c r="Y1304" s="226">
        <f>IF(AND(R1304="Yes",S1304="Yes",L1304&lt;0,B1304&lt;&gt;"TXO"),L1304,"")</f>
        <v/>
      </c>
      <c r="Z1304" s="226">
        <f>IF(AND(R1304="",S1304="Yes",L1304&gt;0,B1304&lt;&gt;"TXO"),L1304,"")</f>
        <v/>
      </c>
      <c r="AA1304" s="226">
        <f>IF(AND(R1304="",S1304="Yes",L1304&lt;0,B1304&lt;&gt;"TXO"),L1304,"")</f>
        <v/>
      </c>
    </row>
    <row r="1305" hidden="1" outlineLevel="2" ht="17.25" customHeight="1" thickBot="1">
      <c r="A1305" s="696" t="n">
        <v>43388</v>
      </c>
      <c r="B1305" s="234" t="inlineStr">
        <is>
          <t>FIMTX</t>
        </is>
      </c>
      <c r="C1305" s="229" t="inlineStr">
        <is>
          <t>小指10</t>
        </is>
      </c>
      <c r="D1305" s="229" t="inlineStr">
        <is>
          <t>平倉</t>
        </is>
      </c>
      <c r="E1305" s="257" t="inlineStr">
        <is>
          <t>賣</t>
        </is>
      </c>
      <c r="F1305" s="229" t="inlineStr">
        <is>
          <t>-</t>
        </is>
      </c>
      <c r="G1305" s="697" t="n">
        <v>1</v>
      </c>
      <c r="H1305" s="697" t="n">
        <v>9910</v>
      </c>
      <c r="I1305" s="697" t="n">
        <v>0</v>
      </c>
      <c r="J1305" s="585" t="n">
        <v>23</v>
      </c>
      <c r="K1305" s="585" t="n">
        <v>10</v>
      </c>
      <c r="L1305" s="585">
        <f>IF(B1305="TXO",I1305-SUM(J1305:K1305),IF(B1305="FITX",IF(D1305="新倉",-SUM(J1305:K1305),IF(E1305="賣",(H1305-H1304)*G1305*200-SUM(J1305:K1305),(H1304-H1305)*G1305*200-SUM(J1305:K1305))),IF(D1305="新倉",-SUM(J1305:K1305),IF(E1305="賣",(H1305-H1304)*G1305*50-SUM(J1305:K1305),(H1304-H1305)*G1305*50-SUM(J1305:K1305)))))</f>
        <v/>
      </c>
      <c r="M1305" s="699">
        <f>L1305</f>
        <v/>
      </c>
      <c r="N1305" s="686">
        <f>IF(B1305="TXO","",IF(D1305="新倉","",IF(E1305="賣",(H1305-H1304)*G1305,(H1304-H1305)*G1305)))</f>
        <v/>
      </c>
      <c r="O1305" s="226">
        <f>ABS(I1305)</f>
        <v/>
      </c>
      <c r="P1305" s="667" t="n"/>
      <c r="Q1305" s="249" t="inlineStr">
        <is>
          <t>技法: 移動式停利</t>
        </is>
      </c>
      <c r="R1305" s="249" t="inlineStr">
        <is>
          <t>Yes</t>
        </is>
      </c>
      <c r="S1305" s="249" t="n"/>
      <c r="T1305" s="61">
        <f>IF(AND(R1305="Yes",S1305&lt;&gt;"Yes",L1305&gt;0,B1305&lt;&gt;"TXO"),L1305,"")</f>
        <v/>
      </c>
      <c r="U1305" s="61">
        <f>IF(AND(R1305="Yes",S1305&lt;&gt;"Yes",L1305&lt;0,B1305&lt;&gt;"TXO"),L1305,"")</f>
        <v/>
      </c>
      <c r="V1305" s="61">
        <f>IF(AND(R1305="",S1305&lt;&gt;"Yes",L1305&gt;0,B1305&lt;&gt;"TXO"),L1305,"")</f>
        <v/>
      </c>
      <c r="W1305" s="61">
        <f>IF(AND(R1305="",S1305&lt;&gt;"Yes",L1305&lt;0,B1305&lt;&gt;"TXO"),L1305,"")</f>
        <v/>
      </c>
      <c r="X1305" s="226">
        <f>IF(AND(R1305="Yes",S1305="Yes",L1305&gt;0,B1305&lt;&gt;"TXO"),L1305,"")</f>
        <v/>
      </c>
      <c r="Y1305" s="226">
        <f>IF(AND(R1305="Yes",S1305="Yes",L1305&lt;0,B1305&lt;&gt;"TXO"),L1305,"")</f>
        <v/>
      </c>
      <c r="Z1305" s="226">
        <f>IF(AND(R1305="",S1305="Yes",L1305&gt;0,B1305&lt;&gt;"TXO"),L1305,"")</f>
        <v/>
      </c>
      <c r="AA1305" s="226">
        <f>IF(AND(R1305="",S1305="Yes",L1305&lt;0,B1305&lt;&gt;"TXO"),L1305,"")</f>
        <v/>
      </c>
    </row>
    <row r="1306" hidden="1" outlineLevel="2" ht="17.25" customHeight="1" thickBot="1">
      <c r="A1306" s="696" t="n">
        <v>43388</v>
      </c>
      <c r="B1306" s="234" t="inlineStr">
        <is>
          <t>FIMTX</t>
        </is>
      </c>
      <c r="C1306" s="229" t="inlineStr">
        <is>
          <t>小指10</t>
        </is>
      </c>
      <c r="D1306" s="229" t="inlineStr">
        <is>
          <t>新倉</t>
        </is>
      </c>
      <c r="E1306" s="257" t="inlineStr">
        <is>
          <t>買</t>
        </is>
      </c>
      <c r="F1306" s="229" t="inlineStr">
        <is>
          <t>-</t>
        </is>
      </c>
      <c r="G1306" s="697" t="n">
        <v>1</v>
      </c>
      <c r="H1306" s="697" t="n">
        <v>9896</v>
      </c>
      <c r="I1306" s="697" t="n">
        <v>0</v>
      </c>
      <c r="J1306" s="585" t="n">
        <v>23</v>
      </c>
      <c r="K1306" s="585" t="n">
        <v>10</v>
      </c>
      <c r="L1306" s="585">
        <f>IF(B1306="TXO",I1306-SUM(J1306:K1306),IF(B1306="FITX",IF(D1306="新倉",-SUM(J1306:K1306),IF(E1306="賣",(H1306-H1305)*G1306*200-SUM(J1306:K1306),(H1305-H1306)*G1306*200-SUM(J1306:K1306))),IF(D1306="新倉",-SUM(J1306:K1306),IF(E1306="賣",(H1306-H1305)*G1306*50-SUM(J1306:K1306),(H1305-H1306)*G1306*50-SUM(J1306:K1306)))))</f>
        <v/>
      </c>
      <c r="M1306" s="699">
        <f>L1306</f>
        <v/>
      </c>
      <c r="N1306" s="686">
        <f>IF(B1306="TXO","",IF(D1306="新倉","",IF(E1306="賣",(H1306-H1305)*G1306,(H1305-H1306)*G1306)))</f>
        <v/>
      </c>
      <c r="O1306" s="226">
        <f>ABS(I1306)</f>
        <v/>
      </c>
      <c r="P1306" s="667" t="n"/>
      <c r="R1306" s="249" t="inlineStr">
        <is>
          <t>Yes</t>
        </is>
      </c>
      <c r="S1306" s="249" t="n"/>
      <c r="T1306" s="61">
        <f>IF(AND(R1306="Yes",S1306&lt;&gt;"Yes",L1306&gt;0,B1306&lt;&gt;"TXO"),L1306,"")</f>
        <v/>
      </c>
      <c r="U1306" s="61">
        <f>IF(AND(R1306="Yes",S1306&lt;&gt;"Yes",L1306&lt;0,B1306&lt;&gt;"TXO"),L1306,"")</f>
        <v/>
      </c>
      <c r="V1306" s="61">
        <f>IF(AND(R1306="",S1306&lt;&gt;"Yes",L1306&gt;0,B1306&lt;&gt;"TXO"),L1306,"")</f>
        <v/>
      </c>
      <c r="W1306" s="61">
        <f>IF(AND(R1306="",S1306&lt;&gt;"Yes",L1306&lt;0,B1306&lt;&gt;"TXO"),L1306,"")</f>
        <v/>
      </c>
      <c r="X1306" s="226">
        <f>IF(AND(R1306="Yes",S1306="Yes",L1306&gt;0,B1306&lt;&gt;"TXO"),L1306,"")</f>
        <v/>
      </c>
      <c r="Y1306" s="226">
        <f>IF(AND(R1306="Yes",S1306="Yes",L1306&lt;0,B1306&lt;&gt;"TXO"),L1306,"")</f>
        <v/>
      </c>
      <c r="Z1306" s="226">
        <f>IF(AND(R1306="",S1306="Yes",L1306&gt;0,B1306&lt;&gt;"TXO"),L1306,"")</f>
        <v/>
      </c>
      <c r="AA1306" s="226">
        <f>IF(AND(R1306="",S1306="Yes",L1306&lt;0,B1306&lt;&gt;"TXO"),L1306,"")</f>
        <v/>
      </c>
    </row>
    <row r="1307" hidden="1" outlineLevel="2" ht="17.25" customHeight="1" thickBot="1">
      <c r="A1307" s="696" t="n">
        <v>43388</v>
      </c>
      <c r="B1307" s="234" t="inlineStr">
        <is>
          <t>FIMTX</t>
        </is>
      </c>
      <c r="C1307" s="229" t="inlineStr">
        <is>
          <t>小指10</t>
        </is>
      </c>
      <c r="D1307" s="229" t="inlineStr">
        <is>
          <t>平倉</t>
        </is>
      </c>
      <c r="E1307" s="257" t="inlineStr">
        <is>
          <t>賣</t>
        </is>
      </c>
      <c r="F1307" s="229" t="inlineStr">
        <is>
          <t>-</t>
        </is>
      </c>
      <c r="G1307" s="697" t="n">
        <v>1</v>
      </c>
      <c r="H1307" s="697" t="n">
        <v>9910</v>
      </c>
      <c r="I1307" s="697" t="n">
        <v>0</v>
      </c>
      <c r="J1307" s="585" t="n">
        <v>23</v>
      </c>
      <c r="K1307" s="585" t="n">
        <v>10</v>
      </c>
      <c r="L1307" s="585">
        <f>IF(B1307="TXO",I1307-SUM(J1307:K1307),IF(B1307="FITX",IF(D1307="新倉",-SUM(J1307:K1307),IF(E1307="賣",(H1307-H1306)*G1307*200-SUM(J1307:K1307),(H1306-H1307)*G1307*200-SUM(J1307:K1307))),IF(D1307="新倉",-SUM(J1307:K1307),IF(E1307="賣",(H1307-H1306)*G1307*50-SUM(J1307:K1307),(H1306-H1307)*G1307*50-SUM(J1307:K1307)))))</f>
        <v/>
      </c>
      <c r="M1307" s="699">
        <f>L1307</f>
        <v/>
      </c>
      <c r="N1307" s="686">
        <f>IF(B1307="TXO","",IF(D1307="新倉","",IF(E1307="賣",(H1307-H1306)*G1307,(H1306-H1307)*G1307)))</f>
        <v/>
      </c>
      <c r="O1307" s="226">
        <f>ABS(I1307)</f>
        <v/>
      </c>
      <c r="P1307" s="667" t="n"/>
      <c r="Q1307" s="249" t="inlineStr">
        <is>
          <t>技法: 移動式停利</t>
        </is>
      </c>
      <c r="R1307" s="249" t="inlineStr">
        <is>
          <t>Yes</t>
        </is>
      </c>
      <c r="S1307" s="249" t="n"/>
      <c r="T1307" s="61">
        <f>IF(AND(R1307="Yes",S1307&lt;&gt;"Yes",L1307&gt;0,B1307&lt;&gt;"TXO"),L1307,"")</f>
        <v/>
      </c>
      <c r="U1307" s="61">
        <f>IF(AND(R1307="Yes",S1307&lt;&gt;"Yes",L1307&lt;0,B1307&lt;&gt;"TXO"),L1307,"")</f>
        <v/>
      </c>
      <c r="V1307" s="61">
        <f>IF(AND(R1307="",S1307&lt;&gt;"Yes",L1307&gt;0,B1307&lt;&gt;"TXO"),L1307,"")</f>
        <v/>
      </c>
      <c r="W1307" s="61">
        <f>IF(AND(R1307="",S1307&lt;&gt;"Yes",L1307&lt;0,B1307&lt;&gt;"TXO"),L1307,"")</f>
        <v/>
      </c>
      <c r="X1307" s="226">
        <f>IF(AND(R1307="Yes",S1307="Yes",L1307&gt;0,B1307&lt;&gt;"TXO"),L1307,"")</f>
        <v/>
      </c>
      <c r="Y1307" s="226">
        <f>IF(AND(R1307="Yes",S1307="Yes",L1307&lt;0,B1307&lt;&gt;"TXO"),L1307,"")</f>
        <v/>
      </c>
      <c r="Z1307" s="226">
        <f>IF(AND(R1307="",S1307="Yes",L1307&gt;0,B1307&lt;&gt;"TXO"),L1307,"")</f>
        <v/>
      </c>
      <c r="AA1307" s="226">
        <f>IF(AND(R1307="",S1307="Yes",L1307&lt;0,B1307&lt;&gt;"TXO"),L1307,"")</f>
        <v/>
      </c>
    </row>
    <row r="1308" hidden="1" outlineLevel="2" ht="17.25" customHeight="1" thickBot="1">
      <c r="A1308" s="696" t="n">
        <v>43388</v>
      </c>
      <c r="B1308" s="234" t="inlineStr">
        <is>
          <t>FIMTX</t>
        </is>
      </c>
      <c r="C1308" s="229" t="inlineStr">
        <is>
          <t>小指10</t>
        </is>
      </c>
      <c r="D1308" s="229" t="inlineStr">
        <is>
          <t>新倉</t>
        </is>
      </c>
      <c r="E1308" s="257" t="inlineStr">
        <is>
          <t>買</t>
        </is>
      </c>
      <c r="F1308" s="229" t="inlineStr">
        <is>
          <t>-</t>
        </is>
      </c>
      <c r="G1308" s="697" t="n">
        <v>3</v>
      </c>
      <c r="H1308" s="697" t="n">
        <v>9900</v>
      </c>
      <c r="I1308" s="697" t="n">
        <v>0</v>
      </c>
      <c r="J1308" s="585" t="n">
        <v>69</v>
      </c>
      <c r="K1308" s="585" t="n">
        <v>30</v>
      </c>
      <c r="L1308" s="585">
        <f>IF(B1308="TXO",I1308-SUM(J1308:K1308),IF(B1308="FITX",IF(D1308="新倉",-SUM(J1308:K1308),IF(E1308="賣",(H1308-H1307)*G1308*200-SUM(J1308:K1308),(H1307-H1308)*G1308*200-SUM(J1308:K1308))),IF(D1308="新倉",-SUM(J1308:K1308),IF(E1308="賣",(H1308-H1307)*G1308*50-SUM(J1308:K1308),(H1307-H1308)*G1308*50-SUM(J1308:K1308)))))</f>
        <v/>
      </c>
      <c r="M1308" s="699">
        <f>L1308</f>
        <v/>
      </c>
      <c r="N1308" s="686">
        <f>IF(B1308="TXO","",IF(D1308="新倉","",IF(E1308="賣",(H1308-H1307)*G1308,(H1307-H1308)*G1308)))</f>
        <v/>
      </c>
      <c r="O1308" s="226">
        <f>ABS(I1308)</f>
        <v/>
      </c>
      <c r="P1308" s="667" t="n"/>
      <c r="Q1308" s="310" t="inlineStr">
        <is>
          <t>籌碼三強，拉回開盤再試多單</t>
        </is>
      </c>
      <c r="S1308" s="249" t="n"/>
      <c r="T1308" s="61">
        <f>IF(AND(R1308="Yes",S1308&lt;&gt;"Yes",L1308&gt;0,B1308&lt;&gt;"TXO"),L1308,"")</f>
        <v/>
      </c>
      <c r="U1308" s="61">
        <f>IF(AND(R1308="Yes",S1308&lt;&gt;"Yes",L1308&lt;0,B1308&lt;&gt;"TXO"),L1308,"")</f>
        <v/>
      </c>
      <c r="V1308" s="61">
        <f>IF(AND(R1308="",S1308&lt;&gt;"Yes",L1308&gt;0,B1308&lt;&gt;"TXO"),L1308,"")</f>
        <v/>
      </c>
      <c r="W1308" s="61">
        <f>IF(AND(R1308="",S1308&lt;&gt;"Yes",L1308&lt;0,B1308&lt;&gt;"TXO"),L1308,"")</f>
        <v/>
      </c>
      <c r="X1308" s="226">
        <f>IF(AND(R1308="Yes",S1308="Yes",L1308&gt;0,B1308&lt;&gt;"TXO"),L1308,"")</f>
        <v/>
      </c>
      <c r="Y1308" s="226">
        <f>IF(AND(R1308="Yes",S1308="Yes",L1308&lt;0,B1308&lt;&gt;"TXO"),L1308,"")</f>
        <v/>
      </c>
      <c r="Z1308" s="226">
        <f>IF(AND(R1308="",S1308="Yes",L1308&gt;0,B1308&lt;&gt;"TXO"),L1308,"")</f>
        <v/>
      </c>
      <c r="AA1308" s="226">
        <f>IF(AND(R1308="",S1308="Yes",L1308&lt;0,B1308&lt;&gt;"TXO"),L1308,"")</f>
        <v/>
      </c>
    </row>
    <row r="1309" hidden="1" outlineLevel="2" ht="17.25" customHeight="1" thickBot="1">
      <c r="A1309" s="696" t="n">
        <v>43388</v>
      </c>
      <c r="B1309" s="234" t="inlineStr">
        <is>
          <t>FIMTX</t>
        </is>
      </c>
      <c r="C1309" s="229" t="inlineStr">
        <is>
          <t>小指10</t>
        </is>
      </c>
      <c r="D1309" s="229" t="inlineStr">
        <is>
          <t>平倉</t>
        </is>
      </c>
      <c r="E1309" s="257" t="inlineStr">
        <is>
          <t>賣</t>
        </is>
      </c>
      <c r="F1309" s="229" t="inlineStr">
        <is>
          <t>-</t>
        </is>
      </c>
      <c r="G1309" s="697" t="n">
        <v>3</v>
      </c>
      <c r="H1309" s="697" t="n">
        <v>9905</v>
      </c>
      <c r="I1309" s="697" t="n">
        <v>0</v>
      </c>
      <c r="J1309" s="585" t="n">
        <v>69</v>
      </c>
      <c r="K1309" s="585" t="n">
        <v>30</v>
      </c>
      <c r="L1309" s="585">
        <f>IF(B1309="TXO",I1309-SUM(J1309:K1309),IF(B1309="FITX",IF(D1309="新倉",-SUM(J1309:K1309),IF(E1309="賣",(H1309-H1308)*G1309*200-SUM(J1309:K1309),(H1308-H1309)*G1309*200-SUM(J1309:K1309))),IF(D1309="新倉",-SUM(J1309:K1309),IF(E1309="賣",(H1309-H1308)*G1309*50-SUM(J1309:K1309),(H1308-H1309)*G1309*50-SUM(J1309:K1309)))))</f>
        <v/>
      </c>
      <c r="M1309" s="699">
        <f>L1309</f>
        <v/>
      </c>
      <c r="N1309" s="686">
        <f>IF(B1309="TXO","",IF(D1309="新倉","",IF(E1309="賣",(H1309-H1308)*G1309,(H1308-H1309)*G1309)))</f>
        <v/>
      </c>
      <c r="O1309" s="226">
        <f>ABS(I1309)</f>
        <v/>
      </c>
      <c r="P1309" s="667" t="n"/>
      <c r="Q1309" s="311" t="inlineStr">
        <is>
          <t>元大移動式停利</t>
        </is>
      </c>
      <c r="S1309" s="249" t="n"/>
      <c r="T1309" s="61">
        <f>IF(AND(R1309="Yes",S1309&lt;&gt;"Yes",L1309&gt;0,B1309&lt;&gt;"TXO"),L1309,"")</f>
        <v/>
      </c>
      <c r="U1309" s="61">
        <f>IF(AND(R1309="Yes",S1309&lt;&gt;"Yes",L1309&lt;0,B1309&lt;&gt;"TXO"),L1309,"")</f>
        <v/>
      </c>
      <c r="V1309" s="61">
        <f>IF(AND(R1309="",S1309&lt;&gt;"Yes",L1309&gt;0,B1309&lt;&gt;"TXO"),L1309,"")</f>
        <v/>
      </c>
      <c r="W1309" s="61">
        <f>IF(AND(R1309="",S1309&lt;&gt;"Yes",L1309&lt;0,B1309&lt;&gt;"TXO"),L1309,"")</f>
        <v/>
      </c>
      <c r="X1309" s="226">
        <f>IF(AND(R1309="Yes",S1309="Yes",L1309&gt;0,B1309&lt;&gt;"TXO"),L1309,"")</f>
        <v/>
      </c>
      <c r="Y1309" s="226">
        <f>IF(AND(R1309="Yes",S1309="Yes",L1309&lt;0,B1309&lt;&gt;"TXO"),L1309,"")</f>
        <v/>
      </c>
      <c r="Z1309" s="226">
        <f>IF(AND(R1309="",S1309="Yes",L1309&gt;0,B1309&lt;&gt;"TXO"),L1309,"")</f>
        <v/>
      </c>
      <c r="AA1309" s="226">
        <f>IF(AND(R1309="",S1309="Yes",L1309&lt;0,B1309&lt;&gt;"TXO"),L1309,"")</f>
        <v/>
      </c>
    </row>
    <row r="1310" hidden="1" outlineLevel="2" ht="17.25" customHeight="1" thickBot="1">
      <c r="A1310" s="696" t="n">
        <v>43388</v>
      </c>
      <c r="B1310" s="234" t="inlineStr">
        <is>
          <t>FIMTX</t>
        </is>
      </c>
      <c r="C1310" s="229" t="inlineStr">
        <is>
          <t>小指10</t>
        </is>
      </c>
      <c r="D1310" s="229" t="inlineStr">
        <is>
          <t>新倉</t>
        </is>
      </c>
      <c r="E1310" s="257" t="inlineStr">
        <is>
          <t>買</t>
        </is>
      </c>
      <c r="F1310" s="229" t="inlineStr">
        <is>
          <t>-</t>
        </is>
      </c>
      <c r="G1310" s="697" t="n">
        <v>2</v>
      </c>
      <c r="H1310" s="697" t="n">
        <v>9915</v>
      </c>
      <c r="I1310" s="697" t="n">
        <v>0</v>
      </c>
      <c r="J1310" s="585" t="n">
        <v>46</v>
      </c>
      <c r="K1310" s="585" t="n">
        <v>20</v>
      </c>
      <c r="L1310" s="585">
        <f>IF(B1310="TXO",I1310-SUM(J1310:K1310),IF(B1310="FITX",IF(D1310="新倉",-SUM(J1310:K1310),IF(E1310="賣",(H1310-H1309)*G1310*200-SUM(J1310:K1310),(H1309-H1310)*G1310*200-SUM(J1310:K1310))),IF(D1310="新倉",-SUM(J1310:K1310),IF(E1310="賣",(H1310-H1309)*G1310*50-SUM(J1310:K1310),(H1309-H1310)*G1310*50-SUM(J1310:K1310)))))</f>
        <v/>
      </c>
      <c r="M1310" s="699">
        <f>L1310</f>
        <v/>
      </c>
      <c r="N1310" s="686">
        <f>IF(B1310="TXO","",IF(D1310="新倉","",IF(E1310="賣",(H1310-H1309)*G1310,(H1309-H1310)*G1310)))</f>
        <v/>
      </c>
      <c r="O1310" s="226">
        <f>ABS(I1310)</f>
        <v/>
      </c>
      <c r="P1310" s="667" t="n"/>
      <c r="Q1310" s="311" t="inlineStr">
        <is>
          <t>追漲</t>
        </is>
      </c>
      <c r="S1310" s="249" t="n"/>
      <c r="T1310" s="61">
        <f>IF(AND(R1310="Yes",S1310&lt;&gt;"Yes",L1310&gt;0,B1310&lt;&gt;"TXO"),L1310,"")</f>
        <v/>
      </c>
      <c r="U1310" s="61">
        <f>IF(AND(R1310="Yes",S1310&lt;&gt;"Yes",L1310&lt;0,B1310&lt;&gt;"TXO"),L1310,"")</f>
        <v/>
      </c>
      <c r="V1310" s="61">
        <f>IF(AND(R1310="",S1310&lt;&gt;"Yes",L1310&gt;0,B1310&lt;&gt;"TXO"),L1310,"")</f>
        <v/>
      </c>
      <c r="W1310" s="61">
        <f>IF(AND(R1310="",S1310&lt;&gt;"Yes",L1310&lt;0,B1310&lt;&gt;"TXO"),L1310,"")</f>
        <v/>
      </c>
      <c r="X1310" s="226">
        <f>IF(AND(R1310="Yes",S1310="Yes",L1310&gt;0,B1310&lt;&gt;"TXO"),L1310,"")</f>
        <v/>
      </c>
      <c r="Y1310" s="226">
        <f>IF(AND(R1310="Yes",S1310="Yes",L1310&lt;0,B1310&lt;&gt;"TXO"),L1310,"")</f>
        <v/>
      </c>
      <c r="Z1310" s="226">
        <f>IF(AND(R1310="",S1310="Yes",L1310&gt;0,B1310&lt;&gt;"TXO"),L1310,"")</f>
        <v/>
      </c>
      <c r="AA1310" s="226">
        <f>IF(AND(R1310="",S1310="Yes",L1310&lt;0,B1310&lt;&gt;"TXO"),L1310,"")</f>
        <v/>
      </c>
    </row>
    <row r="1311" hidden="1" outlineLevel="2" ht="17.25" customHeight="1" thickBot="1">
      <c r="A1311" s="696" t="n">
        <v>43388</v>
      </c>
      <c r="B1311" s="234" t="inlineStr">
        <is>
          <t>FIMTX</t>
        </is>
      </c>
      <c r="C1311" s="229" t="inlineStr">
        <is>
          <t>小指10</t>
        </is>
      </c>
      <c r="D1311" s="229" t="inlineStr">
        <is>
          <t>平倉</t>
        </is>
      </c>
      <c r="E1311" s="257" t="inlineStr">
        <is>
          <t>賣</t>
        </is>
      </c>
      <c r="F1311" s="229" t="inlineStr">
        <is>
          <t>-</t>
        </is>
      </c>
      <c r="G1311" s="697" t="n">
        <v>2</v>
      </c>
      <c r="H1311" s="697" t="n">
        <v>9900</v>
      </c>
      <c r="I1311" s="697" t="n">
        <v>0</v>
      </c>
      <c r="J1311" s="585" t="n">
        <v>46</v>
      </c>
      <c r="K1311" s="585" t="n">
        <v>20</v>
      </c>
      <c r="L1311" s="585">
        <f>IF(B1311="TXO",I1311-SUM(J1311:K1311),IF(B1311="FITX",IF(D1311="新倉",-SUM(J1311:K1311),IF(E1311="賣",(H1311-H1310)*G1311*200-SUM(J1311:K1311),(H1310-H1311)*G1311*200-SUM(J1311:K1311))),IF(D1311="新倉",-SUM(J1311:K1311),IF(E1311="賣",(H1311-H1310)*G1311*50-SUM(J1311:K1311),(H1310-H1311)*G1311*50-SUM(J1311:K1311)))))</f>
        <v/>
      </c>
      <c r="M1311" s="699">
        <f>L1311</f>
        <v/>
      </c>
      <c r="N1311" s="686">
        <f>IF(B1311="TXO","",IF(D1311="新倉","",IF(E1311="賣",(H1311-H1310)*G1311,(H1310-H1311)*G1311)))</f>
        <v/>
      </c>
      <c r="O1311" s="226">
        <f>ABS(I1311)</f>
        <v/>
      </c>
      <c r="P1311" s="667" t="n"/>
      <c r="Q1311" s="311" t="inlineStr">
        <is>
          <t>15點停損</t>
        </is>
      </c>
      <c r="S1311" s="249" t="n"/>
      <c r="T1311" s="61">
        <f>IF(AND(R1311="Yes",S1311&lt;&gt;"Yes",L1311&gt;0,B1311&lt;&gt;"TXO"),L1311,"")</f>
        <v/>
      </c>
      <c r="U1311" s="61">
        <f>IF(AND(R1311="Yes",S1311&lt;&gt;"Yes",L1311&lt;0,B1311&lt;&gt;"TXO"),L1311,"")</f>
        <v/>
      </c>
      <c r="V1311" s="61">
        <f>IF(AND(R1311="",S1311&lt;&gt;"Yes",L1311&gt;0,B1311&lt;&gt;"TXO"),L1311,"")</f>
        <v/>
      </c>
      <c r="W1311" s="61">
        <f>IF(AND(R1311="",S1311&lt;&gt;"Yes",L1311&lt;0,B1311&lt;&gt;"TXO"),L1311,"")</f>
        <v/>
      </c>
      <c r="X1311" s="226">
        <f>IF(AND(R1311="Yes",S1311="Yes",L1311&gt;0,B1311&lt;&gt;"TXO"),L1311,"")</f>
        <v/>
      </c>
      <c r="Y1311" s="226">
        <f>IF(AND(R1311="Yes",S1311="Yes",L1311&lt;0,B1311&lt;&gt;"TXO"),L1311,"")</f>
        <v/>
      </c>
      <c r="Z1311" s="226">
        <f>IF(AND(R1311="",S1311="Yes",L1311&gt;0,B1311&lt;&gt;"TXO"),L1311,"")</f>
        <v/>
      </c>
      <c r="AA1311" s="226">
        <f>IF(AND(R1311="",S1311="Yes",L1311&lt;0,B1311&lt;&gt;"TXO"),L1311,"")</f>
        <v/>
      </c>
    </row>
    <row r="1312" hidden="1" outlineLevel="2" ht="17.25" customHeight="1" thickBot="1">
      <c r="A1312" s="696" t="n">
        <v>43388</v>
      </c>
      <c r="B1312" s="234" t="inlineStr">
        <is>
          <t>FIMTX</t>
        </is>
      </c>
      <c r="C1312" s="229" t="inlineStr">
        <is>
          <t>小指10</t>
        </is>
      </c>
      <c r="D1312" s="229" t="inlineStr">
        <is>
          <t>新倉</t>
        </is>
      </c>
      <c r="E1312" s="257" t="inlineStr">
        <is>
          <t>買</t>
        </is>
      </c>
      <c r="F1312" s="229" t="inlineStr">
        <is>
          <t>-</t>
        </is>
      </c>
      <c r="G1312" s="697" t="n">
        <v>1</v>
      </c>
      <c r="H1312" s="697" t="n">
        <v>9915</v>
      </c>
      <c r="I1312" s="697" t="n">
        <v>0</v>
      </c>
      <c r="J1312" s="585" t="n">
        <v>23</v>
      </c>
      <c r="K1312" s="585" t="n">
        <v>10</v>
      </c>
      <c r="L1312" s="585">
        <f>IF(B1312="TXO",I1312-SUM(J1312:K1312),IF(B1312="FITX",IF(D1312="新倉",-SUM(J1312:K1312),IF(E1312="賣",(H1312-H1311)*G1312*200-SUM(J1312:K1312),(H1311-H1312)*G1312*200-SUM(J1312:K1312))),IF(D1312="新倉",-SUM(J1312:K1312),IF(E1312="賣",(H1312-H1311)*G1312*50-SUM(J1312:K1312),(H1311-H1312)*G1312*50-SUM(J1312:K1312)))))</f>
        <v/>
      </c>
      <c r="M1312" s="699">
        <f>L1312</f>
        <v/>
      </c>
      <c r="N1312" s="686">
        <f>IF(B1312="TXO","",IF(D1312="新倉","",IF(E1312="賣",(H1312-H1311)*G1312,(H1311-H1312)*G1312)))</f>
        <v/>
      </c>
      <c r="O1312" s="226">
        <f>ABS(I1312)</f>
        <v/>
      </c>
      <c r="P1312" s="667" t="n"/>
      <c r="Q1312" s="317" t="n"/>
      <c r="S1312" s="249" t="n"/>
      <c r="T1312" s="61">
        <f>IF(AND(R1312="Yes",S1312&lt;&gt;"Yes",L1312&gt;0,B1312&lt;&gt;"TXO"),L1312,"")</f>
        <v/>
      </c>
      <c r="U1312" s="61">
        <f>IF(AND(R1312="Yes",S1312&lt;&gt;"Yes",L1312&lt;0,B1312&lt;&gt;"TXO"),L1312,"")</f>
        <v/>
      </c>
      <c r="V1312" s="61">
        <f>IF(AND(R1312="",S1312&lt;&gt;"Yes",L1312&gt;0,B1312&lt;&gt;"TXO"),L1312,"")</f>
        <v/>
      </c>
      <c r="W1312" s="61">
        <f>IF(AND(R1312="",S1312&lt;&gt;"Yes",L1312&lt;0,B1312&lt;&gt;"TXO"),L1312,"")</f>
        <v/>
      </c>
      <c r="X1312" s="226">
        <f>IF(AND(R1312="Yes",S1312="Yes",L1312&gt;0,B1312&lt;&gt;"TXO"),L1312,"")</f>
        <v/>
      </c>
      <c r="Y1312" s="226">
        <f>IF(AND(R1312="Yes",S1312="Yes",L1312&lt;0,B1312&lt;&gt;"TXO"),L1312,"")</f>
        <v/>
      </c>
      <c r="Z1312" s="226">
        <f>IF(AND(R1312="",S1312="Yes",L1312&gt;0,B1312&lt;&gt;"TXO"),L1312,"")</f>
        <v/>
      </c>
      <c r="AA1312" s="226">
        <f>IF(AND(R1312="",S1312="Yes",L1312&lt;0,B1312&lt;&gt;"TXO"),L1312,"")</f>
        <v/>
      </c>
    </row>
    <row r="1313" hidden="1" outlineLevel="2" ht="17.25" customHeight="1" thickBot="1">
      <c r="A1313" s="696" t="n">
        <v>43388</v>
      </c>
      <c r="B1313" s="234" t="inlineStr">
        <is>
          <t>FIMTX</t>
        </is>
      </c>
      <c r="C1313" s="229" t="inlineStr">
        <is>
          <t>小指10</t>
        </is>
      </c>
      <c r="D1313" s="229" t="inlineStr">
        <is>
          <t>平倉</t>
        </is>
      </c>
      <c r="E1313" s="257" t="inlineStr">
        <is>
          <t>賣</t>
        </is>
      </c>
      <c r="F1313" s="229" t="inlineStr">
        <is>
          <t>-</t>
        </is>
      </c>
      <c r="G1313" s="697" t="n">
        <v>1</v>
      </c>
      <c r="H1313" s="697" t="n">
        <v>9901</v>
      </c>
      <c r="I1313" s="697" t="n">
        <v>0</v>
      </c>
      <c r="J1313" s="585" t="n">
        <v>23</v>
      </c>
      <c r="K1313" s="585" t="n">
        <v>10</v>
      </c>
      <c r="L1313" s="585">
        <f>IF(B1313="TXO",I1313-SUM(J1313:K1313),IF(B1313="FITX",IF(D1313="新倉",-SUM(J1313:K1313),IF(E1313="賣",(H1313-H1312)*G1313*200-SUM(J1313:K1313),(H1312-H1313)*G1313*200-SUM(J1313:K1313))),IF(D1313="新倉",-SUM(J1313:K1313),IF(E1313="賣",(H1313-H1312)*G1313*50-SUM(J1313:K1313),(H1312-H1313)*G1313*50-SUM(J1313:K1313)))))</f>
        <v/>
      </c>
      <c r="M1313" s="699">
        <f>L1313</f>
        <v/>
      </c>
      <c r="N1313" s="686">
        <f>IF(B1313="TXO","",IF(D1313="新倉","",IF(E1313="賣",(H1313-H1312)*G1313,(H1312-H1313)*G1313)))</f>
        <v/>
      </c>
      <c r="O1313" s="226">
        <f>ABS(I1313)</f>
        <v/>
      </c>
      <c r="P1313" s="667" t="n"/>
      <c r="Q1313" s="311" t="inlineStr">
        <is>
          <t>15點停損</t>
        </is>
      </c>
      <c r="S1313" s="249" t="n"/>
      <c r="T1313" s="61">
        <f>IF(AND(R1313="Yes",S1313&lt;&gt;"Yes",L1313&gt;0,B1313&lt;&gt;"TXO"),L1313,"")</f>
        <v/>
      </c>
      <c r="U1313" s="61">
        <f>IF(AND(R1313="Yes",S1313&lt;&gt;"Yes",L1313&lt;0,B1313&lt;&gt;"TXO"),L1313,"")</f>
        <v/>
      </c>
      <c r="V1313" s="61">
        <f>IF(AND(R1313="",S1313&lt;&gt;"Yes",L1313&gt;0,B1313&lt;&gt;"TXO"),L1313,"")</f>
        <v/>
      </c>
      <c r="W1313" s="61">
        <f>IF(AND(R1313="",S1313&lt;&gt;"Yes",L1313&lt;0,B1313&lt;&gt;"TXO"),L1313,"")</f>
        <v/>
      </c>
      <c r="X1313" s="226">
        <f>IF(AND(R1313="Yes",S1313="Yes",L1313&gt;0,B1313&lt;&gt;"TXO"),L1313,"")</f>
        <v/>
      </c>
      <c r="Y1313" s="226">
        <f>IF(AND(R1313="Yes",S1313="Yes",L1313&lt;0,B1313&lt;&gt;"TXO"),L1313,"")</f>
        <v/>
      </c>
      <c r="Z1313" s="226">
        <f>IF(AND(R1313="",S1313="Yes",L1313&gt;0,B1313&lt;&gt;"TXO"),L1313,"")</f>
        <v/>
      </c>
      <c r="AA1313" s="226">
        <f>IF(AND(R1313="",S1313="Yes",L1313&lt;0,B1313&lt;&gt;"TXO"),L1313,"")</f>
        <v/>
      </c>
    </row>
    <row r="1314" hidden="1" outlineLevel="2" ht="17.25" customHeight="1" thickBot="1">
      <c r="A1314" s="696" t="n">
        <v>43388</v>
      </c>
      <c r="B1314" s="234" t="inlineStr">
        <is>
          <t>FIMTX</t>
        </is>
      </c>
      <c r="C1314" s="229" t="inlineStr">
        <is>
          <t>小指10</t>
        </is>
      </c>
      <c r="D1314" s="229" t="inlineStr">
        <is>
          <t>新倉</t>
        </is>
      </c>
      <c r="E1314" s="257" t="inlineStr">
        <is>
          <t>買</t>
        </is>
      </c>
      <c r="F1314" s="229" t="inlineStr">
        <is>
          <t>-</t>
        </is>
      </c>
      <c r="G1314" s="697" t="n">
        <v>2</v>
      </c>
      <c r="H1314" s="697" t="n">
        <v>9900</v>
      </c>
      <c r="I1314" s="697" t="n">
        <v>0</v>
      </c>
      <c r="J1314" s="585" t="n">
        <v>46</v>
      </c>
      <c r="K1314" s="585" t="n">
        <v>20</v>
      </c>
      <c r="L1314" s="585">
        <f>IF(B1314="TXO",I1314-SUM(J1314:K1314),IF(B1314="FITX",IF(D1314="新倉",-SUM(J1314:K1314),IF(E1314="賣",(H1314-H1313)*G1314*200-SUM(J1314:K1314),(H1313-H1314)*G1314*200-SUM(J1314:K1314))),IF(D1314="新倉",-SUM(J1314:K1314),IF(E1314="賣",(H1314-H1313)*G1314*50-SUM(J1314:K1314),(H1313-H1314)*G1314*50-SUM(J1314:K1314)))))</f>
        <v/>
      </c>
      <c r="M1314" s="699">
        <f>L1314</f>
        <v/>
      </c>
      <c r="N1314" s="686">
        <f>IF(B1314="TXO","",IF(D1314="新倉","",IF(E1314="賣",(H1314-H1313)*G1314,(H1313-H1314)*G1314)))</f>
        <v/>
      </c>
      <c r="O1314" s="226">
        <f>ABS(I1314)</f>
        <v/>
      </c>
      <c r="P1314" s="667" t="n"/>
      <c r="Q1314" s="311" t="n"/>
      <c r="S1314" s="249" t="n"/>
      <c r="T1314" s="61">
        <f>IF(AND(R1314="Yes",S1314&lt;&gt;"Yes",L1314&gt;0,B1314&lt;&gt;"TXO"),L1314,"")</f>
        <v/>
      </c>
      <c r="U1314" s="61">
        <f>IF(AND(R1314="Yes",S1314&lt;&gt;"Yes",L1314&lt;0,B1314&lt;&gt;"TXO"),L1314,"")</f>
        <v/>
      </c>
      <c r="V1314" s="61">
        <f>IF(AND(R1314="",S1314&lt;&gt;"Yes",L1314&gt;0,B1314&lt;&gt;"TXO"),L1314,"")</f>
        <v/>
      </c>
      <c r="W1314" s="61">
        <f>IF(AND(R1314="",S1314&lt;&gt;"Yes",L1314&lt;0,B1314&lt;&gt;"TXO"),L1314,"")</f>
        <v/>
      </c>
      <c r="X1314" s="226">
        <f>IF(AND(R1314="Yes",S1314="Yes",L1314&gt;0,B1314&lt;&gt;"TXO"),L1314,"")</f>
        <v/>
      </c>
      <c r="Y1314" s="226">
        <f>IF(AND(R1314="Yes",S1314="Yes",L1314&lt;0,B1314&lt;&gt;"TXO"),L1314,"")</f>
        <v/>
      </c>
      <c r="Z1314" s="226">
        <f>IF(AND(R1314="",S1314="Yes",L1314&gt;0,B1314&lt;&gt;"TXO"),L1314,"")</f>
        <v/>
      </c>
      <c r="AA1314" s="226">
        <f>IF(AND(R1314="",S1314="Yes",L1314&lt;0,B1314&lt;&gt;"TXO"),L1314,"")</f>
        <v/>
      </c>
    </row>
    <row r="1315" hidden="1" outlineLevel="2" ht="17.25" customHeight="1" thickBot="1">
      <c r="A1315" s="696" t="n">
        <v>43388</v>
      </c>
      <c r="B1315" s="234" t="inlineStr">
        <is>
          <t>FIMTX</t>
        </is>
      </c>
      <c r="C1315" s="229" t="inlineStr">
        <is>
          <t>小指10</t>
        </is>
      </c>
      <c r="D1315" s="229" t="inlineStr">
        <is>
          <t>平倉</t>
        </is>
      </c>
      <c r="E1315" s="257" t="inlineStr">
        <is>
          <t>賣</t>
        </is>
      </c>
      <c r="F1315" s="229" t="inlineStr">
        <is>
          <t>-</t>
        </is>
      </c>
      <c r="G1315" s="697" t="n">
        <v>2</v>
      </c>
      <c r="H1315" s="697" t="n">
        <v>9886</v>
      </c>
      <c r="I1315" s="697" t="n">
        <v>0</v>
      </c>
      <c r="J1315" s="585" t="n">
        <v>46</v>
      </c>
      <c r="K1315" s="585" t="n">
        <v>20</v>
      </c>
      <c r="L1315" s="585">
        <f>IF(B1315="TXO",I1315-SUM(J1315:K1315),IF(B1315="FITX",IF(D1315="新倉",-SUM(J1315:K1315),IF(E1315="賣",(H1315-H1314)*G1315*200-SUM(J1315:K1315),(H1314-H1315)*G1315*200-SUM(J1315:K1315))),IF(D1315="新倉",-SUM(J1315:K1315),IF(E1315="賣",(H1315-H1314)*G1315*50-SUM(J1315:K1315),(H1314-H1315)*G1315*50-SUM(J1315:K1315)))))</f>
        <v/>
      </c>
      <c r="M1315" s="699">
        <f>L1315</f>
        <v/>
      </c>
      <c r="N1315" s="686">
        <f>IF(B1315="TXO","",IF(D1315="新倉","",IF(E1315="賣",(H1315-H1314)*G1315,(H1314-H1315)*G1315)))</f>
        <v/>
      </c>
      <c r="O1315" s="226">
        <f>ABS(I1315)</f>
        <v/>
      </c>
      <c r="P1315" s="667" t="n"/>
      <c r="Q1315" s="311" t="inlineStr">
        <is>
          <t>15點停損</t>
        </is>
      </c>
      <c r="S1315" s="249" t="n"/>
      <c r="T1315" s="61">
        <f>IF(AND(R1315="Yes",S1315&lt;&gt;"Yes",L1315&gt;0,B1315&lt;&gt;"TXO"),L1315,"")</f>
        <v/>
      </c>
      <c r="U1315" s="61">
        <f>IF(AND(R1315="Yes",S1315&lt;&gt;"Yes",L1315&lt;0,B1315&lt;&gt;"TXO"),L1315,"")</f>
        <v/>
      </c>
      <c r="V1315" s="61">
        <f>IF(AND(R1315="",S1315&lt;&gt;"Yes",L1315&gt;0,B1315&lt;&gt;"TXO"),L1315,"")</f>
        <v/>
      </c>
      <c r="W1315" s="61">
        <f>IF(AND(R1315="",S1315&lt;&gt;"Yes",L1315&lt;0,B1315&lt;&gt;"TXO"),L1315,"")</f>
        <v/>
      </c>
      <c r="X1315" s="226">
        <f>IF(AND(R1315="Yes",S1315="Yes",L1315&gt;0,B1315&lt;&gt;"TXO"),L1315,"")</f>
        <v/>
      </c>
      <c r="Y1315" s="226">
        <f>IF(AND(R1315="Yes",S1315="Yes",L1315&lt;0,B1315&lt;&gt;"TXO"),L1315,"")</f>
        <v/>
      </c>
      <c r="Z1315" s="226">
        <f>IF(AND(R1315="",S1315="Yes",L1315&gt;0,B1315&lt;&gt;"TXO"),L1315,"")</f>
        <v/>
      </c>
      <c r="AA1315" s="226">
        <f>IF(AND(R1315="",S1315="Yes",L1315&lt;0,B1315&lt;&gt;"TXO"),L1315,"")</f>
        <v/>
      </c>
    </row>
    <row r="1316" hidden="1" outlineLevel="2" ht="17.25" customHeight="1" thickBot="1">
      <c r="A1316" s="696" t="n">
        <v>43388</v>
      </c>
      <c r="B1316" s="234" t="inlineStr">
        <is>
          <t>FIMTX</t>
        </is>
      </c>
      <c r="C1316" s="229" t="inlineStr">
        <is>
          <t>小指10</t>
        </is>
      </c>
      <c r="D1316" s="229" t="inlineStr">
        <is>
          <t>新倉</t>
        </is>
      </c>
      <c r="E1316" s="257" t="inlineStr">
        <is>
          <t>買</t>
        </is>
      </c>
      <c r="F1316" s="229" t="inlineStr">
        <is>
          <t>-</t>
        </is>
      </c>
      <c r="G1316" s="697" t="n">
        <v>1</v>
      </c>
      <c r="H1316" s="697" t="n">
        <v>9900</v>
      </c>
      <c r="I1316" s="697" t="n">
        <v>0</v>
      </c>
      <c r="J1316" s="585" t="n">
        <v>23</v>
      </c>
      <c r="K1316" s="585" t="n">
        <v>10</v>
      </c>
      <c r="L1316" s="585">
        <f>IF(B1316="TXO",I1316-SUM(J1316:K1316),IF(B1316="FITX",IF(D1316="新倉",-SUM(J1316:K1316),IF(E1316="賣",(H1316-H1315)*G1316*200-SUM(J1316:K1316),(H1315-H1316)*G1316*200-SUM(J1316:K1316))),IF(D1316="新倉",-SUM(J1316:K1316),IF(E1316="賣",(H1316-H1315)*G1316*50-SUM(J1316:K1316),(H1315-H1316)*G1316*50-SUM(J1316:K1316)))))</f>
        <v/>
      </c>
      <c r="M1316" s="699">
        <f>L1316</f>
        <v/>
      </c>
      <c r="N1316" s="686">
        <f>IF(B1316="TXO","",IF(D1316="新倉","",IF(E1316="賣",(H1316-H1315)*G1316,(H1315-H1316)*G1316)))</f>
        <v/>
      </c>
      <c r="O1316" s="226">
        <f>ABS(I1316)</f>
        <v/>
      </c>
      <c r="P1316" s="667" t="n"/>
      <c r="Q1316" s="311" t="inlineStr">
        <is>
          <t>籌碼三強，拉回開盤再試多單</t>
        </is>
      </c>
      <c r="S1316" s="249" t="n"/>
      <c r="T1316" s="61">
        <f>IF(AND(R1316="Yes",S1316&lt;&gt;"Yes",L1316&gt;0,B1316&lt;&gt;"TXO"),L1316,"")</f>
        <v/>
      </c>
      <c r="U1316" s="61">
        <f>IF(AND(R1316="Yes",S1316&lt;&gt;"Yes",L1316&lt;0,B1316&lt;&gt;"TXO"),L1316,"")</f>
        <v/>
      </c>
      <c r="V1316" s="61">
        <f>IF(AND(R1316="",S1316&lt;&gt;"Yes",L1316&gt;0,B1316&lt;&gt;"TXO"),L1316,"")</f>
        <v/>
      </c>
      <c r="W1316" s="61">
        <f>IF(AND(R1316="",S1316&lt;&gt;"Yes",L1316&lt;0,B1316&lt;&gt;"TXO"),L1316,"")</f>
        <v/>
      </c>
      <c r="X1316" s="226">
        <f>IF(AND(R1316="Yes",S1316="Yes",L1316&gt;0,B1316&lt;&gt;"TXO"),L1316,"")</f>
        <v/>
      </c>
      <c r="Y1316" s="226">
        <f>IF(AND(R1316="Yes",S1316="Yes",L1316&lt;0,B1316&lt;&gt;"TXO"),L1316,"")</f>
        <v/>
      </c>
      <c r="Z1316" s="226">
        <f>IF(AND(R1316="",S1316="Yes",L1316&gt;0,B1316&lt;&gt;"TXO"),L1316,"")</f>
        <v/>
      </c>
      <c r="AA1316" s="226">
        <f>IF(AND(R1316="",S1316="Yes",L1316&lt;0,B1316&lt;&gt;"TXO"),L1316,"")</f>
        <v/>
      </c>
    </row>
    <row r="1317" hidden="1" outlineLevel="2" ht="17.25" customHeight="1" thickBot="1">
      <c r="A1317" s="696" t="n">
        <v>43388</v>
      </c>
      <c r="B1317" s="234" t="inlineStr">
        <is>
          <t>FIMTX</t>
        </is>
      </c>
      <c r="C1317" s="229" t="inlineStr">
        <is>
          <t>小指10</t>
        </is>
      </c>
      <c r="D1317" s="229" t="inlineStr">
        <is>
          <t>平倉</t>
        </is>
      </c>
      <c r="E1317" s="257" t="inlineStr">
        <is>
          <t>賣</t>
        </is>
      </c>
      <c r="F1317" s="229" t="inlineStr">
        <is>
          <t>-</t>
        </is>
      </c>
      <c r="G1317" s="697" t="n">
        <v>1</v>
      </c>
      <c r="H1317" s="697" t="n">
        <v>9885</v>
      </c>
      <c r="I1317" s="697" t="n">
        <v>0</v>
      </c>
      <c r="J1317" s="585" t="n">
        <v>23</v>
      </c>
      <c r="K1317" s="585" t="n">
        <v>10</v>
      </c>
      <c r="L1317" s="585">
        <f>IF(B1317="TXO",I1317-SUM(J1317:K1317),IF(B1317="FITX",IF(D1317="新倉",-SUM(J1317:K1317),IF(E1317="賣",(H1317-H1316)*G1317*200-SUM(J1317:K1317),(H1316-H1317)*G1317*200-SUM(J1317:K1317))),IF(D1317="新倉",-SUM(J1317:K1317),IF(E1317="賣",(H1317-H1316)*G1317*50-SUM(J1317:K1317),(H1316-H1317)*G1317*50-SUM(J1317:K1317)))))</f>
        <v/>
      </c>
      <c r="M1317" s="699">
        <f>L1317</f>
        <v/>
      </c>
      <c r="N1317" s="686">
        <f>IF(B1317="TXO","",IF(D1317="新倉","",IF(E1317="賣",(H1317-H1316)*G1317,(H1316-H1317)*G1317)))</f>
        <v/>
      </c>
      <c r="O1317" s="226">
        <f>ABS(I1317)</f>
        <v/>
      </c>
      <c r="P1317" s="667" t="n"/>
      <c r="Q1317" s="311" t="inlineStr">
        <is>
          <t>15點停損</t>
        </is>
      </c>
      <c r="S1317" s="249" t="n"/>
      <c r="T1317" s="61">
        <f>IF(AND(R1317="Yes",S1317&lt;&gt;"Yes",L1317&gt;0,B1317&lt;&gt;"TXO"),L1317,"")</f>
        <v/>
      </c>
      <c r="U1317" s="61">
        <f>IF(AND(R1317="Yes",S1317&lt;&gt;"Yes",L1317&lt;0,B1317&lt;&gt;"TXO"),L1317,"")</f>
        <v/>
      </c>
      <c r="V1317" s="61">
        <f>IF(AND(R1317="",S1317&lt;&gt;"Yes",L1317&gt;0,B1317&lt;&gt;"TXO"),L1317,"")</f>
        <v/>
      </c>
      <c r="W1317" s="61">
        <f>IF(AND(R1317="",S1317&lt;&gt;"Yes",L1317&lt;0,B1317&lt;&gt;"TXO"),L1317,"")</f>
        <v/>
      </c>
      <c r="X1317" s="226">
        <f>IF(AND(R1317="Yes",S1317="Yes",L1317&gt;0,B1317&lt;&gt;"TXO"),L1317,"")</f>
        <v/>
      </c>
      <c r="Y1317" s="226">
        <f>IF(AND(R1317="Yes",S1317="Yes",L1317&lt;0,B1317&lt;&gt;"TXO"),L1317,"")</f>
        <v/>
      </c>
      <c r="Z1317" s="226">
        <f>IF(AND(R1317="",S1317="Yes",L1317&gt;0,B1317&lt;&gt;"TXO"),L1317,"")</f>
        <v/>
      </c>
      <c r="AA1317" s="226">
        <f>IF(AND(R1317="",S1317="Yes",L1317&lt;0,B1317&lt;&gt;"TXO"),L1317,"")</f>
        <v/>
      </c>
    </row>
    <row r="1318" hidden="1" outlineLevel="2" ht="17.25" customHeight="1" thickBot="1">
      <c r="A1318" s="696" t="n">
        <v>43388</v>
      </c>
      <c r="B1318" s="234" t="inlineStr">
        <is>
          <t>FIMTX</t>
        </is>
      </c>
      <c r="C1318" s="229" t="inlineStr">
        <is>
          <t>小指10</t>
        </is>
      </c>
      <c r="D1318" s="229" t="inlineStr">
        <is>
          <t>新倉</t>
        </is>
      </c>
      <c r="E1318" s="257" t="inlineStr">
        <is>
          <t>買</t>
        </is>
      </c>
      <c r="F1318" s="229" t="inlineStr">
        <is>
          <t>-</t>
        </is>
      </c>
      <c r="G1318" s="697" t="n">
        <v>1</v>
      </c>
      <c r="H1318" s="697" t="n">
        <v>9898</v>
      </c>
      <c r="I1318" s="697" t="n">
        <v>0</v>
      </c>
      <c r="J1318" s="585" t="n">
        <v>23</v>
      </c>
      <c r="K1318" s="585" t="n">
        <v>10</v>
      </c>
      <c r="L1318" s="585">
        <f>IF(B1318="TXO",I1318-SUM(J1318:K1318),IF(B1318="FITX",IF(D1318="新倉",-SUM(J1318:K1318),IF(E1318="賣",(H1318-H1317)*G1318*200-SUM(J1318:K1318),(H1317-H1318)*G1318*200-SUM(J1318:K1318))),IF(D1318="新倉",-SUM(J1318:K1318),IF(E1318="賣",(H1318-H1317)*G1318*50-SUM(J1318:K1318),(H1317-H1318)*G1318*50-SUM(J1318:K1318)))))</f>
        <v/>
      </c>
      <c r="M1318" s="699">
        <f>L1318</f>
        <v/>
      </c>
      <c r="N1318" s="686">
        <f>IF(B1318="TXO","",IF(D1318="新倉","",IF(E1318="賣",(H1318-H1317)*G1318,(H1317-H1318)*G1318)))</f>
        <v/>
      </c>
      <c r="O1318" s="226">
        <f>ABS(I1318)</f>
        <v/>
      </c>
      <c r="P1318" s="667" t="n"/>
      <c r="Q1318" s="317" t="n"/>
      <c r="S1318" s="249" t="n"/>
      <c r="T1318" s="61">
        <f>IF(AND(R1318="Yes",S1318&lt;&gt;"Yes",L1318&gt;0,B1318&lt;&gt;"TXO"),L1318,"")</f>
        <v/>
      </c>
      <c r="U1318" s="61">
        <f>IF(AND(R1318="Yes",S1318&lt;&gt;"Yes",L1318&lt;0,B1318&lt;&gt;"TXO"),L1318,"")</f>
        <v/>
      </c>
      <c r="V1318" s="61">
        <f>IF(AND(R1318="",S1318&lt;&gt;"Yes",L1318&gt;0,B1318&lt;&gt;"TXO"),L1318,"")</f>
        <v/>
      </c>
      <c r="W1318" s="61">
        <f>IF(AND(R1318="",S1318&lt;&gt;"Yes",L1318&lt;0,B1318&lt;&gt;"TXO"),L1318,"")</f>
        <v/>
      </c>
      <c r="X1318" s="226">
        <f>IF(AND(R1318="Yes",S1318="Yes",L1318&gt;0,B1318&lt;&gt;"TXO"),L1318,"")</f>
        <v/>
      </c>
      <c r="Y1318" s="226">
        <f>IF(AND(R1318="Yes",S1318="Yes",L1318&lt;0,B1318&lt;&gt;"TXO"),L1318,"")</f>
        <v/>
      </c>
      <c r="Z1318" s="226">
        <f>IF(AND(R1318="",S1318="Yes",L1318&gt;0,B1318&lt;&gt;"TXO"),L1318,"")</f>
        <v/>
      </c>
      <c r="AA1318" s="226">
        <f>IF(AND(R1318="",S1318="Yes",L1318&lt;0,B1318&lt;&gt;"TXO"),L1318,"")</f>
        <v/>
      </c>
    </row>
    <row r="1319" hidden="1" outlineLevel="2" ht="17.25" customHeight="1" thickBot="1">
      <c r="A1319" s="696" t="n">
        <v>43388</v>
      </c>
      <c r="B1319" s="234" t="inlineStr">
        <is>
          <t>FIMTX</t>
        </is>
      </c>
      <c r="C1319" s="229" t="inlineStr">
        <is>
          <t>小指10</t>
        </is>
      </c>
      <c r="D1319" s="229" t="inlineStr">
        <is>
          <t>平倉</t>
        </is>
      </c>
      <c r="E1319" s="257" t="inlineStr">
        <is>
          <t>賣</t>
        </is>
      </c>
      <c r="F1319" s="229" t="inlineStr">
        <is>
          <t>-</t>
        </is>
      </c>
      <c r="G1319" s="697" t="n">
        <v>1</v>
      </c>
      <c r="H1319" s="697" t="n">
        <v>9880</v>
      </c>
      <c r="I1319" s="697" t="n">
        <v>0</v>
      </c>
      <c r="J1319" s="585" t="n">
        <v>23</v>
      </c>
      <c r="K1319" s="585" t="n">
        <v>10</v>
      </c>
      <c r="L1319" s="585">
        <f>IF(B1319="TXO",I1319-SUM(J1319:K1319),IF(B1319="FITX",IF(D1319="新倉",-SUM(J1319:K1319),IF(E1319="賣",(H1319-H1318)*G1319*200-SUM(J1319:K1319),(H1318-H1319)*G1319*200-SUM(J1319:K1319))),IF(D1319="新倉",-SUM(J1319:K1319),IF(E1319="賣",(H1319-H1318)*G1319*50-SUM(J1319:K1319),(H1318-H1319)*G1319*50-SUM(J1319:K1319)))))</f>
        <v/>
      </c>
      <c r="M1319" s="699">
        <f>L1319</f>
        <v/>
      </c>
      <c r="N1319" s="686">
        <f>IF(B1319="TXO","",IF(D1319="新倉","",IF(E1319="賣",(H1319-H1318)*G1319,(H1318-H1319)*G1319)))</f>
        <v/>
      </c>
      <c r="O1319" s="226">
        <f>ABS(I1319)</f>
        <v/>
      </c>
      <c r="P1319" s="667" t="n"/>
      <c r="Q1319" s="311" t="inlineStr">
        <is>
          <t>停損</t>
        </is>
      </c>
      <c r="S1319" s="249" t="n"/>
      <c r="T1319" s="61">
        <f>IF(AND(R1319="Yes",S1319&lt;&gt;"Yes",L1319&gt;0,B1319&lt;&gt;"TXO"),L1319,"")</f>
        <v/>
      </c>
      <c r="U1319" s="61">
        <f>IF(AND(R1319="Yes",S1319&lt;&gt;"Yes",L1319&lt;0,B1319&lt;&gt;"TXO"),L1319,"")</f>
        <v/>
      </c>
      <c r="V1319" s="61">
        <f>IF(AND(R1319="",S1319&lt;&gt;"Yes",L1319&gt;0,B1319&lt;&gt;"TXO"),L1319,"")</f>
        <v/>
      </c>
      <c r="W1319" s="61">
        <f>IF(AND(R1319="",S1319&lt;&gt;"Yes",L1319&lt;0,B1319&lt;&gt;"TXO"),L1319,"")</f>
        <v/>
      </c>
      <c r="X1319" s="226">
        <f>IF(AND(R1319="Yes",S1319="Yes",L1319&gt;0,B1319&lt;&gt;"TXO"),L1319,"")</f>
        <v/>
      </c>
      <c r="Y1319" s="226">
        <f>IF(AND(R1319="Yes",S1319="Yes",L1319&lt;0,B1319&lt;&gt;"TXO"),L1319,"")</f>
        <v/>
      </c>
      <c r="Z1319" s="226">
        <f>IF(AND(R1319="",S1319="Yes",L1319&gt;0,B1319&lt;&gt;"TXO"),L1319,"")</f>
        <v/>
      </c>
      <c r="AA1319" s="226">
        <f>IF(AND(R1319="",S1319="Yes",L1319&lt;0,B1319&lt;&gt;"TXO"),L1319,"")</f>
        <v/>
      </c>
    </row>
    <row r="1320" hidden="1" outlineLevel="2" ht="17.25" customHeight="1" thickBot="1">
      <c r="A1320" s="696" t="n">
        <v>43388</v>
      </c>
      <c r="B1320" s="234" t="inlineStr">
        <is>
          <t>FIMTX</t>
        </is>
      </c>
      <c r="C1320" s="229" t="inlineStr">
        <is>
          <t>小指10</t>
        </is>
      </c>
      <c r="D1320" s="229" t="inlineStr">
        <is>
          <t>新倉</t>
        </is>
      </c>
      <c r="E1320" s="257" t="inlineStr">
        <is>
          <t>買</t>
        </is>
      </c>
      <c r="F1320" s="229" t="inlineStr">
        <is>
          <t>-</t>
        </is>
      </c>
      <c r="G1320" s="697" t="n">
        <v>1</v>
      </c>
      <c r="H1320" s="697" t="n">
        <v>9898</v>
      </c>
      <c r="I1320" s="697" t="n">
        <v>0</v>
      </c>
      <c r="J1320" s="585" t="n">
        <v>23</v>
      </c>
      <c r="K1320" s="585" t="n">
        <v>10</v>
      </c>
      <c r="L1320" s="585">
        <f>IF(B1320="TXO",I1320-SUM(J1320:K1320),IF(B1320="FITX",IF(D1320="新倉",-SUM(J1320:K1320),IF(E1320="賣",(H1320-H1319)*G1320*200-SUM(J1320:K1320),(H1319-H1320)*G1320*200-SUM(J1320:K1320))),IF(D1320="新倉",-SUM(J1320:K1320),IF(E1320="賣",(H1320-H1319)*G1320*50-SUM(J1320:K1320),(H1319-H1320)*G1320*50-SUM(J1320:K1320)))))</f>
        <v/>
      </c>
      <c r="M1320" s="699">
        <f>L1320</f>
        <v/>
      </c>
      <c r="N1320" s="686">
        <f>IF(B1320="TXO","",IF(D1320="新倉","",IF(E1320="賣",(H1320-H1319)*G1320,(H1319-H1320)*G1320)))</f>
        <v/>
      </c>
      <c r="O1320" s="226">
        <f>ABS(I1320)</f>
        <v/>
      </c>
      <c r="P1320" s="667" t="n"/>
      <c r="Q1320" s="311" t="n"/>
      <c r="S1320" s="249" t="n"/>
      <c r="T1320" s="61">
        <f>IF(AND(R1320="Yes",S1320&lt;&gt;"Yes",L1320&gt;0,B1320&lt;&gt;"TXO"),L1320,"")</f>
        <v/>
      </c>
      <c r="U1320" s="61">
        <f>IF(AND(R1320="Yes",S1320&lt;&gt;"Yes",L1320&lt;0,B1320&lt;&gt;"TXO"),L1320,"")</f>
        <v/>
      </c>
      <c r="V1320" s="61">
        <f>IF(AND(R1320="",S1320&lt;&gt;"Yes",L1320&gt;0,B1320&lt;&gt;"TXO"),L1320,"")</f>
        <v/>
      </c>
      <c r="W1320" s="61">
        <f>IF(AND(R1320="",S1320&lt;&gt;"Yes",L1320&lt;0,B1320&lt;&gt;"TXO"),L1320,"")</f>
        <v/>
      </c>
      <c r="X1320" s="226">
        <f>IF(AND(R1320="Yes",S1320="Yes",L1320&gt;0,B1320&lt;&gt;"TXO"),L1320,"")</f>
        <v/>
      </c>
      <c r="Y1320" s="226">
        <f>IF(AND(R1320="Yes",S1320="Yes",L1320&lt;0,B1320&lt;&gt;"TXO"),L1320,"")</f>
        <v/>
      </c>
      <c r="Z1320" s="226">
        <f>IF(AND(R1320="",S1320="Yes",L1320&gt;0,B1320&lt;&gt;"TXO"),L1320,"")</f>
        <v/>
      </c>
      <c r="AA1320" s="226">
        <f>IF(AND(R1320="",S1320="Yes",L1320&lt;0,B1320&lt;&gt;"TXO"),L1320,"")</f>
        <v/>
      </c>
    </row>
    <row r="1321" hidden="1" outlineLevel="2" ht="17.25" customHeight="1" thickBot="1">
      <c r="A1321" s="696" t="n">
        <v>43388</v>
      </c>
      <c r="B1321" s="234" t="inlineStr">
        <is>
          <t>FIMTX</t>
        </is>
      </c>
      <c r="C1321" s="229" t="inlineStr">
        <is>
          <t>小指10</t>
        </is>
      </c>
      <c r="D1321" s="229" t="inlineStr">
        <is>
          <t>平倉</t>
        </is>
      </c>
      <c r="E1321" s="257" t="inlineStr">
        <is>
          <t>賣</t>
        </is>
      </c>
      <c r="F1321" s="229" t="inlineStr">
        <is>
          <t>-</t>
        </is>
      </c>
      <c r="G1321" s="697" t="n">
        <v>1</v>
      </c>
      <c r="H1321" s="697" t="n">
        <v>9881</v>
      </c>
      <c r="I1321" s="697" t="n">
        <v>0</v>
      </c>
      <c r="J1321" s="585" t="n">
        <v>23</v>
      </c>
      <c r="K1321" s="585" t="n">
        <v>10</v>
      </c>
      <c r="L1321" s="585">
        <f>IF(B1321="TXO",I1321-SUM(J1321:K1321),IF(B1321="FITX",IF(D1321="新倉",-SUM(J1321:K1321),IF(E1321="賣",(H1321-H1320)*G1321*200-SUM(J1321:K1321),(H1320-H1321)*G1321*200-SUM(J1321:K1321))),IF(D1321="新倉",-SUM(J1321:K1321),IF(E1321="賣",(H1321-H1320)*G1321*50-SUM(J1321:K1321),(H1320-H1321)*G1321*50-SUM(J1321:K1321)))))</f>
        <v/>
      </c>
      <c r="M1321" s="699">
        <f>L1321</f>
        <v/>
      </c>
      <c r="N1321" s="686">
        <f>IF(B1321="TXO","",IF(D1321="新倉","",IF(E1321="賣",(H1321-H1320)*G1321,(H1320-H1321)*G1321)))</f>
        <v/>
      </c>
      <c r="O1321" s="226">
        <f>ABS(I1321)</f>
        <v/>
      </c>
      <c r="P1321" s="667" t="n"/>
      <c r="Q1321" s="311" t="inlineStr">
        <is>
          <t>停損</t>
        </is>
      </c>
      <c r="S1321" s="249" t="n"/>
      <c r="T1321" s="61">
        <f>IF(AND(R1321="Yes",S1321&lt;&gt;"Yes",L1321&gt;0,B1321&lt;&gt;"TXO"),L1321,"")</f>
        <v/>
      </c>
      <c r="U1321" s="61">
        <f>IF(AND(R1321="Yes",S1321&lt;&gt;"Yes",L1321&lt;0,B1321&lt;&gt;"TXO"),L1321,"")</f>
        <v/>
      </c>
      <c r="V1321" s="61">
        <f>IF(AND(R1321="",S1321&lt;&gt;"Yes",L1321&gt;0,B1321&lt;&gt;"TXO"),L1321,"")</f>
        <v/>
      </c>
      <c r="W1321" s="61">
        <f>IF(AND(R1321="",S1321&lt;&gt;"Yes",L1321&lt;0,B1321&lt;&gt;"TXO"),L1321,"")</f>
        <v/>
      </c>
      <c r="X1321" s="226">
        <f>IF(AND(R1321="Yes",S1321="Yes",L1321&gt;0,B1321&lt;&gt;"TXO"),L1321,"")</f>
        <v/>
      </c>
      <c r="Y1321" s="226">
        <f>IF(AND(R1321="Yes",S1321="Yes",L1321&lt;0,B1321&lt;&gt;"TXO"),L1321,"")</f>
        <v/>
      </c>
      <c r="Z1321" s="226">
        <f>IF(AND(R1321="",S1321="Yes",L1321&gt;0,B1321&lt;&gt;"TXO"),L1321,"")</f>
        <v/>
      </c>
      <c r="AA1321" s="226">
        <f>IF(AND(R1321="",S1321="Yes",L1321&lt;0,B1321&lt;&gt;"TXO"),L1321,"")</f>
        <v/>
      </c>
    </row>
    <row r="1322" hidden="1" outlineLevel="2" ht="17.25" customHeight="1" thickBot="1">
      <c r="A1322" s="696" t="n">
        <v>43388</v>
      </c>
      <c r="B1322" s="234" t="inlineStr">
        <is>
          <t>FIMTX</t>
        </is>
      </c>
      <c r="C1322" s="229" t="inlineStr">
        <is>
          <t>小指10</t>
        </is>
      </c>
      <c r="D1322" s="229" t="inlineStr">
        <is>
          <t>新倉</t>
        </is>
      </c>
      <c r="E1322" s="257" t="inlineStr">
        <is>
          <t>買</t>
        </is>
      </c>
      <c r="F1322" s="229" t="inlineStr">
        <is>
          <t>-</t>
        </is>
      </c>
      <c r="G1322" s="697" t="n">
        <v>1</v>
      </c>
      <c r="H1322" s="697" t="n">
        <v>9898</v>
      </c>
      <c r="I1322" s="697" t="n">
        <v>0</v>
      </c>
      <c r="J1322" s="585" t="n">
        <v>23</v>
      </c>
      <c r="K1322" s="585" t="n">
        <v>10</v>
      </c>
      <c r="L1322" s="585">
        <f>IF(B1322="TXO",I1322-SUM(J1322:K1322),IF(B1322="FITX",IF(D1322="新倉",-SUM(J1322:K1322),IF(E1322="賣",(H1322-H1321)*G1322*200-SUM(J1322:K1322),(H1321-H1322)*G1322*200-SUM(J1322:K1322))),IF(D1322="新倉",-SUM(J1322:K1322),IF(E1322="賣",(H1322-H1321)*G1322*50-SUM(J1322:K1322),(H1321-H1322)*G1322*50-SUM(J1322:K1322)))))</f>
        <v/>
      </c>
      <c r="M1322" s="699">
        <f>L1322</f>
        <v/>
      </c>
      <c r="N1322" s="686">
        <f>IF(B1322="TXO","",IF(D1322="新倉","",IF(E1322="賣",(H1322-H1321)*G1322,(H1321-H1322)*G1322)))</f>
        <v/>
      </c>
      <c r="O1322" s="226">
        <f>ABS(I1322)</f>
        <v/>
      </c>
      <c r="P1322" s="667" t="n"/>
      <c r="Q1322" s="311" t="inlineStr">
        <is>
          <t>籌碼三強，拉回開盤再試多單</t>
        </is>
      </c>
      <c r="S1322" s="249" t="n"/>
      <c r="T1322" s="61">
        <f>IF(AND(R1322="Yes",S1322&lt;&gt;"Yes",L1322&gt;0,B1322&lt;&gt;"TXO"),L1322,"")</f>
        <v/>
      </c>
      <c r="U1322" s="61">
        <f>IF(AND(R1322="Yes",S1322&lt;&gt;"Yes",L1322&lt;0,B1322&lt;&gt;"TXO"),L1322,"")</f>
        <v/>
      </c>
      <c r="V1322" s="61">
        <f>IF(AND(R1322="",S1322&lt;&gt;"Yes",L1322&gt;0,B1322&lt;&gt;"TXO"),L1322,"")</f>
        <v/>
      </c>
      <c r="W1322" s="61">
        <f>IF(AND(R1322="",S1322&lt;&gt;"Yes",L1322&lt;0,B1322&lt;&gt;"TXO"),L1322,"")</f>
        <v/>
      </c>
      <c r="X1322" s="226">
        <f>IF(AND(R1322="Yes",S1322="Yes",L1322&gt;0,B1322&lt;&gt;"TXO"),L1322,"")</f>
        <v/>
      </c>
      <c r="Y1322" s="226">
        <f>IF(AND(R1322="Yes",S1322="Yes",L1322&lt;0,B1322&lt;&gt;"TXO"),L1322,"")</f>
        <v/>
      </c>
      <c r="Z1322" s="226">
        <f>IF(AND(R1322="",S1322="Yes",L1322&gt;0,B1322&lt;&gt;"TXO"),L1322,"")</f>
        <v/>
      </c>
      <c r="AA1322" s="226">
        <f>IF(AND(R1322="",S1322="Yes",L1322&lt;0,B1322&lt;&gt;"TXO"),L1322,"")</f>
        <v/>
      </c>
    </row>
    <row r="1323" hidden="1" outlineLevel="2" ht="17.25" customHeight="1" thickBot="1">
      <c r="A1323" s="696" t="n">
        <v>43388</v>
      </c>
      <c r="B1323" s="234" t="inlineStr">
        <is>
          <t>FIMTX</t>
        </is>
      </c>
      <c r="C1323" s="229" t="inlineStr">
        <is>
          <t>小指10</t>
        </is>
      </c>
      <c r="D1323" s="229" t="inlineStr">
        <is>
          <t>平倉</t>
        </is>
      </c>
      <c r="E1323" s="257" t="inlineStr">
        <is>
          <t>賣</t>
        </is>
      </c>
      <c r="F1323" s="229" t="inlineStr">
        <is>
          <t>-</t>
        </is>
      </c>
      <c r="G1323" s="697" t="n">
        <v>1</v>
      </c>
      <c r="H1323" s="697" t="n">
        <v>9882</v>
      </c>
      <c r="I1323" s="697" t="n">
        <v>0</v>
      </c>
      <c r="J1323" s="585" t="n">
        <v>23</v>
      </c>
      <c r="K1323" s="585" t="n">
        <v>10</v>
      </c>
      <c r="L1323" s="585">
        <f>IF(B1323="TXO",I1323-SUM(J1323:K1323),IF(B1323="FITX",IF(D1323="新倉",-SUM(J1323:K1323),IF(E1323="賣",(H1323-H1322)*G1323*200-SUM(J1323:K1323),(H1322-H1323)*G1323*200-SUM(J1323:K1323))),IF(D1323="新倉",-SUM(J1323:K1323),IF(E1323="賣",(H1323-H1322)*G1323*50-SUM(J1323:K1323),(H1322-H1323)*G1323*50-SUM(J1323:K1323)))))</f>
        <v/>
      </c>
      <c r="M1323" s="699">
        <f>L1323</f>
        <v/>
      </c>
      <c r="N1323" s="686">
        <f>IF(B1323="TXO","",IF(D1323="新倉","",IF(E1323="賣",(H1323-H1322)*G1323,(H1322-H1323)*G1323)))</f>
        <v/>
      </c>
      <c r="O1323" s="226">
        <f>ABS(I1323)</f>
        <v/>
      </c>
      <c r="P1323" s="667" t="n"/>
      <c r="Q1323" s="311" t="inlineStr">
        <is>
          <t>停損</t>
        </is>
      </c>
      <c r="S1323" s="249" t="n"/>
      <c r="T1323" s="61">
        <f>IF(AND(R1323="Yes",S1323&lt;&gt;"Yes",L1323&gt;0,B1323&lt;&gt;"TXO"),L1323,"")</f>
        <v/>
      </c>
      <c r="U1323" s="61">
        <f>IF(AND(R1323="Yes",S1323&lt;&gt;"Yes",L1323&lt;0,B1323&lt;&gt;"TXO"),L1323,"")</f>
        <v/>
      </c>
      <c r="V1323" s="61">
        <f>IF(AND(R1323="",S1323&lt;&gt;"Yes",L1323&gt;0,B1323&lt;&gt;"TXO"),L1323,"")</f>
        <v/>
      </c>
      <c r="W1323" s="61">
        <f>IF(AND(R1323="",S1323&lt;&gt;"Yes",L1323&lt;0,B1323&lt;&gt;"TXO"),L1323,"")</f>
        <v/>
      </c>
      <c r="X1323" s="226">
        <f>IF(AND(R1323="Yes",S1323="Yes",L1323&gt;0,B1323&lt;&gt;"TXO"),L1323,"")</f>
        <v/>
      </c>
      <c r="Y1323" s="226">
        <f>IF(AND(R1323="Yes",S1323="Yes",L1323&lt;0,B1323&lt;&gt;"TXO"),L1323,"")</f>
        <v/>
      </c>
      <c r="Z1323" s="226">
        <f>IF(AND(R1323="",S1323="Yes",L1323&gt;0,B1323&lt;&gt;"TXO"),L1323,"")</f>
        <v/>
      </c>
      <c r="AA1323" s="226">
        <f>IF(AND(R1323="",S1323="Yes",L1323&lt;0,B1323&lt;&gt;"TXO"),L1323,"")</f>
        <v/>
      </c>
    </row>
    <row r="1324" hidden="1" outlineLevel="2" ht="17.25" customHeight="1" thickBot="1">
      <c r="A1324" s="696" t="n">
        <v>43388</v>
      </c>
      <c r="B1324" s="234" t="inlineStr">
        <is>
          <t>FIMTX</t>
        </is>
      </c>
      <c r="C1324" s="229" t="inlineStr">
        <is>
          <t>小指10</t>
        </is>
      </c>
      <c r="D1324" s="229" t="inlineStr">
        <is>
          <t>新倉</t>
        </is>
      </c>
      <c r="E1324" s="257" t="inlineStr">
        <is>
          <t>買</t>
        </is>
      </c>
      <c r="F1324" s="229" t="inlineStr">
        <is>
          <t>-</t>
        </is>
      </c>
      <c r="G1324" s="697" t="n">
        <v>3</v>
      </c>
      <c r="H1324" s="697" t="n">
        <v>9910</v>
      </c>
      <c r="I1324" s="697" t="n">
        <v>0</v>
      </c>
      <c r="J1324" s="585" t="n">
        <v>69</v>
      </c>
      <c r="K1324" s="585" t="n">
        <v>30</v>
      </c>
      <c r="L1324" s="585">
        <f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/>
      </c>
      <c r="M1324" s="699">
        <f>L1324</f>
        <v/>
      </c>
      <c r="N1324" s="686">
        <f>IF(B1324="TXO","",IF(D1324="新倉","",IF(E1324="賣",(H1324-H1323)*G1324,(H1323-H1324)*G1324)))</f>
        <v/>
      </c>
      <c r="O1324" s="226">
        <f>ABS(I1324)</f>
        <v/>
      </c>
      <c r="P1324" s="667" t="n"/>
      <c r="Q1324" s="311" t="inlineStr">
        <is>
          <t>籌碼三強，拉回開盤再試多單</t>
        </is>
      </c>
      <c r="S1324" s="249" t="n"/>
      <c r="T1324" s="61">
        <f>IF(AND(R1324="Yes",S1324&lt;&gt;"Yes",L1324&gt;0,B1324&lt;&gt;"TXO"),L1324,"")</f>
        <v/>
      </c>
      <c r="U1324" s="61">
        <f>IF(AND(R1324="Yes",S1324&lt;&gt;"Yes",L1324&lt;0,B1324&lt;&gt;"TXO"),L1324,"")</f>
        <v/>
      </c>
      <c r="V1324" s="61">
        <f>IF(AND(R1324="",S1324&lt;&gt;"Yes",L1324&gt;0,B1324&lt;&gt;"TXO"),L1324,"")</f>
        <v/>
      </c>
      <c r="W1324" s="61">
        <f>IF(AND(R1324="",S1324&lt;&gt;"Yes",L1324&lt;0,B1324&lt;&gt;"TXO"),L1324,"")</f>
        <v/>
      </c>
      <c r="X1324" s="226">
        <f>IF(AND(R1324="Yes",S1324="Yes",L1324&gt;0,B1324&lt;&gt;"TXO"),L1324,"")</f>
        <v/>
      </c>
      <c r="Y1324" s="226">
        <f>IF(AND(R1324="Yes",S1324="Yes",L1324&lt;0,B1324&lt;&gt;"TXO"),L1324,"")</f>
        <v/>
      </c>
      <c r="Z1324" s="226">
        <f>IF(AND(R1324="",S1324="Yes",L1324&gt;0,B1324&lt;&gt;"TXO"),L1324,"")</f>
        <v/>
      </c>
      <c r="AA1324" s="226">
        <f>IF(AND(R1324="",S1324="Yes",L1324&lt;0,B1324&lt;&gt;"TXO"),L1324,"")</f>
        <v/>
      </c>
    </row>
    <row r="1325" hidden="1" outlineLevel="2" ht="17.25" customHeight="1" thickBot="1">
      <c r="A1325" s="696" t="n">
        <v>43388</v>
      </c>
      <c r="B1325" s="234" t="inlineStr">
        <is>
          <t>FIMTX</t>
        </is>
      </c>
      <c r="C1325" s="229" t="inlineStr">
        <is>
          <t>小指10</t>
        </is>
      </c>
      <c r="D1325" s="229" t="inlineStr">
        <is>
          <t>平倉</t>
        </is>
      </c>
      <c r="E1325" s="257" t="inlineStr">
        <is>
          <t>賣</t>
        </is>
      </c>
      <c r="F1325" s="229" t="inlineStr">
        <is>
          <t>-</t>
        </is>
      </c>
      <c r="G1325" s="697" t="n">
        <v>3</v>
      </c>
      <c r="H1325" s="697" t="n">
        <v>9888</v>
      </c>
      <c r="I1325" s="697" t="n">
        <v>0</v>
      </c>
      <c r="J1325" s="585" t="n">
        <v>69</v>
      </c>
      <c r="K1325" s="585" t="n">
        <v>30</v>
      </c>
      <c r="L1325" s="585">
        <f>IF(B1325="TXO",I1325-SUM(J1325:K1325),IF(B1325="FITX",IF(D1325="新倉",-SUM(J1325:K1325),IF(E1325="賣",(H1325-H1324)*G1325*200-SUM(J1325:K1325),(H1324-H1325)*G1325*200-SUM(J1325:K1325))),IF(D1325="新倉",-SUM(J1325:K1325),IF(E1325="賣",(H1325-H1324)*G1325*50-SUM(J1325:K1325),(H1324-H1325)*G1325*50-SUM(J1325:K1325)))))</f>
        <v/>
      </c>
      <c r="M1325" s="699">
        <f>L1325</f>
        <v/>
      </c>
      <c r="N1325" s="686">
        <f>IF(B1325="TXO","",IF(D1325="新倉","",IF(E1325="賣",(H1325-H1324)*G1325,(H1324-H1325)*G1325)))</f>
        <v/>
      </c>
      <c r="O1325" s="226">
        <f>ABS(I1325)</f>
        <v/>
      </c>
      <c r="P1325" s="667" t="n"/>
      <c r="Q1325" s="311" t="inlineStr">
        <is>
          <t>停損</t>
        </is>
      </c>
      <c r="S1325" s="249" t="n"/>
      <c r="T1325" s="61">
        <f>IF(AND(R1325="Yes",S1325&lt;&gt;"Yes",L1325&gt;0,B1325&lt;&gt;"TXO"),L1325,"")</f>
        <v/>
      </c>
      <c r="U1325" s="61">
        <f>IF(AND(R1325="Yes",S1325&lt;&gt;"Yes",L1325&lt;0,B1325&lt;&gt;"TXO"),L1325,"")</f>
        <v/>
      </c>
      <c r="V1325" s="61">
        <f>IF(AND(R1325="",S1325&lt;&gt;"Yes",L1325&gt;0,B1325&lt;&gt;"TXO"),L1325,"")</f>
        <v/>
      </c>
      <c r="W1325" s="61">
        <f>IF(AND(R1325="",S1325&lt;&gt;"Yes",L1325&lt;0,B1325&lt;&gt;"TXO"),L1325,"")</f>
        <v/>
      </c>
      <c r="X1325" s="226">
        <f>IF(AND(R1325="Yes",S1325="Yes",L1325&gt;0,B1325&lt;&gt;"TXO"),L1325,"")</f>
        <v/>
      </c>
      <c r="Y1325" s="226">
        <f>IF(AND(R1325="Yes",S1325="Yes",L1325&lt;0,B1325&lt;&gt;"TXO"),L1325,"")</f>
        <v/>
      </c>
      <c r="Z1325" s="226">
        <f>IF(AND(R1325="",S1325="Yes",L1325&gt;0,B1325&lt;&gt;"TXO"),L1325,"")</f>
        <v/>
      </c>
      <c r="AA1325" s="226">
        <f>IF(AND(R1325="",S1325="Yes",L1325&lt;0,B1325&lt;&gt;"TXO"),L1325,"")</f>
        <v/>
      </c>
    </row>
    <row r="1326" hidden="1" outlineLevel="2" ht="17.25" customHeight="1" thickBot="1">
      <c r="A1326" s="696" t="n">
        <v>43388</v>
      </c>
      <c r="B1326" s="234" t="inlineStr">
        <is>
          <t>FIMTX</t>
        </is>
      </c>
      <c r="C1326" s="229" t="inlineStr">
        <is>
          <t>小指10</t>
        </is>
      </c>
      <c r="D1326" s="229" t="inlineStr">
        <is>
          <t>新倉</t>
        </is>
      </c>
      <c r="E1326" s="257" t="inlineStr">
        <is>
          <t>賣</t>
        </is>
      </c>
      <c r="F1326" s="229" t="inlineStr">
        <is>
          <t>-</t>
        </is>
      </c>
      <c r="G1326" s="697" t="n">
        <v>1</v>
      </c>
      <c r="H1326" s="697" t="n">
        <v>9883</v>
      </c>
      <c r="I1326" s="697" t="n">
        <v>0</v>
      </c>
      <c r="J1326" s="585" t="n">
        <v>23</v>
      </c>
      <c r="K1326" s="585" t="n">
        <v>10</v>
      </c>
      <c r="L1326" s="585">
        <f>IF(B1326="TXO",I1326-SUM(J1326:K1326),IF(B1326="FITX",IF(D1326="新倉",-SUM(J1326:K1326),IF(E1326="賣",(H1326-H1325)*G1326*200-SUM(J1326:K1326),(H1325-H1326)*G1326*200-SUM(J1326:K1326))),IF(D1326="新倉",-SUM(J1326:K1326),IF(E1326="賣",(H1326-H1325)*G1326*50-SUM(J1326:K1326),(H1325-H1326)*G1326*50-SUM(J1326:K1326)))))</f>
        <v/>
      </c>
      <c r="M1326" s="699">
        <f>L1326</f>
        <v/>
      </c>
      <c r="N1326" s="686">
        <f>IF(B1326="TXO","",IF(D1326="新倉","",IF(E1326="賣",(H1326-H1325)*G1326,(H1325-H1326)*G1326)))</f>
        <v/>
      </c>
      <c r="O1326" s="226">
        <f>ABS(I1326)</f>
        <v/>
      </c>
      <c r="P1326" s="667" t="n"/>
      <c r="Q1326" s="249" t="inlineStr">
        <is>
          <t>技法: 3/3 買進三口</t>
        </is>
      </c>
      <c r="R1326" s="249" t="inlineStr">
        <is>
          <t>Yes</t>
        </is>
      </c>
      <c r="S1326" s="249" t="n"/>
      <c r="T1326" s="61">
        <f>IF(AND(R1326="Yes",S1326&lt;&gt;"Yes",L1326&gt;0,B1326&lt;&gt;"TXO"),L1326,"")</f>
        <v/>
      </c>
      <c r="U1326" s="61">
        <f>IF(AND(R1326="Yes",S1326&lt;&gt;"Yes",L1326&lt;0,B1326&lt;&gt;"TXO"),L1326,"")</f>
        <v/>
      </c>
      <c r="V1326" s="61">
        <f>IF(AND(R1326="",S1326&lt;&gt;"Yes",L1326&gt;0,B1326&lt;&gt;"TXO"),L1326,"")</f>
        <v/>
      </c>
      <c r="W1326" s="61">
        <f>IF(AND(R1326="",S1326&lt;&gt;"Yes",L1326&lt;0,B1326&lt;&gt;"TXO"),L1326,"")</f>
        <v/>
      </c>
      <c r="X1326" s="226">
        <f>IF(AND(R1326="Yes",S1326="Yes",L1326&gt;0,B1326&lt;&gt;"TXO"),L1326,"")</f>
        <v/>
      </c>
      <c r="Y1326" s="226">
        <f>IF(AND(R1326="Yes",S1326="Yes",L1326&lt;0,B1326&lt;&gt;"TXO"),L1326,"")</f>
        <v/>
      </c>
      <c r="Z1326" s="226">
        <f>IF(AND(R1326="",S1326="Yes",L1326&gt;0,B1326&lt;&gt;"TXO"),L1326,"")</f>
        <v/>
      </c>
      <c r="AA1326" s="226">
        <f>IF(AND(R1326="",S1326="Yes",L1326&lt;0,B1326&lt;&gt;"TXO"),L1326,"")</f>
        <v/>
      </c>
    </row>
    <row r="1327" hidden="1" outlineLevel="2" ht="17.25" customHeight="1" thickBot="1">
      <c r="A1327" s="696" t="n">
        <v>43388</v>
      </c>
      <c r="B1327" s="234" t="inlineStr">
        <is>
          <t>FIMTX</t>
        </is>
      </c>
      <c r="C1327" s="229" t="inlineStr">
        <is>
          <t>小指10</t>
        </is>
      </c>
      <c r="D1327" s="229" t="inlineStr">
        <is>
          <t>平倉</t>
        </is>
      </c>
      <c r="E1327" s="257" t="inlineStr">
        <is>
          <t>買</t>
        </is>
      </c>
      <c r="F1327" s="229" t="inlineStr">
        <is>
          <t>-</t>
        </is>
      </c>
      <c r="G1327" s="697" t="n">
        <v>1</v>
      </c>
      <c r="H1327" s="697" t="n">
        <v>9878</v>
      </c>
      <c r="I1327" s="697" t="n">
        <v>0</v>
      </c>
      <c r="J1327" s="585" t="n">
        <v>23</v>
      </c>
      <c r="K1327" s="585" t="n">
        <v>10</v>
      </c>
      <c r="L1327" s="585">
        <f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/>
      </c>
      <c r="M1327" s="699">
        <f>L1327</f>
        <v/>
      </c>
      <c r="N1327" s="686">
        <f>IF(B1327="TXO","",IF(D1327="新倉","",IF(E1327="賣",(H1327-H1326)*G1327,(H1326-H1327)*G1327)))</f>
        <v/>
      </c>
      <c r="O1327" s="226">
        <f>ABS(I1327)</f>
        <v/>
      </c>
      <c r="P1327" s="667" t="n"/>
      <c r="Q1327" s="249" t="inlineStr">
        <is>
          <t>技法: 刺補</t>
        </is>
      </c>
      <c r="R1327" s="249" t="inlineStr">
        <is>
          <t>Yes</t>
        </is>
      </c>
      <c r="S1327" s="249" t="n"/>
      <c r="T1327" s="61">
        <f>IF(AND(R1327="Yes",S1327&lt;&gt;"Yes",L1327&gt;0,B1327&lt;&gt;"TXO"),L1327,"")</f>
        <v/>
      </c>
      <c r="U1327" s="61">
        <f>IF(AND(R1327="Yes",S1327&lt;&gt;"Yes",L1327&lt;0,B1327&lt;&gt;"TXO"),L1327,"")</f>
        <v/>
      </c>
      <c r="V1327" s="61">
        <f>IF(AND(R1327="",S1327&lt;&gt;"Yes",L1327&gt;0,B1327&lt;&gt;"TXO"),L1327,"")</f>
        <v/>
      </c>
      <c r="W1327" s="61">
        <f>IF(AND(R1327="",S1327&lt;&gt;"Yes",L1327&lt;0,B1327&lt;&gt;"TXO"),L1327,"")</f>
        <v/>
      </c>
      <c r="X1327" s="226">
        <f>IF(AND(R1327="Yes",S1327="Yes",L1327&gt;0,B1327&lt;&gt;"TXO"),L1327,"")</f>
        <v/>
      </c>
      <c r="Y1327" s="226">
        <f>IF(AND(R1327="Yes",S1327="Yes",L1327&lt;0,B1327&lt;&gt;"TXO"),L1327,"")</f>
        <v/>
      </c>
      <c r="Z1327" s="226">
        <f>IF(AND(R1327="",S1327="Yes",L1327&gt;0,B1327&lt;&gt;"TXO"),L1327,"")</f>
        <v/>
      </c>
      <c r="AA1327" s="226">
        <f>IF(AND(R1327="",S1327="Yes",L1327&lt;0,B1327&lt;&gt;"TXO"),L1327,"")</f>
        <v/>
      </c>
    </row>
    <row r="1328" hidden="1" outlineLevel="2" ht="17.25" customHeight="1" thickBot="1">
      <c r="A1328" s="696" t="n">
        <v>43388</v>
      </c>
      <c r="B1328" s="234" t="inlineStr">
        <is>
          <t>FIMTX</t>
        </is>
      </c>
      <c r="C1328" s="229" t="inlineStr">
        <is>
          <t>小指10</t>
        </is>
      </c>
      <c r="D1328" s="229" t="inlineStr">
        <is>
          <t>新倉</t>
        </is>
      </c>
      <c r="E1328" s="257" t="inlineStr">
        <is>
          <t>賣</t>
        </is>
      </c>
      <c r="F1328" s="229" t="inlineStr">
        <is>
          <t>-</t>
        </is>
      </c>
      <c r="G1328" s="697" t="n">
        <v>1</v>
      </c>
      <c r="H1328" s="697" t="n">
        <v>9884</v>
      </c>
      <c r="I1328" s="697" t="n">
        <v>0</v>
      </c>
      <c r="J1328" s="585" t="n">
        <v>23</v>
      </c>
      <c r="K1328" s="585" t="n">
        <v>10</v>
      </c>
      <c r="L1328" s="585">
        <f>IF(B1328="TXO",I1328-SUM(J1328:K1328),IF(B1328="FITX",IF(D1328="新倉",-SUM(J1328:K1328),IF(E1328="賣",(H1328-H1327)*G1328*200-SUM(J1328:K1328),(H1327-H1328)*G1328*200-SUM(J1328:K1328))),IF(D1328="新倉",-SUM(J1328:K1328),IF(E1328="賣",(H1328-H1327)*G1328*50-SUM(J1328:K1328),(H1327-H1328)*G1328*50-SUM(J1328:K1328)))))</f>
        <v/>
      </c>
      <c r="M1328" s="699">
        <f>L1328</f>
        <v/>
      </c>
      <c r="N1328" s="686">
        <f>IF(B1328="TXO","",IF(D1328="新倉","",IF(E1328="賣",(H1328-H1327)*G1328,(H1327-H1328)*G1328)))</f>
        <v/>
      </c>
      <c r="O1328" s="226">
        <f>ABS(I1328)</f>
        <v/>
      </c>
      <c r="P1328" s="667" t="n"/>
      <c r="S1328" s="249" t="n"/>
      <c r="T1328" s="61">
        <f>IF(AND(R1328="Yes",S1328&lt;&gt;"Yes",L1328&gt;0,B1328&lt;&gt;"TXO"),L1328,"")</f>
        <v/>
      </c>
      <c r="U1328" s="61">
        <f>IF(AND(R1328="Yes",S1328&lt;&gt;"Yes",L1328&lt;0,B1328&lt;&gt;"TXO"),L1328,"")</f>
        <v/>
      </c>
      <c r="V1328" s="61">
        <f>IF(AND(R1328="",S1328&lt;&gt;"Yes",L1328&gt;0,B1328&lt;&gt;"TXO"),L1328,"")</f>
        <v/>
      </c>
      <c r="W1328" s="61">
        <f>IF(AND(R1328="",S1328&lt;&gt;"Yes",L1328&lt;0,B1328&lt;&gt;"TXO"),L1328,"")</f>
        <v/>
      </c>
      <c r="X1328" s="226">
        <f>IF(AND(R1328="Yes",S1328="Yes",L1328&gt;0,B1328&lt;&gt;"TXO"),L1328,"")</f>
        <v/>
      </c>
      <c r="Y1328" s="226">
        <f>IF(AND(R1328="Yes",S1328="Yes",L1328&lt;0,B1328&lt;&gt;"TXO"),L1328,"")</f>
        <v/>
      </c>
      <c r="Z1328" s="226">
        <f>IF(AND(R1328="",S1328="Yes",L1328&gt;0,B1328&lt;&gt;"TXO"),L1328,"")</f>
        <v/>
      </c>
      <c r="AA1328" s="226">
        <f>IF(AND(R1328="",S1328="Yes",L1328&lt;0,B1328&lt;&gt;"TXO"),L1328,"")</f>
        <v/>
      </c>
    </row>
    <row r="1329" hidden="1" outlineLevel="2" ht="17.25" customHeight="1" thickBot="1">
      <c r="A1329" s="696" t="n">
        <v>43388</v>
      </c>
      <c r="B1329" s="234" t="inlineStr">
        <is>
          <t>FIMTX</t>
        </is>
      </c>
      <c r="C1329" s="229" t="inlineStr">
        <is>
          <t>小指10</t>
        </is>
      </c>
      <c r="D1329" s="229" t="inlineStr">
        <is>
          <t>平倉</t>
        </is>
      </c>
      <c r="E1329" s="257" t="inlineStr">
        <is>
          <t>買</t>
        </is>
      </c>
      <c r="F1329" s="229" t="inlineStr">
        <is>
          <t>-</t>
        </is>
      </c>
      <c r="G1329" s="697" t="n">
        <v>1</v>
      </c>
      <c r="H1329" s="697" t="n">
        <v>9878</v>
      </c>
      <c r="I1329" s="697" t="n">
        <v>0</v>
      </c>
      <c r="J1329" s="585" t="n">
        <v>23</v>
      </c>
      <c r="K1329" s="585" t="n">
        <v>10</v>
      </c>
      <c r="L1329" s="585">
        <f>IF(B1329="TXO",I1329-SUM(J1329:K1329),IF(B1329="FITX",IF(D1329="新倉",-SUM(J1329:K1329),IF(E1329="賣",(H1329-H1328)*G1329*200-SUM(J1329:K1329),(H1328-H1329)*G1329*200-SUM(J1329:K1329))),IF(D1329="新倉",-SUM(J1329:K1329),IF(E1329="賣",(H1329-H1328)*G1329*50-SUM(J1329:K1329),(H1328-H1329)*G1329*50-SUM(J1329:K1329)))))</f>
        <v/>
      </c>
      <c r="M1329" s="699">
        <f>L1329</f>
        <v/>
      </c>
      <c r="N1329" s="686">
        <f>IF(B1329="TXO","",IF(D1329="新倉","",IF(E1329="賣",(H1329-H1328)*G1329,(H1328-H1329)*G1329)))</f>
        <v/>
      </c>
      <c r="O1329" s="226">
        <f>ABS(I1329)</f>
        <v/>
      </c>
      <c r="P1329" s="667" t="n"/>
      <c r="Q1329" s="249" t="inlineStr">
        <is>
          <t>元大移動式停利</t>
        </is>
      </c>
      <c r="S1329" s="249" t="n"/>
      <c r="T1329" s="61">
        <f>IF(AND(R1329="Yes",S1329&lt;&gt;"Yes",L1329&gt;0,B1329&lt;&gt;"TXO"),L1329,"")</f>
        <v/>
      </c>
      <c r="U1329" s="61">
        <f>IF(AND(R1329="Yes",S1329&lt;&gt;"Yes",L1329&lt;0,B1329&lt;&gt;"TXO"),L1329,"")</f>
        <v/>
      </c>
      <c r="V1329" s="61">
        <f>IF(AND(R1329="",S1329&lt;&gt;"Yes",L1329&gt;0,B1329&lt;&gt;"TXO"),L1329,"")</f>
        <v/>
      </c>
      <c r="W1329" s="61">
        <f>IF(AND(R1329="",S1329&lt;&gt;"Yes",L1329&lt;0,B1329&lt;&gt;"TXO"),L1329,"")</f>
        <v/>
      </c>
      <c r="X1329" s="226">
        <f>IF(AND(R1329="Yes",S1329="Yes",L1329&gt;0,B1329&lt;&gt;"TXO"),L1329,"")</f>
        <v/>
      </c>
      <c r="Y1329" s="226">
        <f>IF(AND(R1329="Yes",S1329="Yes",L1329&lt;0,B1329&lt;&gt;"TXO"),L1329,"")</f>
        <v/>
      </c>
      <c r="Z1329" s="226">
        <f>IF(AND(R1329="",S1329="Yes",L1329&gt;0,B1329&lt;&gt;"TXO"),L1329,"")</f>
        <v/>
      </c>
      <c r="AA1329" s="226">
        <f>IF(AND(R1329="",S1329="Yes",L1329&lt;0,B1329&lt;&gt;"TXO"),L1329,"")</f>
        <v/>
      </c>
    </row>
    <row r="1330" hidden="1" outlineLevel="2" ht="17.25" customHeight="1" thickBot="1">
      <c r="A1330" s="696" t="n">
        <v>43388</v>
      </c>
      <c r="B1330" s="234" t="inlineStr">
        <is>
          <t>FIMTX</t>
        </is>
      </c>
      <c r="C1330" s="229" t="inlineStr">
        <is>
          <t>小指10</t>
        </is>
      </c>
      <c r="D1330" s="229" t="inlineStr">
        <is>
          <t>新倉</t>
        </is>
      </c>
      <c r="E1330" s="257" t="inlineStr">
        <is>
          <t>賣</t>
        </is>
      </c>
      <c r="F1330" s="229" t="inlineStr">
        <is>
          <t>-</t>
        </is>
      </c>
      <c r="G1330" s="697" t="n">
        <v>1</v>
      </c>
      <c r="H1330" s="697" t="n">
        <v>9885</v>
      </c>
      <c r="I1330" s="697" t="n">
        <v>0</v>
      </c>
      <c r="J1330" s="585" t="n">
        <v>23</v>
      </c>
      <c r="K1330" s="585" t="n">
        <v>10</v>
      </c>
      <c r="L1330" s="585">
        <f>IF(B1330="TXO",I1330-SUM(J1330:K1330),IF(B1330="FITX",IF(D1330="新倉",-SUM(J1330:K1330),IF(E1330="賣",(H1330-H1329)*G1330*200-SUM(J1330:K1330),(H1329-H1330)*G1330*200-SUM(J1330:K1330))),IF(D1330="新倉",-SUM(J1330:K1330),IF(E1330="賣",(H1330-H1329)*G1330*50-SUM(J1330:K1330),(H1329-H1330)*G1330*50-SUM(J1330:K1330)))))</f>
        <v/>
      </c>
      <c r="M1330" s="699">
        <f>L1330</f>
        <v/>
      </c>
      <c r="N1330" s="686">
        <f>IF(B1330="TXO","",IF(D1330="新倉","",IF(E1330="賣",(H1330-H1329)*G1330,(H1329-H1330)*G1330)))</f>
        <v/>
      </c>
      <c r="O1330" s="226">
        <f>ABS(I1330)</f>
        <v/>
      </c>
      <c r="P1330" s="667" t="n"/>
      <c r="S1330" s="249" t="n"/>
      <c r="T1330" s="61">
        <f>IF(AND(R1330="Yes",S1330&lt;&gt;"Yes",L1330&gt;0,B1330&lt;&gt;"TXO"),L1330,"")</f>
        <v/>
      </c>
      <c r="U1330" s="61">
        <f>IF(AND(R1330="Yes",S1330&lt;&gt;"Yes",L1330&lt;0,B1330&lt;&gt;"TXO"),L1330,"")</f>
        <v/>
      </c>
      <c r="V1330" s="61">
        <f>IF(AND(R1330="",S1330&lt;&gt;"Yes",L1330&gt;0,B1330&lt;&gt;"TXO"),L1330,"")</f>
        <v/>
      </c>
      <c r="W1330" s="61">
        <f>IF(AND(R1330="",S1330&lt;&gt;"Yes",L1330&lt;0,B1330&lt;&gt;"TXO"),L1330,"")</f>
        <v/>
      </c>
      <c r="X1330" s="226">
        <f>IF(AND(R1330="Yes",S1330="Yes",L1330&gt;0,B1330&lt;&gt;"TXO"),L1330,"")</f>
        <v/>
      </c>
      <c r="Y1330" s="226">
        <f>IF(AND(R1330="Yes",S1330="Yes",L1330&lt;0,B1330&lt;&gt;"TXO"),L1330,"")</f>
        <v/>
      </c>
      <c r="Z1330" s="226">
        <f>IF(AND(R1330="",S1330="Yes",L1330&gt;0,B1330&lt;&gt;"TXO"),L1330,"")</f>
        <v/>
      </c>
      <c r="AA1330" s="226">
        <f>IF(AND(R1330="",S1330="Yes",L1330&lt;0,B1330&lt;&gt;"TXO"),L1330,"")</f>
        <v/>
      </c>
    </row>
    <row r="1331" hidden="1" outlineLevel="2" ht="17.25" customHeight="1" thickBot="1">
      <c r="A1331" s="696" t="n">
        <v>43388</v>
      </c>
      <c r="B1331" s="234" t="inlineStr">
        <is>
          <t>FIMTX</t>
        </is>
      </c>
      <c r="C1331" s="229" t="inlineStr">
        <is>
          <t>小指10</t>
        </is>
      </c>
      <c r="D1331" s="229" t="inlineStr">
        <is>
          <t>平倉</t>
        </is>
      </c>
      <c r="E1331" s="257" t="inlineStr">
        <is>
          <t>買</t>
        </is>
      </c>
      <c r="F1331" s="229" t="inlineStr">
        <is>
          <t>-</t>
        </is>
      </c>
      <c r="G1331" s="697" t="n">
        <v>1</v>
      </c>
      <c r="H1331" s="697" t="n">
        <v>9878</v>
      </c>
      <c r="I1331" s="697" t="n">
        <v>0</v>
      </c>
      <c r="J1331" s="585" t="n">
        <v>23</v>
      </c>
      <c r="K1331" s="585" t="n">
        <v>10</v>
      </c>
      <c r="L1331" s="585">
        <f>IF(B1331="TXO",I1331-SUM(J1331:K1331),IF(B1331="FITX",IF(D1331="新倉",-SUM(J1331:K1331),IF(E1331="賣",(H1331-H1330)*G1331*200-SUM(J1331:K1331),(H1330-H1331)*G1331*200-SUM(J1331:K1331))),IF(D1331="新倉",-SUM(J1331:K1331),IF(E1331="賣",(H1331-H1330)*G1331*50-SUM(J1331:K1331),(H1330-H1331)*G1331*50-SUM(J1331:K1331)))))</f>
        <v/>
      </c>
      <c r="M1331" s="699">
        <f>L1331</f>
        <v/>
      </c>
      <c r="N1331" s="686">
        <f>IF(B1331="TXO","",IF(D1331="新倉","",IF(E1331="賣",(H1331-H1330)*G1331,(H1330-H1331)*G1331)))</f>
        <v/>
      </c>
      <c r="O1331" s="226">
        <f>ABS(I1331)</f>
        <v/>
      </c>
      <c r="P1331" s="667" t="n"/>
      <c r="Q1331" s="249" t="inlineStr">
        <is>
          <t>元大移動式停利</t>
        </is>
      </c>
      <c r="S1331" s="249" t="n"/>
      <c r="T1331" s="61">
        <f>IF(AND(R1331="Yes",S1331&lt;&gt;"Yes",L1331&gt;0,B1331&lt;&gt;"TXO"),L1331,"")</f>
        <v/>
      </c>
      <c r="U1331" s="61">
        <f>IF(AND(R1331="Yes",S1331&lt;&gt;"Yes",L1331&lt;0,B1331&lt;&gt;"TXO"),L1331,"")</f>
        <v/>
      </c>
      <c r="V1331" s="61">
        <f>IF(AND(R1331="",S1331&lt;&gt;"Yes",L1331&gt;0,B1331&lt;&gt;"TXO"),L1331,"")</f>
        <v/>
      </c>
      <c r="W1331" s="61">
        <f>IF(AND(R1331="",S1331&lt;&gt;"Yes",L1331&lt;0,B1331&lt;&gt;"TXO"),L1331,"")</f>
        <v/>
      </c>
      <c r="X1331" s="226">
        <f>IF(AND(R1331="Yes",S1331="Yes",L1331&gt;0,B1331&lt;&gt;"TXO"),L1331,"")</f>
        <v/>
      </c>
      <c r="Y1331" s="226">
        <f>IF(AND(R1331="Yes",S1331="Yes",L1331&lt;0,B1331&lt;&gt;"TXO"),L1331,"")</f>
        <v/>
      </c>
      <c r="Z1331" s="226">
        <f>IF(AND(R1331="",S1331="Yes",L1331&gt;0,B1331&lt;&gt;"TXO"),L1331,"")</f>
        <v/>
      </c>
      <c r="AA1331" s="226">
        <f>IF(AND(R1331="",S1331="Yes",L1331&lt;0,B1331&lt;&gt;"TXO"),L1331,"")</f>
        <v/>
      </c>
    </row>
    <row r="1332" hidden="1" outlineLevel="2" ht="17.25" customHeight="1" thickBot="1">
      <c r="A1332" s="696" t="n">
        <v>43388</v>
      </c>
      <c r="B1332" s="234" t="inlineStr">
        <is>
          <t>FIMTX</t>
        </is>
      </c>
      <c r="C1332" s="229" t="inlineStr">
        <is>
          <t>小指10</t>
        </is>
      </c>
      <c r="D1332" s="229" t="inlineStr">
        <is>
          <t>新倉</t>
        </is>
      </c>
      <c r="E1332" s="257" t="inlineStr">
        <is>
          <t>賣</t>
        </is>
      </c>
      <c r="F1332" s="229" t="inlineStr">
        <is>
          <t>-</t>
        </is>
      </c>
      <c r="G1332" s="697" t="n">
        <v>2</v>
      </c>
      <c r="H1332" s="697" t="n">
        <v>9867</v>
      </c>
      <c r="I1332" s="697" t="n">
        <v>0</v>
      </c>
      <c r="J1332" s="585" t="n">
        <v>46</v>
      </c>
      <c r="K1332" s="585" t="n">
        <v>20</v>
      </c>
      <c r="L1332" s="585">
        <f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/>
      </c>
      <c r="M1332" s="699">
        <f>L1332</f>
        <v/>
      </c>
      <c r="N1332" s="686">
        <f>IF(B1332="TXO","",IF(D1332="新倉","",IF(E1332="賣",(H1332-H1331)*G1332,(H1331-H1332)*G1332)))</f>
        <v/>
      </c>
      <c r="O1332" s="226">
        <f>ABS(I1332)</f>
        <v/>
      </c>
      <c r="P1332" s="667" t="n"/>
      <c r="Q1332" s="310" t="inlineStr">
        <is>
          <t>追跌</t>
        </is>
      </c>
      <c r="S1332" s="249" t="n"/>
      <c r="T1332" s="61">
        <f>IF(AND(R1332="Yes",S1332&lt;&gt;"Yes",L1332&gt;0,B1332&lt;&gt;"TXO"),L1332,"")</f>
        <v/>
      </c>
      <c r="U1332" s="61">
        <f>IF(AND(R1332="Yes",S1332&lt;&gt;"Yes",L1332&lt;0,B1332&lt;&gt;"TXO"),L1332,"")</f>
        <v/>
      </c>
      <c r="V1332" s="61">
        <f>IF(AND(R1332="",S1332&lt;&gt;"Yes",L1332&gt;0,B1332&lt;&gt;"TXO"),L1332,"")</f>
        <v/>
      </c>
      <c r="W1332" s="61">
        <f>IF(AND(R1332="",S1332&lt;&gt;"Yes",L1332&lt;0,B1332&lt;&gt;"TXO"),L1332,"")</f>
        <v/>
      </c>
      <c r="X1332" s="226">
        <f>IF(AND(R1332="Yes",S1332="Yes",L1332&gt;0,B1332&lt;&gt;"TXO"),L1332,"")</f>
        <v/>
      </c>
      <c r="Y1332" s="226">
        <f>IF(AND(R1332="Yes",S1332="Yes",L1332&lt;0,B1332&lt;&gt;"TXO"),L1332,"")</f>
        <v/>
      </c>
      <c r="Z1332" s="226">
        <f>IF(AND(R1332="",S1332="Yes",L1332&gt;0,B1332&lt;&gt;"TXO"),L1332,"")</f>
        <v/>
      </c>
      <c r="AA1332" s="226">
        <f>IF(AND(R1332="",S1332="Yes",L1332&lt;0,B1332&lt;&gt;"TXO"),L1332,"")</f>
        <v/>
      </c>
    </row>
    <row r="1333" hidden="1" outlineLevel="2" ht="17.25" customHeight="1" thickBot="1">
      <c r="A1333" s="696" t="n">
        <v>43388</v>
      </c>
      <c r="B1333" s="234" t="inlineStr">
        <is>
          <t>FIMTX</t>
        </is>
      </c>
      <c r="C1333" s="229" t="inlineStr">
        <is>
          <t>小指10</t>
        </is>
      </c>
      <c r="D1333" s="229" t="inlineStr">
        <is>
          <t>平倉</t>
        </is>
      </c>
      <c r="E1333" s="257" t="inlineStr">
        <is>
          <t>買</t>
        </is>
      </c>
      <c r="F1333" s="229" t="inlineStr">
        <is>
          <t>-</t>
        </is>
      </c>
      <c r="G1333" s="697" t="n">
        <v>2</v>
      </c>
      <c r="H1333" s="697" t="n">
        <v>9863</v>
      </c>
      <c r="I1333" s="697" t="n">
        <v>0</v>
      </c>
      <c r="J1333" s="585" t="n">
        <v>46</v>
      </c>
      <c r="K1333" s="585" t="n">
        <v>20</v>
      </c>
      <c r="L1333" s="585">
        <f>IF(B1333="TXO",I1333-SUM(J1333:K1333),IF(B1333="FITX",IF(D1333="新倉",-SUM(J1333:K1333),IF(E1333="賣",(H1333-H1332)*G1333*200-SUM(J1333:K1333),(H1332-H1333)*G1333*200-SUM(J1333:K1333))),IF(D1333="新倉",-SUM(J1333:K1333),IF(E1333="賣",(H1333-H1332)*G1333*50-SUM(J1333:K1333),(H1332-H1333)*G1333*50-SUM(J1333:K1333)))))</f>
        <v/>
      </c>
      <c r="M1333" s="699">
        <f>L1333</f>
        <v/>
      </c>
      <c r="N1333" s="686">
        <f>IF(B1333="TXO","",IF(D1333="新倉","",IF(E1333="賣",(H1333-H1332)*G1333,(H1332-H1333)*G1333)))</f>
        <v/>
      </c>
      <c r="O1333" s="226">
        <f>ABS(I1333)</f>
        <v/>
      </c>
      <c r="P1333" s="667" t="n"/>
      <c r="Q1333" s="311" t="inlineStr">
        <is>
          <t>元大移動式停利</t>
        </is>
      </c>
      <c r="S1333" s="249" t="n"/>
      <c r="T1333" s="61">
        <f>IF(AND(R1333="Yes",S1333&lt;&gt;"Yes",L1333&gt;0,B1333&lt;&gt;"TXO"),L1333,"")</f>
        <v/>
      </c>
      <c r="U1333" s="61">
        <f>IF(AND(R1333="Yes",S1333&lt;&gt;"Yes",L1333&lt;0,B1333&lt;&gt;"TXO"),L1333,"")</f>
        <v/>
      </c>
      <c r="V1333" s="61">
        <f>IF(AND(R1333="",S1333&lt;&gt;"Yes",L1333&gt;0,B1333&lt;&gt;"TXO"),L1333,"")</f>
        <v/>
      </c>
      <c r="W1333" s="61">
        <f>IF(AND(R1333="",S1333&lt;&gt;"Yes",L1333&lt;0,B1333&lt;&gt;"TXO"),L1333,"")</f>
        <v/>
      </c>
      <c r="X1333" s="226">
        <f>IF(AND(R1333="Yes",S1333="Yes",L1333&gt;0,B1333&lt;&gt;"TXO"),L1333,"")</f>
        <v/>
      </c>
      <c r="Y1333" s="226">
        <f>IF(AND(R1333="Yes",S1333="Yes",L1333&lt;0,B1333&lt;&gt;"TXO"),L1333,"")</f>
        <v/>
      </c>
      <c r="Z1333" s="226">
        <f>IF(AND(R1333="",S1333="Yes",L1333&gt;0,B1333&lt;&gt;"TXO"),L1333,"")</f>
        <v/>
      </c>
      <c r="AA1333" s="226">
        <f>IF(AND(R1333="",S1333="Yes",L1333&lt;0,B1333&lt;&gt;"TXO"),L1333,"")</f>
        <v/>
      </c>
    </row>
    <row r="1334" hidden="1" outlineLevel="2" ht="17.25" customHeight="1" thickBot="1">
      <c r="A1334" s="696" t="n">
        <v>43388</v>
      </c>
      <c r="B1334" s="234" t="inlineStr">
        <is>
          <t>FIMTX</t>
        </is>
      </c>
      <c r="C1334" s="229" t="inlineStr">
        <is>
          <t>小指10</t>
        </is>
      </c>
      <c r="D1334" s="229" t="inlineStr">
        <is>
          <t>新倉</t>
        </is>
      </c>
      <c r="E1334" s="257" t="inlineStr">
        <is>
          <t>買</t>
        </is>
      </c>
      <c r="F1334" s="229" t="inlineStr">
        <is>
          <t>-</t>
        </is>
      </c>
      <c r="G1334" s="697" t="n">
        <v>3</v>
      </c>
      <c r="H1334" s="697" t="n">
        <v>9887</v>
      </c>
      <c r="I1334" s="697" t="n">
        <v>0</v>
      </c>
      <c r="J1334" s="585" t="n">
        <v>69</v>
      </c>
      <c r="K1334" s="585" t="n">
        <v>30</v>
      </c>
      <c r="L1334" s="585">
        <f>IF(B1334="TXO",I1334-SUM(J1334:K1334),IF(B1334="FITX",IF(D1334="新倉",-SUM(J1334:K1334),IF(E1334="賣",(H1334-H1333)*G1334*200-SUM(J1334:K1334),(H1333-H1334)*G1334*200-SUM(J1334:K1334))),IF(D1334="新倉",-SUM(J1334:K1334),IF(E1334="賣",(H1334-H1333)*G1334*50-SUM(J1334:K1334),(H1333-H1334)*G1334*50-SUM(J1334:K1334)))))</f>
        <v/>
      </c>
      <c r="M1334" s="699">
        <f>L1334</f>
        <v/>
      </c>
      <c r="N1334" s="686">
        <f>IF(B1334="TXO","",IF(D1334="新倉","",IF(E1334="賣",(H1334-H1333)*G1334,(H1333-H1334)*G1334)))</f>
        <v/>
      </c>
      <c r="O1334" s="226">
        <f>ABS(I1334)</f>
        <v/>
      </c>
      <c r="P1334" s="667" t="n"/>
      <c r="Q1334" s="249" t="inlineStr">
        <is>
          <t>技法: 3/3 買進三口</t>
        </is>
      </c>
      <c r="R1334" s="249" t="inlineStr">
        <is>
          <t>Yes</t>
        </is>
      </c>
      <c r="S1334" s="249" t="n"/>
      <c r="T1334" s="61">
        <f>IF(AND(R1334="Yes",S1334&lt;&gt;"Yes",L1334&gt;0,B1334&lt;&gt;"TXO"),L1334,"")</f>
        <v/>
      </c>
      <c r="U1334" s="61">
        <f>IF(AND(R1334="Yes",S1334&lt;&gt;"Yes",L1334&lt;0,B1334&lt;&gt;"TXO"),L1334,"")</f>
        <v/>
      </c>
      <c r="V1334" s="61">
        <f>IF(AND(R1334="",S1334&lt;&gt;"Yes",L1334&gt;0,B1334&lt;&gt;"TXO"),L1334,"")</f>
        <v/>
      </c>
      <c r="W1334" s="61">
        <f>IF(AND(R1334="",S1334&lt;&gt;"Yes",L1334&lt;0,B1334&lt;&gt;"TXO"),L1334,"")</f>
        <v/>
      </c>
      <c r="X1334" s="226">
        <f>IF(AND(R1334="Yes",S1334="Yes",L1334&gt;0,B1334&lt;&gt;"TXO"),L1334,"")</f>
        <v/>
      </c>
      <c r="Y1334" s="226">
        <f>IF(AND(R1334="Yes",S1334="Yes",L1334&lt;0,B1334&lt;&gt;"TXO"),L1334,"")</f>
        <v/>
      </c>
      <c r="Z1334" s="226">
        <f>IF(AND(R1334="",S1334="Yes",L1334&gt;0,B1334&lt;&gt;"TXO"),L1334,"")</f>
        <v/>
      </c>
      <c r="AA1334" s="226">
        <f>IF(AND(R1334="",S1334="Yes",L1334&lt;0,B1334&lt;&gt;"TXO"),L1334,"")</f>
        <v/>
      </c>
    </row>
    <row r="1335" hidden="1" outlineLevel="2" ht="17.25" customHeight="1" thickBot="1">
      <c r="A1335" s="696" t="n">
        <v>43388</v>
      </c>
      <c r="B1335" s="234" t="inlineStr">
        <is>
          <t>FIMTX</t>
        </is>
      </c>
      <c r="C1335" s="229" t="inlineStr">
        <is>
          <t>小指10</t>
        </is>
      </c>
      <c r="D1335" s="229" t="inlineStr">
        <is>
          <t>平倉</t>
        </is>
      </c>
      <c r="E1335" s="257" t="inlineStr">
        <is>
          <t>賣</t>
        </is>
      </c>
      <c r="F1335" s="229" t="inlineStr">
        <is>
          <t>-</t>
        </is>
      </c>
      <c r="G1335" s="697" t="n">
        <v>3</v>
      </c>
      <c r="H1335" s="697" t="n">
        <v>9875</v>
      </c>
      <c r="I1335" s="697" t="n">
        <v>0</v>
      </c>
      <c r="J1335" s="585" t="n">
        <v>69</v>
      </c>
      <c r="K1335" s="585" t="n">
        <v>30</v>
      </c>
      <c r="L1335" s="585">
        <f>IF(B1335="TXO",I1335-SUM(J1335:K1335),IF(B1335="FITX",IF(D1335="新倉",-SUM(J1335:K1335),IF(E1335="賣",(H1335-H1334)*G1335*200-SUM(J1335:K1335),(H1334-H1335)*G1335*200-SUM(J1335:K1335))),IF(D1335="新倉",-SUM(J1335:K1335),IF(E1335="賣",(H1335-H1334)*G1335*50-SUM(J1335:K1335),(H1334-H1335)*G1335*50-SUM(J1335:K1335)))))</f>
        <v/>
      </c>
      <c r="M1335" s="699">
        <f>L1335</f>
        <v/>
      </c>
      <c r="N1335" s="686">
        <f>IF(B1335="TXO","",IF(D1335="新倉","",IF(E1335="賣",(H1335-H1334)*G1335,(H1334-H1335)*G1335)))</f>
        <v/>
      </c>
      <c r="O1335" s="226">
        <f>ABS(I1335)</f>
        <v/>
      </c>
      <c r="P1335" s="667" t="n"/>
      <c r="Q1335" s="249" t="inlineStr">
        <is>
          <t>技法: 碰10MA停損</t>
        </is>
      </c>
      <c r="R1335" s="249" t="inlineStr">
        <is>
          <t>Yes</t>
        </is>
      </c>
      <c r="S1335" s="249" t="n"/>
      <c r="T1335" s="61">
        <f>IF(AND(R1335="Yes",S1335&lt;&gt;"Yes",L1335&gt;0,B1335&lt;&gt;"TXO"),L1335,"")</f>
        <v/>
      </c>
      <c r="U1335" s="61">
        <f>IF(AND(R1335="Yes",S1335&lt;&gt;"Yes",L1335&lt;0,B1335&lt;&gt;"TXO"),L1335,"")</f>
        <v/>
      </c>
      <c r="V1335" s="61">
        <f>IF(AND(R1335="",S1335&lt;&gt;"Yes",L1335&gt;0,B1335&lt;&gt;"TXO"),L1335,"")</f>
        <v/>
      </c>
      <c r="W1335" s="61">
        <f>IF(AND(R1335="",S1335&lt;&gt;"Yes",L1335&lt;0,B1335&lt;&gt;"TXO"),L1335,"")</f>
        <v/>
      </c>
      <c r="X1335" s="226">
        <f>IF(AND(R1335="Yes",S1335="Yes",L1335&gt;0,B1335&lt;&gt;"TXO"),L1335,"")</f>
        <v/>
      </c>
      <c r="Y1335" s="226">
        <f>IF(AND(R1335="Yes",S1335="Yes",L1335&lt;0,B1335&lt;&gt;"TXO"),L1335,"")</f>
        <v/>
      </c>
      <c r="Z1335" s="226">
        <f>IF(AND(R1335="",S1335="Yes",L1335&gt;0,B1335&lt;&gt;"TXO"),L1335,"")</f>
        <v/>
      </c>
      <c r="AA1335" s="226">
        <f>IF(AND(R1335="",S1335="Yes",L1335&lt;0,B1335&lt;&gt;"TXO"),L1335,"")</f>
        <v/>
      </c>
    </row>
    <row r="1336" hidden="1" outlineLevel="2" ht="17.25" customHeight="1" thickBot="1">
      <c r="A1336" s="696" t="n">
        <v>43388</v>
      </c>
      <c r="B1336" s="234" t="inlineStr">
        <is>
          <t>FIMTX</t>
        </is>
      </c>
      <c r="C1336" s="229" t="inlineStr">
        <is>
          <t>小指10</t>
        </is>
      </c>
      <c r="D1336" s="229" t="inlineStr">
        <is>
          <t>新倉</t>
        </is>
      </c>
      <c r="E1336" s="257" t="inlineStr">
        <is>
          <t>賣</t>
        </is>
      </c>
      <c r="F1336" s="229" t="inlineStr">
        <is>
          <t>-</t>
        </is>
      </c>
      <c r="G1336" s="697" t="n">
        <v>3</v>
      </c>
      <c r="H1336" s="697" t="n">
        <v>9875</v>
      </c>
      <c r="I1336" s="697" t="n">
        <v>0</v>
      </c>
      <c r="J1336" s="585" t="n">
        <v>69</v>
      </c>
      <c r="K1336" s="585" t="n">
        <v>30</v>
      </c>
      <c r="L1336" s="585">
        <f>IF(B1336="TXO",I1336-SUM(J1336:K1336),IF(B1336="FITX",IF(D1336="新倉",-SUM(J1336:K1336),IF(E1336="賣",(H1336-H1335)*G1336*200-SUM(J1336:K1336),(H1335-H1336)*G1336*200-SUM(J1336:K1336))),IF(D1336="新倉",-SUM(J1336:K1336),IF(E1336="賣",(H1336-H1335)*G1336*50-SUM(J1336:K1336),(H1335-H1336)*G1336*50-SUM(J1336:K1336)))))</f>
        <v/>
      </c>
      <c r="M1336" s="699">
        <f>L1336</f>
        <v/>
      </c>
      <c r="N1336" s="686">
        <f>IF(B1336="TXO","",IF(D1336="新倉","",IF(E1336="賣",(H1336-H1335)*G1336,(H1335-H1336)*G1336)))</f>
        <v/>
      </c>
      <c r="O1336" s="226">
        <f>ABS(I1336)</f>
        <v/>
      </c>
      <c r="P1336" s="667" t="n"/>
      <c r="Q1336" s="249" t="inlineStr">
        <is>
          <t>技法: 3/3 買進三口</t>
        </is>
      </c>
      <c r="R1336" s="249" t="inlineStr">
        <is>
          <t>Yes</t>
        </is>
      </c>
      <c r="S1336" s="249" t="n"/>
      <c r="T1336" s="61">
        <f>IF(AND(R1336="Yes",S1336&lt;&gt;"Yes",L1336&gt;0,B1336&lt;&gt;"TXO"),L1336,"")</f>
        <v/>
      </c>
      <c r="U1336" s="61">
        <f>IF(AND(R1336="Yes",S1336&lt;&gt;"Yes",L1336&lt;0,B1336&lt;&gt;"TXO"),L1336,"")</f>
        <v/>
      </c>
      <c r="V1336" s="61">
        <f>IF(AND(R1336="",S1336&lt;&gt;"Yes",L1336&gt;0,B1336&lt;&gt;"TXO"),L1336,"")</f>
        <v/>
      </c>
      <c r="W1336" s="61">
        <f>IF(AND(R1336="",S1336&lt;&gt;"Yes",L1336&lt;0,B1336&lt;&gt;"TXO"),L1336,"")</f>
        <v/>
      </c>
      <c r="X1336" s="226">
        <f>IF(AND(R1336="Yes",S1336="Yes",L1336&gt;0,B1336&lt;&gt;"TXO"),L1336,"")</f>
        <v/>
      </c>
      <c r="Y1336" s="226">
        <f>IF(AND(R1336="Yes",S1336="Yes",L1336&lt;0,B1336&lt;&gt;"TXO"),L1336,"")</f>
        <v/>
      </c>
      <c r="Z1336" s="226">
        <f>IF(AND(R1336="",S1336="Yes",L1336&gt;0,B1336&lt;&gt;"TXO"),L1336,"")</f>
        <v/>
      </c>
      <c r="AA1336" s="226">
        <f>IF(AND(R1336="",S1336="Yes",L1336&lt;0,B1336&lt;&gt;"TXO"),L1336,"")</f>
        <v/>
      </c>
    </row>
    <row r="1337" hidden="1" outlineLevel="2" ht="17.25" customHeight="1" thickBot="1">
      <c r="A1337" s="696" t="n">
        <v>43388</v>
      </c>
      <c r="B1337" s="234" t="inlineStr">
        <is>
          <t>FIMTX</t>
        </is>
      </c>
      <c r="C1337" s="229" t="inlineStr">
        <is>
          <t>小指10</t>
        </is>
      </c>
      <c r="D1337" s="229" t="inlineStr">
        <is>
          <t>平倉</t>
        </is>
      </c>
      <c r="E1337" s="257" t="inlineStr">
        <is>
          <t>買</t>
        </is>
      </c>
      <c r="F1337" s="229" t="inlineStr">
        <is>
          <t>-</t>
        </is>
      </c>
      <c r="G1337" s="697" t="n">
        <v>3</v>
      </c>
      <c r="H1337" s="697" t="n">
        <v>9879</v>
      </c>
      <c r="I1337" s="697" t="n">
        <v>0</v>
      </c>
      <c r="J1337" s="585" t="n">
        <v>69</v>
      </c>
      <c r="K1337" s="585" t="n">
        <v>30</v>
      </c>
      <c r="L1337" s="585">
        <f>IF(B1337="TXO",I1337-SUM(J1337:K1337),IF(B1337="FITX",IF(D1337="新倉",-SUM(J1337:K1337),IF(E1337="賣",(H1337-H1336)*G1337*200-SUM(J1337:K1337),(H1336-H1337)*G1337*200-SUM(J1337:K1337))),IF(D1337="新倉",-SUM(J1337:K1337),IF(E1337="賣",(H1337-H1336)*G1337*50-SUM(J1337:K1337),(H1336-H1337)*G1337*50-SUM(J1337:K1337)))))</f>
        <v/>
      </c>
      <c r="M1337" s="699">
        <f>L1337</f>
        <v/>
      </c>
      <c r="N1337" s="686">
        <f>IF(B1337="TXO","",IF(D1337="新倉","",IF(E1337="賣",(H1337-H1336)*G1337,(H1336-H1337)*G1337)))</f>
        <v/>
      </c>
      <c r="O1337" s="226">
        <f>ABS(I1337)</f>
        <v/>
      </c>
      <c r="P1337" s="667" t="n"/>
      <c r="Q1337" s="249" t="inlineStr">
        <is>
          <t>技法: 碰10MA停損</t>
        </is>
      </c>
      <c r="R1337" s="249" t="inlineStr">
        <is>
          <t>Yes</t>
        </is>
      </c>
      <c r="S1337" s="249" t="n"/>
      <c r="T1337" s="61">
        <f>IF(AND(R1337="Yes",S1337&lt;&gt;"Yes",L1337&gt;0,B1337&lt;&gt;"TXO"),L1337,"")</f>
        <v/>
      </c>
      <c r="U1337" s="61">
        <f>IF(AND(R1337="Yes",S1337&lt;&gt;"Yes",L1337&lt;0,B1337&lt;&gt;"TXO"),L1337,"")</f>
        <v/>
      </c>
      <c r="V1337" s="61">
        <f>IF(AND(R1337="",S1337&lt;&gt;"Yes",L1337&gt;0,B1337&lt;&gt;"TXO"),L1337,"")</f>
        <v/>
      </c>
      <c r="W1337" s="61">
        <f>IF(AND(R1337="",S1337&lt;&gt;"Yes",L1337&lt;0,B1337&lt;&gt;"TXO"),L1337,"")</f>
        <v/>
      </c>
      <c r="X1337" s="226">
        <f>IF(AND(R1337="Yes",S1337="Yes",L1337&gt;0,B1337&lt;&gt;"TXO"),L1337,"")</f>
        <v/>
      </c>
      <c r="Y1337" s="226">
        <f>IF(AND(R1337="Yes",S1337="Yes",L1337&lt;0,B1337&lt;&gt;"TXO"),L1337,"")</f>
        <v/>
      </c>
      <c r="Z1337" s="226">
        <f>IF(AND(R1337="",S1337="Yes",L1337&gt;0,B1337&lt;&gt;"TXO"),L1337,"")</f>
        <v/>
      </c>
      <c r="AA1337" s="226">
        <f>IF(AND(R1337="",S1337="Yes",L1337&lt;0,B1337&lt;&gt;"TXO"),L1337,"")</f>
        <v/>
      </c>
    </row>
    <row r="1338" hidden="1" outlineLevel="2" ht="50.25" customHeight="1" thickBot="1">
      <c r="A1338" s="696" t="n">
        <v>43388</v>
      </c>
      <c r="B1338" s="234" t="inlineStr">
        <is>
          <t>FIMTX</t>
        </is>
      </c>
      <c r="C1338" s="229" t="inlineStr">
        <is>
          <t>小指10</t>
        </is>
      </c>
      <c r="D1338" s="229" t="inlineStr">
        <is>
          <t>新倉</t>
        </is>
      </c>
      <c r="E1338" s="257" t="inlineStr">
        <is>
          <t>買</t>
        </is>
      </c>
      <c r="F1338" s="229" t="inlineStr">
        <is>
          <t>-</t>
        </is>
      </c>
      <c r="G1338" s="697" t="n">
        <v>3</v>
      </c>
      <c r="H1338" s="697" t="n">
        <v>9883</v>
      </c>
      <c r="I1338" s="697" t="n">
        <v>0</v>
      </c>
      <c r="J1338" s="585" t="n">
        <v>69</v>
      </c>
      <c r="K1338" s="585" t="n">
        <v>30</v>
      </c>
      <c r="L1338" s="585">
        <f>IF(B1338="TXO",I1338-SUM(J1338:K1338),IF(B1338="FITX",IF(D1338="新倉",-SUM(J1338:K1338),IF(E1338="賣",(H1338-H1337)*G1338*200-SUM(J1338:K1338),(H1337-H1338)*G1338*200-SUM(J1338:K1338))),IF(D1338="新倉",-SUM(J1338:K1338),IF(E1338="賣",(H1338-H1337)*G1338*50-SUM(J1338:K1338),(H1337-H1338)*G1338*50-SUM(J1338:K1338)))))</f>
        <v/>
      </c>
      <c r="M1338" s="699">
        <f>L1338</f>
        <v/>
      </c>
      <c r="N1338" s="686">
        <f>IF(B1338="TXO","",IF(D1338="新倉","",IF(E1338="賣",(H1338-H1337)*G1338,(H1337-H1338)*G1338)))</f>
        <v/>
      </c>
      <c r="O1338" s="226">
        <f>ABS(I1338)</f>
        <v/>
      </c>
      <c r="P1338" s="667" t="n"/>
      <c r="Q1338" s="249" t="inlineStr">
        <is>
          <t>技法: 3/3 買進三口 
前單虧損，訊號出現時未超過10點不應下單</t>
        </is>
      </c>
      <c r="S1338" s="249" t="n"/>
      <c r="T1338" s="61">
        <f>IF(AND(R1338="Yes",S1338&lt;&gt;"Yes",L1338&gt;0,B1338&lt;&gt;"TXO"),L1338,"")</f>
        <v/>
      </c>
      <c r="U1338" s="61">
        <f>IF(AND(R1338="Yes",S1338&lt;&gt;"Yes",L1338&lt;0,B1338&lt;&gt;"TXO"),L1338,"")</f>
        <v/>
      </c>
      <c r="V1338" s="61">
        <f>IF(AND(R1338="",S1338&lt;&gt;"Yes",L1338&gt;0,B1338&lt;&gt;"TXO"),L1338,"")</f>
        <v/>
      </c>
      <c r="W1338" s="61">
        <f>IF(AND(R1338="",S1338&lt;&gt;"Yes",L1338&lt;0,B1338&lt;&gt;"TXO"),L1338,"")</f>
        <v/>
      </c>
      <c r="X1338" s="226">
        <f>IF(AND(R1338="Yes",S1338="Yes",L1338&gt;0,B1338&lt;&gt;"TXO"),L1338,"")</f>
        <v/>
      </c>
      <c r="Y1338" s="226">
        <f>IF(AND(R1338="Yes",S1338="Yes",L1338&lt;0,B1338&lt;&gt;"TXO"),L1338,"")</f>
        <v/>
      </c>
      <c r="Z1338" s="226">
        <f>IF(AND(R1338="",S1338="Yes",L1338&gt;0,B1338&lt;&gt;"TXO"),L1338,"")</f>
        <v/>
      </c>
      <c r="AA1338" s="226">
        <f>IF(AND(R1338="",S1338="Yes",L1338&lt;0,B1338&lt;&gt;"TXO"),L1338,"")</f>
        <v/>
      </c>
    </row>
    <row r="1339" hidden="1" outlineLevel="2" ht="17.25" customHeight="1" thickBot="1">
      <c r="A1339" s="696" t="n">
        <v>43388</v>
      </c>
      <c r="B1339" s="234" t="inlineStr">
        <is>
          <t>FIMTX</t>
        </is>
      </c>
      <c r="C1339" s="229" t="inlineStr">
        <is>
          <t>小指10</t>
        </is>
      </c>
      <c r="D1339" s="229" t="inlineStr">
        <is>
          <t>平倉</t>
        </is>
      </c>
      <c r="E1339" s="257" t="inlineStr">
        <is>
          <t>賣</t>
        </is>
      </c>
      <c r="F1339" s="229" t="inlineStr">
        <is>
          <t>-</t>
        </is>
      </c>
      <c r="G1339" s="697" t="n">
        <v>3</v>
      </c>
      <c r="H1339" s="697" t="n">
        <v>9880</v>
      </c>
      <c r="I1339" s="697" t="n">
        <v>0</v>
      </c>
      <c r="J1339" s="585" t="n">
        <v>69</v>
      </c>
      <c r="K1339" s="585" t="n">
        <v>30</v>
      </c>
      <c r="L1339" s="585">
        <f>IF(B1339="TXO",I1339-SUM(J1339:K1339),IF(B1339="FITX",IF(D1339="新倉",-SUM(J1339:K1339),IF(E1339="賣",(H1339-H1338)*G1339*200-SUM(J1339:K1339),(H1338-H1339)*G1339*200-SUM(J1339:K1339))),IF(D1339="新倉",-SUM(J1339:K1339),IF(E1339="賣",(H1339-H1338)*G1339*50-SUM(J1339:K1339),(H1338-H1339)*G1339*50-SUM(J1339:K1339)))))</f>
        <v/>
      </c>
      <c r="M1339" s="699">
        <f>L1339</f>
        <v/>
      </c>
      <c r="N1339" s="686">
        <f>IF(B1339="TXO","",IF(D1339="新倉","",IF(E1339="賣",(H1339-H1338)*G1339,(H1338-H1339)*G1339)))</f>
        <v/>
      </c>
      <c r="O1339" s="226">
        <f>ABS(I1339)</f>
        <v/>
      </c>
      <c r="P1339" s="667" t="n"/>
      <c r="Q1339" s="310" t="inlineStr">
        <is>
          <t>技法: 碰10MA停損</t>
        </is>
      </c>
      <c r="S1339" s="249" t="n"/>
      <c r="T1339" s="61">
        <f>IF(AND(R1339="Yes",S1339&lt;&gt;"Yes",L1339&gt;0,B1339&lt;&gt;"TXO"),L1339,"")</f>
        <v/>
      </c>
      <c r="U1339" s="61">
        <f>IF(AND(R1339="Yes",S1339&lt;&gt;"Yes",L1339&lt;0,B1339&lt;&gt;"TXO"),L1339,"")</f>
        <v/>
      </c>
      <c r="V1339" s="61">
        <f>IF(AND(R1339="",S1339&lt;&gt;"Yes",L1339&gt;0,B1339&lt;&gt;"TXO"),L1339,"")</f>
        <v/>
      </c>
      <c r="W1339" s="61">
        <f>IF(AND(R1339="",S1339&lt;&gt;"Yes",L1339&lt;0,B1339&lt;&gt;"TXO"),L1339,"")</f>
        <v/>
      </c>
      <c r="X1339" s="226">
        <f>IF(AND(R1339="Yes",S1339="Yes",L1339&gt;0,B1339&lt;&gt;"TXO"),L1339,"")</f>
        <v/>
      </c>
      <c r="Y1339" s="226">
        <f>IF(AND(R1339="Yes",S1339="Yes",L1339&lt;0,B1339&lt;&gt;"TXO"),L1339,"")</f>
        <v/>
      </c>
      <c r="Z1339" s="226">
        <f>IF(AND(R1339="",S1339="Yes",L1339&gt;0,B1339&lt;&gt;"TXO"),L1339,"")</f>
        <v/>
      </c>
      <c r="AA1339" s="226">
        <f>IF(AND(R1339="",S1339="Yes",L1339&lt;0,B1339&lt;&gt;"TXO"),L1339,"")</f>
        <v/>
      </c>
    </row>
    <row r="1340" hidden="1" outlineLevel="2" ht="33.75" customHeight="1" thickBot="1">
      <c r="A1340" s="696" t="n">
        <v>43388</v>
      </c>
      <c r="B1340" s="234" t="inlineStr">
        <is>
          <t>FIMTX</t>
        </is>
      </c>
      <c r="C1340" s="229" t="inlineStr">
        <is>
          <t>小指10</t>
        </is>
      </c>
      <c r="D1340" s="229" t="inlineStr">
        <is>
          <t>新倉</t>
        </is>
      </c>
      <c r="E1340" s="257" t="inlineStr">
        <is>
          <t>買</t>
        </is>
      </c>
      <c r="F1340" s="229" t="inlineStr">
        <is>
          <t>-</t>
        </is>
      </c>
      <c r="G1340" s="697" t="n">
        <v>3</v>
      </c>
      <c r="H1340" s="697" t="n">
        <v>9865</v>
      </c>
      <c r="I1340" s="697" t="n">
        <v>0</v>
      </c>
      <c r="J1340" s="585" t="n">
        <v>69</v>
      </c>
      <c r="K1340" s="585" t="n">
        <v>30</v>
      </c>
      <c r="L1340" s="585">
        <f>IF(B1340="TXO",I1340-SUM(J1340:K1340),IF(B1340="FITX",IF(D1340="新倉",-SUM(J1340:K1340),IF(E1340="賣",(H1340-H1339)*G1340*200-SUM(J1340:K1340),(H1339-H1340)*G1340*200-SUM(J1340:K1340))),IF(D1340="新倉",-SUM(J1340:K1340),IF(E1340="賣",(H1340-H1339)*G1340*50-SUM(J1340:K1340),(H1339-H1340)*G1340*50-SUM(J1340:K1340)))))</f>
        <v/>
      </c>
      <c r="M1340" s="699">
        <f>L1340</f>
        <v/>
      </c>
      <c r="N1340" s="686">
        <f>IF(B1340="TXO","",IF(D1340="新倉","",IF(E1340="賣",(H1340-H1339)*G1340,(H1339-H1340)*G1340)))</f>
        <v/>
      </c>
      <c r="O1340" s="226">
        <f>ABS(I1340)</f>
        <v/>
      </c>
      <c r="P1340" s="667" t="n"/>
      <c r="Q1340" s="249" t="inlineStr">
        <is>
          <t>技法: 3/3 買進三口
買進後訊號消失</t>
        </is>
      </c>
      <c r="S1340" s="249" t="inlineStr">
        <is>
          <t>Yes</t>
        </is>
      </c>
      <c r="T1340" s="61">
        <f>IF(AND(R1340="Yes",S1340&lt;&gt;"Yes",L1340&gt;0,B1340&lt;&gt;"TXO"),L1340,"")</f>
        <v/>
      </c>
      <c r="U1340" s="61">
        <f>IF(AND(R1340="Yes",S1340&lt;&gt;"Yes",L1340&lt;0,B1340&lt;&gt;"TXO"),L1340,"")</f>
        <v/>
      </c>
      <c r="V1340" s="61">
        <f>IF(AND(R1340="",S1340&lt;&gt;"Yes",L1340&gt;0,B1340&lt;&gt;"TXO"),L1340,"")</f>
        <v/>
      </c>
      <c r="W1340" s="61">
        <f>IF(AND(R1340="",S1340&lt;&gt;"Yes",L1340&lt;0,B1340&lt;&gt;"TXO"),L1340,"")</f>
        <v/>
      </c>
      <c r="X1340" s="226">
        <f>IF(AND(R1340="Yes",S1340="Yes",L1340&gt;0,B1340&lt;&gt;"TXO"),L1340,"")</f>
        <v/>
      </c>
      <c r="Y1340" s="226">
        <f>IF(AND(R1340="Yes",S1340="Yes",L1340&lt;0,B1340&lt;&gt;"TXO"),L1340,"")</f>
        <v/>
      </c>
      <c r="Z1340" s="226">
        <f>IF(AND(R1340="",S1340="Yes",L1340&gt;0,B1340&lt;&gt;"TXO"),L1340,"")</f>
        <v/>
      </c>
      <c r="AA1340" s="226">
        <f>IF(AND(R1340="",S1340="Yes",L1340&lt;0,B1340&lt;&gt;"TXO"),L1340,"")</f>
        <v/>
      </c>
    </row>
    <row r="1341" hidden="1" outlineLevel="2" ht="33.75" customHeight="1" thickBot="1">
      <c r="A1341" s="696" t="n">
        <v>43388</v>
      </c>
      <c r="B1341" s="234" t="inlineStr">
        <is>
          <t>FIMTX</t>
        </is>
      </c>
      <c r="C1341" s="229" t="inlineStr">
        <is>
          <t>小指10</t>
        </is>
      </c>
      <c r="D1341" s="229" t="inlineStr">
        <is>
          <t>平倉</t>
        </is>
      </c>
      <c r="E1341" s="257" t="inlineStr">
        <is>
          <t>賣</t>
        </is>
      </c>
      <c r="F1341" s="229" t="inlineStr">
        <is>
          <t>-</t>
        </is>
      </c>
      <c r="G1341" s="697" t="n">
        <v>3</v>
      </c>
      <c r="H1341" s="697" t="n">
        <v>9869</v>
      </c>
      <c r="I1341" s="697" t="n">
        <v>0</v>
      </c>
      <c r="J1341" s="585" t="n">
        <v>69</v>
      </c>
      <c r="K1341" s="585" t="n">
        <v>30</v>
      </c>
      <c r="L1341" s="585">
        <f>IF(B1341="TXO",I1341-SUM(J1341:K1341),IF(B1341="FITX",IF(D1341="新倉",-SUM(J1341:K1341),IF(E1341="賣",(H1341-H1340)*G1341*200-SUM(J1341:K1341),(H1340-H1341)*G1341*200-SUM(J1341:K1341))),IF(D1341="新倉",-SUM(J1341:K1341),IF(E1341="賣",(H1341-H1340)*G1341*50-SUM(J1341:K1341),(H1340-H1341)*G1341*50-SUM(J1341:K1341)))))</f>
        <v/>
      </c>
      <c r="M1341" s="699">
        <f>L1341</f>
        <v/>
      </c>
      <c r="N1341" s="686">
        <f>IF(B1341="TXO","",IF(D1341="新倉","",IF(E1341="賣",(H1341-H1340)*G1341,(H1340-H1341)*G1341)))</f>
        <v/>
      </c>
      <c r="O1341" s="226">
        <f>ABS(I1341)</f>
        <v/>
      </c>
      <c r="P1341" s="667" t="n"/>
      <c r="Q1341" s="249" t="inlineStr">
        <is>
          <t>技法: 移動式停利
5點出場</t>
        </is>
      </c>
      <c r="S1341" s="249" t="inlineStr">
        <is>
          <t>Yes</t>
        </is>
      </c>
      <c r="T1341" s="61">
        <f>IF(AND(R1341="Yes",S1341&lt;&gt;"Yes",L1341&gt;0,B1341&lt;&gt;"TXO"),L1341,"")</f>
        <v/>
      </c>
      <c r="U1341" s="61">
        <f>IF(AND(R1341="Yes",S1341&lt;&gt;"Yes",L1341&lt;0,B1341&lt;&gt;"TXO"),L1341,"")</f>
        <v/>
      </c>
      <c r="V1341" s="61">
        <f>IF(AND(R1341="",S1341&lt;&gt;"Yes",L1341&gt;0,B1341&lt;&gt;"TXO"),L1341,"")</f>
        <v/>
      </c>
      <c r="W1341" s="61">
        <f>IF(AND(R1341="",S1341&lt;&gt;"Yes",L1341&lt;0,B1341&lt;&gt;"TXO"),L1341,"")</f>
        <v/>
      </c>
      <c r="X1341" s="226">
        <f>IF(AND(R1341="Yes",S1341="Yes",L1341&gt;0,B1341&lt;&gt;"TXO"),L1341,"")</f>
        <v/>
      </c>
      <c r="Y1341" s="226">
        <f>IF(AND(R1341="Yes",S1341="Yes",L1341&lt;0,B1341&lt;&gt;"TXO"),L1341,"")</f>
        <v/>
      </c>
      <c r="Z1341" s="226">
        <f>IF(AND(R1341="",S1341="Yes",L1341&gt;0,B1341&lt;&gt;"TXO"),L1341,"")</f>
        <v/>
      </c>
      <c r="AA1341" s="226">
        <f>IF(AND(R1341="",S1341="Yes",L1341&lt;0,B1341&lt;&gt;"TXO"),L1341,"")</f>
        <v/>
      </c>
    </row>
    <row r="1342" hidden="1" outlineLevel="2" ht="33.75" customHeight="1" thickBot="1">
      <c r="A1342" s="696" t="n">
        <v>43388</v>
      </c>
      <c r="B1342" s="234" t="inlineStr">
        <is>
          <t>FIMTX</t>
        </is>
      </c>
      <c r="C1342" s="229" t="inlineStr">
        <is>
          <t>小指10</t>
        </is>
      </c>
      <c r="D1342" s="229" t="inlineStr">
        <is>
          <t>新倉</t>
        </is>
      </c>
      <c r="E1342" s="257" t="inlineStr">
        <is>
          <t>買</t>
        </is>
      </c>
      <c r="F1342" s="229" t="inlineStr">
        <is>
          <t>-</t>
        </is>
      </c>
      <c r="G1342" s="697" t="n">
        <v>3</v>
      </c>
      <c r="H1342" s="697" t="n">
        <v>9865</v>
      </c>
      <c r="I1342" s="697" t="n">
        <v>0</v>
      </c>
      <c r="J1342" s="585" t="n">
        <v>69</v>
      </c>
      <c r="K1342" s="585" t="n">
        <v>30</v>
      </c>
      <c r="L1342" s="585">
        <f>IF(B1342="TXO",I1342-SUM(J1342:K1342),IF(B1342="FITX",IF(D1342="新倉",-SUM(J1342:K1342),IF(E1342="賣",(H1342-H1341)*G1342*200-SUM(J1342:K1342),(H1341-H1342)*G1342*200-SUM(J1342:K1342))),IF(D1342="新倉",-SUM(J1342:K1342),IF(E1342="賣",(H1342-H1341)*G1342*50-SUM(J1342:K1342),(H1341-H1342)*G1342*50-SUM(J1342:K1342)))))</f>
        <v/>
      </c>
      <c r="M1342" s="699">
        <f>L1342</f>
        <v/>
      </c>
      <c r="N1342" s="686">
        <f>IF(B1342="TXO","",IF(D1342="新倉","",IF(E1342="賣",(H1342-H1341)*G1342,(H1341-H1342)*G1342)))</f>
        <v/>
      </c>
      <c r="O1342" s="226">
        <f>ABS(I1342)</f>
        <v/>
      </c>
      <c r="P1342" s="667" t="n"/>
      <c r="Q1342" s="249" t="inlineStr">
        <is>
          <t>技法: 3/3 買進三口
買進後訊號消失</t>
        </is>
      </c>
      <c r="S1342" s="249" t="inlineStr">
        <is>
          <t>Yes</t>
        </is>
      </c>
      <c r="T1342" s="61">
        <f>IF(AND(R1342="Yes",S1342&lt;&gt;"Yes",L1342&gt;0,B1342&lt;&gt;"TXO"),L1342,"")</f>
        <v/>
      </c>
      <c r="U1342" s="61">
        <f>IF(AND(R1342="Yes",S1342&lt;&gt;"Yes",L1342&lt;0,B1342&lt;&gt;"TXO"),L1342,"")</f>
        <v/>
      </c>
      <c r="V1342" s="61">
        <f>IF(AND(R1342="",S1342&lt;&gt;"Yes",L1342&gt;0,B1342&lt;&gt;"TXO"),L1342,"")</f>
        <v/>
      </c>
      <c r="W1342" s="61">
        <f>IF(AND(R1342="",S1342&lt;&gt;"Yes",L1342&lt;0,B1342&lt;&gt;"TXO"),L1342,"")</f>
        <v/>
      </c>
      <c r="X1342" s="226">
        <f>IF(AND(R1342="Yes",S1342="Yes",L1342&gt;0,B1342&lt;&gt;"TXO"),L1342,"")</f>
        <v/>
      </c>
      <c r="Y1342" s="226">
        <f>IF(AND(R1342="Yes",S1342="Yes",L1342&lt;0,B1342&lt;&gt;"TXO"),L1342,"")</f>
        <v/>
      </c>
      <c r="Z1342" s="226">
        <f>IF(AND(R1342="",S1342="Yes",L1342&gt;0,B1342&lt;&gt;"TXO"),L1342,"")</f>
        <v/>
      </c>
      <c r="AA1342" s="226">
        <f>IF(AND(R1342="",S1342="Yes",L1342&lt;0,B1342&lt;&gt;"TXO"),L1342,"")</f>
        <v/>
      </c>
    </row>
    <row r="1343" hidden="1" outlineLevel="2" ht="17.25" customHeight="1" thickBot="1">
      <c r="A1343" s="696" t="n">
        <v>43388</v>
      </c>
      <c r="B1343" s="234" t="inlineStr">
        <is>
          <t>FIMTX</t>
        </is>
      </c>
      <c r="C1343" s="229" t="inlineStr">
        <is>
          <t>小指10</t>
        </is>
      </c>
      <c r="D1343" s="229" t="inlineStr">
        <is>
          <t>平倉</t>
        </is>
      </c>
      <c r="E1343" s="257" t="inlineStr">
        <is>
          <t>賣</t>
        </is>
      </c>
      <c r="F1343" s="229" t="inlineStr">
        <is>
          <t>-</t>
        </is>
      </c>
      <c r="G1343" s="697" t="n">
        <v>3</v>
      </c>
      <c r="H1343" s="697" t="n">
        <v>9869</v>
      </c>
      <c r="I1343" s="697" t="n">
        <v>0</v>
      </c>
      <c r="J1343" s="585" t="n">
        <v>69</v>
      </c>
      <c r="K1343" s="585" t="n">
        <v>30</v>
      </c>
      <c r="L1343" s="585">
        <f>IF(B1343="TXO",I1343-SUM(J1343:K1343),IF(B1343="FITX",IF(D1343="新倉",-SUM(J1343:K1343),IF(E1343="賣",(H1343-H1342)*G1343*200-SUM(J1343:K1343),(H1342-H1343)*G1343*200-SUM(J1343:K1343))),IF(D1343="新倉",-SUM(J1343:K1343),IF(E1343="賣",(H1343-H1342)*G1343*50-SUM(J1343:K1343),(H1342-H1343)*G1343*50-SUM(J1343:K1343)))))</f>
        <v/>
      </c>
      <c r="M1343" s="699">
        <f>L1343</f>
        <v/>
      </c>
      <c r="N1343" s="686">
        <f>IF(B1343="TXO","",IF(D1343="新倉","",IF(E1343="賣",(H1343-H1342)*G1343,(H1342-H1343)*G1343)))</f>
        <v/>
      </c>
      <c r="O1343" s="226">
        <f>ABS(I1343)</f>
        <v/>
      </c>
      <c r="P1343" s="667" t="n"/>
      <c r="Q1343" s="310" t="n"/>
      <c r="S1343" s="249" t="inlineStr">
        <is>
          <t>Yes</t>
        </is>
      </c>
      <c r="T1343" s="61">
        <f>IF(AND(R1343="Yes",S1343&lt;&gt;"Yes",L1343&gt;0,B1343&lt;&gt;"TXO"),L1343,"")</f>
        <v/>
      </c>
      <c r="U1343" s="61">
        <f>IF(AND(R1343="Yes",S1343&lt;&gt;"Yes",L1343&lt;0,B1343&lt;&gt;"TXO"),L1343,"")</f>
        <v/>
      </c>
      <c r="V1343" s="61">
        <f>IF(AND(R1343="",S1343&lt;&gt;"Yes",L1343&gt;0,B1343&lt;&gt;"TXO"),L1343,"")</f>
        <v/>
      </c>
      <c r="W1343" s="61">
        <f>IF(AND(R1343="",S1343&lt;&gt;"Yes",L1343&lt;0,B1343&lt;&gt;"TXO"),L1343,"")</f>
        <v/>
      </c>
      <c r="X1343" s="226">
        <f>IF(AND(R1343="Yes",S1343="Yes",L1343&gt;0,B1343&lt;&gt;"TXO"),L1343,"")</f>
        <v/>
      </c>
      <c r="Y1343" s="226">
        <f>IF(AND(R1343="Yes",S1343="Yes",L1343&lt;0,B1343&lt;&gt;"TXO"),L1343,"")</f>
        <v/>
      </c>
      <c r="Z1343" s="226">
        <f>IF(AND(R1343="",S1343="Yes",L1343&gt;0,B1343&lt;&gt;"TXO"),L1343,"")</f>
        <v/>
      </c>
      <c r="AA1343" s="226">
        <f>IF(AND(R1343="",S1343="Yes",L1343&lt;0,B1343&lt;&gt;"TXO"),L1343,"")</f>
        <v/>
      </c>
    </row>
    <row r="1344" hidden="1" outlineLevel="2" ht="33.75" customHeight="1" thickBot="1">
      <c r="A1344" s="696" t="n">
        <v>43388</v>
      </c>
      <c r="B1344" s="234" t="inlineStr">
        <is>
          <t>FIMTX</t>
        </is>
      </c>
      <c r="C1344" s="229" t="inlineStr">
        <is>
          <t>小指10</t>
        </is>
      </c>
      <c r="D1344" s="229" t="inlineStr">
        <is>
          <t>新倉</t>
        </is>
      </c>
      <c r="E1344" s="257" t="inlineStr">
        <is>
          <t>買</t>
        </is>
      </c>
      <c r="F1344" s="229" t="inlineStr">
        <is>
          <t>-</t>
        </is>
      </c>
      <c r="G1344" s="697" t="n">
        <v>3</v>
      </c>
      <c r="H1344" s="697" t="n">
        <v>9873</v>
      </c>
      <c r="I1344" s="697" t="n">
        <v>0</v>
      </c>
      <c r="J1344" s="585" t="n">
        <v>69</v>
      </c>
      <c r="K1344" s="585" t="n">
        <v>30</v>
      </c>
      <c r="L1344" s="585">
        <f>IF(B1344="TXO",I1344-SUM(J1344:K1344),IF(B1344="FITX",IF(D1344="新倉",-SUM(J1344:K1344),IF(E1344="賣",(H1344-H1343)*G1344*200-SUM(J1344:K1344),(H1343-H1344)*G1344*200-SUM(J1344:K1344))),IF(D1344="新倉",-SUM(J1344:K1344),IF(E1344="賣",(H1344-H1343)*G1344*50-SUM(J1344:K1344),(H1343-H1344)*G1344*50-SUM(J1344:K1344)))))</f>
        <v/>
      </c>
      <c r="M1344" s="699">
        <f>L1344</f>
        <v/>
      </c>
      <c r="N1344" s="686">
        <f>IF(B1344="TXO","",IF(D1344="新倉","",IF(E1344="賣",(H1344-H1343)*G1344,(H1343-H1344)*G1344)))</f>
        <v/>
      </c>
      <c r="O1344" s="226">
        <f>ABS(I1344)</f>
        <v/>
      </c>
      <c r="P1344" s="667" t="n"/>
      <c r="Q1344" s="249" t="inlineStr">
        <is>
          <t>技法: 3/3 買進三口
買進後訊號消失</t>
        </is>
      </c>
      <c r="S1344" s="249" t="inlineStr">
        <is>
          <t>Yes</t>
        </is>
      </c>
      <c r="T1344" s="61">
        <f>IF(AND(R1344="Yes",S1344&lt;&gt;"Yes",L1344&gt;0,B1344&lt;&gt;"TXO"),L1344,"")</f>
        <v/>
      </c>
      <c r="U1344" s="61">
        <f>IF(AND(R1344="Yes",S1344&lt;&gt;"Yes",L1344&lt;0,B1344&lt;&gt;"TXO"),L1344,"")</f>
        <v/>
      </c>
      <c r="V1344" s="61">
        <f>IF(AND(R1344="",S1344&lt;&gt;"Yes",L1344&gt;0,B1344&lt;&gt;"TXO"),L1344,"")</f>
        <v/>
      </c>
      <c r="W1344" s="61">
        <f>IF(AND(R1344="",S1344&lt;&gt;"Yes",L1344&lt;0,B1344&lt;&gt;"TXO"),L1344,"")</f>
        <v/>
      </c>
      <c r="X1344" s="226">
        <f>IF(AND(R1344="Yes",S1344="Yes",L1344&gt;0,B1344&lt;&gt;"TXO"),L1344,"")</f>
        <v/>
      </c>
      <c r="Y1344" s="226">
        <f>IF(AND(R1344="Yes",S1344="Yes",L1344&lt;0,B1344&lt;&gt;"TXO"),L1344,"")</f>
        <v/>
      </c>
      <c r="Z1344" s="226">
        <f>IF(AND(R1344="",S1344="Yes",L1344&gt;0,B1344&lt;&gt;"TXO"),L1344,"")</f>
        <v/>
      </c>
      <c r="AA1344" s="226">
        <f>IF(AND(R1344="",S1344="Yes",L1344&lt;0,B1344&lt;&gt;"TXO"),L1344,"")</f>
        <v/>
      </c>
    </row>
    <row r="1345" hidden="1" outlineLevel="2" ht="17.25" customHeight="1" thickBot="1">
      <c r="A1345" s="696" t="n">
        <v>43388</v>
      </c>
      <c r="B1345" s="234" t="inlineStr">
        <is>
          <t>FIMTX</t>
        </is>
      </c>
      <c r="C1345" s="229" t="inlineStr">
        <is>
          <t>小指10</t>
        </is>
      </c>
      <c r="D1345" s="229" t="inlineStr">
        <is>
          <t>平倉</t>
        </is>
      </c>
      <c r="E1345" s="257" t="inlineStr">
        <is>
          <t>賣</t>
        </is>
      </c>
      <c r="F1345" s="229" t="inlineStr">
        <is>
          <t>-</t>
        </is>
      </c>
      <c r="G1345" s="697" t="n">
        <v>3</v>
      </c>
      <c r="H1345" s="697" t="n">
        <v>9877</v>
      </c>
      <c r="I1345" s="697" t="n">
        <v>0</v>
      </c>
      <c r="J1345" s="585" t="n">
        <v>69</v>
      </c>
      <c r="K1345" s="585" t="n">
        <v>30</v>
      </c>
      <c r="L1345" s="585">
        <f>IF(B1345="TXO",I1345-SUM(J1345:K1345),IF(B1345="FITX",IF(D1345="新倉",-SUM(J1345:K1345),IF(E1345="賣",(H1345-H1344)*G1345*200-SUM(J1345:K1345),(H1344-H1345)*G1345*200-SUM(J1345:K1345))),IF(D1345="新倉",-SUM(J1345:K1345),IF(E1345="賣",(H1345-H1344)*G1345*50-SUM(J1345:K1345),(H1344-H1345)*G1345*50-SUM(J1345:K1345)))))</f>
        <v/>
      </c>
      <c r="M1345" s="699">
        <f>L1345</f>
        <v/>
      </c>
      <c r="N1345" s="686">
        <f>IF(B1345="TXO","",IF(D1345="新倉","",IF(E1345="賣",(H1345-H1344)*G1345,(H1344-H1345)*G1345)))</f>
        <v/>
      </c>
      <c r="O1345" s="226">
        <f>ABS(I1345)</f>
        <v/>
      </c>
      <c r="P1345" s="667" t="n"/>
      <c r="Q1345" s="310" t="n"/>
      <c r="S1345" s="249" t="inlineStr">
        <is>
          <t>Yes</t>
        </is>
      </c>
      <c r="T1345" s="61">
        <f>IF(AND(R1345="Yes",S1345&lt;&gt;"Yes",L1345&gt;0,B1345&lt;&gt;"TXO"),L1345,"")</f>
        <v/>
      </c>
      <c r="U1345" s="61">
        <f>IF(AND(R1345="Yes",S1345&lt;&gt;"Yes",L1345&lt;0,B1345&lt;&gt;"TXO"),L1345,"")</f>
        <v/>
      </c>
      <c r="V1345" s="61">
        <f>IF(AND(R1345="",S1345&lt;&gt;"Yes",L1345&gt;0,B1345&lt;&gt;"TXO"),L1345,"")</f>
        <v/>
      </c>
      <c r="W1345" s="61">
        <f>IF(AND(R1345="",S1345&lt;&gt;"Yes",L1345&lt;0,B1345&lt;&gt;"TXO"),L1345,"")</f>
        <v/>
      </c>
      <c r="X1345" s="226">
        <f>IF(AND(R1345="Yes",S1345="Yes",L1345&gt;0,B1345&lt;&gt;"TXO"),L1345,"")</f>
        <v/>
      </c>
      <c r="Y1345" s="226">
        <f>IF(AND(R1345="Yes",S1345="Yes",L1345&lt;0,B1345&lt;&gt;"TXO"),L1345,"")</f>
        <v/>
      </c>
      <c r="Z1345" s="226">
        <f>IF(AND(R1345="",S1345="Yes",L1345&gt;0,B1345&lt;&gt;"TXO"),L1345,"")</f>
        <v/>
      </c>
      <c r="AA1345" s="226">
        <f>IF(AND(R1345="",S1345="Yes",L1345&lt;0,B1345&lt;&gt;"TXO"),L1345,"")</f>
        <v/>
      </c>
    </row>
    <row r="1346" hidden="1" outlineLevel="2" ht="33.75" customHeight="1" thickBot="1">
      <c r="A1346" s="696" t="n">
        <v>43388</v>
      </c>
      <c r="B1346" s="234" t="inlineStr">
        <is>
          <t>FIMTX</t>
        </is>
      </c>
      <c r="C1346" s="229" t="inlineStr">
        <is>
          <t>小指10</t>
        </is>
      </c>
      <c r="D1346" s="229" t="inlineStr">
        <is>
          <t>新倉</t>
        </is>
      </c>
      <c r="E1346" s="257" t="inlineStr">
        <is>
          <t>買</t>
        </is>
      </c>
      <c r="F1346" s="229" t="inlineStr">
        <is>
          <t>-</t>
        </is>
      </c>
      <c r="G1346" s="697" t="n">
        <v>3</v>
      </c>
      <c r="H1346" s="697" t="n">
        <v>9892</v>
      </c>
      <c r="I1346" s="697" t="n">
        <v>0</v>
      </c>
      <c r="J1346" s="585" t="n">
        <v>69</v>
      </c>
      <c r="K1346" s="585" t="n">
        <v>30</v>
      </c>
      <c r="L1346" s="585">
        <f>IF(B1346="TXO",I1346-SUM(J1346:K1346),IF(B1346="FITX",IF(D1346="新倉",-SUM(J1346:K1346),IF(E1346="賣",(H1346-H1345)*G1346*200-SUM(J1346:K1346),(H1345-H1346)*G1346*200-SUM(J1346:K1346))),IF(D1346="新倉",-SUM(J1346:K1346),IF(E1346="賣",(H1346-H1345)*G1346*50-SUM(J1346:K1346),(H1345-H1346)*G1346*50-SUM(J1346:K1346)))))</f>
        <v/>
      </c>
      <c r="M1346" s="699">
        <f>L1346</f>
        <v/>
      </c>
      <c r="N1346" s="686">
        <f>IF(B1346="TXO","",IF(D1346="新倉","",IF(E1346="賣",(H1346-H1345)*G1346,(H1345-H1346)*G1346)))</f>
        <v/>
      </c>
      <c r="O1346" s="226">
        <f>ABS(I1346)</f>
        <v/>
      </c>
      <c r="P1346" s="667" t="n"/>
      <c r="Q1346" s="249" t="inlineStr">
        <is>
          <t>技法: 3/3 買進三口
買進後訊號消失</t>
        </is>
      </c>
      <c r="S1346" s="249" t="inlineStr">
        <is>
          <t>Yes</t>
        </is>
      </c>
      <c r="T1346" s="61">
        <f>IF(AND(R1346="Yes",S1346&lt;&gt;"Yes",L1346&gt;0,B1346&lt;&gt;"TXO"),L1346,"")</f>
        <v/>
      </c>
      <c r="U1346" s="61">
        <f>IF(AND(R1346="Yes",S1346&lt;&gt;"Yes",L1346&lt;0,B1346&lt;&gt;"TXO"),L1346,"")</f>
        <v/>
      </c>
      <c r="V1346" s="61">
        <f>IF(AND(R1346="",S1346&lt;&gt;"Yes",L1346&gt;0,B1346&lt;&gt;"TXO"),L1346,"")</f>
        <v/>
      </c>
      <c r="W1346" s="61">
        <f>IF(AND(R1346="",S1346&lt;&gt;"Yes",L1346&lt;0,B1346&lt;&gt;"TXO"),L1346,"")</f>
        <v/>
      </c>
      <c r="X1346" s="226">
        <f>IF(AND(R1346="Yes",S1346="Yes",L1346&gt;0,B1346&lt;&gt;"TXO"),L1346,"")</f>
        <v/>
      </c>
      <c r="Y1346" s="226">
        <f>IF(AND(R1346="Yes",S1346="Yes",L1346&lt;0,B1346&lt;&gt;"TXO"),L1346,"")</f>
        <v/>
      </c>
      <c r="Z1346" s="226">
        <f>IF(AND(R1346="",S1346="Yes",L1346&gt;0,B1346&lt;&gt;"TXO"),L1346,"")</f>
        <v/>
      </c>
      <c r="AA1346" s="226">
        <f>IF(AND(R1346="",S1346="Yes",L1346&lt;0,B1346&lt;&gt;"TXO"),L1346,"")</f>
        <v/>
      </c>
    </row>
    <row r="1347" hidden="1" outlineLevel="2" ht="17.25" customHeight="1" thickBot="1">
      <c r="A1347" s="696" t="n">
        <v>43388</v>
      </c>
      <c r="B1347" s="234" t="inlineStr">
        <is>
          <t>FIMTX</t>
        </is>
      </c>
      <c r="C1347" s="229" t="inlineStr">
        <is>
          <t>小指10</t>
        </is>
      </c>
      <c r="D1347" s="229" t="inlineStr">
        <is>
          <t>平倉</t>
        </is>
      </c>
      <c r="E1347" s="257" t="inlineStr">
        <is>
          <t>賣</t>
        </is>
      </c>
      <c r="F1347" s="229" t="inlineStr">
        <is>
          <t>-</t>
        </is>
      </c>
      <c r="G1347" s="697" t="n">
        <v>3</v>
      </c>
      <c r="H1347" s="697" t="n">
        <v>9894</v>
      </c>
      <c r="I1347" s="697" t="n">
        <v>0</v>
      </c>
      <c r="J1347" s="585" t="n">
        <v>69</v>
      </c>
      <c r="K1347" s="585" t="n">
        <v>30</v>
      </c>
      <c r="L1347" s="585">
        <f>IF(B1347="TXO",I1347-SUM(J1347:K1347),IF(B1347="FITX",IF(D1347="新倉",-SUM(J1347:K1347),IF(E1347="賣",(H1347-H1346)*G1347*200-SUM(J1347:K1347),(H1346-H1347)*G1347*200-SUM(J1347:K1347))),IF(D1347="新倉",-SUM(J1347:K1347),IF(E1347="賣",(H1347-H1346)*G1347*50-SUM(J1347:K1347),(H1346-H1347)*G1347*50-SUM(J1347:K1347)))))</f>
        <v/>
      </c>
      <c r="M1347" s="699">
        <f>L1347</f>
        <v/>
      </c>
      <c r="N1347" s="686">
        <f>IF(B1347="TXO","",IF(D1347="新倉","",IF(E1347="賣",(H1347-H1346)*G1347,(H1346-H1347)*G1347)))</f>
        <v/>
      </c>
      <c r="O1347" s="226">
        <f>ABS(I1347)</f>
        <v/>
      </c>
      <c r="P1347" s="667" t="n"/>
      <c r="Q1347" s="310" t="n"/>
      <c r="S1347" s="249" t="inlineStr">
        <is>
          <t>Yes</t>
        </is>
      </c>
      <c r="T1347" s="61">
        <f>IF(AND(R1347="Yes",S1347&lt;&gt;"Yes",L1347&gt;0,B1347&lt;&gt;"TXO"),L1347,"")</f>
        <v/>
      </c>
      <c r="U1347" s="61">
        <f>IF(AND(R1347="Yes",S1347&lt;&gt;"Yes",L1347&lt;0,B1347&lt;&gt;"TXO"),L1347,"")</f>
        <v/>
      </c>
      <c r="V1347" s="61">
        <f>IF(AND(R1347="",S1347&lt;&gt;"Yes",L1347&gt;0,B1347&lt;&gt;"TXO"),L1347,"")</f>
        <v/>
      </c>
      <c r="W1347" s="61">
        <f>IF(AND(R1347="",S1347&lt;&gt;"Yes",L1347&lt;0,B1347&lt;&gt;"TXO"),L1347,"")</f>
        <v/>
      </c>
      <c r="X1347" s="226">
        <f>IF(AND(R1347="Yes",S1347="Yes",L1347&gt;0,B1347&lt;&gt;"TXO"),L1347,"")</f>
        <v/>
      </c>
      <c r="Y1347" s="226">
        <f>IF(AND(R1347="Yes",S1347="Yes",L1347&lt;0,B1347&lt;&gt;"TXO"),L1347,"")</f>
        <v/>
      </c>
      <c r="Z1347" s="226">
        <f>IF(AND(R1347="",S1347="Yes",L1347&gt;0,B1347&lt;&gt;"TXO"),L1347,"")</f>
        <v/>
      </c>
      <c r="AA1347" s="226">
        <f>IF(AND(R1347="",S1347="Yes",L1347&lt;0,B1347&lt;&gt;"TXO"),L1347,"")</f>
        <v/>
      </c>
    </row>
    <row r="1348" hidden="1" outlineLevel="2" ht="17.25" customHeight="1" thickBot="1">
      <c r="A1348" s="696" t="n">
        <v>43388</v>
      </c>
      <c r="B1348" s="234" t="inlineStr">
        <is>
          <t>FIMTX</t>
        </is>
      </c>
      <c r="C1348" s="229" t="inlineStr">
        <is>
          <t>小指10</t>
        </is>
      </c>
      <c r="D1348" s="229" t="inlineStr">
        <is>
          <t>新倉</t>
        </is>
      </c>
      <c r="E1348" s="257" t="inlineStr">
        <is>
          <t>買</t>
        </is>
      </c>
      <c r="F1348" s="229" t="inlineStr">
        <is>
          <t>-</t>
        </is>
      </c>
      <c r="G1348" s="697" t="n">
        <v>1</v>
      </c>
      <c r="H1348" s="697" t="n">
        <v>9877</v>
      </c>
      <c r="I1348" s="697" t="n">
        <v>0</v>
      </c>
      <c r="J1348" s="585" t="n">
        <v>23</v>
      </c>
      <c r="K1348" s="585" t="n">
        <v>10</v>
      </c>
      <c r="L1348" s="585">
        <f>IF(B1348="TXO",I1348-SUM(J1348:K1348),IF(B1348="FITX",IF(D1348="新倉",-SUM(J1348:K1348),IF(E1348="賣",(H1348-H1347)*G1348*200-SUM(J1348:K1348),(H1347-H1348)*G1348*200-SUM(J1348:K1348))),IF(D1348="新倉",-SUM(J1348:K1348),IF(E1348="賣",(H1348-H1347)*G1348*50-SUM(J1348:K1348),(H1347-H1348)*G1348*50-SUM(J1348:K1348)))))</f>
        <v/>
      </c>
      <c r="M1348" s="699">
        <f>L1348</f>
        <v/>
      </c>
      <c r="N1348" s="686">
        <f>IF(B1348="TXO","",IF(D1348="新倉","",IF(E1348="賣",(H1348-H1347)*G1348,(H1347-H1348)*G1348)))</f>
        <v/>
      </c>
      <c r="O1348" s="226">
        <f>ABS(I1348)</f>
        <v/>
      </c>
      <c r="P1348" s="667" t="n"/>
      <c r="Q1348" s="249" t="inlineStr">
        <is>
          <t>技法: 3/3 買進三口</t>
        </is>
      </c>
      <c r="S1348" s="249" t="inlineStr">
        <is>
          <t>Yes</t>
        </is>
      </c>
      <c r="T1348" s="61">
        <f>IF(AND(R1348="Yes",S1348&lt;&gt;"Yes",L1348&gt;0,B1348&lt;&gt;"TXO"),L1348,"")</f>
        <v/>
      </c>
      <c r="U1348" s="61">
        <f>IF(AND(R1348="Yes",S1348&lt;&gt;"Yes",L1348&lt;0,B1348&lt;&gt;"TXO"),L1348,"")</f>
        <v/>
      </c>
      <c r="V1348" s="61">
        <f>IF(AND(R1348="",S1348&lt;&gt;"Yes",L1348&gt;0,B1348&lt;&gt;"TXO"),L1348,"")</f>
        <v/>
      </c>
      <c r="W1348" s="61">
        <f>IF(AND(R1348="",S1348&lt;&gt;"Yes",L1348&lt;0,B1348&lt;&gt;"TXO"),L1348,"")</f>
        <v/>
      </c>
      <c r="X1348" s="226">
        <f>IF(AND(R1348="Yes",S1348="Yes",L1348&gt;0,B1348&lt;&gt;"TXO"),L1348,"")</f>
        <v/>
      </c>
      <c r="Y1348" s="226">
        <f>IF(AND(R1348="Yes",S1348="Yes",L1348&lt;0,B1348&lt;&gt;"TXO"),L1348,"")</f>
        <v/>
      </c>
      <c r="Z1348" s="226">
        <f>IF(AND(R1348="",S1348="Yes",L1348&gt;0,B1348&lt;&gt;"TXO"),L1348,"")</f>
        <v/>
      </c>
      <c r="AA1348" s="226">
        <f>IF(AND(R1348="",S1348="Yes",L1348&lt;0,B1348&lt;&gt;"TXO"),L1348,"")</f>
        <v/>
      </c>
    </row>
    <row r="1349" hidden="1" outlineLevel="2" ht="17.25" customHeight="1" thickBot="1">
      <c r="A1349" s="696" t="n">
        <v>43388</v>
      </c>
      <c r="B1349" s="234" t="inlineStr">
        <is>
          <t>FIMTX</t>
        </is>
      </c>
      <c r="C1349" s="229" t="inlineStr">
        <is>
          <t>小指10</t>
        </is>
      </c>
      <c r="D1349" s="229" t="inlineStr">
        <is>
          <t>平倉</t>
        </is>
      </c>
      <c r="E1349" s="257" t="inlineStr">
        <is>
          <t>賣</t>
        </is>
      </c>
      <c r="F1349" s="229" t="inlineStr">
        <is>
          <t>-</t>
        </is>
      </c>
      <c r="G1349" s="697" t="n">
        <v>1</v>
      </c>
      <c r="H1349" s="697" t="n">
        <v>9885</v>
      </c>
      <c r="I1349" s="697" t="n">
        <v>0</v>
      </c>
      <c r="J1349" s="585" t="n">
        <v>23</v>
      </c>
      <c r="K1349" s="585" t="n">
        <v>10</v>
      </c>
      <c r="L1349" s="585">
        <f>IF(B1349="TXO",I1349-SUM(J1349:K1349),IF(B1349="FITX",IF(D1349="新倉",-SUM(J1349:K1349),IF(E1349="賣",(H1349-H1348)*G1349*200-SUM(J1349:K1349),(H1348-H1349)*G1349*200-SUM(J1349:K1349))),IF(D1349="新倉",-SUM(J1349:K1349),IF(E1349="賣",(H1349-H1348)*G1349*50-SUM(J1349:K1349),(H1348-H1349)*G1349*50-SUM(J1349:K1349)))))</f>
        <v/>
      </c>
      <c r="M1349" s="699">
        <f>L1349</f>
        <v/>
      </c>
      <c r="N1349" s="686">
        <f>IF(B1349="TXO","",IF(D1349="新倉","",IF(E1349="賣",(H1349-H1348)*G1349,(H1348-H1349)*G1349)))</f>
        <v/>
      </c>
      <c r="O1349" s="226">
        <f>ABS(I1349)</f>
        <v/>
      </c>
      <c r="P1349" s="667" t="n"/>
      <c r="Q1349" s="249" t="inlineStr">
        <is>
          <t>技法: 刺補</t>
        </is>
      </c>
      <c r="S1349" s="249" t="inlineStr">
        <is>
          <t>Yes</t>
        </is>
      </c>
      <c r="T1349" s="61">
        <f>IF(AND(R1349="Yes",S1349&lt;&gt;"Yes",L1349&gt;0,B1349&lt;&gt;"TXO"),L1349,"")</f>
        <v/>
      </c>
      <c r="U1349" s="61">
        <f>IF(AND(R1349="Yes",S1349&lt;&gt;"Yes",L1349&lt;0,B1349&lt;&gt;"TXO"),L1349,"")</f>
        <v/>
      </c>
      <c r="V1349" s="61">
        <f>IF(AND(R1349="",S1349&lt;&gt;"Yes",L1349&gt;0,B1349&lt;&gt;"TXO"),L1349,"")</f>
        <v/>
      </c>
      <c r="W1349" s="61">
        <f>IF(AND(R1349="",S1349&lt;&gt;"Yes",L1349&lt;0,B1349&lt;&gt;"TXO"),L1349,"")</f>
        <v/>
      </c>
      <c r="X1349" s="226">
        <f>IF(AND(R1349="Yes",S1349="Yes",L1349&gt;0,B1349&lt;&gt;"TXO"),L1349,"")</f>
        <v/>
      </c>
      <c r="Y1349" s="226">
        <f>IF(AND(R1349="Yes",S1349="Yes",L1349&lt;0,B1349&lt;&gt;"TXO"),L1349,"")</f>
        <v/>
      </c>
      <c r="Z1349" s="226">
        <f>IF(AND(R1349="",S1349="Yes",L1349&gt;0,B1349&lt;&gt;"TXO"),L1349,"")</f>
        <v/>
      </c>
      <c r="AA1349" s="226">
        <f>IF(AND(R1349="",S1349="Yes",L1349&lt;0,B1349&lt;&gt;"TXO"),L1349,"")</f>
        <v/>
      </c>
    </row>
    <row r="1350" hidden="1" outlineLevel="2" ht="17.25" customHeight="1" thickBot="1">
      <c r="A1350" s="696" t="n">
        <v>43388</v>
      </c>
      <c r="B1350" s="234" t="inlineStr">
        <is>
          <t>FIMTX</t>
        </is>
      </c>
      <c r="C1350" s="229" t="inlineStr">
        <is>
          <t>小指10</t>
        </is>
      </c>
      <c r="D1350" s="229" t="inlineStr">
        <is>
          <t>新倉</t>
        </is>
      </c>
      <c r="E1350" s="257" t="inlineStr">
        <is>
          <t>買</t>
        </is>
      </c>
      <c r="F1350" s="229" t="inlineStr">
        <is>
          <t>-</t>
        </is>
      </c>
      <c r="G1350" s="697" t="n">
        <v>2</v>
      </c>
      <c r="H1350" s="697" t="n">
        <v>9877</v>
      </c>
      <c r="I1350" s="697" t="n">
        <v>0</v>
      </c>
      <c r="J1350" s="585" t="n">
        <v>46</v>
      </c>
      <c r="K1350" s="585" t="n">
        <v>20</v>
      </c>
      <c r="L1350" s="585">
        <f>IF(B1350="TXO",I1350-SUM(J1350:K1350),IF(B1350="FITX",IF(D1350="新倉",-SUM(J1350:K1350),IF(E1350="賣",(H1350-H1349)*G1350*200-SUM(J1350:K1350),(H1349-H1350)*G1350*200-SUM(J1350:K1350))),IF(D1350="新倉",-SUM(J1350:K1350),IF(E1350="賣",(H1350-H1349)*G1350*50-SUM(J1350:K1350),(H1349-H1350)*G1350*50-SUM(J1350:K1350)))))</f>
        <v/>
      </c>
      <c r="M1350" s="699">
        <f>L1350</f>
        <v/>
      </c>
      <c r="N1350" s="686">
        <f>IF(B1350="TXO","",IF(D1350="新倉","",IF(E1350="賣",(H1350-H1349)*G1350,(H1349-H1350)*G1350)))</f>
        <v/>
      </c>
      <c r="O1350" s="226">
        <f>ABS(I1350)</f>
        <v/>
      </c>
      <c r="P1350" s="667" t="n"/>
      <c r="Q1350" s="249" t="inlineStr">
        <is>
          <t>技法: 3/3 買進三口</t>
        </is>
      </c>
      <c r="S1350" s="249" t="inlineStr">
        <is>
          <t>Yes</t>
        </is>
      </c>
      <c r="T1350" s="61">
        <f>IF(AND(R1350="Yes",S1350&lt;&gt;"Yes",L1350&gt;0,B1350&lt;&gt;"TXO"),L1350,"")</f>
        <v/>
      </c>
      <c r="U1350" s="61">
        <f>IF(AND(R1350="Yes",S1350&lt;&gt;"Yes",L1350&lt;0,B1350&lt;&gt;"TXO"),L1350,"")</f>
        <v/>
      </c>
      <c r="V1350" s="61">
        <f>IF(AND(R1350="",S1350&lt;&gt;"Yes",L1350&gt;0,B1350&lt;&gt;"TXO"),L1350,"")</f>
        <v/>
      </c>
      <c r="W1350" s="61">
        <f>IF(AND(R1350="",S1350&lt;&gt;"Yes",L1350&lt;0,B1350&lt;&gt;"TXO"),L1350,"")</f>
        <v/>
      </c>
      <c r="X1350" s="226">
        <f>IF(AND(R1350="Yes",S1350="Yes",L1350&gt;0,B1350&lt;&gt;"TXO"),L1350,"")</f>
        <v/>
      </c>
      <c r="Y1350" s="226">
        <f>IF(AND(R1350="Yes",S1350="Yes",L1350&lt;0,B1350&lt;&gt;"TXO"),L1350,"")</f>
        <v/>
      </c>
      <c r="Z1350" s="226">
        <f>IF(AND(R1350="",S1350="Yes",L1350&gt;0,B1350&lt;&gt;"TXO"),L1350,"")</f>
        <v/>
      </c>
      <c r="AA1350" s="226">
        <f>IF(AND(R1350="",S1350="Yes",L1350&lt;0,B1350&lt;&gt;"TXO"),L1350,"")</f>
        <v/>
      </c>
    </row>
    <row r="1351" hidden="1" outlineLevel="2" ht="33.75" customHeight="1" thickBot="1">
      <c r="A1351" s="696" t="n">
        <v>43388</v>
      </c>
      <c r="B1351" s="234" t="inlineStr">
        <is>
          <t>FIMTX</t>
        </is>
      </c>
      <c r="C1351" s="229" t="inlineStr">
        <is>
          <t>小指10</t>
        </is>
      </c>
      <c r="D1351" s="229" t="inlineStr">
        <is>
          <t>平倉</t>
        </is>
      </c>
      <c r="E1351" s="257" t="inlineStr">
        <is>
          <t>賣</t>
        </is>
      </c>
      <c r="F1351" s="229" t="inlineStr">
        <is>
          <t>-</t>
        </is>
      </c>
      <c r="G1351" s="697" t="n">
        <v>2</v>
      </c>
      <c r="H1351" s="697" t="n">
        <v>9880</v>
      </c>
      <c r="I1351" s="697" t="n">
        <v>0</v>
      </c>
      <c r="J1351" s="585" t="n">
        <v>46</v>
      </c>
      <c r="K1351" s="585" t="n">
        <v>20</v>
      </c>
      <c r="L1351" s="585">
        <f>IF(B1351="TXO",I1351-SUM(J1351:K1351),IF(B1351="FITX",IF(D1351="新倉",-SUM(J1351:K1351),IF(E1351="賣",(H1351-H1350)*G1351*200-SUM(J1351:K1351),(H1350-H1351)*G1351*200-SUM(J1351:K1351))),IF(D1351="新倉",-SUM(J1351:K1351),IF(E1351="賣",(H1351-H1350)*G1351*50-SUM(J1351:K1351),(H1350-H1351)*G1351*50-SUM(J1351:K1351)))))</f>
        <v/>
      </c>
      <c r="M1351" s="699">
        <f>L1351</f>
        <v/>
      </c>
      <c r="N1351" s="686">
        <f>IF(B1351="TXO","",IF(D1351="新倉","",IF(E1351="賣",(H1351-H1350)*G1351,(H1350-H1351)*G1351)))</f>
        <v/>
      </c>
      <c r="O1351" s="226">
        <f>ABS(I1351)</f>
        <v/>
      </c>
      <c r="P1351" s="667" t="n"/>
      <c r="Q1351" s="249" t="inlineStr">
        <is>
          <t>技法: 移動式停利
3點出場</t>
        </is>
      </c>
      <c r="S1351" s="249" t="inlineStr">
        <is>
          <t>Yes</t>
        </is>
      </c>
      <c r="T1351" s="61">
        <f>IF(AND(R1351="Yes",S1351&lt;&gt;"Yes",L1351&gt;0,B1351&lt;&gt;"TXO"),L1351,"")</f>
        <v/>
      </c>
      <c r="U1351" s="61">
        <f>IF(AND(R1351="Yes",S1351&lt;&gt;"Yes",L1351&lt;0,B1351&lt;&gt;"TXO"),L1351,"")</f>
        <v/>
      </c>
      <c r="V1351" s="61">
        <f>IF(AND(R1351="",S1351&lt;&gt;"Yes",L1351&gt;0,B1351&lt;&gt;"TXO"),L1351,"")</f>
        <v/>
      </c>
      <c r="W1351" s="61">
        <f>IF(AND(R1351="",S1351&lt;&gt;"Yes",L1351&lt;0,B1351&lt;&gt;"TXO"),L1351,"")</f>
        <v/>
      </c>
      <c r="X1351" s="226">
        <f>IF(AND(R1351="Yes",S1351="Yes",L1351&gt;0,B1351&lt;&gt;"TXO"),L1351,"")</f>
        <v/>
      </c>
      <c r="Y1351" s="226">
        <f>IF(AND(R1351="Yes",S1351="Yes",L1351&lt;0,B1351&lt;&gt;"TXO"),L1351,"")</f>
        <v/>
      </c>
      <c r="Z1351" s="226">
        <f>IF(AND(R1351="",S1351="Yes",L1351&gt;0,B1351&lt;&gt;"TXO"),L1351,"")</f>
        <v/>
      </c>
      <c r="AA1351" s="226">
        <f>IF(AND(R1351="",S1351="Yes",L1351&lt;0,B1351&lt;&gt;"TXO"),L1351,"")</f>
        <v/>
      </c>
    </row>
    <row r="1352" hidden="1" outlineLevel="1" ht="17.25" customHeight="1" thickBot="1">
      <c r="A1352" s="740" t="n">
        <v>43385</v>
      </c>
      <c r="B1352" s="299" t="inlineStr">
        <is>
          <t>FIMTX</t>
        </is>
      </c>
      <c r="C1352" s="300" t="inlineStr">
        <is>
          <t>小指10</t>
        </is>
      </c>
      <c r="D1352" s="300" t="inlineStr">
        <is>
          <t>新倉</t>
        </is>
      </c>
      <c r="E1352" s="301" t="inlineStr">
        <is>
          <t>買</t>
        </is>
      </c>
      <c r="F1352" s="300" t="inlineStr">
        <is>
          <t>-</t>
        </is>
      </c>
      <c r="G1352" s="741" t="n">
        <v>2</v>
      </c>
      <c r="H1352" s="741" t="n">
        <v>9978</v>
      </c>
      <c r="I1352" s="741" t="n">
        <v>0</v>
      </c>
      <c r="J1352" s="742" t="n">
        <v>46</v>
      </c>
      <c r="K1352" s="742" t="n">
        <v>20</v>
      </c>
      <c r="L1352" s="742">
        <f>IF(B1352="TXO",I1352-SUM(J1352:K1352),IF(B1352="FITX",IF(D1352="新倉",-SUM(J1352:K1352),IF(E1352="賣",(H1352-H1351)*G1352*200-SUM(J1352:K1352),(H1351-H1352)*G1352*200-SUM(J1352:K1352))),IF(D1352="新倉",-SUM(J1352:K1352),IF(E1352="賣",(H1352-H1351)*G1352*50-SUM(J1352:K1352),(H1351-H1352)*G1352*50-SUM(J1352:K1352)))))</f>
        <v/>
      </c>
      <c r="M1352" s="743">
        <f>L1352</f>
        <v/>
      </c>
      <c r="N1352" s="686">
        <f>IF(B1352="TXO","",IF(D1352="新倉","",IF(E1352="賣",(H1352-H1351)*G1352,(H1351-H1352)*G1352)))</f>
        <v/>
      </c>
      <c r="O1352" s="226" t="n">
        <v>0</v>
      </c>
      <c r="P1352" s="667">
        <f>SUM(L1352:L1369)</f>
        <v/>
      </c>
      <c r="Q1352" s="310" t="inlineStr">
        <is>
          <t>太早買進，訊號消失</t>
        </is>
      </c>
      <c r="S1352" s="249" t="n"/>
      <c r="T1352" s="61">
        <f>IF(AND(R1352="Yes",S1352&lt;&gt;"Yes",L1352&gt;0,B1352&lt;&gt;"TXO"),L1352,"")</f>
        <v/>
      </c>
      <c r="U1352" s="61">
        <f>IF(AND(R1352="Yes",S1352&lt;&gt;"Yes",L1352&lt;0,B1352&lt;&gt;"TXO"),L1352,"")</f>
        <v/>
      </c>
      <c r="V1352" s="61">
        <f>IF(AND(R1352="",S1352&lt;&gt;"Yes",L1352&gt;0,B1352&lt;&gt;"TXO"),L1352,"")</f>
        <v/>
      </c>
      <c r="W1352" s="61">
        <f>IF(AND(R1352="",S1352&lt;&gt;"Yes",L1352&lt;0,B1352&lt;&gt;"TXO"),L1352,"")</f>
        <v/>
      </c>
      <c r="X1352" s="226">
        <f>IF(AND(R1352="Yes",S1352="Yes",L1352&gt;0,B1352&lt;&gt;"TXO"),L1352,"")</f>
        <v/>
      </c>
      <c r="Y1352" s="226">
        <f>IF(AND(R1352="Yes",S1352="Yes",L1352&lt;0,B1352&lt;&gt;"TXO"),L1352,"")</f>
        <v/>
      </c>
      <c r="Z1352" s="226">
        <f>IF(AND(R1352="",S1352="Yes",L1352&gt;0,B1352&lt;&gt;"TXO"),L1352,"")</f>
        <v/>
      </c>
      <c r="AA1352" s="226">
        <f>IF(AND(R1352="",S1352="Yes",L1352&lt;0,B1352&lt;&gt;"TXO"),L1352,"")</f>
        <v/>
      </c>
    </row>
    <row r="1353" hidden="1" outlineLevel="2" ht="17.25" customHeight="1" thickBot="1">
      <c r="A1353" s="740" t="n">
        <v>43385</v>
      </c>
      <c r="B1353" s="299" t="inlineStr">
        <is>
          <t>FIMTX</t>
        </is>
      </c>
      <c r="C1353" s="300" t="inlineStr">
        <is>
          <t>小指10</t>
        </is>
      </c>
      <c r="D1353" s="300" t="inlineStr">
        <is>
          <t>平倉</t>
        </is>
      </c>
      <c r="E1353" s="301" t="inlineStr">
        <is>
          <t>賣</t>
        </is>
      </c>
      <c r="F1353" s="300" t="inlineStr">
        <is>
          <t>-</t>
        </is>
      </c>
      <c r="G1353" s="741" t="n">
        <v>2</v>
      </c>
      <c r="H1353" s="741" t="n">
        <v>9962</v>
      </c>
      <c r="I1353" s="741" t="n">
        <v>0</v>
      </c>
      <c r="J1353" s="742" t="n">
        <v>46</v>
      </c>
      <c r="K1353" s="742" t="n">
        <v>20</v>
      </c>
      <c r="L1353" s="742">
        <f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/>
      </c>
      <c r="M1353" s="743">
        <f>L1353</f>
        <v/>
      </c>
      <c r="N1353" s="686">
        <f>IF(B1353="TXO","",IF(D1353="新倉","",IF(E1353="賣",(H1353-H1352)*G1353,(H1352-H1353)*G1353)))</f>
        <v/>
      </c>
      <c r="O1353" s="226" t="n">
        <v>0</v>
      </c>
      <c r="P1353" s="667" t="n"/>
      <c r="Q1353" s="311" t="inlineStr">
        <is>
          <t>15點停損</t>
        </is>
      </c>
      <c r="S1353" s="249" t="n"/>
      <c r="T1353" s="61">
        <f>IF(AND(R1353="Yes",S1353&lt;&gt;"Yes",L1353&gt;0,B1353&lt;&gt;"TXO"),L1353,"")</f>
        <v/>
      </c>
      <c r="U1353" s="61">
        <f>IF(AND(R1353="Yes",S1353&lt;&gt;"Yes",L1353&lt;0,B1353&lt;&gt;"TXO"),L1353,"")</f>
        <v/>
      </c>
      <c r="V1353" s="61">
        <f>IF(AND(R1353="",S1353&lt;&gt;"Yes",L1353&gt;0,B1353&lt;&gt;"TXO"),L1353,"")</f>
        <v/>
      </c>
      <c r="W1353" s="61">
        <f>IF(AND(R1353="",S1353&lt;&gt;"Yes",L1353&lt;0,B1353&lt;&gt;"TXO"),L1353,"")</f>
        <v/>
      </c>
      <c r="X1353" s="226">
        <f>IF(AND(R1353="Yes",S1353="Yes",L1353&gt;0,B1353&lt;&gt;"TXO"),L1353,"")</f>
        <v/>
      </c>
      <c r="Y1353" s="226">
        <f>IF(AND(R1353="Yes",S1353="Yes",L1353&lt;0,B1353&lt;&gt;"TXO"),L1353,"")</f>
        <v/>
      </c>
      <c r="Z1353" s="226">
        <f>IF(AND(R1353="",S1353="Yes",L1353&gt;0,B1353&lt;&gt;"TXO"),L1353,"")</f>
        <v/>
      </c>
      <c r="AA1353" s="226">
        <f>IF(AND(R1353="",S1353="Yes",L1353&lt;0,B1353&lt;&gt;"TXO"),L1353,"")</f>
        <v/>
      </c>
    </row>
    <row r="1354" hidden="1" outlineLevel="2" collapsed="1" ht="17.25" customHeight="1" thickBot="1">
      <c r="A1354" s="740" t="n">
        <v>43385</v>
      </c>
      <c r="B1354" s="299" t="inlineStr">
        <is>
          <t>FIMTX</t>
        </is>
      </c>
      <c r="C1354" s="300" t="inlineStr">
        <is>
          <t>小指10</t>
        </is>
      </c>
      <c r="D1354" s="300" t="inlineStr">
        <is>
          <t>新倉</t>
        </is>
      </c>
      <c r="E1354" s="301" t="inlineStr">
        <is>
          <t>買</t>
        </is>
      </c>
      <c r="F1354" s="300" t="inlineStr">
        <is>
          <t>-</t>
        </is>
      </c>
      <c r="G1354" s="741" t="n">
        <v>1</v>
      </c>
      <c r="H1354" s="741" t="n">
        <v>9978</v>
      </c>
      <c r="I1354" s="741" t="n">
        <v>0</v>
      </c>
      <c r="J1354" s="742" t="n">
        <v>23</v>
      </c>
      <c r="K1354" s="742" t="n">
        <v>10</v>
      </c>
      <c r="L1354" s="742">
        <f>IF(B1354="TXO",I1354-SUM(J1354:K1354),IF(B1354="FITX",IF(D1354="新倉",-SUM(J1354:K1354),IF(E1354="賣",(H1354-H1353)*G1354*200-SUM(J1354:K1354),(H1353-H1354)*G1354*200-SUM(J1354:K1354))),IF(D1354="新倉",-SUM(J1354:K1354),IF(E1354="賣",(H1354-H1353)*G1354*50-SUM(J1354:K1354),(H1353-H1354)*G1354*50-SUM(J1354:K1354)))))</f>
        <v/>
      </c>
      <c r="M1354" s="743">
        <f>L1354</f>
        <v/>
      </c>
      <c r="N1354" s="686">
        <f>IF(B1354="TXO","",IF(D1354="新倉","",IF(E1354="賣",(H1354-H1353)*G1354,(H1353-H1354)*G1354)))</f>
        <v/>
      </c>
      <c r="O1354" s="226" t="n">
        <v>0</v>
      </c>
      <c r="P1354" s="667" t="n"/>
      <c r="Q1354" s="311" t="n"/>
      <c r="S1354" s="249" t="n"/>
      <c r="T1354" s="61">
        <f>IF(AND(R1354="Yes",S1354&lt;&gt;"Yes",L1354&gt;0,B1354&lt;&gt;"TXO"),L1354,"")</f>
        <v/>
      </c>
      <c r="U1354" s="61">
        <f>IF(AND(R1354="Yes",S1354&lt;&gt;"Yes",L1354&lt;0,B1354&lt;&gt;"TXO"),L1354,"")</f>
        <v/>
      </c>
      <c r="V1354" s="61">
        <f>IF(AND(R1354="",S1354&lt;&gt;"Yes",L1354&gt;0,B1354&lt;&gt;"TXO"),L1354,"")</f>
        <v/>
      </c>
      <c r="W1354" s="61">
        <f>IF(AND(R1354="",S1354&lt;&gt;"Yes",L1354&lt;0,B1354&lt;&gt;"TXO"),L1354,"")</f>
        <v/>
      </c>
      <c r="X1354" s="226">
        <f>IF(AND(R1354="Yes",S1354="Yes",L1354&gt;0,B1354&lt;&gt;"TXO"),L1354,"")</f>
        <v/>
      </c>
      <c r="Y1354" s="226">
        <f>IF(AND(R1354="Yes",S1354="Yes",L1354&lt;0,B1354&lt;&gt;"TXO"),L1354,"")</f>
        <v/>
      </c>
      <c r="Z1354" s="226">
        <f>IF(AND(R1354="",S1354="Yes",L1354&gt;0,B1354&lt;&gt;"TXO"),L1354,"")</f>
        <v/>
      </c>
      <c r="AA1354" s="226">
        <f>IF(AND(R1354="",S1354="Yes",L1354&lt;0,B1354&lt;&gt;"TXO"),L1354,"")</f>
        <v/>
      </c>
    </row>
    <row r="1355" hidden="1" outlineLevel="2" collapsed="1" ht="17.25" customHeight="1" thickBot="1">
      <c r="A1355" s="740" t="n">
        <v>43385</v>
      </c>
      <c r="B1355" s="299" t="inlineStr">
        <is>
          <t>FIMTX</t>
        </is>
      </c>
      <c r="C1355" s="300" t="inlineStr">
        <is>
          <t>小指10</t>
        </is>
      </c>
      <c r="D1355" s="300" t="inlineStr">
        <is>
          <t>平倉</t>
        </is>
      </c>
      <c r="E1355" s="301" t="inlineStr">
        <is>
          <t>賣</t>
        </is>
      </c>
      <c r="F1355" s="300" t="inlineStr">
        <is>
          <t>-</t>
        </is>
      </c>
      <c r="G1355" s="741" t="n">
        <v>1</v>
      </c>
      <c r="H1355" s="741" t="n">
        <v>9963</v>
      </c>
      <c r="I1355" s="741" t="n">
        <v>0</v>
      </c>
      <c r="J1355" s="742" t="n">
        <v>23</v>
      </c>
      <c r="K1355" s="742" t="n">
        <v>10</v>
      </c>
      <c r="L1355" s="742">
        <f>IF(B1355="TXO",I1355-SUM(J1355:K1355),IF(B1355="FITX",IF(D1355="新倉",-SUM(J1355:K1355),IF(E1355="賣",(H1355-H1354)*G1355*200-SUM(J1355:K1355),(H1354-H1355)*G1355*200-SUM(J1355:K1355))),IF(D1355="新倉",-SUM(J1355:K1355),IF(E1355="賣",(H1355-H1354)*G1355*50-SUM(J1355:K1355),(H1354-H1355)*G1355*50-SUM(J1355:K1355)))))</f>
        <v/>
      </c>
      <c r="M1355" s="743">
        <f>L1355</f>
        <v/>
      </c>
      <c r="N1355" s="686">
        <f>IF(B1355="TXO","",IF(D1355="新倉","",IF(E1355="賣",(H1355-H1354)*G1355,(H1354-H1355)*G1355)))</f>
        <v/>
      </c>
      <c r="O1355" s="226" t="n">
        <v>0</v>
      </c>
      <c r="P1355" s="667" t="n"/>
      <c r="Q1355" s="311" t="inlineStr">
        <is>
          <t>15點停損</t>
        </is>
      </c>
      <c r="S1355" s="249" t="n"/>
      <c r="T1355" s="61">
        <f>IF(AND(R1355="Yes",S1355&lt;&gt;"Yes",L1355&gt;0,B1355&lt;&gt;"TXO"),L1355,"")</f>
        <v/>
      </c>
      <c r="U1355" s="61">
        <f>IF(AND(R1355="Yes",S1355&lt;&gt;"Yes",L1355&lt;0,B1355&lt;&gt;"TXO"),L1355,"")</f>
        <v/>
      </c>
      <c r="V1355" s="61">
        <f>IF(AND(R1355="",S1355&lt;&gt;"Yes",L1355&gt;0,B1355&lt;&gt;"TXO"),L1355,"")</f>
        <v/>
      </c>
      <c r="W1355" s="61">
        <f>IF(AND(R1355="",S1355&lt;&gt;"Yes",L1355&lt;0,B1355&lt;&gt;"TXO"),L1355,"")</f>
        <v/>
      </c>
      <c r="X1355" s="226">
        <f>IF(AND(R1355="Yes",S1355="Yes",L1355&gt;0,B1355&lt;&gt;"TXO"),L1355,"")</f>
        <v/>
      </c>
      <c r="Y1355" s="226">
        <f>IF(AND(R1355="Yes",S1355="Yes",L1355&lt;0,B1355&lt;&gt;"TXO"),L1355,"")</f>
        <v/>
      </c>
      <c r="Z1355" s="226">
        <f>IF(AND(R1355="",S1355="Yes",L1355&gt;0,B1355&lt;&gt;"TXO"),L1355,"")</f>
        <v/>
      </c>
      <c r="AA1355" s="226">
        <f>IF(AND(R1355="",S1355="Yes",L1355&lt;0,B1355&lt;&gt;"TXO"),L1355,"")</f>
        <v/>
      </c>
    </row>
    <row r="1356" hidden="1" outlineLevel="2" collapsed="1" ht="17.25" customHeight="1" thickBot="1">
      <c r="A1356" s="740" t="n">
        <v>43385</v>
      </c>
      <c r="B1356" s="299" t="inlineStr">
        <is>
          <t>FIMTX</t>
        </is>
      </c>
      <c r="C1356" s="300" t="inlineStr">
        <is>
          <t>小指10</t>
        </is>
      </c>
      <c r="D1356" s="300" t="inlineStr">
        <is>
          <t>新倉</t>
        </is>
      </c>
      <c r="E1356" s="301" t="inlineStr">
        <is>
          <t>賣</t>
        </is>
      </c>
      <c r="F1356" s="300" t="inlineStr">
        <is>
          <t>-</t>
        </is>
      </c>
      <c r="G1356" s="741" t="n">
        <v>3</v>
      </c>
      <c r="H1356" s="741" t="n">
        <v>9953</v>
      </c>
      <c r="I1356" s="741" t="n">
        <v>0</v>
      </c>
      <c r="J1356" s="742" t="n">
        <v>69</v>
      </c>
      <c r="K1356" s="742" t="n">
        <v>30</v>
      </c>
      <c r="L1356" s="742">
        <f>IF(B1356="TXO",I1356-SUM(J1356:K1356),IF(B1356="FITX",IF(D1356="新倉",-SUM(J1356:K1356),IF(E1356="賣",(H1356-H1355)*G1356*200-SUM(J1356:K1356),(H1355-H1356)*G1356*200-SUM(J1356:K1356))),IF(D1356="新倉",-SUM(J1356:K1356),IF(E1356="賣",(H1356-H1355)*G1356*50-SUM(J1356:K1356),(H1355-H1356)*G1356*50-SUM(J1356:K1356)))))</f>
        <v/>
      </c>
      <c r="M1356" s="743">
        <f>L1356</f>
        <v/>
      </c>
      <c r="N1356" s="686">
        <f>IF(B1356="TXO","",IF(D1356="新倉","",IF(E1356="賣",(H1356-H1355)*G1356,(H1355-H1356)*G1356)))</f>
        <v/>
      </c>
      <c r="O1356" s="226" t="n">
        <v>0</v>
      </c>
      <c r="P1356" s="667" t="n"/>
      <c r="Q1356" s="310" t="inlineStr">
        <is>
          <t>追跌</t>
        </is>
      </c>
      <c r="S1356" s="249" t="n"/>
      <c r="T1356" s="61">
        <f>IF(AND(R1356="Yes",S1356&lt;&gt;"Yes",L1356&gt;0,B1356&lt;&gt;"TXO"),L1356,"")</f>
        <v/>
      </c>
      <c r="U1356" s="61">
        <f>IF(AND(R1356="Yes",S1356&lt;&gt;"Yes",L1356&lt;0,B1356&lt;&gt;"TXO"),L1356,"")</f>
        <v/>
      </c>
      <c r="V1356" s="61">
        <f>IF(AND(R1356="",S1356&lt;&gt;"Yes",L1356&gt;0,B1356&lt;&gt;"TXO"),L1356,"")</f>
        <v/>
      </c>
      <c r="W1356" s="61">
        <f>IF(AND(R1356="",S1356&lt;&gt;"Yes",L1356&lt;0,B1356&lt;&gt;"TXO"),L1356,"")</f>
        <v/>
      </c>
      <c r="X1356" s="226">
        <f>IF(AND(R1356="Yes",S1356="Yes",L1356&gt;0,B1356&lt;&gt;"TXO"),L1356,"")</f>
        <v/>
      </c>
      <c r="Y1356" s="226">
        <f>IF(AND(R1356="Yes",S1356="Yes",L1356&lt;0,B1356&lt;&gt;"TXO"),L1356,"")</f>
        <v/>
      </c>
      <c r="Z1356" s="226">
        <f>IF(AND(R1356="",S1356="Yes",L1356&gt;0,B1356&lt;&gt;"TXO"),L1356,"")</f>
        <v/>
      </c>
      <c r="AA1356" s="226">
        <f>IF(AND(R1356="",S1356="Yes",L1356&lt;0,B1356&lt;&gt;"TXO"),L1356,"")</f>
        <v/>
      </c>
    </row>
    <row r="1357" hidden="1" outlineLevel="2" collapsed="1" ht="17.25" customHeight="1" thickBot="1">
      <c r="A1357" s="740" t="n">
        <v>43385</v>
      </c>
      <c r="B1357" s="299" t="inlineStr">
        <is>
          <t>FIMTX</t>
        </is>
      </c>
      <c r="C1357" s="300" t="inlineStr">
        <is>
          <t>小指10</t>
        </is>
      </c>
      <c r="D1357" s="300" t="inlineStr">
        <is>
          <t>平倉</t>
        </is>
      </c>
      <c r="E1357" s="301" t="inlineStr">
        <is>
          <t>買</t>
        </is>
      </c>
      <c r="F1357" s="300" t="inlineStr">
        <is>
          <t>-</t>
        </is>
      </c>
      <c r="G1357" s="741" t="n">
        <v>3</v>
      </c>
      <c r="H1357" s="741" t="n">
        <v>9942</v>
      </c>
      <c r="I1357" s="741" t="n">
        <v>0</v>
      </c>
      <c r="J1357" s="742" t="n">
        <v>69</v>
      </c>
      <c r="K1357" s="742" t="n">
        <v>30</v>
      </c>
      <c r="L1357" s="742">
        <f>IF(B1357="TXO",I1357-SUM(J1357:K1357),IF(B1357="FITX",IF(D1357="新倉",-SUM(J1357:K1357),IF(E1357="賣",(H1357-H1356)*G1357*200-SUM(J1357:K1357),(H1356-H1357)*G1357*200-SUM(J1357:K1357))),IF(D1357="新倉",-SUM(J1357:K1357),IF(E1357="賣",(H1357-H1356)*G1357*50-SUM(J1357:K1357),(H1356-H1357)*G1357*50-SUM(J1357:K1357)))))</f>
        <v/>
      </c>
      <c r="M1357" s="743">
        <f>L1357</f>
        <v/>
      </c>
      <c r="N1357" s="686">
        <f>IF(B1357="TXO","",IF(D1357="新倉","",IF(E1357="賣",(H1357-H1356)*G1357,(H1356-H1357)*G1357)))</f>
        <v/>
      </c>
      <c r="O1357" s="226" t="n">
        <v>0</v>
      </c>
      <c r="P1357" s="667" t="n"/>
      <c r="Q1357" s="311" t="inlineStr">
        <is>
          <t>元大移動式停利</t>
        </is>
      </c>
      <c r="S1357" s="249" t="n"/>
      <c r="T1357" s="61">
        <f>IF(AND(R1357="Yes",S1357&lt;&gt;"Yes",L1357&gt;0,B1357&lt;&gt;"TXO"),L1357,"")</f>
        <v/>
      </c>
      <c r="U1357" s="61">
        <f>IF(AND(R1357="Yes",S1357&lt;&gt;"Yes",L1357&lt;0,B1357&lt;&gt;"TXO"),L1357,"")</f>
        <v/>
      </c>
      <c r="V1357" s="61">
        <f>IF(AND(R1357="",S1357&lt;&gt;"Yes",L1357&gt;0,B1357&lt;&gt;"TXO"),L1357,"")</f>
        <v/>
      </c>
      <c r="W1357" s="61">
        <f>IF(AND(R1357="",S1357&lt;&gt;"Yes",L1357&lt;0,B1357&lt;&gt;"TXO"),L1357,"")</f>
        <v/>
      </c>
      <c r="X1357" s="226">
        <f>IF(AND(R1357="Yes",S1357="Yes",L1357&gt;0,B1357&lt;&gt;"TXO"),L1357,"")</f>
        <v/>
      </c>
      <c r="Y1357" s="226">
        <f>IF(AND(R1357="Yes",S1357="Yes",L1357&lt;0,B1357&lt;&gt;"TXO"),L1357,"")</f>
        <v/>
      </c>
      <c r="Z1357" s="226">
        <f>IF(AND(R1357="",S1357="Yes",L1357&gt;0,B1357&lt;&gt;"TXO"),L1357,"")</f>
        <v/>
      </c>
      <c r="AA1357" s="226">
        <f>IF(AND(R1357="",S1357="Yes",L1357&lt;0,B1357&lt;&gt;"TXO"),L1357,"")</f>
        <v/>
      </c>
    </row>
    <row r="1358" hidden="1" outlineLevel="2" collapsed="1" ht="17.25" customHeight="1" thickBot="1">
      <c r="A1358" s="740" t="n">
        <v>43385</v>
      </c>
      <c r="B1358" s="299" t="inlineStr">
        <is>
          <t>FIMTX</t>
        </is>
      </c>
      <c r="C1358" s="300" t="inlineStr">
        <is>
          <t>小指10</t>
        </is>
      </c>
      <c r="D1358" s="300" t="inlineStr">
        <is>
          <t>新倉</t>
        </is>
      </c>
      <c r="E1358" s="301" t="inlineStr">
        <is>
          <t>賣</t>
        </is>
      </c>
      <c r="F1358" s="300" t="inlineStr">
        <is>
          <t>-</t>
        </is>
      </c>
      <c r="G1358" s="741" t="n">
        <v>3</v>
      </c>
      <c r="H1358" s="741" t="n">
        <v>9895</v>
      </c>
      <c r="I1358" s="741" t="n">
        <v>0</v>
      </c>
      <c r="J1358" s="742" t="n">
        <v>69</v>
      </c>
      <c r="K1358" s="742" t="n">
        <v>30</v>
      </c>
      <c r="L1358" s="742">
        <f>IF(B1358="TXO",I1358-SUM(J1358:K1358),IF(B1358="FITX",IF(D1358="新倉",-SUM(J1358:K1358),IF(E1358="賣",(H1358-H1357)*G1358*200-SUM(J1358:K1358),(H1357-H1358)*G1358*200-SUM(J1358:K1358))),IF(D1358="新倉",-SUM(J1358:K1358),IF(E1358="賣",(H1358-H1357)*G1358*50-SUM(J1358:K1358),(H1357-H1358)*G1358*50-SUM(J1358:K1358)))))</f>
        <v/>
      </c>
      <c r="M1358" s="743">
        <f>L1358</f>
        <v/>
      </c>
      <c r="N1358" s="686">
        <f>IF(B1358="TXO","",IF(D1358="新倉","",IF(E1358="賣",(H1358-H1357)*G1358,(H1357-H1358)*G1358)))</f>
        <v/>
      </c>
      <c r="O1358" s="226" t="n">
        <v>0</v>
      </c>
      <c r="P1358" s="667" t="n"/>
      <c r="Q1358" s="310" t="inlineStr">
        <is>
          <t>追跌</t>
        </is>
      </c>
      <c r="S1358" s="249" t="n"/>
      <c r="T1358" s="61">
        <f>IF(AND(R1358="Yes",S1358&lt;&gt;"Yes",L1358&gt;0,B1358&lt;&gt;"TXO"),L1358,"")</f>
        <v/>
      </c>
      <c r="U1358" s="61">
        <f>IF(AND(R1358="Yes",S1358&lt;&gt;"Yes",L1358&lt;0,B1358&lt;&gt;"TXO"),L1358,"")</f>
        <v/>
      </c>
      <c r="V1358" s="61">
        <f>IF(AND(R1358="",S1358&lt;&gt;"Yes",L1358&gt;0,B1358&lt;&gt;"TXO"),L1358,"")</f>
        <v/>
      </c>
      <c r="W1358" s="61">
        <f>IF(AND(R1358="",S1358&lt;&gt;"Yes",L1358&lt;0,B1358&lt;&gt;"TXO"),L1358,"")</f>
        <v/>
      </c>
      <c r="X1358" s="226">
        <f>IF(AND(R1358="Yes",S1358="Yes",L1358&gt;0,B1358&lt;&gt;"TXO"),L1358,"")</f>
        <v/>
      </c>
      <c r="Y1358" s="226">
        <f>IF(AND(R1358="Yes",S1358="Yes",L1358&lt;0,B1358&lt;&gt;"TXO"),L1358,"")</f>
        <v/>
      </c>
      <c r="Z1358" s="226">
        <f>IF(AND(R1358="",S1358="Yes",L1358&gt;0,B1358&lt;&gt;"TXO"),L1358,"")</f>
        <v/>
      </c>
      <c r="AA1358" s="226">
        <f>IF(AND(R1358="",S1358="Yes",L1358&lt;0,B1358&lt;&gt;"TXO"),L1358,"")</f>
        <v/>
      </c>
    </row>
    <row r="1359" hidden="1" outlineLevel="2" collapsed="1" ht="17.25" customHeight="1" thickBot="1">
      <c r="A1359" s="740" t="n">
        <v>43385</v>
      </c>
      <c r="B1359" s="299" t="inlineStr">
        <is>
          <t>FIMTX</t>
        </is>
      </c>
      <c r="C1359" s="300" t="inlineStr">
        <is>
          <t>小指10</t>
        </is>
      </c>
      <c r="D1359" s="300" t="inlineStr">
        <is>
          <t>平倉</t>
        </is>
      </c>
      <c r="E1359" s="301" t="inlineStr">
        <is>
          <t>買</t>
        </is>
      </c>
      <c r="F1359" s="300" t="inlineStr">
        <is>
          <t>-</t>
        </is>
      </c>
      <c r="G1359" s="741" t="n">
        <v>3</v>
      </c>
      <c r="H1359" s="741" t="n">
        <v>9890</v>
      </c>
      <c r="I1359" s="741" t="n">
        <v>0</v>
      </c>
      <c r="J1359" s="742" t="n">
        <v>69</v>
      </c>
      <c r="K1359" s="742" t="n">
        <v>30</v>
      </c>
      <c r="L1359" s="742">
        <f>IF(B1359="TXO",I1359-SUM(J1359:K1359),IF(B1359="FITX",IF(D1359="新倉",-SUM(J1359:K1359),IF(E1359="賣",(H1359-H1358)*G1359*200-SUM(J1359:K1359),(H1358-H1359)*G1359*200-SUM(J1359:K1359))),IF(D1359="新倉",-SUM(J1359:K1359),IF(E1359="賣",(H1359-H1358)*G1359*50-SUM(J1359:K1359),(H1358-H1359)*G1359*50-SUM(J1359:K1359)))))</f>
        <v/>
      </c>
      <c r="M1359" s="743">
        <f>L1359</f>
        <v/>
      </c>
      <c r="N1359" s="686">
        <f>IF(B1359="TXO","",IF(D1359="新倉","",IF(E1359="賣",(H1359-H1358)*G1359,(H1358-H1359)*G1359)))</f>
        <v/>
      </c>
      <c r="O1359" s="226" t="n">
        <v>0</v>
      </c>
      <c r="P1359" s="667" t="n"/>
      <c r="Q1359" s="311" t="inlineStr">
        <is>
          <t>元大移動式停利</t>
        </is>
      </c>
      <c r="S1359" s="249" t="n"/>
      <c r="T1359" s="61">
        <f>IF(AND(R1359="Yes",S1359&lt;&gt;"Yes",L1359&gt;0,B1359&lt;&gt;"TXO"),L1359,"")</f>
        <v/>
      </c>
      <c r="U1359" s="61">
        <f>IF(AND(R1359="Yes",S1359&lt;&gt;"Yes",L1359&lt;0,B1359&lt;&gt;"TXO"),L1359,"")</f>
        <v/>
      </c>
      <c r="V1359" s="61">
        <f>IF(AND(R1359="",S1359&lt;&gt;"Yes",L1359&gt;0,B1359&lt;&gt;"TXO"),L1359,"")</f>
        <v/>
      </c>
      <c r="W1359" s="61">
        <f>IF(AND(R1359="",S1359&lt;&gt;"Yes",L1359&lt;0,B1359&lt;&gt;"TXO"),L1359,"")</f>
        <v/>
      </c>
      <c r="X1359" s="226">
        <f>IF(AND(R1359="Yes",S1359="Yes",L1359&gt;0,B1359&lt;&gt;"TXO"),L1359,"")</f>
        <v/>
      </c>
      <c r="Y1359" s="226">
        <f>IF(AND(R1359="Yes",S1359="Yes",L1359&lt;0,B1359&lt;&gt;"TXO"),L1359,"")</f>
        <v/>
      </c>
      <c r="Z1359" s="226">
        <f>IF(AND(R1359="",S1359="Yes",L1359&gt;0,B1359&lt;&gt;"TXO"),L1359,"")</f>
        <v/>
      </c>
      <c r="AA1359" s="226">
        <f>IF(AND(R1359="",S1359="Yes",L1359&lt;0,B1359&lt;&gt;"TXO"),L1359,"")</f>
        <v/>
      </c>
    </row>
    <row r="1360" hidden="1" outlineLevel="2" collapsed="1" ht="17.25" customHeight="1" thickBot="1">
      <c r="A1360" s="740" t="n">
        <v>43385</v>
      </c>
      <c r="B1360" s="299" t="inlineStr">
        <is>
          <t>FIMTX</t>
        </is>
      </c>
      <c r="C1360" s="300" t="inlineStr">
        <is>
          <t>小指10</t>
        </is>
      </c>
      <c r="D1360" s="300" t="inlineStr">
        <is>
          <t>新倉</t>
        </is>
      </c>
      <c r="E1360" s="301" t="inlineStr">
        <is>
          <t>賣</t>
        </is>
      </c>
      <c r="F1360" s="300" t="inlineStr">
        <is>
          <t>-</t>
        </is>
      </c>
      <c r="G1360" s="741" t="n">
        <v>2</v>
      </c>
      <c r="H1360" s="741" t="n">
        <v>9890</v>
      </c>
      <c r="I1360" s="741" t="n">
        <v>0</v>
      </c>
      <c r="J1360" s="742" t="n">
        <v>46</v>
      </c>
      <c r="K1360" s="742" t="n">
        <v>20</v>
      </c>
      <c r="L1360" s="742">
        <f>IF(B1360="TXO",I1360-SUM(J1360:K1360),IF(B1360="FITX",IF(D1360="新倉",-SUM(J1360:K1360),IF(E1360="賣",(H1360-H1359)*G1360*200-SUM(J1360:K1360),(H1359-H1360)*G1360*200-SUM(J1360:K1360))),IF(D1360="新倉",-SUM(J1360:K1360),IF(E1360="賣",(H1360-H1359)*G1360*50-SUM(J1360:K1360),(H1359-H1360)*G1360*50-SUM(J1360:K1360)))))</f>
        <v/>
      </c>
      <c r="M1360" s="743">
        <f>L1360</f>
        <v/>
      </c>
      <c r="N1360" s="686">
        <f>IF(B1360="TXO","",IF(D1360="新倉","",IF(E1360="賣",(H1360-H1359)*G1360,(H1359-H1360)*G1360)))</f>
        <v/>
      </c>
      <c r="O1360" s="226" t="n">
        <v>0</v>
      </c>
      <c r="P1360" s="667" t="n"/>
      <c r="Q1360" s="310" t="inlineStr">
        <is>
          <t>追跌</t>
        </is>
      </c>
      <c r="S1360" s="249" t="n"/>
      <c r="T1360" s="61">
        <f>IF(AND(R1360="Yes",S1360&lt;&gt;"Yes",L1360&gt;0,B1360&lt;&gt;"TXO"),L1360,"")</f>
        <v/>
      </c>
      <c r="U1360" s="61">
        <f>IF(AND(R1360="Yes",S1360&lt;&gt;"Yes",L1360&lt;0,B1360&lt;&gt;"TXO"),L1360,"")</f>
        <v/>
      </c>
      <c r="V1360" s="61">
        <f>IF(AND(R1360="",S1360&lt;&gt;"Yes",L1360&gt;0,B1360&lt;&gt;"TXO"),L1360,"")</f>
        <v/>
      </c>
      <c r="W1360" s="61">
        <f>IF(AND(R1360="",S1360&lt;&gt;"Yes",L1360&lt;0,B1360&lt;&gt;"TXO"),L1360,"")</f>
        <v/>
      </c>
      <c r="X1360" s="226">
        <f>IF(AND(R1360="Yes",S1360="Yes",L1360&gt;0,B1360&lt;&gt;"TXO"),L1360,"")</f>
        <v/>
      </c>
      <c r="Y1360" s="226">
        <f>IF(AND(R1360="Yes",S1360="Yes",L1360&lt;0,B1360&lt;&gt;"TXO"),L1360,"")</f>
        <v/>
      </c>
      <c r="Z1360" s="226">
        <f>IF(AND(R1360="",S1360="Yes",L1360&gt;0,B1360&lt;&gt;"TXO"),L1360,"")</f>
        <v/>
      </c>
      <c r="AA1360" s="226">
        <f>IF(AND(R1360="",S1360="Yes",L1360&lt;0,B1360&lt;&gt;"TXO"),L1360,"")</f>
        <v/>
      </c>
    </row>
    <row r="1361" hidden="1" outlineLevel="2" collapsed="1" ht="17.25" customHeight="1" thickBot="1">
      <c r="A1361" s="740" t="n">
        <v>43385</v>
      </c>
      <c r="B1361" s="299" t="inlineStr">
        <is>
          <t>FIMTX</t>
        </is>
      </c>
      <c r="C1361" s="300" t="inlineStr">
        <is>
          <t>小指10</t>
        </is>
      </c>
      <c r="D1361" s="300" t="inlineStr">
        <is>
          <t>平倉</t>
        </is>
      </c>
      <c r="E1361" s="301" t="inlineStr">
        <is>
          <t>買</t>
        </is>
      </c>
      <c r="F1361" s="300" t="inlineStr">
        <is>
          <t>-</t>
        </is>
      </c>
      <c r="G1361" s="741" t="n">
        <v>2</v>
      </c>
      <c r="H1361" s="741" t="n">
        <v>9945</v>
      </c>
      <c r="I1361" s="741" t="n">
        <v>0</v>
      </c>
      <c r="J1361" s="742" t="n">
        <v>46</v>
      </c>
      <c r="K1361" s="742" t="n">
        <v>20</v>
      </c>
      <c r="L1361" s="742">
        <f>IF(B1361="TXO",I1361-SUM(J1361:K1361),IF(B1361="FITX",IF(D1361="新倉",-SUM(J1361:K1361),IF(E1361="賣",(H1361-H1360)*G1361*200-SUM(J1361:K1361),(H1360-H1361)*G1361*200-SUM(J1361:K1361))),IF(D1361="新倉",-SUM(J1361:K1361),IF(E1361="賣",(H1361-H1360)*G1361*50-SUM(J1361:K1361),(H1360-H1361)*G1361*50-SUM(J1361:K1361)))))</f>
        <v/>
      </c>
      <c r="M1361" s="743">
        <f>L1361</f>
        <v/>
      </c>
      <c r="N1361" s="686">
        <f>IF(B1361="TXO","",IF(D1361="新倉","",IF(E1361="賣",(H1361-H1360)*G1361,(H1360-H1361)*G1361)))</f>
        <v/>
      </c>
      <c r="O1361" s="226" t="n">
        <v>0</v>
      </c>
      <c r="P1361" s="667" t="n"/>
      <c r="Q1361" s="311" t="n"/>
      <c r="S1361" s="249" t="n"/>
      <c r="T1361" s="61">
        <f>IF(AND(R1361="Yes",S1361&lt;&gt;"Yes",L1361&gt;0,B1361&lt;&gt;"TXO"),L1361,"")</f>
        <v/>
      </c>
      <c r="U1361" s="61">
        <f>IF(AND(R1361="Yes",S1361&lt;&gt;"Yes",L1361&lt;0,B1361&lt;&gt;"TXO"),L1361,"")</f>
        <v/>
      </c>
      <c r="V1361" s="61">
        <f>IF(AND(R1361="",S1361&lt;&gt;"Yes",L1361&gt;0,B1361&lt;&gt;"TXO"),L1361,"")</f>
        <v/>
      </c>
      <c r="W1361" s="61">
        <f>IF(AND(R1361="",S1361&lt;&gt;"Yes",L1361&lt;0,B1361&lt;&gt;"TXO"),L1361,"")</f>
        <v/>
      </c>
      <c r="X1361" s="226">
        <f>IF(AND(R1361="Yes",S1361="Yes",L1361&gt;0,B1361&lt;&gt;"TXO"),L1361,"")</f>
        <v/>
      </c>
      <c r="Y1361" s="226">
        <f>IF(AND(R1361="Yes",S1361="Yes",L1361&lt;0,B1361&lt;&gt;"TXO"),L1361,"")</f>
        <v/>
      </c>
      <c r="Z1361" s="226">
        <f>IF(AND(R1361="",S1361="Yes",L1361&gt;0,B1361&lt;&gt;"TXO"),L1361,"")</f>
        <v/>
      </c>
      <c r="AA1361" s="226">
        <f>IF(AND(R1361="",S1361="Yes",L1361&lt;0,B1361&lt;&gt;"TXO"),L1361,"")</f>
        <v/>
      </c>
    </row>
    <row r="1362" hidden="1" outlineLevel="2" collapsed="1" ht="17.25" customHeight="1" thickBot="1">
      <c r="A1362" s="740" t="n">
        <v>43385</v>
      </c>
      <c r="B1362" s="299" t="inlineStr">
        <is>
          <t>FIMTX</t>
        </is>
      </c>
      <c r="C1362" s="300" t="inlineStr">
        <is>
          <t>小指10</t>
        </is>
      </c>
      <c r="D1362" s="300" t="inlineStr">
        <is>
          <t>新倉</t>
        </is>
      </c>
      <c r="E1362" s="301" t="inlineStr">
        <is>
          <t>賣</t>
        </is>
      </c>
      <c r="F1362" s="300" t="inlineStr">
        <is>
          <t>-</t>
        </is>
      </c>
      <c r="G1362" s="741" t="n">
        <v>1</v>
      </c>
      <c r="H1362" s="741" t="n">
        <v>9890</v>
      </c>
      <c r="I1362" s="741" t="n">
        <v>0</v>
      </c>
      <c r="J1362" s="742" t="n">
        <v>23</v>
      </c>
      <c r="K1362" s="742" t="n">
        <v>10</v>
      </c>
      <c r="L1362" s="742">
        <f>IF(B1362="TXO",I1362-SUM(J1362:K1362),IF(B1362="FITX",IF(D1362="新倉",-SUM(J1362:K1362),IF(E1362="賣",(H1362-H1361)*G1362*200-SUM(J1362:K1362),(H1361-H1362)*G1362*200-SUM(J1362:K1362))),IF(D1362="新倉",-SUM(J1362:K1362),IF(E1362="賣",(H1362-H1361)*G1362*50-SUM(J1362:K1362),(H1361-H1362)*G1362*50-SUM(J1362:K1362)))))</f>
        <v/>
      </c>
      <c r="M1362" s="743">
        <f>L1362</f>
        <v/>
      </c>
      <c r="N1362" s="686">
        <f>IF(B1362="TXO","",IF(D1362="新倉","",IF(E1362="賣",(H1362-H1361)*G1362,(H1361-H1362)*G1362)))</f>
        <v/>
      </c>
      <c r="O1362" s="226" t="n">
        <v>0</v>
      </c>
      <c r="P1362" s="667" t="n"/>
      <c r="Q1362" s="310" t="inlineStr">
        <is>
          <t>追跌</t>
        </is>
      </c>
      <c r="S1362" s="249" t="n"/>
      <c r="T1362" s="61">
        <f>IF(AND(R1362="Yes",S1362&lt;&gt;"Yes",L1362&gt;0,B1362&lt;&gt;"TXO"),L1362,"")</f>
        <v/>
      </c>
      <c r="U1362" s="61">
        <f>IF(AND(R1362="Yes",S1362&lt;&gt;"Yes",L1362&lt;0,B1362&lt;&gt;"TXO"),L1362,"")</f>
        <v/>
      </c>
      <c r="V1362" s="61">
        <f>IF(AND(R1362="",S1362&lt;&gt;"Yes",L1362&gt;0,B1362&lt;&gt;"TXO"),L1362,"")</f>
        <v/>
      </c>
      <c r="W1362" s="61">
        <f>IF(AND(R1362="",S1362&lt;&gt;"Yes",L1362&lt;0,B1362&lt;&gt;"TXO"),L1362,"")</f>
        <v/>
      </c>
      <c r="X1362" s="226">
        <f>IF(AND(R1362="Yes",S1362="Yes",L1362&gt;0,B1362&lt;&gt;"TXO"),L1362,"")</f>
        <v/>
      </c>
      <c r="Y1362" s="226">
        <f>IF(AND(R1362="Yes",S1362="Yes",L1362&lt;0,B1362&lt;&gt;"TXO"),L1362,"")</f>
        <v/>
      </c>
      <c r="Z1362" s="226">
        <f>IF(AND(R1362="",S1362="Yes",L1362&gt;0,B1362&lt;&gt;"TXO"),L1362,"")</f>
        <v/>
      </c>
      <c r="AA1362" s="226">
        <f>IF(AND(R1362="",S1362="Yes",L1362&lt;0,B1362&lt;&gt;"TXO"),L1362,"")</f>
        <v/>
      </c>
    </row>
    <row r="1363" hidden="1" outlineLevel="2" collapsed="1" ht="17.25" customHeight="1" thickBot="1">
      <c r="A1363" s="740" t="n">
        <v>43385</v>
      </c>
      <c r="B1363" s="299" t="inlineStr">
        <is>
          <t>FIMTX</t>
        </is>
      </c>
      <c r="C1363" s="300" t="inlineStr">
        <is>
          <t>小指10</t>
        </is>
      </c>
      <c r="D1363" s="300" t="inlineStr">
        <is>
          <t>平倉</t>
        </is>
      </c>
      <c r="E1363" s="301" t="inlineStr">
        <is>
          <t>買</t>
        </is>
      </c>
      <c r="F1363" s="300" t="inlineStr">
        <is>
          <t>-</t>
        </is>
      </c>
      <c r="G1363" s="741" t="n">
        <v>1</v>
      </c>
      <c r="H1363" s="741" t="n">
        <v>9946</v>
      </c>
      <c r="I1363" s="741" t="n">
        <v>0</v>
      </c>
      <c r="J1363" s="742" t="n">
        <v>23</v>
      </c>
      <c r="K1363" s="742" t="n">
        <v>10</v>
      </c>
      <c r="L1363" s="742">
        <f>IF(B1363="TXO",I1363-SUM(J1363:K1363),IF(B1363="FITX",IF(D1363="新倉",-SUM(J1363:K1363),IF(E1363="賣",(H1363-H1362)*G1363*200-SUM(J1363:K1363),(H1362-H1363)*G1363*200-SUM(J1363:K1363))),IF(D1363="新倉",-SUM(J1363:K1363),IF(E1363="賣",(H1363-H1362)*G1363*50-SUM(J1363:K1363),(H1362-H1363)*G1363*50-SUM(J1363:K1363)))))</f>
        <v/>
      </c>
      <c r="M1363" s="743">
        <f>L1363</f>
        <v/>
      </c>
      <c r="N1363" s="686">
        <f>IF(B1363="TXO","",IF(D1363="新倉","",IF(E1363="賣",(H1363-H1362)*G1363,(H1362-H1363)*G1363)))</f>
        <v/>
      </c>
      <c r="O1363" s="226" t="n">
        <v>0</v>
      </c>
      <c r="P1363" s="667" t="n"/>
      <c r="Q1363" s="311" t="n"/>
      <c r="S1363" s="249" t="n"/>
      <c r="T1363" s="61">
        <f>IF(AND(R1363="Yes",S1363&lt;&gt;"Yes",L1363&gt;0,B1363&lt;&gt;"TXO"),L1363,"")</f>
        <v/>
      </c>
      <c r="U1363" s="61">
        <f>IF(AND(R1363="Yes",S1363&lt;&gt;"Yes",L1363&lt;0,B1363&lt;&gt;"TXO"),L1363,"")</f>
        <v/>
      </c>
      <c r="V1363" s="61">
        <f>IF(AND(R1363="",S1363&lt;&gt;"Yes",L1363&gt;0,B1363&lt;&gt;"TXO"),L1363,"")</f>
        <v/>
      </c>
      <c r="W1363" s="61">
        <f>IF(AND(R1363="",S1363&lt;&gt;"Yes",L1363&lt;0,B1363&lt;&gt;"TXO"),L1363,"")</f>
        <v/>
      </c>
      <c r="X1363" s="226">
        <f>IF(AND(R1363="Yes",S1363="Yes",L1363&gt;0,B1363&lt;&gt;"TXO"),L1363,"")</f>
        <v/>
      </c>
      <c r="Y1363" s="226">
        <f>IF(AND(R1363="Yes",S1363="Yes",L1363&lt;0,B1363&lt;&gt;"TXO"),L1363,"")</f>
        <v/>
      </c>
      <c r="Z1363" s="226">
        <f>IF(AND(R1363="",S1363="Yes",L1363&gt;0,B1363&lt;&gt;"TXO"),L1363,"")</f>
        <v/>
      </c>
      <c r="AA1363" s="226">
        <f>IF(AND(R1363="",S1363="Yes",L1363&lt;0,B1363&lt;&gt;"TXO"),L1363,"")</f>
        <v/>
      </c>
    </row>
    <row r="1364" hidden="1" outlineLevel="2" collapsed="1" ht="17.25" customHeight="1" thickBot="1">
      <c r="A1364" s="740" t="n">
        <v>43385</v>
      </c>
      <c r="B1364" s="299" t="inlineStr">
        <is>
          <t>FIMTX</t>
        </is>
      </c>
      <c r="C1364" s="300" t="inlineStr">
        <is>
          <t>小指10</t>
        </is>
      </c>
      <c r="D1364" s="300" t="inlineStr">
        <is>
          <t>新倉</t>
        </is>
      </c>
      <c r="E1364" s="301" t="inlineStr">
        <is>
          <t>買</t>
        </is>
      </c>
      <c r="F1364" s="300" t="inlineStr">
        <is>
          <t>-</t>
        </is>
      </c>
      <c r="G1364" s="741" t="n">
        <v>3</v>
      </c>
      <c r="H1364" s="741" t="n">
        <v>9947</v>
      </c>
      <c r="I1364" s="741" t="n">
        <v>0</v>
      </c>
      <c r="J1364" s="742" t="n">
        <v>69</v>
      </c>
      <c r="K1364" s="742" t="n">
        <v>30</v>
      </c>
      <c r="L1364" s="742">
        <f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/>
      </c>
      <c r="M1364" s="743">
        <f>L1364</f>
        <v/>
      </c>
      <c r="N1364" s="686">
        <f>IF(B1364="TXO","",IF(D1364="新倉","",IF(E1364="賣",(H1364-H1363)*G1364,(H1363-H1364)*G1364)))</f>
        <v/>
      </c>
      <c r="O1364" s="226" t="n">
        <v>0</v>
      </c>
      <c r="P1364" s="667" t="n"/>
      <c r="Q1364" s="310" t="inlineStr">
        <is>
          <t>追跌</t>
        </is>
      </c>
      <c r="S1364" s="249" t="n"/>
      <c r="T1364" s="61">
        <f>IF(AND(R1364="Yes",S1364&lt;&gt;"Yes",L1364&gt;0,B1364&lt;&gt;"TXO"),L1364,"")</f>
        <v/>
      </c>
      <c r="U1364" s="61">
        <f>IF(AND(R1364="Yes",S1364&lt;&gt;"Yes",L1364&lt;0,B1364&lt;&gt;"TXO"),L1364,"")</f>
        <v/>
      </c>
      <c r="V1364" s="61">
        <f>IF(AND(R1364="",S1364&lt;&gt;"Yes",L1364&gt;0,B1364&lt;&gt;"TXO"),L1364,"")</f>
        <v/>
      </c>
      <c r="W1364" s="61">
        <f>IF(AND(R1364="",S1364&lt;&gt;"Yes",L1364&lt;0,B1364&lt;&gt;"TXO"),L1364,"")</f>
        <v/>
      </c>
      <c r="X1364" s="226">
        <f>IF(AND(R1364="Yes",S1364="Yes",L1364&gt;0,B1364&lt;&gt;"TXO"),L1364,"")</f>
        <v/>
      </c>
      <c r="Y1364" s="226">
        <f>IF(AND(R1364="Yes",S1364="Yes",L1364&lt;0,B1364&lt;&gt;"TXO"),L1364,"")</f>
        <v/>
      </c>
      <c r="Z1364" s="226">
        <f>IF(AND(R1364="",S1364="Yes",L1364&gt;0,B1364&lt;&gt;"TXO"),L1364,"")</f>
        <v/>
      </c>
      <c r="AA1364" s="226">
        <f>IF(AND(R1364="",S1364="Yes",L1364&lt;0,B1364&lt;&gt;"TXO"),L1364,"")</f>
        <v/>
      </c>
    </row>
    <row r="1365" hidden="1" outlineLevel="2" collapsed="1" ht="17.25" customHeight="1" thickBot="1">
      <c r="A1365" s="740" t="n">
        <v>43385</v>
      </c>
      <c r="B1365" s="299" t="inlineStr">
        <is>
          <t>FIMTX</t>
        </is>
      </c>
      <c r="C1365" s="300" t="inlineStr">
        <is>
          <t>小指10</t>
        </is>
      </c>
      <c r="D1365" s="300" t="inlineStr">
        <is>
          <t>平倉</t>
        </is>
      </c>
      <c r="E1365" s="301" t="inlineStr">
        <is>
          <t>賣</t>
        </is>
      </c>
      <c r="F1365" s="300" t="inlineStr">
        <is>
          <t>-</t>
        </is>
      </c>
      <c r="G1365" s="741" t="n">
        <v>3</v>
      </c>
      <c r="H1365" s="741" t="n">
        <v>9951</v>
      </c>
      <c r="I1365" s="741" t="n">
        <v>0</v>
      </c>
      <c r="J1365" s="742" t="n">
        <v>69</v>
      </c>
      <c r="K1365" s="742" t="n">
        <v>30</v>
      </c>
      <c r="L1365" s="742">
        <f>IF(B1365="TXO",I1365-SUM(J1365:K1365),IF(B1365="FITX",IF(D1365="新倉",-SUM(J1365:K1365),IF(E1365="賣",(H1365-H1364)*G1365*200-SUM(J1365:K1365),(H1364-H1365)*G1365*200-SUM(J1365:K1365))),IF(D1365="新倉",-SUM(J1365:K1365),IF(E1365="賣",(H1365-H1364)*G1365*50-SUM(J1365:K1365),(H1364-H1365)*G1365*50-SUM(J1365:K1365)))))</f>
        <v/>
      </c>
      <c r="M1365" s="743">
        <f>L1365</f>
        <v/>
      </c>
      <c r="N1365" s="686">
        <f>IF(B1365="TXO","",IF(D1365="新倉","",IF(E1365="賣",(H1365-H1364)*G1365,(H1364-H1365)*G1365)))</f>
        <v/>
      </c>
      <c r="O1365" s="226" t="n">
        <v>0</v>
      </c>
      <c r="P1365" s="667" t="n"/>
      <c r="Q1365" s="311" t="inlineStr">
        <is>
          <t>元大移動式停利</t>
        </is>
      </c>
      <c r="S1365" s="249" t="n"/>
      <c r="T1365" s="61">
        <f>IF(AND(R1365="Yes",S1365&lt;&gt;"Yes",L1365&gt;0,B1365&lt;&gt;"TXO"),L1365,"")</f>
        <v/>
      </c>
      <c r="U1365" s="61">
        <f>IF(AND(R1365="Yes",S1365&lt;&gt;"Yes",L1365&lt;0,B1365&lt;&gt;"TXO"),L1365,"")</f>
        <v/>
      </c>
      <c r="V1365" s="61">
        <f>IF(AND(R1365="",S1365&lt;&gt;"Yes",L1365&gt;0,B1365&lt;&gt;"TXO"),L1365,"")</f>
        <v/>
      </c>
      <c r="W1365" s="61">
        <f>IF(AND(R1365="",S1365&lt;&gt;"Yes",L1365&lt;0,B1365&lt;&gt;"TXO"),L1365,"")</f>
        <v/>
      </c>
      <c r="X1365" s="226">
        <f>IF(AND(R1365="Yes",S1365="Yes",L1365&gt;0,B1365&lt;&gt;"TXO"),L1365,"")</f>
        <v/>
      </c>
      <c r="Y1365" s="226">
        <f>IF(AND(R1365="Yes",S1365="Yes",L1365&lt;0,B1365&lt;&gt;"TXO"),L1365,"")</f>
        <v/>
      </c>
      <c r="Z1365" s="226">
        <f>IF(AND(R1365="",S1365="Yes",L1365&gt;0,B1365&lt;&gt;"TXO"),L1365,"")</f>
        <v/>
      </c>
      <c r="AA1365" s="226">
        <f>IF(AND(R1365="",S1365="Yes",L1365&lt;0,B1365&lt;&gt;"TXO"),L1365,"")</f>
        <v/>
      </c>
    </row>
    <row r="1366" hidden="1" outlineLevel="2" collapsed="1" ht="17.25" customHeight="1" thickBot="1">
      <c r="A1366" s="740" t="n">
        <v>43385</v>
      </c>
      <c r="B1366" s="299" t="inlineStr">
        <is>
          <t>FIMTX</t>
        </is>
      </c>
      <c r="C1366" s="300" t="inlineStr">
        <is>
          <t>小指10</t>
        </is>
      </c>
      <c r="D1366" s="300" t="inlineStr">
        <is>
          <t>新倉</t>
        </is>
      </c>
      <c r="E1366" s="301" t="inlineStr">
        <is>
          <t>賣</t>
        </is>
      </c>
      <c r="F1366" s="300" t="inlineStr">
        <is>
          <t>-</t>
        </is>
      </c>
      <c r="G1366" s="741" t="n">
        <v>3</v>
      </c>
      <c r="H1366" s="741" t="n">
        <v>10018</v>
      </c>
      <c r="I1366" s="741" t="n">
        <v>0</v>
      </c>
      <c r="J1366" s="742" t="n">
        <v>69</v>
      </c>
      <c r="K1366" s="742" t="n">
        <v>30</v>
      </c>
      <c r="L1366" s="742">
        <f>IF(B1366="TXO",I1366-SUM(J1366:K1366),IF(B1366="FITX",IF(D1366="新倉",-SUM(J1366:K1366),IF(E1366="賣",(H1366-H1365)*G1366*200-SUM(J1366:K1366),(H1365-H1366)*G1366*200-SUM(J1366:K1366))),IF(D1366="新倉",-SUM(J1366:K1366),IF(E1366="賣",(H1366-H1365)*G1366*50-SUM(J1366:K1366),(H1365-H1366)*G1366*50-SUM(J1366:K1366)))))</f>
        <v/>
      </c>
      <c r="M1366" s="743">
        <f>L1366</f>
        <v/>
      </c>
      <c r="N1366" s="686">
        <f>IF(B1366="TXO","",IF(D1366="新倉","",IF(E1366="賣",(H1366-H1365)*G1366,(H1365-H1366)*G1366)))</f>
        <v/>
      </c>
      <c r="O1366" s="226" t="n">
        <v>0</v>
      </c>
      <c r="P1366" s="667" t="n"/>
      <c r="Q1366" s="310" t="n"/>
      <c r="S1366" s="249" t="n"/>
      <c r="T1366" s="61">
        <f>IF(AND(R1366="Yes",S1366&lt;&gt;"Yes",L1366&gt;0,B1366&lt;&gt;"TXO"),L1366,"")</f>
        <v/>
      </c>
      <c r="U1366" s="61">
        <f>IF(AND(R1366="Yes",S1366&lt;&gt;"Yes",L1366&lt;0,B1366&lt;&gt;"TXO"),L1366,"")</f>
        <v/>
      </c>
      <c r="V1366" s="61">
        <f>IF(AND(R1366="",S1366&lt;&gt;"Yes",L1366&gt;0,B1366&lt;&gt;"TXO"),L1366,"")</f>
        <v/>
      </c>
      <c r="W1366" s="61">
        <f>IF(AND(R1366="",S1366&lt;&gt;"Yes",L1366&lt;0,B1366&lt;&gt;"TXO"),L1366,"")</f>
        <v/>
      </c>
      <c r="X1366" s="226">
        <f>IF(AND(R1366="Yes",S1366="Yes",L1366&gt;0,B1366&lt;&gt;"TXO"),L1366,"")</f>
        <v/>
      </c>
      <c r="Y1366" s="226">
        <f>IF(AND(R1366="Yes",S1366="Yes",L1366&lt;0,B1366&lt;&gt;"TXO"),L1366,"")</f>
        <v/>
      </c>
      <c r="Z1366" s="226">
        <f>IF(AND(R1366="",S1366="Yes",L1366&gt;0,B1366&lt;&gt;"TXO"),L1366,"")</f>
        <v/>
      </c>
      <c r="AA1366" s="226">
        <f>IF(AND(R1366="",S1366="Yes",L1366&lt;0,B1366&lt;&gt;"TXO"),L1366,"")</f>
        <v/>
      </c>
    </row>
    <row r="1367" hidden="1" outlineLevel="2" collapsed="1" ht="17.25" customHeight="1" thickBot="1">
      <c r="A1367" s="740" t="n">
        <v>43385</v>
      </c>
      <c r="B1367" s="299" t="inlineStr">
        <is>
          <t>FIMTX</t>
        </is>
      </c>
      <c r="C1367" s="300" t="inlineStr">
        <is>
          <t>小指10</t>
        </is>
      </c>
      <c r="D1367" s="300" t="inlineStr">
        <is>
          <t>平倉</t>
        </is>
      </c>
      <c r="E1367" s="301" t="inlineStr">
        <is>
          <t>買</t>
        </is>
      </c>
      <c r="F1367" s="300" t="inlineStr">
        <is>
          <t>-</t>
        </is>
      </c>
      <c r="G1367" s="741" t="n">
        <v>3</v>
      </c>
      <c r="H1367" s="741" t="n">
        <v>10017</v>
      </c>
      <c r="I1367" s="741" t="n">
        <v>0</v>
      </c>
      <c r="J1367" s="742" t="n">
        <v>69</v>
      </c>
      <c r="K1367" s="742" t="n">
        <v>30</v>
      </c>
      <c r="L1367" s="742">
        <f>IF(B1367="TXO",I1367-SUM(J1367:K1367),IF(B1367="FITX",IF(D1367="新倉",-SUM(J1367:K1367),IF(E1367="賣",(H1367-H1366)*G1367*200-SUM(J1367:K1367),(H1366-H1367)*G1367*200-SUM(J1367:K1367))),IF(D1367="新倉",-SUM(J1367:K1367),IF(E1367="賣",(H1367-H1366)*G1367*50-SUM(J1367:K1367),(H1366-H1367)*G1367*50-SUM(J1367:K1367)))))</f>
        <v/>
      </c>
      <c r="M1367" s="743">
        <f>L1367</f>
        <v/>
      </c>
      <c r="N1367" s="686">
        <f>IF(B1367="TXO","",IF(D1367="新倉","",IF(E1367="賣",(H1367-H1366)*G1367,(H1366-H1367)*G1367)))</f>
        <v/>
      </c>
      <c r="O1367" s="226" t="n">
        <v>0</v>
      </c>
      <c r="P1367" s="667" t="n"/>
      <c r="Q1367" s="311" t="n"/>
      <c r="S1367" s="249" t="n"/>
      <c r="T1367" s="61">
        <f>IF(AND(R1367="Yes",S1367&lt;&gt;"Yes",L1367&gt;0,B1367&lt;&gt;"TXO"),L1367,"")</f>
        <v/>
      </c>
      <c r="U1367" s="61">
        <f>IF(AND(R1367="Yes",S1367&lt;&gt;"Yes",L1367&lt;0,B1367&lt;&gt;"TXO"),L1367,"")</f>
        <v/>
      </c>
      <c r="V1367" s="61">
        <f>IF(AND(R1367="",S1367&lt;&gt;"Yes",L1367&gt;0,B1367&lt;&gt;"TXO"),L1367,"")</f>
        <v/>
      </c>
      <c r="W1367" s="61">
        <f>IF(AND(R1367="",S1367&lt;&gt;"Yes",L1367&lt;0,B1367&lt;&gt;"TXO"),L1367,"")</f>
        <v/>
      </c>
      <c r="X1367" s="226">
        <f>IF(AND(R1367="Yes",S1367="Yes",L1367&gt;0,B1367&lt;&gt;"TXO"),L1367,"")</f>
        <v/>
      </c>
      <c r="Y1367" s="226">
        <f>IF(AND(R1367="Yes",S1367="Yes",L1367&lt;0,B1367&lt;&gt;"TXO"),L1367,"")</f>
        <v/>
      </c>
      <c r="Z1367" s="226">
        <f>IF(AND(R1367="",S1367="Yes",L1367&gt;0,B1367&lt;&gt;"TXO"),L1367,"")</f>
        <v/>
      </c>
      <c r="AA1367" s="226">
        <f>IF(AND(R1367="",S1367="Yes",L1367&lt;0,B1367&lt;&gt;"TXO"),L1367,"")</f>
        <v/>
      </c>
    </row>
    <row r="1368" hidden="1" outlineLevel="2" collapsed="1" ht="17.25" customHeight="1" thickBot="1">
      <c r="A1368" s="740" t="n">
        <v>43385</v>
      </c>
      <c r="B1368" s="299" t="inlineStr">
        <is>
          <t>FIMTX</t>
        </is>
      </c>
      <c r="C1368" s="300" t="inlineStr">
        <is>
          <t>小指10</t>
        </is>
      </c>
      <c r="D1368" s="300" t="inlineStr">
        <is>
          <t>新倉</t>
        </is>
      </c>
      <c r="E1368" s="301" t="inlineStr">
        <is>
          <t>買</t>
        </is>
      </c>
      <c r="F1368" s="300" t="inlineStr">
        <is>
          <t>-</t>
        </is>
      </c>
      <c r="G1368" s="741" t="n">
        <v>3</v>
      </c>
      <c r="H1368" s="741" t="n">
        <v>10015</v>
      </c>
      <c r="I1368" s="741" t="n">
        <v>0</v>
      </c>
      <c r="J1368" s="742" t="n">
        <v>69</v>
      </c>
      <c r="K1368" s="742" t="n">
        <v>30</v>
      </c>
      <c r="L1368" s="742">
        <f>IF(B1368="TXO",I1368-SUM(J1368:K1368),IF(B1368="FITX",IF(D1368="新倉",-SUM(J1368:K1368),IF(E1368="賣",(H1368-H1367)*G1368*200-SUM(J1368:K1368),(H1367-H1368)*G1368*200-SUM(J1368:K1368))),IF(D1368="新倉",-SUM(J1368:K1368),IF(E1368="賣",(H1368-H1367)*G1368*50-SUM(J1368:K1368),(H1367-H1368)*G1368*50-SUM(J1368:K1368)))))</f>
        <v/>
      </c>
      <c r="M1368" s="743">
        <f>L1368</f>
        <v/>
      </c>
      <c r="N1368" s="686">
        <f>IF(B1368="TXO","",IF(D1368="新倉","",IF(E1368="賣",(H1368-H1367)*G1368,(H1367-H1368)*G1368)))</f>
        <v/>
      </c>
      <c r="O1368" s="226" t="n">
        <v>0</v>
      </c>
      <c r="P1368" s="667" t="n"/>
      <c r="Q1368" s="310" t="n"/>
      <c r="S1368" s="249" t="n"/>
      <c r="T1368" s="61">
        <f>IF(AND(R1368="Yes",S1368&lt;&gt;"Yes",L1368&gt;0,B1368&lt;&gt;"TXO"),L1368,"")</f>
        <v/>
      </c>
      <c r="U1368" s="61">
        <f>IF(AND(R1368="Yes",S1368&lt;&gt;"Yes",L1368&lt;0,B1368&lt;&gt;"TXO"),L1368,"")</f>
        <v/>
      </c>
      <c r="V1368" s="61">
        <f>IF(AND(R1368="",S1368&lt;&gt;"Yes",L1368&gt;0,B1368&lt;&gt;"TXO"),L1368,"")</f>
        <v/>
      </c>
      <c r="W1368" s="61">
        <f>IF(AND(R1368="",S1368&lt;&gt;"Yes",L1368&lt;0,B1368&lt;&gt;"TXO"),L1368,"")</f>
        <v/>
      </c>
      <c r="X1368" s="226">
        <f>IF(AND(R1368="Yes",S1368="Yes",L1368&gt;0,B1368&lt;&gt;"TXO"),L1368,"")</f>
        <v/>
      </c>
      <c r="Y1368" s="226">
        <f>IF(AND(R1368="Yes",S1368="Yes",L1368&lt;0,B1368&lt;&gt;"TXO"),L1368,"")</f>
        <v/>
      </c>
      <c r="Z1368" s="226">
        <f>IF(AND(R1368="",S1368="Yes",L1368&gt;0,B1368&lt;&gt;"TXO"),L1368,"")</f>
        <v/>
      </c>
      <c r="AA1368" s="226">
        <f>IF(AND(R1368="",S1368="Yes",L1368&lt;0,B1368&lt;&gt;"TXO"),L1368,"")</f>
        <v/>
      </c>
    </row>
    <row r="1369" hidden="1" outlineLevel="2" collapsed="1" ht="17.25" customHeight="1" thickBot="1">
      <c r="A1369" s="740" t="n">
        <v>43385</v>
      </c>
      <c r="B1369" s="299" t="inlineStr">
        <is>
          <t>FIMTX</t>
        </is>
      </c>
      <c r="C1369" s="300" t="inlineStr">
        <is>
          <t>小指10</t>
        </is>
      </c>
      <c r="D1369" s="300" t="inlineStr">
        <is>
          <t>平倉</t>
        </is>
      </c>
      <c r="E1369" s="301" t="inlineStr">
        <is>
          <t>賣</t>
        </is>
      </c>
      <c r="F1369" s="300" t="inlineStr">
        <is>
          <t>-</t>
        </is>
      </c>
      <c r="G1369" s="741" t="n">
        <v>3</v>
      </c>
      <c r="H1369" s="741" t="n">
        <v>10018</v>
      </c>
      <c r="I1369" s="741" t="n">
        <v>0</v>
      </c>
      <c r="J1369" s="742" t="n">
        <v>69</v>
      </c>
      <c r="K1369" s="742" t="n">
        <v>30</v>
      </c>
      <c r="L1369" s="742">
        <f>IF(B1369="TXO",I1369-SUM(J1369:K1369),IF(B1369="FITX",IF(D1369="新倉",-SUM(J1369:K1369),IF(E1369="賣",(H1369-H1368)*G1369*200-SUM(J1369:K1369),(H1368-H1369)*G1369*200-SUM(J1369:K1369))),IF(D1369="新倉",-SUM(J1369:K1369),IF(E1369="賣",(H1369-H1368)*G1369*50-SUM(J1369:K1369),(H1368-H1369)*G1369*50-SUM(J1369:K1369)))))</f>
        <v/>
      </c>
      <c r="M1369" s="743">
        <f>L1369</f>
        <v/>
      </c>
      <c r="N1369" s="686">
        <f>IF(B1369="TXO","",IF(D1369="新倉","",IF(E1369="賣",(H1369-H1368)*G1369,(H1368-H1369)*G1369)))</f>
        <v/>
      </c>
      <c r="O1369" s="226" t="n">
        <v>0</v>
      </c>
      <c r="P1369" s="667" t="n"/>
      <c r="Q1369" s="311" t="n"/>
      <c r="S1369" s="249" t="n"/>
      <c r="T1369" s="61">
        <f>IF(AND(R1369="Yes",S1369&lt;&gt;"Yes",L1369&gt;0,B1369&lt;&gt;"TXO"),L1369,"")</f>
        <v/>
      </c>
      <c r="U1369" s="61">
        <f>IF(AND(R1369="Yes",S1369&lt;&gt;"Yes",L1369&lt;0,B1369&lt;&gt;"TXO"),L1369,"")</f>
        <v/>
      </c>
      <c r="V1369" s="61">
        <f>IF(AND(R1369="",S1369&lt;&gt;"Yes",L1369&gt;0,B1369&lt;&gt;"TXO"),L1369,"")</f>
        <v/>
      </c>
      <c r="W1369" s="61">
        <f>IF(AND(R1369="",S1369&lt;&gt;"Yes",L1369&lt;0,B1369&lt;&gt;"TXO"),L1369,"")</f>
        <v/>
      </c>
      <c r="X1369" s="226">
        <f>IF(AND(R1369="Yes",S1369="Yes",L1369&gt;0,B1369&lt;&gt;"TXO"),L1369,"")</f>
        <v/>
      </c>
      <c r="Y1369" s="226">
        <f>IF(AND(R1369="Yes",S1369="Yes",L1369&lt;0,B1369&lt;&gt;"TXO"),L1369,"")</f>
        <v/>
      </c>
      <c r="Z1369" s="226">
        <f>IF(AND(R1369="",S1369="Yes",L1369&gt;0,B1369&lt;&gt;"TXO"),L1369,"")</f>
        <v/>
      </c>
      <c r="AA1369" s="226">
        <f>IF(AND(R1369="",S1369="Yes",L1369&lt;0,B1369&lt;&gt;"TXO"),L1369,"")</f>
        <v/>
      </c>
    </row>
    <row r="1370" hidden="1" outlineLevel="1" ht="17.25" customHeight="1" thickBot="1">
      <c r="A1370" s="696" t="n">
        <v>43390</v>
      </c>
      <c r="B1370" s="234" t="inlineStr">
        <is>
          <t>FIMTX</t>
        </is>
      </c>
      <c r="C1370" s="229" t="inlineStr">
        <is>
          <t>小指11</t>
        </is>
      </c>
      <c r="D1370" s="229" t="inlineStr">
        <is>
          <t>新倉</t>
        </is>
      </c>
      <c r="E1370" s="257" t="inlineStr">
        <is>
          <t>賣</t>
        </is>
      </c>
      <c r="F1370" s="229" t="inlineStr">
        <is>
          <t>-</t>
        </is>
      </c>
      <c r="G1370" s="697" t="n">
        <v>1</v>
      </c>
      <c r="H1370" s="697" t="n">
        <v>9944</v>
      </c>
      <c r="I1370" s="697" t="n">
        <v>0</v>
      </c>
      <c r="J1370" s="585" t="n">
        <v>23</v>
      </c>
      <c r="K1370" s="585" t="n">
        <v>10</v>
      </c>
      <c r="L1370" s="585">
        <f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/>
      </c>
      <c r="M1370" s="699">
        <f>L1370</f>
        <v/>
      </c>
      <c r="N1370" s="686">
        <f>IF(B1370="TXO","",IF(D1370="新倉","",IF(E1370="賣",(H1370-H1369)*G1370,(H1369-H1370)*G1370)))</f>
        <v/>
      </c>
      <c r="O1370" s="226">
        <f>ABS(I1370)</f>
        <v/>
      </c>
      <c r="P1370" s="667">
        <f>SUM(L1370:L1379)</f>
        <v/>
      </c>
      <c r="R1370" s="249" t="inlineStr">
        <is>
          <t>Yes</t>
        </is>
      </c>
      <c r="S1370" s="249" t="inlineStr">
        <is>
          <t>Yes</t>
        </is>
      </c>
      <c r="T1370" s="61">
        <f>IF(AND(R1370="Yes",S1370&lt;&gt;"Yes",L1370&gt;0,B1370&lt;&gt;"TXO"),L1370,"")</f>
        <v/>
      </c>
      <c r="U1370" s="61">
        <f>IF(AND(R1370="Yes",S1370&lt;&gt;"Yes",L1370&lt;0,B1370&lt;&gt;"TXO"),L1370,"")</f>
        <v/>
      </c>
      <c r="V1370" s="61">
        <f>IF(AND(R1370="",S1370&lt;&gt;"Yes",L1370&gt;0,B1370&lt;&gt;"TXO"),L1370,"")</f>
        <v/>
      </c>
      <c r="W1370" s="61">
        <f>IF(AND(R1370="",S1370&lt;&gt;"Yes",L1370&lt;0,B1370&lt;&gt;"TXO"),L1370,"")</f>
        <v/>
      </c>
      <c r="X1370" s="226">
        <f>IF(AND(R1370="Yes",S1370="Yes",L1370&gt;0,B1370&lt;&gt;"TXO"),L1370,"")</f>
        <v/>
      </c>
      <c r="Y1370" s="226">
        <f>IF(AND(R1370="Yes",S1370="Yes",L1370&lt;0,B1370&lt;&gt;"TXO"),L1370,"")</f>
        <v/>
      </c>
      <c r="Z1370" s="226">
        <f>IF(AND(R1370="",S1370="Yes",L1370&gt;0,B1370&lt;&gt;"TXO"),L1370,"")</f>
        <v/>
      </c>
      <c r="AA1370" s="226">
        <f>IF(AND(R1370="",S1370="Yes",L1370&lt;0,B1370&lt;&gt;"TXO"),L1370,"")</f>
        <v/>
      </c>
    </row>
    <row r="1371" hidden="1" outlineLevel="2" ht="17.25" customHeight="1" thickBot="1">
      <c r="A1371" s="696" t="n">
        <v>43390</v>
      </c>
      <c r="B1371" s="234" t="inlineStr">
        <is>
          <t>FIMTX</t>
        </is>
      </c>
      <c r="C1371" s="229" t="inlineStr">
        <is>
          <t>小指11</t>
        </is>
      </c>
      <c r="D1371" s="229" t="inlineStr">
        <is>
          <t>平倉</t>
        </is>
      </c>
      <c r="E1371" s="257" t="inlineStr">
        <is>
          <t>買</t>
        </is>
      </c>
      <c r="F1371" s="229" t="inlineStr">
        <is>
          <t>-</t>
        </is>
      </c>
      <c r="G1371" s="697" t="n">
        <v>1</v>
      </c>
      <c r="H1371" s="697" t="n">
        <v>9938</v>
      </c>
      <c r="I1371" s="697" t="n">
        <v>0</v>
      </c>
      <c r="J1371" s="585" t="n">
        <v>23</v>
      </c>
      <c r="K1371" s="585" t="n">
        <v>10</v>
      </c>
      <c r="L1371" s="585">
        <f>IF(B1371="TXO",I1371-SUM(J1371:K1371),IF(B1371="FITX",IF(D1371="新倉",-SUM(J1371:K1371),IF(E1371="賣",(H1371-H1370)*G1371*200-SUM(J1371:K1371),(H1370-H1371)*G1371*200-SUM(J1371:K1371))),IF(D1371="新倉",-SUM(J1371:K1371),IF(E1371="賣",(H1371-H1370)*G1371*50-SUM(J1371:K1371),(H1370-H1371)*G1371*50-SUM(J1371:K1371)))))</f>
        <v/>
      </c>
      <c r="M1371" s="699">
        <f>L1371</f>
        <v/>
      </c>
      <c r="N1371" s="686">
        <f>IF(B1371="TXO","",IF(D1371="新倉","",IF(E1371="賣",(H1371-H1370)*G1371,(H1370-H1371)*G1371)))</f>
        <v/>
      </c>
      <c r="O1371" s="226">
        <f>ABS(I1371)</f>
        <v/>
      </c>
      <c r="P1371" s="667" t="n"/>
      <c r="R1371" s="249" t="inlineStr">
        <is>
          <t>Yes</t>
        </is>
      </c>
      <c r="S1371" s="249" t="inlineStr">
        <is>
          <t>Yes</t>
        </is>
      </c>
      <c r="T1371" s="61">
        <f>IF(AND(R1371="Yes",S1371&lt;&gt;"Yes",L1371&gt;0,B1371&lt;&gt;"TXO"),L1371,"")</f>
        <v/>
      </c>
      <c r="U1371" s="61">
        <f>IF(AND(R1371="Yes",S1371&lt;&gt;"Yes",L1371&lt;0,B1371&lt;&gt;"TXO"),L1371,"")</f>
        <v/>
      </c>
      <c r="V1371" s="61">
        <f>IF(AND(R1371="",S1371&lt;&gt;"Yes",L1371&gt;0,B1371&lt;&gt;"TXO"),L1371,"")</f>
        <v/>
      </c>
      <c r="W1371" s="61">
        <f>IF(AND(R1371="",S1371&lt;&gt;"Yes",L1371&lt;0,B1371&lt;&gt;"TXO"),L1371,"")</f>
        <v/>
      </c>
      <c r="X1371" s="226">
        <f>IF(AND(R1371="Yes",S1371="Yes",L1371&gt;0,B1371&lt;&gt;"TXO"),L1371,"")</f>
        <v/>
      </c>
      <c r="Y1371" s="226">
        <f>IF(AND(R1371="Yes",S1371="Yes",L1371&lt;0,B1371&lt;&gt;"TXO"),L1371,"")</f>
        <v/>
      </c>
      <c r="Z1371" s="226">
        <f>IF(AND(R1371="",S1371="Yes",L1371&gt;0,B1371&lt;&gt;"TXO"),L1371,"")</f>
        <v/>
      </c>
      <c r="AA1371" s="226">
        <f>IF(AND(R1371="",S1371="Yes",L1371&lt;0,B1371&lt;&gt;"TXO"),L1371,"")</f>
        <v/>
      </c>
    </row>
    <row r="1372" hidden="1" outlineLevel="2" ht="17.25" customHeight="1" thickBot="1">
      <c r="A1372" s="696" t="n">
        <v>43390</v>
      </c>
      <c r="B1372" s="234" t="inlineStr">
        <is>
          <t>FIMTX</t>
        </is>
      </c>
      <c r="C1372" s="229" t="inlineStr">
        <is>
          <t>小指11</t>
        </is>
      </c>
      <c r="D1372" s="229" t="inlineStr">
        <is>
          <t>新倉</t>
        </is>
      </c>
      <c r="E1372" s="257" t="inlineStr">
        <is>
          <t>賣</t>
        </is>
      </c>
      <c r="F1372" s="229" t="inlineStr">
        <is>
          <t>-</t>
        </is>
      </c>
      <c r="G1372" s="697" t="n">
        <v>2</v>
      </c>
      <c r="H1372" s="697" t="n">
        <v>9944</v>
      </c>
      <c r="I1372" s="697" t="n">
        <v>0</v>
      </c>
      <c r="J1372" s="585" t="n">
        <v>46</v>
      </c>
      <c r="K1372" s="585" t="n">
        <v>20</v>
      </c>
      <c r="L1372" s="585">
        <f>IF(B1372="TXO",I1372-SUM(J1372:K1372),IF(B1372="FITX",IF(D1372="新倉",-SUM(J1372:K1372),IF(E1372="賣",(H1372-H1371)*G1372*200-SUM(J1372:K1372),(H1371-H1372)*G1372*200-SUM(J1372:K1372))),IF(D1372="新倉",-SUM(J1372:K1372),IF(E1372="賣",(H1372-H1371)*G1372*50-SUM(J1372:K1372),(H1371-H1372)*G1372*50-SUM(J1372:K1372)))))</f>
        <v/>
      </c>
      <c r="M1372" s="699">
        <f>L1372</f>
        <v/>
      </c>
      <c r="N1372" s="686">
        <f>IF(B1372="TXO","",IF(D1372="新倉","",IF(E1372="賣",(H1372-H1371)*G1372,(H1371-H1372)*G1372)))</f>
        <v/>
      </c>
      <c r="O1372" s="226">
        <f>ABS(I1372)</f>
        <v/>
      </c>
      <c r="P1372" s="667" t="n"/>
      <c r="R1372" s="249" t="inlineStr">
        <is>
          <t>Yes</t>
        </is>
      </c>
      <c r="S1372" s="249" t="inlineStr">
        <is>
          <t>Yes</t>
        </is>
      </c>
      <c r="T1372" s="61">
        <f>IF(AND(R1372="Yes",S1372&lt;&gt;"Yes",L1372&gt;0,B1372&lt;&gt;"TXO"),L1372,"")</f>
        <v/>
      </c>
      <c r="U1372" s="61">
        <f>IF(AND(R1372="Yes",S1372&lt;&gt;"Yes",L1372&lt;0,B1372&lt;&gt;"TXO"),L1372,"")</f>
        <v/>
      </c>
      <c r="V1372" s="61">
        <f>IF(AND(R1372="",S1372&lt;&gt;"Yes",L1372&gt;0,B1372&lt;&gt;"TXO"),L1372,"")</f>
        <v/>
      </c>
      <c r="W1372" s="61">
        <f>IF(AND(R1372="",S1372&lt;&gt;"Yes",L1372&lt;0,B1372&lt;&gt;"TXO"),L1372,"")</f>
        <v/>
      </c>
      <c r="X1372" s="226">
        <f>IF(AND(R1372="Yes",S1372="Yes",L1372&gt;0,B1372&lt;&gt;"TXO"),L1372,"")</f>
        <v/>
      </c>
      <c r="Y1372" s="226">
        <f>IF(AND(R1372="Yes",S1372="Yes",L1372&lt;0,B1372&lt;&gt;"TXO"),L1372,"")</f>
        <v/>
      </c>
      <c r="Z1372" s="226">
        <f>IF(AND(R1372="",S1372="Yes",L1372&gt;0,B1372&lt;&gt;"TXO"),L1372,"")</f>
        <v/>
      </c>
      <c r="AA1372" s="226">
        <f>IF(AND(R1372="",S1372="Yes",L1372&lt;0,B1372&lt;&gt;"TXO"),L1372,"")</f>
        <v/>
      </c>
    </row>
    <row r="1373" hidden="1" outlineLevel="2" ht="17.25" customHeight="1" thickBot="1">
      <c r="A1373" s="696" t="n">
        <v>43390</v>
      </c>
      <c r="B1373" s="234" t="inlineStr">
        <is>
          <t>FIMTX</t>
        </is>
      </c>
      <c r="C1373" s="229" t="inlineStr">
        <is>
          <t>小指11</t>
        </is>
      </c>
      <c r="D1373" s="229" t="inlineStr">
        <is>
          <t>平倉</t>
        </is>
      </c>
      <c r="E1373" s="257" t="inlineStr">
        <is>
          <t>買</t>
        </is>
      </c>
      <c r="F1373" s="229" t="inlineStr">
        <is>
          <t>-</t>
        </is>
      </c>
      <c r="G1373" s="697" t="n">
        <v>2</v>
      </c>
      <c r="H1373" s="697" t="n">
        <v>9939</v>
      </c>
      <c r="I1373" s="697" t="n">
        <v>0</v>
      </c>
      <c r="J1373" s="585" t="n">
        <v>46</v>
      </c>
      <c r="K1373" s="585" t="n">
        <v>20</v>
      </c>
      <c r="L1373" s="585">
        <f>IF(B1373="TXO",I1373-SUM(J1373:K1373),IF(B1373="FITX",IF(D1373="新倉",-SUM(J1373:K1373),IF(E1373="賣",(H1373-H1372)*G1373*200-SUM(J1373:K1373),(H1372-H1373)*G1373*200-SUM(J1373:K1373))),IF(D1373="新倉",-SUM(J1373:K1373),IF(E1373="賣",(H1373-H1372)*G1373*50-SUM(J1373:K1373),(H1372-H1373)*G1373*50-SUM(J1373:K1373)))))</f>
        <v/>
      </c>
      <c r="M1373" s="699">
        <f>L1373</f>
        <v/>
      </c>
      <c r="N1373" s="686">
        <f>IF(B1373="TXO","",IF(D1373="新倉","",IF(E1373="賣",(H1373-H1372)*G1373,(H1372-H1373)*G1373)))</f>
        <v/>
      </c>
      <c r="O1373" s="226">
        <f>ABS(I1373)</f>
        <v/>
      </c>
      <c r="P1373" s="667" t="n"/>
      <c r="R1373" s="249" t="inlineStr">
        <is>
          <t>Yes</t>
        </is>
      </c>
      <c r="S1373" s="249" t="inlineStr">
        <is>
          <t>Yes</t>
        </is>
      </c>
      <c r="T1373" s="61">
        <f>IF(AND(R1373="Yes",S1373&lt;&gt;"Yes",L1373&gt;0,B1373&lt;&gt;"TXO"),L1373,"")</f>
        <v/>
      </c>
      <c r="U1373" s="61">
        <f>IF(AND(R1373="Yes",S1373&lt;&gt;"Yes",L1373&lt;0,B1373&lt;&gt;"TXO"),L1373,"")</f>
        <v/>
      </c>
      <c r="V1373" s="61">
        <f>IF(AND(R1373="",S1373&lt;&gt;"Yes",L1373&gt;0,B1373&lt;&gt;"TXO"),L1373,"")</f>
        <v/>
      </c>
      <c r="W1373" s="61">
        <f>IF(AND(R1373="",S1373&lt;&gt;"Yes",L1373&lt;0,B1373&lt;&gt;"TXO"),L1373,"")</f>
        <v/>
      </c>
      <c r="X1373" s="226">
        <f>IF(AND(R1373="Yes",S1373="Yes",L1373&gt;0,B1373&lt;&gt;"TXO"),L1373,"")</f>
        <v/>
      </c>
      <c r="Y1373" s="226">
        <f>IF(AND(R1373="Yes",S1373="Yes",L1373&lt;0,B1373&lt;&gt;"TXO"),L1373,"")</f>
        <v/>
      </c>
      <c r="Z1373" s="226">
        <f>IF(AND(R1373="",S1373="Yes",L1373&gt;0,B1373&lt;&gt;"TXO"),L1373,"")</f>
        <v/>
      </c>
      <c r="AA1373" s="226">
        <f>IF(AND(R1373="",S1373="Yes",L1373&lt;0,B1373&lt;&gt;"TXO"),L1373,"")</f>
        <v/>
      </c>
    </row>
    <row r="1374" hidden="1" outlineLevel="2" ht="17.25" customHeight="1" thickBot="1">
      <c r="A1374" s="696" t="n">
        <v>43390</v>
      </c>
      <c r="B1374" s="234" t="inlineStr">
        <is>
          <t>FIMTX</t>
        </is>
      </c>
      <c r="C1374" s="229" t="inlineStr">
        <is>
          <t>小指11</t>
        </is>
      </c>
      <c r="D1374" s="229" t="inlineStr">
        <is>
          <t>新倉</t>
        </is>
      </c>
      <c r="E1374" s="257" t="inlineStr">
        <is>
          <t>賣</t>
        </is>
      </c>
      <c r="F1374" s="229" t="inlineStr">
        <is>
          <t>-</t>
        </is>
      </c>
      <c r="G1374" s="697" t="n">
        <v>1</v>
      </c>
      <c r="H1374" s="697" t="n">
        <v>9941</v>
      </c>
      <c r="I1374" s="697" t="n">
        <v>0</v>
      </c>
      <c r="J1374" s="585" t="n">
        <v>23</v>
      </c>
      <c r="K1374" s="585" t="n">
        <v>10</v>
      </c>
      <c r="L1374" s="585">
        <f>IF(B1374="TXO",I1374-SUM(J1374:K1374),IF(B1374="FITX",IF(D1374="新倉",-SUM(J1374:K1374),IF(E1374="賣",(H1374-H1373)*G1374*200-SUM(J1374:K1374),(H1373-H1374)*G1374*200-SUM(J1374:K1374))),IF(D1374="新倉",-SUM(J1374:K1374),IF(E1374="賣",(H1374-H1373)*G1374*50-SUM(J1374:K1374),(H1373-H1374)*G1374*50-SUM(J1374:K1374)))))</f>
        <v/>
      </c>
      <c r="M1374" s="699">
        <f>L1374</f>
        <v/>
      </c>
      <c r="N1374" s="686">
        <f>IF(B1374="TXO","",IF(D1374="新倉","",IF(E1374="賣",(H1374-H1373)*G1374,(H1373-H1374)*G1374)))</f>
        <v/>
      </c>
      <c r="O1374" s="226">
        <f>ABS(I1374)</f>
        <v/>
      </c>
      <c r="P1374" s="667" t="n"/>
      <c r="R1374" s="249" t="inlineStr">
        <is>
          <t>Yes</t>
        </is>
      </c>
      <c r="S1374" s="249" t="inlineStr">
        <is>
          <t>Yes</t>
        </is>
      </c>
      <c r="T1374" s="61">
        <f>IF(AND(R1374="Yes",S1374&lt;&gt;"Yes",L1374&gt;0,B1374&lt;&gt;"TXO"),L1374,"")</f>
        <v/>
      </c>
      <c r="U1374" s="61">
        <f>IF(AND(R1374="Yes",S1374&lt;&gt;"Yes",L1374&lt;0,B1374&lt;&gt;"TXO"),L1374,"")</f>
        <v/>
      </c>
      <c r="V1374" s="61">
        <f>IF(AND(R1374="",S1374&lt;&gt;"Yes",L1374&gt;0,B1374&lt;&gt;"TXO"),L1374,"")</f>
        <v/>
      </c>
      <c r="W1374" s="61">
        <f>IF(AND(R1374="",S1374&lt;&gt;"Yes",L1374&lt;0,B1374&lt;&gt;"TXO"),L1374,"")</f>
        <v/>
      </c>
      <c r="X1374" s="226">
        <f>IF(AND(R1374="Yes",S1374="Yes",L1374&gt;0,B1374&lt;&gt;"TXO"),L1374,"")</f>
        <v/>
      </c>
      <c r="Y1374" s="226">
        <f>IF(AND(R1374="Yes",S1374="Yes",L1374&lt;0,B1374&lt;&gt;"TXO"),L1374,"")</f>
        <v/>
      </c>
      <c r="Z1374" s="226">
        <f>IF(AND(R1374="",S1374="Yes",L1374&gt;0,B1374&lt;&gt;"TXO"),L1374,"")</f>
        <v/>
      </c>
      <c r="AA1374" s="226">
        <f>IF(AND(R1374="",S1374="Yes",L1374&lt;0,B1374&lt;&gt;"TXO"),L1374,"")</f>
        <v/>
      </c>
    </row>
    <row r="1375" hidden="1" outlineLevel="2" ht="17.25" customHeight="1" thickBot="1">
      <c r="A1375" s="696" t="n">
        <v>43390</v>
      </c>
      <c r="B1375" s="234" t="inlineStr">
        <is>
          <t>FIMTX</t>
        </is>
      </c>
      <c r="C1375" s="229" t="inlineStr">
        <is>
          <t>小指11</t>
        </is>
      </c>
      <c r="D1375" s="229" t="inlineStr">
        <is>
          <t>平倉</t>
        </is>
      </c>
      <c r="E1375" s="257" t="inlineStr">
        <is>
          <t>買</t>
        </is>
      </c>
      <c r="F1375" s="229" t="inlineStr">
        <is>
          <t>-</t>
        </is>
      </c>
      <c r="G1375" s="697" t="n">
        <v>1</v>
      </c>
      <c r="H1375" s="697" t="n">
        <v>9940</v>
      </c>
      <c r="I1375" s="697" t="n">
        <v>0</v>
      </c>
      <c r="J1375" s="585" t="n">
        <v>23</v>
      </c>
      <c r="K1375" s="585" t="n">
        <v>10</v>
      </c>
      <c r="L1375" s="585">
        <f>IF(B1375="TXO",I1375-SUM(J1375:K1375),IF(B1375="FITX",IF(D1375="新倉",-SUM(J1375:K1375),IF(E1375="賣",(H1375-H1374)*G1375*200-SUM(J1375:K1375),(H1374-H1375)*G1375*200-SUM(J1375:K1375))),IF(D1375="新倉",-SUM(J1375:K1375),IF(E1375="賣",(H1375-H1374)*G1375*50-SUM(J1375:K1375),(H1374-H1375)*G1375*50-SUM(J1375:K1375)))))</f>
        <v/>
      </c>
      <c r="M1375" s="699">
        <f>L1375</f>
        <v/>
      </c>
      <c r="N1375" s="686">
        <f>IF(B1375="TXO","",IF(D1375="新倉","",IF(E1375="賣",(H1375-H1374)*G1375,(H1374-H1375)*G1375)))</f>
        <v/>
      </c>
      <c r="O1375" s="226">
        <f>ABS(I1375)</f>
        <v/>
      </c>
      <c r="P1375" s="667" t="n"/>
      <c r="R1375" s="249" t="inlineStr">
        <is>
          <t>Yes</t>
        </is>
      </c>
      <c r="S1375" s="249" t="inlineStr">
        <is>
          <t>Yes</t>
        </is>
      </c>
      <c r="T1375" s="61">
        <f>IF(AND(R1375="Yes",S1375&lt;&gt;"Yes",L1375&gt;0,B1375&lt;&gt;"TXO"),L1375,"")</f>
        <v/>
      </c>
      <c r="U1375" s="61">
        <f>IF(AND(R1375="Yes",S1375&lt;&gt;"Yes",L1375&lt;0,B1375&lt;&gt;"TXO"),L1375,"")</f>
        <v/>
      </c>
      <c r="V1375" s="61">
        <f>IF(AND(R1375="",S1375&lt;&gt;"Yes",L1375&gt;0,B1375&lt;&gt;"TXO"),L1375,"")</f>
        <v/>
      </c>
      <c r="W1375" s="61">
        <f>IF(AND(R1375="",S1375&lt;&gt;"Yes",L1375&lt;0,B1375&lt;&gt;"TXO"),L1375,"")</f>
        <v/>
      </c>
      <c r="X1375" s="226">
        <f>IF(AND(R1375="Yes",S1375="Yes",L1375&gt;0,B1375&lt;&gt;"TXO"),L1375,"")</f>
        <v/>
      </c>
      <c r="Y1375" s="226">
        <f>IF(AND(R1375="Yes",S1375="Yes",L1375&lt;0,B1375&lt;&gt;"TXO"),L1375,"")</f>
        <v/>
      </c>
      <c r="Z1375" s="226">
        <f>IF(AND(R1375="",S1375="Yes",L1375&gt;0,B1375&lt;&gt;"TXO"),L1375,"")</f>
        <v/>
      </c>
      <c r="AA1375" s="226">
        <f>IF(AND(R1375="",S1375="Yes",L1375&lt;0,B1375&lt;&gt;"TXO"),L1375,"")</f>
        <v/>
      </c>
    </row>
    <row r="1376" hidden="1" outlineLevel="2" ht="17.25" customHeight="1" thickBot="1">
      <c r="A1376" s="696" t="n">
        <v>43390</v>
      </c>
      <c r="B1376" s="234" t="inlineStr">
        <is>
          <t>FIMTX</t>
        </is>
      </c>
      <c r="C1376" s="229" t="inlineStr">
        <is>
          <t>小指11</t>
        </is>
      </c>
      <c r="D1376" s="229" t="inlineStr">
        <is>
          <t>新倉</t>
        </is>
      </c>
      <c r="E1376" s="257" t="inlineStr">
        <is>
          <t>賣</t>
        </is>
      </c>
      <c r="F1376" s="229" t="inlineStr">
        <is>
          <t>-</t>
        </is>
      </c>
      <c r="G1376" s="697" t="n">
        <v>1</v>
      </c>
      <c r="H1376" s="697" t="n">
        <v>9941</v>
      </c>
      <c r="I1376" s="697" t="n">
        <v>0</v>
      </c>
      <c r="J1376" s="585" t="n">
        <v>23</v>
      </c>
      <c r="K1376" s="585" t="n">
        <v>10</v>
      </c>
      <c r="L1376" s="585">
        <f>IF(B1376="TXO",I1376-SUM(J1376:K1376),IF(B1376="FITX",IF(D1376="新倉",-SUM(J1376:K1376),IF(E1376="賣",(H1376-H1375)*G1376*200-SUM(J1376:K1376),(H1375-H1376)*G1376*200-SUM(J1376:K1376))),IF(D1376="新倉",-SUM(J1376:K1376),IF(E1376="賣",(H1376-H1375)*G1376*50-SUM(J1376:K1376),(H1375-H1376)*G1376*50-SUM(J1376:K1376)))))</f>
        <v/>
      </c>
      <c r="M1376" s="699">
        <f>L1376</f>
        <v/>
      </c>
      <c r="N1376" s="686">
        <f>IF(B1376="TXO","",IF(D1376="新倉","",IF(E1376="賣",(H1376-H1375)*G1376,(H1375-H1376)*G1376)))</f>
        <v/>
      </c>
      <c r="O1376" s="226">
        <f>ABS(I1376)</f>
        <v/>
      </c>
      <c r="P1376" s="667" t="n"/>
      <c r="R1376" s="249" t="inlineStr">
        <is>
          <t>Yes</t>
        </is>
      </c>
      <c r="S1376" s="249" t="inlineStr">
        <is>
          <t>Yes</t>
        </is>
      </c>
      <c r="T1376" s="61">
        <f>IF(AND(R1376="Yes",S1376&lt;&gt;"Yes",L1376&gt;0,B1376&lt;&gt;"TXO"),L1376,"")</f>
        <v/>
      </c>
      <c r="U1376" s="61">
        <f>IF(AND(R1376="Yes",S1376&lt;&gt;"Yes",L1376&lt;0,B1376&lt;&gt;"TXO"),L1376,"")</f>
        <v/>
      </c>
      <c r="V1376" s="61">
        <f>IF(AND(R1376="",S1376&lt;&gt;"Yes",L1376&gt;0,B1376&lt;&gt;"TXO"),L1376,"")</f>
        <v/>
      </c>
      <c r="W1376" s="61">
        <f>IF(AND(R1376="",S1376&lt;&gt;"Yes",L1376&lt;0,B1376&lt;&gt;"TXO"),L1376,"")</f>
        <v/>
      </c>
      <c r="X1376" s="226">
        <f>IF(AND(R1376="Yes",S1376="Yes",L1376&gt;0,B1376&lt;&gt;"TXO"),L1376,"")</f>
        <v/>
      </c>
      <c r="Y1376" s="226">
        <f>IF(AND(R1376="Yes",S1376="Yes",L1376&lt;0,B1376&lt;&gt;"TXO"),L1376,"")</f>
        <v/>
      </c>
      <c r="Z1376" s="226">
        <f>IF(AND(R1376="",S1376="Yes",L1376&gt;0,B1376&lt;&gt;"TXO"),L1376,"")</f>
        <v/>
      </c>
      <c r="AA1376" s="226">
        <f>IF(AND(R1376="",S1376="Yes",L1376&lt;0,B1376&lt;&gt;"TXO"),L1376,"")</f>
        <v/>
      </c>
    </row>
    <row r="1377" hidden="1" outlineLevel="2" ht="17.25" customHeight="1" thickBot="1">
      <c r="A1377" s="696" t="n">
        <v>43390</v>
      </c>
      <c r="B1377" s="234" t="inlineStr">
        <is>
          <t>FIMTX</t>
        </is>
      </c>
      <c r="C1377" s="229" t="inlineStr">
        <is>
          <t>小指11</t>
        </is>
      </c>
      <c r="D1377" s="229" t="inlineStr">
        <is>
          <t>平倉</t>
        </is>
      </c>
      <c r="E1377" s="257" t="inlineStr">
        <is>
          <t>買</t>
        </is>
      </c>
      <c r="F1377" s="229" t="inlineStr">
        <is>
          <t>-</t>
        </is>
      </c>
      <c r="G1377" s="697" t="n">
        <v>1</v>
      </c>
      <c r="H1377" s="697" t="n">
        <v>9937</v>
      </c>
      <c r="I1377" s="697" t="n">
        <v>0</v>
      </c>
      <c r="J1377" s="585" t="n">
        <v>23</v>
      </c>
      <c r="K1377" s="585" t="n">
        <v>10</v>
      </c>
      <c r="L1377" s="585">
        <f>IF(B1377="TXO",I1377-SUM(J1377:K1377),IF(B1377="FITX",IF(D1377="新倉",-SUM(J1377:K1377),IF(E1377="賣",(H1377-H1376)*G1377*200-SUM(J1377:K1377),(H1376-H1377)*G1377*200-SUM(J1377:K1377))),IF(D1377="新倉",-SUM(J1377:K1377),IF(E1377="賣",(H1377-H1376)*G1377*50-SUM(J1377:K1377),(H1376-H1377)*G1377*50-SUM(J1377:K1377)))))</f>
        <v/>
      </c>
      <c r="M1377" s="699">
        <f>L1377</f>
        <v/>
      </c>
      <c r="N1377" s="686">
        <f>IF(B1377="TXO","",IF(D1377="新倉","",IF(E1377="賣",(H1377-H1376)*G1377,(H1376-H1377)*G1377)))</f>
        <v/>
      </c>
      <c r="O1377" s="226">
        <f>ABS(I1377)</f>
        <v/>
      </c>
      <c r="P1377" s="667" t="n"/>
      <c r="R1377" s="249" t="inlineStr">
        <is>
          <t>Yes</t>
        </is>
      </c>
      <c r="S1377" s="249" t="inlineStr">
        <is>
          <t>Yes</t>
        </is>
      </c>
      <c r="T1377" s="61">
        <f>IF(AND(R1377="Yes",S1377&lt;&gt;"Yes",L1377&gt;0,B1377&lt;&gt;"TXO"),L1377,"")</f>
        <v/>
      </c>
      <c r="U1377" s="61">
        <f>IF(AND(R1377="Yes",S1377&lt;&gt;"Yes",L1377&lt;0,B1377&lt;&gt;"TXO"),L1377,"")</f>
        <v/>
      </c>
      <c r="V1377" s="61">
        <f>IF(AND(R1377="",S1377&lt;&gt;"Yes",L1377&gt;0,B1377&lt;&gt;"TXO"),L1377,"")</f>
        <v/>
      </c>
      <c r="W1377" s="61">
        <f>IF(AND(R1377="",S1377&lt;&gt;"Yes",L1377&lt;0,B1377&lt;&gt;"TXO"),L1377,"")</f>
        <v/>
      </c>
      <c r="X1377" s="226">
        <f>IF(AND(R1377="Yes",S1377="Yes",L1377&gt;0,B1377&lt;&gt;"TXO"),L1377,"")</f>
        <v/>
      </c>
      <c r="Y1377" s="226">
        <f>IF(AND(R1377="Yes",S1377="Yes",L1377&lt;0,B1377&lt;&gt;"TXO"),L1377,"")</f>
        <v/>
      </c>
      <c r="Z1377" s="226">
        <f>IF(AND(R1377="",S1377="Yes",L1377&gt;0,B1377&lt;&gt;"TXO"),L1377,"")</f>
        <v/>
      </c>
      <c r="AA1377" s="226">
        <f>IF(AND(R1377="",S1377="Yes",L1377&lt;0,B1377&lt;&gt;"TXO"),L1377,"")</f>
        <v/>
      </c>
    </row>
    <row r="1378" hidden="1" outlineLevel="2" ht="17.25" customHeight="1" thickBot="1">
      <c r="A1378" s="696" t="n">
        <v>43390</v>
      </c>
      <c r="B1378" s="234" t="inlineStr">
        <is>
          <t>FIMTX</t>
        </is>
      </c>
      <c r="C1378" s="229" t="inlineStr">
        <is>
          <t>小指11</t>
        </is>
      </c>
      <c r="D1378" s="229" t="inlineStr">
        <is>
          <t>新倉</t>
        </is>
      </c>
      <c r="E1378" s="257" t="inlineStr">
        <is>
          <t>賣</t>
        </is>
      </c>
      <c r="F1378" s="229" t="inlineStr">
        <is>
          <t>-</t>
        </is>
      </c>
      <c r="G1378" s="697" t="n">
        <v>1</v>
      </c>
      <c r="H1378" s="697" t="n">
        <v>9941</v>
      </c>
      <c r="I1378" s="697" t="n">
        <v>0</v>
      </c>
      <c r="J1378" s="585" t="n">
        <v>23</v>
      </c>
      <c r="K1378" s="585" t="n">
        <v>10</v>
      </c>
      <c r="L1378" s="585">
        <f>IF(B1378="TXO",I1378-SUM(J1378:K1378),IF(B1378="FITX",IF(D1378="新倉",-SUM(J1378:K1378),IF(E1378="賣",(H1378-H1377)*G1378*200-SUM(J1378:K1378),(H1377-H1378)*G1378*200-SUM(J1378:K1378))),IF(D1378="新倉",-SUM(J1378:K1378),IF(E1378="賣",(H1378-H1377)*G1378*50-SUM(J1378:K1378),(H1377-H1378)*G1378*50-SUM(J1378:K1378)))))</f>
        <v/>
      </c>
      <c r="M1378" s="699">
        <f>L1378</f>
        <v/>
      </c>
      <c r="N1378" s="686">
        <f>IF(B1378="TXO","",IF(D1378="新倉","",IF(E1378="賣",(H1378-H1377)*G1378,(H1377-H1378)*G1378)))</f>
        <v/>
      </c>
      <c r="O1378" s="226">
        <f>ABS(I1378)</f>
        <v/>
      </c>
      <c r="P1378" s="667" t="n"/>
      <c r="R1378" s="249" t="inlineStr">
        <is>
          <t>Yes</t>
        </is>
      </c>
      <c r="S1378" s="249" t="inlineStr">
        <is>
          <t>Yes</t>
        </is>
      </c>
      <c r="T1378" s="61">
        <f>IF(AND(R1378="Yes",S1378&lt;&gt;"Yes",L1378&gt;0,B1378&lt;&gt;"TXO"),L1378,"")</f>
        <v/>
      </c>
      <c r="U1378" s="61">
        <f>IF(AND(R1378="Yes",S1378&lt;&gt;"Yes",L1378&lt;0,B1378&lt;&gt;"TXO"),L1378,"")</f>
        <v/>
      </c>
      <c r="V1378" s="61">
        <f>IF(AND(R1378="",S1378&lt;&gt;"Yes",L1378&gt;0,B1378&lt;&gt;"TXO"),L1378,"")</f>
        <v/>
      </c>
      <c r="W1378" s="61">
        <f>IF(AND(R1378="",S1378&lt;&gt;"Yes",L1378&lt;0,B1378&lt;&gt;"TXO"),L1378,"")</f>
        <v/>
      </c>
      <c r="X1378" s="226">
        <f>IF(AND(R1378="Yes",S1378="Yes",L1378&gt;0,B1378&lt;&gt;"TXO"),L1378,"")</f>
        <v/>
      </c>
      <c r="Y1378" s="226">
        <f>IF(AND(R1378="Yes",S1378="Yes",L1378&lt;0,B1378&lt;&gt;"TXO"),L1378,"")</f>
        <v/>
      </c>
      <c r="Z1378" s="226">
        <f>IF(AND(R1378="",S1378="Yes",L1378&gt;0,B1378&lt;&gt;"TXO"),L1378,"")</f>
        <v/>
      </c>
      <c r="AA1378" s="226">
        <f>IF(AND(R1378="",S1378="Yes",L1378&lt;0,B1378&lt;&gt;"TXO"),L1378,"")</f>
        <v/>
      </c>
    </row>
    <row r="1379" hidden="1" outlineLevel="2" ht="17.25" customHeight="1" thickBot="1">
      <c r="A1379" s="696" t="n">
        <v>43390</v>
      </c>
      <c r="B1379" s="234" t="inlineStr">
        <is>
          <t>FIMTX</t>
        </is>
      </c>
      <c r="C1379" s="229" t="inlineStr">
        <is>
          <t>小指11</t>
        </is>
      </c>
      <c r="D1379" s="229" t="inlineStr">
        <is>
          <t>平倉</t>
        </is>
      </c>
      <c r="E1379" s="257" t="inlineStr">
        <is>
          <t>買</t>
        </is>
      </c>
      <c r="F1379" s="229" t="inlineStr">
        <is>
          <t>-</t>
        </is>
      </c>
      <c r="G1379" s="697" t="n">
        <v>1</v>
      </c>
      <c r="H1379" s="697" t="n">
        <v>9936</v>
      </c>
      <c r="I1379" s="697" t="n">
        <v>0</v>
      </c>
      <c r="J1379" s="585" t="n">
        <v>23</v>
      </c>
      <c r="K1379" s="585" t="n">
        <v>10</v>
      </c>
      <c r="L1379" s="585">
        <f>IF(B1379="TXO",I1379-SUM(J1379:K1379),IF(B1379="FITX",IF(D1379="新倉",-SUM(J1379:K1379),IF(E1379="賣",(H1379-H1378)*G1379*200-SUM(J1379:K1379),(H1378-H1379)*G1379*200-SUM(J1379:K1379))),IF(D1379="新倉",-SUM(J1379:K1379),IF(E1379="賣",(H1379-H1378)*G1379*50-SUM(J1379:K1379),(H1378-H1379)*G1379*50-SUM(J1379:K1379)))))</f>
        <v/>
      </c>
      <c r="M1379" s="699">
        <f>L1379</f>
        <v/>
      </c>
      <c r="N1379" s="686">
        <f>IF(B1379="TXO","",IF(D1379="新倉","",IF(E1379="賣",(H1379-H1378)*G1379,(H1378-H1379)*G1379)))</f>
        <v/>
      </c>
      <c r="O1379" s="226">
        <f>ABS(I1379)</f>
        <v/>
      </c>
      <c r="P1379" s="667" t="n"/>
      <c r="R1379" s="249" t="inlineStr">
        <is>
          <t>Yes</t>
        </is>
      </c>
      <c r="S1379" s="249" t="inlineStr">
        <is>
          <t>Yes</t>
        </is>
      </c>
      <c r="T1379" s="61">
        <f>IF(AND(R1379="Yes",S1379&lt;&gt;"Yes",L1379&gt;0,B1379&lt;&gt;"TXO"),L1379,"")</f>
        <v/>
      </c>
      <c r="U1379" s="61">
        <f>IF(AND(R1379="Yes",S1379&lt;&gt;"Yes",L1379&lt;0,B1379&lt;&gt;"TXO"),L1379,"")</f>
        <v/>
      </c>
      <c r="V1379" s="61">
        <f>IF(AND(R1379="",S1379&lt;&gt;"Yes",L1379&gt;0,B1379&lt;&gt;"TXO"),L1379,"")</f>
        <v/>
      </c>
      <c r="W1379" s="61">
        <f>IF(AND(R1379="",S1379&lt;&gt;"Yes",L1379&lt;0,B1379&lt;&gt;"TXO"),L1379,"")</f>
        <v/>
      </c>
      <c r="X1379" s="226">
        <f>IF(AND(R1379="Yes",S1379="Yes",L1379&gt;0,B1379&lt;&gt;"TXO"),L1379,"")</f>
        <v/>
      </c>
      <c r="Y1379" s="226">
        <f>IF(AND(R1379="Yes",S1379="Yes",L1379&lt;0,B1379&lt;&gt;"TXO"),L1379,"")</f>
        <v/>
      </c>
      <c r="Z1379" s="226">
        <f>IF(AND(R1379="",S1379="Yes",L1379&gt;0,B1379&lt;&gt;"TXO"),L1379,"")</f>
        <v/>
      </c>
      <c r="AA1379" s="226">
        <f>IF(AND(R1379="",S1379="Yes",L1379&lt;0,B1379&lt;&gt;"TXO"),L1379,"")</f>
        <v/>
      </c>
    </row>
    <row r="1380" hidden="1" outlineLevel="1" ht="17.25" customHeight="1" thickBot="1">
      <c r="A1380" s="740" t="n">
        <v>43391</v>
      </c>
      <c r="B1380" s="299" t="inlineStr">
        <is>
          <t>FIMTX</t>
        </is>
      </c>
      <c r="C1380" s="300" t="inlineStr">
        <is>
          <t>小指11</t>
        </is>
      </c>
      <c r="D1380" s="300" t="inlineStr">
        <is>
          <t>新倉</t>
        </is>
      </c>
      <c r="E1380" s="301" t="inlineStr">
        <is>
          <t>買</t>
        </is>
      </c>
      <c r="F1380" s="300" t="inlineStr">
        <is>
          <t>-</t>
        </is>
      </c>
      <c r="G1380" s="741" t="n">
        <v>1</v>
      </c>
      <c r="H1380" s="741" t="n">
        <v>9975</v>
      </c>
      <c r="I1380" s="741" t="n">
        <v>0</v>
      </c>
      <c r="J1380" s="742" t="n">
        <v>23</v>
      </c>
      <c r="K1380" s="742" t="n">
        <v>10</v>
      </c>
      <c r="L1380" s="742">
        <f>IF(B1380="TXO",I1380-SUM(J1380:K1380),IF(B1380="FITX",IF(D1380="新倉",-SUM(J1380:K1380),IF(E1380="賣",(H1380-H1379)*G1380*200-SUM(J1380:K1380),(H1379-H1380)*G1380*200-SUM(J1380:K1380))),IF(D1380="新倉",-SUM(J1380:K1380),IF(E1380="賣",(H1380-H1379)*G1380*50-SUM(J1380:K1380),(H1379-H1380)*G1380*50-SUM(J1380:K1380)))))</f>
        <v/>
      </c>
      <c r="M1380" s="743">
        <f>L1380</f>
        <v/>
      </c>
      <c r="N1380" s="686">
        <f>IF(B1380="TXO","",IF(D1380="新倉","",IF(E1380="賣",(H1380-H1379)*G1380,(H1379-H1380)*G1380)))</f>
        <v/>
      </c>
      <c r="O1380" s="226" t="n">
        <v>0</v>
      </c>
      <c r="P1380" s="667">
        <f>SUM(L1380:L1391)</f>
        <v/>
      </c>
      <c r="Q1380" s="311" t="n"/>
      <c r="S1380" s="249" t="n"/>
      <c r="T1380" s="61">
        <f>IF(AND(R1380="Yes",S1380&lt;&gt;"Yes",L1380&gt;0,B1380&lt;&gt;"TXO"),L1380,"")</f>
        <v/>
      </c>
      <c r="U1380" s="61">
        <f>IF(AND(R1380="Yes",S1380&lt;&gt;"Yes",L1380&lt;0,B1380&lt;&gt;"TXO"),L1380,"")</f>
        <v/>
      </c>
      <c r="V1380" s="61">
        <f>IF(AND(R1380="",S1380&lt;&gt;"Yes",L1380&gt;0,B1380&lt;&gt;"TXO"),L1380,"")</f>
        <v/>
      </c>
      <c r="W1380" s="61">
        <f>IF(AND(R1380="",S1380&lt;&gt;"Yes",L1380&lt;0,B1380&lt;&gt;"TXO"),L1380,"")</f>
        <v/>
      </c>
      <c r="X1380" s="226">
        <f>IF(AND(R1380="Yes",S1380="Yes",L1380&gt;0,B1380&lt;&gt;"TXO"),L1380,"")</f>
        <v/>
      </c>
      <c r="Y1380" s="226">
        <f>IF(AND(R1380="Yes",S1380="Yes",L1380&lt;0,B1380&lt;&gt;"TXO"),L1380,"")</f>
        <v/>
      </c>
      <c r="Z1380" s="226">
        <f>IF(AND(R1380="",S1380="Yes",L1380&gt;0,B1380&lt;&gt;"TXO"),L1380,"")</f>
        <v/>
      </c>
      <c r="AA1380" s="226">
        <f>IF(AND(R1380="",S1380="Yes",L1380&lt;0,B1380&lt;&gt;"TXO"),L1380,"")</f>
        <v/>
      </c>
    </row>
    <row r="1381" hidden="1" outlineLevel="2" collapsed="1" ht="17.25" customHeight="1" thickBot="1">
      <c r="A1381" s="740" t="n">
        <v>43391</v>
      </c>
      <c r="B1381" s="299" t="inlineStr">
        <is>
          <t>FIMTX</t>
        </is>
      </c>
      <c r="C1381" s="300" t="inlineStr">
        <is>
          <t>小指11</t>
        </is>
      </c>
      <c r="D1381" s="300" t="inlineStr">
        <is>
          <t>平倉</t>
        </is>
      </c>
      <c r="E1381" s="301" t="inlineStr">
        <is>
          <t>賣</t>
        </is>
      </c>
      <c r="F1381" s="300" t="inlineStr">
        <is>
          <t>-</t>
        </is>
      </c>
      <c r="G1381" s="741" t="n">
        <v>1</v>
      </c>
      <c r="H1381" s="741" t="n">
        <v>9980</v>
      </c>
      <c r="I1381" s="741" t="n">
        <v>0</v>
      </c>
      <c r="J1381" s="742" t="n">
        <v>23</v>
      </c>
      <c r="K1381" s="742" t="n">
        <v>10</v>
      </c>
      <c r="L1381" s="742">
        <f>IF(B1381="TXO",I1381-SUM(J1381:K1381),IF(B1381="FITX",IF(D1381="新倉",-SUM(J1381:K1381),IF(E1381="賣",(H1381-H1380)*G1381*200-SUM(J1381:K1381),(H1380-H1381)*G1381*200-SUM(J1381:K1381))),IF(D1381="新倉",-SUM(J1381:K1381),IF(E1381="賣",(H1381-H1380)*G1381*50-SUM(J1381:K1381),(H1380-H1381)*G1381*50-SUM(J1381:K1381)))))</f>
        <v/>
      </c>
      <c r="M1381" s="743">
        <f>L1381</f>
        <v/>
      </c>
      <c r="N1381" s="686">
        <f>IF(B1381="TXO","",IF(D1381="新倉","",IF(E1381="賣",(H1381-H1380)*G1381,(H1380-H1381)*G1381)))</f>
        <v/>
      </c>
      <c r="O1381" s="226" t="n">
        <v>0</v>
      </c>
      <c r="P1381" s="667" t="n"/>
      <c r="Q1381" s="311" t="n"/>
      <c r="S1381" s="249" t="n"/>
      <c r="T1381" s="61">
        <f>IF(AND(R1381="Yes",S1381&lt;&gt;"Yes",L1381&gt;0,B1381&lt;&gt;"TXO"),L1381,"")</f>
        <v/>
      </c>
      <c r="U1381" s="61">
        <f>IF(AND(R1381="Yes",S1381&lt;&gt;"Yes",L1381&lt;0,B1381&lt;&gt;"TXO"),L1381,"")</f>
        <v/>
      </c>
      <c r="V1381" s="61">
        <f>IF(AND(R1381="",S1381&lt;&gt;"Yes",L1381&gt;0,B1381&lt;&gt;"TXO"),L1381,"")</f>
        <v/>
      </c>
      <c r="W1381" s="61">
        <f>IF(AND(R1381="",S1381&lt;&gt;"Yes",L1381&lt;0,B1381&lt;&gt;"TXO"),L1381,"")</f>
        <v/>
      </c>
      <c r="X1381" s="226">
        <f>IF(AND(R1381="Yes",S1381="Yes",L1381&gt;0,B1381&lt;&gt;"TXO"),L1381,"")</f>
        <v/>
      </c>
      <c r="Y1381" s="226">
        <f>IF(AND(R1381="Yes",S1381="Yes",L1381&lt;0,B1381&lt;&gt;"TXO"),L1381,"")</f>
        <v/>
      </c>
      <c r="Z1381" s="226">
        <f>IF(AND(R1381="",S1381="Yes",L1381&gt;0,B1381&lt;&gt;"TXO"),L1381,"")</f>
        <v/>
      </c>
      <c r="AA1381" s="226">
        <f>IF(AND(R1381="",S1381="Yes",L1381&lt;0,B1381&lt;&gt;"TXO"),L1381,"")</f>
        <v/>
      </c>
    </row>
    <row r="1382" hidden="1" outlineLevel="2" collapsed="1" ht="17.25" customHeight="1" thickBot="1">
      <c r="A1382" s="740" t="n">
        <v>43391</v>
      </c>
      <c r="B1382" s="299" t="inlineStr">
        <is>
          <t>FIMTX</t>
        </is>
      </c>
      <c r="C1382" s="300" t="inlineStr">
        <is>
          <t>小指11</t>
        </is>
      </c>
      <c r="D1382" s="300" t="inlineStr">
        <is>
          <t>新倉</t>
        </is>
      </c>
      <c r="E1382" s="301" t="inlineStr">
        <is>
          <t>賣</t>
        </is>
      </c>
      <c r="F1382" s="300" t="inlineStr">
        <is>
          <t>-</t>
        </is>
      </c>
      <c r="G1382" s="741" t="n">
        <v>2</v>
      </c>
      <c r="H1382" s="741" t="n">
        <v>9884</v>
      </c>
      <c r="I1382" s="741" t="n">
        <v>0</v>
      </c>
      <c r="J1382" s="742" t="n">
        <v>46</v>
      </c>
      <c r="K1382" s="742" t="n">
        <v>20</v>
      </c>
      <c r="L1382" s="742">
        <f>IF(B1382="TXO",I1382-SUM(J1382:K1382),IF(B1382="FITX",IF(D1382="新倉",-SUM(J1382:K1382),IF(E1382="賣",(H1382-H1381)*G1382*200-SUM(J1382:K1382),(H1381-H1382)*G1382*200-SUM(J1382:K1382))),IF(D1382="新倉",-SUM(J1382:K1382),IF(E1382="賣",(H1382-H1381)*G1382*50-SUM(J1382:K1382),(H1381-H1382)*G1382*50-SUM(J1382:K1382)))))</f>
        <v/>
      </c>
      <c r="M1382" s="743">
        <f>L1382</f>
        <v/>
      </c>
      <c r="N1382" s="686">
        <f>IF(B1382="TXO","",IF(D1382="新倉","",IF(E1382="賣",(H1382-H1381)*G1382,(H1381-H1382)*G1382)))</f>
        <v/>
      </c>
      <c r="O1382" s="226" t="n">
        <v>0</v>
      </c>
      <c r="P1382" s="667" t="n"/>
      <c r="Q1382" s="311" t="n"/>
      <c r="S1382" s="249" t="n"/>
      <c r="T1382" s="61">
        <f>IF(AND(R1382="Yes",S1382&lt;&gt;"Yes",L1382&gt;0,B1382&lt;&gt;"TXO"),L1382,"")</f>
        <v/>
      </c>
      <c r="U1382" s="61">
        <f>IF(AND(R1382="Yes",S1382&lt;&gt;"Yes",L1382&lt;0,B1382&lt;&gt;"TXO"),L1382,"")</f>
        <v/>
      </c>
      <c r="V1382" s="61">
        <f>IF(AND(R1382="",S1382&lt;&gt;"Yes",L1382&gt;0,B1382&lt;&gt;"TXO"),L1382,"")</f>
        <v/>
      </c>
      <c r="W1382" s="61">
        <f>IF(AND(R1382="",S1382&lt;&gt;"Yes",L1382&lt;0,B1382&lt;&gt;"TXO"),L1382,"")</f>
        <v/>
      </c>
      <c r="X1382" s="226">
        <f>IF(AND(R1382="Yes",S1382="Yes",L1382&gt;0,B1382&lt;&gt;"TXO"),L1382,"")</f>
        <v/>
      </c>
      <c r="Y1382" s="226">
        <f>IF(AND(R1382="Yes",S1382="Yes",L1382&lt;0,B1382&lt;&gt;"TXO"),L1382,"")</f>
        <v/>
      </c>
      <c r="Z1382" s="226">
        <f>IF(AND(R1382="",S1382="Yes",L1382&gt;0,B1382&lt;&gt;"TXO"),L1382,"")</f>
        <v/>
      </c>
      <c r="AA1382" s="226">
        <f>IF(AND(R1382="",S1382="Yes",L1382&lt;0,B1382&lt;&gt;"TXO"),L1382,"")</f>
        <v/>
      </c>
    </row>
    <row r="1383" hidden="1" outlineLevel="2" collapsed="1" ht="17.25" customHeight="1" thickBot="1">
      <c r="A1383" s="740" t="n">
        <v>43391</v>
      </c>
      <c r="B1383" s="299" t="inlineStr">
        <is>
          <t>FIMTX</t>
        </is>
      </c>
      <c r="C1383" s="300" t="inlineStr">
        <is>
          <t>小指11</t>
        </is>
      </c>
      <c r="D1383" s="300" t="inlineStr">
        <is>
          <t>平倉</t>
        </is>
      </c>
      <c r="E1383" s="301" t="inlineStr">
        <is>
          <t>買</t>
        </is>
      </c>
      <c r="F1383" s="300" t="inlineStr">
        <is>
          <t>-</t>
        </is>
      </c>
      <c r="G1383" s="741" t="n">
        <v>2</v>
      </c>
      <c r="H1383" s="741" t="n">
        <v>9894</v>
      </c>
      <c r="I1383" s="741" t="n">
        <v>0</v>
      </c>
      <c r="J1383" s="742" t="n">
        <v>46</v>
      </c>
      <c r="K1383" s="742" t="n">
        <v>20</v>
      </c>
      <c r="L1383" s="742">
        <f>IF(B1383="TXO",I1383-SUM(J1383:K1383),IF(B1383="FITX",IF(D1383="新倉",-SUM(J1383:K1383),IF(E1383="賣",(H1383-H1382)*G1383*200-SUM(J1383:K1383),(H1382-H1383)*G1383*200-SUM(J1383:K1383))),IF(D1383="新倉",-SUM(J1383:K1383),IF(E1383="賣",(H1383-H1382)*G1383*50-SUM(J1383:K1383),(H1382-H1383)*G1383*50-SUM(J1383:K1383)))))</f>
        <v/>
      </c>
      <c r="M1383" s="743">
        <f>L1383</f>
        <v/>
      </c>
      <c r="N1383" s="686">
        <f>IF(B1383="TXO","",IF(D1383="新倉","",IF(E1383="賣",(H1383-H1382)*G1383,(H1382-H1383)*G1383)))</f>
        <v/>
      </c>
      <c r="O1383" s="226" t="n">
        <v>0</v>
      </c>
      <c r="P1383" s="667" t="n"/>
      <c r="Q1383" s="311" t="n"/>
      <c r="S1383" s="249" t="n"/>
      <c r="T1383" s="61">
        <f>IF(AND(R1383="Yes",S1383&lt;&gt;"Yes",L1383&gt;0,B1383&lt;&gt;"TXO"),L1383,"")</f>
        <v/>
      </c>
      <c r="U1383" s="61">
        <f>IF(AND(R1383="Yes",S1383&lt;&gt;"Yes",L1383&lt;0,B1383&lt;&gt;"TXO"),L1383,"")</f>
        <v/>
      </c>
      <c r="V1383" s="61">
        <f>IF(AND(R1383="",S1383&lt;&gt;"Yes",L1383&gt;0,B1383&lt;&gt;"TXO"),L1383,"")</f>
        <v/>
      </c>
      <c r="W1383" s="61">
        <f>IF(AND(R1383="",S1383&lt;&gt;"Yes",L1383&lt;0,B1383&lt;&gt;"TXO"),L1383,"")</f>
        <v/>
      </c>
      <c r="X1383" s="226">
        <f>IF(AND(R1383="Yes",S1383="Yes",L1383&gt;0,B1383&lt;&gt;"TXO"),L1383,"")</f>
        <v/>
      </c>
      <c r="Y1383" s="226">
        <f>IF(AND(R1383="Yes",S1383="Yes",L1383&lt;0,B1383&lt;&gt;"TXO"),L1383,"")</f>
        <v/>
      </c>
      <c r="Z1383" s="226">
        <f>IF(AND(R1383="",S1383="Yes",L1383&gt;0,B1383&lt;&gt;"TXO"),L1383,"")</f>
        <v/>
      </c>
      <c r="AA1383" s="226">
        <f>IF(AND(R1383="",S1383="Yes",L1383&lt;0,B1383&lt;&gt;"TXO"),L1383,"")</f>
        <v/>
      </c>
    </row>
    <row r="1384" hidden="1" outlineLevel="2" collapsed="1" ht="17.25" customHeight="1" thickBot="1">
      <c r="A1384" s="740" t="n">
        <v>43391</v>
      </c>
      <c r="B1384" s="299" t="inlineStr">
        <is>
          <t>FIMTX</t>
        </is>
      </c>
      <c r="C1384" s="300" t="inlineStr">
        <is>
          <t>小指11</t>
        </is>
      </c>
      <c r="D1384" s="300" t="inlineStr">
        <is>
          <t>新倉</t>
        </is>
      </c>
      <c r="E1384" s="301" t="inlineStr">
        <is>
          <t>賣</t>
        </is>
      </c>
      <c r="F1384" s="300" t="inlineStr">
        <is>
          <t>-</t>
        </is>
      </c>
      <c r="G1384" s="741" t="n">
        <v>2</v>
      </c>
      <c r="H1384" s="741" t="n">
        <v>9886</v>
      </c>
      <c r="I1384" s="741" t="n">
        <v>0</v>
      </c>
      <c r="J1384" s="742" t="n">
        <v>46</v>
      </c>
      <c r="K1384" s="742" t="n">
        <v>20</v>
      </c>
      <c r="L1384" s="742">
        <f>IF(B1384="TXO",I1384-SUM(J1384:K1384),IF(B1384="FITX",IF(D1384="新倉",-SUM(J1384:K1384),IF(E1384="賣",(H1384-H1383)*G1384*200-SUM(J1384:K1384),(H1383-H1384)*G1384*200-SUM(J1384:K1384))),IF(D1384="新倉",-SUM(J1384:K1384),IF(E1384="賣",(H1384-H1383)*G1384*50-SUM(J1384:K1384),(H1383-H1384)*G1384*50-SUM(J1384:K1384)))))</f>
        <v/>
      </c>
      <c r="M1384" s="743">
        <f>L1384</f>
        <v/>
      </c>
      <c r="N1384" s="686">
        <f>IF(B1384="TXO","",IF(D1384="新倉","",IF(E1384="賣",(H1384-H1383)*G1384,(H1383-H1384)*G1384)))</f>
        <v/>
      </c>
      <c r="O1384" s="226" t="n">
        <v>0</v>
      </c>
      <c r="P1384" s="667" t="n"/>
      <c r="Q1384" s="311" t="n"/>
      <c r="S1384" s="249" t="n"/>
      <c r="T1384" s="61">
        <f>IF(AND(R1384="Yes",S1384&lt;&gt;"Yes",L1384&gt;0,B1384&lt;&gt;"TXO"),L1384,"")</f>
        <v/>
      </c>
      <c r="U1384" s="61">
        <f>IF(AND(R1384="Yes",S1384&lt;&gt;"Yes",L1384&lt;0,B1384&lt;&gt;"TXO"),L1384,"")</f>
        <v/>
      </c>
      <c r="V1384" s="61">
        <f>IF(AND(R1384="",S1384&lt;&gt;"Yes",L1384&gt;0,B1384&lt;&gt;"TXO"),L1384,"")</f>
        <v/>
      </c>
      <c r="W1384" s="61">
        <f>IF(AND(R1384="",S1384&lt;&gt;"Yes",L1384&lt;0,B1384&lt;&gt;"TXO"),L1384,"")</f>
        <v/>
      </c>
      <c r="X1384" s="226">
        <f>IF(AND(R1384="Yes",S1384="Yes",L1384&gt;0,B1384&lt;&gt;"TXO"),L1384,"")</f>
        <v/>
      </c>
      <c r="Y1384" s="226">
        <f>IF(AND(R1384="Yes",S1384="Yes",L1384&lt;0,B1384&lt;&gt;"TXO"),L1384,"")</f>
        <v/>
      </c>
      <c r="Z1384" s="226">
        <f>IF(AND(R1384="",S1384="Yes",L1384&gt;0,B1384&lt;&gt;"TXO"),L1384,"")</f>
        <v/>
      </c>
      <c r="AA1384" s="226">
        <f>IF(AND(R1384="",S1384="Yes",L1384&lt;0,B1384&lt;&gt;"TXO"),L1384,"")</f>
        <v/>
      </c>
    </row>
    <row r="1385" hidden="1" outlineLevel="2" collapsed="1" ht="17.25" customHeight="1" thickBot="1">
      <c r="A1385" s="740" t="n">
        <v>43391</v>
      </c>
      <c r="B1385" s="299" t="inlineStr">
        <is>
          <t>FIMTX</t>
        </is>
      </c>
      <c r="C1385" s="300" t="inlineStr">
        <is>
          <t>小指11</t>
        </is>
      </c>
      <c r="D1385" s="300" t="inlineStr">
        <is>
          <t>平倉</t>
        </is>
      </c>
      <c r="E1385" s="301" t="inlineStr">
        <is>
          <t>買</t>
        </is>
      </c>
      <c r="F1385" s="300" t="inlineStr">
        <is>
          <t>-</t>
        </is>
      </c>
      <c r="G1385" s="741" t="n">
        <v>2</v>
      </c>
      <c r="H1385" s="741" t="n">
        <v>9896</v>
      </c>
      <c r="I1385" s="741" t="n">
        <v>0</v>
      </c>
      <c r="J1385" s="742" t="n">
        <v>46</v>
      </c>
      <c r="K1385" s="742" t="n">
        <v>20</v>
      </c>
      <c r="L1385" s="742">
        <f>IF(B1385="TXO",I1385-SUM(J1385:K1385),IF(B1385="FITX",IF(D1385="新倉",-SUM(J1385:K1385),IF(E1385="賣",(H1385-H1384)*G1385*200-SUM(J1385:K1385),(H1384-H1385)*G1385*200-SUM(J1385:K1385))),IF(D1385="新倉",-SUM(J1385:K1385),IF(E1385="賣",(H1385-H1384)*G1385*50-SUM(J1385:K1385),(H1384-H1385)*G1385*50-SUM(J1385:K1385)))))</f>
        <v/>
      </c>
      <c r="M1385" s="743">
        <f>L1385</f>
        <v/>
      </c>
      <c r="N1385" s="686">
        <f>IF(B1385="TXO","",IF(D1385="新倉","",IF(E1385="賣",(H1385-H1384)*G1385,(H1384-H1385)*G1385)))</f>
        <v/>
      </c>
      <c r="O1385" s="226" t="n">
        <v>0</v>
      </c>
      <c r="P1385" s="667" t="n"/>
      <c r="Q1385" s="311" t="n"/>
      <c r="S1385" s="249" t="n"/>
      <c r="T1385" s="61">
        <f>IF(AND(R1385="Yes",S1385&lt;&gt;"Yes",L1385&gt;0,B1385&lt;&gt;"TXO"),L1385,"")</f>
        <v/>
      </c>
      <c r="U1385" s="61">
        <f>IF(AND(R1385="Yes",S1385&lt;&gt;"Yes",L1385&lt;0,B1385&lt;&gt;"TXO"),L1385,"")</f>
        <v/>
      </c>
      <c r="V1385" s="61">
        <f>IF(AND(R1385="",S1385&lt;&gt;"Yes",L1385&gt;0,B1385&lt;&gt;"TXO"),L1385,"")</f>
        <v/>
      </c>
      <c r="W1385" s="61">
        <f>IF(AND(R1385="",S1385&lt;&gt;"Yes",L1385&lt;0,B1385&lt;&gt;"TXO"),L1385,"")</f>
        <v/>
      </c>
      <c r="X1385" s="226">
        <f>IF(AND(R1385="Yes",S1385="Yes",L1385&gt;0,B1385&lt;&gt;"TXO"),L1385,"")</f>
        <v/>
      </c>
      <c r="Y1385" s="226">
        <f>IF(AND(R1385="Yes",S1385="Yes",L1385&lt;0,B1385&lt;&gt;"TXO"),L1385,"")</f>
        <v/>
      </c>
      <c r="Z1385" s="226">
        <f>IF(AND(R1385="",S1385="Yes",L1385&gt;0,B1385&lt;&gt;"TXO"),L1385,"")</f>
        <v/>
      </c>
      <c r="AA1385" s="226">
        <f>IF(AND(R1385="",S1385="Yes",L1385&lt;0,B1385&lt;&gt;"TXO"),L1385,"")</f>
        <v/>
      </c>
    </row>
    <row r="1386" hidden="1" outlineLevel="2" ht="17.25" customHeight="1" thickBot="1">
      <c r="A1386" s="740" t="n">
        <v>43391</v>
      </c>
      <c r="B1386" s="299" t="inlineStr">
        <is>
          <t>FIMTX</t>
        </is>
      </c>
      <c r="C1386" s="300" t="inlineStr">
        <is>
          <t>小指11</t>
        </is>
      </c>
      <c r="D1386" s="300" t="inlineStr">
        <is>
          <t>新倉</t>
        </is>
      </c>
      <c r="E1386" s="301" t="inlineStr">
        <is>
          <t>賣</t>
        </is>
      </c>
      <c r="F1386" s="300" t="inlineStr">
        <is>
          <t>-</t>
        </is>
      </c>
      <c r="G1386" s="741" t="n">
        <v>1</v>
      </c>
      <c r="H1386" s="741" t="n">
        <v>9853</v>
      </c>
      <c r="I1386" s="741" t="n">
        <v>0</v>
      </c>
      <c r="J1386" s="742" t="n">
        <v>23</v>
      </c>
      <c r="K1386" s="742" t="n">
        <v>10</v>
      </c>
      <c r="L1386" s="742">
        <f>IF(B1386="TXO",I1386-SUM(J1386:K1386),IF(B1386="FITX",IF(D1386="新倉",-SUM(J1386:K1386),IF(E1386="賣",(H1386-H1385)*G1386*200-SUM(J1386:K1386),(H1385-H1386)*G1386*200-SUM(J1386:K1386))),IF(D1386="新倉",-SUM(J1386:K1386),IF(E1386="賣",(H1386-H1385)*G1386*50-SUM(J1386:K1386),(H1385-H1386)*G1386*50-SUM(J1386:K1386)))))</f>
        <v/>
      </c>
      <c r="M1386" s="743">
        <f>L1386</f>
        <v/>
      </c>
      <c r="N1386" s="686">
        <f>IF(B1386="TXO","",IF(D1386="新倉","",IF(E1386="賣",(H1386-H1385)*G1386,(H1385-H1386)*G1386)))</f>
        <v/>
      </c>
      <c r="O1386" s="226" t="n">
        <v>0</v>
      </c>
      <c r="P1386" s="667">
        <f>SUM(L1386:L1391)</f>
        <v/>
      </c>
      <c r="Q1386" s="311" t="n"/>
      <c r="S1386" s="249" t="inlineStr">
        <is>
          <t>Yes</t>
        </is>
      </c>
      <c r="T1386" s="61">
        <f>IF(AND(R1386="Yes",S1386&lt;&gt;"Yes",L1386&gt;0,B1386&lt;&gt;"TXO"),L1386,"")</f>
        <v/>
      </c>
      <c r="U1386" s="61">
        <f>IF(AND(R1386="Yes",S1386&lt;&gt;"Yes",L1386&lt;0,B1386&lt;&gt;"TXO"),L1386,"")</f>
        <v/>
      </c>
      <c r="V1386" s="61">
        <f>IF(AND(R1386="",S1386&lt;&gt;"Yes",L1386&gt;0,B1386&lt;&gt;"TXO"),L1386,"")</f>
        <v/>
      </c>
      <c r="W1386" s="61">
        <f>IF(AND(R1386="",S1386&lt;&gt;"Yes",L1386&lt;0,B1386&lt;&gt;"TXO"),L1386,"")</f>
        <v/>
      </c>
      <c r="X1386" s="226">
        <f>IF(AND(R1386="Yes",S1386="Yes",L1386&gt;0,B1386&lt;&gt;"TXO"),L1386,"")</f>
        <v/>
      </c>
      <c r="Y1386" s="226">
        <f>IF(AND(R1386="Yes",S1386="Yes",L1386&lt;0,B1386&lt;&gt;"TXO"),L1386,"")</f>
        <v/>
      </c>
      <c r="Z1386" s="226">
        <f>IF(AND(R1386="",S1386="Yes",L1386&gt;0,B1386&lt;&gt;"TXO"),L1386,"")</f>
        <v/>
      </c>
      <c r="AA1386" s="226">
        <f>IF(AND(R1386="",S1386="Yes",L1386&lt;0,B1386&lt;&gt;"TXO"),L1386,"")</f>
        <v/>
      </c>
    </row>
    <row r="1387" hidden="1" outlineLevel="2" collapsed="1" ht="17.25" customHeight="1" thickBot="1">
      <c r="A1387" s="740" t="n">
        <v>43391</v>
      </c>
      <c r="B1387" s="299" t="inlineStr">
        <is>
          <t>FIMTX</t>
        </is>
      </c>
      <c r="C1387" s="300" t="inlineStr">
        <is>
          <t>小指11</t>
        </is>
      </c>
      <c r="D1387" s="300" t="inlineStr">
        <is>
          <t>平倉</t>
        </is>
      </c>
      <c r="E1387" s="301" t="inlineStr">
        <is>
          <t>買</t>
        </is>
      </c>
      <c r="F1387" s="300" t="inlineStr">
        <is>
          <t>-</t>
        </is>
      </c>
      <c r="G1387" s="741" t="n">
        <v>1</v>
      </c>
      <c r="H1387" s="741" t="n">
        <v>9849</v>
      </c>
      <c r="I1387" s="741" t="n">
        <v>0</v>
      </c>
      <c r="J1387" s="742" t="n">
        <v>23</v>
      </c>
      <c r="K1387" s="742" t="n">
        <v>10</v>
      </c>
      <c r="L1387" s="742">
        <f>IF(B1387="TXO",I1387-SUM(J1387:K1387),IF(B1387="FITX",IF(D1387="新倉",-SUM(J1387:K1387),IF(E1387="賣",(H1387-H1386)*G1387*200-SUM(J1387:K1387),(H1386-H1387)*G1387*200-SUM(J1387:K1387))),IF(D1387="新倉",-SUM(J1387:K1387),IF(E1387="賣",(H1387-H1386)*G1387*50-SUM(J1387:K1387),(H1386-H1387)*G1387*50-SUM(J1387:K1387)))))</f>
        <v/>
      </c>
      <c r="M1387" s="743">
        <f>L1387</f>
        <v/>
      </c>
      <c r="N1387" s="686">
        <f>IF(B1387="TXO","",IF(D1387="新倉","",IF(E1387="賣",(H1387-H1386)*G1387,(H1386-H1387)*G1387)))</f>
        <v/>
      </c>
      <c r="O1387" s="226" t="n">
        <v>0</v>
      </c>
      <c r="P1387" s="667" t="n"/>
      <c r="Q1387" s="311" t="n"/>
      <c r="S1387" s="249" t="inlineStr">
        <is>
          <t>Yes</t>
        </is>
      </c>
      <c r="T1387" s="61">
        <f>IF(AND(R1387="Yes",S1387&lt;&gt;"Yes",L1387&gt;0,B1387&lt;&gt;"TXO"),L1387,"")</f>
        <v/>
      </c>
      <c r="U1387" s="61">
        <f>IF(AND(R1387="Yes",S1387&lt;&gt;"Yes",L1387&lt;0,B1387&lt;&gt;"TXO"),L1387,"")</f>
        <v/>
      </c>
      <c r="V1387" s="61">
        <f>IF(AND(R1387="",S1387&lt;&gt;"Yes",L1387&gt;0,B1387&lt;&gt;"TXO"),L1387,"")</f>
        <v/>
      </c>
      <c r="W1387" s="61">
        <f>IF(AND(R1387="",S1387&lt;&gt;"Yes",L1387&lt;0,B1387&lt;&gt;"TXO"),L1387,"")</f>
        <v/>
      </c>
      <c r="X1387" s="226">
        <f>IF(AND(R1387="Yes",S1387="Yes",L1387&gt;0,B1387&lt;&gt;"TXO"),L1387,"")</f>
        <v/>
      </c>
      <c r="Y1387" s="226">
        <f>IF(AND(R1387="Yes",S1387="Yes",L1387&lt;0,B1387&lt;&gt;"TXO"),L1387,"")</f>
        <v/>
      </c>
      <c r="Z1387" s="226">
        <f>IF(AND(R1387="",S1387="Yes",L1387&gt;0,B1387&lt;&gt;"TXO"),L1387,"")</f>
        <v/>
      </c>
      <c r="AA1387" s="226">
        <f>IF(AND(R1387="",S1387="Yes",L1387&lt;0,B1387&lt;&gt;"TXO"),L1387,"")</f>
        <v/>
      </c>
    </row>
    <row r="1388" hidden="1" outlineLevel="2" collapsed="1" ht="17.25" customHeight="1" thickBot="1">
      <c r="A1388" s="740" t="n">
        <v>43391</v>
      </c>
      <c r="B1388" s="299" t="inlineStr">
        <is>
          <t>FIMTX</t>
        </is>
      </c>
      <c r="C1388" s="300" t="inlineStr">
        <is>
          <t>小指11</t>
        </is>
      </c>
      <c r="D1388" s="300" t="inlineStr">
        <is>
          <t>新倉</t>
        </is>
      </c>
      <c r="E1388" s="301" t="inlineStr">
        <is>
          <t>賣</t>
        </is>
      </c>
      <c r="F1388" s="300" t="inlineStr">
        <is>
          <t>-</t>
        </is>
      </c>
      <c r="G1388" s="741" t="n">
        <v>1</v>
      </c>
      <c r="H1388" s="741" t="n">
        <v>9853</v>
      </c>
      <c r="I1388" s="741" t="n">
        <v>0</v>
      </c>
      <c r="J1388" s="742" t="n">
        <v>23</v>
      </c>
      <c r="K1388" s="742" t="n">
        <v>10</v>
      </c>
      <c r="L1388" s="742">
        <f>IF(B1388="TXO",I1388-SUM(J1388:K1388),IF(B1388="FITX",IF(D1388="新倉",-SUM(J1388:K1388),IF(E1388="賣",(H1388-H1387)*G1388*200-SUM(J1388:K1388),(H1387-H1388)*G1388*200-SUM(J1388:K1388))),IF(D1388="新倉",-SUM(J1388:K1388),IF(E1388="賣",(H1388-H1387)*G1388*50-SUM(J1388:K1388),(H1387-H1388)*G1388*50-SUM(J1388:K1388)))))</f>
        <v/>
      </c>
      <c r="M1388" s="743">
        <f>L1388</f>
        <v/>
      </c>
      <c r="N1388" s="686">
        <f>IF(B1388="TXO","",IF(D1388="新倉","",IF(E1388="賣",(H1388-H1387)*G1388,(H1387-H1388)*G1388)))</f>
        <v/>
      </c>
      <c r="O1388" s="226" t="n">
        <v>0</v>
      </c>
      <c r="P1388" s="667" t="n"/>
      <c r="Q1388" s="311" t="n"/>
      <c r="S1388" s="249" t="inlineStr">
        <is>
          <t>Yes</t>
        </is>
      </c>
      <c r="T1388" s="61">
        <f>IF(AND(R1388="Yes",S1388&lt;&gt;"Yes",L1388&gt;0,B1388&lt;&gt;"TXO"),L1388,"")</f>
        <v/>
      </c>
      <c r="U1388" s="61">
        <f>IF(AND(R1388="Yes",S1388&lt;&gt;"Yes",L1388&lt;0,B1388&lt;&gt;"TXO"),L1388,"")</f>
        <v/>
      </c>
      <c r="V1388" s="61">
        <f>IF(AND(R1388="",S1388&lt;&gt;"Yes",L1388&gt;0,B1388&lt;&gt;"TXO"),L1388,"")</f>
        <v/>
      </c>
      <c r="W1388" s="61">
        <f>IF(AND(R1388="",S1388&lt;&gt;"Yes",L1388&lt;0,B1388&lt;&gt;"TXO"),L1388,"")</f>
        <v/>
      </c>
      <c r="X1388" s="226">
        <f>IF(AND(R1388="Yes",S1388="Yes",L1388&gt;0,B1388&lt;&gt;"TXO"),L1388,"")</f>
        <v/>
      </c>
      <c r="Y1388" s="226">
        <f>IF(AND(R1388="Yes",S1388="Yes",L1388&lt;0,B1388&lt;&gt;"TXO"),L1388,"")</f>
        <v/>
      </c>
      <c r="Z1388" s="226">
        <f>IF(AND(R1388="",S1388="Yes",L1388&gt;0,B1388&lt;&gt;"TXO"),L1388,"")</f>
        <v/>
      </c>
      <c r="AA1388" s="226">
        <f>IF(AND(R1388="",S1388="Yes",L1388&lt;0,B1388&lt;&gt;"TXO"),L1388,"")</f>
        <v/>
      </c>
    </row>
    <row r="1389" hidden="1" outlineLevel="2" collapsed="1" ht="17.25" customHeight="1" thickBot="1">
      <c r="A1389" s="740" t="n">
        <v>43391</v>
      </c>
      <c r="B1389" s="299" t="inlineStr">
        <is>
          <t>FIMTX</t>
        </is>
      </c>
      <c r="C1389" s="300" t="inlineStr">
        <is>
          <t>小指11</t>
        </is>
      </c>
      <c r="D1389" s="300" t="inlineStr">
        <is>
          <t>平倉</t>
        </is>
      </c>
      <c r="E1389" s="301" t="inlineStr">
        <is>
          <t>買</t>
        </is>
      </c>
      <c r="F1389" s="300" t="inlineStr">
        <is>
          <t>-</t>
        </is>
      </c>
      <c r="G1389" s="741" t="n">
        <v>1</v>
      </c>
      <c r="H1389" s="741" t="n">
        <v>9819</v>
      </c>
      <c r="I1389" s="741" t="n">
        <v>0</v>
      </c>
      <c r="J1389" s="742" t="n">
        <v>23</v>
      </c>
      <c r="K1389" s="742" t="n">
        <v>10</v>
      </c>
      <c r="L1389" s="742">
        <f>IF(B1389="TXO",I1389-SUM(J1389:K1389),IF(B1389="FITX",IF(D1389="新倉",-SUM(J1389:K1389),IF(E1389="賣",(H1389-H1388)*G1389*200-SUM(J1389:K1389),(H1388-H1389)*G1389*200-SUM(J1389:K1389))),IF(D1389="新倉",-SUM(J1389:K1389),IF(E1389="賣",(H1389-H1388)*G1389*50-SUM(J1389:K1389),(H1388-H1389)*G1389*50-SUM(J1389:K1389)))))</f>
        <v/>
      </c>
      <c r="M1389" s="743">
        <f>L1389</f>
        <v/>
      </c>
      <c r="N1389" s="686">
        <f>IF(B1389="TXO","",IF(D1389="新倉","",IF(E1389="賣",(H1389-H1388)*G1389,(H1388-H1389)*G1389)))</f>
        <v/>
      </c>
      <c r="O1389" s="226" t="n">
        <v>0</v>
      </c>
      <c r="P1389" s="667" t="n"/>
      <c r="Q1389" s="311" t="n"/>
      <c r="S1389" s="249" t="inlineStr">
        <is>
          <t>Yes</t>
        </is>
      </c>
      <c r="T1389" s="61">
        <f>IF(AND(R1389="Yes",S1389&lt;&gt;"Yes",L1389&gt;0,B1389&lt;&gt;"TXO"),L1389,"")</f>
        <v/>
      </c>
      <c r="U1389" s="61">
        <f>IF(AND(R1389="Yes",S1389&lt;&gt;"Yes",L1389&lt;0,B1389&lt;&gt;"TXO"),L1389,"")</f>
        <v/>
      </c>
      <c r="V1389" s="61">
        <f>IF(AND(R1389="",S1389&lt;&gt;"Yes",L1389&gt;0,B1389&lt;&gt;"TXO"),L1389,"")</f>
        <v/>
      </c>
      <c r="W1389" s="61">
        <f>IF(AND(R1389="",S1389&lt;&gt;"Yes",L1389&lt;0,B1389&lt;&gt;"TXO"),L1389,"")</f>
        <v/>
      </c>
      <c r="X1389" s="226">
        <f>IF(AND(R1389="Yes",S1389="Yes",L1389&gt;0,B1389&lt;&gt;"TXO"),L1389,"")</f>
        <v/>
      </c>
      <c r="Y1389" s="226">
        <f>IF(AND(R1389="Yes",S1389="Yes",L1389&lt;0,B1389&lt;&gt;"TXO"),L1389,"")</f>
        <v/>
      </c>
      <c r="Z1389" s="226">
        <f>IF(AND(R1389="",S1389="Yes",L1389&gt;0,B1389&lt;&gt;"TXO"),L1389,"")</f>
        <v/>
      </c>
      <c r="AA1389" s="226">
        <f>IF(AND(R1389="",S1389="Yes",L1389&lt;0,B1389&lt;&gt;"TXO"),L1389,"")</f>
        <v/>
      </c>
    </row>
    <row r="1390" hidden="1" outlineLevel="2" collapsed="1" ht="17.25" customHeight="1" thickBot="1">
      <c r="A1390" s="740" t="n">
        <v>43391</v>
      </c>
      <c r="B1390" s="299" t="inlineStr">
        <is>
          <t>FIMTX</t>
        </is>
      </c>
      <c r="C1390" s="300" t="inlineStr">
        <is>
          <t>小指11</t>
        </is>
      </c>
      <c r="D1390" s="300" t="inlineStr">
        <is>
          <t>新倉</t>
        </is>
      </c>
      <c r="E1390" s="301" t="inlineStr">
        <is>
          <t>賣</t>
        </is>
      </c>
      <c r="F1390" s="300" t="inlineStr">
        <is>
          <t>-</t>
        </is>
      </c>
      <c r="G1390" s="741" t="n">
        <v>1</v>
      </c>
      <c r="H1390" s="741" t="n">
        <v>9853</v>
      </c>
      <c r="I1390" s="741" t="n">
        <v>0</v>
      </c>
      <c r="J1390" s="742" t="n">
        <v>23</v>
      </c>
      <c r="K1390" s="742" t="n">
        <v>10</v>
      </c>
      <c r="L1390" s="742">
        <f>IF(B1390="TXO",I1390-SUM(J1390:K1390),IF(B1390="FITX",IF(D1390="新倉",-SUM(J1390:K1390),IF(E1390="賣",(H1390-H1389)*G1390*200-SUM(J1390:K1390),(H1389-H1390)*G1390*200-SUM(J1390:K1390))),IF(D1390="新倉",-SUM(J1390:K1390),IF(E1390="賣",(H1390-H1389)*G1390*50-SUM(J1390:K1390),(H1389-H1390)*G1390*50-SUM(J1390:K1390)))))</f>
        <v/>
      </c>
      <c r="M1390" s="743">
        <f>L1390</f>
        <v/>
      </c>
      <c r="N1390" s="686">
        <f>IF(B1390="TXO","",IF(D1390="新倉","",IF(E1390="賣",(H1390-H1389)*G1390,(H1389-H1390)*G1390)))</f>
        <v/>
      </c>
      <c r="O1390" s="226" t="n">
        <v>0</v>
      </c>
      <c r="P1390" s="667" t="n"/>
      <c r="Q1390" s="311" t="n"/>
      <c r="S1390" s="249" t="inlineStr">
        <is>
          <t>Yes</t>
        </is>
      </c>
      <c r="T1390" s="61">
        <f>IF(AND(R1390="Yes",S1390&lt;&gt;"Yes",L1390&gt;0,B1390&lt;&gt;"TXO"),L1390,"")</f>
        <v/>
      </c>
      <c r="U1390" s="61">
        <f>IF(AND(R1390="Yes",S1390&lt;&gt;"Yes",L1390&lt;0,B1390&lt;&gt;"TXO"),L1390,"")</f>
        <v/>
      </c>
      <c r="V1390" s="61">
        <f>IF(AND(R1390="",S1390&lt;&gt;"Yes",L1390&gt;0,B1390&lt;&gt;"TXO"),L1390,"")</f>
        <v/>
      </c>
      <c r="W1390" s="61">
        <f>IF(AND(R1390="",S1390&lt;&gt;"Yes",L1390&lt;0,B1390&lt;&gt;"TXO"),L1390,"")</f>
        <v/>
      </c>
      <c r="X1390" s="226">
        <f>IF(AND(R1390="Yes",S1390="Yes",L1390&gt;0,B1390&lt;&gt;"TXO"),L1390,"")</f>
        <v/>
      </c>
      <c r="Y1390" s="226">
        <f>IF(AND(R1390="Yes",S1390="Yes",L1390&lt;0,B1390&lt;&gt;"TXO"),L1390,"")</f>
        <v/>
      </c>
      <c r="Z1390" s="226">
        <f>IF(AND(R1390="",S1390="Yes",L1390&gt;0,B1390&lt;&gt;"TXO"),L1390,"")</f>
        <v/>
      </c>
      <c r="AA1390" s="226">
        <f>IF(AND(R1390="",S1390="Yes",L1390&lt;0,B1390&lt;&gt;"TXO"),L1390,"")</f>
        <v/>
      </c>
    </row>
    <row r="1391" hidden="1" outlineLevel="2" collapsed="1" ht="17.25" customHeight="1" thickBot="1">
      <c r="A1391" s="740" t="n">
        <v>43391</v>
      </c>
      <c r="B1391" s="299" t="inlineStr">
        <is>
          <t>FIMTX</t>
        </is>
      </c>
      <c r="C1391" s="300" t="inlineStr">
        <is>
          <t>小指11</t>
        </is>
      </c>
      <c r="D1391" s="300" t="inlineStr">
        <is>
          <t>平倉</t>
        </is>
      </c>
      <c r="E1391" s="301" t="inlineStr">
        <is>
          <t>買</t>
        </is>
      </c>
      <c r="F1391" s="300" t="inlineStr">
        <is>
          <t>-</t>
        </is>
      </c>
      <c r="G1391" s="741" t="n">
        <v>1</v>
      </c>
      <c r="H1391" s="741" t="n">
        <v>9800</v>
      </c>
      <c r="I1391" s="741" t="n">
        <v>0</v>
      </c>
      <c r="J1391" s="742" t="n">
        <v>23</v>
      </c>
      <c r="K1391" s="742" t="n">
        <v>10</v>
      </c>
      <c r="L1391" s="742">
        <f>IF(B1391="TXO",I1391-SUM(J1391:K1391),IF(B1391="FITX",IF(D1391="新倉",-SUM(J1391:K1391),IF(E1391="賣",(H1391-H1390)*G1391*200-SUM(J1391:K1391),(H1390-H1391)*G1391*200-SUM(J1391:K1391))),IF(D1391="新倉",-SUM(J1391:K1391),IF(E1391="賣",(H1391-H1390)*G1391*50-SUM(J1391:K1391),(H1390-H1391)*G1391*50-SUM(J1391:K1391)))))</f>
        <v/>
      </c>
      <c r="M1391" s="743">
        <f>L1391</f>
        <v/>
      </c>
      <c r="N1391" s="686">
        <f>IF(B1391="TXO","",IF(D1391="新倉","",IF(E1391="賣",(H1391-H1390)*G1391,(H1390-H1391)*G1391)))</f>
        <v/>
      </c>
      <c r="O1391" s="226" t="n">
        <v>0</v>
      </c>
      <c r="P1391" s="667" t="n"/>
      <c r="Q1391" s="311" t="n"/>
      <c r="S1391" s="249" t="inlineStr">
        <is>
          <t>Yes</t>
        </is>
      </c>
      <c r="T1391" s="61">
        <f>IF(AND(R1391="Yes",S1391&lt;&gt;"Yes",L1391&gt;0,B1391&lt;&gt;"TXO"),L1391,"")</f>
        <v/>
      </c>
      <c r="U1391" s="61">
        <f>IF(AND(R1391="Yes",S1391&lt;&gt;"Yes",L1391&lt;0,B1391&lt;&gt;"TXO"),L1391,"")</f>
        <v/>
      </c>
      <c r="V1391" s="61">
        <f>IF(AND(R1391="",S1391&lt;&gt;"Yes",L1391&gt;0,B1391&lt;&gt;"TXO"),L1391,"")</f>
        <v/>
      </c>
      <c r="W1391" s="61">
        <f>IF(AND(R1391="",S1391&lt;&gt;"Yes",L1391&lt;0,B1391&lt;&gt;"TXO"),L1391,"")</f>
        <v/>
      </c>
      <c r="X1391" s="226">
        <f>IF(AND(R1391="Yes",S1391="Yes",L1391&gt;0,B1391&lt;&gt;"TXO"),L1391,"")</f>
        <v/>
      </c>
      <c r="Y1391" s="226">
        <f>IF(AND(R1391="Yes",S1391="Yes",L1391&lt;0,B1391&lt;&gt;"TXO"),L1391,"")</f>
        <v/>
      </c>
      <c r="Z1391" s="226">
        <f>IF(AND(R1391="",S1391="Yes",L1391&gt;0,B1391&lt;&gt;"TXO"),L1391,"")</f>
        <v/>
      </c>
      <c r="AA1391" s="226">
        <f>IF(AND(R1391="",S1391="Yes",L1391&lt;0,B1391&lt;&gt;"TXO"),L1391,"")</f>
        <v/>
      </c>
    </row>
    <row r="1392" hidden="1" outlineLevel="1" ht="17.25" customHeight="1" thickBot="1">
      <c r="A1392" s="696" t="n">
        <v>43392</v>
      </c>
      <c r="B1392" s="234" t="inlineStr">
        <is>
          <t>FIMTX</t>
        </is>
      </c>
      <c r="C1392" s="229" t="inlineStr">
        <is>
          <t>小指11</t>
        </is>
      </c>
      <c r="D1392" s="229" t="inlineStr">
        <is>
          <t>新倉</t>
        </is>
      </c>
      <c r="E1392" s="257" t="inlineStr">
        <is>
          <t>買</t>
        </is>
      </c>
      <c r="F1392" s="229" t="inlineStr">
        <is>
          <t>-</t>
        </is>
      </c>
      <c r="G1392" s="697" t="n">
        <v>1</v>
      </c>
      <c r="H1392" s="697" t="n">
        <v>9835</v>
      </c>
      <c r="I1392" s="697" t="n">
        <v>0</v>
      </c>
      <c r="J1392" s="585" t="n">
        <v>23</v>
      </c>
      <c r="K1392" s="585" t="n">
        <v>10</v>
      </c>
      <c r="L1392" s="585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/>
      </c>
      <c r="M1392" s="699">
        <f>L1392</f>
        <v/>
      </c>
      <c r="N1392" s="686">
        <f>IF(B1392="TXO","",IF(D1392="新倉","",IF(E1392="賣",(H1392-H869)*G1392,(H869-H1392)*G1392)))</f>
        <v/>
      </c>
      <c r="O1392" s="226">
        <f>ABS(I1392)</f>
        <v/>
      </c>
      <c r="P1392" s="667">
        <f>SUM(L1392:L1449)</f>
        <v/>
      </c>
      <c r="Q1392" s="249" t="inlineStr">
        <is>
          <t>技法: 3/3 買進三口</t>
        </is>
      </c>
      <c r="R1392" s="249" t="inlineStr">
        <is>
          <t>Yes</t>
        </is>
      </c>
      <c r="S1392" s="249" t="n"/>
      <c r="T1392" s="61">
        <f>IF(AND(R1392="Yes",S1392&lt;&gt;"Yes",L1392&gt;0,B1392&lt;&gt;"TXO"),L1392,"")</f>
        <v/>
      </c>
      <c r="U1392" s="61">
        <f>IF(AND(R1392="Yes",S1392&lt;&gt;"Yes",L1392&lt;0,B1392&lt;&gt;"TXO"),L1392,"")</f>
        <v/>
      </c>
      <c r="V1392" s="61">
        <f>IF(AND(R1392="",S1392&lt;&gt;"Yes",L1392&gt;0,B1392&lt;&gt;"TXO"),L1392,"")</f>
        <v/>
      </c>
      <c r="W1392" s="61">
        <f>IF(AND(R1392="",S1392&lt;&gt;"Yes",L1392&lt;0,B1392&lt;&gt;"TXO"),L1392,"")</f>
        <v/>
      </c>
      <c r="X1392" s="226">
        <f>IF(AND(R1392="Yes",S1392="Yes",L1392&gt;0,B1392&lt;&gt;"TXO"),L1392,"")</f>
        <v/>
      </c>
      <c r="Y1392" s="226">
        <f>IF(AND(R1392="Yes",S1392="Yes",L1392&lt;0,B1392&lt;&gt;"TXO"),L1392,"")</f>
        <v/>
      </c>
      <c r="Z1392" s="226">
        <f>IF(AND(R1392="",S1392="Yes",L1392&gt;0,B1392&lt;&gt;"TXO"),L1392,"")</f>
        <v/>
      </c>
      <c r="AA1392" s="226">
        <f>IF(AND(R1392="",S1392="Yes",L1392&lt;0,B1392&lt;&gt;"TXO"),L1392,"")</f>
        <v/>
      </c>
    </row>
    <row r="1393" hidden="1" outlineLevel="2" ht="17.25" customHeight="1" thickBot="1">
      <c r="A1393" s="696" t="n">
        <v>43392</v>
      </c>
      <c r="B1393" s="234" t="inlineStr">
        <is>
          <t>FIMTX</t>
        </is>
      </c>
      <c r="C1393" s="229" t="inlineStr">
        <is>
          <t>小指11</t>
        </is>
      </c>
      <c r="D1393" s="229" t="inlineStr">
        <is>
          <t>平倉</t>
        </is>
      </c>
      <c r="E1393" s="257" t="inlineStr">
        <is>
          <t>賣</t>
        </is>
      </c>
      <c r="F1393" s="229" t="inlineStr">
        <is>
          <t>-</t>
        </is>
      </c>
      <c r="G1393" s="697" t="n">
        <v>1</v>
      </c>
      <c r="H1393" s="697" t="n">
        <v>9838</v>
      </c>
      <c r="I1393" s="697" t="n">
        <v>0</v>
      </c>
      <c r="J1393" s="585" t="n">
        <v>23</v>
      </c>
      <c r="K1393" s="585" t="n">
        <v>10</v>
      </c>
      <c r="L1393" s="585">
        <f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/>
      </c>
      <c r="M1393" s="699">
        <f>L1393</f>
        <v/>
      </c>
      <c r="N1393" s="686">
        <f>IF(B1393="TXO","",IF(D1393="新倉","",IF(E1393="賣",(H1393-H1392)*G1393,(H1392-H1393)*G1393)))</f>
        <v/>
      </c>
      <c r="O1393" s="226">
        <f>ABS(I1393)</f>
        <v/>
      </c>
      <c r="P1393" s="667" t="n"/>
      <c r="Q1393" s="249" t="inlineStr">
        <is>
          <t>技法: 刺補</t>
        </is>
      </c>
      <c r="R1393" s="249" t="inlineStr">
        <is>
          <t>Yes</t>
        </is>
      </c>
      <c r="S1393" s="249" t="n"/>
      <c r="T1393" s="61">
        <f>IF(AND(R1393="Yes",S1393&lt;&gt;"Yes",L1393&gt;0,B1393&lt;&gt;"TXO"),L1393,"")</f>
        <v/>
      </c>
      <c r="U1393" s="61">
        <f>IF(AND(R1393="Yes",S1393&lt;&gt;"Yes",L1393&lt;0,B1393&lt;&gt;"TXO"),L1393,"")</f>
        <v/>
      </c>
      <c r="V1393" s="61">
        <f>IF(AND(R1393="",S1393&lt;&gt;"Yes",L1393&gt;0,B1393&lt;&gt;"TXO"),L1393,"")</f>
        <v/>
      </c>
      <c r="W1393" s="61">
        <f>IF(AND(R1393="",S1393&lt;&gt;"Yes",L1393&lt;0,B1393&lt;&gt;"TXO"),L1393,"")</f>
        <v/>
      </c>
      <c r="X1393" s="226">
        <f>IF(AND(R1393="Yes",S1393="Yes",L1393&gt;0,B1393&lt;&gt;"TXO"),L1393,"")</f>
        <v/>
      </c>
      <c r="Y1393" s="226">
        <f>IF(AND(R1393="Yes",S1393="Yes",L1393&lt;0,B1393&lt;&gt;"TXO"),L1393,"")</f>
        <v/>
      </c>
      <c r="Z1393" s="226">
        <f>IF(AND(R1393="",S1393="Yes",L1393&gt;0,B1393&lt;&gt;"TXO"),L1393,"")</f>
        <v/>
      </c>
      <c r="AA1393" s="226">
        <f>IF(AND(R1393="",S1393="Yes",L1393&lt;0,B1393&lt;&gt;"TXO"),L1393,"")</f>
        <v/>
      </c>
    </row>
    <row r="1394" hidden="1" outlineLevel="2" ht="17.25" customHeight="1" thickBot="1">
      <c r="A1394" s="696" t="n">
        <v>43392</v>
      </c>
      <c r="B1394" s="234" t="inlineStr">
        <is>
          <t>FIMTX</t>
        </is>
      </c>
      <c r="C1394" s="229" t="inlineStr">
        <is>
          <t>小指11</t>
        </is>
      </c>
      <c r="D1394" s="229" t="inlineStr">
        <is>
          <t>新倉</t>
        </is>
      </c>
      <c r="E1394" s="257" t="inlineStr">
        <is>
          <t>買</t>
        </is>
      </c>
      <c r="F1394" s="229" t="inlineStr">
        <is>
          <t>-</t>
        </is>
      </c>
      <c r="G1394" s="697" t="n">
        <v>1</v>
      </c>
      <c r="H1394" s="697" t="n">
        <v>9835</v>
      </c>
      <c r="I1394" s="697" t="n">
        <v>0</v>
      </c>
      <c r="J1394" s="585" t="n">
        <v>23</v>
      </c>
      <c r="K1394" s="585" t="n">
        <v>10</v>
      </c>
      <c r="L1394" s="585">
        <f>IF(B1394="TXO",I1394-SUM(J1394:K1394),IF(B1394="FITX",IF(D1394="新倉",-SUM(J1394:K1394),IF(E1394="賣",(H1394-H1393)*G1394*200-SUM(J1394:K1394),(H1393-H1394)*G1394*200-SUM(J1394:K1394))),IF(D1394="新倉",-SUM(J1394:K1394),IF(E1394="賣",(H1394-H1393)*G1394*50-SUM(J1394:K1394),(H1393-H1394)*G1394*50-SUM(J1394:K1394)))))</f>
        <v/>
      </c>
      <c r="M1394" s="699">
        <f>L1394</f>
        <v/>
      </c>
      <c r="N1394" s="686">
        <f>IF(B1394="TXO","",IF(D1394="新倉","",IF(E1394="賣",(H1394-H1393)*G1394,(H1393-H1394)*G1394)))</f>
        <v/>
      </c>
      <c r="O1394" s="226">
        <f>ABS(I1394)</f>
        <v/>
      </c>
      <c r="P1394" s="667" t="n"/>
      <c r="R1394" s="249" t="inlineStr">
        <is>
          <t>Yes</t>
        </is>
      </c>
      <c r="S1394" s="249" t="n"/>
      <c r="T1394" s="61">
        <f>IF(AND(R1394="Yes",S1394&lt;&gt;"Yes",L1394&gt;0,B1394&lt;&gt;"TXO"),L1394,"")</f>
        <v/>
      </c>
      <c r="U1394" s="61">
        <f>IF(AND(R1394="Yes",S1394&lt;&gt;"Yes",L1394&lt;0,B1394&lt;&gt;"TXO"),L1394,"")</f>
        <v/>
      </c>
      <c r="V1394" s="61">
        <f>IF(AND(R1394="",S1394&lt;&gt;"Yes",L1394&gt;0,B1394&lt;&gt;"TXO"),L1394,"")</f>
        <v/>
      </c>
      <c r="W1394" s="61">
        <f>IF(AND(R1394="",S1394&lt;&gt;"Yes",L1394&lt;0,B1394&lt;&gt;"TXO"),L1394,"")</f>
        <v/>
      </c>
      <c r="X1394" s="226">
        <f>IF(AND(R1394="Yes",S1394="Yes",L1394&gt;0,B1394&lt;&gt;"TXO"),L1394,"")</f>
        <v/>
      </c>
      <c r="Y1394" s="226">
        <f>IF(AND(R1394="Yes",S1394="Yes",L1394&lt;0,B1394&lt;&gt;"TXO"),L1394,"")</f>
        <v/>
      </c>
      <c r="Z1394" s="226">
        <f>IF(AND(R1394="",S1394="Yes",L1394&gt;0,B1394&lt;&gt;"TXO"),L1394,"")</f>
        <v/>
      </c>
      <c r="AA1394" s="226">
        <f>IF(AND(R1394="",S1394="Yes",L1394&lt;0,B1394&lt;&gt;"TXO"),L1394,"")</f>
        <v/>
      </c>
    </row>
    <row r="1395" hidden="1" outlineLevel="2" ht="17.25" customHeight="1" thickBot="1">
      <c r="A1395" s="696" t="n">
        <v>43392</v>
      </c>
      <c r="B1395" s="234" t="inlineStr">
        <is>
          <t>FIMTX</t>
        </is>
      </c>
      <c r="C1395" s="229" t="inlineStr">
        <is>
          <t>小指11</t>
        </is>
      </c>
      <c r="D1395" s="229" t="inlineStr">
        <is>
          <t>平倉</t>
        </is>
      </c>
      <c r="E1395" s="257" t="inlineStr">
        <is>
          <t>賣</t>
        </is>
      </c>
      <c r="F1395" s="229" t="inlineStr">
        <is>
          <t>-</t>
        </is>
      </c>
      <c r="G1395" s="697" t="n">
        <v>1</v>
      </c>
      <c r="H1395" s="697" t="n">
        <v>9818</v>
      </c>
      <c r="I1395" s="697" t="n">
        <v>0</v>
      </c>
      <c r="J1395" s="585" t="n">
        <v>23</v>
      </c>
      <c r="K1395" s="585" t="n">
        <v>10</v>
      </c>
      <c r="L1395" s="585">
        <f>IF(B1395="TXO",I1395-SUM(J1395:K1395),IF(B1395="FITX",IF(D1395="新倉",-SUM(J1395:K1395),IF(E1395="賣",(H1395-H1394)*G1395*200-SUM(J1395:K1395),(H1394-H1395)*G1395*200-SUM(J1395:K1395))),IF(D1395="新倉",-SUM(J1395:K1395),IF(E1395="賣",(H1395-H1394)*G1395*50-SUM(J1395:K1395),(H1394-H1395)*G1395*50-SUM(J1395:K1395)))))</f>
        <v/>
      </c>
      <c r="M1395" s="699">
        <f>L1395</f>
        <v/>
      </c>
      <c r="N1395" s="686">
        <f>IF(B1395="TXO","",IF(D1395="新倉","",IF(E1395="賣",(H1395-H1394)*G1395,(H1394-H1395)*G1395)))</f>
        <v/>
      </c>
      <c r="O1395" s="226">
        <f>ABS(I1395)</f>
        <v/>
      </c>
      <c r="P1395" s="667" t="n"/>
      <c r="Q1395" s="311" t="inlineStr">
        <is>
          <t>15點停損</t>
        </is>
      </c>
      <c r="R1395" s="249" t="inlineStr">
        <is>
          <t>Yes</t>
        </is>
      </c>
      <c r="S1395" s="249" t="n"/>
      <c r="T1395" s="61">
        <f>IF(AND(R1395="Yes",S1395&lt;&gt;"Yes",L1395&gt;0,B1395&lt;&gt;"TXO"),L1395,"")</f>
        <v/>
      </c>
      <c r="U1395" s="61">
        <f>IF(AND(R1395="Yes",S1395&lt;&gt;"Yes",L1395&lt;0,B1395&lt;&gt;"TXO"),L1395,"")</f>
        <v/>
      </c>
      <c r="V1395" s="61">
        <f>IF(AND(R1395="",S1395&lt;&gt;"Yes",L1395&gt;0,B1395&lt;&gt;"TXO"),L1395,"")</f>
        <v/>
      </c>
      <c r="W1395" s="61">
        <f>IF(AND(R1395="",S1395&lt;&gt;"Yes",L1395&lt;0,B1395&lt;&gt;"TXO"),L1395,"")</f>
        <v/>
      </c>
      <c r="X1395" s="226">
        <f>IF(AND(R1395="Yes",S1395="Yes",L1395&gt;0,B1395&lt;&gt;"TXO"),L1395,"")</f>
        <v/>
      </c>
      <c r="Y1395" s="226">
        <f>IF(AND(R1395="Yes",S1395="Yes",L1395&lt;0,B1395&lt;&gt;"TXO"),L1395,"")</f>
        <v/>
      </c>
      <c r="Z1395" s="226">
        <f>IF(AND(R1395="",S1395="Yes",L1395&gt;0,B1395&lt;&gt;"TXO"),L1395,"")</f>
        <v/>
      </c>
      <c r="AA1395" s="226">
        <f>IF(AND(R1395="",S1395="Yes",L1395&lt;0,B1395&lt;&gt;"TXO"),L1395,"")</f>
        <v/>
      </c>
    </row>
    <row r="1396" hidden="1" outlineLevel="2" ht="17.25" customHeight="1" thickBot="1">
      <c r="A1396" s="696" t="n">
        <v>43392</v>
      </c>
      <c r="B1396" s="234" t="inlineStr">
        <is>
          <t>FIMTX</t>
        </is>
      </c>
      <c r="C1396" s="229" t="inlineStr">
        <is>
          <t>小指11</t>
        </is>
      </c>
      <c r="D1396" s="229" t="inlineStr">
        <is>
          <t>新倉</t>
        </is>
      </c>
      <c r="E1396" s="257" t="inlineStr">
        <is>
          <t>買</t>
        </is>
      </c>
      <c r="F1396" s="229" t="inlineStr">
        <is>
          <t>-</t>
        </is>
      </c>
      <c r="G1396" s="697" t="n">
        <v>1</v>
      </c>
      <c r="H1396" s="697" t="n">
        <v>9836</v>
      </c>
      <c r="I1396" s="697" t="n">
        <v>0</v>
      </c>
      <c r="J1396" s="585" t="n">
        <v>23</v>
      </c>
      <c r="K1396" s="585" t="n">
        <v>10</v>
      </c>
      <c r="L1396" s="585">
        <f>IF(B1396="TXO",I1396-SUM(J1396:K1396),IF(B1396="FITX",IF(D1396="新倉",-SUM(J1396:K1396),IF(E1396="賣",(H1396-H1395)*G1396*200-SUM(J1396:K1396),(H1395-H1396)*G1396*200-SUM(J1396:K1396))),IF(D1396="新倉",-SUM(J1396:K1396),IF(E1396="賣",(H1396-H1395)*G1396*50-SUM(J1396:K1396),(H1395-H1396)*G1396*50-SUM(J1396:K1396)))))</f>
        <v/>
      </c>
      <c r="M1396" s="699">
        <f>L1396</f>
        <v/>
      </c>
      <c r="N1396" s="686">
        <f>IF(B1396="TXO","",IF(D1396="新倉","",IF(E1396="賣",(H1396-H1395)*G1396,(H1395-H1396)*G1396)))</f>
        <v/>
      </c>
      <c r="O1396" s="226">
        <f>ABS(I1396)</f>
        <v/>
      </c>
      <c r="P1396" s="667" t="n"/>
      <c r="R1396" s="249" t="inlineStr">
        <is>
          <t>Yes</t>
        </is>
      </c>
      <c r="S1396" s="249" t="n"/>
      <c r="T1396" s="61">
        <f>IF(AND(R1396="Yes",S1396&lt;&gt;"Yes",L1396&gt;0,B1396&lt;&gt;"TXO"),L1396,"")</f>
        <v/>
      </c>
      <c r="U1396" s="61">
        <f>IF(AND(R1396="Yes",S1396&lt;&gt;"Yes",L1396&lt;0,B1396&lt;&gt;"TXO"),L1396,"")</f>
        <v/>
      </c>
      <c r="V1396" s="61">
        <f>IF(AND(R1396="",S1396&lt;&gt;"Yes",L1396&gt;0,B1396&lt;&gt;"TXO"),L1396,"")</f>
        <v/>
      </c>
      <c r="W1396" s="61">
        <f>IF(AND(R1396="",S1396&lt;&gt;"Yes",L1396&lt;0,B1396&lt;&gt;"TXO"),L1396,"")</f>
        <v/>
      </c>
      <c r="X1396" s="226">
        <f>IF(AND(R1396="Yes",S1396="Yes",L1396&gt;0,B1396&lt;&gt;"TXO"),L1396,"")</f>
        <v/>
      </c>
      <c r="Y1396" s="226">
        <f>IF(AND(R1396="Yes",S1396="Yes",L1396&lt;0,B1396&lt;&gt;"TXO"),L1396,"")</f>
        <v/>
      </c>
      <c r="Z1396" s="226">
        <f>IF(AND(R1396="",S1396="Yes",L1396&gt;0,B1396&lt;&gt;"TXO"),L1396,"")</f>
        <v/>
      </c>
      <c r="AA1396" s="226">
        <f>IF(AND(R1396="",S1396="Yes",L1396&lt;0,B1396&lt;&gt;"TXO"),L1396,"")</f>
        <v/>
      </c>
    </row>
    <row r="1397" hidden="1" outlineLevel="2" ht="17.25" customHeight="1" thickBot="1">
      <c r="A1397" s="696" t="n">
        <v>43392</v>
      </c>
      <c r="B1397" s="234" t="inlineStr">
        <is>
          <t>FIMTX</t>
        </is>
      </c>
      <c r="C1397" s="229" t="inlineStr">
        <is>
          <t>小指11</t>
        </is>
      </c>
      <c r="D1397" s="229" t="inlineStr">
        <is>
          <t>平倉</t>
        </is>
      </c>
      <c r="E1397" s="257" t="inlineStr">
        <is>
          <t>賣</t>
        </is>
      </c>
      <c r="F1397" s="229" t="inlineStr">
        <is>
          <t>-</t>
        </is>
      </c>
      <c r="G1397" s="697" t="n">
        <v>1</v>
      </c>
      <c r="H1397" s="697" t="n">
        <v>9819</v>
      </c>
      <c r="I1397" s="697" t="n">
        <v>0</v>
      </c>
      <c r="J1397" s="585" t="n">
        <v>23</v>
      </c>
      <c r="K1397" s="585" t="n">
        <v>10</v>
      </c>
      <c r="L1397" s="585">
        <f>IF(B1397="TXO",I1397-SUM(J1397:K1397),IF(B1397="FITX",IF(D1397="新倉",-SUM(J1397:K1397),IF(E1397="賣",(H1397-H1396)*G1397*200-SUM(J1397:K1397),(H1396-H1397)*G1397*200-SUM(J1397:K1397))),IF(D1397="新倉",-SUM(J1397:K1397),IF(E1397="賣",(H1397-H1396)*G1397*50-SUM(J1397:K1397),(H1396-H1397)*G1397*50-SUM(J1397:K1397)))))</f>
        <v/>
      </c>
      <c r="M1397" s="699">
        <f>L1397</f>
        <v/>
      </c>
      <c r="N1397" s="686">
        <f>IF(B1397="TXO","",IF(D1397="新倉","",IF(E1397="賣",(H1397-H1396)*G1397,(H1396-H1397)*G1397)))</f>
        <v/>
      </c>
      <c r="O1397" s="226">
        <f>ABS(I1397)</f>
        <v/>
      </c>
      <c r="P1397" s="667" t="n"/>
      <c r="Q1397" s="311" t="inlineStr">
        <is>
          <t>15點停損</t>
        </is>
      </c>
      <c r="R1397" s="249" t="inlineStr">
        <is>
          <t>Yes</t>
        </is>
      </c>
      <c r="S1397" s="249" t="n"/>
      <c r="T1397" s="61">
        <f>IF(AND(R1397="Yes",S1397&lt;&gt;"Yes",L1397&gt;0,B1397&lt;&gt;"TXO"),L1397,"")</f>
        <v/>
      </c>
      <c r="U1397" s="61">
        <f>IF(AND(R1397="Yes",S1397&lt;&gt;"Yes",L1397&lt;0,B1397&lt;&gt;"TXO"),L1397,"")</f>
        <v/>
      </c>
      <c r="V1397" s="61">
        <f>IF(AND(R1397="",S1397&lt;&gt;"Yes",L1397&gt;0,B1397&lt;&gt;"TXO"),L1397,"")</f>
        <v/>
      </c>
      <c r="W1397" s="61">
        <f>IF(AND(R1397="",S1397&lt;&gt;"Yes",L1397&lt;0,B1397&lt;&gt;"TXO"),L1397,"")</f>
        <v/>
      </c>
      <c r="X1397" s="226">
        <f>IF(AND(R1397="Yes",S1397="Yes",L1397&gt;0,B1397&lt;&gt;"TXO"),L1397,"")</f>
        <v/>
      </c>
      <c r="Y1397" s="226">
        <f>IF(AND(R1397="Yes",S1397="Yes",L1397&lt;0,B1397&lt;&gt;"TXO"),L1397,"")</f>
        <v/>
      </c>
      <c r="Z1397" s="226">
        <f>IF(AND(R1397="",S1397="Yes",L1397&gt;0,B1397&lt;&gt;"TXO"),L1397,"")</f>
        <v/>
      </c>
      <c r="AA1397" s="226">
        <f>IF(AND(R1397="",S1397="Yes",L1397&lt;0,B1397&lt;&gt;"TXO"),L1397,"")</f>
        <v/>
      </c>
    </row>
    <row r="1398" hidden="1" outlineLevel="2" ht="17.25" customHeight="1" thickBot="1">
      <c r="A1398" s="696" t="n">
        <v>43392</v>
      </c>
      <c r="B1398" s="234" t="inlineStr">
        <is>
          <t>FIMTX</t>
        </is>
      </c>
      <c r="C1398" s="229" t="inlineStr">
        <is>
          <t>小指11</t>
        </is>
      </c>
      <c r="D1398" s="229" t="inlineStr">
        <is>
          <t>新倉</t>
        </is>
      </c>
      <c r="E1398" s="257" t="inlineStr">
        <is>
          <t>買</t>
        </is>
      </c>
      <c r="F1398" s="229" t="inlineStr">
        <is>
          <t>-</t>
        </is>
      </c>
      <c r="G1398" s="697" t="n">
        <v>2</v>
      </c>
      <c r="H1398" s="697" t="n">
        <v>9832</v>
      </c>
      <c r="I1398" s="697" t="n">
        <v>0</v>
      </c>
      <c r="J1398" s="585" t="n">
        <v>46</v>
      </c>
      <c r="K1398" s="585" t="n">
        <v>20</v>
      </c>
      <c r="L1398" s="585">
        <f>IF(B1398="TXO",I1398-SUM(J1398:K1398),IF(B1398="FITX",IF(D1398="新倉",-SUM(J1398:K1398),IF(E1398="賣",(H1398-H1397)*G1398*200-SUM(J1398:K1398),(H1397-H1398)*G1398*200-SUM(J1398:K1398))),IF(D1398="新倉",-SUM(J1398:K1398),IF(E1398="賣",(H1398-H1397)*G1398*50-SUM(J1398:K1398),(H1397-H1398)*G1398*50-SUM(J1398:K1398)))))</f>
        <v/>
      </c>
      <c r="M1398" s="699">
        <f>L1398</f>
        <v/>
      </c>
      <c r="N1398" s="686">
        <f>IF(B1398="TXO","",IF(D1398="新倉","",IF(E1398="賣",(H1398-H1397)*G1398,(H1397-H1398)*G1398)))</f>
        <v/>
      </c>
      <c r="O1398" s="226">
        <f>ABS(I1398)</f>
        <v/>
      </c>
      <c r="P1398" s="667" t="n"/>
      <c r="S1398" s="249" t="n"/>
      <c r="T1398" s="61">
        <f>IF(AND(R1398="Yes",S1398&lt;&gt;"Yes",L1398&gt;0,B1398&lt;&gt;"TXO"),L1398,"")</f>
        <v/>
      </c>
      <c r="U1398" s="61">
        <f>IF(AND(R1398="Yes",S1398&lt;&gt;"Yes",L1398&lt;0,B1398&lt;&gt;"TXO"),L1398,"")</f>
        <v/>
      </c>
      <c r="V1398" s="61">
        <f>IF(AND(R1398="",S1398&lt;&gt;"Yes",L1398&gt;0,B1398&lt;&gt;"TXO"),L1398,"")</f>
        <v/>
      </c>
      <c r="W1398" s="61">
        <f>IF(AND(R1398="",S1398&lt;&gt;"Yes",L1398&lt;0,B1398&lt;&gt;"TXO"),L1398,"")</f>
        <v/>
      </c>
      <c r="X1398" s="226">
        <f>IF(AND(R1398="Yes",S1398="Yes",L1398&gt;0,B1398&lt;&gt;"TXO"),L1398,"")</f>
        <v/>
      </c>
      <c r="Y1398" s="226">
        <f>IF(AND(R1398="Yes",S1398="Yes",L1398&lt;0,B1398&lt;&gt;"TXO"),L1398,"")</f>
        <v/>
      </c>
      <c r="Z1398" s="226">
        <f>IF(AND(R1398="",S1398="Yes",L1398&gt;0,B1398&lt;&gt;"TXO"),L1398,"")</f>
        <v/>
      </c>
      <c r="AA1398" s="226">
        <f>IF(AND(R1398="",S1398="Yes",L1398&lt;0,B1398&lt;&gt;"TXO"),L1398,"")</f>
        <v/>
      </c>
    </row>
    <row r="1399" hidden="1" outlineLevel="2" ht="17.25" customHeight="1" thickBot="1">
      <c r="A1399" s="696" t="n">
        <v>43392</v>
      </c>
      <c r="B1399" s="234" t="inlineStr">
        <is>
          <t>FIMTX</t>
        </is>
      </c>
      <c r="C1399" s="229" t="inlineStr">
        <is>
          <t>小指11</t>
        </is>
      </c>
      <c r="D1399" s="229" t="inlineStr">
        <is>
          <t>平倉</t>
        </is>
      </c>
      <c r="E1399" s="257" t="inlineStr">
        <is>
          <t>賣</t>
        </is>
      </c>
      <c r="F1399" s="229" t="inlineStr">
        <is>
          <t>-</t>
        </is>
      </c>
      <c r="G1399" s="697" t="n">
        <v>2</v>
      </c>
      <c r="H1399" s="697" t="n">
        <v>9836</v>
      </c>
      <c r="I1399" s="697" t="n">
        <v>0</v>
      </c>
      <c r="J1399" s="585" t="n">
        <v>46</v>
      </c>
      <c r="K1399" s="585" t="n">
        <v>20</v>
      </c>
      <c r="L1399" s="585">
        <f>IF(B1399="TXO",I1399-SUM(J1399:K1399),IF(B1399="FITX",IF(D1399="新倉",-SUM(J1399:K1399),IF(E1399="賣",(H1399-H1398)*G1399*200-SUM(J1399:K1399),(H1398-H1399)*G1399*200-SUM(J1399:K1399))),IF(D1399="新倉",-SUM(J1399:K1399),IF(E1399="賣",(H1399-H1398)*G1399*50-SUM(J1399:K1399),(H1398-H1399)*G1399*50-SUM(J1399:K1399)))))</f>
        <v/>
      </c>
      <c r="M1399" s="699">
        <f>L1399</f>
        <v/>
      </c>
      <c r="N1399" s="686">
        <f>IF(B1399="TXO","",IF(D1399="新倉","",IF(E1399="賣",(H1399-H1398)*G1399,(H1398-H1399)*G1399)))</f>
        <v/>
      </c>
      <c r="O1399" s="226">
        <f>ABS(I1399)</f>
        <v/>
      </c>
      <c r="P1399" s="667" t="n"/>
      <c r="Q1399" s="311" t="n"/>
      <c r="S1399" s="249" t="n"/>
      <c r="T1399" s="61">
        <f>IF(AND(R1399="Yes",S1399&lt;&gt;"Yes",L1399&gt;0,B1399&lt;&gt;"TXO"),L1399,"")</f>
        <v/>
      </c>
      <c r="U1399" s="61">
        <f>IF(AND(R1399="Yes",S1399&lt;&gt;"Yes",L1399&lt;0,B1399&lt;&gt;"TXO"),L1399,"")</f>
        <v/>
      </c>
      <c r="V1399" s="61">
        <f>IF(AND(R1399="",S1399&lt;&gt;"Yes",L1399&gt;0,B1399&lt;&gt;"TXO"),L1399,"")</f>
        <v/>
      </c>
      <c r="W1399" s="61">
        <f>IF(AND(R1399="",S1399&lt;&gt;"Yes",L1399&lt;0,B1399&lt;&gt;"TXO"),L1399,"")</f>
        <v/>
      </c>
      <c r="X1399" s="226">
        <f>IF(AND(R1399="Yes",S1399="Yes",L1399&gt;0,B1399&lt;&gt;"TXO"),L1399,"")</f>
        <v/>
      </c>
      <c r="Y1399" s="226">
        <f>IF(AND(R1399="Yes",S1399="Yes",L1399&lt;0,B1399&lt;&gt;"TXO"),L1399,"")</f>
        <v/>
      </c>
      <c r="Z1399" s="226">
        <f>IF(AND(R1399="",S1399="Yes",L1399&gt;0,B1399&lt;&gt;"TXO"),L1399,"")</f>
        <v/>
      </c>
      <c r="AA1399" s="226">
        <f>IF(AND(R1399="",S1399="Yes",L1399&lt;0,B1399&lt;&gt;"TXO"),L1399,"")</f>
        <v/>
      </c>
    </row>
    <row r="1400" hidden="1" outlineLevel="2" ht="17.25" customHeight="1" thickBot="1">
      <c r="A1400" s="696" t="n">
        <v>43392</v>
      </c>
      <c r="B1400" s="234" t="inlineStr">
        <is>
          <t>FIMTX</t>
        </is>
      </c>
      <c r="C1400" s="229" t="inlineStr">
        <is>
          <t>小指11</t>
        </is>
      </c>
      <c r="D1400" s="229" t="inlineStr">
        <is>
          <t>新倉</t>
        </is>
      </c>
      <c r="E1400" s="257" t="inlineStr">
        <is>
          <t>買</t>
        </is>
      </c>
      <c r="F1400" s="229" t="inlineStr">
        <is>
          <t>-</t>
        </is>
      </c>
      <c r="G1400" s="697" t="n">
        <v>2</v>
      </c>
      <c r="H1400" s="697" t="n">
        <v>9827</v>
      </c>
      <c r="I1400" s="697" t="n">
        <v>0</v>
      </c>
      <c r="J1400" s="585" t="n">
        <v>46</v>
      </c>
      <c r="K1400" s="585" t="n">
        <v>20</v>
      </c>
      <c r="L1400" s="585">
        <f>IF(B1400="TXO",I1400-SUM(J1400:K1400),IF(B1400="FITX",IF(D1400="新倉",-SUM(J1400:K1400),IF(E1400="賣",(H1400-H1399)*G1400*200-SUM(J1400:K1400),(H1399-H1400)*G1400*200-SUM(J1400:K1400))),IF(D1400="新倉",-SUM(J1400:K1400),IF(E1400="賣",(H1400-H1399)*G1400*50-SUM(J1400:K1400),(H1399-H1400)*G1400*50-SUM(J1400:K1400)))))</f>
        <v/>
      </c>
      <c r="M1400" s="699">
        <f>L1400</f>
        <v/>
      </c>
      <c r="N1400" s="686">
        <f>IF(B1400="TXO","",IF(D1400="新倉","",IF(E1400="賣",(H1400-H1399)*G1400,(H1399-H1400)*G1400)))</f>
        <v/>
      </c>
      <c r="O1400" s="226">
        <f>ABS(I1400)</f>
        <v/>
      </c>
      <c r="P1400" s="667" t="n"/>
      <c r="S1400" s="249" t="n"/>
      <c r="T1400" s="61">
        <f>IF(AND(R1400="Yes",S1400&lt;&gt;"Yes",L1400&gt;0,B1400&lt;&gt;"TXO"),L1400,"")</f>
        <v/>
      </c>
      <c r="U1400" s="61">
        <f>IF(AND(R1400="Yes",S1400&lt;&gt;"Yes",L1400&lt;0,B1400&lt;&gt;"TXO"),L1400,"")</f>
        <v/>
      </c>
      <c r="V1400" s="61">
        <f>IF(AND(R1400="",S1400&lt;&gt;"Yes",L1400&gt;0,B1400&lt;&gt;"TXO"),L1400,"")</f>
        <v/>
      </c>
      <c r="W1400" s="61">
        <f>IF(AND(R1400="",S1400&lt;&gt;"Yes",L1400&lt;0,B1400&lt;&gt;"TXO"),L1400,"")</f>
        <v/>
      </c>
      <c r="X1400" s="226">
        <f>IF(AND(R1400="Yes",S1400="Yes",L1400&gt;0,B1400&lt;&gt;"TXO"),L1400,"")</f>
        <v/>
      </c>
      <c r="Y1400" s="226">
        <f>IF(AND(R1400="Yes",S1400="Yes",L1400&lt;0,B1400&lt;&gt;"TXO"),L1400,"")</f>
        <v/>
      </c>
      <c r="Z1400" s="226">
        <f>IF(AND(R1400="",S1400="Yes",L1400&gt;0,B1400&lt;&gt;"TXO"),L1400,"")</f>
        <v/>
      </c>
      <c r="AA1400" s="226">
        <f>IF(AND(R1400="",S1400="Yes",L1400&lt;0,B1400&lt;&gt;"TXO"),L1400,"")</f>
        <v/>
      </c>
    </row>
    <row r="1401" hidden="1" outlineLevel="2" ht="17.25" customHeight="1" thickBot="1">
      <c r="A1401" s="696" t="n">
        <v>43392</v>
      </c>
      <c r="B1401" s="234" t="inlineStr">
        <is>
          <t>FIMTX</t>
        </is>
      </c>
      <c r="C1401" s="229" t="inlineStr">
        <is>
          <t>小指11</t>
        </is>
      </c>
      <c r="D1401" s="229" t="inlineStr">
        <is>
          <t>平倉</t>
        </is>
      </c>
      <c r="E1401" s="257" t="inlineStr">
        <is>
          <t>賣</t>
        </is>
      </c>
      <c r="F1401" s="229" t="inlineStr">
        <is>
          <t>-</t>
        </is>
      </c>
      <c r="G1401" s="697" t="n">
        <v>2</v>
      </c>
      <c r="H1401" s="697" t="n">
        <v>9811</v>
      </c>
      <c r="I1401" s="697" t="n">
        <v>0</v>
      </c>
      <c r="J1401" s="585" t="n">
        <v>46</v>
      </c>
      <c r="K1401" s="585" t="n">
        <v>20</v>
      </c>
      <c r="L1401" s="585">
        <f>IF(B1401="TXO",I1401-SUM(J1401:K1401),IF(B1401="FITX",IF(D1401="新倉",-SUM(J1401:K1401),IF(E1401="賣",(H1401-H1400)*G1401*200-SUM(J1401:K1401),(H1400-H1401)*G1401*200-SUM(J1401:K1401))),IF(D1401="新倉",-SUM(J1401:K1401),IF(E1401="賣",(H1401-H1400)*G1401*50-SUM(J1401:K1401),(H1400-H1401)*G1401*50-SUM(J1401:K1401)))))</f>
        <v/>
      </c>
      <c r="M1401" s="699">
        <f>L1401</f>
        <v/>
      </c>
      <c r="N1401" s="686">
        <f>IF(B1401="TXO","",IF(D1401="新倉","",IF(E1401="賣",(H1401-H1400)*G1401,(H1400-H1401)*G1401)))</f>
        <v/>
      </c>
      <c r="O1401" s="226">
        <f>ABS(I1401)</f>
        <v/>
      </c>
      <c r="P1401" s="667" t="n"/>
      <c r="Q1401" s="311" t="n"/>
      <c r="S1401" s="249" t="n"/>
      <c r="T1401" s="61">
        <f>IF(AND(R1401="Yes",S1401&lt;&gt;"Yes",L1401&gt;0,B1401&lt;&gt;"TXO"),L1401,"")</f>
        <v/>
      </c>
      <c r="U1401" s="61">
        <f>IF(AND(R1401="Yes",S1401&lt;&gt;"Yes",L1401&lt;0,B1401&lt;&gt;"TXO"),L1401,"")</f>
        <v/>
      </c>
      <c r="V1401" s="61">
        <f>IF(AND(R1401="",S1401&lt;&gt;"Yes",L1401&gt;0,B1401&lt;&gt;"TXO"),L1401,"")</f>
        <v/>
      </c>
      <c r="W1401" s="61">
        <f>IF(AND(R1401="",S1401&lt;&gt;"Yes",L1401&lt;0,B1401&lt;&gt;"TXO"),L1401,"")</f>
        <v/>
      </c>
      <c r="X1401" s="226">
        <f>IF(AND(R1401="Yes",S1401="Yes",L1401&gt;0,B1401&lt;&gt;"TXO"),L1401,"")</f>
        <v/>
      </c>
      <c r="Y1401" s="226">
        <f>IF(AND(R1401="Yes",S1401="Yes",L1401&lt;0,B1401&lt;&gt;"TXO"),L1401,"")</f>
        <v/>
      </c>
      <c r="Z1401" s="226">
        <f>IF(AND(R1401="",S1401="Yes",L1401&gt;0,B1401&lt;&gt;"TXO"),L1401,"")</f>
        <v/>
      </c>
      <c r="AA1401" s="226">
        <f>IF(AND(R1401="",S1401="Yes",L1401&lt;0,B1401&lt;&gt;"TXO"),L1401,"")</f>
        <v/>
      </c>
    </row>
    <row r="1402" hidden="1" outlineLevel="2" ht="33.75" customHeight="1" thickBot="1">
      <c r="A1402" s="696" t="n">
        <v>43392</v>
      </c>
      <c r="B1402" s="234" t="inlineStr">
        <is>
          <t>FIMTX</t>
        </is>
      </c>
      <c r="C1402" s="229" t="inlineStr">
        <is>
          <t>小指11</t>
        </is>
      </c>
      <c r="D1402" s="229" t="inlineStr">
        <is>
          <t>新倉</t>
        </is>
      </c>
      <c r="E1402" s="257" t="inlineStr">
        <is>
          <t>賣</t>
        </is>
      </c>
      <c r="F1402" s="229" t="inlineStr">
        <is>
          <t>-</t>
        </is>
      </c>
      <c r="G1402" s="697" t="n">
        <v>1</v>
      </c>
      <c r="H1402" s="697" t="n">
        <v>9808</v>
      </c>
      <c r="I1402" s="697" t="n">
        <v>0</v>
      </c>
      <c r="J1402" s="585" t="n">
        <v>23</v>
      </c>
      <c r="K1402" s="585" t="n">
        <v>10</v>
      </c>
      <c r="L1402" s="585">
        <f>IF(B1402="TXO",I1402-SUM(J1402:K1402),IF(B1402="FITX",IF(D1402="新倉",-SUM(J1402:K1402),IF(E1402="賣",(H1402-H1401)*G1402*200-SUM(J1402:K1402),(H1401-H1402)*G1402*200-SUM(J1402:K1402))),IF(D1402="新倉",-SUM(J1402:K1402),IF(E1402="賣",(H1402-H1401)*G1402*50-SUM(J1402:K1402),(H1401-H1402)*G1402*50-SUM(J1402:K1402)))))</f>
        <v/>
      </c>
      <c r="M1402" s="699">
        <f>L1402</f>
        <v/>
      </c>
      <c r="N1402" s="686">
        <f>IF(B1402="TXO","",IF(D1402="新倉","",IF(E1402="賣",(H1402-H1401)*G1402,(H1401-H1402)*G1402)))</f>
        <v/>
      </c>
      <c r="O1402" s="226">
        <f>ABS(I1402)</f>
        <v/>
      </c>
      <c r="P1402" s="667" t="n"/>
      <c r="Q1402" s="249" t="inlineStr">
        <is>
          <t>技法: 3/3 買進三口
把多單出場訊號當成空單進場</t>
        </is>
      </c>
      <c r="S1402" s="249" t="n"/>
      <c r="T1402" s="61">
        <f>IF(AND(R1402="Yes",S1402&lt;&gt;"Yes",L1402&gt;0,B1402&lt;&gt;"TXO"),L1402,"")</f>
        <v/>
      </c>
      <c r="U1402" s="61">
        <f>IF(AND(R1402="Yes",S1402&lt;&gt;"Yes",L1402&lt;0,B1402&lt;&gt;"TXO"),L1402,"")</f>
        <v/>
      </c>
      <c r="V1402" s="61">
        <f>IF(AND(R1402="",S1402&lt;&gt;"Yes",L1402&gt;0,B1402&lt;&gt;"TXO"),L1402,"")</f>
        <v/>
      </c>
      <c r="W1402" s="61">
        <f>IF(AND(R1402="",S1402&lt;&gt;"Yes",L1402&lt;0,B1402&lt;&gt;"TXO"),L1402,"")</f>
        <v/>
      </c>
      <c r="X1402" s="226">
        <f>IF(AND(R1402="Yes",S1402="Yes",L1402&gt;0,B1402&lt;&gt;"TXO"),L1402,"")</f>
        <v/>
      </c>
      <c r="Y1402" s="226">
        <f>IF(AND(R1402="Yes",S1402="Yes",L1402&lt;0,B1402&lt;&gt;"TXO"),L1402,"")</f>
        <v/>
      </c>
      <c r="Z1402" s="226">
        <f>IF(AND(R1402="",S1402="Yes",L1402&gt;0,B1402&lt;&gt;"TXO"),L1402,"")</f>
        <v/>
      </c>
      <c r="AA1402" s="226">
        <f>IF(AND(R1402="",S1402="Yes",L1402&lt;0,B1402&lt;&gt;"TXO"),L1402,"")</f>
        <v/>
      </c>
    </row>
    <row r="1403" hidden="1" outlineLevel="2" ht="17.25" customHeight="1" thickBot="1">
      <c r="A1403" s="696" t="n">
        <v>43392</v>
      </c>
      <c r="B1403" s="234" t="inlineStr">
        <is>
          <t>FIMTX</t>
        </is>
      </c>
      <c r="C1403" s="229" t="inlineStr">
        <is>
          <t>小指11</t>
        </is>
      </c>
      <c r="D1403" s="229" t="inlineStr">
        <is>
          <t>平倉</t>
        </is>
      </c>
      <c r="E1403" s="257" t="inlineStr">
        <is>
          <t>買</t>
        </is>
      </c>
      <c r="F1403" s="229" t="inlineStr">
        <is>
          <t>-</t>
        </is>
      </c>
      <c r="G1403" s="697" t="n">
        <v>1</v>
      </c>
      <c r="H1403" s="697" t="n">
        <v>9823</v>
      </c>
      <c r="I1403" s="697" t="n">
        <v>0</v>
      </c>
      <c r="J1403" s="585" t="n">
        <v>23</v>
      </c>
      <c r="K1403" s="585" t="n">
        <v>10</v>
      </c>
      <c r="L1403" s="585">
        <f>IF(B1403="TXO",I1403-SUM(J1403:K1403),IF(B1403="FITX",IF(D1403="新倉",-SUM(J1403:K1403),IF(E1403="賣",(H1403-H1402)*G1403*200-SUM(J1403:K1403),(H1402-H1403)*G1403*200-SUM(J1403:K1403))),IF(D1403="新倉",-SUM(J1403:K1403),IF(E1403="賣",(H1403-H1402)*G1403*50-SUM(J1403:K1403),(H1402-H1403)*G1403*50-SUM(J1403:K1403)))))</f>
        <v/>
      </c>
      <c r="M1403" s="699">
        <f>L1403</f>
        <v/>
      </c>
      <c r="N1403" s="686">
        <f>IF(B1403="TXO","",IF(D1403="新倉","",IF(E1403="賣",(H1403-H1402)*G1403,(H1402-H1403)*G1403)))</f>
        <v/>
      </c>
      <c r="O1403" s="226">
        <f>ABS(I1403)</f>
        <v/>
      </c>
      <c r="P1403" s="667" t="n"/>
      <c r="Q1403" s="311" t="inlineStr">
        <is>
          <t>15點停損</t>
        </is>
      </c>
      <c r="S1403" s="249" t="n"/>
      <c r="T1403" s="61">
        <f>IF(AND(R1403="Yes",S1403&lt;&gt;"Yes",L1403&gt;0,B1403&lt;&gt;"TXO"),L1403,"")</f>
        <v/>
      </c>
      <c r="U1403" s="61">
        <f>IF(AND(R1403="Yes",S1403&lt;&gt;"Yes",L1403&lt;0,B1403&lt;&gt;"TXO"),L1403,"")</f>
        <v/>
      </c>
      <c r="V1403" s="61">
        <f>IF(AND(R1403="",S1403&lt;&gt;"Yes",L1403&gt;0,B1403&lt;&gt;"TXO"),L1403,"")</f>
        <v/>
      </c>
      <c r="W1403" s="61">
        <f>IF(AND(R1403="",S1403&lt;&gt;"Yes",L1403&lt;0,B1403&lt;&gt;"TXO"),L1403,"")</f>
        <v/>
      </c>
      <c r="X1403" s="226">
        <f>IF(AND(R1403="Yes",S1403="Yes",L1403&gt;0,B1403&lt;&gt;"TXO"),L1403,"")</f>
        <v/>
      </c>
      <c r="Y1403" s="226">
        <f>IF(AND(R1403="Yes",S1403="Yes",L1403&lt;0,B1403&lt;&gt;"TXO"),L1403,"")</f>
        <v/>
      </c>
      <c r="Z1403" s="226">
        <f>IF(AND(R1403="",S1403="Yes",L1403&gt;0,B1403&lt;&gt;"TXO"),L1403,"")</f>
        <v/>
      </c>
      <c r="AA1403" s="226">
        <f>IF(AND(R1403="",S1403="Yes",L1403&lt;0,B1403&lt;&gt;"TXO"),L1403,"")</f>
        <v/>
      </c>
    </row>
    <row r="1404" hidden="1" outlineLevel="2" ht="17.25" customHeight="1" thickBot="1">
      <c r="A1404" s="696" t="n">
        <v>43392</v>
      </c>
      <c r="B1404" s="234" t="inlineStr">
        <is>
          <t>FIMTX</t>
        </is>
      </c>
      <c r="C1404" s="229" t="inlineStr">
        <is>
          <t>小指11</t>
        </is>
      </c>
      <c r="D1404" s="229" t="inlineStr">
        <is>
          <t>新倉</t>
        </is>
      </c>
      <c r="E1404" s="257" t="inlineStr">
        <is>
          <t>賣</t>
        </is>
      </c>
      <c r="F1404" s="229" t="inlineStr">
        <is>
          <t>-</t>
        </is>
      </c>
      <c r="G1404" s="697" t="n">
        <v>1</v>
      </c>
      <c r="H1404" s="697" t="n">
        <v>9807</v>
      </c>
      <c r="I1404" s="697" t="n">
        <v>0</v>
      </c>
      <c r="J1404" s="585" t="n">
        <v>23</v>
      </c>
      <c r="K1404" s="585" t="n">
        <v>10</v>
      </c>
      <c r="L1404" s="585">
        <f>IF(B1404="TXO",I1404-SUM(J1404:K1404),IF(B1404="FITX",IF(D1404="新倉",-SUM(J1404:K1404),IF(E1404="賣",(H1404-H1403)*G1404*200-SUM(J1404:K1404),(H1403-H1404)*G1404*200-SUM(J1404:K1404))),IF(D1404="新倉",-SUM(J1404:K1404),IF(E1404="賣",(H1404-H1403)*G1404*50-SUM(J1404:K1404),(H1403-H1404)*G1404*50-SUM(J1404:K1404)))))</f>
        <v/>
      </c>
      <c r="M1404" s="699">
        <f>L1404</f>
        <v/>
      </c>
      <c r="N1404" s="686">
        <f>IF(B1404="TXO","",IF(D1404="新倉","",IF(E1404="賣",(H1404-H1403)*G1404,(H1403-H1404)*G1404)))</f>
        <v/>
      </c>
      <c r="O1404" s="226">
        <f>ABS(I1404)</f>
        <v/>
      </c>
      <c r="P1404" s="667" t="n"/>
      <c r="S1404" s="249" t="n"/>
      <c r="T1404" s="61">
        <f>IF(AND(R1404="Yes",S1404&lt;&gt;"Yes",L1404&gt;0,B1404&lt;&gt;"TXO"),L1404,"")</f>
        <v/>
      </c>
      <c r="U1404" s="61">
        <f>IF(AND(R1404="Yes",S1404&lt;&gt;"Yes",L1404&lt;0,B1404&lt;&gt;"TXO"),L1404,"")</f>
        <v/>
      </c>
      <c r="V1404" s="61">
        <f>IF(AND(R1404="",S1404&lt;&gt;"Yes",L1404&gt;0,B1404&lt;&gt;"TXO"),L1404,"")</f>
        <v/>
      </c>
      <c r="W1404" s="61">
        <f>IF(AND(R1404="",S1404&lt;&gt;"Yes",L1404&lt;0,B1404&lt;&gt;"TXO"),L1404,"")</f>
        <v/>
      </c>
      <c r="X1404" s="226">
        <f>IF(AND(R1404="Yes",S1404="Yes",L1404&gt;0,B1404&lt;&gt;"TXO"),L1404,"")</f>
        <v/>
      </c>
      <c r="Y1404" s="226">
        <f>IF(AND(R1404="Yes",S1404="Yes",L1404&lt;0,B1404&lt;&gt;"TXO"),L1404,"")</f>
        <v/>
      </c>
      <c r="Z1404" s="226">
        <f>IF(AND(R1404="",S1404="Yes",L1404&gt;0,B1404&lt;&gt;"TXO"),L1404,"")</f>
        <v/>
      </c>
      <c r="AA1404" s="226">
        <f>IF(AND(R1404="",S1404="Yes",L1404&lt;0,B1404&lt;&gt;"TXO"),L1404,"")</f>
        <v/>
      </c>
    </row>
    <row r="1405" hidden="1" outlineLevel="2" ht="17.25" customHeight="1" thickBot="1">
      <c r="A1405" s="696" t="n">
        <v>43392</v>
      </c>
      <c r="B1405" s="234" t="inlineStr">
        <is>
          <t>FIMTX</t>
        </is>
      </c>
      <c r="C1405" s="229" t="inlineStr">
        <is>
          <t>小指11</t>
        </is>
      </c>
      <c r="D1405" s="229" t="inlineStr">
        <is>
          <t>平倉</t>
        </is>
      </c>
      <c r="E1405" s="257" t="inlineStr">
        <is>
          <t>買</t>
        </is>
      </c>
      <c r="F1405" s="229" t="inlineStr">
        <is>
          <t>-</t>
        </is>
      </c>
      <c r="G1405" s="697" t="n">
        <v>1</v>
      </c>
      <c r="H1405" s="697" t="n">
        <v>9824</v>
      </c>
      <c r="I1405" s="697" t="n">
        <v>0</v>
      </c>
      <c r="J1405" s="585" t="n">
        <v>23</v>
      </c>
      <c r="K1405" s="585" t="n">
        <v>10</v>
      </c>
      <c r="L1405" s="585">
        <f>IF(B1405="TXO",I1405-SUM(J1405:K1405),IF(B1405="FITX",IF(D1405="新倉",-SUM(J1405:K1405),IF(E1405="賣",(H1405-H1404)*G1405*200-SUM(J1405:K1405),(H1404-H1405)*G1405*200-SUM(J1405:K1405))),IF(D1405="新倉",-SUM(J1405:K1405),IF(E1405="賣",(H1405-H1404)*G1405*50-SUM(J1405:K1405),(H1404-H1405)*G1405*50-SUM(J1405:K1405)))))</f>
        <v/>
      </c>
      <c r="M1405" s="699">
        <f>L1405</f>
        <v/>
      </c>
      <c r="N1405" s="686">
        <f>IF(B1405="TXO","",IF(D1405="新倉","",IF(E1405="賣",(H1405-H1404)*G1405,(H1404-H1405)*G1405)))</f>
        <v/>
      </c>
      <c r="O1405" s="226">
        <f>ABS(I1405)</f>
        <v/>
      </c>
      <c r="P1405" s="667" t="n"/>
      <c r="Q1405" s="311" t="inlineStr">
        <is>
          <t>15點停損</t>
        </is>
      </c>
      <c r="S1405" s="249" t="n"/>
      <c r="T1405" s="61">
        <f>IF(AND(R1405="Yes",S1405&lt;&gt;"Yes",L1405&gt;0,B1405&lt;&gt;"TXO"),L1405,"")</f>
        <v/>
      </c>
      <c r="U1405" s="61">
        <f>IF(AND(R1405="Yes",S1405&lt;&gt;"Yes",L1405&lt;0,B1405&lt;&gt;"TXO"),L1405,"")</f>
        <v/>
      </c>
      <c r="V1405" s="61">
        <f>IF(AND(R1405="",S1405&lt;&gt;"Yes",L1405&gt;0,B1405&lt;&gt;"TXO"),L1405,"")</f>
        <v/>
      </c>
      <c r="W1405" s="61">
        <f>IF(AND(R1405="",S1405&lt;&gt;"Yes",L1405&lt;0,B1405&lt;&gt;"TXO"),L1405,"")</f>
        <v/>
      </c>
      <c r="X1405" s="226">
        <f>IF(AND(R1405="Yes",S1405="Yes",L1405&gt;0,B1405&lt;&gt;"TXO"),L1405,"")</f>
        <v/>
      </c>
      <c r="Y1405" s="226">
        <f>IF(AND(R1405="Yes",S1405="Yes",L1405&lt;0,B1405&lt;&gt;"TXO"),L1405,"")</f>
        <v/>
      </c>
      <c r="Z1405" s="226">
        <f>IF(AND(R1405="",S1405="Yes",L1405&gt;0,B1405&lt;&gt;"TXO"),L1405,"")</f>
        <v/>
      </c>
      <c r="AA1405" s="226">
        <f>IF(AND(R1405="",S1405="Yes",L1405&lt;0,B1405&lt;&gt;"TXO"),L1405,"")</f>
        <v/>
      </c>
    </row>
    <row r="1406" hidden="1" outlineLevel="2" ht="17.25" customHeight="1" thickBot="1">
      <c r="A1406" s="696" t="n">
        <v>43392</v>
      </c>
      <c r="B1406" s="234" t="inlineStr">
        <is>
          <t>FIMTX</t>
        </is>
      </c>
      <c r="C1406" s="229" t="inlineStr">
        <is>
          <t>小指11</t>
        </is>
      </c>
      <c r="D1406" s="229" t="inlineStr">
        <is>
          <t>新倉</t>
        </is>
      </c>
      <c r="E1406" s="257" t="inlineStr">
        <is>
          <t>賣</t>
        </is>
      </c>
      <c r="F1406" s="229" t="inlineStr">
        <is>
          <t>-</t>
        </is>
      </c>
      <c r="G1406" s="697" t="n">
        <v>1</v>
      </c>
      <c r="H1406" s="697" t="n">
        <v>9805</v>
      </c>
      <c r="I1406" s="697" t="n">
        <v>0</v>
      </c>
      <c r="J1406" s="585" t="n">
        <v>23</v>
      </c>
      <c r="K1406" s="585" t="n">
        <v>10</v>
      </c>
      <c r="L1406" s="585">
        <f>IF(B1406="TXO",I1406-SUM(J1406:K1406),IF(B1406="FITX",IF(D1406="新倉",-SUM(J1406:K1406),IF(E1406="賣",(H1406-H1405)*G1406*200-SUM(J1406:K1406),(H1405-H1406)*G1406*200-SUM(J1406:K1406))),IF(D1406="新倉",-SUM(J1406:K1406),IF(E1406="賣",(H1406-H1405)*G1406*50-SUM(J1406:K1406),(H1405-H1406)*G1406*50-SUM(J1406:K1406)))))</f>
        <v/>
      </c>
      <c r="M1406" s="699">
        <f>L1406</f>
        <v/>
      </c>
      <c r="N1406" s="686">
        <f>IF(B1406="TXO","",IF(D1406="新倉","",IF(E1406="賣",(H1406-H1405)*G1406,(H1405-H1406)*G1406)))</f>
        <v/>
      </c>
      <c r="O1406" s="226">
        <f>ABS(I1406)</f>
        <v/>
      </c>
      <c r="P1406" s="667" t="n"/>
      <c r="S1406" s="249" t="n"/>
      <c r="T1406" s="61">
        <f>IF(AND(R1406="Yes",S1406&lt;&gt;"Yes",L1406&gt;0,B1406&lt;&gt;"TXO"),L1406,"")</f>
        <v/>
      </c>
      <c r="U1406" s="61">
        <f>IF(AND(R1406="Yes",S1406&lt;&gt;"Yes",L1406&lt;0,B1406&lt;&gt;"TXO"),L1406,"")</f>
        <v/>
      </c>
      <c r="V1406" s="61">
        <f>IF(AND(R1406="",S1406&lt;&gt;"Yes",L1406&gt;0,B1406&lt;&gt;"TXO"),L1406,"")</f>
        <v/>
      </c>
      <c r="W1406" s="61">
        <f>IF(AND(R1406="",S1406&lt;&gt;"Yes",L1406&lt;0,B1406&lt;&gt;"TXO"),L1406,"")</f>
        <v/>
      </c>
      <c r="X1406" s="226">
        <f>IF(AND(R1406="Yes",S1406="Yes",L1406&gt;0,B1406&lt;&gt;"TXO"),L1406,"")</f>
        <v/>
      </c>
      <c r="Y1406" s="226">
        <f>IF(AND(R1406="Yes",S1406="Yes",L1406&lt;0,B1406&lt;&gt;"TXO"),L1406,"")</f>
        <v/>
      </c>
      <c r="Z1406" s="226">
        <f>IF(AND(R1406="",S1406="Yes",L1406&gt;0,B1406&lt;&gt;"TXO"),L1406,"")</f>
        <v/>
      </c>
      <c r="AA1406" s="226">
        <f>IF(AND(R1406="",S1406="Yes",L1406&lt;0,B1406&lt;&gt;"TXO"),L1406,"")</f>
        <v/>
      </c>
    </row>
    <row r="1407" hidden="1" outlineLevel="2" ht="17.25" customHeight="1" thickBot="1">
      <c r="A1407" s="696" t="n">
        <v>43392</v>
      </c>
      <c r="B1407" s="234" t="inlineStr">
        <is>
          <t>FIMTX</t>
        </is>
      </c>
      <c r="C1407" s="229" t="inlineStr">
        <is>
          <t>小指11</t>
        </is>
      </c>
      <c r="D1407" s="229" t="inlineStr">
        <is>
          <t>平倉</t>
        </is>
      </c>
      <c r="E1407" s="257" t="inlineStr">
        <is>
          <t>買</t>
        </is>
      </c>
      <c r="F1407" s="229" t="inlineStr">
        <is>
          <t>-</t>
        </is>
      </c>
      <c r="G1407" s="697" t="n">
        <v>1</v>
      </c>
      <c r="H1407" s="697" t="n">
        <v>9824</v>
      </c>
      <c r="I1407" s="697" t="n">
        <v>0</v>
      </c>
      <c r="J1407" s="585" t="n">
        <v>23</v>
      </c>
      <c r="K1407" s="585" t="n">
        <v>10</v>
      </c>
      <c r="L1407" s="585">
        <f>IF(B1407="TXO",I1407-SUM(J1407:K1407),IF(B1407="FITX",IF(D1407="新倉",-SUM(J1407:K1407),IF(E1407="賣",(H1407-H1406)*G1407*200-SUM(J1407:K1407),(H1406-H1407)*G1407*200-SUM(J1407:K1407))),IF(D1407="新倉",-SUM(J1407:K1407),IF(E1407="賣",(H1407-H1406)*G1407*50-SUM(J1407:K1407),(H1406-H1407)*G1407*50-SUM(J1407:K1407)))))</f>
        <v/>
      </c>
      <c r="M1407" s="699">
        <f>L1407</f>
        <v/>
      </c>
      <c r="N1407" s="686">
        <f>IF(B1407="TXO","",IF(D1407="新倉","",IF(E1407="賣",(H1407-H1406)*G1407,(H1406-H1407)*G1407)))</f>
        <v/>
      </c>
      <c r="O1407" s="226">
        <f>ABS(I1407)</f>
        <v/>
      </c>
      <c r="P1407" s="667" t="n"/>
      <c r="Q1407" s="311" t="inlineStr">
        <is>
          <t>15點停損</t>
        </is>
      </c>
      <c r="S1407" s="249" t="n"/>
      <c r="T1407" s="61">
        <f>IF(AND(R1407="Yes",S1407&lt;&gt;"Yes",L1407&gt;0,B1407&lt;&gt;"TXO"),L1407,"")</f>
        <v/>
      </c>
      <c r="U1407" s="61">
        <f>IF(AND(R1407="Yes",S1407&lt;&gt;"Yes",L1407&lt;0,B1407&lt;&gt;"TXO"),L1407,"")</f>
        <v/>
      </c>
      <c r="V1407" s="61">
        <f>IF(AND(R1407="",S1407&lt;&gt;"Yes",L1407&gt;0,B1407&lt;&gt;"TXO"),L1407,"")</f>
        <v/>
      </c>
      <c r="W1407" s="61">
        <f>IF(AND(R1407="",S1407&lt;&gt;"Yes",L1407&lt;0,B1407&lt;&gt;"TXO"),L1407,"")</f>
        <v/>
      </c>
      <c r="X1407" s="226">
        <f>IF(AND(R1407="Yes",S1407="Yes",L1407&gt;0,B1407&lt;&gt;"TXO"),L1407,"")</f>
        <v/>
      </c>
      <c r="Y1407" s="226">
        <f>IF(AND(R1407="Yes",S1407="Yes",L1407&lt;0,B1407&lt;&gt;"TXO"),L1407,"")</f>
        <v/>
      </c>
      <c r="Z1407" s="226">
        <f>IF(AND(R1407="",S1407="Yes",L1407&gt;0,B1407&lt;&gt;"TXO"),L1407,"")</f>
        <v/>
      </c>
      <c r="AA1407" s="226">
        <f>IF(AND(R1407="",S1407="Yes",L1407&lt;0,B1407&lt;&gt;"TXO"),L1407,"")</f>
        <v/>
      </c>
    </row>
    <row r="1408" hidden="1" outlineLevel="2" ht="17.25" customHeight="1" thickBot="1">
      <c r="A1408" s="696" t="n">
        <v>43392</v>
      </c>
      <c r="B1408" s="234" t="inlineStr">
        <is>
          <t>FIMTX</t>
        </is>
      </c>
      <c r="C1408" s="229" t="inlineStr">
        <is>
          <t>小指11</t>
        </is>
      </c>
      <c r="D1408" s="229" t="inlineStr">
        <is>
          <t>新倉</t>
        </is>
      </c>
      <c r="E1408" s="257" t="inlineStr">
        <is>
          <t>買</t>
        </is>
      </c>
      <c r="F1408" s="229" t="inlineStr">
        <is>
          <t>-</t>
        </is>
      </c>
      <c r="G1408" s="697" t="n">
        <v>1</v>
      </c>
      <c r="H1408" s="697" t="n">
        <v>9849</v>
      </c>
      <c r="I1408" s="697" t="n">
        <v>0</v>
      </c>
      <c r="J1408" s="585" t="n">
        <v>23</v>
      </c>
      <c r="K1408" s="585" t="n">
        <v>10</v>
      </c>
      <c r="L1408" s="585">
        <f>IF(B1408="TXO",I1408-SUM(J1408:K1408),IF(B1408="FITX",IF(D1408="新倉",-SUM(J1408:K1408),IF(E1408="賣",(H1408-H1407)*G1408*200-SUM(J1408:K1408),(H1407-H1408)*G1408*200-SUM(J1408:K1408))),IF(D1408="新倉",-SUM(J1408:K1408),IF(E1408="賣",(H1408-H1407)*G1408*50-SUM(J1408:K1408),(H1407-H1408)*G1408*50-SUM(J1408:K1408)))))</f>
        <v/>
      </c>
      <c r="M1408" s="699">
        <f>L1408</f>
        <v/>
      </c>
      <c r="N1408" s="686">
        <f>IF(B1408="TXO","",IF(D1408="新倉","",IF(E1408="賣",(H1408-H1407)*G1408,(H1407-H1408)*G1408)))</f>
        <v/>
      </c>
      <c r="O1408" s="226">
        <f>ABS(I1408)</f>
        <v/>
      </c>
      <c r="P1408" s="667" t="n"/>
      <c r="S1408" s="249" t="n"/>
      <c r="T1408" s="61">
        <f>IF(AND(R1408="Yes",S1408&lt;&gt;"Yes",L1408&gt;0,B1408&lt;&gt;"TXO"),L1408,"")</f>
        <v/>
      </c>
      <c r="U1408" s="61">
        <f>IF(AND(R1408="Yes",S1408&lt;&gt;"Yes",L1408&lt;0,B1408&lt;&gt;"TXO"),L1408,"")</f>
        <v/>
      </c>
      <c r="V1408" s="61">
        <f>IF(AND(R1408="",S1408&lt;&gt;"Yes",L1408&gt;0,B1408&lt;&gt;"TXO"),L1408,"")</f>
        <v/>
      </c>
      <c r="W1408" s="61">
        <f>IF(AND(R1408="",S1408&lt;&gt;"Yes",L1408&lt;0,B1408&lt;&gt;"TXO"),L1408,"")</f>
        <v/>
      </c>
      <c r="X1408" s="226">
        <f>IF(AND(R1408="Yes",S1408="Yes",L1408&gt;0,B1408&lt;&gt;"TXO"),L1408,"")</f>
        <v/>
      </c>
      <c r="Y1408" s="226">
        <f>IF(AND(R1408="Yes",S1408="Yes",L1408&lt;0,B1408&lt;&gt;"TXO"),L1408,"")</f>
        <v/>
      </c>
      <c r="Z1408" s="226">
        <f>IF(AND(R1408="",S1408="Yes",L1408&gt;0,B1408&lt;&gt;"TXO"),L1408,"")</f>
        <v/>
      </c>
      <c r="AA1408" s="226">
        <f>IF(AND(R1408="",S1408="Yes",L1408&lt;0,B1408&lt;&gt;"TXO"),L1408,"")</f>
        <v/>
      </c>
    </row>
    <row r="1409" hidden="1" outlineLevel="2" ht="17.25" customHeight="1" thickBot="1">
      <c r="A1409" s="696" t="n">
        <v>43392</v>
      </c>
      <c r="B1409" s="234" t="inlineStr">
        <is>
          <t>FIMTX</t>
        </is>
      </c>
      <c r="C1409" s="229" t="inlineStr">
        <is>
          <t>小指11</t>
        </is>
      </c>
      <c r="D1409" s="229" t="inlineStr">
        <is>
          <t>平倉</t>
        </is>
      </c>
      <c r="E1409" s="257" t="inlineStr">
        <is>
          <t>賣</t>
        </is>
      </c>
      <c r="F1409" s="229" t="inlineStr">
        <is>
          <t>-</t>
        </is>
      </c>
      <c r="G1409" s="697" t="n">
        <v>1</v>
      </c>
      <c r="H1409" s="697" t="n">
        <v>9857</v>
      </c>
      <c r="I1409" s="697" t="n">
        <v>0</v>
      </c>
      <c r="J1409" s="585" t="n">
        <v>23</v>
      </c>
      <c r="K1409" s="585" t="n">
        <v>10</v>
      </c>
      <c r="L1409" s="585">
        <f>IF(B1409="TXO",I1409-SUM(J1409:K1409),IF(B1409="FITX",IF(D1409="新倉",-SUM(J1409:K1409),IF(E1409="賣",(H1409-H1408)*G1409*200-SUM(J1409:K1409),(H1408-H1409)*G1409*200-SUM(J1409:K1409))),IF(D1409="新倉",-SUM(J1409:K1409),IF(E1409="賣",(H1409-H1408)*G1409*50-SUM(J1409:K1409),(H1408-H1409)*G1409*50-SUM(J1409:K1409)))))</f>
        <v/>
      </c>
      <c r="M1409" s="699">
        <f>L1409</f>
        <v/>
      </c>
      <c r="N1409" s="686">
        <f>IF(B1409="TXO","",IF(D1409="新倉","",IF(E1409="賣",(H1409-H1408)*G1409,(H1408-H1409)*G1409)))</f>
        <v/>
      </c>
      <c r="O1409" s="226">
        <f>ABS(I1409)</f>
        <v/>
      </c>
      <c r="P1409" s="667" t="n"/>
      <c r="Q1409" s="311" t="n"/>
      <c r="S1409" s="249" t="n"/>
      <c r="T1409" s="61">
        <f>IF(AND(R1409="Yes",S1409&lt;&gt;"Yes",L1409&gt;0,B1409&lt;&gt;"TXO"),L1409,"")</f>
        <v/>
      </c>
      <c r="U1409" s="61">
        <f>IF(AND(R1409="Yes",S1409&lt;&gt;"Yes",L1409&lt;0,B1409&lt;&gt;"TXO"),L1409,"")</f>
        <v/>
      </c>
      <c r="V1409" s="61">
        <f>IF(AND(R1409="",S1409&lt;&gt;"Yes",L1409&gt;0,B1409&lt;&gt;"TXO"),L1409,"")</f>
        <v/>
      </c>
      <c r="W1409" s="61">
        <f>IF(AND(R1409="",S1409&lt;&gt;"Yes",L1409&lt;0,B1409&lt;&gt;"TXO"),L1409,"")</f>
        <v/>
      </c>
      <c r="X1409" s="226">
        <f>IF(AND(R1409="Yes",S1409="Yes",L1409&gt;0,B1409&lt;&gt;"TXO"),L1409,"")</f>
        <v/>
      </c>
      <c r="Y1409" s="226">
        <f>IF(AND(R1409="Yes",S1409="Yes",L1409&lt;0,B1409&lt;&gt;"TXO"),L1409,"")</f>
        <v/>
      </c>
      <c r="Z1409" s="226">
        <f>IF(AND(R1409="",S1409="Yes",L1409&gt;0,B1409&lt;&gt;"TXO"),L1409,"")</f>
        <v/>
      </c>
      <c r="AA1409" s="226">
        <f>IF(AND(R1409="",S1409="Yes",L1409&lt;0,B1409&lt;&gt;"TXO"),L1409,"")</f>
        <v/>
      </c>
    </row>
    <row r="1410" hidden="1" outlineLevel="2" ht="17.25" customHeight="1" thickBot="1">
      <c r="A1410" s="696" t="n">
        <v>43392</v>
      </c>
      <c r="B1410" s="234" t="inlineStr">
        <is>
          <t>FIMTX</t>
        </is>
      </c>
      <c r="C1410" s="229" t="inlineStr">
        <is>
          <t>小指11</t>
        </is>
      </c>
      <c r="D1410" s="229" t="inlineStr">
        <is>
          <t>新倉</t>
        </is>
      </c>
      <c r="E1410" s="257" t="inlineStr">
        <is>
          <t>買</t>
        </is>
      </c>
      <c r="F1410" s="229" t="inlineStr">
        <is>
          <t>-</t>
        </is>
      </c>
      <c r="G1410" s="697" t="n">
        <v>1</v>
      </c>
      <c r="H1410" s="697" t="n">
        <v>9849</v>
      </c>
      <c r="I1410" s="697" t="n">
        <v>0</v>
      </c>
      <c r="J1410" s="585" t="n">
        <v>23</v>
      </c>
      <c r="K1410" s="585" t="n">
        <v>10</v>
      </c>
      <c r="L1410" s="585">
        <f>IF(B1410="TXO",I1410-SUM(J1410:K1410),IF(B1410="FITX",IF(D1410="新倉",-SUM(J1410:K1410),IF(E1410="賣",(H1410-H1409)*G1410*200-SUM(J1410:K1410),(H1409-H1410)*G1410*200-SUM(J1410:K1410))),IF(D1410="新倉",-SUM(J1410:K1410),IF(E1410="賣",(H1410-H1409)*G1410*50-SUM(J1410:K1410),(H1409-H1410)*G1410*50-SUM(J1410:K1410)))))</f>
        <v/>
      </c>
      <c r="M1410" s="699">
        <f>L1410</f>
        <v/>
      </c>
      <c r="N1410" s="686">
        <f>IF(B1410="TXO","",IF(D1410="新倉","",IF(E1410="賣",(H1410-H1409)*G1410,(H1409-H1410)*G1410)))</f>
        <v/>
      </c>
      <c r="O1410" s="226">
        <f>ABS(I1410)</f>
        <v/>
      </c>
      <c r="P1410" s="667" t="n"/>
      <c r="S1410" s="249" t="n"/>
      <c r="T1410" s="61">
        <f>IF(AND(R1410="Yes",S1410&lt;&gt;"Yes",L1410&gt;0,B1410&lt;&gt;"TXO"),L1410,"")</f>
        <v/>
      </c>
      <c r="U1410" s="61">
        <f>IF(AND(R1410="Yes",S1410&lt;&gt;"Yes",L1410&lt;0,B1410&lt;&gt;"TXO"),L1410,"")</f>
        <v/>
      </c>
      <c r="V1410" s="61">
        <f>IF(AND(R1410="",S1410&lt;&gt;"Yes",L1410&gt;0,B1410&lt;&gt;"TXO"),L1410,"")</f>
        <v/>
      </c>
      <c r="W1410" s="61">
        <f>IF(AND(R1410="",S1410&lt;&gt;"Yes",L1410&lt;0,B1410&lt;&gt;"TXO"),L1410,"")</f>
        <v/>
      </c>
      <c r="X1410" s="226">
        <f>IF(AND(R1410="Yes",S1410="Yes",L1410&gt;0,B1410&lt;&gt;"TXO"),L1410,"")</f>
        <v/>
      </c>
      <c r="Y1410" s="226">
        <f>IF(AND(R1410="Yes",S1410="Yes",L1410&lt;0,B1410&lt;&gt;"TXO"),L1410,"")</f>
        <v/>
      </c>
      <c r="Z1410" s="226">
        <f>IF(AND(R1410="",S1410="Yes",L1410&gt;0,B1410&lt;&gt;"TXO"),L1410,"")</f>
        <v/>
      </c>
      <c r="AA1410" s="226">
        <f>IF(AND(R1410="",S1410="Yes",L1410&lt;0,B1410&lt;&gt;"TXO"),L1410,"")</f>
        <v/>
      </c>
    </row>
    <row r="1411" hidden="1" outlineLevel="2" ht="17.25" customHeight="1" thickBot="1">
      <c r="A1411" s="696" t="n">
        <v>43392</v>
      </c>
      <c r="B1411" s="234" t="inlineStr">
        <is>
          <t>FIMTX</t>
        </is>
      </c>
      <c r="C1411" s="229" t="inlineStr">
        <is>
          <t>小指11</t>
        </is>
      </c>
      <c r="D1411" s="229" t="inlineStr">
        <is>
          <t>平倉</t>
        </is>
      </c>
      <c r="E1411" s="257" t="inlineStr">
        <is>
          <t>賣</t>
        </is>
      </c>
      <c r="F1411" s="229" t="inlineStr">
        <is>
          <t>-</t>
        </is>
      </c>
      <c r="G1411" s="697" t="n">
        <v>1</v>
      </c>
      <c r="H1411" s="697" t="n">
        <v>9870</v>
      </c>
      <c r="I1411" s="697" t="n">
        <v>0</v>
      </c>
      <c r="J1411" s="585" t="n">
        <v>23</v>
      </c>
      <c r="K1411" s="585" t="n">
        <v>10</v>
      </c>
      <c r="L1411" s="585">
        <f>IF(B1411="TXO",I1411-SUM(J1411:K1411),IF(B1411="FITX",IF(D1411="新倉",-SUM(J1411:K1411),IF(E1411="賣",(H1411-H1410)*G1411*200-SUM(J1411:K1411),(H1410-H1411)*G1411*200-SUM(J1411:K1411))),IF(D1411="新倉",-SUM(J1411:K1411),IF(E1411="賣",(H1411-H1410)*G1411*50-SUM(J1411:K1411),(H1410-H1411)*G1411*50-SUM(J1411:K1411)))))</f>
        <v/>
      </c>
      <c r="M1411" s="699">
        <f>L1411</f>
        <v/>
      </c>
      <c r="N1411" s="686">
        <f>IF(B1411="TXO","",IF(D1411="新倉","",IF(E1411="賣",(H1411-H1410)*G1411,(H1410-H1411)*G1411)))</f>
        <v/>
      </c>
      <c r="O1411" s="226">
        <f>ABS(I1411)</f>
        <v/>
      </c>
      <c r="P1411" s="667" t="n"/>
      <c r="Q1411" s="311" t="n"/>
      <c r="S1411" s="249" t="n"/>
      <c r="T1411" s="61">
        <f>IF(AND(R1411="Yes",S1411&lt;&gt;"Yes",L1411&gt;0,B1411&lt;&gt;"TXO"),L1411,"")</f>
        <v/>
      </c>
      <c r="U1411" s="61">
        <f>IF(AND(R1411="Yes",S1411&lt;&gt;"Yes",L1411&lt;0,B1411&lt;&gt;"TXO"),L1411,"")</f>
        <v/>
      </c>
      <c r="V1411" s="61">
        <f>IF(AND(R1411="",S1411&lt;&gt;"Yes",L1411&gt;0,B1411&lt;&gt;"TXO"),L1411,"")</f>
        <v/>
      </c>
      <c r="W1411" s="61">
        <f>IF(AND(R1411="",S1411&lt;&gt;"Yes",L1411&lt;0,B1411&lt;&gt;"TXO"),L1411,"")</f>
        <v/>
      </c>
      <c r="X1411" s="226">
        <f>IF(AND(R1411="Yes",S1411="Yes",L1411&gt;0,B1411&lt;&gt;"TXO"),L1411,"")</f>
        <v/>
      </c>
      <c r="Y1411" s="226">
        <f>IF(AND(R1411="Yes",S1411="Yes",L1411&lt;0,B1411&lt;&gt;"TXO"),L1411,"")</f>
        <v/>
      </c>
      <c r="Z1411" s="226">
        <f>IF(AND(R1411="",S1411="Yes",L1411&gt;0,B1411&lt;&gt;"TXO"),L1411,"")</f>
        <v/>
      </c>
      <c r="AA1411" s="226">
        <f>IF(AND(R1411="",S1411="Yes",L1411&lt;0,B1411&lt;&gt;"TXO"),L1411,"")</f>
        <v/>
      </c>
    </row>
    <row r="1412" hidden="1" outlineLevel="2" ht="17.25" customHeight="1" thickBot="1">
      <c r="A1412" s="696" t="n">
        <v>43392</v>
      </c>
      <c r="B1412" s="234" t="inlineStr">
        <is>
          <t>FIMTX</t>
        </is>
      </c>
      <c r="C1412" s="229" t="inlineStr">
        <is>
          <t>小指11</t>
        </is>
      </c>
      <c r="D1412" s="229" t="inlineStr">
        <is>
          <t>新倉</t>
        </is>
      </c>
      <c r="E1412" s="257" t="inlineStr">
        <is>
          <t>買</t>
        </is>
      </c>
      <c r="F1412" s="229" t="inlineStr">
        <is>
          <t>-</t>
        </is>
      </c>
      <c r="G1412" s="697" t="n">
        <v>1</v>
      </c>
      <c r="H1412" s="697" t="n">
        <v>9849</v>
      </c>
      <c r="I1412" s="697" t="n">
        <v>0</v>
      </c>
      <c r="J1412" s="585" t="n">
        <v>23</v>
      </c>
      <c r="K1412" s="585" t="n">
        <v>10</v>
      </c>
      <c r="L1412" s="585">
        <f>IF(B1412="TXO",I1412-SUM(J1412:K1412),IF(B1412="FITX",IF(D1412="新倉",-SUM(J1412:K1412),IF(E1412="賣",(H1412-H1411)*G1412*200-SUM(J1412:K1412),(H1411-H1412)*G1412*200-SUM(J1412:K1412))),IF(D1412="新倉",-SUM(J1412:K1412),IF(E1412="賣",(H1412-H1411)*G1412*50-SUM(J1412:K1412),(H1411-H1412)*G1412*50-SUM(J1412:K1412)))))</f>
        <v/>
      </c>
      <c r="M1412" s="699">
        <f>L1412</f>
        <v/>
      </c>
      <c r="N1412" s="686">
        <f>IF(B1412="TXO","",IF(D1412="新倉","",IF(E1412="賣",(H1412-H1411)*G1412,(H1411-H1412)*G1412)))</f>
        <v/>
      </c>
      <c r="O1412" s="226">
        <f>ABS(I1412)</f>
        <v/>
      </c>
      <c r="P1412" s="667" t="n"/>
      <c r="S1412" s="249" t="n"/>
      <c r="T1412" s="61">
        <f>IF(AND(R1412="Yes",S1412&lt;&gt;"Yes",L1412&gt;0,B1412&lt;&gt;"TXO"),L1412,"")</f>
        <v/>
      </c>
      <c r="U1412" s="61">
        <f>IF(AND(R1412="Yes",S1412&lt;&gt;"Yes",L1412&lt;0,B1412&lt;&gt;"TXO"),L1412,"")</f>
        <v/>
      </c>
      <c r="V1412" s="61">
        <f>IF(AND(R1412="",S1412&lt;&gt;"Yes",L1412&gt;0,B1412&lt;&gt;"TXO"),L1412,"")</f>
        <v/>
      </c>
      <c r="W1412" s="61">
        <f>IF(AND(R1412="",S1412&lt;&gt;"Yes",L1412&lt;0,B1412&lt;&gt;"TXO"),L1412,"")</f>
        <v/>
      </c>
      <c r="X1412" s="226">
        <f>IF(AND(R1412="Yes",S1412="Yes",L1412&gt;0,B1412&lt;&gt;"TXO"),L1412,"")</f>
        <v/>
      </c>
      <c r="Y1412" s="226">
        <f>IF(AND(R1412="Yes",S1412="Yes",L1412&lt;0,B1412&lt;&gt;"TXO"),L1412,"")</f>
        <v/>
      </c>
      <c r="Z1412" s="226">
        <f>IF(AND(R1412="",S1412="Yes",L1412&gt;0,B1412&lt;&gt;"TXO"),L1412,"")</f>
        <v/>
      </c>
      <c r="AA1412" s="226">
        <f>IF(AND(R1412="",S1412="Yes",L1412&lt;0,B1412&lt;&gt;"TXO"),L1412,"")</f>
        <v/>
      </c>
    </row>
    <row r="1413" hidden="1" outlineLevel="2" ht="17.25" customHeight="1" thickBot="1">
      <c r="A1413" s="696" t="n">
        <v>43392</v>
      </c>
      <c r="B1413" s="234" t="inlineStr">
        <is>
          <t>FIMTX</t>
        </is>
      </c>
      <c r="C1413" s="229" t="inlineStr">
        <is>
          <t>小指11</t>
        </is>
      </c>
      <c r="D1413" s="229" t="inlineStr">
        <is>
          <t>平倉</t>
        </is>
      </c>
      <c r="E1413" s="257" t="inlineStr">
        <is>
          <t>賣</t>
        </is>
      </c>
      <c r="F1413" s="229" t="inlineStr">
        <is>
          <t>-</t>
        </is>
      </c>
      <c r="G1413" s="697" t="n">
        <v>1</v>
      </c>
      <c r="H1413" s="697" t="n">
        <v>9865</v>
      </c>
      <c r="I1413" s="697" t="n">
        <v>0</v>
      </c>
      <c r="J1413" s="585" t="n">
        <v>23</v>
      </c>
      <c r="K1413" s="585" t="n">
        <v>10</v>
      </c>
      <c r="L1413" s="585">
        <f>IF(B1413="TXO",I1413-SUM(J1413:K1413),IF(B1413="FITX",IF(D1413="新倉",-SUM(J1413:K1413),IF(E1413="賣",(H1413-H1412)*G1413*200-SUM(J1413:K1413),(H1412-H1413)*G1413*200-SUM(J1413:K1413))),IF(D1413="新倉",-SUM(J1413:K1413),IF(E1413="賣",(H1413-H1412)*G1413*50-SUM(J1413:K1413),(H1412-H1413)*G1413*50-SUM(J1413:K1413)))))</f>
        <v/>
      </c>
      <c r="M1413" s="699">
        <f>L1413</f>
        <v/>
      </c>
      <c r="N1413" s="686">
        <f>IF(B1413="TXO","",IF(D1413="新倉","",IF(E1413="賣",(H1413-H1412)*G1413,(H1412-H1413)*G1413)))</f>
        <v/>
      </c>
      <c r="O1413" s="226">
        <f>ABS(I1413)</f>
        <v/>
      </c>
      <c r="P1413" s="667" t="n"/>
      <c r="Q1413" s="311" t="n"/>
      <c r="S1413" s="249" t="n"/>
      <c r="T1413" s="61">
        <f>IF(AND(R1413="Yes",S1413&lt;&gt;"Yes",L1413&gt;0,B1413&lt;&gt;"TXO"),L1413,"")</f>
        <v/>
      </c>
      <c r="U1413" s="61">
        <f>IF(AND(R1413="Yes",S1413&lt;&gt;"Yes",L1413&lt;0,B1413&lt;&gt;"TXO"),L1413,"")</f>
        <v/>
      </c>
      <c r="V1413" s="61">
        <f>IF(AND(R1413="",S1413&lt;&gt;"Yes",L1413&gt;0,B1413&lt;&gt;"TXO"),L1413,"")</f>
        <v/>
      </c>
      <c r="W1413" s="61">
        <f>IF(AND(R1413="",S1413&lt;&gt;"Yes",L1413&lt;0,B1413&lt;&gt;"TXO"),L1413,"")</f>
        <v/>
      </c>
      <c r="X1413" s="226">
        <f>IF(AND(R1413="Yes",S1413="Yes",L1413&gt;0,B1413&lt;&gt;"TXO"),L1413,"")</f>
        <v/>
      </c>
      <c r="Y1413" s="226">
        <f>IF(AND(R1413="Yes",S1413="Yes",L1413&lt;0,B1413&lt;&gt;"TXO"),L1413,"")</f>
        <v/>
      </c>
      <c r="Z1413" s="226">
        <f>IF(AND(R1413="",S1413="Yes",L1413&gt;0,B1413&lt;&gt;"TXO"),L1413,"")</f>
        <v/>
      </c>
      <c r="AA1413" s="226">
        <f>IF(AND(R1413="",S1413="Yes",L1413&lt;0,B1413&lt;&gt;"TXO"),L1413,"")</f>
        <v/>
      </c>
    </row>
    <row r="1414" hidden="1" outlineLevel="2" ht="17.25" customHeight="1" thickBot="1">
      <c r="A1414" s="696" t="n">
        <v>43392</v>
      </c>
      <c r="B1414" s="234" t="inlineStr">
        <is>
          <t>FIMTX</t>
        </is>
      </c>
      <c r="C1414" s="229" t="inlineStr">
        <is>
          <t>小指11</t>
        </is>
      </c>
      <c r="D1414" s="229" t="inlineStr">
        <is>
          <t>新倉</t>
        </is>
      </c>
      <c r="E1414" s="257" t="inlineStr">
        <is>
          <t>買</t>
        </is>
      </c>
      <c r="F1414" s="229" t="inlineStr">
        <is>
          <t>-</t>
        </is>
      </c>
      <c r="G1414" s="697" t="n">
        <v>1</v>
      </c>
      <c r="H1414" s="697" t="n">
        <v>9857</v>
      </c>
      <c r="I1414" s="697" t="n">
        <v>0</v>
      </c>
      <c r="J1414" s="585" t="n">
        <v>23</v>
      </c>
      <c r="K1414" s="585" t="n">
        <v>10</v>
      </c>
      <c r="L1414" s="585">
        <f>IF(B1414="TXO",I1414-SUM(J1414:K1414),IF(B1414="FITX",IF(D1414="新倉",-SUM(J1414:K1414),IF(E1414="賣",(H1414-H1413)*G1414*200-SUM(J1414:K1414),(H1413-H1414)*G1414*200-SUM(J1414:K1414))),IF(D1414="新倉",-SUM(J1414:K1414),IF(E1414="賣",(H1414-H1413)*G1414*50-SUM(J1414:K1414),(H1413-H1414)*G1414*50-SUM(J1414:K1414)))))</f>
        <v/>
      </c>
      <c r="M1414" s="699">
        <f>L1414</f>
        <v/>
      </c>
      <c r="N1414" s="686">
        <f>IF(B1414="TXO","",IF(D1414="新倉","",IF(E1414="賣",(H1414-H1413)*G1414,(H1413-H1414)*G1414)))</f>
        <v/>
      </c>
      <c r="O1414" s="226">
        <f>ABS(I1414)</f>
        <v/>
      </c>
      <c r="P1414" s="667" t="n"/>
      <c r="S1414" s="249" t="n"/>
      <c r="T1414" s="61">
        <f>IF(AND(R1414="Yes",S1414&lt;&gt;"Yes",L1414&gt;0,B1414&lt;&gt;"TXO"),L1414,"")</f>
        <v/>
      </c>
      <c r="U1414" s="61">
        <f>IF(AND(R1414="Yes",S1414&lt;&gt;"Yes",L1414&lt;0,B1414&lt;&gt;"TXO"),L1414,"")</f>
        <v/>
      </c>
      <c r="V1414" s="61">
        <f>IF(AND(R1414="",S1414&lt;&gt;"Yes",L1414&gt;0,B1414&lt;&gt;"TXO"),L1414,"")</f>
        <v/>
      </c>
      <c r="W1414" s="61">
        <f>IF(AND(R1414="",S1414&lt;&gt;"Yes",L1414&lt;0,B1414&lt;&gt;"TXO"),L1414,"")</f>
        <v/>
      </c>
      <c r="X1414" s="226">
        <f>IF(AND(R1414="Yes",S1414="Yes",L1414&gt;0,B1414&lt;&gt;"TXO"),L1414,"")</f>
        <v/>
      </c>
      <c r="Y1414" s="226">
        <f>IF(AND(R1414="Yes",S1414="Yes",L1414&lt;0,B1414&lt;&gt;"TXO"),L1414,"")</f>
        <v/>
      </c>
      <c r="Z1414" s="226">
        <f>IF(AND(R1414="",S1414="Yes",L1414&gt;0,B1414&lt;&gt;"TXO"),L1414,"")</f>
        <v/>
      </c>
      <c r="AA1414" s="226">
        <f>IF(AND(R1414="",S1414="Yes",L1414&lt;0,B1414&lt;&gt;"TXO"),L1414,"")</f>
        <v/>
      </c>
    </row>
    <row r="1415" hidden="1" outlineLevel="2" ht="17.25" customHeight="1" thickBot="1">
      <c r="A1415" s="696" t="n">
        <v>43392</v>
      </c>
      <c r="B1415" s="234" t="inlineStr">
        <is>
          <t>FIMTX</t>
        </is>
      </c>
      <c r="C1415" s="229" t="inlineStr">
        <is>
          <t>小指11</t>
        </is>
      </c>
      <c r="D1415" s="229" t="inlineStr">
        <is>
          <t>平倉</t>
        </is>
      </c>
      <c r="E1415" s="257" t="inlineStr">
        <is>
          <t>賣</t>
        </is>
      </c>
      <c r="F1415" s="229" t="inlineStr">
        <is>
          <t>-</t>
        </is>
      </c>
      <c r="G1415" s="697" t="n">
        <v>1</v>
      </c>
      <c r="H1415" s="697" t="n">
        <v>9858</v>
      </c>
      <c r="I1415" s="697" t="n">
        <v>0</v>
      </c>
      <c r="J1415" s="585" t="n">
        <v>23</v>
      </c>
      <c r="K1415" s="585" t="n">
        <v>10</v>
      </c>
      <c r="L1415" s="585">
        <f>IF(B1415="TXO",I1415-SUM(J1415:K1415),IF(B1415="FITX",IF(D1415="新倉",-SUM(J1415:K1415),IF(E1415="賣",(H1415-H1414)*G1415*200-SUM(J1415:K1415),(H1414-H1415)*G1415*200-SUM(J1415:K1415))),IF(D1415="新倉",-SUM(J1415:K1415),IF(E1415="賣",(H1415-H1414)*G1415*50-SUM(J1415:K1415),(H1414-H1415)*G1415*50-SUM(J1415:K1415)))))</f>
        <v/>
      </c>
      <c r="M1415" s="699">
        <f>L1415</f>
        <v/>
      </c>
      <c r="N1415" s="686">
        <f>IF(B1415="TXO","",IF(D1415="新倉","",IF(E1415="賣",(H1415-H1414)*G1415,(H1414-H1415)*G1415)))</f>
        <v/>
      </c>
      <c r="O1415" s="226">
        <f>ABS(I1415)</f>
        <v/>
      </c>
      <c r="P1415" s="667" t="n"/>
      <c r="Q1415" s="311" t="n"/>
      <c r="S1415" s="249" t="n"/>
      <c r="T1415" s="61">
        <f>IF(AND(R1415="Yes",S1415&lt;&gt;"Yes",L1415&gt;0,B1415&lt;&gt;"TXO"),L1415,"")</f>
        <v/>
      </c>
      <c r="U1415" s="61">
        <f>IF(AND(R1415="Yes",S1415&lt;&gt;"Yes",L1415&lt;0,B1415&lt;&gt;"TXO"),L1415,"")</f>
        <v/>
      </c>
      <c r="V1415" s="61">
        <f>IF(AND(R1415="",S1415&lt;&gt;"Yes",L1415&gt;0,B1415&lt;&gt;"TXO"),L1415,"")</f>
        <v/>
      </c>
      <c r="W1415" s="61">
        <f>IF(AND(R1415="",S1415&lt;&gt;"Yes",L1415&lt;0,B1415&lt;&gt;"TXO"),L1415,"")</f>
        <v/>
      </c>
      <c r="X1415" s="226">
        <f>IF(AND(R1415="Yes",S1415="Yes",L1415&gt;0,B1415&lt;&gt;"TXO"),L1415,"")</f>
        <v/>
      </c>
      <c r="Y1415" s="226">
        <f>IF(AND(R1415="Yes",S1415="Yes",L1415&lt;0,B1415&lt;&gt;"TXO"),L1415,"")</f>
        <v/>
      </c>
      <c r="Z1415" s="226">
        <f>IF(AND(R1415="",S1415="Yes",L1415&gt;0,B1415&lt;&gt;"TXO"),L1415,"")</f>
        <v/>
      </c>
      <c r="AA1415" s="226">
        <f>IF(AND(R1415="",S1415="Yes",L1415&lt;0,B1415&lt;&gt;"TXO"),L1415,"")</f>
        <v/>
      </c>
    </row>
    <row r="1416" hidden="1" outlineLevel="2" ht="17.25" customHeight="1" thickBot="1">
      <c r="A1416" s="696" t="n">
        <v>43392</v>
      </c>
      <c r="B1416" s="234" t="inlineStr">
        <is>
          <t>FIMTX</t>
        </is>
      </c>
      <c r="C1416" s="229" t="inlineStr">
        <is>
          <t>小指11</t>
        </is>
      </c>
      <c r="D1416" s="229" t="inlineStr">
        <is>
          <t>新倉</t>
        </is>
      </c>
      <c r="E1416" s="257" t="inlineStr">
        <is>
          <t>買</t>
        </is>
      </c>
      <c r="F1416" s="229" t="inlineStr">
        <is>
          <t>-</t>
        </is>
      </c>
      <c r="G1416" s="697" t="n">
        <v>2</v>
      </c>
      <c r="H1416" s="697" t="n">
        <v>9860</v>
      </c>
      <c r="I1416" s="697" t="n">
        <v>0</v>
      </c>
      <c r="J1416" s="585" t="n">
        <v>46</v>
      </c>
      <c r="K1416" s="585" t="n">
        <v>20</v>
      </c>
      <c r="L1416" s="585">
        <f>IF(B1416="TXO",I1416-SUM(J1416:K1416),IF(B1416="FITX",IF(D1416="新倉",-SUM(J1416:K1416),IF(E1416="賣",(H1416-H1415)*G1416*200-SUM(J1416:K1416),(H1415-H1416)*G1416*200-SUM(J1416:K1416))),IF(D1416="新倉",-SUM(J1416:K1416),IF(E1416="賣",(H1416-H1415)*G1416*50-SUM(J1416:K1416),(H1415-H1416)*G1416*50-SUM(J1416:K1416)))))</f>
        <v/>
      </c>
      <c r="M1416" s="699">
        <f>L1416</f>
        <v/>
      </c>
      <c r="N1416" s="686">
        <f>IF(B1416="TXO","",IF(D1416="新倉","",IF(E1416="賣",(H1416-H1415)*G1416,(H1415-H1416)*G1416)))</f>
        <v/>
      </c>
      <c r="O1416" s="226">
        <f>ABS(I1416)</f>
        <v/>
      </c>
      <c r="P1416" s="667" t="n"/>
      <c r="S1416" s="249" t="n"/>
      <c r="T1416" s="61">
        <f>IF(AND(R1416="Yes",S1416&lt;&gt;"Yes",L1416&gt;0,B1416&lt;&gt;"TXO"),L1416,"")</f>
        <v/>
      </c>
      <c r="U1416" s="61">
        <f>IF(AND(R1416="Yes",S1416&lt;&gt;"Yes",L1416&lt;0,B1416&lt;&gt;"TXO"),L1416,"")</f>
        <v/>
      </c>
      <c r="V1416" s="61">
        <f>IF(AND(R1416="",S1416&lt;&gt;"Yes",L1416&gt;0,B1416&lt;&gt;"TXO"),L1416,"")</f>
        <v/>
      </c>
      <c r="W1416" s="61">
        <f>IF(AND(R1416="",S1416&lt;&gt;"Yes",L1416&lt;0,B1416&lt;&gt;"TXO"),L1416,"")</f>
        <v/>
      </c>
      <c r="X1416" s="226">
        <f>IF(AND(R1416="Yes",S1416="Yes",L1416&gt;0,B1416&lt;&gt;"TXO"),L1416,"")</f>
        <v/>
      </c>
      <c r="Y1416" s="226">
        <f>IF(AND(R1416="Yes",S1416="Yes",L1416&lt;0,B1416&lt;&gt;"TXO"),L1416,"")</f>
        <v/>
      </c>
      <c r="Z1416" s="226">
        <f>IF(AND(R1416="",S1416="Yes",L1416&gt;0,B1416&lt;&gt;"TXO"),L1416,"")</f>
        <v/>
      </c>
      <c r="AA1416" s="226">
        <f>IF(AND(R1416="",S1416="Yes",L1416&lt;0,B1416&lt;&gt;"TXO"),L1416,"")</f>
        <v/>
      </c>
    </row>
    <row r="1417" hidden="1" outlineLevel="2" ht="17.25" customHeight="1" thickBot="1">
      <c r="A1417" s="696" t="n">
        <v>43392</v>
      </c>
      <c r="B1417" s="234" t="inlineStr">
        <is>
          <t>FIMTX</t>
        </is>
      </c>
      <c r="C1417" s="229" t="inlineStr">
        <is>
          <t>小指11</t>
        </is>
      </c>
      <c r="D1417" s="229" t="inlineStr">
        <is>
          <t>平倉</t>
        </is>
      </c>
      <c r="E1417" s="257" t="inlineStr">
        <is>
          <t>賣</t>
        </is>
      </c>
      <c r="F1417" s="229" t="inlineStr">
        <is>
          <t>-</t>
        </is>
      </c>
      <c r="G1417" s="697" t="n">
        <v>2</v>
      </c>
      <c r="H1417" s="697" t="n">
        <v>9864</v>
      </c>
      <c r="I1417" s="697" t="n">
        <v>0</v>
      </c>
      <c r="J1417" s="585" t="n">
        <v>46</v>
      </c>
      <c r="K1417" s="585" t="n">
        <v>20</v>
      </c>
      <c r="L1417" s="585">
        <f>IF(B1417="TXO",I1417-SUM(J1417:K1417),IF(B1417="FITX",IF(D1417="新倉",-SUM(J1417:K1417),IF(E1417="賣",(H1417-H1416)*G1417*200-SUM(J1417:K1417),(H1416-H1417)*G1417*200-SUM(J1417:K1417))),IF(D1417="新倉",-SUM(J1417:K1417),IF(E1417="賣",(H1417-H1416)*G1417*50-SUM(J1417:K1417),(H1416-H1417)*G1417*50-SUM(J1417:K1417)))))</f>
        <v/>
      </c>
      <c r="M1417" s="699">
        <f>L1417</f>
        <v/>
      </c>
      <c r="N1417" s="686">
        <f>IF(B1417="TXO","",IF(D1417="新倉","",IF(E1417="賣",(H1417-H1416)*G1417,(H1416-H1417)*G1417)))</f>
        <v/>
      </c>
      <c r="O1417" s="226">
        <f>ABS(I1417)</f>
        <v/>
      </c>
      <c r="P1417" s="667" t="n"/>
      <c r="Q1417" s="311" t="n"/>
      <c r="S1417" s="249" t="n"/>
      <c r="T1417" s="61">
        <f>IF(AND(R1417="Yes",S1417&lt;&gt;"Yes",L1417&gt;0,B1417&lt;&gt;"TXO"),L1417,"")</f>
        <v/>
      </c>
      <c r="U1417" s="61">
        <f>IF(AND(R1417="Yes",S1417&lt;&gt;"Yes",L1417&lt;0,B1417&lt;&gt;"TXO"),L1417,"")</f>
        <v/>
      </c>
      <c r="V1417" s="61">
        <f>IF(AND(R1417="",S1417&lt;&gt;"Yes",L1417&gt;0,B1417&lt;&gt;"TXO"),L1417,"")</f>
        <v/>
      </c>
      <c r="W1417" s="61">
        <f>IF(AND(R1417="",S1417&lt;&gt;"Yes",L1417&lt;0,B1417&lt;&gt;"TXO"),L1417,"")</f>
        <v/>
      </c>
      <c r="X1417" s="226">
        <f>IF(AND(R1417="Yes",S1417="Yes",L1417&gt;0,B1417&lt;&gt;"TXO"),L1417,"")</f>
        <v/>
      </c>
      <c r="Y1417" s="226">
        <f>IF(AND(R1417="Yes",S1417="Yes",L1417&lt;0,B1417&lt;&gt;"TXO"),L1417,"")</f>
        <v/>
      </c>
      <c r="Z1417" s="226">
        <f>IF(AND(R1417="",S1417="Yes",L1417&gt;0,B1417&lt;&gt;"TXO"),L1417,"")</f>
        <v/>
      </c>
      <c r="AA1417" s="226">
        <f>IF(AND(R1417="",S1417="Yes",L1417&lt;0,B1417&lt;&gt;"TXO"),L1417,"")</f>
        <v/>
      </c>
    </row>
    <row r="1418" hidden="1" outlineLevel="2" ht="17.25" customHeight="1" thickBot="1">
      <c r="A1418" s="696" t="n">
        <v>43392</v>
      </c>
      <c r="B1418" s="234" t="inlineStr">
        <is>
          <t>FIMTX</t>
        </is>
      </c>
      <c r="C1418" s="229" t="inlineStr">
        <is>
          <t>小指11</t>
        </is>
      </c>
      <c r="D1418" s="229" t="inlineStr">
        <is>
          <t>新倉</t>
        </is>
      </c>
      <c r="E1418" s="257" t="inlineStr">
        <is>
          <t>買</t>
        </is>
      </c>
      <c r="F1418" s="229" t="inlineStr">
        <is>
          <t>-</t>
        </is>
      </c>
      <c r="G1418" s="697" t="n">
        <v>2</v>
      </c>
      <c r="H1418" s="697" t="n">
        <v>9884</v>
      </c>
      <c r="I1418" s="697" t="n">
        <v>0</v>
      </c>
      <c r="J1418" s="585" t="n">
        <v>46</v>
      </c>
      <c r="K1418" s="585" t="n">
        <v>20</v>
      </c>
      <c r="L1418" s="585">
        <f>IF(B1418="TXO",I1418-SUM(J1418:K1418),IF(B1418="FITX",IF(D1418="新倉",-SUM(J1418:K1418),IF(E1418="賣",(H1418-H1417)*G1418*200-SUM(J1418:K1418),(H1417-H1418)*G1418*200-SUM(J1418:K1418))),IF(D1418="新倉",-SUM(J1418:K1418),IF(E1418="賣",(H1418-H1417)*G1418*50-SUM(J1418:K1418),(H1417-H1418)*G1418*50-SUM(J1418:K1418)))))</f>
        <v/>
      </c>
      <c r="M1418" s="699">
        <f>L1418</f>
        <v/>
      </c>
      <c r="N1418" s="686">
        <f>IF(B1418="TXO","",IF(D1418="新倉","",IF(E1418="賣",(H1418-H1417)*G1418,(H1417-H1418)*G1418)))</f>
        <v/>
      </c>
      <c r="O1418" s="226">
        <f>ABS(I1418)</f>
        <v/>
      </c>
      <c r="P1418" s="667" t="n"/>
      <c r="S1418" s="249" t="n"/>
      <c r="T1418" s="61">
        <f>IF(AND(R1418="Yes",S1418&lt;&gt;"Yes",L1418&gt;0,B1418&lt;&gt;"TXO"),L1418,"")</f>
        <v/>
      </c>
      <c r="U1418" s="61">
        <f>IF(AND(R1418="Yes",S1418&lt;&gt;"Yes",L1418&lt;0,B1418&lt;&gt;"TXO"),L1418,"")</f>
        <v/>
      </c>
      <c r="V1418" s="61">
        <f>IF(AND(R1418="",S1418&lt;&gt;"Yes",L1418&gt;0,B1418&lt;&gt;"TXO"),L1418,"")</f>
        <v/>
      </c>
      <c r="W1418" s="61">
        <f>IF(AND(R1418="",S1418&lt;&gt;"Yes",L1418&lt;0,B1418&lt;&gt;"TXO"),L1418,"")</f>
        <v/>
      </c>
      <c r="X1418" s="226">
        <f>IF(AND(R1418="Yes",S1418="Yes",L1418&gt;0,B1418&lt;&gt;"TXO"),L1418,"")</f>
        <v/>
      </c>
      <c r="Y1418" s="226">
        <f>IF(AND(R1418="Yes",S1418="Yes",L1418&lt;0,B1418&lt;&gt;"TXO"),L1418,"")</f>
        <v/>
      </c>
      <c r="Z1418" s="226">
        <f>IF(AND(R1418="",S1418="Yes",L1418&gt;0,B1418&lt;&gt;"TXO"),L1418,"")</f>
        <v/>
      </c>
      <c r="AA1418" s="226">
        <f>IF(AND(R1418="",S1418="Yes",L1418&lt;0,B1418&lt;&gt;"TXO"),L1418,"")</f>
        <v/>
      </c>
    </row>
    <row r="1419" hidden="1" outlineLevel="2" ht="17.25" customHeight="1" thickBot="1">
      <c r="A1419" s="696" t="n">
        <v>43392</v>
      </c>
      <c r="B1419" s="234" t="inlineStr">
        <is>
          <t>FIMTX</t>
        </is>
      </c>
      <c r="C1419" s="229" t="inlineStr">
        <is>
          <t>小指11</t>
        </is>
      </c>
      <c r="D1419" s="229" t="inlineStr">
        <is>
          <t>平倉</t>
        </is>
      </c>
      <c r="E1419" s="257" t="inlineStr">
        <is>
          <t>賣</t>
        </is>
      </c>
      <c r="F1419" s="229" t="inlineStr">
        <is>
          <t>-</t>
        </is>
      </c>
      <c r="G1419" s="697" t="n">
        <v>2</v>
      </c>
      <c r="H1419" s="697" t="n">
        <v>9890</v>
      </c>
      <c r="I1419" s="697" t="n">
        <v>0</v>
      </c>
      <c r="J1419" s="585" t="n">
        <v>46</v>
      </c>
      <c r="K1419" s="585" t="n">
        <v>20</v>
      </c>
      <c r="L1419" s="585">
        <f>IF(B1419="TXO",I1419-SUM(J1419:K1419),IF(B1419="FITX",IF(D1419="新倉",-SUM(J1419:K1419),IF(E1419="賣",(H1419-H1418)*G1419*200-SUM(J1419:K1419),(H1418-H1419)*G1419*200-SUM(J1419:K1419))),IF(D1419="新倉",-SUM(J1419:K1419),IF(E1419="賣",(H1419-H1418)*G1419*50-SUM(J1419:K1419),(H1418-H1419)*G1419*50-SUM(J1419:K1419)))))</f>
        <v/>
      </c>
      <c r="M1419" s="699">
        <f>L1419</f>
        <v/>
      </c>
      <c r="N1419" s="686">
        <f>IF(B1419="TXO","",IF(D1419="新倉","",IF(E1419="賣",(H1419-H1418)*G1419,(H1418-H1419)*G1419)))</f>
        <v/>
      </c>
      <c r="O1419" s="226">
        <f>ABS(I1419)</f>
        <v/>
      </c>
      <c r="P1419" s="667" t="n"/>
      <c r="Q1419" s="311" t="n"/>
      <c r="S1419" s="249" t="n"/>
      <c r="T1419" s="61">
        <f>IF(AND(R1419="Yes",S1419&lt;&gt;"Yes",L1419&gt;0,B1419&lt;&gt;"TXO"),L1419,"")</f>
        <v/>
      </c>
      <c r="U1419" s="61">
        <f>IF(AND(R1419="Yes",S1419&lt;&gt;"Yes",L1419&lt;0,B1419&lt;&gt;"TXO"),L1419,"")</f>
        <v/>
      </c>
      <c r="V1419" s="61">
        <f>IF(AND(R1419="",S1419&lt;&gt;"Yes",L1419&gt;0,B1419&lt;&gt;"TXO"),L1419,"")</f>
        <v/>
      </c>
      <c r="W1419" s="61">
        <f>IF(AND(R1419="",S1419&lt;&gt;"Yes",L1419&lt;0,B1419&lt;&gt;"TXO"),L1419,"")</f>
        <v/>
      </c>
      <c r="X1419" s="226">
        <f>IF(AND(R1419="Yes",S1419="Yes",L1419&gt;0,B1419&lt;&gt;"TXO"),L1419,"")</f>
        <v/>
      </c>
      <c r="Y1419" s="226">
        <f>IF(AND(R1419="Yes",S1419="Yes",L1419&lt;0,B1419&lt;&gt;"TXO"),L1419,"")</f>
        <v/>
      </c>
      <c r="Z1419" s="226">
        <f>IF(AND(R1419="",S1419="Yes",L1419&gt;0,B1419&lt;&gt;"TXO"),L1419,"")</f>
        <v/>
      </c>
      <c r="AA1419" s="226">
        <f>IF(AND(R1419="",S1419="Yes",L1419&lt;0,B1419&lt;&gt;"TXO"),L1419,"")</f>
        <v/>
      </c>
    </row>
    <row r="1420" hidden="1" outlineLevel="2" ht="17.25" customHeight="1" thickBot="1">
      <c r="A1420" s="696" t="n">
        <v>43392</v>
      </c>
      <c r="B1420" s="234" t="inlineStr">
        <is>
          <t>FIMTX</t>
        </is>
      </c>
      <c r="C1420" s="229" t="inlineStr">
        <is>
          <t>小指11</t>
        </is>
      </c>
      <c r="D1420" s="229" t="inlineStr">
        <is>
          <t>新倉</t>
        </is>
      </c>
      <c r="E1420" s="257" t="inlineStr">
        <is>
          <t>買</t>
        </is>
      </c>
      <c r="F1420" s="229" t="inlineStr">
        <is>
          <t>-</t>
        </is>
      </c>
      <c r="G1420" s="697" t="n">
        <v>1</v>
      </c>
      <c r="H1420" s="697" t="n">
        <v>9884</v>
      </c>
      <c r="I1420" s="697" t="n">
        <v>0</v>
      </c>
      <c r="J1420" s="585" t="n">
        <v>23</v>
      </c>
      <c r="K1420" s="585" t="n">
        <v>10</v>
      </c>
      <c r="L1420" s="585">
        <f>IF(B1420="TXO",I1420-SUM(J1420:K1420),IF(B1420="FITX",IF(D1420="新倉",-SUM(J1420:K1420),IF(E1420="賣",(H1420-H1419)*G1420*200-SUM(J1420:K1420),(H1419-H1420)*G1420*200-SUM(J1420:K1420))),IF(D1420="新倉",-SUM(J1420:K1420),IF(E1420="賣",(H1420-H1419)*G1420*50-SUM(J1420:K1420),(H1419-H1420)*G1420*50-SUM(J1420:K1420)))))</f>
        <v/>
      </c>
      <c r="M1420" s="699">
        <f>L1420</f>
        <v/>
      </c>
      <c r="N1420" s="686">
        <f>IF(B1420="TXO","",IF(D1420="新倉","",IF(E1420="賣",(H1420-H1419)*G1420,(H1419-H1420)*G1420)))</f>
        <v/>
      </c>
      <c r="O1420" s="226">
        <f>ABS(I1420)</f>
        <v/>
      </c>
      <c r="P1420" s="667" t="n"/>
      <c r="S1420" s="249" t="n"/>
      <c r="T1420" s="61">
        <f>IF(AND(R1420="Yes",S1420&lt;&gt;"Yes",L1420&gt;0,B1420&lt;&gt;"TXO"),L1420,"")</f>
        <v/>
      </c>
      <c r="U1420" s="61">
        <f>IF(AND(R1420="Yes",S1420&lt;&gt;"Yes",L1420&lt;0,B1420&lt;&gt;"TXO"),L1420,"")</f>
        <v/>
      </c>
      <c r="V1420" s="61">
        <f>IF(AND(R1420="",S1420&lt;&gt;"Yes",L1420&gt;0,B1420&lt;&gt;"TXO"),L1420,"")</f>
        <v/>
      </c>
      <c r="W1420" s="61">
        <f>IF(AND(R1420="",S1420&lt;&gt;"Yes",L1420&lt;0,B1420&lt;&gt;"TXO"),L1420,"")</f>
        <v/>
      </c>
      <c r="X1420" s="226">
        <f>IF(AND(R1420="Yes",S1420="Yes",L1420&gt;0,B1420&lt;&gt;"TXO"),L1420,"")</f>
        <v/>
      </c>
      <c r="Y1420" s="226">
        <f>IF(AND(R1420="Yes",S1420="Yes",L1420&lt;0,B1420&lt;&gt;"TXO"),L1420,"")</f>
        <v/>
      </c>
      <c r="Z1420" s="226">
        <f>IF(AND(R1420="",S1420="Yes",L1420&gt;0,B1420&lt;&gt;"TXO"),L1420,"")</f>
        <v/>
      </c>
      <c r="AA1420" s="226">
        <f>IF(AND(R1420="",S1420="Yes",L1420&lt;0,B1420&lt;&gt;"TXO"),L1420,"")</f>
        <v/>
      </c>
    </row>
    <row r="1421" hidden="1" outlineLevel="2" ht="17.25" customHeight="1" thickBot="1">
      <c r="A1421" s="696" t="n">
        <v>43392</v>
      </c>
      <c r="B1421" s="234" t="inlineStr">
        <is>
          <t>FIMTX</t>
        </is>
      </c>
      <c r="C1421" s="229" t="inlineStr">
        <is>
          <t>小指11</t>
        </is>
      </c>
      <c r="D1421" s="229" t="inlineStr">
        <is>
          <t>平倉</t>
        </is>
      </c>
      <c r="E1421" s="257" t="inlineStr">
        <is>
          <t>賣</t>
        </is>
      </c>
      <c r="F1421" s="229" t="inlineStr">
        <is>
          <t>-</t>
        </is>
      </c>
      <c r="G1421" s="697" t="n">
        <v>1</v>
      </c>
      <c r="H1421" s="697" t="n">
        <v>9900</v>
      </c>
      <c r="I1421" s="697" t="n">
        <v>0</v>
      </c>
      <c r="J1421" s="585" t="n">
        <v>23</v>
      </c>
      <c r="K1421" s="585" t="n">
        <v>10</v>
      </c>
      <c r="L1421" s="585">
        <f>IF(B1421="TXO",I1421-SUM(J1421:K1421),IF(B1421="FITX",IF(D1421="新倉",-SUM(J1421:K1421),IF(E1421="賣",(H1421-H1420)*G1421*200-SUM(J1421:K1421),(H1420-H1421)*G1421*200-SUM(J1421:K1421))),IF(D1421="新倉",-SUM(J1421:K1421),IF(E1421="賣",(H1421-H1420)*G1421*50-SUM(J1421:K1421),(H1420-H1421)*G1421*50-SUM(J1421:K1421)))))</f>
        <v/>
      </c>
      <c r="M1421" s="699">
        <f>L1421</f>
        <v/>
      </c>
      <c r="N1421" s="686">
        <f>IF(B1421="TXO","",IF(D1421="新倉","",IF(E1421="賣",(H1421-H1420)*G1421,(H1420-H1421)*G1421)))</f>
        <v/>
      </c>
      <c r="O1421" s="226">
        <f>ABS(I1421)</f>
        <v/>
      </c>
      <c r="P1421" s="667" t="n"/>
      <c r="Q1421" s="311" t="n"/>
      <c r="S1421" s="249" t="n"/>
      <c r="T1421" s="61">
        <f>IF(AND(R1421="Yes",S1421&lt;&gt;"Yes",L1421&gt;0,B1421&lt;&gt;"TXO"),L1421,"")</f>
        <v/>
      </c>
      <c r="U1421" s="61">
        <f>IF(AND(R1421="Yes",S1421&lt;&gt;"Yes",L1421&lt;0,B1421&lt;&gt;"TXO"),L1421,"")</f>
        <v/>
      </c>
      <c r="V1421" s="61">
        <f>IF(AND(R1421="",S1421&lt;&gt;"Yes",L1421&gt;0,B1421&lt;&gt;"TXO"),L1421,"")</f>
        <v/>
      </c>
      <c r="W1421" s="61">
        <f>IF(AND(R1421="",S1421&lt;&gt;"Yes",L1421&lt;0,B1421&lt;&gt;"TXO"),L1421,"")</f>
        <v/>
      </c>
      <c r="X1421" s="226">
        <f>IF(AND(R1421="Yes",S1421="Yes",L1421&gt;0,B1421&lt;&gt;"TXO"),L1421,"")</f>
        <v/>
      </c>
      <c r="Y1421" s="226">
        <f>IF(AND(R1421="Yes",S1421="Yes",L1421&lt;0,B1421&lt;&gt;"TXO"),L1421,"")</f>
        <v/>
      </c>
      <c r="Z1421" s="226">
        <f>IF(AND(R1421="",S1421="Yes",L1421&gt;0,B1421&lt;&gt;"TXO"),L1421,"")</f>
        <v/>
      </c>
      <c r="AA1421" s="226">
        <f>IF(AND(R1421="",S1421="Yes",L1421&lt;0,B1421&lt;&gt;"TXO"),L1421,"")</f>
        <v/>
      </c>
    </row>
    <row r="1422" hidden="1" outlineLevel="2" ht="17.25" customHeight="1" thickBot="1">
      <c r="A1422" s="696" t="n">
        <v>43392</v>
      </c>
      <c r="B1422" s="234" t="inlineStr">
        <is>
          <t>FIMTX</t>
        </is>
      </c>
      <c r="C1422" s="229" t="inlineStr">
        <is>
          <t>小指11</t>
        </is>
      </c>
      <c r="D1422" s="229" t="inlineStr">
        <is>
          <t>新倉</t>
        </is>
      </c>
      <c r="E1422" s="257" t="inlineStr">
        <is>
          <t>買</t>
        </is>
      </c>
      <c r="F1422" s="229" t="inlineStr">
        <is>
          <t>-</t>
        </is>
      </c>
      <c r="G1422" s="697" t="n">
        <v>1</v>
      </c>
      <c r="H1422" s="697" t="n">
        <v>9883</v>
      </c>
      <c r="I1422" s="697" t="n">
        <v>0</v>
      </c>
      <c r="J1422" s="585" t="n">
        <v>23</v>
      </c>
      <c r="K1422" s="585" t="n">
        <v>10</v>
      </c>
      <c r="L1422" s="585">
        <f>IF(B1422="TXO",I1422-SUM(J1422:K1422),IF(B1422="FITX",IF(D1422="新倉",-SUM(J1422:K1422),IF(E1422="賣",(H1422-H1421)*G1422*200-SUM(J1422:K1422),(H1421-H1422)*G1422*200-SUM(J1422:K1422))),IF(D1422="新倉",-SUM(J1422:K1422),IF(E1422="賣",(H1422-H1421)*G1422*50-SUM(J1422:K1422),(H1421-H1422)*G1422*50-SUM(J1422:K1422)))))</f>
        <v/>
      </c>
      <c r="M1422" s="699">
        <f>L1422</f>
        <v/>
      </c>
      <c r="N1422" s="686">
        <f>IF(B1422="TXO","",IF(D1422="新倉","",IF(E1422="賣",(H1422-H1421)*G1422,(H1421-H1422)*G1422)))</f>
        <v/>
      </c>
      <c r="O1422" s="226">
        <f>ABS(I1422)</f>
        <v/>
      </c>
      <c r="P1422" s="667" t="n"/>
      <c r="S1422" s="249" t="n"/>
      <c r="T1422" s="61">
        <f>IF(AND(R1422="Yes",S1422&lt;&gt;"Yes",L1422&gt;0,B1422&lt;&gt;"TXO"),L1422,"")</f>
        <v/>
      </c>
      <c r="U1422" s="61">
        <f>IF(AND(R1422="Yes",S1422&lt;&gt;"Yes",L1422&lt;0,B1422&lt;&gt;"TXO"),L1422,"")</f>
        <v/>
      </c>
      <c r="V1422" s="61">
        <f>IF(AND(R1422="",S1422&lt;&gt;"Yes",L1422&gt;0,B1422&lt;&gt;"TXO"),L1422,"")</f>
        <v/>
      </c>
      <c r="W1422" s="61">
        <f>IF(AND(R1422="",S1422&lt;&gt;"Yes",L1422&lt;0,B1422&lt;&gt;"TXO"),L1422,"")</f>
        <v/>
      </c>
      <c r="X1422" s="226">
        <f>IF(AND(R1422="Yes",S1422="Yes",L1422&gt;0,B1422&lt;&gt;"TXO"),L1422,"")</f>
        <v/>
      </c>
      <c r="Y1422" s="226">
        <f>IF(AND(R1422="Yes",S1422="Yes",L1422&lt;0,B1422&lt;&gt;"TXO"),L1422,"")</f>
        <v/>
      </c>
      <c r="Z1422" s="226">
        <f>IF(AND(R1422="",S1422="Yes",L1422&gt;0,B1422&lt;&gt;"TXO"),L1422,"")</f>
        <v/>
      </c>
      <c r="AA1422" s="226">
        <f>IF(AND(R1422="",S1422="Yes",L1422&lt;0,B1422&lt;&gt;"TXO"),L1422,"")</f>
        <v/>
      </c>
    </row>
    <row r="1423" hidden="1" outlineLevel="2" ht="17.25" customHeight="1" thickBot="1">
      <c r="A1423" s="696" t="n">
        <v>43392</v>
      </c>
      <c r="B1423" s="234" t="inlineStr">
        <is>
          <t>FIMTX</t>
        </is>
      </c>
      <c r="C1423" s="229" t="inlineStr">
        <is>
          <t>小指11</t>
        </is>
      </c>
      <c r="D1423" s="229" t="inlineStr">
        <is>
          <t>平倉</t>
        </is>
      </c>
      <c r="E1423" s="257" t="inlineStr">
        <is>
          <t>賣</t>
        </is>
      </c>
      <c r="F1423" s="229" t="inlineStr">
        <is>
          <t>-</t>
        </is>
      </c>
      <c r="G1423" s="697" t="n">
        <v>1</v>
      </c>
      <c r="H1423" s="697" t="n">
        <v>9890</v>
      </c>
      <c r="I1423" s="697" t="n">
        <v>0</v>
      </c>
      <c r="J1423" s="585" t="n">
        <v>23</v>
      </c>
      <c r="K1423" s="585" t="n">
        <v>10</v>
      </c>
      <c r="L1423" s="585">
        <f>IF(B1423="TXO",I1423-SUM(J1423:K1423),IF(B1423="FITX",IF(D1423="新倉",-SUM(J1423:K1423),IF(E1423="賣",(H1423-H1422)*G1423*200-SUM(J1423:K1423),(H1422-H1423)*G1423*200-SUM(J1423:K1423))),IF(D1423="新倉",-SUM(J1423:K1423),IF(E1423="賣",(H1423-H1422)*G1423*50-SUM(J1423:K1423),(H1422-H1423)*G1423*50-SUM(J1423:K1423)))))</f>
        <v/>
      </c>
      <c r="M1423" s="699">
        <f>L1423</f>
        <v/>
      </c>
      <c r="N1423" s="686">
        <f>IF(B1423="TXO","",IF(D1423="新倉","",IF(E1423="賣",(H1423-H1422)*G1423,(H1422-H1423)*G1423)))</f>
        <v/>
      </c>
      <c r="O1423" s="226">
        <f>ABS(I1423)</f>
        <v/>
      </c>
      <c r="P1423" s="667" t="n"/>
      <c r="Q1423" s="311" t="n"/>
      <c r="S1423" s="249" t="n"/>
      <c r="T1423" s="61">
        <f>IF(AND(R1423="Yes",S1423&lt;&gt;"Yes",L1423&gt;0,B1423&lt;&gt;"TXO"),L1423,"")</f>
        <v/>
      </c>
      <c r="U1423" s="61">
        <f>IF(AND(R1423="Yes",S1423&lt;&gt;"Yes",L1423&lt;0,B1423&lt;&gt;"TXO"),L1423,"")</f>
        <v/>
      </c>
      <c r="V1423" s="61">
        <f>IF(AND(R1423="",S1423&lt;&gt;"Yes",L1423&gt;0,B1423&lt;&gt;"TXO"),L1423,"")</f>
        <v/>
      </c>
      <c r="W1423" s="61">
        <f>IF(AND(R1423="",S1423&lt;&gt;"Yes",L1423&lt;0,B1423&lt;&gt;"TXO"),L1423,"")</f>
        <v/>
      </c>
      <c r="X1423" s="226">
        <f>IF(AND(R1423="Yes",S1423="Yes",L1423&gt;0,B1423&lt;&gt;"TXO"),L1423,"")</f>
        <v/>
      </c>
      <c r="Y1423" s="226">
        <f>IF(AND(R1423="Yes",S1423="Yes",L1423&lt;0,B1423&lt;&gt;"TXO"),L1423,"")</f>
        <v/>
      </c>
      <c r="Z1423" s="226">
        <f>IF(AND(R1423="",S1423="Yes",L1423&gt;0,B1423&lt;&gt;"TXO"),L1423,"")</f>
        <v/>
      </c>
      <c r="AA1423" s="226">
        <f>IF(AND(R1423="",S1423="Yes",L1423&lt;0,B1423&lt;&gt;"TXO"),L1423,"")</f>
        <v/>
      </c>
    </row>
    <row r="1424" hidden="1" outlineLevel="2" ht="17.25" customHeight="1" thickBot="1">
      <c r="A1424" s="696" t="n">
        <v>43392</v>
      </c>
      <c r="B1424" s="234" t="inlineStr">
        <is>
          <t>FIMTX</t>
        </is>
      </c>
      <c r="C1424" s="229" t="inlineStr">
        <is>
          <t>小指11</t>
        </is>
      </c>
      <c r="D1424" s="229" t="inlineStr">
        <is>
          <t>新倉</t>
        </is>
      </c>
      <c r="E1424" s="257" t="inlineStr">
        <is>
          <t>買</t>
        </is>
      </c>
      <c r="F1424" s="229" t="inlineStr">
        <is>
          <t>-</t>
        </is>
      </c>
      <c r="G1424" s="697" t="n">
        <v>1</v>
      </c>
      <c r="H1424" s="697" t="n">
        <v>9883</v>
      </c>
      <c r="I1424" s="697" t="n">
        <v>0</v>
      </c>
      <c r="J1424" s="585" t="n">
        <v>23</v>
      </c>
      <c r="K1424" s="585" t="n">
        <v>10</v>
      </c>
      <c r="L1424" s="585">
        <f>IF(B1424="TXO",I1424-SUM(J1424:K1424),IF(B1424="FITX",IF(D1424="新倉",-SUM(J1424:K1424),IF(E1424="賣",(H1424-H1423)*G1424*200-SUM(J1424:K1424),(H1423-H1424)*G1424*200-SUM(J1424:K1424))),IF(D1424="新倉",-SUM(J1424:K1424),IF(E1424="賣",(H1424-H1423)*G1424*50-SUM(J1424:K1424),(H1423-H1424)*G1424*50-SUM(J1424:K1424)))))</f>
        <v/>
      </c>
      <c r="M1424" s="699">
        <f>L1424</f>
        <v/>
      </c>
      <c r="N1424" s="686">
        <f>IF(B1424="TXO","",IF(D1424="新倉","",IF(E1424="賣",(H1424-H1423)*G1424,(H1423-H1424)*G1424)))</f>
        <v/>
      </c>
      <c r="O1424" s="226">
        <f>ABS(I1424)</f>
        <v/>
      </c>
      <c r="P1424" s="667" t="n"/>
      <c r="S1424" s="249" t="n"/>
      <c r="T1424" s="61">
        <f>IF(AND(R1424="Yes",S1424&lt;&gt;"Yes",L1424&gt;0,B1424&lt;&gt;"TXO"),L1424,"")</f>
        <v/>
      </c>
      <c r="U1424" s="61">
        <f>IF(AND(R1424="Yes",S1424&lt;&gt;"Yes",L1424&lt;0,B1424&lt;&gt;"TXO"),L1424,"")</f>
        <v/>
      </c>
      <c r="V1424" s="61">
        <f>IF(AND(R1424="",S1424&lt;&gt;"Yes",L1424&gt;0,B1424&lt;&gt;"TXO"),L1424,"")</f>
        <v/>
      </c>
      <c r="W1424" s="61">
        <f>IF(AND(R1424="",S1424&lt;&gt;"Yes",L1424&lt;0,B1424&lt;&gt;"TXO"),L1424,"")</f>
        <v/>
      </c>
      <c r="X1424" s="226">
        <f>IF(AND(R1424="Yes",S1424="Yes",L1424&gt;0,B1424&lt;&gt;"TXO"),L1424,"")</f>
        <v/>
      </c>
      <c r="Y1424" s="226">
        <f>IF(AND(R1424="Yes",S1424="Yes",L1424&lt;0,B1424&lt;&gt;"TXO"),L1424,"")</f>
        <v/>
      </c>
      <c r="Z1424" s="226">
        <f>IF(AND(R1424="",S1424="Yes",L1424&gt;0,B1424&lt;&gt;"TXO"),L1424,"")</f>
        <v/>
      </c>
      <c r="AA1424" s="226">
        <f>IF(AND(R1424="",S1424="Yes",L1424&lt;0,B1424&lt;&gt;"TXO"),L1424,"")</f>
        <v/>
      </c>
    </row>
    <row r="1425" hidden="1" outlineLevel="2" ht="17.25" customHeight="1" thickBot="1">
      <c r="A1425" s="696" t="n">
        <v>43392</v>
      </c>
      <c r="B1425" s="234" t="inlineStr">
        <is>
          <t>FIMTX</t>
        </is>
      </c>
      <c r="C1425" s="229" t="inlineStr">
        <is>
          <t>小指11</t>
        </is>
      </c>
      <c r="D1425" s="229" t="inlineStr">
        <is>
          <t>平倉</t>
        </is>
      </c>
      <c r="E1425" s="257" t="inlineStr">
        <is>
          <t>賣</t>
        </is>
      </c>
      <c r="F1425" s="229" t="inlineStr">
        <is>
          <t>-</t>
        </is>
      </c>
      <c r="G1425" s="697" t="n">
        <v>1</v>
      </c>
      <c r="H1425" s="697" t="n">
        <v>9875</v>
      </c>
      <c r="I1425" s="697" t="n">
        <v>0</v>
      </c>
      <c r="J1425" s="585" t="n">
        <v>23</v>
      </c>
      <c r="K1425" s="585" t="n">
        <v>10</v>
      </c>
      <c r="L1425" s="585">
        <f>IF(B1425="TXO",I1425-SUM(J1425:K1425),IF(B1425="FITX",IF(D1425="新倉",-SUM(J1425:K1425),IF(E1425="賣",(H1425-H1424)*G1425*200-SUM(J1425:K1425),(H1424-H1425)*G1425*200-SUM(J1425:K1425))),IF(D1425="新倉",-SUM(J1425:K1425),IF(E1425="賣",(H1425-H1424)*G1425*50-SUM(J1425:K1425),(H1424-H1425)*G1425*50-SUM(J1425:K1425)))))</f>
        <v/>
      </c>
      <c r="M1425" s="699">
        <f>L1425</f>
        <v/>
      </c>
      <c r="N1425" s="686">
        <f>IF(B1425="TXO","",IF(D1425="新倉","",IF(E1425="賣",(H1425-H1424)*G1425,(H1424-H1425)*G1425)))</f>
        <v/>
      </c>
      <c r="O1425" s="226">
        <f>ABS(I1425)</f>
        <v/>
      </c>
      <c r="P1425" s="667" t="n"/>
      <c r="Q1425" s="311" t="n"/>
      <c r="S1425" s="249" t="n"/>
      <c r="T1425" s="61">
        <f>IF(AND(R1425="Yes",S1425&lt;&gt;"Yes",L1425&gt;0,B1425&lt;&gt;"TXO"),L1425,"")</f>
        <v/>
      </c>
      <c r="U1425" s="61">
        <f>IF(AND(R1425="Yes",S1425&lt;&gt;"Yes",L1425&lt;0,B1425&lt;&gt;"TXO"),L1425,"")</f>
        <v/>
      </c>
      <c r="V1425" s="61">
        <f>IF(AND(R1425="",S1425&lt;&gt;"Yes",L1425&gt;0,B1425&lt;&gt;"TXO"),L1425,"")</f>
        <v/>
      </c>
      <c r="W1425" s="61">
        <f>IF(AND(R1425="",S1425&lt;&gt;"Yes",L1425&lt;0,B1425&lt;&gt;"TXO"),L1425,"")</f>
        <v/>
      </c>
      <c r="X1425" s="226">
        <f>IF(AND(R1425="Yes",S1425="Yes",L1425&gt;0,B1425&lt;&gt;"TXO"),L1425,"")</f>
        <v/>
      </c>
      <c r="Y1425" s="226">
        <f>IF(AND(R1425="Yes",S1425="Yes",L1425&lt;0,B1425&lt;&gt;"TXO"),L1425,"")</f>
        <v/>
      </c>
      <c r="Z1425" s="226">
        <f>IF(AND(R1425="",S1425="Yes",L1425&gt;0,B1425&lt;&gt;"TXO"),L1425,"")</f>
        <v/>
      </c>
      <c r="AA1425" s="226">
        <f>IF(AND(R1425="",S1425="Yes",L1425&lt;0,B1425&lt;&gt;"TXO"),L1425,"")</f>
        <v/>
      </c>
    </row>
    <row r="1426" hidden="1" outlineLevel="2" ht="17.25" customHeight="1" thickBot="1">
      <c r="A1426" s="696" t="n">
        <v>43392</v>
      </c>
      <c r="B1426" s="234" t="inlineStr">
        <is>
          <t>FIMTX</t>
        </is>
      </c>
      <c r="C1426" s="229" t="inlineStr">
        <is>
          <t>小指11</t>
        </is>
      </c>
      <c r="D1426" s="229" t="inlineStr">
        <is>
          <t>新倉</t>
        </is>
      </c>
      <c r="E1426" s="257" t="inlineStr">
        <is>
          <t>買</t>
        </is>
      </c>
      <c r="F1426" s="229" t="inlineStr">
        <is>
          <t>-</t>
        </is>
      </c>
      <c r="G1426" s="697" t="n">
        <v>1</v>
      </c>
      <c r="H1426" s="697" t="n">
        <v>9883</v>
      </c>
      <c r="I1426" s="697" t="n">
        <v>0</v>
      </c>
      <c r="J1426" s="585" t="n">
        <v>23</v>
      </c>
      <c r="K1426" s="585" t="n">
        <v>10</v>
      </c>
      <c r="L1426" s="585">
        <f>IF(B1426="TXO",I1426-SUM(J1426:K1426),IF(B1426="FITX",IF(D1426="新倉",-SUM(J1426:K1426),IF(E1426="賣",(H1426-H1425)*G1426*200-SUM(J1426:K1426),(H1425-H1426)*G1426*200-SUM(J1426:K1426))),IF(D1426="新倉",-SUM(J1426:K1426),IF(E1426="賣",(H1426-H1425)*G1426*50-SUM(J1426:K1426),(H1425-H1426)*G1426*50-SUM(J1426:K1426)))))</f>
        <v/>
      </c>
      <c r="M1426" s="699">
        <f>L1426</f>
        <v/>
      </c>
      <c r="N1426" s="686">
        <f>IF(B1426="TXO","",IF(D1426="新倉","",IF(E1426="賣",(H1426-H1425)*G1426,(H1425-H1426)*G1426)))</f>
        <v/>
      </c>
      <c r="O1426" s="226">
        <f>ABS(I1426)</f>
        <v/>
      </c>
      <c r="P1426" s="667" t="n"/>
      <c r="S1426" s="249" t="n"/>
      <c r="T1426" s="61">
        <f>IF(AND(R1426="Yes",S1426&lt;&gt;"Yes",L1426&gt;0,B1426&lt;&gt;"TXO"),L1426,"")</f>
        <v/>
      </c>
      <c r="U1426" s="61">
        <f>IF(AND(R1426="Yes",S1426&lt;&gt;"Yes",L1426&lt;0,B1426&lt;&gt;"TXO"),L1426,"")</f>
        <v/>
      </c>
      <c r="V1426" s="61">
        <f>IF(AND(R1426="",S1426&lt;&gt;"Yes",L1426&gt;0,B1426&lt;&gt;"TXO"),L1426,"")</f>
        <v/>
      </c>
      <c r="W1426" s="61">
        <f>IF(AND(R1426="",S1426&lt;&gt;"Yes",L1426&lt;0,B1426&lt;&gt;"TXO"),L1426,"")</f>
        <v/>
      </c>
      <c r="X1426" s="226">
        <f>IF(AND(R1426="Yes",S1426="Yes",L1426&gt;0,B1426&lt;&gt;"TXO"),L1426,"")</f>
        <v/>
      </c>
      <c r="Y1426" s="226">
        <f>IF(AND(R1426="Yes",S1426="Yes",L1426&lt;0,B1426&lt;&gt;"TXO"),L1426,"")</f>
        <v/>
      </c>
      <c r="Z1426" s="226">
        <f>IF(AND(R1426="",S1426="Yes",L1426&gt;0,B1426&lt;&gt;"TXO"),L1426,"")</f>
        <v/>
      </c>
      <c r="AA1426" s="226">
        <f>IF(AND(R1426="",S1426="Yes",L1426&lt;0,B1426&lt;&gt;"TXO"),L1426,"")</f>
        <v/>
      </c>
    </row>
    <row r="1427" hidden="1" outlineLevel="2" ht="17.25" customHeight="1" thickBot="1">
      <c r="A1427" s="696" t="n">
        <v>43392</v>
      </c>
      <c r="B1427" s="234" t="inlineStr">
        <is>
          <t>FIMTX</t>
        </is>
      </c>
      <c r="C1427" s="229" t="inlineStr">
        <is>
          <t>小指11</t>
        </is>
      </c>
      <c r="D1427" s="229" t="inlineStr">
        <is>
          <t>平倉</t>
        </is>
      </c>
      <c r="E1427" s="257" t="inlineStr">
        <is>
          <t>賣</t>
        </is>
      </c>
      <c r="F1427" s="229" t="inlineStr">
        <is>
          <t>-</t>
        </is>
      </c>
      <c r="G1427" s="697" t="n">
        <v>1</v>
      </c>
      <c r="H1427" s="697" t="n">
        <v>9875</v>
      </c>
      <c r="I1427" s="697" t="n">
        <v>0</v>
      </c>
      <c r="J1427" s="585" t="n">
        <v>23</v>
      </c>
      <c r="K1427" s="585" t="n">
        <v>10</v>
      </c>
      <c r="L1427" s="585">
        <f>IF(B1427="TXO",I1427-SUM(J1427:K1427),IF(B1427="FITX",IF(D1427="新倉",-SUM(J1427:K1427),IF(E1427="賣",(H1427-H1426)*G1427*200-SUM(J1427:K1427),(H1426-H1427)*G1427*200-SUM(J1427:K1427))),IF(D1427="新倉",-SUM(J1427:K1427),IF(E1427="賣",(H1427-H1426)*G1427*50-SUM(J1427:K1427),(H1426-H1427)*G1427*50-SUM(J1427:K1427)))))</f>
        <v/>
      </c>
      <c r="M1427" s="699">
        <f>L1427</f>
        <v/>
      </c>
      <c r="N1427" s="686">
        <f>IF(B1427="TXO","",IF(D1427="新倉","",IF(E1427="賣",(H1427-H1426)*G1427,(H1426-H1427)*G1427)))</f>
        <v/>
      </c>
      <c r="O1427" s="226">
        <f>ABS(I1427)</f>
        <v/>
      </c>
      <c r="P1427" s="667" t="n"/>
      <c r="Q1427" s="311" t="n"/>
      <c r="S1427" s="249" t="n"/>
      <c r="T1427" s="61">
        <f>IF(AND(R1427="Yes",S1427&lt;&gt;"Yes",L1427&gt;0,B1427&lt;&gt;"TXO"),L1427,"")</f>
        <v/>
      </c>
      <c r="U1427" s="61">
        <f>IF(AND(R1427="Yes",S1427&lt;&gt;"Yes",L1427&lt;0,B1427&lt;&gt;"TXO"),L1427,"")</f>
        <v/>
      </c>
      <c r="V1427" s="61">
        <f>IF(AND(R1427="",S1427&lt;&gt;"Yes",L1427&gt;0,B1427&lt;&gt;"TXO"),L1427,"")</f>
        <v/>
      </c>
      <c r="W1427" s="61">
        <f>IF(AND(R1427="",S1427&lt;&gt;"Yes",L1427&lt;0,B1427&lt;&gt;"TXO"),L1427,"")</f>
        <v/>
      </c>
      <c r="X1427" s="226">
        <f>IF(AND(R1427="Yes",S1427="Yes",L1427&gt;0,B1427&lt;&gt;"TXO"),L1427,"")</f>
        <v/>
      </c>
      <c r="Y1427" s="226">
        <f>IF(AND(R1427="Yes",S1427="Yes",L1427&lt;0,B1427&lt;&gt;"TXO"),L1427,"")</f>
        <v/>
      </c>
      <c r="Z1427" s="226">
        <f>IF(AND(R1427="",S1427="Yes",L1427&gt;0,B1427&lt;&gt;"TXO"),L1427,"")</f>
        <v/>
      </c>
      <c r="AA1427" s="226">
        <f>IF(AND(R1427="",S1427="Yes",L1427&lt;0,B1427&lt;&gt;"TXO"),L1427,"")</f>
        <v/>
      </c>
    </row>
    <row r="1428" hidden="1" outlineLevel="2" ht="17.25" customHeight="1" thickBot="1">
      <c r="A1428" s="696" t="n">
        <v>43392</v>
      </c>
      <c r="B1428" s="234" t="inlineStr">
        <is>
          <t>FIMTX</t>
        </is>
      </c>
      <c r="C1428" s="229" t="inlineStr">
        <is>
          <t>小指11</t>
        </is>
      </c>
      <c r="D1428" s="229" t="inlineStr">
        <is>
          <t>新倉</t>
        </is>
      </c>
      <c r="E1428" s="257" t="inlineStr">
        <is>
          <t>賣</t>
        </is>
      </c>
      <c r="F1428" s="229" t="inlineStr">
        <is>
          <t>-</t>
        </is>
      </c>
      <c r="G1428" s="697" t="n">
        <v>1</v>
      </c>
      <c r="H1428" s="697" t="n">
        <v>9873</v>
      </c>
      <c r="I1428" s="697" t="n">
        <v>0</v>
      </c>
      <c r="J1428" s="585" t="n">
        <v>23</v>
      </c>
      <c r="K1428" s="585" t="n">
        <v>10</v>
      </c>
      <c r="L1428" s="585">
        <f>IF(B1428="TXO",I1428-SUM(J1428:K1428),IF(B1428="FITX",IF(D1428="新倉",-SUM(J1428:K1428),IF(E1428="賣",(H1428-H1427)*G1428*200-SUM(J1428:K1428),(H1427-H1428)*G1428*200-SUM(J1428:K1428))),IF(D1428="新倉",-SUM(J1428:K1428),IF(E1428="賣",(H1428-H1427)*G1428*50-SUM(J1428:K1428),(H1427-H1428)*G1428*50-SUM(J1428:K1428)))))</f>
        <v/>
      </c>
      <c r="M1428" s="699">
        <f>L1428</f>
        <v/>
      </c>
      <c r="N1428" s="686">
        <f>IF(B1428="TXO","",IF(D1428="新倉","",IF(E1428="賣",(H1428-H1427)*G1428,(H1427-H1428)*G1428)))</f>
        <v/>
      </c>
      <c r="O1428" s="226">
        <f>ABS(I1428)</f>
        <v/>
      </c>
      <c r="P1428" s="667" t="n"/>
      <c r="S1428" s="249" t="n"/>
      <c r="T1428" s="61">
        <f>IF(AND(R1428="Yes",S1428&lt;&gt;"Yes",L1428&gt;0,B1428&lt;&gt;"TXO"),L1428,"")</f>
        <v/>
      </c>
      <c r="U1428" s="61">
        <f>IF(AND(R1428="Yes",S1428&lt;&gt;"Yes",L1428&lt;0,B1428&lt;&gt;"TXO"),L1428,"")</f>
        <v/>
      </c>
      <c r="V1428" s="61">
        <f>IF(AND(R1428="",S1428&lt;&gt;"Yes",L1428&gt;0,B1428&lt;&gt;"TXO"),L1428,"")</f>
        <v/>
      </c>
      <c r="W1428" s="61">
        <f>IF(AND(R1428="",S1428&lt;&gt;"Yes",L1428&lt;0,B1428&lt;&gt;"TXO"),L1428,"")</f>
        <v/>
      </c>
      <c r="X1428" s="226">
        <f>IF(AND(R1428="Yes",S1428="Yes",L1428&gt;0,B1428&lt;&gt;"TXO"),L1428,"")</f>
        <v/>
      </c>
      <c r="Y1428" s="226">
        <f>IF(AND(R1428="Yes",S1428="Yes",L1428&lt;0,B1428&lt;&gt;"TXO"),L1428,"")</f>
        <v/>
      </c>
      <c r="Z1428" s="226">
        <f>IF(AND(R1428="",S1428="Yes",L1428&gt;0,B1428&lt;&gt;"TXO"),L1428,"")</f>
        <v/>
      </c>
      <c r="AA1428" s="226">
        <f>IF(AND(R1428="",S1428="Yes",L1428&lt;0,B1428&lt;&gt;"TXO"),L1428,"")</f>
        <v/>
      </c>
    </row>
    <row r="1429" hidden="1" outlineLevel="2" ht="17.25" customHeight="1" thickBot="1">
      <c r="A1429" s="696" t="n">
        <v>43392</v>
      </c>
      <c r="B1429" s="234" t="inlineStr">
        <is>
          <t>FIMTX</t>
        </is>
      </c>
      <c r="C1429" s="229" t="inlineStr">
        <is>
          <t>小指11</t>
        </is>
      </c>
      <c r="D1429" s="229" t="inlineStr">
        <is>
          <t>平倉</t>
        </is>
      </c>
      <c r="E1429" s="257" t="inlineStr">
        <is>
          <t>買</t>
        </is>
      </c>
      <c r="F1429" s="229" t="inlineStr">
        <is>
          <t>-</t>
        </is>
      </c>
      <c r="G1429" s="697" t="n">
        <v>1</v>
      </c>
      <c r="H1429" s="697" t="n">
        <v>9867</v>
      </c>
      <c r="I1429" s="697" t="n">
        <v>0</v>
      </c>
      <c r="J1429" s="585" t="n">
        <v>23</v>
      </c>
      <c r="K1429" s="585" t="n">
        <v>10</v>
      </c>
      <c r="L1429" s="585">
        <f>IF(B1429="TXO",I1429-SUM(J1429:K1429),IF(B1429="FITX",IF(D1429="新倉",-SUM(J1429:K1429),IF(E1429="賣",(H1429-H1428)*G1429*200-SUM(J1429:K1429),(H1428-H1429)*G1429*200-SUM(J1429:K1429))),IF(D1429="新倉",-SUM(J1429:K1429),IF(E1429="賣",(H1429-H1428)*G1429*50-SUM(J1429:K1429),(H1428-H1429)*G1429*50-SUM(J1429:K1429)))))</f>
        <v/>
      </c>
      <c r="M1429" s="699">
        <f>L1429</f>
        <v/>
      </c>
      <c r="N1429" s="686">
        <f>IF(B1429="TXO","",IF(D1429="新倉","",IF(E1429="賣",(H1429-H1428)*G1429,(H1428-H1429)*G1429)))</f>
        <v/>
      </c>
      <c r="O1429" s="226">
        <f>ABS(I1429)</f>
        <v/>
      </c>
      <c r="P1429" s="667" t="n"/>
      <c r="Q1429" s="311" t="n"/>
      <c r="S1429" s="249" t="n"/>
      <c r="T1429" s="61">
        <f>IF(AND(R1429="Yes",S1429&lt;&gt;"Yes",L1429&gt;0,B1429&lt;&gt;"TXO"),L1429,"")</f>
        <v/>
      </c>
      <c r="U1429" s="61">
        <f>IF(AND(R1429="Yes",S1429&lt;&gt;"Yes",L1429&lt;0,B1429&lt;&gt;"TXO"),L1429,"")</f>
        <v/>
      </c>
      <c r="V1429" s="61">
        <f>IF(AND(R1429="",S1429&lt;&gt;"Yes",L1429&gt;0,B1429&lt;&gt;"TXO"),L1429,"")</f>
        <v/>
      </c>
      <c r="W1429" s="61">
        <f>IF(AND(R1429="",S1429&lt;&gt;"Yes",L1429&lt;0,B1429&lt;&gt;"TXO"),L1429,"")</f>
        <v/>
      </c>
      <c r="X1429" s="226">
        <f>IF(AND(R1429="Yes",S1429="Yes",L1429&gt;0,B1429&lt;&gt;"TXO"),L1429,"")</f>
        <v/>
      </c>
      <c r="Y1429" s="226">
        <f>IF(AND(R1429="Yes",S1429="Yes",L1429&lt;0,B1429&lt;&gt;"TXO"),L1429,"")</f>
        <v/>
      </c>
      <c r="Z1429" s="226">
        <f>IF(AND(R1429="",S1429="Yes",L1429&gt;0,B1429&lt;&gt;"TXO"),L1429,"")</f>
        <v/>
      </c>
      <c r="AA1429" s="226">
        <f>IF(AND(R1429="",S1429="Yes",L1429&lt;0,B1429&lt;&gt;"TXO"),L1429,"")</f>
        <v/>
      </c>
    </row>
    <row r="1430" hidden="1" outlineLevel="2" ht="17.25" customHeight="1" thickBot="1">
      <c r="A1430" s="696" t="n">
        <v>43392</v>
      </c>
      <c r="B1430" s="234" t="inlineStr">
        <is>
          <t>FIMTX</t>
        </is>
      </c>
      <c r="C1430" s="229" t="inlineStr">
        <is>
          <t>小指11</t>
        </is>
      </c>
      <c r="D1430" s="229" t="inlineStr">
        <is>
          <t>新倉</t>
        </is>
      </c>
      <c r="E1430" s="257" t="inlineStr">
        <is>
          <t>賣</t>
        </is>
      </c>
      <c r="F1430" s="229" t="inlineStr">
        <is>
          <t>-</t>
        </is>
      </c>
      <c r="G1430" s="697" t="n">
        <v>1</v>
      </c>
      <c r="H1430" s="697" t="n">
        <v>9873</v>
      </c>
      <c r="I1430" s="697" t="n">
        <v>0</v>
      </c>
      <c r="J1430" s="585" t="n">
        <v>23</v>
      </c>
      <c r="K1430" s="585" t="n">
        <v>10</v>
      </c>
      <c r="L1430" s="585">
        <f>IF(B1430="TXO",I1430-SUM(J1430:K1430),IF(B1430="FITX",IF(D1430="新倉",-SUM(J1430:K1430),IF(E1430="賣",(H1430-H1429)*G1430*200-SUM(J1430:K1430),(H1429-H1430)*G1430*200-SUM(J1430:K1430))),IF(D1430="新倉",-SUM(J1430:K1430),IF(E1430="賣",(H1430-H1429)*G1430*50-SUM(J1430:K1430),(H1429-H1430)*G1430*50-SUM(J1430:K1430)))))</f>
        <v/>
      </c>
      <c r="M1430" s="699">
        <f>L1430</f>
        <v/>
      </c>
      <c r="N1430" s="686">
        <f>IF(B1430="TXO","",IF(D1430="新倉","",IF(E1430="賣",(H1430-H1429)*G1430,(H1429-H1430)*G1430)))</f>
        <v/>
      </c>
      <c r="O1430" s="226">
        <f>ABS(I1430)</f>
        <v/>
      </c>
      <c r="P1430" s="667" t="n"/>
      <c r="S1430" s="249" t="n"/>
      <c r="T1430" s="61">
        <f>IF(AND(R1430="Yes",S1430&lt;&gt;"Yes",L1430&gt;0,B1430&lt;&gt;"TXO"),L1430,"")</f>
        <v/>
      </c>
      <c r="U1430" s="61">
        <f>IF(AND(R1430="Yes",S1430&lt;&gt;"Yes",L1430&lt;0,B1430&lt;&gt;"TXO"),L1430,"")</f>
        <v/>
      </c>
      <c r="V1430" s="61">
        <f>IF(AND(R1430="",S1430&lt;&gt;"Yes",L1430&gt;0,B1430&lt;&gt;"TXO"),L1430,"")</f>
        <v/>
      </c>
      <c r="W1430" s="61">
        <f>IF(AND(R1430="",S1430&lt;&gt;"Yes",L1430&lt;0,B1430&lt;&gt;"TXO"),L1430,"")</f>
        <v/>
      </c>
      <c r="X1430" s="226">
        <f>IF(AND(R1430="Yes",S1430="Yes",L1430&gt;0,B1430&lt;&gt;"TXO"),L1430,"")</f>
        <v/>
      </c>
      <c r="Y1430" s="226">
        <f>IF(AND(R1430="Yes",S1430="Yes",L1430&lt;0,B1430&lt;&gt;"TXO"),L1430,"")</f>
        <v/>
      </c>
      <c r="Z1430" s="226">
        <f>IF(AND(R1430="",S1430="Yes",L1430&gt;0,B1430&lt;&gt;"TXO"),L1430,"")</f>
        <v/>
      </c>
      <c r="AA1430" s="226">
        <f>IF(AND(R1430="",S1430="Yes",L1430&lt;0,B1430&lt;&gt;"TXO"),L1430,"")</f>
        <v/>
      </c>
    </row>
    <row r="1431" hidden="1" outlineLevel="2" ht="17.25" customHeight="1" thickBot="1">
      <c r="A1431" s="696" t="n">
        <v>43392</v>
      </c>
      <c r="B1431" s="234" t="inlineStr">
        <is>
          <t>FIMTX</t>
        </is>
      </c>
      <c r="C1431" s="229" t="inlineStr">
        <is>
          <t>小指11</t>
        </is>
      </c>
      <c r="D1431" s="229" t="inlineStr">
        <is>
          <t>平倉</t>
        </is>
      </c>
      <c r="E1431" s="257" t="inlineStr">
        <is>
          <t>買</t>
        </is>
      </c>
      <c r="F1431" s="229" t="inlineStr">
        <is>
          <t>-</t>
        </is>
      </c>
      <c r="G1431" s="697" t="n">
        <v>1</v>
      </c>
      <c r="H1431" s="697" t="n">
        <v>9859</v>
      </c>
      <c r="I1431" s="697" t="n">
        <v>0</v>
      </c>
      <c r="J1431" s="585" t="n">
        <v>23</v>
      </c>
      <c r="K1431" s="585" t="n">
        <v>10</v>
      </c>
      <c r="L1431" s="585">
        <f>IF(B1431="TXO",I1431-SUM(J1431:K1431),IF(B1431="FITX",IF(D1431="新倉",-SUM(J1431:K1431),IF(E1431="賣",(H1431-H1430)*G1431*200-SUM(J1431:K1431),(H1430-H1431)*G1431*200-SUM(J1431:K1431))),IF(D1431="新倉",-SUM(J1431:K1431),IF(E1431="賣",(H1431-H1430)*G1431*50-SUM(J1431:K1431),(H1430-H1431)*G1431*50-SUM(J1431:K1431)))))</f>
        <v/>
      </c>
      <c r="M1431" s="699">
        <f>L1431</f>
        <v/>
      </c>
      <c r="N1431" s="686">
        <f>IF(B1431="TXO","",IF(D1431="新倉","",IF(E1431="賣",(H1431-H1430)*G1431,(H1430-H1431)*G1431)))</f>
        <v/>
      </c>
      <c r="O1431" s="226">
        <f>ABS(I1431)</f>
        <v/>
      </c>
      <c r="P1431" s="667" t="n"/>
      <c r="Q1431" s="311" t="n"/>
      <c r="S1431" s="249" t="n"/>
      <c r="T1431" s="61">
        <f>IF(AND(R1431="Yes",S1431&lt;&gt;"Yes",L1431&gt;0,B1431&lt;&gt;"TXO"),L1431,"")</f>
        <v/>
      </c>
      <c r="U1431" s="61">
        <f>IF(AND(R1431="Yes",S1431&lt;&gt;"Yes",L1431&lt;0,B1431&lt;&gt;"TXO"),L1431,"")</f>
        <v/>
      </c>
      <c r="V1431" s="61">
        <f>IF(AND(R1431="",S1431&lt;&gt;"Yes",L1431&gt;0,B1431&lt;&gt;"TXO"),L1431,"")</f>
        <v/>
      </c>
      <c r="W1431" s="61">
        <f>IF(AND(R1431="",S1431&lt;&gt;"Yes",L1431&lt;0,B1431&lt;&gt;"TXO"),L1431,"")</f>
        <v/>
      </c>
      <c r="X1431" s="226">
        <f>IF(AND(R1431="Yes",S1431="Yes",L1431&gt;0,B1431&lt;&gt;"TXO"),L1431,"")</f>
        <v/>
      </c>
      <c r="Y1431" s="226">
        <f>IF(AND(R1431="Yes",S1431="Yes",L1431&lt;0,B1431&lt;&gt;"TXO"),L1431,"")</f>
        <v/>
      </c>
      <c r="Z1431" s="226">
        <f>IF(AND(R1431="",S1431="Yes",L1431&gt;0,B1431&lt;&gt;"TXO"),L1431,"")</f>
        <v/>
      </c>
      <c r="AA1431" s="226">
        <f>IF(AND(R1431="",S1431="Yes",L1431&lt;0,B1431&lt;&gt;"TXO"),L1431,"")</f>
        <v/>
      </c>
    </row>
    <row r="1432" hidden="1" outlineLevel="2" ht="17.25" customHeight="1" thickBot="1">
      <c r="A1432" s="696" t="n">
        <v>43392</v>
      </c>
      <c r="B1432" s="234" t="inlineStr">
        <is>
          <t>FIMTX</t>
        </is>
      </c>
      <c r="C1432" s="229" t="inlineStr">
        <is>
          <t>小指11</t>
        </is>
      </c>
      <c r="D1432" s="229" t="inlineStr">
        <is>
          <t>新倉</t>
        </is>
      </c>
      <c r="E1432" s="257" t="inlineStr">
        <is>
          <t>賣</t>
        </is>
      </c>
      <c r="F1432" s="229" t="inlineStr">
        <is>
          <t>-</t>
        </is>
      </c>
      <c r="G1432" s="697" t="n">
        <v>1</v>
      </c>
      <c r="H1432" s="697" t="n">
        <v>9875</v>
      </c>
      <c r="I1432" s="697" t="n">
        <v>0</v>
      </c>
      <c r="J1432" s="585" t="n">
        <v>23</v>
      </c>
      <c r="K1432" s="585" t="n">
        <v>10</v>
      </c>
      <c r="L1432" s="585">
        <f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/>
      </c>
      <c r="M1432" s="699">
        <f>L1432</f>
        <v/>
      </c>
      <c r="N1432" s="686">
        <f>IF(B1432="TXO","",IF(D1432="新倉","",IF(E1432="賣",(H1432-H1431)*G1432,(H1431-H1432)*G1432)))</f>
        <v/>
      </c>
      <c r="O1432" s="226">
        <f>ABS(I1432)</f>
        <v/>
      </c>
      <c r="P1432" s="667" t="n"/>
      <c r="S1432" s="249" t="n"/>
      <c r="T1432" s="61">
        <f>IF(AND(R1432="Yes",S1432&lt;&gt;"Yes",L1432&gt;0,B1432&lt;&gt;"TXO"),L1432,"")</f>
        <v/>
      </c>
      <c r="U1432" s="61">
        <f>IF(AND(R1432="Yes",S1432&lt;&gt;"Yes",L1432&lt;0,B1432&lt;&gt;"TXO"),L1432,"")</f>
        <v/>
      </c>
      <c r="V1432" s="61">
        <f>IF(AND(R1432="",S1432&lt;&gt;"Yes",L1432&gt;0,B1432&lt;&gt;"TXO"),L1432,"")</f>
        <v/>
      </c>
      <c r="W1432" s="61">
        <f>IF(AND(R1432="",S1432&lt;&gt;"Yes",L1432&lt;0,B1432&lt;&gt;"TXO"),L1432,"")</f>
        <v/>
      </c>
      <c r="X1432" s="226">
        <f>IF(AND(R1432="Yes",S1432="Yes",L1432&gt;0,B1432&lt;&gt;"TXO"),L1432,"")</f>
        <v/>
      </c>
      <c r="Y1432" s="226">
        <f>IF(AND(R1432="Yes",S1432="Yes",L1432&lt;0,B1432&lt;&gt;"TXO"),L1432,"")</f>
        <v/>
      </c>
      <c r="Z1432" s="226">
        <f>IF(AND(R1432="",S1432="Yes",L1432&gt;0,B1432&lt;&gt;"TXO"),L1432,"")</f>
        <v/>
      </c>
      <c r="AA1432" s="226">
        <f>IF(AND(R1432="",S1432="Yes",L1432&lt;0,B1432&lt;&gt;"TXO"),L1432,"")</f>
        <v/>
      </c>
    </row>
    <row r="1433" hidden="1" outlineLevel="2" ht="17.25" customHeight="1" thickBot="1">
      <c r="A1433" s="696" t="n">
        <v>43392</v>
      </c>
      <c r="B1433" s="234" t="inlineStr">
        <is>
          <t>FIMTX</t>
        </is>
      </c>
      <c r="C1433" s="229" t="inlineStr">
        <is>
          <t>小指11</t>
        </is>
      </c>
      <c r="D1433" s="229" t="inlineStr">
        <is>
          <t>平倉</t>
        </is>
      </c>
      <c r="E1433" s="257" t="inlineStr">
        <is>
          <t>買</t>
        </is>
      </c>
      <c r="F1433" s="229" t="inlineStr">
        <is>
          <t>-</t>
        </is>
      </c>
      <c r="G1433" s="697" t="n">
        <v>1</v>
      </c>
      <c r="H1433" s="697" t="n">
        <v>9868</v>
      </c>
      <c r="I1433" s="697" t="n">
        <v>0</v>
      </c>
      <c r="J1433" s="585" t="n">
        <v>23</v>
      </c>
      <c r="K1433" s="585" t="n">
        <v>10</v>
      </c>
      <c r="L1433" s="585">
        <f>IF(B1433="TXO",I1433-SUM(J1433:K1433),IF(B1433="FITX",IF(D1433="新倉",-SUM(J1433:K1433),IF(E1433="賣",(H1433-H1432)*G1433*200-SUM(J1433:K1433),(H1432-H1433)*G1433*200-SUM(J1433:K1433))),IF(D1433="新倉",-SUM(J1433:K1433),IF(E1433="賣",(H1433-H1432)*G1433*50-SUM(J1433:K1433),(H1432-H1433)*G1433*50-SUM(J1433:K1433)))))</f>
        <v/>
      </c>
      <c r="M1433" s="699">
        <f>L1433</f>
        <v/>
      </c>
      <c r="N1433" s="686">
        <f>IF(B1433="TXO","",IF(D1433="新倉","",IF(E1433="賣",(H1433-H1432)*G1433,(H1432-H1433)*G1433)))</f>
        <v/>
      </c>
      <c r="O1433" s="226">
        <f>ABS(I1433)</f>
        <v/>
      </c>
      <c r="P1433" s="667" t="n"/>
      <c r="Q1433" s="311" t="n"/>
      <c r="S1433" s="249" t="n"/>
      <c r="T1433" s="61">
        <f>IF(AND(R1433="Yes",S1433&lt;&gt;"Yes",L1433&gt;0,B1433&lt;&gt;"TXO"),L1433,"")</f>
        <v/>
      </c>
      <c r="U1433" s="61">
        <f>IF(AND(R1433="Yes",S1433&lt;&gt;"Yes",L1433&lt;0,B1433&lt;&gt;"TXO"),L1433,"")</f>
        <v/>
      </c>
      <c r="V1433" s="61">
        <f>IF(AND(R1433="",S1433&lt;&gt;"Yes",L1433&gt;0,B1433&lt;&gt;"TXO"),L1433,"")</f>
        <v/>
      </c>
      <c r="W1433" s="61">
        <f>IF(AND(R1433="",S1433&lt;&gt;"Yes",L1433&lt;0,B1433&lt;&gt;"TXO"),L1433,"")</f>
        <v/>
      </c>
      <c r="X1433" s="226">
        <f>IF(AND(R1433="Yes",S1433="Yes",L1433&gt;0,B1433&lt;&gt;"TXO"),L1433,"")</f>
        <v/>
      </c>
      <c r="Y1433" s="226">
        <f>IF(AND(R1433="Yes",S1433="Yes",L1433&lt;0,B1433&lt;&gt;"TXO"),L1433,"")</f>
        <v/>
      </c>
      <c r="Z1433" s="226">
        <f>IF(AND(R1433="",S1433="Yes",L1433&gt;0,B1433&lt;&gt;"TXO"),L1433,"")</f>
        <v/>
      </c>
      <c r="AA1433" s="226">
        <f>IF(AND(R1433="",S1433="Yes",L1433&lt;0,B1433&lt;&gt;"TXO"),L1433,"")</f>
        <v/>
      </c>
    </row>
    <row r="1434" hidden="1" outlineLevel="2" ht="17.25" customHeight="1" thickBot="1">
      <c r="A1434" s="696" t="n">
        <v>43392</v>
      </c>
      <c r="B1434" s="234" t="inlineStr">
        <is>
          <t>FIMTX</t>
        </is>
      </c>
      <c r="C1434" s="229" t="inlineStr">
        <is>
          <t>小指11</t>
        </is>
      </c>
      <c r="D1434" s="229" t="inlineStr">
        <is>
          <t>新倉</t>
        </is>
      </c>
      <c r="E1434" s="257" t="inlineStr">
        <is>
          <t>賣</t>
        </is>
      </c>
      <c r="F1434" s="229" t="inlineStr">
        <is>
          <t>-</t>
        </is>
      </c>
      <c r="G1434" s="697" t="n">
        <v>3</v>
      </c>
      <c r="H1434" s="697" t="n">
        <v>9905</v>
      </c>
      <c r="I1434" s="697" t="n">
        <v>0</v>
      </c>
      <c r="J1434" s="585" t="n">
        <v>69</v>
      </c>
      <c r="K1434" s="585" t="n">
        <v>30</v>
      </c>
      <c r="L1434" s="585">
        <f>IF(B1434="TXO",I1434-SUM(J1434:K1434),IF(B1434="FITX",IF(D1434="新倉",-SUM(J1434:K1434),IF(E1434="賣",(H1434-H1433)*G1434*200-SUM(J1434:K1434),(H1433-H1434)*G1434*200-SUM(J1434:K1434))),IF(D1434="新倉",-SUM(J1434:K1434),IF(E1434="賣",(H1434-H1433)*G1434*50-SUM(J1434:K1434),(H1433-H1434)*G1434*50-SUM(J1434:K1434)))))</f>
        <v/>
      </c>
      <c r="M1434" s="699">
        <f>L1434</f>
        <v/>
      </c>
      <c r="N1434" s="686">
        <f>IF(B1434="TXO","",IF(D1434="新倉","",IF(E1434="賣",(H1434-H1433)*G1434,(H1433-H1434)*G1434)))</f>
        <v/>
      </c>
      <c r="O1434" s="226">
        <f>ABS(I1434)</f>
        <v/>
      </c>
      <c r="P1434" s="667" t="n"/>
      <c r="S1434" s="249" t="inlineStr">
        <is>
          <t>Yes</t>
        </is>
      </c>
      <c r="T1434" s="61">
        <f>IF(AND(R1434="Yes",S1434&lt;&gt;"Yes",L1434&gt;0,B1434&lt;&gt;"TXO"),L1434,"")</f>
        <v/>
      </c>
      <c r="U1434" s="61">
        <f>IF(AND(R1434="Yes",S1434&lt;&gt;"Yes",L1434&lt;0,B1434&lt;&gt;"TXO"),L1434,"")</f>
        <v/>
      </c>
      <c r="V1434" s="61">
        <f>IF(AND(R1434="",S1434&lt;&gt;"Yes",L1434&gt;0,B1434&lt;&gt;"TXO"),L1434,"")</f>
        <v/>
      </c>
      <c r="W1434" s="61">
        <f>IF(AND(R1434="",S1434&lt;&gt;"Yes",L1434&lt;0,B1434&lt;&gt;"TXO"),L1434,"")</f>
        <v/>
      </c>
      <c r="X1434" s="226">
        <f>IF(AND(R1434="Yes",S1434="Yes",L1434&gt;0,B1434&lt;&gt;"TXO"),L1434,"")</f>
        <v/>
      </c>
      <c r="Y1434" s="226">
        <f>IF(AND(R1434="Yes",S1434="Yes",L1434&lt;0,B1434&lt;&gt;"TXO"),L1434,"")</f>
        <v/>
      </c>
      <c r="Z1434" s="226">
        <f>IF(AND(R1434="",S1434="Yes",L1434&gt;0,B1434&lt;&gt;"TXO"),L1434,"")</f>
        <v/>
      </c>
      <c r="AA1434" s="226">
        <f>IF(AND(R1434="",S1434="Yes",L1434&lt;0,B1434&lt;&gt;"TXO"),L1434,"")</f>
        <v/>
      </c>
    </row>
    <row r="1435" hidden="1" outlineLevel="2" ht="17.25" customHeight="1" thickBot="1">
      <c r="A1435" s="696" t="n">
        <v>43392</v>
      </c>
      <c r="B1435" s="234" t="inlineStr">
        <is>
          <t>FIMTX</t>
        </is>
      </c>
      <c r="C1435" s="229" t="inlineStr">
        <is>
          <t>小指11</t>
        </is>
      </c>
      <c r="D1435" s="229" t="inlineStr">
        <is>
          <t>平倉</t>
        </is>
      </c>
      <c r="E1435" s="257" t="inlineStr">
        <is>
          <t>買</t>
        </is>
      </c>
      <c r="F1435" s="229" t="inlineStr">
        <is>
          <t>-</t>
        </is>
      </c>
      <c r="G1435" s="697" t="n">
        <v>3</v>
      </c>
      <c r="H1435" s="697" t="n">
        <v>9920</v>
      </c>
      <c r="I1435" s="697" t="n">
        <v>0</v>
      </c>
      <c r="J1435" s="585" t="n">
        <v>69</v>
      </c>
      <c r="K1435" s="585" t="n">
        <v>30</v>
      </c>
      <c r="L1435" s="585">
        <f>IF(B1435="TXO",I1435-SUM(J1435:K1435),IF(B1435="FITX",IF(D1435="新倉",-SUM(J1435:K1435),IF(E1435="賣",(H1435-H1434)*G1435*200-SUM(J1435:K1435),(H1434-H1435)*G1435*200-SUM(J1435:K1435))),IF(D1435="新倉",-SUM(J1435:K1435),IF(E1435="賣",(H1435-H1434)*G1435*50-SUM(J1435:K1435),(H1434-H1435)*G1435*50-SUM(J1435:K1435)))))</f>
        <v/>
      </c>
      <c r="M1435" s="699">
        <f>L1435</f>
        <v/>
      </c>
      <c r="N1435" s="686">
        <f>IF(B1435="TXO","",IF(D1435="新倉","",IF(E1435="賣",(H1435-H1434)*G1435,(H1434-H1435)*G1435)))</f>
        <v/>
      </c>
      <c r="O1435" s="226">
        <f>ABS(I1435)</f>
        <v/>
      </c>
      <c r="P1435" s="667" t="n"/>
      <c r="Q1435" s="311" t="n"/>
      <c r="S1435" s="249" t="inlineStr">
        <is>
          <t>Yes</t>
        </is>
      </c>
      <c r="T1435" s="61">
        <f>IF(AND(R1435="Yes",S1435&lt;&gt;"Yes",L1435&gt;0,B1435&lt;&gt;"TXO"),L1435,"")</f>
        <v/>
      </c>
      <c r="U1435" s="61">
        <f>IF(AND(R1435="Yes",S1435&lt;&gt;"Yes",L1435&lt;0,B1435&lt;&gt;"TXO"),L1435,"")</f>
        <v/>
      </c>
      <c r="V1435" s="61">
        <f>IF(AND(R1435="",S1435&lt;&gt;"Yes",L1435&gt;0,B1435&lt;&gt;"TXO"),L1435,"")</f>
        <v/>
      </c>
      <c r="W1435" s="61">
        <f>IF(AND(R1435="",S1435&lt;&gt;"Yes",L1435&lt;0,B1435&lt;&gt;"TXO"),L1435,"")</f>
        <v/>
      </c>
      <c r="X1435" s="226">
        <f>IF(AND(R1435="Yes",S1435="Yes",L1435&gt;0,B1435&lt;&gt;"TXO"),L1435,"")</f>
        <v/>
      </c>
      <c r="Y1435" s="226">
        <f>IF(AND(R1435="Yes",S1435="Yes",L1435&lt;0,B1435&lt;&gt;"TXO"),L1435,"")</f>
        <v/>
      </c>
      <c r="Z1435" s="226">
        <f>IF(AND(R1435="",S1435="Yes",L1435&gt;0,B1435&lt;&gt;"TXO"),L1435,"")</f>
        <v/>
      </c>
      <c r="AA1435" s="226">
        <f>IF(AND(R1435="",S1435="Yes",L1435&lt;0,B1435&lt;&gt;"TXO"),L1435,"")</f>
        <v/>
      </c>
    </row>
    <row r="1436" hidden="1" outlineLevel="2" ht="17.25" customHeight="1" thickBot="1">
      <c r="A1436" s="696" t="n">
        <v>43392</v>
      </c>
      <c r="B1436" s="234" t="inlineStr">
        <is>
          <t>FIMTX</t>
        </is>
      </c>
      <c r="C1436" s="229" t="inlineStr">
        <is>
          <t>小指11</t>
        </is>
      </c>
      <c r="D1436" s="229" t="inlineStr">
        <is>
          <t>新倉</t>
        </is>
      </c>
      <c r="E1436" s="257" t="inlineStr">
        <is>
          <t>買</t>
        </is>
      </c>
      <c r="F1436" s="229" t="inlineStr">
        <is>
          <t>-</t>
        </is>
      </c>
      <c r="G1436" s="697" t="n">
        <v>1</v>
      </c>
      <c r="H1436" s="697" t="n">
        <v>9920</v>
      </c>
      <c r="I1436" s="697" t="n">
        <v>0</v>
      </c>
      <c r="J1436" s="585" t="n">
        <v>23</v>
      </c>
      <c r="K1436" s="585" t="n">
        <v>10</v>
      </c>
      <c r="L1436" s="585">
        <f>IF(B1436="TXO",I1436-SUM(J1436:K1436),IF(B1436="FITX",IF(D1436="新倉",-SUM(J1436:K1436),IF(E1436="賣",(H1436-H1435)*G1436*200-SUM(J1436:K1436),(H1435-H1436)*G1436*200-SUM(J1436:K1436))),IF(D1436="新倉",-SUM(J1436:K1436),IF(E1436="賣",(H1436-H1435)*G1436*50-SUM(J1436:K1436),(H1435-H1436)*G1436*50-SUM(J1436:K1436)))))</f>
        <v/>
      </c>
      <c r="M1436" s="699">
        <f>L1436</f>
        <v/>
      </c>
      <c r="N1436" s="686">
        <f>IF(B1436="TXO","",IF(D1436="新倉","",IF(E1436="賣",(H1436-H1435)*G1436,(H1435-H1436)*G1436)))</f>
        <v/>
      </c>
      <c r="O1436" s="226">
        <f>ABS(I1436)</f>
        <v/>
      </c>
      <c r="P1436" s="667" t="n"/>
      <c r="S1436" s="249" t="inlineStr">
        <is>
          <t>Yes</t>
        </is>
      </c>
      <c r="T1436" s="61">
        <f>IF(AND(R1436="Yes",S1436&lt;&gt;"Yes",L1436&gt;0,B1436&lt;&gt;"TXO"),L1436,"")</f>
        <v/>
      </c>
      <c r="U1436" s="61">
        <f>IF(AND(R1436="Yes",S1436&lt;&gt;"Yes",L1436&lt;0,B1436&lt;&gt;"TXO"),L1436,"")</f>
        <v/>
      </c>
      <c r="V1436" s="61">
        <f>IF(AND(R1436="",S1436&lt;&gt;"Yes",L1436&gt;0,B1436&lt;&gt;"TXO"),L1436,"")</f>
        <v/>
      </c>
      <c r="W1436" s="61">
        <f>IF(AND(R1436="",S1436&lt;&gt;"Yes",L1436&lt;0,B1436&lt;&gt;"TXO"),L1436,"")</f>
        <v/>
      </c>
      <c r="X1436" s="226">
        <f>IF(AND(R1436="Yes",S1436="Yes",L1436&gt;0,B1436&lt;&gt;"TXO"),L1436,"")</f>
        <v/>
      </c>
      <c r="Y1436" s="226">
        <f>IF(AND(R1436="Yes",S1436="Yes",L1436&lt;0,B1436&lt;&gt;"TXO"),L1436,"")</f>
        <v/>
      </c>
      <c r="Z1436" s="226">
        <f>IF(AND(R1436="",S1436="Yes",L1436&gt;0,B1436&lt;&gt;"TXO"),L1436,"")</f>
        <v/>
      </c>
      <c r="AA1436" s="226">
        <f>IF(AND(R1436="",S1436="Yes",L1436&lt;0,B1436&lt;&gt;"TXO"),L1436,"")</f>
        <v/>
      </c>
    </row>
    <row r="1437" hidden="1" outlineLevel="2" ht="17.25" customHeight="1" thickBot="1">
      <c r="A1437" s="696" t="n">
        <v>43392</v>
      </c>
      <c r="B1437" s="234" t="inlineStr">
        <is>
          <t>FIMTX</t>
        </is>
      </c>
      <c r="C1437" s="229" t="inlineStr">
        <is>
          <t>小指11</t>
        </is>
      </c>
      <c r="D1437" s="229" t="inlineStr">
        <is>
          <t>平倉</t>
        </is>
      </c>
      <c r="E1437" s="257" t="inlineStr">
        <is>
          <t>賣</t>
        </is>
      </c>
      <c r="F1437" s="229" t="inlineStr">
        <is>
          <t>-</t>
        </is>
      </c>
      <c r="G1437" s="697" t="n">
        <v>1</v>
      </c>
      <c r="H1437" s="697" t="n">
        <v>9928</v>
      </c>
      <c r="I1437" s="697" t="n">
        <v>0</v>
      </c>
      <c r="J1437" s="585" t="n">
        <v>23</v>
      </c>
      <c r="K1437" s="585" t="n">
        <v>10</v>
      </c>
      <c r="L1437" s="585">
        <f>IF(B1437="TXO",I1437-SUM(J1437:K1437),IF(B1437="FITX",IF(D1437="新倉",-SUM(J1437:K1437),IF(E1437="賣",(H1437-H1436)*G1437*200-SUM(J1437:K1437),(H1436-H1437)*G1437*200-SUM(J1437:K1437))),IF(D1437="新倉",-SUM(J1437:K1437),IF(E1437="賣",(H1437-H1436)*G1437*50-SUM(J1437:K1437),(H1436-H1437)*G1437*50-SUM(J1437:K1437)))))</f>
        <v/>
      </c>
      <c r="M1437" s="699">
        <f>L1437</f>
        <v/>
      </c>
      <c r="N1437" s="686">
        <f>IF(B1437="TXO","",IF(D1437="新倉","",IF(E1437="賣",(H1437-H1436)*G1437,(H1436-H1437)*G1437)))</f>
        <v/>
      </c>
      <c r="O1437" s="226">
        <f>ABS(I1437)</f>
        <v/>
      </c>
      <c r="P1437" s="667" t="n"/>
      <c r="Q1437" s="311" t="n"/>
      <c r="S1437" s="249" t="inlineStr">
        <is>
          <t>Yes</t>
        </is>
      </c>
      <c r="T1437" s="61">
        <f>IF(AND(R1437="Yes",S1437&lt;&gt;"Yes",L1437&gt;0,B1437&lt;&gt;"TXO"),L1437,"")</f>
        <v/>
      </c>
      <c r="U1437" s="61">
        <f>IF(AND(R1437="Yes",S1437&lt;&gt;"Yes",L1437&lt;0,B1437&lt;&gt;"TXO"),L1437,"")</f>
        <v/>
      </c>
      <c r="V1437" s="61">
        <f>IF(AND(R1437="",S1437&lt;&gt;"Yes",L1437&gt;0,B1437&lt;&gt;"TXO"),L1437,"")</f>
        <v/>
      </c>
      <c r="W1437" s="61">
        <f>IF(AND(R1437="",S1437&lt;&gt;"Yes",L1437&lt;0,B1437&lt;&gt;"TXO"),L1437,"")</f>
        <v/>
      </c>
      <c r="X1437" s="226">
        <f>IF(AND(R1437="Yes",S1437="Yes",L1437&gt;0,B1437&lt;&gt;"TXO"),L1437,"")</f>
        <v/>
      </c>
      <c r="Y1437" s="226">
        <f>IF(AND(R1437="Yes",S1437="Yes",L1437&lt;0,B1437&lt;&gt;"TXO"),L1437,"")</f>
        <v/>
      </c>
      <c r="Z1437" s="226">
        <f>IF(AND(R1437="",S1437="Yes",L1437&gt;0,B1437&lt;&gt;"TXO"),L1437,"")</f>
        <v/>
      </c>
      <c r="AA1437" s="226">
        <f>IF(AND(R1437="",S1437="Yes",L1437&lt;0,B1437&lt;&gt;"TXO"),L1437,"")</f>
        <v/>
      </c>
    </row>
    <row r="1438" hidden="1" outlineLevel="2" ht="17.25" customHeight="1" thickBot="1">
      <c r="A1438" s="696" t="n">
        <v>43392</v>
      </c>
      <c r="B1438" s="234" t="inlineStr">
        <is>
          <t>FIMTX</t>
        </is>
      </c>
      <c r="C1438" s="229" t="inlineStr">
        <is>
          <t>小指11</t>
        </is>
      </c>
      <c r="D1438" s="229" t="inlineStr">
        <is>
          <t>新倉</t>
        </is>
      </c>
      <c r="E1438" s="257" t="inlineStr">
        <is>
          <t>買</t>
        </is>
      </c>
      <c r="F1438" s="229" t="inlineStr">
        <is>
          <t>-</t>
        </is>
      </c>
      <c r="G1438" s="697" t="n">
        <v>1</v>
      </c>
      <c r="H1438" s="697" t="n">
        <v>9920</v>
      </c>
      <c r="I1438" s="697" t="n">
        <v>0</v>
      </c>
      <c r="J1438" s="585" t="n">
        <v>23</v>
      </c>
      <c r="K1438" s="585" t="n">
        <v>10</v>
      </c>
      <c r="L1438" s="585">
        <f>IF(B1438="TXO",I1438-SUM(J1438:K1438),IF(B1438="FITX",IF(D1438="新倉",-SUM(J1438:K1438),IF(E1438="賣",(H1438-H1437)*G1438*200-SUM(J1438:K1438),(H1437-H1438)*G1438*200-SUM(J1438:K1438))),IF(D1438="新倉",-SUM(J1438:K1438),IF(E1438="賣",(H1438-H1437)*G1438*50-SUM(J1438:K1438),(H1437-H1438)*G1438*50-SUM(J1438:K1438)))))</f>
        <v/>
      </c>
      <c r="M1438" s="699">
        <f>L1438</f>
        <v/>
      </c>
      <c r="N1438" s="686">
        <f>IF(B1438="TXO","",IF(D1438="新倉","",IF(E1438="賣",(H1438-H1437)*G1438,(H1437-H1438)*G1438)))</f>
        <v/>
      </c>
      <c r="O1438" s="226">
        <f>ABS(I1438)</f>
        <v/>
      </c>
      <c r="P1438" s="667" t="n"/>
      <c r="S1438" s="249" t="inlineStr">
        <is>
          <t>Yes</t>
        </is>
      </c>
      <c r="T1438" s="61">
        <f>IF(AND(R1438="Yes",S1438&lt;&gt;"Yes",L1438&gt;0,B1438&lt;&gt;"TXO"),L1438,"")</f>
        <v/>
      </c>
      <c r="U1438" s="61">
        <f>IF(AND(R1438="Yes",S1438&lt;&gt;"Yes",L1438&lt;0,B1438&lt;&gt;"TXO"),L1438,"")</f>
        <v/>
      </c>
      <c r="V1438" s="61">
        <f>IF(AND(R1438="",S1438&lt;&gt;"Yes",L1438&gt;0,B1438&lt;&gt;"TXO"),L1438,"")</f>
        <v/>
      </c>
      <c r="W1438" s="61">
        <f>IF(AND(R1438="",S1438&lt;&gt;"Yes",L1438&lt;0,B1438&lt;&gt;"TXO"),L1438,"")</f>
        <v/>
      </c>
      <c r="X1438" s="226">
        <f>IF(AND(R1438="Yes",S1438="Yes",L1438&gt;0,B1438&lt;&gt;"TXO"),L1438,"")</f>
        <v/>
      </c>
      <c r="Y1438" s="226">
        <f>IF(AND(R1438="Yes",S1438="Yes",L1438&lt;0,B1438&lt;&gt;"TXO"),L1438,"")</f>
        <v/>
      </c>
      <c r="Z1438" s="226">
        <f>IF(AND(R1438="",S1438="Yes",L1438&gt;0,B1438&lt;&gt;"TXO"),L1438,"")</f>
        <v/>
      </c>
      <c r="AA1438" s="226">
        <f>IF(AND(R1438="",S1438="Yes",L1438&lt;0,B1438&lt;&gt;"TXO"),L1438,"")</f>
        <v/>
      </c>
    </row>
    <row r="1439" hidden="1" outlineLevel="2" ht="17.25" customHeight="1" thickBot="1">
      <c r="A1439" s="696" t="n">
        <v>43392</v>
      </c>
      <c r="B1439" s="234" t="inlineStr">
        <is>
          <t>FIMTX</t>
        </is>
      </c>
      <c r="C1439" s="229" t="inlineStr">
        <is>
          <t>小指11</t>
        </is>
      </c>
      <c r="D1439" s="229" t="inlineStr">
        <is>
          <t>平倉</t>
        </is>
      </c>
      <c r="E1439" s="257" t="inlineStr">
        <is>
          <t>賣</t>
        </is>
      </c>
      <c r="F1439" s="229" t="inlineStr">
        <is>
          <t>-</t>
        </is>
      </c>
      <c r="G1439" s="697" t="n">
        <v>1</v>
      </c>
      <c r="H1439" s="697" t="n">
        <v>9909</v>
      </c>
      <c r="I1439" s="697" t="n">
        <v>0</v>
      </c>
      <c r="J1439" s="585" t="n">
        <v>23</v>
      </c>
      <c r="K1439" s="585" t="n">
        <v>10</v>
      </c>
      <c r="L1439" s="585">
        <f>IF(B1439="TXO",I1439-SUM(J1439:K1439),IF(B1439="FITX",IF(D1439="新倉",-SUM(J1439:K1439),IF(E1439="賣",(H1439-H1438)*G1439*200-SUM(J1439:K1439),(H1438-H1439)*G1439*200-SUM(J1439:K1439))),IF(D1439="新倉",-SUM(J1439:K1439),IF(E1439="賣",(H1439-H1438)*G1439*50-SUM(J1439:K1439),(H1438-H1439)*G1439*50-SUM(J1439:K1439)))))</f>
        <v/>
      </c>
      <c r="M1439" s="699">
        <f>L1439</f>
        <v/>
      </c>
      <c r="N1439" s="686">
        <f>IF(B1439="TXO","",IF(D1439="新倉","",IF(E1439="賣",(H1439-H1438)*G1439,(H1438-H1439)*G1439)))</f>
        <v/>
      </c>
      <c r="O1439" s="226">
        <f>ABS(I1439)</f>
        <v/>
      </c>
      <c r="P1439" s="667" t="n"/>
      <c r="S1439" s="249" t="inlineStr">
        <is>
          <t>Yes</t>
        </is>
      </c>
      <c r="T1439" s="61">
        <f>IF(AND(R1439="Yes",S1439&lt;&gt;"Yes",L1439&gt;0,B1439&lt;&gt;"TXO"),L1439,"")</f>
        <v/>
      </c>
      <c r="U1439" s="61">
        <f>IF(AND(R1439="Yes",S1439&lt;&gt;"Yes",L1439&lt;0,B1439&lt;&gt;"TXO"),L1439,"")</f>
        <v/>
      </c>
      <c r="V1439" s="61">
        <f>IF(AND(R1439="",S1439&lt;&gt;"Yes",L1439&gt;0,B1439&lt;&gt;"TXO"),L1439,"")</f>
        <v/>
      </c>
      <c r="W1439" s="61">
        <f>IF(AND(R1439="",S1439&lt;&gt;"Yes",L1439&lt;0,B1439&lt;&gt;"TXO"),L1439,"")</f>
        <v/>
      </c>
      <c r="X1439" s="226">
        <f>IF(AND(R1439="Yes",S1439="Yes",L1439&gt;0,B1439&lt;&gt;"TXO"),L1439,"")</f>
        <v/>
      </c>
      <c r="Y1439" s="226">
        <f>IF(AND(R1439="Yes",S1439="Yes",L1439&lt;0,B1439&lt;&gt;"TXO"),L1439,"")</f>
        <v/>
      </c>
      <c r="Z1439" s="226">
        <f>IF(AND(R1439="",S1439="Yes",L1439&gt;0,B1439&lt;&gt;"TXO"),L1439,"")</f>
        <v/>
      </c>
      <c r="AA1439" s="226">
        <f>IF(AND(R1439="",S1439="Yes",L1439&lt;0,B1439&lt;&gt;"TXO"),L1439,"")</f>
        <v/>
      </c>
    </row>
    <row r="1440" hidden="1" outlineLevel="2" ht="17.25" customHeight="1" thickBot="1">
      <c r="A1440" s="696" t="n">
        <v>43392</v>
      </c>
      <c r="B1440" s="234" t="inlineStr">
        <is>
          <t>FIMTX</t>
        </is>
      </c>
      <c r="C1440" s="229" t="inlineStr">
        <is>
          <t>小指11</t>
        </is>
      </c>
      <c r="D1440" s="229" t="inlineStr">
        <is>
          <t>新倉</t>
        </is>
      </c>
      <c r="E1440" s="257" t="inlineStr">
        <is>
          <t>買</t>
        </is>
      </c>
      <c r="F1440" s="229" t="inlineStr">
        <is>
          <t>-</t>
        </is>
      </c>
      <c r="G1440" s="697" t="n">
        <v>1</v>
      </c>
      <c r="H1440" s="697" t="n">
        <v>9919</v>
      </c>
      <c r="I1440" s="697" t="n">
        <v>0</v>
      </c>
      <c r="J1440" s="585" t="n">
        <v>23</v>
      </c>
      <c r="K1440" s="585" t="n">
        <v>10</v>
      </c>
      <c r="L1440" s="585">
        <f>IF(B1440="TXO",I1440-SUM(J1440:K1440),IF(B1440="FITX",IF(D1440="新倉",-SUM(J1440:K1440),IF(E1440="賣",(H1440-H1439)*G1440*200-SUM(J1440:K1440),(H1439-H1440)*G1440*200-SUM(J1440:K1440))),IF(D1440="新倉",-SUM(J1440:K1440),IF(E1440="賣",(H1440-H1439)*G1440*50-SUM(J1440:K1440),(H1439-H1440)*G1440*50-SUM(J1440:K1440)))))</f>
        <v/>
      </c>
      <c r="M1440" s="699">
        <f>L1440</f>
        <v/>
      </c>
      <c r="N1440" s="686">
        <f>IF(B1440="TXO","",IF(D1440="新倉","",IF(E1440="賣",(H1440-H1439)*G1440,(H1439-H1440)*G1440)))</f>
        <v/>
      </c>
      <c r="O1440" s="226">
        <f>ABS(I1440)</f>
        <v/>
      </c>
      <c r="P1440" s="667" t="n"/>
      <c r="S1440" s="249" t="inlineStr">
        <is>
          <t>Yes</t>
        </is>
      </c>
      <c r="T1440" s="61">
        <f>IF(AND(R1440="Yes",S1440&lt;&gt;"Yes",L1440&gt;0,B1440&lt;&gt;"TXO"),L1440,"")</f>
        <v/>
      </c>
      <c r="U1440" s="61">
        <f>IF(AND(R1440="Yes",S1440&lt;&gt;"Yes",L1440&lt;0,B1440&lt;&gt;"TXO"),L1440,"")</f>
        <v/>
      </c>
      <c r="V1440" s="61">
        <f>IF(AND(R1440="",S1440&lt;&gt;"Yes",L1440&gt;0,B1440&lt;&gt;"TXO"),L1440,"")</f>
        <v/>
      </c>
      <c r="W1440" s="61">
        <f>IF(AND(R1440="",S1440&lt;&gt;"Yes",L1440&lt;0,B1440&lt;&gt;"TXO"),L1440,"")</f>
        <v/>
      </c>
      <c r="X1440" s="226">
        <f>IF(AND(R1440="Yes",S1440="Yes",L1440&gt;0,B1440&lt;&gt;"TXO"),L1440,"")</f>
        <v/>
      </c>
      <c r="Y1440" s="226">
        <f>IF(AND(R1440="Yes",S1440="Yes",L1440&lt;0,B1440&lt;&gt;"TXO"),L1440,"")</f>
        <v/>
      </c>
      <c r="Z1440" s="226">
        <f>IF(AND(R1440="",S1440="Yes",L1440&gt;0,B1440&lt;&gt;"TXO"),L1440,"")</f>
        <v/>
      </c>
      <c r="AA1440" s="226">
        <f>IF(AND(R1440="",S1440="Yes",L1440&lt;0,B1440&lt;&gt;"TXO"),L1440,"")</f>
        <v/>
      </c>
    </row>
    <row r="1441" hidden="1" outlineLevel="2" ht="17.25" customHeight="1" thickBot="1">
      <c r="A1441" s="696" t="n">
        <v>43392</v>
      </c>
      <c r="B1441" s="234" t="inlineStr">
        <is>
          <t>FIMTX</t>
        </is>
      </c>
      <c r="C1441" s="229" t="inlineStr">
        <is>
          <t>小指11</t>
        </is>
      </c>
      <c r="D1441" s="229" t="inlineStr">
        <is>
          <t>平倉</t>
        </is>
      </c>
      <c r="E1441" s="257" t="inlineStr">
        <is>
          <t>賣</t>
        </is>
      </c>
      <c r="F1441" s="229" t="inlineStr">
        <is>
          <t>-</t>
        </is>
      </c>
      <c r="G1441" s="697" t="n">
        <v>1</v>
      </c>
      <c r="H1441" s="697" t="n">
        <v>9909</v>
      </c>
      <c r="I1441" s="697" t="n">
        <v>0</v>
      </c>
      <c r="J1441" s="585" t="n">
        <v>23</v>
      </c>
      <c r="K1441" s="585" t="n">
        <v>10</v>
      </c>
      <c r="L1441" s="585">
        <f>IF(B1441="TXO",I1441-SUM(J1441:K1441),IF(B1441="FITX",IF(D1441="新倉",-SUM(J1441:K1441),IF(E1441="賣",(H1441-H1440)*G1441*200-SUM(J1441:K1441),(H1440-H1441)*G1441*200-SUM(J1441:K1441))),IF(D1441="新倉",-SUM(J1441:K1441),IF(E1441="賣",(H1441-H1440)*G1441*50-SUM(J1441:K1441),(H1440-H1441)*G1441*50-SUM(J1441:K1441)))))</f>
        <v/>
      </c>
      <c r="M1441" s="699">
        <f>L1441</f>
        <v/>
      </c>
      <c r="N1441" s="686">
        <f>IF(B1441="TXO","",IF(D1441="新倉","",IF(E1441="賣",(H1441-H1440)*G1441,(H1440-H1441)*G1441)))</f>
        <v/>
      </c>
      <c r="O1441" s="226">
        <f>ABS(I1441)</f>
        <v/>
      </c>
      <c r="P1441" s="667" t="n"/>
      <c r="Q1441" s="311" t="n"/>
      <c r="S1441" s="249" t="inlineStr">
        <is>
          <t>Yes</t>
        </is>
      </c>
      <c r="T1441" s="61">
        <f>IF(AND(R1441="Yes",S1441&lt;&gt;"Yes",L1441&gt;0,B1441&lt;&gt;"TXO"),L1441,"")</f>
        <v/>
      </c>
      <c r="U1441" s="61">
        <f>IF(AND(R1441="Yes",S1441&lt;&gt;"Yes",L1441&lt;0,B1441&lt;&gt;"TXO"),L1441,"")</f>
        <v/>
      </c>
      <c r="V1441" s="61">
        <f>IF(AND(R1441="",S1441&lt;&gt;"Yes",L1441&gt;0,B1441&lt;&gt;"TXO"),L1441,"")</f>
        <v/>
      </c>
      <c r="W1441" s="61">
        <f>IF(AND(R1441="",S1441&lt;&gt;"Yes",L1441&lt;0,B1441&lt;&gt;"TXO"),L1441,"")</f>
        <v/>
      </c>
      <c r="X1441" s="226">
        <f>IF(AND(R1441="Yes",S1441="Yes",L1441&gt;0,B1441&lt;&gt;"TXO"),L1441,"")</f>
        <v/>
      </c>
      <c r="Y1441" s="226">
        <f>IF(AND(R1441="Yes",S1441="Yes",L1441&lt;0,B1441&lt;&gt;"TXO"),L1441,"")</f>
        <v/>
      </c>
      <c r="Z1441" s="226">
        <f>IF(AND(R1441="",S1441="Yes",L1441&gt;0,B1441&lt;&gt;"TXO"),L1441,"")</f>
        <v/>
      </c>
      <c r="AA1441" s="226">
        <f>IF(AND(R1441="",S1441="Yes",L1441&lt;0,B1441&lt;&gt;"TXO"),L1441,"")</f>
        <v/>
      </c>
    </row>
    <row r="1442" hidden="1" outlineLevel="2" ht="17.25" customHeight="1" thickBot="1">
      <c r="A1442" s="696" t="n">
        <v>43392</v>
      </c>
      <c r="B1442" s="234" t="inlineStr">
        <is>
          <t>FIMTX</t>
        </is>
      </c>
      <c r="C1442" s="229" t="inlineStr">
        <is>
          <t>小指11</t>
        </is>
      </c>
      <c r="D1442" s="229" t="inlineStr">
        <is>
          <t>新倉</t>
        </is>
      </c>
      <c r="E1442" s="257" t="inlineStr">
        <is>
          <t>買</t>
        </is>
      </c>
      <c r="F1442" s="229" t="inlineStr">
        <is>
          <t>-</t>
        </is>
      </c>
      <c r="G1442" s="697" t="n">
        <v>1</v>
      </c>
      <c r="H1442" s="697" t="n">
        <v>9916</v>
      </c>
      <c r="I1442" s="697" t="n">
        <v>0</v>
      </c>
      <c r="J1442" s="585" t="n">
        <v>23</v>
      </c>
      <c r="K1442" s="585" t="n">
        <v>10</v>
      </c>
      <c r="L1442" s="585">
        <f>IF(B1442="TXO",I1442-SUM(J1442:K1442),IF(B1442="FITX",IF(D1442="新倉",-SUM(J1442:K1442),IF(E1442="賣",(H1442-H1441)*G1442*200-SUM(J1442:K1442),(H1441-H1442)*G1442*200-SUM(J1442:K1442))),IF(D1442="新倉",-SUM(J1442:K1442),IF(E1442="賣",(H1442-H1441)*G1442*50-SUM(J1442:K1442),(H1441-H1442)*G1442*50-SUM(J1442:K1442)))))</f>
        <v/>
      </c>
      <c r="M1442" s="699">
        <f>L1442</f>
        <v/>
      </c>
      <c r="N1442" s="686">
        <f>IF(B1442="TXO","",IF(D1442="新倉","",IF(E1442="賣",(H1442-H1441)*G1442,(H1441-H1442)*G1442)))</f>
        <v/>
      </c>
      <c r="O1442" s="226">
        <f>ABS(I1442)</f>
        <v/>
      </c>
      <c r="P1442" s="667" t="n"/>
      <c r="S1442" s="249" t="inlineStr">
        <is>
          <t>Yes</t>
        </is>
      </c>
      <c r="T1442" s="61">
        <f>IF(AND(R1442="Yes",S1442&lt;&gt;"Yes",L1442&gt;0,B1442&lt;&gt;"TXO"),L1442,"")</f>
        <v/>
      </c>
      <c r="U1442" s="61">
        <f>IF(AND(R1442="Yes",S1442&lt;&gt;"Yes",L1442&lt;0,B1442&lt;&gt;"TXO"),L1442,"")</f>
        <v/>
      </c>
      <c r="V1442" s="61">
        <f>IF(AND(R1442="",S1442&lt;&gt;"Yes",L1442&gt;0,B1442&lt;&gt;"TXO"),L1442,"")</f>
        <v/>
      </c>
      <c r="W1442" s="61">
        <f>IF(AND(R1442="",S1442&lt;&gt;"Yes",L1442&lt;0,B1442&lt;&gt;"TXO"),L1442,"")</f>
        <v/>
      </c>
      <c r="X1442" s="226">
        <f>IF(AND(R1442="Yes",S1442="Yes",L1442&gt;0,B1442&lt;&gt;"TXO"),L1442,"")</f>
        <v/>
      </c>
      <c r="Y1442" s="226">
        <f>IF(AND(R1442="Yes",S1442="Yes",L1442&lt;0,B1442&lt;&gt;"TXO"),L1442,"")</f>
        <v/>
      </c>
      <c r="Z1442" s="226">
        <f>IF(AND(R1442="",S1442="Yes",L1442&gt;0,B1442&lt;&gt;"TXO"),L1442,"")</f>
        <v/>
      </c>
      <c r="AA1442" s="226">
        <f>IF(AND(R1442="",S1442="Yes",L1442&lt;0,B1442&lt;&gt;"TXO"),L1442,"")</f>
        <v/>
      </c>
    </row>
    <row r="1443" hidden="1" outlineLevel="2" ht="17.25" customHeight="1" thickBot="1">
      <c r="A1443" s="696" t="n">
        <v>43392</v>
      </c>
      <c r="B1443" s="234" t="inlineStr">
        <is>
          <t>FIMTX</t>
        </is>
      </c>
      <c r="C1443" s="229" t="inlineStr">
        <is>
          <t>小指11</t>
        </is>
      </c>
      <c r="D1443" s="229" t="inlineStr">
        <is>
          <t>平倉</t>
        </is>
      </c>
      <c r="E1443" s="257" t="inlineStr">
        <is>
          <t>賣</t>
        </is>
      </c>
      <c r="F1443" s="229" t="inlineStr">
        <is>
          <t>-</t>
        </is>
      </c>
      <c r="G1443" s="697" t="n">
        <v>1</v>
      </c>
      <c r="H1443" s="697" t="n">
        <v>9909</v>
      </c>
      <c r="I1443" s="697" t="n">
        <v>0</v>
      </c>
      <c r="J1443" s="585" t="n">
        <v>23</v>
      </c>
      <c r="K1443" s="585" t="n">
        <v>10</v>
      </c>
      <c r="L1443" s="585">
        <f>IF(B1443="TXO",I1443-SUM(J1443:K1443),IF(B1443="FITX",IF(D1443="新倉",-SUM(J1443:K1443),IF(E1443="賣",(H1443-H1442)*G1443*200-SUM(J1443:K1443),(H1442-H1443)*G1443*200-SUM(J1443:K1443))),IF(D1443="新倉",-SUM(J1443:K1443),IF(E1443="賣",(H1443-H1442)*G1443*50-SUM(J1443:K1443),(H1442-H1443)*G1443*50-SUM(J1443:K1443)))))</f>
        <v/>
      </c>
      <c r="M1443" s="699">
        <f>L1443</f>
        <v/>
      </c>
      <c r="N1443" s="686">
        <f>IF(B1443="TXO","",IF(D1443="新倉","",IF(E1443="賣",(H1443-H1442)*G1443,(H1442-H1443)*G1443)))</f>
        <v/>
      </c>
      <c r="O1443" s="226">
        <f>ABS(I1443)</f>
        <v/>
      </c>
      <c r="P1443" s="667" t="n"/>
      <c r="Q1443" s="311" t="n"/>
      <c r="S1443" s="249" t="inlineStr">
        <is>
          <t>Yes</t>
        </is>
      </c>
      <c r="T1443" s="61">
        <f>IF(AND(R1443="Yes",S1443&lt;&gt;"Yes",L1443&gt;0,B1443&lt;&gt;"TXO"),L1443,"")</f>
        <v/>
      </c>
      <c r="U1443" s="61">
        <f>IF(AND(R1443="Yes",S1443&lt;&gt;"Yes",L1443&lt;0,B1443&lt;&gt;"TXO"),L1443,"")</f>
        <v/>
      </c>
      <c r="V1443" s="61">
        <f>IF(AND(R1443="",S1443&lt;&gt;"Yes",L1443&gt;0,B1443&lt;&gt;"TXO"),L1443,"")</f>
        <v/>
      </c>
      <c r="W1443" s="61">
        <f>IF(AND(R1443="",S1443&lt;&gt;"Yes",L1443&lt;0,B1443&lt;&gt;"TXO"),L1443,"")</f>
        <v/>
      </c>
      <c r="X1443" s="226">
        <f>IF(AND(R1443="Yes",S1443="Yes",L1443&gt;0,B1443&lt;&gt;"TXO"),L1443,"")</f>
        <v/>
      </c>
      <c r="Y1443" s="226">
        <f>IF(AND(R1443="Yes",S1443="Yes",L1443&lt;0,B1443&lt;&gt;"TXO"),L1443,"")</f>
        <v/>
      </c>
      <c r="Z1443" s="226">
        <f>IF(AND(R1443="",S1443="Yes",L1443&gt;0,B1443&lt;&gt;"TXO"),L1443,"")</f>
        <v/>
      </c>
      <c r="AA1443" s="226">
        <f>IF(AND(R1443="",S1443="Yes",L1443&lt;0,B1443&lt;&gt;"TXO"),L1443,"")</f>
        <v/>
      </c>
    </row>
    <row r="1444" hidden="1" outlineLevel="2" ht="17.25" customHeight="1" thickBot="1">
      <c r="A1444" s="696" t="n">
        <v>43392</v>
      </c>
      <c r="B1444" s="234" t="inlineStr">
        <is>
          <t>FIMTX</t>
        </is>
      </c>
      <c r="C1444" s="229" t="inlineStr">
        <is>
          <t>小指11</t>
        </is>
      </c>
      <c r="D1444" s="229" t="inlineStr">
        <is>
          <t>新倉</t>
        </is>
      </c>
      <c r="E1444" s="257" t="inlineStr">
        <is>
          <t>賣</t>
        </is>
      </c>
      <c r="F1444" s="229" t="inlineStr">
        <is>
          <t>-</t>
        </is>
      </c>
      <c r="G1444" s="697" t="n">
        <v>3</v>
      </c>
      <c r="H1444" s="697" t="n">
        <v>9895</v>
      </c>
      <c r="I1444" s="697" t="n">
        <v>0</v>
      </c>
      <c r="J1444" s="585" t="n">
        <v>69</v>
      </c>
      <c r="K1444" s="585" t="n">
        <v>30</v>
      </c>
      <c r="L1444" s="585">
        <f>IF(B1444="TXO",I1444-SUM(J1444:K1444),IF(B1444="FITX",IF(D1444="新倉",-SUM(J1444:K1444),IF(E1444="賣",(H1444-H1443)*G1444*200-SUM(J1444:K1444),(H1443-H1444)*G1444*200-SUM(J1444:K1444))),IF(D1444="新倉",-SUM(J1444:K1444),IF(E1444="賣",(H1444-H1443)*G1444*50-SUM(J1444:K1444),(H1443-H1444)*G1444*50-SUM(J1444:K1444)))))</f>
        <v/>
      </c>
      <c r="M1444" s="699">
        <f>L1444</f>
        <v/>
      </c>
      <c r="N1444" s="686">
        <f>IF(B1444="TXO","",IF(D1444="新倉","",IF(E1444="賣",(H1444-H1443)*G1444,(H1443-H1444)*G1444)))</f>
        <v/>
      </c>
      <c r="O1444" s="226">
        <f>ABS(I1444)</f>
        <v/>
      </c>
      <c r="P1444" s="667" t="n"/>
      <c r="S1444" s="249" t="inlineStr">
        <is>
          <t>Yes</t>
        </is>
      </c>
      <c r="T1444" s="61">
        <f>IF(AND(R1444="Yes",S1444&lt;&gt;"Yes",L1444&gt;0,B1444&lt;&gt;"TXO"),L1444,"")</f>
        <v/>
      </c>
      <c r="U1444" s="61">
        <f>IF(AND(R1444="Yes",S1444&lt;&gt;"Yes",L1444&lt;0,B1444&lt;&gt;"TXO"),L1444,"")</f>
        <v/>
      </c>
      <c r="V1444" s="61">
        <f>IF(AND(R1444="",S1444&lt;&gt;"Yes",L1444&gt;0,B1444&lt;&gt;"TXO"),L1444,"")</f>
        <v/>
      </c>
      <c r="W1444" s="61">
        <f>IF(AND(R1444="",S1444&lt;&gt;"Yes",L1444&lt;0,B1444&lt;&gt;"TXO"),L1444,"")</f>
        <v/>
      </c>
      <c r="X1444" s="226">
        <f>IF(AND(R1444="Yes",S1444="Yes",L1444&gt;0,B1444&lt;&gt;"TXO"),L1444,"")</f>
        <v/>
      </c>
      <c r="Y1444" s="226">
        <f>IF(AND(R1444="Yes",S1444="Yes",L1444&lt;0,B1444&lt;&gt;"TXO"),L1444,"")</f>
        <v/>
      </c>
      <c r="Z1444" s="226">
        <f>IF(AND(R1444="",S1444="Yes",L1444&gt;0,B1444&lt;&gt;"TXO"),L1444,"")</f>
        <v/>
      </c>
      <c r="AA1444" s="226">
        <f>IF(AND(R1444="",S1444="Yes",L1444&lt;0,B1444&lt;&gt;"TXO"),L1444,"")</f>
        <v/>
      </c>
    </row>
    <row r="1445" hidden="1" outlineLevel="2" ht="17.25" customHeight="1" thickBot="1">
      <c r="A1445" s="696" t="n">
        <v>43392</v>
      </c>
      <c r="B1445" s="234" t="inlineStr">
        <is>
          <t>FIMTX</t>
        </is>
      </c>
      <c r="C1445" s="229" t="inlineStr">
        <is>
          <t>小指11</t>
        </is>
      </c>
      <c r="D1445" s="229" t="inlineStr">
        <is>
          <t>平倉</t>
        </is>
      </c>
      <c r="E1445" s="257" t="inlineStr">
        <is>
          <t>買</t>
        </is>
      </c>
      <c r="F1445" s="229" t="inlineStr">
        <is>
          <t>-</t>
        </is>
      </c>
      <c r="G1445" s="697" t="n">
        <v>3</v>
      </c>
      <c r="H1445" s="697" t="n">
        <v>9876</v>
      </c>
      <c r="I1445" s="697" t="n">
        <v>0</v>
      </c>
      <c r="J1445" s="585" t="n">
        <v>69</v>
      </c>
      <c r="K1445" s="585" t="n">
        <v>30</v>
      </c>
      <c r="L1445" s="585">
        <f>IF(B1445="TXO",I1445-SUM(J1445:K1445),IF(B1445="FITX",IF(D1445="新倉",-SUM(J1445:K1445),IF(E1445="賣",(H1445-H1444)*G1445*200-SUM(J1445:K1445),(H1444-H1445)*G1445*200-SUM(J1445:K1445))),IF(D1445="新倉",-SUM(J1445:K1445),IF(E1445="賣",(H1445-H1444)*G1445*50-SUM(J1445:K1445),(H1444-H1445)*G1445*50-SUM(J1445:K1445)))))</f>
        <v/>
      </c>
      <c r="M1445" s="699">
        <f>L1445</f>
        <v/>
      </c>
      <c r="N1445" s="686">
        <f>IF(B1445="TXO","",IF(D1445="新倉","",IF(E1445="賣",(H1445-H1444)*G1445,(H1444-H1445)*G1445)))</f>
        <v/>
      </c>
      <c r="O1445" s="226">
        <f>ABS(I1445)</f>
        <v/>
      </c>
      <c r="P1445" s="667" t="n"/>
      <c r="S1445" s="249" t="inlineStr">
        <is>
          <t>Yes</t>
        </is>
      </c>
      <c r="T1445" s="61">
        <f>IF(AND(R1445="Yes",S1445&lt;&gt;"Yes",L1445&gt;0,B1445&lt;&gt;"TXO"),L1445,"")</f>
        <v/>
      </c>
      <c r="U1445" s="61">
        <f>IF(AND(R1445="Yes",S1445&lt;&gt;"Yes",L1445&lt;0,B1445&lt;&gt;"TXO"),L1445,"")</f>
        <v/>
      </c>
      <c r="V1445" s="61">
        <f>IF(AND(R1445="",S1445&lt;&gt;"Yes",L1445&gt;0,B1445&lt;&gt;"TXO"),L1445,"")</f>
        <v/>
      </c>
      <c r="W1445" s="61">
        <f>IF(AND(R1445="",S1445&lt;&gt;"Yes",L1445&lt;0,B1445&lt;&gt;"TXO"),L1445,"")</f>
        <v/>
      </c>
      <c r="X1445" s="226">
        <f>IF(AND(R1445="Yes",S1445="Yes",L1445&gt;0,B1445&lt;&gt;"TXO"),L1445,"")</f>
        <v/>
      </c>
      <c r="Y1445" s="226">
        <f>IF(AND(R1445="Yes",S1445="Yes",L1445&lt;0,B1445&lt;&gt;"TXO"),L1445,"")</f>
        <v/>
      </c>
      <c r="Z1445" s="226">
        <f>IF(AND(R1445="",S1445="Yes",L1445&gt;0,B1445&lt;&gt;"TXO"),L1445,"")</f>
        <v/>
      </c>
      <c r="AA1445" s="226">
        <f>IF(AND(R1445="",S1445="Yes",L1445&lt;0,B1445&lt;&gt;"TXO"),L1445,"")</f>
        <v/>
      </c>
    </row>
    <row r="1446" hidden="1" outlineLevel="2" ht="17.25" customHeight="1" thickBot="1">
      <c r="A1446" s="696" t="n">
        <v>43392</v>
      </c>
      <c r="B1446" s="234" t="inlineStr">
        <is>
          <t>FIMTX</t>
        </is>
      </c>
      <c r="C1446" s="229" t="inlineStr">
        <is>
          <t>小指11</t>
        </is>
      </c>
      <c r="D1446" s="229" t="inlineStr">
        <is>
          <t>新倉</t>
        </is>
      </c>
      <c r="E1446" s="257" t="inlineStr">
        <is>
          <t>賣</t>
        </is>
      </c>
      <c r="F1446" s="229" t="inlineStr">
        <is>
          <t>-</t>
        </is>
      </c>
      <c r="G1446" s="697" t="n">
        <v>2</v>
      </c>
      <c r="H1446" s="697" t="n">
        <v>9886</v>
      </c>
      <c r="I1446" s="697" t="n">
        <v>0</v>
      </c>
      <c r="J1446" s="585" t="n">
        <v>46</v>
      </c>
      <c r="K1446" s="585" t="n">
        <v>20</v>
      </c>
      <c r="L1446" s="585">
        <f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/>
      </c>
      <c r="M1446" s="699">
        <f>L1446</f>
        <v/>
      </c>
      <c r="N1446" s="686">
        <f>IF(B1446="TXO","",IF(D1446="新倉","",IF(E1446="賣",(H1446-H1445)*G1446,(H1445-H1446)*G1446)))</f>
        <v/>
      </c>
      <c r="O1446" s="226">
        <f>ABS(I1446)</f>
        <v/>
      </c>
      <c r="P1446" s="667" t="n"/>
      <c r="S1446" s="249" t="inlineStr">
        <is>
          <t>Yes</t>
        </is>
      </c>
      <c r="T1446" s="61">
        <f>IF(AND(R1446="Yes",S1446&lt;&gt;"Yes",L1446&gt;0,B1446&lt;&gt;"TXO"),L1446,"")</f>
        <v/>
      </c>
      <c r="U1446" s="61">
        <f>IF(AND(R1446="Yes",S1446&lt;&gt;"Yes",L1446&lt;0,B1446&lt;&gt;"TXO"),L1446,"")</f>
        <v/>
      </c>
      <c r="V1446" s="61">
        <f>IF(AND(R1446="",S1446&lt;&gt;"Yes",L1446&gt;0,B1446&lt;&gt;"TXO"),L1446,"")</f>
        <v/>
      </c>
      <c r="W1446" s="61">
        <f>IF(AND(R1446="",S1446&lt;&gt;"Yes",L1446&lt;0,B1446&lt;&gt;"TXO"),L1446,"")</f>
        <v/>
      </c>
      <c r="X1446" s="226">
        <f>IF(AND(R1446="Yes",S1446="Yes",L1446&gt;0,B1446&lt;&gt;"TXO"),L1446,"")</f>
        <v/>
      </c>
      <c r="Y1446" s="226">
        <f>IF(AND(R1446="Yes",S1446="Yes",L1446&lt;0,B1446&lt;&gt;"TXO"),L1446,"")</f>
        <v/>
      </c>
      <c r="Z1446" s="226">
        <f>IF(AND(R1446="",S1446="Yes",L1446&gt;0,B1446&lt;&gt;"TXO"),L1446,"")</f>
        <v/>
      </c>
      <c r="AA1446" s="226">
        <f>IF(AND(R1446="",S1446="Yes",L1446&lt;0,B1446&lt;&gt;"TXO"),L1446,"")</f>
        <v/>
      </c>
    </row>
    <row r="1447" hidden="1" outlineLevel="2" ht="17.25" customHeight="1" thickBot="1">
      <c r="A1447" s="696" t="n">
        <v>43392</v>
      </c>
      <c r="B1447" s="234" t="inlineStr">
        <is>
          <t>FIMTX</t>
        </is>
      </c>
      <c r="C1447" s="229" t="inlineStr">
        <is>
          <t>小指11</t>
        </is>
      </c>
      <c r="D1447" s="229" t="inlineStr">
        <is>
          <t>平倉</t>
        </is>
      </c>
      <c r="E1447" s="257" t="inlineStr">
        <is>
          <t>買</t>
        </is>
      </c>
      <c r="F1447" s="229" t="inlineStr">
        <is>
          <t>-</t>
        </is>
      </c>
      <c r="G1447" s="697" t="n">
        <v>2</v>
      </c>
      <c r="H1447" s="697" t="n">
        <v>9871</v>
      </c>
      <c r="I1447" s="697" t="n">
        <v>0</v>
      </c>
      <c r="J1447" s="585" t="n">
        <v>46</v>
      </c>
      <c r="K1447" s="585" t="n">
        <v>20</v>
      </c>
      <c r="L1447" s="585">
        <f>IF(B1447="TXO",I1447-SUM(J1447:K1447),IF(B1447="FITX",IF(D1447="新倉",-SUM(J1447:K1447),IF(E1447="賣",(H1447-H1446)*G1447*200-SUM(J1447:K1447),(H1446-H1447)*G1447*200-SUM(J1447:K1447))),IF(D1447="新倉",-SUM(J1447:K1447),IF(E1447="賣",(H1447-H1446)*G1447*50-SUM(J1447:K1447),(H1446-H1447)*G1447*50-SUM(J1447:K1447)))))</f>
        <v/>
      </c>
      <c r="M1447" s="699">
        <f>L1447</f>
        <v/>
      </c>
      <c r="N1447" s="686">
        <f>IF(B1447="TXO","",IF(D1447="新倉","",IF(E1447="賣",(H1447-H1446)*G1447,(H1446-H1447)*G1447)))</f>
        <v/>
      </c>
      <c r="O1447" s="226">
        <f>ABS(I1447)</f>
        <v/>
      </c>
      <c r="P1447" s="667" t="n"/>
      <c r="S1447" s="249" t="inlineStr">
        <is>
          <t>Yes</t>
        </is>
      </c>
      <c r="T1447" s="61">
        <f>IF(AND(R1447="Yes",S1447&lt;&gt;"Yes",L1447&gt;0,B1447&lt;&gt;"TXO"),L1447,"")</f>
        <v/>
      </c>
      <c r="U1447" s="61">
        <f>IF(AND(R1447="Yes",S1447&lt;&gt;"Yes",L1447&lt;0,B1447&lt;&gt;"TXO"),L1447,"")</f>
        <v/>
      </c>
      <c r="V1447" s="61">
        <f>IF(AND(R1447="",S1447&lt;&gt;"Yes",L1447&gt;0,B1447&lt;&gt;"TXO"),L1447,"")</f>
        <v/>
      </c>
      <c r="W1447" s="61">
        <f>IF(AND(R1447="",S1447&lt;&gt;"Yes",L1447&lt;0,B1447&lt;&gt;"TXO"),L1447,"")</f>
        <v/>
      </c>
      <c r="X1447" s="226">
        <f>IF(AND(R1447="Yes",S1447="Yes",L1447&gt;0,B1447&lt;&gt;"TXO"),L1447,"")</f>
        <v/>
      </c>
      <c r="Y1447" s="226">
        <f>IF(AND(R1447="Yes",S1447="Yes",L1447&lt;0,B1447&lt;&gt;"TXO"),L1447,"")</f>
        <v/>
      </c>
      <c r="Z1447" s="226">
        <f>IF(AND(R1447="",S1447="Yes",L1447&gt;0,B1447&lt;&gt;"TXO"),L1447,"")</f>
        <v/>
      </c>
      <c r="AA1447" s="226">
        <f>IF(AND(R1447="",S1447="Yes",L1447&lt;0,B1447&lt;&gt;"TXO"),L1447,"")</f>
        <v/>
      </c>
    </row>
    <row r="1448" hidden="1" outlineLevel="2" ht="17.25" customHeight="1" thickBot="1">
      <c r="A1448" s="696" t="n">
        <v>43392</v>
      </c>
      <c r="B1448" s="234" t="inlineStr">
        <is>
          <t>FIMTX</t>
        </is>
      </c>
      <c r="C1448" s="229" t="inlineStr">
        <is>
          <t>小指11</t>
        </is>
      </c>
      <c r="D1448" s="229" t="inlineStr">
        <is>
          <t>新倉</t>
        </is>
      </c>
      <c r="E1448" s="257" t="inlineStr">
        <is>
          <t>賣</t>
        </is>
      </c>
      <c r="F1448" s="229" t="inlineStr">
        <is>
          <t>-</t>
        </is>
      </c>
      <c r="G1448" s="697" t="n">
        <v>1</v>
      </c>
      <c r="H1448" s="697" t="n">
        <v>9899</v>
      </c>
      <c r="I1448" s="697" t="n">
        <v>0</v>
      </c>
      <c r="J1448" s="585" t="n">
        <v>23</v>
      </c>
      <c r="K1448" s="585" t="n">
        <v>10</v>
      </c>
      <c r="L1448" s="585">
        <f>IF(B1448="TXO",I1448-SUM(J1448:K1448),IF(B1448="FITX",IF(D1448="新倉",-SUM(J1448:K1448),IF(E1448="賣",(H1448-H1447)*G1448*200-SUM(J1448:K1448),(H1447-H1448)*G1448*200-SUM(J1448:K1448))),IF(D1448="新倉",-SUM(J1448:K1448),IF(E1448="賣",(H1448-H1447)*G1448*50-SUM(J1448:K1448),(H1447-H1448)*G1448*50-SUM(J1448:K1448)))))</f>
        <v/>
      </c>
      <c r="M1448" s="699">
        <f>L1448</f>
        <v/>
      </c>
      <c r="N1448" s="686">
        <f>IF(B1448="TXO","",IF(D1448="新倉","",IF(E1448="賣",(H1448-H1447)*G1448,(H1447-H1448)*G1448)))</f>
        <v/>
      </c>
      <c r="O1448" s="226">
        <f>ABS(I1448)</f>
        <v/>
      </c>
      <c r="P1448" s="667" t="n"/>
      <c r="S1448" s="249" t="inlineStr">
        <is>
          <t>Yes</t>
        </is>
      </c>
      <c r="T1448" s="61">
        <f>IF(AND(R1448="Yes",S1448&lt;&gt;"Yes",L1448&gt;0,B1448&lt;&gt;"TXO"),L1448,"")</f>
        <v/>
      </c>
      <c r="U1448" s="61">
        <f>IF(AND(R1448="Yes",S1448&lt;&gt;"Yes",L1448&lt;0,B1448&lt;&gt;"TXO"),L1448,"")</f>
        <v/>
      </c>
      <c r="V1448" s="61">
        <f>IF(AND(R1448="",S1448&lt;&gt;"Yes",L1448&gt;0,B1448&lt;&gt;"TXO"),L1448,"")</f>
        <v/>
      </c>
      <c r="W1448" s="61">
        <f>IF(AND(R1448="",S1448&lt;&gt;"Yes",L1448&lt;0,B1448&lt;&gt;"TXO"),L1448,"")</f>
        <v/>
      </c>
      <c r="X1448" s="226">
        <f>IF(AND(R1448="Yes",S1448="Yes",L1448&gt;0,B1448&lt;&gt;"TXO"),L1448,"")</f>
        <v/>
      </c>
      <c r="Y1448" s="226">
        <f>IF(AND(R1448="Yes",S1448="Yes",L1448&lt;0,B1448&lt;&gt;"TXO"),L1448,"")</f>
        <v/>
      </c>
      <c r="Z1448" s="226">
        <f>IF(AND(R1448="",S1448="Yes",L1448&gt;0,B1448&lt;&gt;"TXO"),L1448,"")</f>
        <v/>
      </c>
      <c r="AA1448" s="226">
        <f>IF(AND(R1448="",S1448="Yes",L1448&lt;0,B1448&lt;&gt;"TXO"),L1448,"")</f>
        <v/>
      </c>
    </row>
    <row r="1449" hidden="1" outlineLevel="2" ht="17.25" customHeight="1" thickBot="1">
      <c r="A1449" s="696" t="n">
        <v>43392</v>
      </c>
      <c r="B1449" s="234" t="inlineStr">
        <is>
          <t>FIMTX</t>
        </is>
      </c>
      <c r="C1449" s="229" t="inlineStr">
        <is>
          <t>小指11</t>
        </is>
      </c>
      <c r="D1449" s="229" t="inlineStr">
        <is>
          <t>平倉</t>
        </is>
      </c>
      <c r="E1449" s="257" t="inlineStr">
        <is>
          <t>買</t>
        </is>
      </c>
      <c r="F1449" s="229" t="inlineStr">
        <is>
          <t>-</t>
        </is>
      </c>
      <c r="G1449" s="697" t="n">
        <v>1</v>
      </c>
      <c r="H1449" s="697" t="n">
        <v>9872</v>
      </c>
      <c r="I1449" s="697" t="n">
        <v>0</v>
      </c>
      <c r="J1449" s="585" t="n">
        <v>23</v>
      </c>
      <c r="K1449" s="585" t="n">
        <v>10</v>
      </c>
      <c r="L1449" s="585">
        <f>IF(B1449="TXO",I1449-SUM(J1449:K1449),IF(B1449="FITX",IF(D1449="新倉",-SUM(J1449:K1449),IF(E1449="賣",(H1449-H1448)*G1449*200-SUM(J1449:K1449),(H1448-H1449)*G1449*200-SUM(J1449:K1449))),IF(D1449="新倉",-SUM(J1449:K1449),IF(E1449="賣",(H1449-H1448)*G1449*50-SUM(J1449:K1449),(H1448-H1449)*G1449*50-SUM(J1449:K1449)))))</f>
        <v/>
      </c>
      <c r="M1449" s="699">
        <f>L1449</f>
        <v/>
      </c>
      <c r="N1449" s="686">
        <f>IF(B1449="TXO","",IF(D1449="新倉","",IF(E1449="賣",(H1449-H1448)*G1449,(H1448-H1449)*G1449)))</f>
        <v/>
      </c>
      <c r="O1449" s="226">
        <f>ABS(I1449)</f>
        <v/>
      </c>
      <c r="P1449" s="667" t="n"/>
      <c r="S1449" s="249" t="inlineStr">
        <is>
          <t>Yes</t>
        </is>
      </c>
      <c r="T1449" s="61">
        <f>IF(AND(R1449="Yes",S1449&lt;&gt;"Yes",L1449&gt;0,B1449&lt;&gt;"TXO"),L1449,"")</f>
        <v/>
      </c>
      <c r="U1449" s="61">
        <f>IF(AND(R1449="Yes",S1449&lt;&gt;"Yes",L1449&lt;0,B1449&lt;&gt;"TXO"),L1449,"")</f>
        <v/>
      </c>
      <c r="V1449" s="61">
        <f>IF(AND(R1449="",S1449&lt;&gt;"Yes",L1449&gt;0,B1449&lt;&gt;"TXO"),L1449,"")</f>
        <v/>
      </c>
      <c r="W1449" s="61">
        <f>IF(AND(R1449="",S1449&lt;&gt;"Yes",L1449&lt;0,B1449&lt;&gt;"TXO"),L1449,"")</f>
        <v/>
      </c>
      <c r="X1449" s="226">
        <f>IF(AND(R1449="Yes",S1449="Yes",L1449&gt;0,B1449&lt;&gt;"TXO"),L1449,"")</f>
        <v/>
      </c>
      <c r="Y1449" s="226">
        <f>IF(AND(R1449="Yes",S1449="Yes",L1449&lt;0,B1449&lt;&gt;"TXO"),L1449,"")</f>
        <v/>
      </c>
      <c r="Z1449" s="226">
        <f>IF(AND(R1449="",S1449="Yes",L1449&gt;0,B1449&lt;&gt;"TXO"),L1449,"")</f>
        <v/>
      </c>
      <c r="AA1449" s="226">
        <f>IF(AND(R1449="",S1449="Yes",L1449&lt;0,B1449&lt;&gt;"TXO"),L1449,"")</f>
        <v/>
      </c>
    </row>
    <row r="1450" hidden="1" outlineLevel="1" ht="17.25" customHeight="1" thickBot="1">
      <c r="A1450" s="740" t="n">
        <v>43395</v>
      </c>
      <c r="B1450" s="299" t="inlineStr">
        <is>
          <t>FIMTX</t>
        </is>
      </c>
      <c r="C1450" s="300" t="inlineStr">
        <is>
          <t>小指11</t>
        </is>
      </c>
      <c r="D1450" s="300" t="inlineStr">
        <is>
          <t>新倉</t>
        </is>
      </c>
      <c r="E1450" s="301" t="inlineStr">
        <is>
          <t>買</t>
        </is>
      </c>
      <c r="F1450" s="300" t="inlineStr">
        <is>
          <t>-</t>
        </is>
      </c>
      <c r="G1450" s="741" t="n">
        <v>1</v>
      </c>
      <c r="H1450" s="741" t="n">
        <v>9949</v>
      </c>
      <c r="I1450" s="741" t="n">
        <v>0</v>
      </c>
      <c r="J1450" s="742" t="n">
        <v>23</v>
      </c>
      <c r="K1450" s="742" t="n">
        <v>10</v>
      </c>
      <c r="L1450" s="742">
        <f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/>
      </c>
      <c r="M1450" s="743">
        <f>L1450</f>
        <v/>
      </c>
      <c r="N1450" s="686">
        <f>IF(B1450="TXO","",IF(D1450="新倉","",IF(E1450="賣",(H1450-H1449)*G1450,(H1449-H1450)*G1450)))</f>
        <v/>
      </c>
      <c r="O1450" s="226">
        <f>ABS(I1450)</f>
        <v/>
      </c>
      <c r="P1450" s="667">
        <f>SUM(L1450:L1487)</f>
        <v/>
      </c>
      <c r="Q1450" s="315" t="inlineStr">
        <is>
          <t>技法: 3/3 買進三口</t>
        </is>
      </c>
      <c r="R1450" s="249" t="inlineStr">
        <is>
          <t>Yes</t>
        </is>
      </c>
      <c r="S1450" s="249" t="n"/>
      <c r="T1450" s="61">
        <f>IF(AND(R1450="Yes",S1450&lt;&gt;"Yes",L1450&gt;0,B1450&lt;&gt;"TXO"),L1450,"")</f>
        <v/>
      </c>
      <c r="U1450" s="61">
        <f>IF(AND(R1450="Yes",S1450&lt;&gt;"Yes",L1450&lt;0,B1450&lt;&gt;"TXO"),L1450,"")</f>
        <v/>
      </c>
      <c r="V1450" s="61">
        <f>IF(AND(R1450="",S1450&lt;&gt;"Yes",L1450&gt;0,B1450&lt;&gt;"TXO"),L1450,"")</f>
        <v/>
      </c>
      <c r="W1450" s="61">
        <f>IF(AND(R1450="",S1450&lt;&gt;"Yes",L1450&lt;0,B1450&lt;&gt;"TXO"),L1450,"")</f>
        <v/>
      </c>
      <c r="X1450" s="226">
        <f>IF(AND(R1450="Yes",S1450="Yes",L1450&gt;0,B1450&lt;&gt;"TXO"),L1450,"")</f>
        <v/>
      </c>
      <c r="Y1450" s="226">
        <f>IF(AND(R1450="Yes",S1450="Yes",L1450&lt;0,B1450&lt;&gt;"TXO"),L1450,"")</f>
        <v/>
      </c>
      <c r="Z1450" s="226">
        <f>IF(AND(R1450="",S1450="Yes",L1450&gt;0,B1450&lt;&gt;"TXO"),L1450,"")</f>
        <v/>
      </c>
      <c r="AA1450" s="226">
        <f>IF(AND(R1450="",S1450="Yes",L1450&lt;0,B1450&lt;&gt;"TXO"),L1450,"")</f>
        <v/>
      </c>
    </row>
    <row r="1451" hidden="1" outlineLevel="2" collapsed="1" ht="17.25" customHeight="1" thickBot="1">
      <c r="A1451" s="740" t="n">
        <v>43395</v>
      </c>
      <c r="B1451" s="299" t="inlineStr">
        <is>
          <t>FIMTX</t>
        </is>
      </c>
      <c r="C1451" s="300" t="inlineStr">
        <is>
          <t>小指11</t>
        </is>
      </c>
      <c r="D1451" s="300" t="inlineStr">
        <is>
          <t>平倉</t>
        </is>
      </c>
      <c r="E1451" s="301" t="inlineStr">
        <is>
          <t>賣</t>
        </is>
      </c>
      <c r="F1451" s="300" t="inlineStr">
        <is>
          <t>-</t>
        </is>
      </c>
      <c r="G1451" s="741" t="n">
        <v>1</v>
      </c>
      <c r="H1451" s="741" t="n">
        <v>9952</v>
      </c>
      <c r="I1451" s="741" t="n">
        <v>0</v>
      </c>
      <c r="J1451" s="742" t="n">
        <v>23</v>
      </c>
      <c r="K1451" s="742" t="n">
        <v>10</v>
      </c>
      <c r="L1451" s="742">
        <f>IF(B1451="TXO",I1451-SUM(J1451:K1451),IF(B1451="FITX",IF(D1451="新倉",-SUM(J1451:K1451),IF(E1451="賣",(H1451-H1450)*G1451*200-SUM(J1451:K1451),(H1450-H1451)*G1451*200-SUM(J1451:K1451))),IF(D1451="新倉",-SUM(J1451:K1451),IF(E1451="賣",(H1451-H1450)*G1451*50-SUM(J1451:K1451),(H1450-H1451)*G1451*50-SUM(J1451:K1451)))))</f>
        <v/>
      </c>
      <c r="M1451" s="743">
        <f>L1451</f>
        <v/>
      </c>
      <c r="N1451" s="686">
        <f>IF(B1451="TXO","",IF(D1451="新倉","",IF(E1451="賣",(H1451-H1450)*G1451,(H1450-H1451)*G1451)))</f>
        <v/>
      </c>
      <c r="O1451" s="226">
        <f>ABS(I1451)</f>
        <v/>
      </c>
      <c r="P1451" s="667" t="n"/>
      <c r="Q1451" s="315" t="n"/>
      <c r="R1451" s="249" t="inlineStr">
        <is>
          <t>Yes</t>
        </is>
      </c>
      <c r="S1451" s="249" t="n"/>
      <c r="T1451" s="61">
        <f>IF(AND(R1451="Yes",S1451&lt;&gt;"Yes",L1451&gt;0,B1451&lt;&gt;"TXO"),L1451,"")</f>
        <v/>
      </c>
      <c r="U1451" s="61">
        <f>IF(AND(R1451="Yes",S1451&lt;&gt;"Yes",L1451&lt;0,B1451&lt;&gt;"TXO"),L1451,"")</f>
        <v/>
      </c>
      <c r="V1451" s="61">
        <f>IF(AND(R1451="",S1451&lt;&gt;"Yes",L1451&gt;0,B1451&lt;&gt;"TXO"),L1451,"")</f>
        <v/>
      </c>
      <c r="W1451" s="61">
        <f>IF(AND(R1451="",S1451&lt;&gt;"Yes",L1451&lt;0,B1451&lt;&gt;"TXO"),L1451,"")</f>
        <v/>
      </c>
      <c r="X1451" s="226">
        <f>IF(AND(R1451="Yes",S1451="Yes",L1451&gt;0,B1451&lt;&gt;"TXO"),L1451,"")</f>
        <v/>
      </c>
      <c r="Y1451" s="226">
        <f>IF(AND(R1451="Yes",S1451="Yes",L1451&lt;0,B1451&lt;&gt;"TXO"),L1451,"")</f>
        <v/>
      </c>
      <c r="Z1451" s="226">
        <f>IF(AND(R1451="",S1451="Yes",L1451&gt;0,B1451&lt;&gt;"TXO"),L1451,"")</f>
        <v/>
      </c>
      <c r="AA1451" s="226">
        <f>IF(AND(R1451="",S1451="Yes",L1451&lt;0,B1451&lt;&gt;"TXO"),L1451,"")</f>
        <v/>
      </c>
    </row>
    <row r="1452" hidden="1" outlineLevel="2" collapsed="1" ht="17.25" customHeight="1" thickBot="1">
      <c r="A1452" s="740" t="n">
        <v>43395</v>
      </c>
      <c r="B1452" s="299" t="inlineStr">
        <is>
          <t>FIMTX</t>
        </is>
      </c>
      <c r="C1452" s="300" t="inlineStr">
        <is>
          <t>小指11</t>
        </is>
      </c>
      <c r="D1452" s="300" t="inlineStr">
        <is>
          <t>新倉</t>
        </is>
      </c>
      <c r="E1452" s="301" t="inlineStr">
        <is>
          <t>買</t>
        </is>
      </c>
      <c r="F1452" s="300" t="inlineStr">
        <is>
          <t>-</t>
        </is>
      </c>
      <c r="G1452" s="741" t="n">
        <v>1</v>
      </c>
      <c r="H1452" s="741" t="n">
        <v>9949</v>
      </c>
      <c r="I1452" s="741" t="n">
        <v>0</v>
      </c>
      <c r="J1452" s="742" t="n">
        <v>23</v>
      </c>
      <c r="K1452" s="742" t="n">
        <v>10</v>
      </c>
      <c r="L1452" s="742">
        <f>IF(B1452="TXO",I1452-SUM(J1452:K1452),IF(B1452="FITX",IF(D1452="新倉",-SUM(J1452:K1452),IF(E1452="賣",(H1452-H1451)*G1452*200-SUM(J1452:K1452),(H1451-H1452)*G1452*200-SUM(J1452:K1452))),IF(D1452="新倉",-SUM(J1452:K1452),IF(E1452="賣",(H1452-H1451)*G1452*50-SUM(J1452:K1452),(H1451-H1452)*G1452*50-SUM(J1452:K1452)))))</f>
        <v/>
      </c>
      <c r="M1452" s="743">
        <f>L1452</f>
        <v/>
      </c>
      <c r="N1452" s="686">
        <f>IF(B1452="TXO","",IF(D1452="新倉","",IF(E1452="賣",(H1452-H1451)*G1452,(H1451-H1452)*G1452)))</f>
        <v/>
      </c>
      <c r="O1452" s="226">
        <f>ABS(I1452)</f>
        <v/>
      </c>
      <c r="P1452" s="667" t="n"/>
      <c r="Q1452" s="315" t="n"/>
      <c r="R1452" s="249" t="inlineStr">
        <is>
          <t>Yes</t>
        </is>
      </c>
      <c r="S1452" s="249" t="n"/>
      <c r="T1452" s="61">
        <f>IF(AND(R1452="Yes",S1452&lt;&gt;"Yes",L1452&gt;0,B1452&lt;&gt;"TXO"),L1452,"")</f>
        <v/>
      </c>
      <c r="U1452" s="61">
        <f>IF(AND(R1452="Yes",S1452&lt;&gt;"Yes",L1452&lt;0,B1452&lt;&gt;"TXO"),L1452,"")</f>
        <v/>
      </c>
      <c r="V1452" s="61">
        <f>IF(AND(R1452="",S1452&lt;&gt;"Yes",L1452&gt;0,B1452&lt;&gt;"TXO"),L1452,"")</f>
        <v/>
      </c>
      <c r="W1452" s="61">
        <f>IF(AND(R1452="",S1452&lt;&gt;"Yes",L1452&lt;0,B1452&lt;&gt;"TXO"),L1452,"")</f>
        <v/>
      </c>
      <c r="X1452" s="226">
        <f>IF(AND(R1452="Yes",S1452="Yes",L1452&gt;0,B1452&lt;&gt;"TXO"),L1452,"")</f>
        <v/>
      </c>
      <c r="Y1452" s="226">
        <f>IF(AND(R1452="Yes",S1452="Yes",L1452&lt;0,B1452&lt;&gt;"TXO"),L1452,"")</f>
        <v/>
      </c>
      <c r="Z1452" s="226">
        <f>IF(AND(R1452="",S1452="Yes",L1452&gt;0,B1452&lt;&gt;"TXO"),L1452,"")</f>
        <v/>
      </c>
      <c r="AA1452" s="226">
        <f>IF(AND(R1452="",S1452="Yes",L1452&lt;0,B1452&lt;&gt;"TXO"),L1452,"")</f>
        <v/>
      </c>
    </row>
    <row r="1453" hidden="1" outlineLevel="2" collapsed="1" ht="17.25" customHeight="1" thickBot="1">
      <c r="A1453" s="740" t="n">
        <v>43395</v>
      </c>
      <c r="B1453" s="299" t="inlineStr">
        <is>
          <t>FIMTX</t>
        </is>
      </c>
      <c r="C1453" s="300" t="inlineStr">
        <is>
          <t>小指11</t>
        </is>
      </c>
      <c r="D1453" s="300" t="inlineStr">
        <is>
          <t>平倉</t>
        </is>
      </c>
      <c r="E1453" s="301" t="inlineStr">
        <is>
          <t>賣</t>
        </is>
      </c>
      <c r="F1453" s="300" t="inlineStr">
        <is>
          <t>-</t>
        </is>
      </c>
      <c r="G1453" s="741" t="n">
        <v>1</v>
      </c>
      <c r="H1453" s="741" t="n">
        <v>9943</v>
      </c>
      <c r="I1453" s="741" t="n">
        <v>0</v>
      </c>
      <c r="J1453" s="742" t="n">
        <v>23</v>
      </c>
      <c r="K1453" s="742" t="n">
        <v>10</v>
      </c>
      <c r="L1453" s="742">
        <f>IF(B1453="TXO",I1453-SUM(J1453:K1453),IF(B1453="FITX",IF(D1453="新倉",-SUM(J1453:K1453),IF(E1453="賣",(H1453-H1452)*G1453*200-SUM(J1453:K1453),(H1452-H1453)*G1453*200-SUM(J1453:K1453))),IF(D1453="新倉",-SUM(J1453:K1453),IF(E1453="賣",(H1453-H1452)*G1453*50-SUM(J1453:K1453),(H1452-H1453)*G1453*50-SUM(J1453:K1453)))))</f>
        <v/>
      </c>
      <c r="M1453" s="743">
        <f>L1453</f>
        <v/>
      </c>
      <c r="N1453" s="686">
        <f>IF(B1453="TXO","",IF(D1453="新倉","",IF(E1453="賣",(H1453-H1452)*G1453,(H1452-H1453)*G1453)))</f>
        <v/>
      </c>
      <c r="O1453" s="226">
        <f>ABS(I1453)</f>
        <v/>
      </c>
      <c r="P1453" s="667" t="n"/>
      <c r="Q1453" s="315" t="inlineStr">
        <is>
          <t>技法: 碰10MA停損</t>
        </is>
      </c>
      <c r="R1453" s="249" t="inlineStr">
        <is>
          <t>Yes</t>
        </is>
      </c>
      <c r="S1453" s="249" t="n"/>
      <c r="T1453" s="61">
        <f>IF(AND(R1453="Yes",S1453&lt;&gt;"Yes",L1453&gt;0,B1453&lt;&gt;"TXO"),L1453,"")</f>
        <v/>
      </c>
      <c r="U1453" s="61">
        <f>IF(AND(R1453="Yes",S1453&lt;&gt;"Yes",L1453&lt;0,B1453&lt;&gt;"TXO"),L1453,"")</f>
        <v/>
      </c>
      <c r="V1453" s="61">
        <f>IF(AND(R1453="",S1453&lt;&gt;"Yes",L1453&gt;0,B1453&lt;&gt;"TXO"),L1453,"")</f>
        <v/>
      </c>
      <c r="W1453" s="61">
        <f>IF(AND(R1453="",S1453&lt;&gt;"Yes",L1453&lt;0,B1453&lt;&gt;"TXO"),L1453,"")</f>
        <v/>
      </c>
      <c r="X1453" s="226">
        <f>IF(AND(R1453="Yes",S1453="Yes",L1453&gt;0,B1453&lt;&gt;"TXO"),L1453,"")</f>
        <v/>
      </c>
      <c r="Y1453" s="226">
        <f>IF(AND(R1453="Yes",S1453="Yes",L1453&lt;0,B1453&lt;&gt;"TXO"),L1453,"")</f>
        <v/>
      </c>
      <c r="Z1453" s="226">
        <f>IF(AND(R1453="",S1453="Yes",L1453&gt;0,B1453&lt;&gt;"TXO"),L1453,"")</f>
        <v/>
      </c>
      <c r="AA1453" s="226">
        <f>IF(AND(R1453="",S1453="Yes",L1453&lt;0,B1453&lt;&gt;"TXO"),L1453,"")</f>
        <v/>
      </c>
    </row>
    <row r="1454" hidden="1" outlineLevel="2" collapsed="1" ht="17.25" customHeight="1" thickBot="1">
      <c r="A1454" s="740" t="n">
        <v>43395</v>
      </c>
      <c r="B1454" s="299" t="inlineStr">
        <is>
          <t>FIMTX</t>
        </is>
      </c>
      <c r="C1454" s="300" t="inlineStr">
        <is>
          <t>小指11</t>
        </is>
      </c>
      <c r="D1454" s="300" t="inlineStr">
        <is>
          <t>新倉</t>
        </is>
      </c>
      <c r="E1454" s="301" t="inlineStr">
        <is>
          <t>買</t>
        </is>
      </c>
      <c r="F1454" s="300" t="inlineStr">
        <is>
          <t>-</t>
        </is>
      </c>
      <c r="G1454" s="741" t="n">
        <v>1</v>
      </c>
      <c r="H1454" s="741" t="n">
        <v>9949</v>
      </c>
      <c r="I1454" s="741" t="n">
        <v>0</v>
      </c>
      <c r="J1454" s="742" t="n">
        <v>23</v>
      </c>
      <c r="K1454" s="742" t="n">
        <v>10</v>
      </c>
      <c r="L1454" s="742">
        <f>IF(B1454="TXO",I1454-SUM(J1454:K1454),IF(B1454="FITX",IF(D1454="新倉",-SUM(J1454:K1454),IF(E1454="賣",(H1454-H1453)*G1454*200-SUM(J1454:K1454),(H1453-H1454)*G1454*200-SUM(J1454:K1454))),IF(D1454="新倉",-SUM(J1454:K1454),IF(E1454="賣",(H1454-H1453)*G1454*50-SUM(J1454:K1454),(H1453-H1454)*G1454*50-SUM(J1454:K1454)))))</f>
        <v/>
      </c>
      <c r="M1454" s="743">
        <f>L1454</f>
        <v/>
      </c>
      <c r="N1454" s="686">
        <f>IF(B1454="TXO","",IF(D1454="新倉","",IF(E1454="賣",(H1454-H1453)*G1454,(H1453-H1454)*G1454)))</f>
        <v/>
      </c>
      <c r="O1454" s="226">
        <f>ABS(I1454)</f>
        <v/>
      </c>
      <c r="P1454" s="667" t="n"/>
      <c r="Q1454" s="315" t="n"/>
      <c r="R1454" s="249" t="inlineStr">
        <is>
          <t>Yes</t>
        </is>
      </c>
      <c r="S1454" s="249" t="n"/>
      <c r="T1454" s="61">
        <f>IF(AND(R1454="Yes",S1454&lt;&gt;"Yes",L1454&gt;0,B1454&lt;&gt;"TXO"),L1454,"")</f>
        <v/>
      </c>
      <c r="U1454" s="61">
        <f>IF(AND(R1454="Yes",S1454&lt;&gt;"Yes",L1454&lt;0,B1454&lt;&gt;"TXO"),L1454,"")</f>
        <v/>
      </c>
      <c r="V1454" s="61">
        <f>IF(AND(R1454="",S1454&lt;&gt;"Yes",L1454&gt;0,B1454&lt;&gt;"TXO"),L1454,"")</f>
        <v/>
      </c>
      <c r="W1454" s="61">
        <f>IF(AND(R1454="",S1454&lt;&gt;"Yes",L1454&lt;0,B1454&lt;&gt;"TXO"),L1454,"")</f>
        <v/>
      </c>
      <c r="X1454" s="226">
        <f>IF(AND(R1454="Yes",S1454="Yes",L1454&gt;0,B1454&lt;&gt;"TXO"),L1454,"")</f>
        <v/>
      </c>
      <c r="Y1454" s="226">
        <f>IF(AND(R1454="Yes",S1454="Yes",L1454&lt;0,B1454&lt;&gt;"TXO"),L1454,"")</f>
        <v/>
      </c>
      <c r="Z1454" s="226">
        <f>IF(AND(R1454="",S1454="Yes",L1454&gt;0,B1454&lt;&gt;"TXO"),L1454,"")</f>
        <v/>
      </c>
      <c r="AA1454" s="226">
        <f>IF(AND(R1454="",S1454="Yes",L1454&lt;0,B1454&lt;&gt;"TXO"),L1454,"")</f>
        <v/>
      </c>
    </row>
    <row r="1455" hidden="1" outlineLevel="2" collapsed="1" ht="17.25" customHeight="1" thickBot="1">
      <c r="A1455" s="740" t="n">
        <v>43395</v>
      </c>
      <c r="B1455" s="299" t="inlineStr">
        <is>
          <t>FIMTX</t>
        </is>
      </c>
      <c r="C1455" s="300" t="inlineStr">
        <is>
          <t>小指11</t>
        </is>
      </c>
      <c r="D1455" s="300" t="inlineStr">
        <is>
          <t>平倉</t>
        </is>
      </c>
      <c r="E1455" s="301" t="inlineStr">
        <is>
          <t>賣</t>
        </is>
      </c>
      <c r="F1455" s="300" t="inlineStr">
        <is>
          <t>-</t>
        </is>
      </c>
      <c r="G1455" s="741" t="n">
        <v>1</v>
      </c>
      <c r="H1455" s="741" t="n">
        <v>9943</v>
      </c>
      <c r="I1455" s="741" t="n">
        <v>0</v>
      </c>
      <c r="J1455" s="742" t="n">
        <v>23</v>
      </c>
      <c r="K1455" s="742" t="n">
        <v>10</v>
      </c>
      <c r="L1455" s="742">
        <f>IF(B1455="TXO",I1455-SUM(J1455:K1455),IF(B1455="FITX",IF(D1455="新倉",-SUM(J1455:K1455),IF(E1455="賣",(H1455-H1454)*G1455*200-SUM(J1455:K1455),(H1454-H1455)*G1455*200-SUM(J1455:K1455))),IF(D1455="新倉",-SUM(J1455:K1455),IF(E1455="賣",(H1455-H1454)*G1455*50-SUM(J1455:K1455),(H1454-H1455)*G1455*50-SUM(J1455:K1455)))))</f>
        <v/>
      </c>
      <c r="M1455" s="743">
        <f>L1455</f>
        <v/>
      </c>
      <c r="N1455" s="686">
        <f>IF(B1455="TXO","",IF(D1455="新倉","",IF(E1455="賣",(H1455-H1454)*G1455,(H1454-H1455)*G1455)))</f>
        <v/>
      </c>
      <c r="O1455" s="226">
        <f>ABS(I1455)</f>
        <v/>
      </c>
      <c r="P1455" s="667" t="n"/>
      <c r="Q1455" s="315" t="inlineStr">
        <is>
          <t>技法: 碰10MA停損</t>
        </is>
      </c>
      <c r="R1455" s="249" t="inlineStr">
        <is>
          <t>Yes</t>
        </is>
      </c>
      <c r="S1455" s="249" t="n"/>
      <c r="T1455" s="61">
        <f>IF(AND(R1455="Yes",S1455&lt;&gt;"Yes",L1455&gt;0,B1455&lt;&gt;"TXO"),L1455,"")</f>
        <v/>
      </c>
      <c r="U1455" s="61">
        <f>IF(AND(R1455="Yes",S1455&lt;&gt;"Yes",L1455&lt;0,B1455&lt;&gt;"TXO"),L1455,"")</f>
        <v/>
      </c>
      <c r="V1455" s="61">
        <f>IF(AND(R1455="",S1455&lt;&gt;"Yes",L1455&gt;0,B1455&lt;&gt;"TXO"),L1455,"")</f>
        <v/>
      </c>
      <c r="W1455" s="61">
        <f>IF(AND(R1455="",S1455&lt;&gt;"Yes",L1455&lt;0,B1455&lt;&gt;"TXO"),L1455,"")</f>
        <v/>
      </c>
      <c r="X1455" s="226">
        <f>IF(AND(R1455="Yes",S1455="Yes",L1455&gt;0,B1455&lt;&gt;"TXO"),L1455,"")</f>
        <v/>
      </c>
      <c r="Y1455" s="226">
        <f>IF(AND(R1455="Yes",S1455="Yes",L1455&lt;0,B1455&lt;&gt;"TXO"),L1455,"")</f>
        <v/>
      </c>
      <c r="Z1455" s="226">
        <f>IF(AND(R1455="",S1455="Yes",L1455&gt;0,B1455&lt;&gt;"TXO"),L1455,"")</f>
        <v/>
      </c>
      <c r="AA1455" s="226">
        <f>IF(AND(R1455="",S1455="Yes",L1455&lt;0,B1455&lt;&gt;"TXO"),L1455,"")</f>
        <v/>
      </c>
    </row>
    <row r="1456" hidden="1" outlineLevel="2" collapsed="1" ht="17.25" customHeight="1" thickBot="1">
      <c r="A1456" s="740" t="n">
        <v>43395</v>
      </c>
      <c r="B1456" s="299" t="inlineStr">
        <is>
          <t>FIMTX</t>
        </is>
      </c>
      <c r="C1456" s="300" t="inlineStr">
        <is>
          <t>小指11</t>
        </is>
      </c>
      <c r="D1456" s="300" t="inlineStr">
        <is>
          <t>新倉</t>
        </is>
      </c>
      <c r="E1456" s="301" t="inlineStr">
        <is>
          <t>賣</t>
        </is>
      </c>
      <c r="F1456" s="300" t="inlineStr">
        <is>
          <t>-</t>
        </is>
      </c>
      <c r="G1456" s="741" t="n">
        <v>1</v>
      </c>
      <c r="H1456" s="741" t="n">
        <v>9943</v>
      </c>
      <c r="I1456" s="741" t="n">
        <v>0</v>
      </c>
      <c r="J1456" s="742" t="n">
        <v>23</v>
      </c>
      <c r="K1456" s="742" t="n">
        <v>10</v>
      </c>
      <c r="L1456" s="742">
        <f>IF(B1456="TXO",I1456-SUM(J1456:K1456),IF(B1456="FITX",IF(D1456="新倉",-SUM(J1456:K1456),IF(E1456="賣",(H1456-H1455)*G1456*200-SUM(J1456:K1456),(H1455-H1456)*G1456*200-SUM(J1456:K1456))),IF(D1456="新倉",-SUM(J1456:K1456),IF(E1456="賣",(H1456-H1455)*G1456*50-SUM(J1456:K1456),(H1455-H1456)*G1456*50-SUM(J1456:K1456)))))</f>
        <v/>
      </c>
      <c r="M1456" s="743">
        <f>L1456</f>
        <v/>
      </c>
      <c r="N1456" s="686">
        <f>IF(B1456="TXO","",IF(D1456="新倉","",IF(E1456="賣",(H1456-H1455)*G1456,(H1455-H1456)*G1456)))</f>
        <v/>
      </c>
      <c r="O1456" s="226">
        <f>ABS(I1456)</f>
        <v/>
      </c>
      <c r="P1456" s="667" t="n"/>
      <c r="Q1456" s="315" t="inlineStr">
        <is>
          <t>技法: 3/3 買進三口</t>
        </is>
      </c>
      <c r="R1456" s="249" t="inlineStr">
        <is>
          <t>Yes</t>
        </is>
      </c>
      <c r="S1456" s="249" t="n"/>
      <c r="T1456" s="61">
        <f>IF(AND(R1456="Yes",S1456&lt;&gt;"Yes",L1456&gt;0,B1456&lt;&gt;"TXO"),L1456,"")</f>
        <v/>
      </c>
      <c r="U1456" s="61">
        <f>IF(AND(R1456="Yes",S1456&lt;&gt;"Yes",L1456&lt;0,B1456&lt;&gt;"TXO"),L1456,"")</f>
        <v/>
      </c>
      <c r="V1456" s="61">
        <f>IF(AND(R1456="",S1456&lt;&gt;"Yes",L1456&gt;0,B1456&lt;&gt;"TXO"),L1456,"")</f>
        <v/>
      </c>
      <c r="W1456" s="61">
        <f>IF(AND(R1456="",S1456&lt;&gt;"Yes",L1456&lt;0,B1456&lt;&gt;"TXO"),L1456,"")</f>
        <v/>
      </c>
      <c r="X1456" s="226">
        <f>IF(AND(R1456="Yes",S1456="Yes",L1456&gt;0,B1456&lt;&gt;"TXO"),L1456,"")</f>
        <v/>
      </c>
      <c r="Y1456" s="226">
        <f>IF(AND(R1456="Yes",S1456="Yes",L1456&lt;0,B1456&lt;&gt;"TXO"),L1456,"")</f>
        <v/>
      </c>
      <c r="Z1456" s="226">
        <f>IF(AND(R1456="",S1456="Yes",L1456&gt;0,B1456&lt;&gt;"TXO"),L1456,"")</f>
        <v/>
      </c>
      <c r="AA1456" s="226">
        <f>IF(AND(R1456="",S1456="Yes",L1456&lt;0,B1456&lt;&gt;"TXO"),L1456,"")</f>
        <v/>
      </c>
    </row>
    <row r="1457" hidden="1" outlineLevel="2" collapsed="1" ht="17.25" customHeight="1" thickBot="1">
      <c r="A1457" s="740" t="n">
        <v>43395</v>
      </c>
      <c r="B1457" s="299" t="inlineStr">
        <is>
          <t>FIMTX</t>
        </is>
      </c>
      <c r="C1457" s="300" t="inlineStr">
        <is>
          <t>小指11</t>
        </is>
      </c>
      <c r="D1457" s="300" t="inlineStr">
        <is>
          <t>平倉</t>
        </is>
      </c>
      <c r="E1457" s="301" t="inlineStr">
        <is>
          <t>買</t>
        </is>
      </c>
      <c r="F1457" s="300" t="inlineStr">
        <is>
          <t>-</t>
        </is>
      </c>
      <c r="G1457" s="741" t="n">
        <v>1</v>
      </c>
      <c r="H1457" s="741" t="n">
        <v>9930</v>
      </c>
      <c r="I1457" s="741" t="n">
        <v>0</v>
      </c>
      <c r="J1457" s="742" t="n">
        <v>23</v>
      </c>
      <c r="K1457" s="742" t="n">
        <v>10</v>
      </c>
      <c r="L1457" s="742">
        <f>IF(B1457="TXO",I1457-SUM(J1457:K1457),IF(B1457="FITX",IF(D1457="新倉",-SUM(J1457:K1457),IF(E1457="賣",(H1457-H1456)*G1457*200-SUM(J1457:K1457),(H1456-H1457)*G1457*200-SUM(J1457:K1457))),IF(D1457="新倉",-SUM(J1457:K1457),IF(E1457="賣",(H1457-H1456)*G1457*50-SUM(J1457:K1457),(H1456-H1457)*G1457*50-SUM(J1457:K1457)))))</f>
        <v/>
      </c>
      <c r="M1457" s="743">
        <f>L1457</f>
        <v/>
      </c>
      <c r="N1457" s="686">
        <f>IF(B1457="TXO","",IF(D1457="新倉","",IF(E1457="賣",(H1457-H1456)*G1457,(H1456-H1457)*G1457)))</f>
        <v/>
      </c>
      <c r="O1457" s="226">
        <f>ABS(I1457)</f>
        <v/>
      </c>
      <c r="P1457" s="667" t="n"/>
      <c r="Q1457" s="315" t="n"/>
      <c r="R1457" s="249" t="inlineStr">
        <is>
          <t>Yes</t>
        </is>
      </c>
      <c r="S1457" s="249" t="n"/>
      <c r="T1457" s="61">
        <f>IF(AND(R1457="Yes",S1457&lt;&gt;"Yes",L1457&gt;0,B1457&lt;&gt;"TXO"),L1457,"")</f>
        <v/>
      </c>
      <c r="U1457" s="61">
        <f>IF(AND(R1457="Yes",S1457&lt;&gt;"Yes",L1457&lt;0,B1457&lt;&gt;"TXO"),L1457,"")</f>
        <v/>
      </c>
      <c r="V1457" s="61">
        <f>IF(AND(R1457="",S1457&lt;&gt;"Yes",L1457&gt;0,B1457&lt;&gt;"TXO"),L1457,"")</f>
        <v/>
      </c>
      <c r="W1457" s="61">
        <f>IF(AND(R1457="",S1457&lt;&gt;"Yes",L1457&lt;0,B1457&lt;&gt;"TXO"),L1457,"")</f>
        <v/>
      </c>
      <c r="X1457" s="226">
        <f>IF(AND(R1457="Yes",S1457="Yes",L1457&gt;0,B1457&lt;&gt;"TXO"),L1457,"")</f>
        <v/>
      </c>
      <c r="Y1457" s="226">
        <f>IF(AND(R1457="Yes",S1457="Yes",L1457&lt;0,B1457&lt;&gt;"TXO"),L1457,"")</f>
        <v/>
      </c>
      <c r="Z1457" s="226">
        <f>IF(AND(R1457="",S1457="Yes",L1457&gt;0,B1457&lt;&gt;"TXO"),L1457,"")</f>
        <v/>
      </c>
      <c r="AA1457" s="226">
        <f>IF(AND(R1457="",S1457="Yes",L1457&lt;0,B1457&lt;&gt;"TXO"),L1457,"")</f>
        <v/>
      </c>
    </row>
    <row r="1458" hidden="1" outlineLevel="2" collapsed="1" ht="17.25" customHeight="1" thickBot="1">
      <c r="A1458" s="740" t="n">
        <v>43395</v>
      </c>
      <c r="B1458" s="299" t="inlineStr">
        <is>
          <t>FIMTX</t>
        </is>
      </c>
      <c r="C1458" s="300" t="inlineStr">
        <is>
          <t>小指11</t>
        </is>
      </c>
      <c r="D1458" s="300" t="inlineStr">
        <is>
          <t>新倉</t>
        </is>
      </c>
      <c r="E1458" s="301" t="inlineStr">
        <is>
          <t>賣</t>
        </is>
      </c>
      <c r="F1458" s="300" t="inlineStr">
        <is>
          <t>-</t>
        </is>
      </c>
      <c r="G1458" s="741" t="n">
        <v>1</v>
      </c>
      <c r="H1458" s="741" t="n">
        <v>9943</v>
      </c>
      <c r="I1458" s="741" t="n">
        <v>0</v>
      </c>
      <c r="J1458" s="742" t="n">
        <v>23</v>
      </c>
      <c r="K1458" s="742" t="n">
        <v>10</v>
      </c>
      <c r="L1458" s="742">
        <f>IF(B1458="TXO",I1458-SUM(J1458:K1458),IF(B1458="FITX",IF(D1458="新倉",-SUM(J1458:K1458),IF(E1458="賣",(H1458-H1457)*G1458*200-SUM(J1458:K1458),(H1457-H1458)*G1458*200-SUM(J1458:K1458))),IF(D1458="新倉",-SUM(J1458:K1458),IF(E1458="賣",(H1458-H1457)*G1458*50-SUM(J1458:K1458),(H1457-H1458)*G1458*50-SUM(J1458:K1458)))))</f>
        <v/>
      </c>
      <c r="M1458" s="743">
        <f>L1458</f>
        <v/>
      </c>
      <c r="N1458" s="686">
        <f>IF(B1458="TXO","",IF(D1458="新倉","",IF(E1458="賣",(H1458-H1457)*G1458,(H1457-H1458)*G1458)))</f>
        <v/>
      </c>
      <c r="O1458" s="226">
        <f>ABS(I1458)</f>
        <v/>
      </c>
      <c r="P1458" s="667" t="n"/>
      <c r="Q1458" s="315" t="n"/>
      <c r="R1458" s="249" t="inlineStr">
        <is>
          <t>Yes</t>
        </is>
      </c>
      <c r="S1458" s="249" t="n"/>
      <c r="T1458" s="61">
        <f>IF(AND(R1458="Yes",S1458&lt;&gt;"Yes",L1458&gt;0,B1458&lt;&gt;"TXO"),L1458,"")</f>
        <v/>
      </c>
      <c r="U1458" s="61">
        <f>IF(AND(R1458="Yes",S1458&lt;&gt;"Yes",L1458&lt;0,B1458&lt;&gt;"TXO"),L1458,"")</f>
        <v/>
      </c>
      <c r="V1458" s="61">
        <f>IF(AND(R1458="",S1458&lt;&gt;"Yes",L1458&gt;0,B1458&lt;&gt;"TXO"),L1458,"")</f>
        <v/>
      </c>
      <c r="W1458" s="61">
        <f>IF(AND(R1458="",S1458&lt;&gt;"Yes",L1458&lt;0,B1458&lt;&gt;"TXO"),L1458,"")</f>
        <v/>
      </c>
      <c r="X1458" s="226">
        <f>IF(AND(R1458="Yes",S1458="Yes",L1458&gt;0,B1458&lt;&gt;"TXO"),L1458,"")</f>
        <v/>
      </c>
      <c r="Y1458" s="226">
        <f>IF(AND(R1458="Yes",S1458="Yes",L1458&lt;0,B1458&lt;&gt;"TXO"),L1458,"")</f>
        <v/>
      </c>
      <c r="Z1458" s="226">
        <f>IF(AND(R1458="",S1458="Yes",L1458&gt;0,B1458&lt;&gt;"TXO"),L1458,"")</f>
        <v/>
      </c>
      <c r="AA1458" s="226">
        <f>IF(AND(R1458="",S1458="Yes",L1458&lt;0,B1458&lt;&gt;"TXO"),L1458,"")</f>
        <v/>
      </c>
    </row>
    <row r="1459" hidden="1" outlineLevel="2" collapsed="1" ht="33.75" customHeight="1" thickBot="1">
      <c r="A1459" s="740" t="n">
        <v>43395</v>
      </c>
      <c r="B1459" s="299" t="inlineStr">
        <is>
          <t>FIMTX</t>
        </is>
      </c>
      <c r="C1459" s="300" t="inlineStr">
        <is>
          <t>小指11</t>
        </is>
      </c>
      <c r="D1459" s="300" t="inlineStr">
        <is>
          <t>平倉</t>
        </is>
      </c>
      <c r="E1459" s="301" t="inlineStr">
        <is>
          <t>買</t>
        </is>
      </c>
      <c r="F1459" s="300" t="inlineStr">
        <is>
          <t>-</t>
        </is>
      </c>
      <c r="G1459" s="741" t="n">
        <v>1</v>
      </c>
      <c r="H1459" s="741" t="n">
        <v>9938</v>
      </c>
      <c r="I1459" s="741" t="n">
        <v>0</v>
      </c>
      <c r="J1459" s="742" t="n">
        <v>23</v>
      </c>
      <c r="K1459" s="742" t="n">
        <v>10</v>
      </c>
      <c r="L1459" s="742">
        <f>IF(B1459="TXO",I1459-SUM(J1459:K1459),IF(B1459="FITX",IF(D1459="新倉",-SUM(J1459:K1459),IF(E1459="賣",(H1459-H1458)*G1459*200-SUM(J1459:K1459),(H1458-H1459)*G1459*200-SUM(J1459:K1459))),IF(D1459="新倉",-SUM(J1459:K1459),IF(E1459="賣",(H1459-H1458)*G1459*50-SUM(J1459:K1459),(H1458-H1459)*G1459*50-SUM(J1459:K1459)))))</f>
        <v/>
      </c>
      <c r="M1459" s="743">
        <f>L1459</f>
        <v/>
      </c>
      <c r="N1459" s="686">
        <f>IF(B1459="TXO","",IF(D1459="新倉","",IF(E1459="賣",(H1459-H1458)*G1459,(H1458-H1459)*G1459)))</f>
        <v/>
      </c>
      <c r="O1459" s="226">
        <f>ABS(I1459)</f>
        <v/>
      </c>
      <c r="P1459" s="667" t="n"/>
      <c r="Q1459" s="315" t="inlineStr">
        <is>
          <t>技法: 移動式停利
5點出場</t>
        </is>
      </c>
      <c r="R1459" s="249" t="inlineStr">
        <is>
          <t>Yes</t>
        </is>
      </c>
      <c r="S1459" s="249" t="n"/>
      <c r="T1459" s="61">
        <f>IF(AND(R1459="Yes",S1459&lt;&gt;"Yes",L1459&gt;0,B1459&lt;&gt;"TXO"),L1459,"")</f>
        <v/>
      </c>
      <c r="U1459" s="61">
        <f>IF(AND(R1459="Yes",S1459&lt;&gt;"Yes",L1459&lt;0,B1459&lt;&gt;"TXO"),L1459,"")</f>
        <v/>
      </c>
      <c r="V1459" s="61">
        <f>IF(AND(R1459="",S1459&lt;&gt;"Yes",L1459&gt;0,B1459&lt;&gt;"TXO"),L1459,"")</f>
        <v/>
      </c>
      <c r="W1459" s="61">
        <f>IF(AND(R1459="",S1459&lt;&gt;"Yes",L1459&lt;0,B1459&lt;&gt;"TXO"),L1459,"")</f>
        <v/>
      </c>
      <c r="X1459" s="226">
        <f>IF(AND(R1459="Yes",S1459="Yes",L1459&gt;0,B1459&lt;&gt;"TXO"),L1459,"")</f>
        <v/>
      </c>
      <c r="Y1459" s="226">
        <f>IF(AND(R1459="Yes",S1459="Yes",L1459&lt;0,B1459&lt;&gt;"TXO"),L1459,"")</f>
        <v/>
      </c>
      <c r="Z1459" s="226">
        <f>IF(AND(R1459="",S1459="Yes",L1459&gt;0,B1459&lt;&gt;"TXO"),L1459,"")</f>
        <v/>
      </c>
      <c r="AA1459" s="226">
        <f>IF(AND(R1459="",S1459="Yes",L1459&lt;0,B1459&lt;&gt;"TXO"),L1459,"")</f>
        <v/>
      </c>
    </row>
    <row r="1460" hidden="1" outlineLevel="2" collapsed="1" ht="17.25" customHeight="1" thickBot="1">
      <c r="A1460" s="740" t="n">
        <v>43395</v>
      </c>
      <c r="B1460" s="299" t="inlineStr">
        <is>
          <t>FIMTX</t>
        </is>
      </c>
      <c r="C1460" s="300" t="inlineStr">
        <is>
          <t>小指11</t>
        </is>
      </c>
      <c r="D1460" s="300" t="inlineStr">
        <is>
          <t>新倉</t>
        </is>
      </c>
      <c r="E1460" s="301" t="inlineStr">
        <is>
          <t>賣</t>
        </is>
      </c>
      <c r="F1460" s="300" t="inlineStr">
        <is>
          <t>-</t>
        </is>
      </c>
      <c r="G1460" s="741" t="n">
        <v>1</v>
      </c>
      <c r="H1460" s="741" t="n">
        <v>9943</v>
      </c>
      <c r="I1460" s="741" t="n">
        <v>0</v>
      </c>
      <c r="J1460" s="742" t="n">
        <v>23</v>
      </c>
      <c r="K1460" s="742" t="n">
        <v>10</v>
      </c>
      <c r="L1460" s="742">
        <f>IF(B1460="TXO",I1460-SUM(J1460:K1460),IF(B1460="FITX",IF(D1460="新倉",-SUM(J1460:K1460),IF(E1460="賣",(H1460-H1459)*G1460*200-SUM(J1460:K1460),(H1459-H1460)*G1460*200-SUM(J1460:K1460))),IF(D1460="新倉",-SUM(J1460:K1460),IF(E1460="賣",(H1460-H1459)*G1460*50-SUM(J1460:K1460),(H1459-H1460)*G1460*50-SUM(J1460:K1460)))))</f>
        <v/>
      </c>
      <c r="M1460" s="743">
        <f>L1460</f>
        <v/>
      </c>
      <c r="N1460" s="686">
        <f>IF(B1460="TXO","",IF(D1460="新倉","",IF(E1460="賣",(H1460-H1459)*G1460,(H1459-H1460)*G1460)))</f>
        <v/>
      </c>
      <c r="O1460" s="226">
        <f>ABS(I1460)</f>
        <v/>
      </c>
      <c r="P1460" s="667" t="n"/>
      <c r="Q1460" s="315" t="n"/>
      <c r="R1460" s="249" t="inlineStr">
        <is>
          <t>Yes</t>
        </is>
      </c>
      <c r="S1460" s="249" t="n"/>
      <c r="T1460" s="61">
        <f>IF(AND(R1460="Yes",S1460&lt;&gt;"Yes",L1460&gt;0,B1460&lt;&gt;"TXO"),L1460,"")</f>
        <v/>
      </c>
      <c r="U1460" s="61">
        <f>IF(AND(R1460="Yes",S1460&lt;&gt;"Yes",L1460&lt;0,B1460&lt;&gt;"TXO"),L1460,"")</f>
        <v/>
      </c>
      <c r="V1460" s="61">
        <f>IF(AND(R1460="",S1460&lt;&gt;"Yes",L1460&gt;0,B1460&lt;&gt;"TXO"),L1460,"")</f>
        <v/>
      </c>
      <c r="W1460" s="61">
        <f>IF(AND(R1460="",S1460&lt;&gt;"Yes",L1460&lt;0,B1460&lt;&gt;"TXO"),L1460,"")</f>
        <v/>
      </c>
      <c r="X1460" s="226">
        <f>IF(AND(R1460="Yes",S1460="Yes",L1460&gt;0,B1460&lt;&gt;"TXO"),L1460,"")</f>
        <v/>
      </c>
      <c r="Y1460" s="226">
        <f>IF(AND(R1460="Yes",S1460="Yes",L1460&lt;0,B1460&lt;&gt;"TXO"),L1460,"")</f>
        <v/>
      </c>
      <c r="Z1460" s="226">
        <f>IF(AND(R1460="",S1460="Yes",L1460&gt;0,B1460&lt;&gt;"TXO"),L1460,"")</f>
        <v/>
      </c>
      <c r="AA1460" s="226">
        <f>IF(AND(R1460="",S1460="Yes",L1460&lt;0,B1460&lt;&gt;"TXO"),L1460,"")</f>
        <v/>
      </c>
    </row>
    <row r="1461" hidden="1" outlineLevel="2" collapsed="1" ht="33.75" customHeight="1" thickBot="1">
      <c r="A1461" s="740" t="n">
        <v>43395</v>
      </c>
      <c r="B1461" s="299" t="inlineStr">
        <is>
          <t>FIMTX</t>
        </is>
      </c>
      <c r="C1461" s="300" t="inlineStr">
        <is>
          <t>小指11</t>
        </is>
      </c>
      <c r="D1461" s="300" t="inlineStr">
        <is>
          <t>平倉</t>
        </is>
      </c>
      <c r="E1461" s="301" t="inlineStr">
        <is>
          <t>買</t>
        </is>
      </c>
      <c r="F1461" s="300" t="inlineStr">
        <is>
          <t>-</t>
        </is>
      </c>
      <c r="G1461" s="741" t="n">
        <v>1</v>
      </c>
      <c r="H1461" s="741" t="n">
        <v>9938</v>
      </c>
      <c r="I1461" s="741" t="n">
        <v>0</v>
      </c>
      <c r="J1461" s="742" t="n">
        <v>23</v>
      </c>
      <c r="K1461" s="742" t="n">
        <v>10</v>
      </c>
      <c r="L1461" s="742">
        <f>IF(B1461="TXO",I1461-SUM(J1461:K1461),IF(B1461="FITX",IF(D1461="新倉",-SUM(J1461:K1461),IF(E1461="賣",(H1461-H1460)*G1461*200-SUM(J1461:K1461),(H1460-H1461)*G1461*200-SUM(J1461:K1461))),IF(D1461="新倉",-SUM(J1461:K1461),IF(E1461="賣",(H1461-H1460)*G1461*50-SUM(J1461:K1461),(H1460-H1461)*G1461*50-SUM(J1461:K1461)))))</f>
        <v/>
      </c>
      <c r="M1461" s="743">
        <f>L1461</f>
        <v/>
      </c>
      <c r="N1461" s="686">
        <f>IF(B1461="TXO","",IF(D1461="新倉","",IF(E1461="賣",(H1461-H1460)*G1461,(H1460-H1461)*G1461)))</f>
        <v/>
      </c>
      <c r="O1461" s="226">
        <f>ABS(I1461)</f>
        <v/>
      </c>
      <c r="P1461" s="667" t="n"/>
      <c r="Q1461" s="315" t="inlineStr">
        <is>
          <t>技法: 移動式停利
5點出場</t>
        </is>
      </c>
      <c r="R1461" s="249" t="inlineStr">
        <is>
          <t>Yes</t>
        </is>
      </c>
      <c r="S1461" s="249" t="n"/>
      <c r="T1461" s="61">
        <f>IF(AND(R1461="Yes",S1461&lt;&gt;"Yes",L1461&gt;0,B1461&lt;&gt;"TXO"),L1461,"")</f>
        <v/>
      </c>
      <c r="U1461" s="61">
        <f>IF(AND(R1461="Yes",S1461&lt;&gt;"Yes",L1461&lt;0,B1461&lt;&gt;"TXO"),L1461,"")</f>
        <v/>
      </c>
      <c r="V1461" s="61">
        <f>IF(AND(R1461="",S1461&lt;&gt;"Yes",L1461&gt;0,B1461&lt;&gt;"TXO"),L1461,"")</f>
        <v/>
      </c>
      <c r="W1461" s="61">
        <f>IF(AND(R1461="",S1461&lt;&gt;"Yes",L1461&lt;0,B1461&lt;&gt;"TXO"),L1461,"")</f>
        <v/>
      </c>
      <c r="X1461" s="226">
        <f>IF(AND(R1461="Yes",S1461="Yes",L1461&gt;0,B1461&lt;&gt;"TXO"),L1461,"")</f>
        <v/>
      </c>
      <c r="Y1461" s="226">
        <f>IF(AND(R1461="Yes",S1461="Yes",L1461&lt;0,B1461&lt;&gt;"TXO"),L1461,"")</f>
        <v/>
      </c>
      <c r="Z1461" s="226">
        <f>IF(AND(R1461="",S1461="Yes",L1461&gt;0,B1461&lt;&gt;"TXO"),L1461,"")</f>
        <v/>
      </c>
      <c r="AA1461" s="226">
        <f>IF(AND(R1461="",S1461="Yes",L1461&lt;0,B1461&lt;&gt;"TXO"),L1461,"")</f>
        <v/>
      </c>
    </row>
    <row r="1462" hidden="1" outlineLevel="2" collapsed="1" ht="17.25" customHeight="1" thickBot="1">
      <c r="A1462" s="740" t="n">
        <v>43395</v>
      </c>
      <c r="B1462" s="299" t="inlineStr">
        <is>
          <t>FIMTX</t>
        </is>
      </c>
      <c r="C1462" s="300" t="inlineStr">
        <is>
          <t>小指11</t>
        </is>
      </c>
      <c r="D1462" s="300" t="inlineStr">
        <is>
          <t>新倉</t>
        </is>
      </c>
      <c r="E1462" s="301" t="inlineStr">
        <is>
          <t>賣</t>
        </is>
      </c>
      <c r="F1462" s="300" t="inlineStr">
        <is>
          <t>-</t>
        </is>
      </c>
      <c r="G1462" s="741" t="n">
        <v>1</v>
      </c>
      <c r="H1462" s="741" t="n">
        <v>9934</v>
      </c>
      <c r="I1462" s="741" t="n">
        <v>0</v>
      </c>
      <c r="J1462" s="742" t="n">
        <v>23</v>
      </c>
      <c r="K1462" s="742" t="n">
        <v>10</v>
      </c>
      <c r="L1462" s="742">
        <f>IF(B1462="TXO",I1462-SUM(J1462:K1462),IF(B1462="FITX",IF(D1462="新倉",-SUM(J1462:K1462),IF(E1462="賣",(H1462-H1461)*G1462*200-SUM(J1462:K1462),(H1461-H1462)*G1462*200-SUM(J1462:K1462))),IF(D1462="新倉",-SUM(J1462:K1462),IF(E1462="賣",(H1462-H1461)*G1462*50-SUM(J1462:K1462),(H1461-H1462)*G1462*50-SUM(J1462:K1462)))))</f>
        <v/>
      </c>
      <c r="M1462" s="743">
        <f>L1462</f>
        <v/>
      </c>
      <c r="N1462" s="686">
        <f>IF(B1462="TXO","",IF(D1462="新倉","",IF(E1462="賣",(H1462-H1461)*G1462,(H1461-H1462)*G1462)))</f>
        <v/>
      </c>
      <c r="O1462" s="226">
        <f>ABS(I1462)</f>
        <v/>
      </c>
      <c r="P1462" s="667" t="n"/>
      <c r="Q1462" s="315" t="inlineStr">
        <is>
          <t>技法: 3/3 買進三口</t>
        </is>
      </c>
      <c r="R1462" s="249" t="inlineStr">
        <is>
          <t>Yes</t>
        </is>
      </c>
      <c r="S1462" s="249" t="n"/>
      <c r="T1462" s="61">
        <f>IF(AND(R1462="Yes",S1462&lt;&gt;"Yes",L1462&gt;0,B1462&lt;&gt;"TXO"),L1462,"")</f>
        <v/>
      </c>
      <c r="U1462" s="61">
        <f>IF(AND(R1462="Yes",S1462&lt;&gt;"Yes",L1462&lt;0,B1462&lt;&gt;"TXO"),L1462,"")</f>
        <v/>
      </c>
      <c r="V1462" s="61">
        <f>IF(AND(R1462="",S1462&lt;&gt;"Yes",L1462&gt;0,B1462&lt;&gt;"TXO"),L1462,"")</f>
        <v/>
      </c>
      <c r="W1462" s="61">
        <f>IF(AND(R1462="",S1462&lt;&gt;"Yes",L1462&lt;0,B1462&lt;&gt;"TXO"),L1462,"")</f>
        <v/>
      </c>
      <c r="X1462" s="226">
        <f>IF(AND(R1462="Yes",S1462="Yes",L1462&gt;0,B1462&lt;&gt;"TXO"),L1462,"")</f>
        <v/>
      </c>
      <c r="Y1462" s="226">
        <f>IF(AND(R1462="Yes",S1462="Yes",L1462&lt;0,B1462&lt;&gt;"TXO"),L1462,"")</f>
        <v/>
      </c>
      <c r="Z1462" s="226">
        <f>IF(AND(R1462="",S1462="Yes",L1462&gt;0,B1462&lt;&gt;"TXO"),L1462,"")</f>
        <v/>
      </c>
      <c r="AA1462" s="226">
        <f>IF(AND(R1462="",S1462="Yes",L1462&lt;0,B1462&lt;&gt;"TXO"),L1462,"")</f>
        <v/>
      </c>
    </row>
    <row r="1463" hidden="1" outlineLevel="2" collapsed="1" ht="17.25" customHeight="1" thickBot="1">
      <c r="A1463" s="740" t="n">
        <v>43395</v>
      </c>
      <c r="B1463" s="299" t="inlineStr">
        <is>
          <t>FIMTX</t>
        </is>
      </c>
      <c r="C1463" s="300" t="inlineStr">
        <is>
          <t>小指11</t>
        </is>
      </c>
      <c r="D1463" s="300" t="inlineStr">
        <is>
          <t>平倉</t>
        </is>
      </c>
      <c r="E1463" s="301" t="inlineStr">
        <is>
          <t>買</t>
        </is>
      </c>
      <c r="F1463" s="300" t="inlineStr">
        <is>
          <t>-</t>
        </is>
      </c>
      <c r="G1463" s="741" t="n">
        <v>1</v>
      </c>
      <c r="H1463" s="741" t="n">
        <v>9931</v>
      </c>
      <c r="I1463" s="741" t="n">
        <v>0</v>
      </c>
      <c r="J1463" s="742" t="n">
        <v>23</v>
      </c>
      <c r="K1463" s="742" t="n">
        <v>10</v>
      </c>
      <c r="L1463" s="742">
        <f>IF(B1463="TXO",I1463-SUM(J1463:K1463),IF(B1463="FITX",IF(D1463="新倉",-SUM(J1463:K1463),IF(E1463="賣",(H1463-H1462)*G1463*200-SUM(J1463:K1463),(H1462-H1463)*G1463*200-SUM(J1463:K1463))),IF(D1463="新倉",-SUM(J1463:K1463),IF(E1463="賣",(H1463-H1462)*G1463*50-SUM(J1463:K1463),(H1462-H1463)*G1463*50-SUM(J1463:K1463)))))</f>
        <v/>
      </c>
      <c r="M1463" s="743">
        <f>L1463</f>
        <v/>
      </c>
      <c r="N1463" s="686">
        <f>IF(B1463="TXO","",IF(D1463="新倉","",IF(E1463="賣",(H1463-H1462)*G1463,(H1462-H1463)*G1463)))</f>
        <v/>
      </c>
      <c r="O1463" s="226">
        <f>ABS(I1463)</f>
        <v/>
      </c>
      <c r="P1463" s="667" t="n"/>
      <c r="Q1463" s="315" t="n"/>
      <c r="R1463" s="249" t="inlineStr">
        <is>
          <t>Yes</t>
        </is>
      </c>
      <c r="S1463" s="249" t="n"/>
      <c r="T1463" s="61">
        <f>IF(AND(R1463="Yes",S1463&lt;&gt;"Yes",L1463&gt;0,B1463&lt;&gt;"TXO"),L1463,"")</f>
        <v/>
      </c>
      <c r="U1463" s="61">
        <f>IF(AND(R1463="Yes",S1463&lt;&gt;"Yes",L1463&lt;0,B1463&lt;&gt;"TXO"),L1463,"")</f>
        <v/>
      </c>
      <c r="V1463" s="61">
        <f>IF(AND(R1463="",S1463&lt;&gt;"Yes",L1463&gt;0,B1463&lt;&gt;"TXO"),L1463,"")</f>
        <v/>
      </c>
      <c r="W1463" s="61">
        <f>IF(AND(R1463="",S1463&lt;&gt;"Yes",L1463&lt;0,B1463&lt;&gt;"TXO"),L1463,"")</f>
        <v/>
      </c>
      <c r="X1463" s="226">
        <f>IF(AND(R1463="Yes",S1463="Yes",L1463&gt;0,B1463&lt;&gt;"TXO"),L1463,"")</f>
        <v/>
      </c>
      <c r="Y1463" s="226">
        <f>IF(AND(R1463="Yes",S1463="Yes",L1463&lt;0,B1463&lt;&gt;"TXO"),L1463,"")</f>
        <v/>
      </c>
      <c r="Z1463" s="226">
        <f>IF(AND(R1463="",S1463="Yes",L1463&gt;0,B1463&lt;&gt;"TXO"),L1463,"")</f>
        <v/>
      </c>
      <c r="AA1463" s="226">
        <f>IF(AND(R1463="",S1463="Yes",L1463&lt;0,B1463&lt;&gt;"TXO"),L1463,"")</f>
        <v/>
      </c>
    </row>
    <row r="1464" hidden="1" outlineLevel="2" collapsed="1" ht="17.25" customHeight="1" thickBot="1">
      <c r="A1464" s="740" t="n">
        <v>43395</v>
      </c>
      <c r="B1464" s="299" t="inlineStr">
        <is>
          <t>FIMTX</t>
        </is>
      </c>
      <c r="C1464" s="300" t="inlineStr">
        <is>
          <t>小指11</t>
        </is>
      </c>
      <c r="D1464" s="300" t="inlineStr">
        <is>
          <t>新倉</t>
        </is>
      </c>
      <c r="E1464" s="301" t="inlineStr">
        <is>
          <t>賣</t>
        </is>
      </c>
      <c r="F1464" s="300" t="inlineStr">
        <is>
          <t>-</t>
        </is>
      </c>
      <c r="G1464" s="741" t="n">
        <v>1</v>
      </c>
      <c r="H1464" s="741" t="n">
        <v>9934</v>
      </c>
      <c r="I1464" s="741" t="n">
        <v>0</v>
      </c>
      <c r="J1464" s="742" t="n">
        <v>23</v>
      </c>
      <c r="K1464" s="742" t="n">
        <v>10</v>
      </c>
      <c r="L1464" s="742">
        <f>IF(B1464="TXO",I1464-SUM(J1464:K1464),IF(B1464="FITX",IF(D1464="新倉",-SUM(J1464:K1464),IF(E1464="賣",(H1464-H1463)*G1464*200-SUM(J1464:K1464),(H1463-H1464)*G1464*200-SUM(J1464:K1464))),IF(D1464="新倉",-SUM(J1464:K1464),IF(E1464="賣",(H1464-H1463)*G1464*50-SUM(J1464:K1464),(H1463-H1464)*G1464*50-SUM(J1464:K1464)))))</f>
        <v/>
      </c>
      <c r="M1464" s="743">
        <f>L1464</f>
        <v/>
      </c>
      <c r="N1464" s="686">
        <f>IF(B1464="TXO","",IF(D1464="新倉","",IF(E1464="賣",(H1464-H1463)*G1464,(H1463-H1464)*G1464)))</f>
        <v/>
      </c>
      <c r="O1464" s="226">
        <f>ABS(I1464)</f>
        <v/>
      </c>
      <c r="P1464" s="667" t="n"/>
      <c r="Q1464" s="315" t="n"/>
      <c r="R1464" s="249" t="inlineStr">
        <is>
          <t>Yes</t>
        </is>
      </c>
      <c r="S1464" s="249" t="n"/>
      <c r="T1464" s="61">
        <f>IF(AND(R1464="Yes",S1464&lt;&gt;"Yes",L1464&gt;0,B1464&lt;&gt;"TXO"),L1464,"")</f>
        <v/>
      </c>
      <c r="U1464" s="61">
        <f>IF(AND(R1464="Yes",S1464&lt;&gt;"Yes",L1464&lt;0,B1464&lt;&gt;"TXO"),L1464,"")</f>
        <v/>
      </c>
      <c r="V1464" s="61">
        <f>IF(AND(R1464="",S1464&lt;&gt;"Yes",L1464&gt;0,B1464&lt;&gt;"TXO"),L1464,"")</f>
        <v/>
      </c>
      <c r="W1464" s="61">
        <f>IF(AND(R1464="",S1464&lt;&gt;"Yes",L1464&lt;0,B1464&lt;&gt;"TXO"),L1464,"")</f>
        <v/>
      </c>
      <c r="X1464" s="226">
        <f>IF(AND(R1464="Yes",S1464="Yes",L1464&gt;0,B1464&lt;&gt;"TXO"),L1464,"")</f>
        <v/>
      </c>
      <c r="Y1464" s="226">
        <f>IF(AND(R1464="Yes",S1464="Yes",L1464&lt;0,B1464&lt;&gt;"TXO"),L1464,"")</f>
        <v/>
      </c>
      <c r="Z1464" s="226">
        <f>IF(AND(R1464="",S1464="Yes",L1464&gt;0,B1464&lt;&gt;"TXO"),L1464,"")</f>
        <v/>
      </c>
      <c r="AA1464" s="226">
        <f>IF(AND(R1464="",S1464="Yes",L1464&lt;0,B1464&lt;&gt;"TXO"),L1464,"")</f>
        <v/>
      </c>
    </row>
    <row r="1465" hidden="1" outlineLevel="2" collapsed="1" ht="17.25" customHeight="1" thickBot="1">
      <c r="A1465" s="740" t="n">
        <v>43395</v>
      </c>
      <c r="B1465" s="299" t="inlineStr">
        <is>
          <t>FIMTX</t>
        </is>
      </c>
      <c r="C1465" s="300" t="inlineStr">
        <is>
          <t>小指11</t>
        </is>
      </c>
      <c r="D1465" s="300" t="inlineStr">
        <is>
          <t>平倉</t>
        </is>
      </c>
      <c r="E1465" s="301" t="inlineStr">
        <is>
          <t>買</t>
        </is>
      </c>
      <c r="F1465" s="300" t="inlineStr">
        <is>
          <t>-</t>
        </is>
      </c>
      <c r="G1465" s="741" t="n">
        <v>1</v>
      </c>
      <c r="H1465" s="741" t="n">
        <v>9941</v>
      </c>
      <c r="I1465" s="741" t="n">
        <v>0</v>
      </c>
      <c r="J1465" s="742" t="n">
        <v>23</v>
      </c>
      <c r="K1465" s="742" t="n">
        <v>10</v>
      </c>
      <c r="L1465" s="742">
        <f>IF(B1465="TXO",I1465-SUM(J1465:K1465),IF(B1465="FITX",IF(D1465="新倉",-SUM(J1465:K1465),IF(E1465="賣",(H1465-H1464)*G1465*200-SUM(J1465:K1465),(H1464-H1465)*G1465*200-SUM(J1465:K1465))),IF(D1465="新倉",-SUM(J1465:K1465),IF(E1465="賣",(H1465-H1464)*G1465*50-SUM(J1465:K1465),(H1464-H1465)*G1465*50-SUM(J1465:K1465)))))</f>
        <v/>
      </c>
      <c r="M1465" s="743">
        <f>L1465</f>
        <v/>
      </c>
      <c r="N1465" s="686">
        <f>IF(B1465="TXO","",IF(D1465="新倉","",IF(E1465="賣",(H1465-H1464)*G1465,(H1464-H1465)*G1465)))</f>
        <v/>
      </c>
      <c r="O1465" s="226">
        <f>ABS(I1465)</f>
        <v/>
      </c>
      <c r="P1465" s="667" t="n"/>
      <c r="Q1465" s="315" t="inlineStr">
        <is>
          <t>技法: 碰10MA停損</t>
        </is>
      </c>
      <c r="R1465" s="249" t="inlineStr">
        <is>
          <t>Yes</t>
        </is>
      </c>
      <c r="S1465" s="249" t="n"/>
      <c r="T1465" s="61">
        <f>IF(AND(R1465="Yes",S1465&lt;&gt;"Yes",L1465&gt;0,B1465&lt;&gt;"TXO"),L1465,"")</f>
        <v/>
      </c>
      <c r="U1465" s="61">
        <f>IF(AND(R1465="Yes",S1465&lt;&gt;"Yes",L1465&lt;0,B1465&lt;&gt;"TXO"),L1465,"")</f>
        <v/>
      </c>
      <c r="V1465" s="61">
        <f>IF(AND(R1465="",S1465&lt;&gt;"Yes",L1465&gt;0,B1465&lt;&gt;"TXO"),L1465,"")</f>
        <v/>
      </c>
      <c r="W1465" s="61">
        <f>IF(AND(R1465="",S1465&lt;&gt;"Yes",L1465&lt;0,B1465&lt;&gt;"TXO"),L1465,"")</f>
        <v/>
      </c>
      <c r="X1465" s="226">
        <f>IF(AND(R1465="Yes",S1465="Yes",L1465&gt;0,B1465&lt;&gt;"TXO"),L1465,"")</f>
        <v/>
      </c>
      <c r="Y1465" s="226">
        <f>IF(AND(R1465="Yes",S1465="Yes",L1465&lt;0,B1465&lt;&gt;"TXO"),L1465,"")</f>
        <v/>
      </c>
      <c r="Z1465" s="226">
        <f>IF(AND(R1465="",S1465="Yes",L1465&gt;0,B1465&lt;&gt;"TXO"),L1465,"")</f>
        <v/>
      </c>
      <c r="AA1465" s="226">
        <f>IF(AND(R1465="",S1465="Yes",L1465&lt;0,B1465&lt;&gt;"TXO"),L1465,"")</f>
        <v/>
      </c>
    </row>
    <row r="1466" hidden="1" outlineLevel="2" collapsed="1" ht="17.25" customHeight="1" thickBot="1">
      <c r="A1466" s="740" t="n">
        <v>43395</v>
      </c>
      <c r="B1466" s="299" t="inlineStr">
        <is>
          <t>FIMTX</t>
        </is>
      </c>
      <c r="C1466" s="300" t="inlineStr">
        <is>
          <t>小指11</t>
        </is>
      </c>
      <c r="D1466" s="300" t="inlineStr">
        <is>
          <t>新倉</t>
        </is>
      </c>
      <c r="E1466" s="301" t="inlineStr">
        <is>
          <t>賣</t>
        </is>
      </c>
      <c r="F1466" s="300" t="inlineStr">
        <is>
          <t>-</t>
        </is>
      </c>
      <c r="G1466" s="741" t="n">
        <v>1</v>
      </c>
      <c r="H1466" s="741" t="n">
        <v>9934</v>
      </c>
      <c r="I1466" s="741" t="n">
        <v>0</v>
      </c>
      <c r="J1466" s="742" t="n">
        <v>23</v>
      </c>
      <c r="K1466" s="742" t="n">
        <v>10</v>
      </c>
      <c r="L1466" s="742">
        <f>IF(B1466="TXO",I1466-SUM(J1466:K1466),IF(B1466="FITX",IF(D1466="新倉",-SUM(J1466:K1466),IF(E1466="賣",(H1466-H1465)*G1466*200-SUM(J1466:K1466),(H1465-H1466)*G1466*200-SUM(J1466:K1466))),IF(D1466="新倉",-SUM(J1466:K1466),IF(E1466="賣",(H1466-H1465)*G1466*50-SUM(J1466:K1466),(H1465-H1466)*G1466*50-SUM(J1466:K1466)))))</f>
        <v/>
      </c>
      <c r="M1466" s="743">
        <f>L1466</f>
        <v/>
      </c>
      <c r="N1466" s="686">
        <f>IF(B1466="TXO","",IF(D1466="新倉","",IF(E1466="賣",(H1466-H1465)*G1466,(H1465-H1466)*G1466)))</f>
        <v/>
      </c>
      <c r="O1466" s="226">
        <f>ABS(I1466)</f>
        <v/>
      </c>
      <c r="P1466" s="667" t="n"/>
      <c r="Q1466" s="315" t="n"/>
      <c r="R1466" s="249" t="inlineStr">
        <is>
          <t>Yes</t>
        </is>
      </c>
      <c r="S1466" s="249" t="n"/>
      <c r="T1466" s="61">
        <f>IF(AND(R1466="Yes",S1466&lt;&gt;"Yes",L1466&gt;0,B1466&lt;&gt;"TXO"),L1466,"")</f>
        <v/>
      </c>
      <c r="U1466" s="61">
        <f>IF(AND(R1466="Yes",S1466&lt;&gt;"Yes",L1466&lt;0,B1466&lt;&gt;"TXO"),L1466,"")</f>
        <v/>
      </c>
      <c r="V1466" s="61">
        <f>IF(AND(R1466="",S1466&lt;&gt;"Yes",L1466&gt;0,B1466&lt;&gt;"TXO"),L1466,"")</f>
        <v/>
      </c>
      <c r="W1466" s="61">
        <f>IF(AND(R1466="",S1466&lt;&gt;"Yes",L1466&lt;0,B1466&lt;&gt;"TXO"),L1466,"")</f>
        <v/>
      </c>
      <c r="X1466" s="226">
        <f>IF(AND(R1466="Yes",S1466="Yes",L1466&gt;0,B1466&lt;&gt;"TXO"),L1466,"")</f>
        <v/>
      </c>
      <c r="Y1466" s="226">
        <f>IF(AND(R1466="Yes",S1466="Yes",L1466&lt;0,B1466&lt;&gt;"TXO"),L1466,"")</f>
        <v/>
      </c>
      <c r="Z1466" s="226">
        <f>IF(AND(R1466="",S1466="Yes",L1466&gt;0,B1466&lt;&gt;"TXO"),L1466,"")</f>
        <v/>
      </c>
      <c r="AA1466" s="226">
        <f>IF(AND(R1466="",S1466="Yes",L1466&lt;0,B1466&lt;&gt;"TXO"),L1466,"")</f>
        <v/>
      </c>
    </row>
    <row r="1467" hidden="1" outlineLevel="2" collapsed="1" ht="17.25" customHeight="1" thickBot="1">
      <c r="A1467" s="740" t="n">
        <v>43395</v>
      </c>
      <c r="B1467" s="299" t="inlineStr">
        <is>
          <t>FIMTX</t>
        </is>
      </c>
      <c r="C1467" s="300" t="inlineStr">
        <is>
          <t>小指11</t>
        </is>
      </c>
      <c r="D1467" s="300" t="inlineStr">
        <is>
          <t>平倉</t>
        </is>
      </c>
      <c r="E1467" s="301" t="inlineStr">
        <is>
          <t>買</t>
        </is>
      </c>
      <c r="F1467" s="300" t="inlineStr">
        <is>
          <t>-</t>
        </is>
      </c>
      <c r="G1467" s="741" t="n">
        <v>1</v>
      </c>
      <c r="H1467" s="741" t="n">
        <v>9942</v>
      </c>
      <c r="I1467" s="741" t="n">
        <v>0</v>
      </c>
      <c r="J1467" s="742" t="n">
        <v>23</v>
      </c>
      <c r="K1467" s="742" t="n">
        <v>10</v>
      </c>
      <c r="L1467" s="742">
        <f>IF(B1467="TXO",I1467-SUM(J1467:K1467),IF(B1467="FITX",IF(D1467="新倉",-SUM(J1467:K1467),IF(E1467="賣",(H1467-H1466)*G1467*200-SUM(J1467:K1467),(H1466-H1467)*G1467*200-SUM(J1467:K1467))),IF(D1467="新倉",-SUM(J1467:K1467),IF(E1467="賣",(H1467-H1466)*G1467*50-SUM(J1467:K1467),(H1466-H1467)*G1467*50-SUM(J1467:K1467)))))</f>
        <v/>
      </c>
      <c r="M1467" s="743">
        <f>L1467</f>
        <v/>
      </c>
      <c r="N1467" s="686">
        <f>IF(B1467="TXO","",IF(D1467="新倉","",IF(E1467="賣",(H1467-H1466)*G1467,(H1466-H1467)*G1467)))</f>
        <v/>
      </c>
      <c r="O1467" s="226">
        <f>ABS(I1467)</f>
        <v/>
      </c>
      <c r="P1467" s="667" t="n"/>
      <c r="Q1467" s="315" t="inlineStr">
        <is>
          <t>技法: 碰10MA停損</t>
        </is>
      </c>
      <c r="R1467" s="249" t="inlineStr">
        <is>
          <t>Yes</t>
        </is>
      </c>
      <c r="S1467" s="249" t="n"/>
      <c r="T1467" s="61">
        <f>IF(AND(R1467="Yes",S1467&lt;&gt;"Yes",L1467&gt;0,B1467&lt;&gt;"TXO"),L1467,"")</f>
        <v/>
      </c>
      <c r="U1467" s="61">
        <f>IF(AND(R1467="Yes",S1467&lt;&gt;"Yes",L1467&lt;0,B1467&lt;&gt;"TXO"),L1467,"")</f>
        <v/>
      </c>
      <c r="V1467" s="61">
        <f>IF(AND(R1467="",S1467&lt;&gt;"Yes",L1467&gt;0,B1467&lt;&gt;"TXO"),L1467,"")</f>
        <v/>
      </c>
      <c r="W1467" s="61">
        <f>IF(AND(R1467="",S1467&lt;&gt;"Yes",L1467&lt;0,B1467&lt;&gt;"TXO"),L1467,"")</f>
        <v/>
      </c>
      <c r="X1467" s="226">
        <f>IF(AND(R1467="Yes",S1467="Yes",L1467&gt;0,B1467&lt;&gt;"TXO"),L1467,"")</f>
        <v/>
      </c>
      <c r="Y1467" s="226">
        <f>IF(AND(R1467="Yes",S1467="Yes",L1467&lt;0,B1467&lt;&gt;"TXO"),L1467,"")</f>
        <v/>
      </c>
      <c r="Z1467" s="226">
        <f>IF(AND(R1467="",S1467="Yes",L1467&gt;0,B1467&lt;&gt;"TXO"),L1467,"")</f>
        <v/>
      </c>
      <c r="AA1467" s="226">
        <f>IF(AND(R1467="",S1467="Yes",L1467&lt;0,B1467&lt;&gt;"TXO"),L1467,"")</f>
        <v/>
      </c>
    </row>
    <row r="1468" hidden="1" outlineLevel="2" collapsed="1" ht="17.25" customHeight="1" thickBot="1">
      <c r="A1468" s="740" t="n">
        <v>43395</v>
      </c>
      <c r="B1468" s="299" t="inlineStr">
        <is>
          <t>FIMTX</t>
        </is>
      </c>
      <c r="C1468" s="300" t="inlineStr">
        <is>
          <t>小指11</t>
        </is>
      </c>
      <c r="D1468" s="300" t="inlineStr">
        <is>
          <t>新倉</t>
        </is>
      </c>
      <c r="E1468" s="301" t="inlineStr">
        <is>
          <t>買</t>
        </is>
      </c>
      <c r="F1468" s="300" t="inlineStr">
        <is>
          <t>-</t>
        </is>
      </c>
      <c r="G1468" s="741" t="n">
        <v>1</v>
      </c>
      <c r="H1468" s="741" t="n">
        <v>9926</v>
      </c>
      <c r="I1468" s="741" t="n">
        <v>0</v>
      </c>
      <c r="J1468" s="742" t="n">
        <v>23</v>
      </c>
      <c r="K1468" s="742" t="n">
        <v>10</v>
      </c>
      <c r="L1468" s="742">
        <f>IF(B1468="TXO",I1468-SUM(J1468:K1468),IF(B1468="FITX",IF(D1468="新倉",-SUM(J1468:K1468),IF(E1468="賣",(H1468-H1467)*G1468*200-SUM(J1468:K1468),(H1467-H1468)*G1468*200-SUM(J1468:K1468))),IF(D1468="新倉",-SUM(J1468:K1468),IF(E1468="賣",(H1468-H1467)*G1468*50-SUM(J1468:K1468),(H1467-H1468)*G1468*50-SUM(J1468:K1468)))))</f>
        <v/>
      </c>
      <c r="M1468" s="743">
        <f>L1468</f>
        <v/>
      </c>
      <c r="N1468" s="686">
        <f>IF(B1468="TXO","",IF(D1468="新倉","",IF(E1468="賣",(H1468-H1467)*G1468,(H1467-H1468)*G1468)))</f>
        <v/>
      </c>
      <c r="O1468" s="226">
        <f>ABS(I1468)</f>
        <v/>
      </c>
      <c r="P1468" s="667" t="n"/>
      <c r="Q1468" s="315" t="inlineStr">
        <is>
          <t>技法: 3/3 買進三口</t>
        </is>
      </c>
      <c r="R1468" s="249" t="inlineStr">
        <is>
          <t>Yes</t>
        </is>
      </c>
      <c r="S1468" s="249" t="inlineStr">
        <is>
          <t>Yes</t>
        </is>
      </c>
      <c r="T1468" s="61">
        <f>IF(AND(R1468="Yes",S1468&lt;&gt;"Yes",L1468&gt;0,B1468&lt;&gt;"TXO"),L1468,"")</f>
        <v/>
      </c>
      <c r="U1468" s="61">
        <f>IF(AND(R1468="Yes",S1468&lt;&gt;"Yes",L1468&lt;0,B1468&lt;&gt;"TXO"),L1468,"")</f>
        <v/>
      </c>
      <c r="V1468" s="61">
        <f>IF(AND(R1468="",S1468&lt;&gt;"Yes",L1468&gt;0,B1468&lt;&gt;"TXO"),L1468,"")</f>
        <v/>
      </c>
      <c r="W1468" s="61">
        <f>IF(AND(R1468="",S1468&lt;&gt;"Yes",L1468&lt;0,B1468&lt;&gt;"TXO"),L1468,"")</f>
        <v/>
      </c>
      <c r="X1468" s="226">
        <f>IF(AND(R1468="Yes",S1468="Yes",L1468&gt;0,B1468&lt;&gt;"TXO"),L1468,"")</f>
        <v/>
      </c>
      <c r="Y1468" s="226">
        <f>IF(AND(R1468="Yes",S1468="Yes",L1468&lt;0,B1468&lt;&gt;"TXO"),L1468,"")</f>
        <v/>
      </c>
      <c r="Z1468" s="226">
        <f>IF(AND(R1468="",S1468="Yes",L1468&gt;0,B1468&lt;&gt;"TXO"),L1468,"")</f>
        <v/>
      </c>
      <c r="AA1468" s="226">
        <f>IF(AND(R1468="",S1468="Yes",L1468&lt;0,B1468&lt;&gt;"TXO"),L1468,"")</f>
        <v/>
      </c>
    </row>
    <row r="1469" hidden="1" outlineLevel="2" collapsed="1" ht="17.25" customHeight="1" thickBot="1">
      <c r="A1469" s="740" t="n">
        <v>43395</v>
      </c>
      <c r="B1469" s="299" t="inlineStr">
        <is>
          <t>FIMTX</t>
        </is>
      </c>
      <c r="C1469" s="300" t="inlineStr">
        <is>
          <t>小指11</t>
        </is>
      </c>
      <c r="D1469" s="300" t="inlineStr">
        <is>
          <t>平倉</t>
        </is>
      </c>
      <c r="E1469" s="301" t="inlineStr">
        <is>
          <t>賣</t>
        </is>
      </c>
      <c r="F1469" s="300" t="inlineStr">
        <is>
          <t>-</t>
        </is>
      </c>
      <c r="G1469" s="741" t="n">
        <v>1</v>
      </c>
      <c r="H1469" s="741" t="n">
        <v>9928</v>
      </c>
      <c r="I1469" s="741" t="n">
        <v>0</v>
      </c>
      <c r="J1469" s="742" t="n">
        <v>23</v>
      </c>
      <c r="K1469" s="742" t="n">
        <v>10</v>
      </c>
      <c r="L1469" s="742">
        <f>IF(B1469="TXO",I1469-SUM(J1469:K1469),IF(B1469="FITX",IF(D1469="新倉",-SUM(J1469:K1469),IF(E1469="賣",(H1469-H1468)*G1469*200-SUM(J1469:K1469),(H1468-H1469)*G1469*200-SUM(J1469:K1469))),IF(D1469="新倉",-SUM(J1469:K1469),IF(E1469="賣",(H1469-H1468)*G1469*50-SUM(J1469:K1469),(H1468-H1469)*G1469*50-SUM(J1469:K1469)))))</f>
        <v/>
      </c>
      <c r="M1469" s="743">
        <f>L1469</f>
        <v/>
      </c>
      <c r="N1469" s="686">
        <f>IF(B1469="TXO","",IF(D1469="新倉","",IF(E1469="賣",(H1469-H1468)*G1469,(H1468-H1469)*G1469)))</f>
        <v/>
      </c>
      <c r="O1469" s="226">
        <f>ABS(I1469)</f>
        <v/>
      </c>
      <c r="P1469" s="667" t="n"/>
      <c r="Q1469" s="315" t="inlineStr">
        <is>
          <t>技法: 刺補</t>
        </is>
      </c>
      <c r="R1469" s="249" t="inlineStr">
        <is>
          <t>Yes</t>
        </is>
      </c>
      <c r="S1469" s="249" t="inlineStr">
        <is>
          <t>Yes</t>
        </is>
      </c>
      <c r="T1469" s="61">
        <f>IF(AND(R1469="Yes",S1469&lt;&gt;"Yes",L1469&gt;0,B1469&lt;&gt;"TXO"),L1469,"")</f>
        <v/>
      </c>
      <c r="U1469" s="61">
        <f>IF(AND(R1469="Yes",S1469&lt;&gt;"Yes",L1469&lt;0,B1469&lt;&gt;"TXO"),L1469,"")</f>
        <v/>
      </c>
      <c r="V1469" s="61">
        <f>IF(AND(R1469="",S1469&lt;&gt;"Yes",L1469&gt;0,B1469&lt;&gt;"TXO"),L1469,"")</f>
        <v/>
      </c>
      <c r="W1469" s="61">
        <f>IF(AND(R1469="",S1469&lt;&gt;"Yes",L1469&lt;0,B1469&lt;&gt;"TXO"),L1469,"")</f>
        <v/>
      </c>
      <c r="X1469" s="226">
        <f>IF(AND(R1469="Yes",S1469="Yes",L1469&gt;0,B1469&lt;&gt;"TXO"),L1469,"")</f>
        <v/>
      </c>
      <c r="Y1469" s="226">
        <f>IF(AND(R1469="Yes",S1469="Yes",L1469&lt;0,B1469&lt;&gt;"TXO"),L1469,"")</f>
        <v/>
      </c>
      <c r="Z1469" s="226">
        <f>IF(AND(R1469="",S1469="Yes",L1469&gt;0,B1469&lt;&gt;"TXO"),L1469,"")</f>
        <v/>
      </c>
      <c r="AA1469" s="226">
        <f>IF(AND(R1469="",S1469="Yes",L1469&lt;0,B1469&lt;&gt;"TXO"),L1469,"")</f>
        <v/>
      </c>
    </row>
    <row r="1470" hidden="1" outlineLevel="2" collapsed="1" ht="17.25" customHeight="1" thickBot="1">
      <c r="A1470" s="740" t="n">
        <v>43395</v>
      </c>
      <c r="B1470" s="299" t="inlineStr">
        <is>
          <t>FIMTX</t>
        </is>
      </c>
      <c r="C1470" s="300" t="inlineStr">
        <is>
          <t>小指11</t>
        </is>
      </c>
      <c r="D1470" s="300" t="inlineStr">
        <is>
          <t>新倉</t>
        </is>
      </c>
      <c r="E1470" s="301" t="inlineStr">
        <is>
          <t>買</t>
        </is>
      </c>
      <c r="F1470" s="300" t="inlineStr">
        <is>
          <t>-</t>
        </is>
      </c>
      <c r="G1470" s="741" t="n">
        <v>1</v>
      </c>
      <c r="H1470" s="741" t="n">
        <v>9926</v>
      </c>
      <c r="I1470" s="741" t="n">
        <v>0</v>
      </c>
      <c r="J1470" s="742" t="n">
        <v>23</v>
      </c>
      <c r="K1470" s="742" t="n">
        <v>10</v>
      </c>
      <c r="L1470" s="742">
        <f>IF(B1470="TXO",I1470-SUM(J1470:K1470),IF(B1470="FITX",IF(D1470="新倉",-SUM(J1470:K1470),IF(E1470="賣",(H1470-H1469)*G1470*200-SUM(J1470:K1470),(H1469-H1470)*G1470*200-SUM(J1470:K1470))),IF(D1470="新倉",-SUM(J1470:K1470),IF(E1470="賣",(H1470-H1469)*G1470*50-SUM(J1470:K1470),(H1469-H1470)*G1470*50-SUM(J1470:K1470)))))</f>
        <v/>
      </c>
      <c r="M1470" s="743">
        <f>L1470</f>
        <v/>
      </c>
      <c r="N1470" s="686">
        <f>IF(B1470="TXO","",IF(D1470="新倉","",IF(E1470="賣",(H1470-H1469)*G1470,(H1469-H1470)*G1470)))</f>
        <v/>
      </c>
      <c r="O1470" s="226">
        <f>ABS(I1470)</f>
        <v/>
      </c>
      <c r="P1470" s="667" t="n"/>
      <c r="Q1470" s="311" t="n"/>
      <c r="S1470" s="249" t="inlineStr">
        <is>
          <t>Yes</t>
        </is>
      </c>
      <c r="T1470" s="61">
        <f>IF(AND(R1470="Yes",S1470&lt;&gt;"Yes",L1470&gt;0,B1470&lt;&gt;"TXO"),L1470,"")</f>
        <v/>
      </c>
      <c r="U1470" s="61">
        <f>IF(AND(R1470="Yes",S1470&lt;&gt;"Yes",L1470&lt;0,B1470&lt;&gt;"TXO"),L1470,"")</f>
        <v/>
      </c>
      <c r="V1470" s="61">
        <f>IF(AND(R1470="",S1470&lt;&gt;"Yes",L1470&gt;0,B1470&lt;&gt;"TXO"),L1470,"")</f>
        <v/>
      </c>
      <c r="W1470" s="61">
        <f>IF(AND(R1470="",S1470&lt;&gt;"Yes",L1470&lt;0,B1470&lt;&gt;"TXO"),L1470,"")</f>
        <v/>
      </c>
      <c r="X1470" s="226">
        <f>IF(AND(R1470="Yes",S1470="Yes",L1470&gt;0,B1470&lt;&gt;"TXO"),L1470,"")</f>
        <v/>
      </c>
      <c r="Y1470" s="226">
        <f>IF(AND(R1470="Yes",S1470="Yes",L1470&lt;0,B1470&lt;&gt;"TXO"),L1470,"")</f>
        <v/>
      </c>
      <c r="Z1470" s="226">
        <f>IF(AND(R1470="",S1470="Yes",L1470&gt;0,B1470&lt;&gt;"TXO"),L1470,"")</f>
        <v/>
      </c>
      <c r="AA1470" s="226">
        <f>IF(AND(R1470="",S1470="Yes",L1470&lt;0,B1470&lt;&gt;"TXO"),L1470,"")</f>
        <v/>
      </c>
    </row>
    <row r="1471" hidden="1" outlineLevel="2" collapsed="1" ht="17.25" customHeight="1" thickBot="1">
      <c r="A1471" s="740" t="n">
        <v>43395</v>
      </c>
      <c r="B1471" s="299" t="inlineStr">
        <is>
          <t>FIMTX</t>
        </is>
      </c>
      <c r="C1471" s="300" t="inlineStr">
        <is>
          <t>小指11</t>
        </is>
      </c>
      <c r="D1471" s="300" t="inlineStr">
        <is>
          <t>平倉</t>
        </is>
      </c>
      <c r="E1471" s="301" t="inlineStr">
        <is>
          <t>賣</t>
        </is>
      </c>
      <c r="F1471" s="300" t="inlineStr">
        <is>
          <t>-</t>
        </is>
      </c>
      <c r="G1471" s="741" t="n">
        <v>1</v>
      </c>
      <c r="H1471" s="741" t="n">
        <v>9807</v>
      </c>
      <c r="I1471" s="741" t="n">
        <v>0</v>
      </c>
      <c r="J1471" s="742" t="n">
        <v>23</v>
      </c>
      <c r="K1471" s="742" t="n">
        <v>10</v>
      </c>
      <c r="L1471" s="742">
        <f>IF(B1471="TXO",I1471-SUM(J1471:K1471),IF(B1471="FITX",IF(D1471="新倉",-SUM(J1471:K1471),IF(E1471="賣",(H1471-H1470)*G1471*200-SUM(J1471:K1471),(H1470-H1471)*G1471*200-SUM(J1471:K1471))),IF(D1471="新倉",-SUM(J1471:K1471),IF(E1471="賣",(H1471-H1470)*G1471*50-SUM(J1471:K1471),(H1470-H1471)*G1471*50-SUM(J1471:K1471)))))</f>
        <v/>
      </c>
      <c r="M1471" s="743">
        <f>L1471</f>
        <v/>
      </c>
      <c r="N1471" s="686">
        <f>IF(B1471="TXO","",IF(D1471="新倉","",IF(E1471="賣",(H1471-H1470)*G1471,(H1470-H1471)*G1471)))</f>
        <v/>
      </c>
      <c r="O1471" s="226">
        <f>ABS(I1471)</f>
        <v/>
      </c>
      <c r="P1471" s="667" t="n"/>
      <c r="Q1471" s="311" t="n"/>
      <c r="S1471" s="249" t="inlineStr">
        <is>
          <t>Yes</t>
        </is>
      </c>
      <c r="T1471" s="61">
        <f>IF(AND(R1471="Yes",S1471&lt;&gt;"Yes",L1471&gt;0,B1471&lt;&gt;"TXO"),L1471,"")</f>
        <v/>
      </c>
      <c r="U1471" s="61">
        <f>IF(AND(R1471="Yes",S1471&lt;&gt;"Yes",L1471&lt;0,B1471&lt;&gt;"TXO"),L1471,"")</f>
        <v/>
      </c>
      <c r="V1471" s="61">
        <f>IF(AND(R1471="",S1471&lt;&gt;"Yes",L1471&gt;0,B1471&lt;&gt;"TXO"),L1471,"")</f>
        <v/>
      </c>
      <c r="W1471" s="61">
        <f>IF(AND(R1471="",S1471&lt;&gt;"Yes",L1471&lt;0,B1471&lt;&gt;"TXO"),L1471,"")</f>
        <v/>
      </c>
      <c r="X1471" s="226">
        <f>IF(AND(R1471="Yes",S1471="Yes",L1471&gt;0,B1471&lt;&gt;"TXO"),L1471,"")</f>
        <v/>
      </c>
      <c r="Y1471" s="226">
        <f>IF(AND(R1471="Yes",S1471="Yes",L1471&lt;0,B1471&lt;&gt;"TXO"),L1471,"")</f>
        <v/>
      </c>
      <c r="Z1471" s="226">
        <f>IF(AND(R1471="",S1471="Yes",L1471&gt;0,B1471&lt;&gt;"TXO"),L1471,"")</f>
        <v/>
      </c>
      <c r="AA1471" s="226">
        <f>IF(AND(R1471="",S1471="Yes",L1471&lt;0,B1471&lt;&gt;"TXO"),L1471,"")</f>
        <v/>
      </c>
    </row>
    <row r="1472" hidden="1" outlineLevel="2" collapsed="1" ht="17.25" customHeight="1" thickBot="1">
      <c r="A1472" s="740" t="n">
        <v>43395</v>
      </c>
      <c r="B1472" s="299" t="inlineStr">
        <is>
          <t>FIMTX</t>
        </is>
      </c>
      <c r="C1472" s="300" t="inlineStr">
        <is>
          <t>小指11</t>
        </is>
      </c>
      <c r="D1472" s="300" t="inlineStr">
        <is>
          <t>新倉</t>
        </is>
      </c>
      <c r="E1472" s="301" t="inlineStr">
        <is>
          <t>買</t>
        </is>
      </c>
      <c r="F1472" s="300" t="inlineStr">
        <is>
          <t>-</t>
        </is>
      </c>
      <c r="G1472" s="741" t="n">
        <v>1</v>
      </c>
      <c r="H1472" s="741" t="n">
        <v>9926</v>
      </c>
      <c r="I1472" s="741" t="n">
        <v>0</v>
      </c>
      <c r="J1472" s="742" t="n">
        <v>23</v>
      </c>
      <c r="K1472" s="742" t="n">
        <v>10</v>
      </c>
      <c r="L1472" s="742">
        <f>IF(B1472="TXO",I1472-SUM(J1472:K1472),IF(B1472="FITX",IF(D1472="新倉",-SUM(J1472:K1472),IF(E1472="賣",(H1472-H1471)*G1472*200-SUM(J1472:K1472),(H1471-H1472)*G1472*200-SUM(J1472:K1472))),IF(D1472="新倉",-SUM(J1472:K1472),IF(E1472="賣",(H1472-H1471)*G1472*50-SUM(J1472:K1472),(H1471-H1472)*G1472*50-SUM(J1472:K1472)))))</f>
        <v/>
      </c>
      <c r="M1472" s="743">
        <f>L1472</f>
        <v/>
      </c>
      <c r="N1472" s="686">
        <f>IF(B1472="TXO","",IF(D1472="新倉","",IF(E1472="賣",(H1472-H1471)*G1472,(H1471-H1472)*G1472)))</f>
        <v/>
      </c>
      <c r="O1472" s="226">
        <f>ABS(I1472)</f>
        <v/>
      </c>
      <c r="P1472" s="667" t="n"/>
      <c r="Q1472" s="311" t="n"/>
      <c r="S1472" s="249" t="inlineStr">
        <is>
          <t>Yes</t>
        </is>
      </c>
      <c r="T1472" s="61">
        <f>IF(AND(R1472="Yes",S1472&lt;&gt;"Yes",L1472&gt;0,B1472&lt;&gt;"TXO"),L1472,"")</f>
        <v/>
      </c>
      <c r="U1472" s="61">
        <f>IF(AND(R1472="Yes",S1472&lt;&gt;"Yes",L1472&lt;0,B1472&lt;&gt;"TXO"),L1472,"")</f>
        <v/>
      </c>
      <c r="V1472" s="61">
        <f>IF(AND(R1472="",S1472&lt;&gt;"Yes",L1472&gt;0,B1472&lt;&gt;"TXO"),L1472,"")</f>
        <v/>
      </c>
      <c r="W1472" s="61">
        <f>IF(AND(R1472="",S1472&lt;&gt;"Yes",L1472&lt;0,B1472&lt;&gt;"TXO"),L1472,"")</f>
        <v/>
      </c>
      <c r="X1472" s="226">
        <f>IF(AND(R1472="Yes",S1472="Yes",L1472&gt;0,B1472&lt;&gt;"TXO"),L1472,"")</f>
        <v/>
      </c>
      <c r="Y1472" s="226">
        <f>IF(AND(R1472="Yes",S1472="Yes",L1472&lt;0,B1472&lt;&gt;"TXO"),L1472,"")</f>
        <v/>
      </c>
      <c r="Z1472" s="226">
        <f>IF(AND(R1472="",S1472="Yes",L1472&gt;0,B1472&lt;&gt;"TXO"),L1472,"")</f>
        <v/>
      </c>
      <c r="AA1472" s="226">
        <f>IF(AND(R1472="",S1472="Yes",L1472&lt;0,B1472&lt;&gt;"TXO"),L1472,"")</f>
        <v/>
      </c>
    </row>
    <row r="1473" hidden="1" outlineLevel="2" collapsed="1" ht="17.25" customHeight="1" thickBot="1">
      <c r="A1473" s="740" t="n">
        <v>43395</v>
      </c>
      <c r="B1473" s="299" t="inlineStr">
        <is>
          <t>FIMTX</t>
        </is>
      </c>
      <c r="C1473" s="300" t="inlineStr">
        <is>
          <t>小指11</t>
        </is>
      </c>
      <c r="D1473" s="300" t="inlineStr">
        <is>
          <t>平倉</t>
        </is>
      </c>
      <c r="E1473" s="301" t="inlineStr">
        <is>
          <t>賣</t>
        </is>
      </c>
      <c r="F1473" s="300" t="inlineStr">
        <is>
          <t>-</t>
        </is>
      </c>
      <c r="G1473" s="741" t="n">
        <v>1</v>
      </c>
      <c r="H1473" s="741" t="n">
        <v>9807</v>
      </c>
      <c r="I1473" s="741" t="n">
        <v>0</v>
      </c>
      <c r="J1473" s="742" t="n">
        <v>23</v>
      </c>
      <c r="K1473" s="742" t="n">
        <v>10</v>
      </c>
      <c r="L1473" s="742">
        <f>IF(B1473="TXO",I1473-SUM(J1473:K1473),IF(B1473="FITX",IF(D1473="新倉",-SUM(J1473:K1473),IF(E1473="賣",(H1473-H1472)*G1473*200-SUM(J1473:K1473),(H1472-H1473)*G1473*200-SUM(J1473:K1473))),IF(D1473="新倉",-SUM(J1473:K1473),IF(E1473="賣",(H1473-H1472)*G1473*50-SUM(J1473:K1473),(H1472-H1473)*G1473*50-SUM(J1473:K1473)))))</f>
        <v/>
      </c>
      <c r="M1473" s="743">
        <f>L1473</f>
        <v/>
      </c>
      <c r="N1473" s="686">
        <f>IF(B1473="TXO","",IF(D1473="新倉","",IF(E1473="賣",(H1473-H1472)*G1473,(H1472-H1473)*G1473)))</f>
        <v/>
      </c>
      <c r="O1473" s="226">
        <f>ABS(I1473)</f>
        <v/>
      </c>
      <c r="P1473" s="667" t="n"/>
      <c r="Q1473" s="311" t="n"/>
      <c r="S1473" s="249" t="inlineStr">
        <is>
          <t>Yes</t>
        </is>
      </c>
      <c r="T1473" s="61">
        <f>IF(AND(R1473="Yes",S1473&lt;&gt;"Yes",L1473&gt;0,B1473&lt;&gt;"TXO"),L1473,"")</f>
        <v/>
      </c>
      <c r="U1473" s="61">
        <f>IF(AND(R1473="Yes",S1473&lt;&gt;"Yes",L1473&lt;0,B1473&lt;&gt;"TXO"),L1473,"")</f>
        <v/>
      </c>
      <c r="V1473" s="61">
        <f>IF(AND(R1473="",S1473&lt;&gt;"Yes",L1473&gt;0,B1473&lt;&gt;"TXO"),L1473,"")</f>
        <v/>
      </c>
      <c r="W1473" s="61">
        <f>IF(AND(R1473="",S1473&lt;&gt;"Yes",L1473&lt;0,B1473&lt;&gt;"TXO"),L1473,"")</f>
        <v/>
      </c>
      <c r="X1473" s="226">
        <f>IF(AND(R1473="Yes",S1473="Yes",L1473&gt;0,B1473&lt;&gt;"TXO"),L1473,"")</f>
        <v/>
      </c>
      <c r="Y1473" s="226">
        <f>IF(AND(R1473="Yes",S1473="Yes",L1473&lt;0,B1473&lt;&gt;"TXO"),L1473,"")</f>
        <v/>
      </c>
      <c r="Z1473" s="226">
        <f>IF(AND(R1473="",S1473="Yes",L1473&gt;0,B1473&lt;&gt;"TXO"),L1473,"")</f>
        <v/>
      </c>
      <c r="AA1473" s="226">
        <f>IF(AND(R1473="",S1473="Yes",L1473&lt;0,B1473&lt;&gt;"TXO"),L1473,"")</f>
        <v/>
      </c>
    </row>
    <row r="1474" hidden="1" outlineLevel="2" collapsed="1" ht="17.25" customHeight="1" thickBot="1">
      <c r="A1474" s="740" t="n">
        <v>43395</v>
      </c>
      <c r="B1474" s="299" t="inlineStr">
        <is>
          <t>FIMTX</t>
        </is>
      </c>
      <c r="C1474" s="300" t="inlineStr">
        <is>
          <t>小指11</t>
        </is>
      </c>
      <c r="D1474" s="300" t="inlineStr">
        <is>
          <t>新倉</t>
        </is>
      </c>
      <c r="E1474" s="301" t="inlineStr">
        <is>
          <t>買</t>
        </is>
      </c>
      <c r="F1474" s="300" t="inlineStr">
        <is>
          <t>-</t>
        </is>
      </c>
      <c r="G1474" s="741" t="n">
        <v>1</v>
      </c>
      <c r="H1474" s="741" t="n">
        <v>9907</v>
      </c>
      <c r="I1474" s="741" t="n">
        <v>0</v>
      </c>
      <c r="J1474" s="742" t="n">
        <v>23</v>
      </c>
      <c r="K1474" s="742" t="n">
        <v>10</v>
      </c>
      <c r="L1474" s="742">
        <f>IF(B1474="TXO",I1474-SUM(J1474:K1474),IF(B1474="FITX",IF(D1474="新倉",-SUM(J1474:K1474),IF(E1474="賣",(H1474-H1473)*G1474*200-SUM(J1474:K1474),(H1473-H1474)*G1474*200-SUM(J1474:K1474))),IF(D1474="新倉",-SUM(J1474:K1474),IF(E1474="賣",(H1474-H1473)*G1474*50-SUM(J1474:K1474),(H1473-H1474)*G1474*50-SUM(J1474:K1474)))))</f>
        <v/>
      </c>
      <c r="M1474" s="743">
        <f>L1474</f>
        <v/>
      </c>
      <c r="N1474" s="686">
        <f>IF(B1474="TXO","",IF(D1474="新倉","",IF(E1474="賣",(H1474-H1473)*G1474,(H1473-H1474)*G1474)))</f>
        <v/>
      </c>
      <c r="O1474" s="226">
        <f>ABS(I1474)</f>
        <v/>
      </c>
      <c r="P1474" s="667" t="n"/>
      <c r="Q1474" s="311" t="n"/>
      <c r="S1474" s="249" t="inlineStr">
        <is>
          <t>Yes</t>
        </is>
      </c>
      <c r="T1474" s="61">
        <f>IF(AND(R1474="Yes",S1474&lt;&gt;"Yes",L1474&gt;0,B1474&lt;&gt;"TXO"),L1474,"")</f>
        <v/>
      </c>
      <c r="U1474" s="61">
        <f>IF(AND(R1474="Yes",S1474&lt;&gt;"Yes",L1474&lt;0,B1474&lt;&gt;"TXO"),L1474,"")</f>
        <v/>
      </c>
      <c r="V1474" s="61">
        <f>IF(AND(R1474="",S1474&lt;&gt;"Yes",L1474&gt;0,B1474&lt;&gt;"TXO"),L1474,"")</f>
        <v/>
      </c>
      <c r="W1474" s="61">
        <f>IF(AND(R1474="",S1474&lt;&gt;"Yes",L1474&lt;0,B1474&lt;&gt;"TXO"),L1474,"")</f>
        <v/>
      </c>
      <c r="X1474" s="226">
        <f>IF(AND(R1474="Yes",S1474="Yes",L1474&gt;0,B1474&lt;&gt;"TXO"),L1474,"")</f>
        <v/>
      </c>
      <c r="Y1474" s="226">
        <f>IF(AND(R1474="Yes",S1474="Yes",L1474&lt;0,B1474&lt;&gt;"TXO"),L1474,"")</f>
        <v/>
      </c>
      <c r="Z1474" s="226">
        <f>IF(AND(R1474="",S1474="Yes",L1474&gt;0,B1474&lt;&gt;"TXO"),L1474,"")</f>
        <v/>
      </c>
      <c r="AA1474" s="226">
        <f>IF(AND(R1474="",S1474="Yes",L1474&lt;0,B1474&lt;&gt;"TXO"),L1474,"")</f>
        <v/>
      </c>
    </row>
    <row r="1475" hidden="1" outlineLevel="2" collapsed="1" ht="17.25" customHeight="1" thickBot="1">
      <c r="A1475" s="740" t="n">
        <v>43395</v>
      </c>
      <c r="B1475" s="299" t="inlineStr">
        <is>
          <t>FIMTX</t>
        </is>
      </c>
      <c r="C1475" s="300" t="inlineStr">
        <is>
          <t>小指11</t>
        </is>
      </c>
      <c r="D1475" s="300" t="inlineStr">
        <is>
          <t>平倉</t>
        </is>
      </c>
      <c r="E1475" s="301" t="inlineStr">
        <is>
          <t>賣</t>
        </is>
      </c>
      <c r="F1475" s="300" t="inlineStr">
        <is>
          <t>-</t>
        </is>
      </c>
      <c r="G1475" s="741" t="n">
        <v>1</v>
      </c>
      <c r="H1475" s="741" t="n">
        <v>9808</v>
      </c>
      <c r="I1475" s="741" t="n">
        <v>0</v>
      </c>
      <c r="J1475" s="742" t="n">
        <v>23</v>
      </c>
      <c r="K1475" s="742" t="n">
        <v>10</v>
      </c>
      <c r="L1475" s="742">
        <f>IF(B1475="TXO",I1475-SUM(J1475:K1475),IF(B1475="FITX",IF(D1475="新倉",-SUM(J1475:K1475),IF(E1475="賣",(H1475-H1474)*G1475*200-SUM(J1475:K1475),(H1474-H1475)*G1475*200-SUM(J1475:K1475))),IF(D1475="新倉",-SUM(J1475:K1475),IF(E1475="賣",(H1475-H1474)*G1475*50-SUM(J1475:K1475),(H1474-H1475)*G1475*50-SUM(J1475:K1475)))))</f>
        <v/>
      </c>
      <c r="M1475" s="743">
        <f>L1475</f>
        <v/>
      </c>
      <c r="N1475" s="686">
        <f>IF(B1475="TXO","",IF(D1475="新倉","",IF(E1475="賣",(H1475-H1474)*G1475,(H1474-H1475)*G1475)))</f>
        <v/>
      </c>
      <c r="O1475" s="226">
        <f>ABS(I1475)</f>
        <v/>
      </c>
      <c r="P1475" s="667" t="n"/>
      <c r="Q1475" s="311" t="n"/>
      <c r="S1475" s="249" t="inlineStr">
        <is>
          <t>Yes</t>
        </is>
      </c>
      <c r="T1475" s="61">
        <f>IF(AND(R1475="Yes",S1475&lt;&gt;"Yes",L1475&gt;0,B1475&lt;&gt;"TXO"),L1475,"")</f>
        <v/>
      </c>
      <c r="U1475" s="61">
        <f>IF(AND(R1475="Yes",S1475&lt;&gt;"Yes",L1475&lt;0,B1475&lt;&gt;"TXO"),L1475,"")</f>
        <v/>
      </c>
      <c r="V1475" s="61">
        <f>IF(AND(R1475="",S1475&lt;&gt;"Yes",L1475&gt;0,B1475&lt;&gt;"TXO"),L1475,"")</f>
        <v/>
      </c>
      <c r="W1475" s="61">
        <f>IF(AND(R1475="",S1475&lt;&gt;"Yes",L1475&lt;0,B1475&lt;&gt;"TXO"),L1475,"")</f>
        <v/>
      </c>
      <c r="X1475" s="226">
        <f>IF(AND(R1475="Yes",S1475="Yes",L1475&gt;0,B1475&lt;&gt;"TXO"),L1475,"")</f>
        <v/>
      </c>
      <c r="Y1475" s="226">
        <f>IF(AND(R1475="Yes",S1475="Yes",L1475&lt;0,B1475&lt;&gt;"TXO"),L1475,"")</f>
        <v/>
      </c>
      <c r="Z1475" s="226">
        <f>IF(AND(R1475="",S1475="Yes",L1475&gt;0,B1475&lt;&gt;"TXO"),L1475,"")</f>
        <v/>
      </c>
      <c r="AA1475" s="226">
        <f>IF(AND(R1475="",S1475="Yes",L1475&lt;0,B1475&lt;&gt;"TXO"),L1475,"")</f>
        <v/>
      </c>
    </row>
    <row r="1476" hidden="1" outlineLevel="2" collapsed="1" ht="17.25" customHeight="1" thickBot="1">
      <c r="A1476" s="740" t="n">
        <v>43395</v>
      </c>
      <c r="B1476" s="299" t="inlineStr">
        <is>
          <t>FIMTX</t>
        </is>
      </c>
      <c r="C1476" s="300" t="inlineStr">
        <is>
          <t>小指11</t>
        </is>
      </c>
      <c r="D1476" s="300" t="inlineStr">
        <is>
          <t>新倉</t>
        </is>
      </c>
      <c r="E1476" s="301" t="inlineStr">
        <is>
          <t>買</t>
        </is>
      </c>
      <c r="F1476" s="300" t="inlineStr">
        <is>
          <t>-</t>
        </is>
      </c>
      <c r="G1476" s="741" t="n">
        <v>1</v>
      </c>
      <c r="H1476" s="741" t="n">
        <v>9891</v>
      </c>
      <c r="I1476" s="741" t="n">
        <v>0</v>
      </c>
      <c r="J1476" s="742" t="n">
        <v>23</v>
      </c>
      <c r="K1476" s="742" t="n">
        <v>10</v>
      </c>
      <c r="L1476" s="742">
        <f>IF(B1476="TXO",I1476-SUM(J1476:K1476),IF(B1476="FITX",IF(D1476="新倉",-SUM(J1476:K1476),IF(E1476="賣",(H1476-H1475)*G1476*200-SUM(J1476:K1476),(H1475-H1476)*G1476*200-SUM(J1476:K1476))),IF(D1476="新倉",-SUM(J1476:K1476),IF(E1476="賣",(H1476-H1475)*G1476*50-SUM(J1476:K1476),(H1475-H1476)*G1476*50-SUM(J1476:K1476)))))</f>
        <v/>
      </c>
      <c r="M1476" s="743">
        <f>L1476</f>
        <v/>
      </c>
      <c r="N1476" s="686">
        <f>IF(B1476="TXO","",IF(D1476="新倉","",IF(E1476="賣",(H1476-H1475)*G1476,(H1475-H1476)*G1476)))</f>
        <v/>
      </c>
      <c r="O1476" s="226">
        <f>ABS(I1476)</f>
        <v/>
      </c>
      <c r="P1476" s="667" t="n"/>
      <c r="Q1476" s="311" t="n"/>
      <c r="S1476" s="249" t="inlineStr">
        <is>
          <t>Yes</t>
        </is>
      </c>
      <c r="T1476" s="61">
        <f>IF(AND(R1476="Yes",S1476&lt;&gt;"Yes",L1476&gt;0,B1476&lt;&gt;"TXO"),L1476,"")</f>
        <v/>
      </c>
      <c r="U1476" s="61">
        <f>IF(AND(R1476="Yes",S1476&lt;&gt;"Yes",L1476&lt;0,B1476&lt;&gt;"TXO"),L1476,"")</f>
        <v/>
      </c>
      <c r="V1476" s="61">
        <f>IF(AND(R1476="",S1476&lt;&gt;"Yes",L1476&gt;0,B1476&lt;&gt;"TXO"),L1476,"")</f>
        <v/>
      </c>
      <c r="W1476" s="61">
        <f>IF(AND(R1476="",S1476&lt;&gt;"Yes",L1476&lt;0,B1476&lt;&gt;"TXO"),L1476,"")</f>
        <v/>
      </c>
      <c r="X1476" s="226">
        <f>IF(AND(R1476="Yes",S1476="Yes",L1476&gt;0,B1476&lt;&gt;"TXO"),L1476,"")</f>
        <v/>
      </c>
      <c r="Y1476" s="226">
        <f>IF(AND(R1476="Yes",S1476="Yes",L1476&lt;0,B1476&lt;&gt;"TXO"),L1476,"")</f>
        <v/>
      </c>
      <c r="Z1476" s="226">
        <f>IF(AND(R1476="",S1476="Yes",L1476&gt;0,B1476&lt;&gt;"TXO"),L1476,"")</f>
        <v/>
      </c>
      <c r="AA1476" s="226">
        <f>IF(AND(R1476="",S1476="Yes",L1476&lt;0,B1476&lt;&gt;"TXO"),L1476,"")</f>
        <v/>
      </c>
    </row>
    <row r="1477" hidden="1" outlineLevel="2" collapsed="1" ht="17.25" customHeight="1" thickBot="1">
      <c r="A1477" s="740" t="n">
        <v>43395</v>
      </c>
      <c r="B1477" s="299" t="inlineStr">
        <is>
          <t>FIMTX</t>
        </is>
      </c>
      <c r="C1477" s="300" t="inlineStr">
        <is>
          <t>小指11</t>
        </is>
      </c>
      <c r="D1477" s="300" t="inlineStr">
        <is>
          <t>平倉</t>
        </is>
      </c>
      <c r="E1477" s="301" t="inlineStr">
        <is>
          <t>賣</t>
        </is>
      </c>
      <c r="F1477" s="300" t="inlineStr">
        <is>
          <t>-</t>
        </is>
      </c>
      <c r="G1477" s="741" t="n">
        <v>1</v>
      </c>
      <c r="H1477" s="741" t="n">
        <v>9895</v>
      </c>
      <c r="I1477" s="741" t="n">
        <v>0</v>
      </c>
      <c r="J1477" s="742" t="n">
        <v>23</v>
      </c>
      <c r="K1477" s="742" t="n">
        <v>10</v>
      </c>
      <c r="L1477" s="742">
        <f>IF(B1477="TXO",I1477-SUM(J1477:K1477),IF(B1477="FITX",IF(D1477="新倉",-SUM(J1477:K1477),IF(E1477="賣",(H1477-H1476)*G1477*200-SUM(J1477:K1477),(H1476-H1477)*G1477*200-SUM(J1477:K1477))),IF(D1477="新倉",-SUM(J1477:K1477),IF(E1477="賣",(H1477-H1476)*G1477*50-SUM(J1477:K1477),(H1476-H1477)*G1477*50-SUM(J1477:K1477)))))</f>
        <v/>
      </c>
      <c r="M1477" s="743">
        <f>L1477</f>
        <v/>
      </c>
      <c r="N1477" s="686">
        <f>IF(B1477="TXO","",IF(D1477="新倉","",IF(E1477="賣",(H1477-H1476)*G1477,(H1476-H1477)*G1477)))</f>
        <v/>
      </c>
      <c r="O1477" s="226">
        <f>ABS(I1477)</f>
        <v/>
      </c>
      <c r="P1477" s="667" t="n"/>
      <c r="Q1477" s="311" t="n"/>
      <c r="S1477" s="249" t="inlineStr">
        <is>
          <t>Yes</t>
        </is>
      </c>
      <c r="T1477" s="61">
        <f>IF(AND(R1477="Yes",S1477&lt;&gt;"Yes",L1477&gt;0,B1477&lt;&gt;"TXO"),L1477,"")</f>
        <v/>
      </c>
      <c r="U1477" s="61">
        <f>IF(AND(R1477="Yes",S1477&lt;&gt;"Yes",L1477&lt;0,B1477&lt;&gt;"TXO"),L1477,"")</f>
        <v/>
      </c>
      <c r="V1477" s="61">
        <f>IF(AND(R1477="",S1477&lt;&gt;"Yes",L1477&gt;0,B1477&lt;&gt;"TXO"),L1477,"")</f>
        <v/>
      </c>
      <c r="W1477" s="61">
        <f>IF(AND(R1477="",S1477&lt;&gt;"Yes",L1477&lt;0,B1477&lt;&gt;"TXO"),L1477,"")</f>
        <v/>
      </c>
      <c r="X1477" s="226">
        <f>IF(AND(R1477="Yes",S1477="Yes",L1477&gt;0,B1477&lt;&gt;"TXO"),L1477,"")</f>
        <v/>
      </c>
      <c r="Y1477" s="226">
        <f>IF(AND(R1477="Yes",S1477="Yes",L1477&lt;0,B1477&lt;&gt;"TXO"),L1477,"")</f>
        <v/>
      </c>
      <c r="Z1477" s="226">
        <f>IF(AND(R1477="",S1477="Yes",L1477&gt;0,B1477&lt;&gt;"TXO"),L1477,"")</f>
        <v/>
      </c>
      <c r="AA1477" s="226">
        <f>IF(AND(R1477="",S1477="Yes",L1477&lt;0,B1477&lt;&gt;"TXO"),L1477,"")</f>
        <v/>
      </c>
    </row>
    <row r="1478" hidden="1" outlineLevel="2" collapsed="1" ht="17.25" customHeight="1" thickBot="1">
      <c r="A1478" s="740" t="n">
        <v>43395</v>
      </c>
      <c r="B1478" s="299" t="inlineStr">
        <is>
          <t>FIMTX</t>
        </is>
      </c>
      <c r="C1478" s="300" t="inlineStr">
        <is>
          <t>小指11</t>
        </is>
      </c>
      <c r="D1478" s="300" t="inlineStr">
        <is>
          <t>新倉</t>
        </is>
      </c>
      <c r="E1478" s="301" t="inlineStr">
        <is>
          <t>買</t>
        </is>
      </c>
      <c r="F1478" s="300" t="inlineStr">
        <is>
          <t>-</t>
        </is>
      </c>
      <c r="G1478" s="741" t="n">
        <v>1</v>
      </c>
      <c r="H1478" s="741" t="n">
        <v>9891</v>
      </c>
      <c r="I1478" s="741" t="n">
        <v>0</v>
      </c>
      <c r="J1478" s="742" t="n">
        <v>23</v>
      </c>
      <c r="K1478" s="742" t="n">
        <v>10</v>
      </c>
      <c r="L1478" s="742">
        <f>IF(B1478="TXO",I1478-SUM(J1478:K1478),IF(B1478="FITX",IF(D1478="新倉",-SUM(J1478:K1478),IF(E1478="賣",(H1478-H1477)*G1478*200-SUM(J1478:K1478),(H1477-H1478)*G1478*200-SUM(J1478:K1478))),IF(D1478="新倉",-SUM(J1478:K1478),IF(E1478="賣",(H1478-H1477)*G1478*50-SUM(J1478:K1478),(H1477-H1478)*G1478*50-SUM(J1478:K1478)))))</f>
        <v/>
      </c>
      <c r="M1478" s="743">
        <f>L1478</f>
        <v/>
      </c>
      <c r="N1478" s="686">
        <f>IF(B1478="TXO","",IF(D1478="新倉","",IF(E1478="賣",(H1478-H1477)*G1478,(H1477-H1478)*G1478)))</f>
        <v/>
      </c>
      <c r="O1478" s="226">
        <f>ABS(I1478)</f>
        <v/>
      </c>
      <c r="P1478" s="667" t="n"/>
      <c r="Q1478" s="311" t="n"/>
      <c r="S1478" s="249" t="inlineStr">
        <is>
          <t>Yes</t>
        </is>
      </c>
      <c r="T1478" s="61">
        <f>IF(AND(R1478="Yes",S1478&lt;&gt;"Yes",L1478&gt;0,B1478&lt;&gt;"TXO"),L1478,"")</f>
        <v/>
      </c>
      <c r="U1478" s="61">
        <f>IF(AND(R1478="Yes",S1478&lt;&gt;"Yes",L1478&lt;0,B1478&lt;&gt;"TXO"),L1478,"")</f>
        <v/>
      </c>
      <c r="V1478" s="61">
        <f>IF(AND(R1478="",S1478&lt;&gt;"Yes",L1478&gt;0,B1478&lt;&gt;"TXO"),L1478,"")</f>
        <v/>
      </c>
      <c r="W1478" s="61">
        <f>IF(AND(R1478="",S1478&lt;&gt;"Yes",L1478&lt;0,B1478&lt;&gt;"TXO"),L1478,"")</f>
        <v/>
      </c>
      <c r="X1478" s="226">
        <f>IF(AND(R1478="Yes",S1478="Yes",L1478&gt;0,B1478&lt;&gt;"TXO"),L1478,"")</f>
        <v/>
      </c>
      <c r="Y1478" s="226">
        <f>IF(AND(R1478="Yes",S1478="Yes",L1478&lt;0,B1478&lt;&gt;"TXO"),L1478,"")</f>
        <v/>
      </c>
      <c r="Z1478" s="226">
        <f>IF(AND(R1478="",S1478="Yes",L1478&gt;0,B1478&lt;&gt;"TXO"),L1478,"")</f>
        <v/>
      </c>
      <c r="AA1478" s="226">
        <f>IF(AND(R1478="",S1478="Yes",L1478&lt;0,B1478&lt;&gt;"TXO"),L1478,"")</f>
        <v/>
      </c>
    </row>
    <row r="1479" hidden="1" outlineLevel="2" collapsed="1" ht="17.25" customHeight="1" thickBot="1">
      <c r="A1479" s="740" t="n">
        <v>43395</v>
      </c>
      <c r="B1479" s="299" t="inlineStr">
        <is>
          <t>FIMTX</t>
        </is>
      </c>
      <c r="C1479" s="300" t="inlineStr">
        <is>
          <t>小指11</t>
        </is>
      </c>
      <c r="D1479" s="300" t="inlineStr">
        <is>
          <t>平倉</t>
        </is>
      </c>
      <c r="E1479" s="301" t="inlineStr">
        <is>
          <t>賣</t>
        </is>
      </c>
      <c r="F1479" s="300" t="inlineStr">
        <is>
          <t>-</t>
        </is>
      </c>
      <c r="G1479" s="741" t="n">
        <v>1</v>
      </c>
      <c r="H1479" s="741" t="n">
        <v>9882</v>
      </c>
      <c r="I1479" s="741" t="n">
        <v>0</v>
      </c>
      <c r="J1479" s="742" t="n">
        <v>23</v>
      </c>
      <c r="K1479" s="742" t="n">
        <v>10</v>
      </c>
      <c r="L1479" s="742">
        <f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/>
      </c>
      <c r="M1479" s="743">
        <f>L1479</f>
        <v/>
      </c>
      <c r="N1479" s="686">
        <f>IF(B1479="TXO","",IF(D1479="新倉","",IF(E1479="賣",(H1479-H1478)*G1479,(H1478-H1479)*G1479)))</f>
        <v/>
      </c>
      <c r="O1479" s="226">
        <f>ABS(I1479)</f>
        <v/>
      </c>
      <c r="P1479" s="667" t="n"/>
      <c r="Q1479" s="311" t="n"/>
      <c r="S1479" s="249" t="inlineStr">
        <is>
          <t>Yes</t>
        </is>
      </c>
      <c r="T1479" s="61">
        <f>IF(AND(R1479="Yes",S1479&lt;&gt;"Yes",L1479&gt;0,B1479&lt;&gt;"TXO"),L1479,"")</f>
        <v/>
      </c>
      <c r="U1479" s="61">
        <f>IF(AND(R1479="Yes",S1479&lt;&gt;"Yes",L1479&lt;0,B1479&lt;&gt;"TXO"),L1479,"")</f>
        <v/>
      </c>
      <c r="V1479" s="61">
        <f>IF(AND(R1479="",S1479&lt;&gt;"Yes",L1479&gt;0,B1479&lt;&gt;"TXO"),L1479,"")</f>
        <v/>
      </c>
      <c r="W1479" s="61">
        <f>IF(AND(R1479="",S1479&lt;&gt;"Yes",L1479&lt;0,B1479&lt;&gt;"TXO"),L1479,"")</f>
        <v/>
      </c>
      <c r="X1479" s="226">
        <f>IF(AND(R1479="Yes",S1479="Yes",L1479&gt;0,B1479&lt;&gt;"TXO"),L1479,"")</f>
        <v/>
      </c>
      <c r="Y1479" s="226">
        <f>IF(AND(R1479="Yes",S1479="Yes",L1479&lt;0,B1479&lt;&gt;"TXO"),L1479,"")</f>
        <v/>
      </c>
      <c r="Z1479" s="226">
        <f>IF(AND(R1479="",S1479="Yes",L1479&gt;0,B1479&lt;&gt;"TXO"),L1479,"")</f>
        <v/>
      </c>
      <c r="AA1479" s="226">
        <f>IF(AND(R1479="",S1479="Yes",L1479&lt;0,B1479&lt;&gt;"TXO"),L1479,"")</f>
        <v/>
      </c>
    </row>
    <row r="1480" hidden="1" outlineLevel="2" collapsed="1" ht="17.25" customHeight="1" thickBot="1">
      <c r="A1480" s="740" t="n">
        <v>43395</v>
      </c>
      <c r="B1480" s="299" t="inlineStr">
        <is>
          <t>FIMTX</t>
        </is>
      </c>
      <c r="C1480" s="300" t="inlineStr">
        <is>
          <t>小指11</t>
        </is>
      </c>
      <c r="D1480" s="300" t="inlineStr">
        <is>
          <t>新倉</t>
        </is>
      </c>
      <c r="E1480" s="301" t="inlineStr">
        <is>
          <t>買</t>
        </is>
      </c>
      <c r="F1480" s="300" t="inlineStr">
        <is>
          <t>-</t>
        </is>
      </c>
      <c r="G1480" s="741" t="n">
        <v>1</v>
      </c>
      <c r="H1480" s="741" t="n">
        <v>9892</v>
      </c>
      <c r="I1480" s="741" t="n">
        <v>0</v>
      </c>
      <c r="J1480" s="742" t="n">
        <v>23</v>
      </c>
      <c r="K1480" s="742" t="n">
        <v>10</v>
      </c>
      <c r="L1480" s="742">
        <f>IF(B1480="TXO",I1480-SUM(J1480:K1480),IF(B1480="FITX",IF(D1480="新倉",-SUM(J1480:K1480),IF(E1480="賣",(H1480-H1479)*G1480*200-SUM(J1480:K1480),(H1479-H1480)*G1480*200-SUM(J1480:K1480))),IF(D1480="新倉",-SUM(J1480:K1480),IF(E1480="賣",(H1480-H1479)*G1480*50-SUM(J1480:K1480),(H1479-H1480)*G1480*50-SUM(J1480:K1480)))))</f>
        <v/>
      </c>
      <c r="M1480" s="743">
        <f>L1480</f>
        <v/>
      </c>
      <c r="N1480" s="686">
        <f>IF(B1480="TXO","",IF(D1480="新倉","",IF(E1480="賣",(H1480-H1479)*G1480,(H1479-H1480)*G1480)))</f>
        <v/>
      </c>
      <c r="O1480" s="226">
        <f>ABS(I1480)</f>
        <v/>
      </c>
      <c r="P1480" s="667" t="n"/>
      <c r="Q1480" s="311" t="n"/>
      <c r="S1480" s="249" t="inlineStr">
        <is>
          <t>Yes</t>
        </is>
      </c>
      <c r="T1480" s="61">
        <f>IF(AND(R1480="Yes",S1480&lt;&gt;"Yes",L1480&gt;0,B1480&lt;&gt;"TXO"),L1480,"")</f>
        <v/>
      </c>
      <c r="U1480" s="61">
        <f>IF(AND(R1480="Yes",S1480&lt;&gt;"Yes",L1480&lt;0,B1480&lt;&gt;"TXO"),L1480,"")</f>
        <v/>
      </c>
      <c r="V1480" s="61">
        <f>IF(AND(R1480="",S1480&lt;&gt;"Yes",L1480&gt;0,B1480&lt;&gt;"TXO"),L1480,"")</f>
        <v/>
      </c>
      <c r="W1480" s="61">
        <f>IF(AND(R1480="",S1480&lt;&gt;"Yes",L1480&lt;0,B1480&lt;&gt;"TXO"),L1480,"")</f>
        <v/>
      </c>
      <c r="X1480" s="226">
        <f>IF(AND(R1480="Yes",S1480="Yes",L1480&gt;0,B1480&lt;&gt;"TXO"),L1480,"")</f>
        <v/>
      </c>
      <c r="Y1480" s="226">
        <f>IF(AND(R1480="Yes",S1480="Yes",L1480&lt;0,B1480&lt;&gt;"TXO"),L1480,"")</f>
        <v/>
      </c>
      <c r="Z1480" s="226">
        <f>IF(AND(R1480="",S1480="Yes",L1480&gt;0,B1480&lt;&gt;"TXO"),L1480,"")</f>
        <v/>
      </c>
      <c r="AA1480" s="226">
        <f>IF(AND(R1480="",S1480="Yes",L1480&lt;0,B1480&lt;&gt;"TXO"),L1480,"")</f>
        <v/>
      </c>
    </row>
    <row r="1481" hidden="1" outlineLevel="2" collapsed="1" ht="17.25" customHeight="1" thickBot="1">
      <c r="A1481" s="740" t="n">
        <v>43395</v>
      </c>
      <c r="B1481" s="299" t="inlineStr">
        <is>
          <t>FIMTX</t>
        </is>
      </c>
      <c r="C1481" s="300" t="inlineStr">
        <is>
          <t>小指11</t>
        </is>
      </c>
      <c r="D1481" s="300" t="inlineStr">
        <is>
          <t>平倉</t>
        </is>
      </c>
      <c r="E1481" s="301" t="inlineStr">
        <is>
          <t>賣</t>
        </is>
      </c>
      <c r="F1481" s="300" t="inlineStr">
        <is>
          <t>-</t>
        </is>
      </c>
      <c r="G1481" s="741" t="n">
        <v>1</v>
      </c>
      <c r="H1481" s="741" t="n">
        <v>9887</v>
      </c>
      <c r="I1481" s="741" t="n">
        <v>0</v>
      </c>
      <c r="J1481" s="742" t="n">
        <v>23</v>
      </c>
      <c r="K1481" s="742" t="n">
        <v>10</v>
      </c>
      <c r="L1481" s="742">
        <f>IF(B1481="TXO",I1481-SUM(J1481:K1481),IF(B1481="FITX",IF(D1481="新倉",-SUM(J1481:K1481),IF(E1481="賣",(H1481-H1480)*G1481*200-SUM(J1481:K1481),(H1480-H1481)*G1481*200-SUM(J1481:K1481))),IF(D1481="新倉",-SUM(J1481:K1481),IF(E1481="賣",(H1481-H1480)*G1481*50-SUM(J1481:K1481),(H1480-H1481)*G1481*50-SUM(J1481:K1481)))))</f>
        <v/>
      </c>
      <c r="M1481" s="743">
        <f>L1481</f>
        <v/>
      </c>
      <c r="N1481" s="686">
        <f>IF(B1481="TXO","",IF(D1481="新倉","",IF(E1481="賣",(H1481-H1480)*G1481,(H1480-H1481)*G1481)))</f>
        <v/>
      </c>
      <c r="O1481" s="226">
        <f>ABS(I1481)</f>
        <v/>
      </c>
      <c r="P1481" s="667" t="n"/>
      <c r="Q1481" s="311" t="n"/>
      <c r="S1481" s="249" t="inlineStr">
        <is>
          <t>Yes</t>
        </is>
      </c>
      <c r="T1481" s="61">
        <f>IF(AND(R1481="Yes",S1481&lt;&gt;"Yes",L1481&gt;0,B1481&lt;&gt;"TXO"),L1481,"")</f>
        <v/>
      </c>
      <c r="U1481" s="61">
        <f>IF(AND(R1481="Yes",S1481&lt;&gt;"Yes",L1481&lt;0,B1481&lt;&gt;"TXO"),L1481,"")</f>
        <v/>
      </c>
      <c r="V1481" s="61">
        <f>IF(AND(R1481="",S1481&lt;&gt;"Yes",L1481&gt;0,B1481&lt;&gt;"TXO"),L1481,"")</f>
        <v/>
      </c>
      <c r="W1481" s="61">
        <f>IF(AND(R1481="",S1481&lt;&gt;"Yes",L1481&lt;0,B1481&lt;&gt;"TXO"),L1481,"")</f>
        <v/>
      </c>
      <c r="X1481" s="226">
        <f>IF(AND(R1481="Yes",S1481="Yes",L1481&gt;0,B1481&lt;&gt;"TXO"),L1481,"")</f>
        <v/>
      </c>
      <c r="Y1481" s="226">
        <f>IF(AND(R1481="Yes",S1481="Yes",L1481&lt;0,B1481&lt;&gt;"TXO"),L1481,"")</f>
        <v/>
      </c>
      <c r="Z1481" s="226">
        <f>IF(AND(R1481="",S1481="Yes",L1481&gt;0,B1481&lt;&gt;"TXO"),L1481,"")</f>
        <v/>
      </c>
      <c r="AA1481" s="226">
        <f>IF(AND(R1481="",S1481="Yes",L1481&lt;0,B1481&lt;&gt;"TXO"),L1481,"")</f>
        <v/>
      </c>
    </row>
    <row r="1482" hidden="1" outlineLevel="2" collapsed="1" ht="17.25" customHeight="1" thickBot="1">
      <c r="A1482" s="740" t="n">
        <v>43395</v>
      </c>
      <c r="B1482" s="299" t="inlineStr">
        <is>
          <t>FIMTX</t>
        </is>
      </c>
      <c r="C1482" s="300" t="inlineStr">
        <is>
          <t>小指11</t>
        </is>
      </c>
      <c r="D1482" s="300" t="inlineStr">
        <is>
          <t>新倉</t>
        </is>
      </c>
      <c r="E1482" s="301" t="inlineStr">
        <is>
          <t>買</t>
        </is>
      </c>
      <c r="F1482" s="300" t="inlineStr">
        <is>
          <t>-</t>
        </is>
      </c>
      <c r="G1482" s="741" t="n">
        <v>1</v>
      </c>
      <c r="H1482" s="741" t="n">
        <v>9880</v>
      </c>
      <c r="I1482" s="741" t="n">
        <v>0</v>
      </c>
      <c r="J1482" s="742" t="n">
        <v>23</v>
      </c>
      <c r="K1482" s="742" t="n">
        <v>10</v>
      </c>
      <c r="L1482" s="742">
        <f>IF(B1482="TXO",I1482-SUM(J1482:K1482),IF(B1482="FITX",IF(D1482="新倉",-SUM(J1482:K1482),IF(E1482="賣",(H1482-H1481)*G1482*200-SUM(J1482:K1482),(H1481-H1482)*G1482*200-SUM(J1482:K1482))),IF(D1482="新倉",-SUM(J1482:K1482),IF(E1482="賣",(H1482-H1481)*G1482*50-SUM(J1482:K1482),(H1481-H1482)*G1482*50-SUM(J1482:K1482)))))</f>
        <v/>
      </c>
      <c r="M1482" s="743">
        <f>L1482</f>
        <v/>
      </c>
      <c r="N1482" s="686">
        <f>IF(B1482="TXO","",IF(D1482="新倉","",IF(E1482="賣",(H1482-H1481)*G1482,(H1481-H1482)*G1482)))</f>
        <v/>
      </c>
      <c r="O1482" s="226">
        <f>ABS(I1482)</f>
        <v/>
      </c>
      <c r="P1482" s="667" t="n"/>
      <c r="Q1482" s="311" t="n"/>
      <c r="S1482" s="249" t="inlineStr">
        <is>
          <t>Yes</t>
        </is>
      </c>
      <c r="T1482" s="61">
        <f>IF(AND(R1482="Yes",S1482&lt;&gt;"Yes",L1482&gt;0,B1482&lt;&gt;"TXO"),L1482,"")</f>
        <v/>
      </c>
      <c r="U1482" s="61">
        <f>IF(AND(R1482="Yes",S1482&lt;&gt;"Yes",L1482&lt;0,B1482&lt;&gt;"TXO"),L1482,"")</f>
        <v/>
      </c>
      <c r="V1482" s="61">
        <f>IF(AND(R1482="",S1482&lt;&gt;"Yes",L1482&gt;0,B1482&lt;&gt;"TXO"),L1482,"")</f>
        <v/>
      </c>
      <c r="W1482" s="61">
        <f>IF(AND(R1482="",S1482&lt;&gt;"Yes",L1482&lt;0,B1482&lt;&gt;"TXO"),L1482,"")</f>
        <v/>
      </c>
      <c r="X1482" s="226">
        <f>IF(AND(R1482="Yes",S1482="Yes",L1482&gt;0,B1482&lt;&gt;"TXO"),L1482,"")</f>
        <v/>
      </c>
      <c r="Y1482" s="226">
        <f>IF(AND(R1482="Yes",S1482="Yes",L1482&lt;0,B1482&lt;&gt;"TXO"),L1482,"")</f>
        <v/>
      </c>
      <c r="Z1482" s="226">
        <f>IF(AND(R1482="",S1482="Yes",L1482&gt;0,B1482&lt;&gt;"TXO"),L1482,"")</f>
        <v/>
      </c>
      <c r="AA1482" s="226">
        <f>IF(AND(R1482="",S1482="Yes",L1482&lt;0,B1482&lt;&gt;"TXO"),L1482,"")</f>
        <v/>
      </c>
    </row>
    <row r="1483" hidden="1" outlineLevel="2" collapsed="1" ht="17.25" customHeight="1" thickBot="1">
      <c r="A1483" s="740" t="n">
        <v>43395</v>
      </c>
      <c r="B1483" s="299" t="inlineStr">
        <is>
          <t>FIMTX</t>
        </is>
      </c>
      <c r="C1483" s="300" t="inlineStr">
        <is>
          <t>小指11</t>
        </is>
      </c>
      <c r="D1483" s="300" t="inlineStr">
        <is>
          <t>平倉</t>
        </is>
      </c>
      <c r="E1483" s="301" t="inlineStr">
        <is>
          <t>賣</t>
        </is>
      </c>
      <c r="F1483" s="300" t="inlineStr">
        <is>
          <t>-</t>
        </is>
      </c>
      <c r="G1483" s="741" t="n">
        <v>1</v>
      </c>
      <c r="H1483" s="741" t="n">
        <v>9890</v>
      </c>
      <c r="I1483" s="741" t="n">
        <v>0</v>
      </c>
      <c r="J1483" s="742" t="n">
        <v>23</v>
      </c>
      <c r="K1483" s="742" t="n">
        <v>10</v>
      </c>
      <c r="L1483" s="742">
        <f>IF(B1483="TXO",I1483-SUM(J1483:K1483),IF(B1483="FITX",IF(D1483="新倉",-SUM(J1483:K1483),IF(E1483="賣",(H1483-H1482)*G1483*200-SUM(J1483:K1483),(H1482-H1483)*G1483*200-SUM(J1483:K1483))),IF(D1483="新倉",-SUM(J1483:K1483),IF(E1483="賣",(H1483-H1482)*G1483*50-SUM(J1483:K1483),(H1482-H1483)*G1483*50-SUM(J1483:K1483)))))</f>
        <v/>
      </c>
      <c r="M1483" s="743">
        <f>L1483</f>
        <v/>
      </c>
      <c r="N1483" s="686">
        <f>IF(B1483="TXO","",IF(D1483="新倉","",IF(E1483="賣",(H1483-H1482)*G1483,(H1482-H1483)*G1483)))</f>
        <v/>
      </c>
      <c r="O1483" s="226">
        <f>ABS(I1483)</f>
        <v/>
      </c>
      <c r="P1483" s="667" t="n"/>
      <c r="Q1483" s="311" t="n"/>
      <c r="S1483" s="249" t="inlineStr">
        <is>
          <t>Yes</t>
        </is>
      </c>
      <c r="T1483" s="61">
        <f>IF(AND(R1483="Yes",S1483&lt;&gt;"Yes",L1483&gt;0,B1483&lt;&gt;"TXO"),L1483,"")</f>
        <v/>
      </c>
      <c r="U1483" s="61">
        <f>IF(AND(R1483="Yes",S1483&lt;&gt;"Yes",L1483&lt;0,B1483&lt;&gt;"TXO"),L1483,"")</f>
        <v/>
      </c>
      <c r="V1483" s="61">
        <f>IF(AND(R1483="",S1483&lt;&gt;"Yes",L1483&gt;0,B1483&lt;&gt;"TXO"),L1483,"")</f>
        <v/>
      </c>
      <c r="W1483" s="61">
        <f>IF(AND(R1483="",S1483&lt;&gt;"Yes",L1483&lt;0,B1483&lt;&gt;"TXO"),L1483,"")</f>
        <v/>
      </c>
      <c r="X1483" s="226">
        <f>IF(AND(R1483="Yes",S1483="Yes",L1483&gt;0,B1483&lt;&gt;"TXO"),L1483,"")</f>
        <v/>
      </c>
      <c r="Y1483" s="226">
        <f>IF(AND(R1483="Yes",S1483="Yes",L1483&lt;0,B1483&lt;&gt;"TXO"),L1483,"")</f>
        <v/>
      </c>
      <c r="Z1483" s="226">
        <f>IF(AND(R1483="",S1483="Yes",L1483&gt;0,B1483&lt;&gt;"TXO"),L1483,"")</f>
        <v/>
      </c>
      <c r="AA1483" s="226">
        <f>IF(AND(R1483="",S1483="Yes",L1483&lt;0,B1483&lt;&gt;"TXO"),L1483,"")</f>
        <v/>
      </c>
    </row>
    <row r="1484" hidden="1" outlineLevel="2" collapsed="1" ht="17.25" customHeight="1" thickBot="1">
      <c r="A1484" s="740" t="n">
        <v>43395</v>
      </c>
      <c r="B1484" s="299" t="inlineStr">
        <is>
          <t>FIMTX</t>
        </is>
      </c>
      <c r="C1484" s="300" t="inlineStr">
        <is>
          <t>小指11</t>
        </is>
      </c>
      <c r="D1484" s="300" t="inlineStr">
        <is>
          <t>新倉</t>
        </is>
      </c>
      <c r="E1484" s="301" t="inlineStr">
        <is>
          <t>買</t>
        </is>
      </c>
      <c r="F1484" s="300" t="inlineStr">
        <is>
          <t>-</t>
        </is>
      </c>
      <c r="G1484" s="741" t="n">
        <v>1</v>
      </c>
      <c r="H1484" s="741" t="n">
        <v>9873</v>
      </c>
      <c r="I1484" s="741" t="n">
        <v>0</v>
      </c>
      <c r="J1484" s="742" t="n">
        <v>23</v>
      </c>
      <c r="K1484" s="742" t="n">
        <v>10</v>
      </c>
      <c r="L1484" s="742">
        <f>IF(B1484="TXO",I1484-SUM(J1484:K1484),IF(B1484="FITX",IF(D1484="新倉",-SUM(J1484:K1484),IF(E1484="賣",(H1484-H1483)*G1484*200-SUM(J1484:K1484),(H1483-H1484)*G1484*200-SUM(J1484:K1484))),IF(D1484="新倉",-SUM(J1484:K1484),IF(E1484="賣",(H1484-H1483)*G1484*50-SUM(J1484:K1484),(H1483-H1484)*G1484*50-SUM(J1484:K1484)))))</f>
        <v/>
      </c>
      <c r="M1484" s="743">
        <f>L1484</f>
        <v/>
      </c>
      <c r="N1484" s="686">
        <f>IF(B1484="TXO","",IF(D1484="新倉","",IF(E1484="賣",(H1484-H1483)*G1484,(H1483-H1484)*G1484)))</f>
        <v/>
      </c>
      <c r="O1484" s="226">
        <f>ABS(I1484)</f>
        <v/>
      </c>
      <c r="P1484" s="667" t="n"/>
      <c r="Q1484" s="311" t="n"/>
      <c r="S1484" s="249" t="inlineStr">
        <is>
          <t>Yes</t>
        </is>
      </c>
      <c r="T1484" s="61">
        <f>IF(AND(R1484="Yes",S1484&lt;&gt;"Yes",L1484&gt;0,B1484&lt;&gt;"TXO"),L1484,"")</f>
        <v/>
      </c>
      <c r="U1484" s="61">
        <f>IF(AND(R1484="Yes",S1484&lt;&gt;"Yes",L1484&lt;0,B1484&lt;&gt;"TXO"),L1484,"")</f>
        <v/>
      </c>
      <c r="V1484" s="61">
        <f>IF(AND(R1484="",S1484&lt;&gt;"Yes",L1484&gt;0,B1484&lt;&gt;"TXO"),L1484,"")</f>
        <v/>
      </c>
      <c r="W1484" s="61">
        <f>IF(AND(R1484="",S1484&lt;&gt;"Yes",L1484&lt;0,B1484&lt;&gt;"TXO"),L1484,"")</f>
        <v/>
      </c>
      <c r="X1484" s="226">
        <f>IF(AND(R1484="Yes",S1484="Yes",L1484&gt;0,B1484&lt;&gt;"TXO"),L1484,"")</f>
        <v/>
      </c>
      <c r="Y1484" s="226">
        <f>IF(AND(R1484="Yes",S1484="Yes",L1484&lt;0,B1484&lt;&gt;"TXO"),L1484,"")</f>
        <v/>
      </c>
      <c r="Z1484" s="226">
        <f>IF(AND(R1484="",S1484="Yes",L1484&gt;0,B1484&lt;&gt;"TXO"),L1484,"")</f>
        <v/>
      </c>
      <c r="AA1484" s="226">
        <f>IF(AND(R1484="",S1484="Yes",L1484&lt;0,B1484&lt;&gt;"TXO"),L1484,"")</f>
        <v/>
      </c>
    </row>
    <row r="1485" hidden="1" outlineLevel="2" collapsed="1" ht="17.25" customHeight="1" thickBot="1">
      <c r="A1485" s="740" t="n">
        <v>43395</v>
      </c>
      <c r="B1485" s="299" t="inlineStr">
        <is>
          <t>FIMTX</t>
        </is>
      </c>
      <c r="C1485" s="300" t="inlineStr">
        <is>
          <t>小指11</t>
        </is>
      </c>
      <c r="D1485" s="300" t="inlineStr">
        <is>
          <t>平倉</t>
        </is>
      </c>
      <c r="E1485" s="301" t="inlineStr">
        <is>
          <t>賣</t>
        </is>
      </c>
      <c r="F1485" s="300" t="inlineStr">
        <is>
          <t>-</t>
        </is>
      </c>
      <c r="G1485" s="741" t="n">
        <v>1</v>
      </c>
      <c r="H1485" s="741" t="n">
        <v>9875</v>
      </c>
      <c r="I1485" s="741" t="n">
        <v>0</v>
      </c>
      <c r="J1485" s="742" t="n">
        <v>23</v>
      </c>
      <c r="K1485" s="742" t="n">
        <v>10</v>
      </c>
      <c r="L1485" s="742">
        <f>IF(B1485="TXO",I1485-SUM(J1485:K1485),IF(B1485="FITX",IF(D1485="新倉",-SUM(J1485:K1485),IF(E1485="賣",(H1485-H1484)*G1485*200-SUM(J1485:K1485),(H1484-H1485)*G1485*200-SUM(J1485:K1485))),IF(D1485="新倉",-SUM(J1485:K1485),IF(E1485="賣",(H1485-H1484)*G1485*50-SUM(J1485:K1485),(H1484-H1485)*G1485*50-SUM(J1485:K1485)))))</f>
        <v/>
      </c>
      <c r="M1485" s="743">
        <f>L1485</f>
        <v/>
      </c>
      <c r="N1485" s="686">
        <f>IF(B1485="TXO","",IF(D1485="新倉","",IF(E1485="賣",(H1485-H1484)*G1485,(H1484-H1485)*G1485)))</f>
        <v/>
      </c>
      <c r="O1485" s="226">
        <f>ABS(I1485)</f>
        <v/>
      </c>
      <c r="P1485" s="667" t="n"/>
      <c r="Q1485" s="311" t="n"/>
      <c r="S1485" s="249" t="inlineStr">
        <is>
          <t>Yes</t>
        </is>
      </c>
      <c r="T1485" s="61">
        <f>IF(AND(R1485="Yes",S1485&lt;&gt;"Yes",L1485&gt;0,B1485&lt;&gt;"TXO"),L1485,"")</f>
        <v/>
      </c>
      <c r="U1485" s="61">
        <f>IF(AND(R1485="Yes",S1485&lt;&gt;"Yes",L1485&lt;0,B1485&lt;&gt;"TXO"),L1485,"")</f>
        <v/>
      </c>
      <c r="V1485" s="61">
        <f>IF(AND(R1485="",S1485&lt;&gt;"Yes",L1485&gt;0,B1485&lt;&gt;"TXO"),L1485,"")</f>
        <v/>
      </c>
      <c r="W1485" s="61">
        <f>IF(AND(R1485="",S1485&lt;&gt;"Yes",L1485&lt;0,B1485&lt;&gt;"TXO"),L1485,"")</f>
        <v/>
      </c>
      <c r="X1485" s="226">
        <f>IF(AND(R1485="Yes",S1485="Yes",L1485&gt;0,B1485&lt;&gt;"TXO"),L1485,"")</f>
        <v/>
      </c>
      <c r="Y1485" s="226">
        <f>IF(AND(R1485="Yes",S1485="Yes",L1485&lt;0,B1485&lt;&gt;"TXO"),L1485,"")</f>
        <v/>
      </c>
      <c r="Z1485" s="226">
        <f>IF(AND(R1485="",S1485="Yes",L1485&gt;0,B1485&lt;&gt;"TXO"),L1485,"")</f>
        <v/>
      </c>
      <c r="AA1485" s="226">
        <f>IF(AND(R1485="",S1485="Yes",L1485&lt;0,B1485&lt;&gt;"TXO"),L1485,"")</f>
        <v/>
      </c>
    </row>
    <row r="1486" hidden="1" outlineLevel="2" collapsed="1" ht="17.25" customHeight="1" thickBot="1">
      <c r="A1486" s="740" t="n">
        <v>43395</v>
      </c>
      <c r="B1486" s="299" t="inlineStr">
        <is>
          <t>FIMTX</t>
        </is>
      </c>
      <c r="C1486" s="300" t="inlineStr">
        <is>
          <t>小指11</t>
        </is>
      </c>
      <c r="D1486" s="300" t="inlineStr">
        <is>
          <t>新倉</t>
        </is>
      </c>
      <c r="E1486" s="301" t="inlineStr">
        <is>
          <t>買</t>
        </is>
      </c>
      <c r="F1486" s="300" t="inlineStr">
        <is>
          <t>-</t>
        </is>
      </c>
      <c r="G1486" s="741" t="n">
        <v>1</v>
      </c>
      <c r="H1486" s="741" t="n">
        <v>9893</v>
      </c>
      <c r="I1486" s="741" t="n">
        <v>0</v>
      </c>
      <c r="J1486" s="742" t="n">
        <v>23</v>
      </c>
      <c r="K1486" s="742" t="n">
        <v>10</v>
      </c>
      <c r="L1486" s="742">
        <f>IF(B1486="TXO",I1486-SUM(J1486:K1486),IF(B1486="FITX",IF(D1486="新倉",-SUM(J1486:K1486),IF(E1486="賣",(H1486-H1485)*G1486*200-SUM(J1486:K1486),(H1485-H1486)*G1486*200-SUM(J1486:K1486))),IF(D1486="新倉",-SUM(J1486:K1486),IF(E1486="賣",(H1486-H1485)*G1486*50-SUM(J1486:K1486),(H1485-H1486)*G1486*50-SUM(J1486:K1486)))))</f>
        <v/>
      </c>
      <c r="M1486" s="743">
        <f>L1486</f>
        <v/>
      </c>
      <c r="N1486" s="686">
        <f>IF(B1486="TXO","",IF(D1486="新倉","",IF(E1486="賣",(H1486-H1485)*G1486,(H1485-H1486)*G1486)))</f>
        <v/>
      </c>
      <c r="O1486" s="226">
        <f>ABS(I1486)</f>
        <v/>
      </c>
      <c r="P1486" s="667" t="n"/>
      <c r="Q1486" s="311" t="n"/>
      <c r="S1486" s="249" t="inlineStr">
        <is>
          <t>Yes</t>
        </is>
      </c>
      <c r="T1486" s="61">
        <f>IF(AND(R1486="Yes",S1486&lt;&gt;"Yes",L1486&gt;0,B1486&lt;&gt;"TXO"),L1486,"")</f>
        <v/>
      </c>
      <c r="U1486" s="61">
        <f>IF(AND(R1486="Yes",S1486&lt;&gt;"Yes",L1486&lt;0,B1486&lt;&gt;"TXO"),L1486,"")</f>
        <v/>
      </c>
      <c r="V1486" s="61">
        <f>IF(AND(R1486="",S1486&lt;&gt;"Yes",L1486&gt;0,B1486&lt;&gt;"TXO"),L1486,"")</f>
        <v/>
      </c>
      <c r="W1486" s="61">
        <f>IF(AND(R1486="",S1486&lt;&gt;"Yes",L1486&lt;0,B1486&lt;&gt;"TXO"),L1486,"")</f>
        <v/>
      </c>
      <c r="X1486" s="226">
        <f>IF(AND(R1486="Yes",S1486="Yes",L1486&gt;0,B1486&lt;&gt;"TXO"),L1486,"")</f>
        <v/>
      </c>
      <c r="Y1486" s="226">
        <f>IF(AND(R1486="Yes",S1486="Yes",L1486&lt;0,B1486&lt;&gt;"TXO"),L1486,"")</f>
        <v/>
      </c>
      <c r="Z1486" s="226">
        <f>IF(AND(R1486="",S1486="Yes",L1486&gt;0,B1486&lt;&gt;"TXO"),L1486,"")</f>
        <v/>
      </c>
      <c r="AA1486" s="226">
        <f>IF(AND(R1486="",S1486="Yes",L1486&lt;0,B1486&lt;&gt;"TXO"),L1486,"")</f>
        <v/>
      </c>
    </row>
    <row r="1487" hidden="1" outlineLevel="2" collapsed="1" ht="17.25" customHeight="1" thickBot="1">
      <c r="A1487" s="740" t="n">
        <v>43395</v>
      </c>
      <c r="B1487" s="299" t="inlineStr">
        <is>
          <t>FIMTX</t>
        </is>
      </c>
      <c r="C1487" s="300" t="inlineStr">
        <is>
          <t>小指11</t>
        </is>
      </c>
      <c r="D1487" s="300" t="inlineStr">
        <is>
          <t>平倉</t>
        </is>
      </c>
      <c r="E1487" s="301" t="inlineStr">
        <is>
          <t>賣</t>
        </is>
      </c>
      <c r="F1487" s="300" t="inlineStr">
        <is>
          <t>-</t>
        </is>
      </c>
      <c r="G1487" s="741" t="n">
        <v>1</v>
      </c>
      <c r="H1487" s="741" t="n">
        <v>9898</v>
      </c>
      <c r="I1487" s="741" t="n">
        <v>0</v>
      </c>
      <c r="J1487" s="742" t="n">
        <v>23</v>
      </c>
      <c r="K1487" s="742" t="n">
        <v>10</v>
      </c>
      <c r="L1487" s="742">
        <f>IF(B1487="TXO",I1487-SUM(J1487:K1487),IF(B1487="FITX",IF(D1487="新倉",-SUM(J1487:K1487),IF(E1487="賣",(H1487-H1486)*G1487*200-SUM(J1487:K1487),(H1486-H1487)*G1487*200-SUM(J1487:K1487))),IF(D1487="新倉",-SUM(J1487:K1487),IF(E1487="賣",(H1487-H1486)*G1487*50-SUM(J1487:K1487),(H1486-H1487)*G1487*50-SUM(J1487:K1487)))))</f>
        <v/>
      </c>
      <c r="M1487" s="743">
        <f>L1487</f>
        <v/>
      </c>
      <c r="N1487" s="686">
        <f>IF(B1487="TXO","",IF(D1487="新倉","",IF(E1487="賣",(H1487-H1486)*G1487,(H1486-H1487)*G1487)))</f>
        <v/>
      </c>
      <c r="O1487" s="226">
        <f>ABS(I1487)</f>
        <v/>
      </c>
      <c r="P1487" s="667" t="n"/>
      <c r="Q1487" s="311" t="n"/>
      <c r="S1487" s="249" t="inlineStr">
        <is>
          <t>Yes</t>
        </is>
      </c>
      <c r="T1487" s="61">
        <f>IF(AND(R1487="Yes",S1487&lt;&gt;"Yes",L1487&gt;0,B1487&lt;&gt;"TXO"),L1487,"")</f>
        <v/>
      </c>
      <c r="U1487" s="61">
        <f>IF(AND(R1487="Yes",S1487&lt;&gt;"Yes",L1487&lt;0,B1487&lt;&gt;"TXO"),L1487,"")</f>
        <v/>
      </c>
      <c r="V1487" s="61">
        <f>IF(AND(R1487="",S1487&lt;&gt;"Yes",L1487&gt;0,B1487&lt;&gt;"TXO"),L1487,"")</f>
        <v/>
      </c>
      <c r="W1487" s="61">
        <f>IF(AND(R1487="",S1487&lt;&gt;"Yes",L1487&lt;0,B1487&lt;&gt;"TXO"),L1487,"")</f>
        <v/>
      </c>
      <c r="X1487" s="226">
        <f>IF(AND(R1487="Yes",S1487="Yes",L1487&gt;0,B1487&lt;&gt;"TXO"),L1487,"")</f>
        <v/>
      </c>
      <c r="Y1487" s="226">
        <f>IF(AND(R1487="Yes",S1487="Yes",L1487&lt;0,B1487&lt;&gt;"TXO"),L1487,"")</f>
        <v/>
      </c>
      <c r="Z1487" s="226">
        <f>IF(AND(R1487="",S1487="Yes",L1487&gt;0,B1487&lt;&gt;"TXO"),L1487,"")</f>
        <v/>
      </c>
      <c r="AA1487" s="226">
        <f>IF(AND(R1487="",S1487="Yes",L1487&lt;0,B1487&lt;&gt;"TXO"),L1487,"")</f>
        <v/>
      </c>
    </row>
    <row r="1488" hidden="1" outlineLevel="1" ht="17.25" customHeight="1" thickBot="1">
      <c r="A1488" s="696" t="n">
        <v>43396</v>
      </c>
      <c r="B1488" s="234" t="inlineStr">
        <is>
          <t>FIMTX</t>
        </is>
      </c>
      <c r="C1488" s="229" t="inlineStr">
        <is>
          <t>小指11</t>
        </is>
      </c>
      <c r="D1488" s="229" t="inlineStr">
        <is>
          <t>新倉</t>
        </is>
      </c>
      <c r="E1488" s="257" t="inlineStr">
        <is>
          <t>買</t>
        </is>
      </c>
      <c r="F1488" s="229" t="inlineStr">
        <is>
          <t>-</t>
        </is>
      </c>
      <c r="G1488" s="697" t="n">
        <v>1</v>
      </c>
      <c r="H1488" s="697" t="n">
        <v>9829</v>
      </c>
      <c r="I1488" s="697" t="n">
        <v>0</v>
      </c>
      <c r="J1488" s="585" t="n">
        <v>23</v>
      </c>
      <c r="K1488" s="585" t="n">
        <v>10</v>
      </c>
      <c r="L1488" s="585">
        <f>IF(B1488="TXO",I1488-SUM(J1488:K1488),IF(B1488="FITX",IF(D1488="新倉",-SUM(J1488:K1488),IF(E1488="賣",(H1488-H1487)*G1488*200-SUM(J1488:K1488),(H1487-H1488)*G1488*200-SUM(J1488:K1488))),IF(D1488="新倉",-SUM(J1488:K1488),IF(E1488="賣",(H1488-H1487)*G1488*50-SUM(J1488:K1488),(H1487-H1488)*G1488*50-SUM(J1488:K1488)))))</f>
        <v/>
      </c>
      <c r="M1488" s="699">
        <f>L1488</f>
        <v/>
      </c>
      <c r="N1488" s="686">
        <f>IF(B1488="TXO","",IF(D1488="新倉","",IF(E1488="賣",(H1488-H1487)*G1488,(H1487-H1488)*G1488)))</f>
        <v/>
      </c>
      <c r="O1488" s="226" t="n">
        <v>0</v>
      </c>
      <c r="P1488" s="667">
        <f>SUM(L1488:L1540)</f>
        <v/>
      </c>
      <c r="S1488" s="249" t="n"/>
      <c r="T1488" s="61">
        <f>IF(AND(R1488="Yes",S1488&lt;&gt;"Yes",L1488&gt;0,B1488&lt;&gt;"TXO"),L1488,"")</f>
        <v/>
      </c>
      <c r="U1488" s="61">
        <f>IF(AND(R1488="Yes",S1488&lt;&gt;"Yes",L1488&lt;0,B1488&lt;&gt;"TXO"),L1488,"")</f>
        <v/>
      </c>
      <c r="V1488" s="61">
        <f>IF(AND(R1488="",S1488&lt;&gt;"Yes",L1488&gt;0,B1488&lt;&gt;"TXO"),L1488,"")</f>
        <v/>
      </c>
      <c r="W1488" s="61">
        <f>IF(AND(R1488="",S1488&lt;&gt;"Yes",L1488&lt;0,B1488&lt;&gt;"TXO"),L1488,"")</f>
        <v/>
      </c>
      <c r="X1488" s="226">
        <f>IF(AND(R1488="Yes",S1488="Yes",L1488&gt;0,B1488&lt;&gt;"TXO"),L1488,"")</f>
        <v/>
      </c>
      <c r="Y1488" s="226">
        <f>IF(AND(R1488="Yes",S1488="Yes",L1488&lt;0,B1488&lt;&gt;"TXO"),L1488,"")</f>
        <v/>
      </c>
      <c r="Z1488" s="226">
        <f>IF(AND(R1488="",S1488="Yes",L1488&gt;0,B1488&lt;&gt;"TXO"),L1488,"")</f>
        <v/>
      </c>
      <c r="AA1488" s="226">
        <f>IF(AND(R1488="",S1488="Yes",L1488&lt;0,B1488&lt;&gt;"TXO"),L1488,"")</f>
        <v/>
      </c>
    </row>
    <row r="1489" hidden="1" outlineLevel="2" ht="17.25" customHeight="1" thickBot="1">
      <c r="A1489" s="696" t="n">
        <v>43396</v>
      </c>
      <c r="B1489" s="234" t="inlineStr">
        <is>
          <t>FIMTX</t>
        </is>
      </c>
      <c r="C1489" s="229" t="inlineStr">
        <is>
          <t>小指11</t>
        </is>
      </c>
      <c r="D1489" s="229" t="inlineStr">
        <is>
          <t>平倉</t>
        </is>
      </c>
      <c r="E1489" s="257" t="inlineStr">
        <is>
          <t>賣</t>
        </is>
      </c>
      <c r="F1489" s="229" t="inlineStr">
        <is>
          <t>-</t>
        </is>
      </c>
      <c r="G1489" s="697" t="n">
        <v>1</v>
      </c>
      <c r="H1489" s="697" t="n">
        <v>9815</v>
      </c>
      <c r="I1489" s="697" t="n">
        <v>0</v>
      </c>
      <c r="J1489" s="585" t="n">
        <v>23</v>
      </c>
      <c r="K1489" s="585" t="n">
        <v>10</v>
      </c>
      <c r="L1489" s="585">
        <f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/>
      </c>
      <c r="M1489" s="699">
        <f>L1489</f>
        <v/>
      </c>
      <c r="N1489" s="686">
        <f>IF(B1489="TXO","",IF(D1489="新倉","",IF(E1489="賣",(H1489-H1488)*G1489,(H1488-H1489)*G1489)))</f>
        <v/>
      </c>
      <c r="O1489" s="226" t="n">
        <v>0</v>
      </c>
      <c r="P1489" s="667" t="n"/>
      <c r="S1489" s="249" t="n"/>
      <c r="T1489" s="61">
        <f>IF(AND(R1489="Yes",S1489&lt;&gt;"Yes",L1489&gt;0,B1489&lt;&gt;"TXO"),L1489,"")</f>
        <v/>
      </c>
      <c r="U1489" s="61">
        <f>IF(AND(R1489="Yes",S1489&lt;&gt;"Yes",L1489&lt;0,B1489&lt;&gt;"TXO"),L1489,"")</f>
        <v/>
      </c>
      <c r="V1489" s="61">
        <f>IF(AND(R1489="",S1489&lt;&gt;"Yes",L1489&gt;0,B1489&lt;&gt;"TXO"),L1489,"")</f>
        <v/>
      </c>
      <c r="W1489" s="61">
        <f>IF(AND(R1489="",S1489&lt;&gt;"Yes",L1489&lt;0,B1489&lt;&gt;"TXO"),L1489,"")</f>
        <v/>
      </c>
      <c r="X1489" s="226">
        <f>IF(AND(R1489="Yes",S1489="Yes",L1489&gt;0,B1489&lt;&gt;"TXO"),L1489,"")</f>
        <v/>
      </c>
      <c r="Y1489" s="226">
        <f>IF(AND(R1489="Yes",S1489="Yes",L1489&lt;0,B1489&lt;&gt;"TXO"),L1489,"")</f>
        <v/>
      </c>
      <c r="Z1489" s="226">
        <f>IF(AND(R1489="",S1489="Yes",L1489&gt;0,B1489&lt;&gt;"TXO"),L1489,"")</f>
        <v/>
      </c>
      <c r="AA1489" s="226">
        <f>IF(AND(R1489="",S1489="Yes",L1489&lt;0,B1489&lt;&gt;"TXO"),L1489,"")</f>
        <v/>
      </c>
    </row>
    <row r="1490" hidden="1" outlineLevel="2" ht="17.25" customHeight="1" thickBot="1">
      <c r="A1490" s="696" t="n">
        <v>43396</v>
      </c>
      <c r="B1490" s="234" t="inlineStr">
        <is>
          <t>FIMTX</t>
        </is>
      </c>
      <c r="C1490" s="229" t="inlineStr">
        <is>
          <t>小指11</t>
        </is>
      </c>
      <c r="D1490" s="229" t="inlineStr">
        <is>
          <t>新倉</t>
        </is>
      </c>
      <c r="E1490" s="257" t="inlineStr">
        <is>
          <t>賣</t>
        </is>
      </c>
      <c r="F1490" s="229" t="inlineStr">
        <is>
          <t>-</t>
        </is>
      </c>
      <c r="G1490" s="697" t="n">
        <v>1</v>
      </c>
      <c r="H1490" s="697" t="n">
        <v>9809</v>
      </c>
      <c r="I1490" s="697" t="n">
        <v>0</v>
      </c>
      <c r="J1490" s="585" t="n">
        <v>23</v>
      </c>
      <c r="K1490" s="585" t="n">
        <v>10</v>
      </c>
      <c r="L1490" s="585">
        <f>IF(B1490="TXO",I1490-SUM(J1490:K1490),IF(B1490="FITX",IF(D1490="新倉",-SUM(J1490:K1490),IF(E1490="賣",(H1490-H1489)*G1490*200-SUM(J1490:K1490),(H1489-H1490)*G1490*200-SUM(J1490:K1490))),IF(D1490="新倉",-SUM(J1490:K1490),IF(E1490="賣",(H1490-H1489)*G1490*50-SUM(J1490:K1490),(H1489-H1490)*G1490*50-SUM(J1490:K1490)))))</f>
        <v/>
      </c>
      <c r="M1490" s="699">
        <f>L1490</f>
        <v/>
      </c>
      <c r="N1490" s="686">
        <f>IF(B1490="TXO","",IF(D1490="新倉","",IF(E1490="賣",(H1490-H1489)*G1490,(H1489-H1490)*G1490)))</f>
        <v/>
      </c>
      <c r="O1490" s="226" t="n">
        <v>0</v>
      </c>
      <c r="P1490" s="667" t="n"/>
      <c r="S1490" s="249" t="n"/>
      <c r="T1490" s="61">
        <f>IF(AND(R1490="Yes",S1490&lt;&gt;"Yes",L1490&gt;0,B1490&lt;&gt;"TXO"),L1490,"")</f>
        <v/>
      </c>
      <c r="U1490" s="61">
        <f>IF(AND(R1490="Yes",S1490&lt;&gt;"Yes",L1490&lt;0,B1490&lt;&gt;"TXO"),L1490,"")</f>
        <v/>
      </c>
      <c r="V1490" s="61">
        <f>IF(AND(R1490="",S1490&lt;&gt;"Yes",L1490&gt;0,B1490&lt;&gt;"TXO"),L1490,"")</f>
        <v/>
      </c>
      <c r="W1490" s="61">
        <f>IF(AND(R1490="",S1490&lt;&gt;"Yes",L1490&lt;0,B1490&lt;&gt;"TXO"),L1490,"")</f>
        <v/>
      </c>
      <c r="X1490" s="226">
        <f>IF(AND(R1490="Yes",S1490="Yes",L1490&gt;0,B1490&lt;&gt;"TXO"),L1490,"")</f>
        <v/>
      </c>
      <c r="Y1490" s="226">
        <f>IF(AND(R1490="Yes",S1490="Yes",L1490&lt;0,B1490&lt;&gt;"TXO"),L1490,"")</f>
        <v/>
      </c>
      <c r="Z1490" s="226">
        <f>IF(AND(R1490="",S1490="Yes",L1490&gt;0,B1490&lt;&gt;"TXO"),L1490,"")</f>
        <v/>
      </c>
      <c r="AA1490" s="226">
        <f>IF(AND(R1490="",S1490="Yes",L1490&lt;0,B1490&lt;&gt;"TXO"),L1490,"")</f>
        <v/>
      </c>
    </row>
    <row r="1491" hidden="1" outlineLevel="2" ht="17.25" customHeight="1" thickBot="1">
      <c r="A1491" s="696" t="n">
        <v>43396</v>
      </c>
      <c r="B1491" s="234" t="inlineStr">
        <is>
          <t>FIMTX</t>
        </is>
      </c>
      <c r="C1491" s="229" t="inlineStr">
        <is>
          <t>小指11</t>
        </is>
      </c>
      <c r="D1491" s="229" t="inlineStr">
        <is>
          <t>平倉</t>
        </is>
      </c>
      <c r="E1491" s="257" t="inlineStr">
        <is>
          <t>買</t>
        </is>
      </c>
      <c r="F1491" s="229" t="inlineStr">
        <is>
          <t>-</t>
        </is>
      </c>
      <c r="G1491" s="697" t="n">
        <v>1</v>
      </c>
      <c r="H1491" s="697" t="n">
        <v>9822</v>
      </c>
      <c r="I1491" s="697" t="n">
        <v>0</v>
      </c>
      <c r="J1491" s="585" t="n">
        <v>23</v>
      </c>
      <c r="K1491" s="585" t="n">
        <v>10</v>
      </c>
      <c r="L1491" s="585">
        <f>IF(B1491="TXO",I1491-SUM(J1491:K1491),IF(B1491="FITX",IF(D1491="新倉",-SUM(J1491:K1491),IF(E1491="賣",(H1491-H1490)*G1491*200-SUM(J1491:K1491),(H1490-H1491)*G1491*200-SUM(J1491:K1491))),IF(D1491="新倉",-SUM(J1491:K1491),IF(E1491="賣",(H1491-H1490)*G1491*50-SUM(J1491:K1491),(H1490-H1491)*G1491*50-SUM(J1491:K1491)))))</f>
        <v/>
      </c>
      <c r="M1491" s="699">
        <f>L1491</f>
        <v/>
      </c>
      <c r="N1491" s="686">
        <f>IF(B1491="TXO","",IF(D1491="新倉","",IF(E1491="賣",(H1491-H1490)*G1491,(H1490-H1491)*G1491)))</f>
        <v/>
      </c>
      <c r="O1491" s="226" t="n">
        <v>0</v>
      </c>
      <c r="P1491" s="667" t="n"/>
      <c r="S1491" s="249" t="n"/>
      <c r="T1491" s="61">
        <f>IF(AND(R1491="Yes",S1491&lt;&gt;"Yes",L1491&gt;0,B1491&lt;&gt;"TXO"),L1491,"")</f>
        <v/>
      </c>
      <c r="U1491" s="61">
        <f>IF(AND(R1491="Yes",S1491&lt;&gt;"Yes",L1491&lt;0,B1491&lt;&gt;"TXO"),L1491,"")</f>
        <v/>
      </c>
      <c r="V1491" s="61">
        <f>IF(AND(R1491="",S1491&lt;&gt;"Yes",L1491&gt;0,B1491&lt;&gt;"TXO"),L1491,"")</f>
        <v/>
      </c>
      <c r="W1491" s="61">
        <f>IF(AND(R1491="",S1491&lt;&gt;"Yes",L1491&lt;0,B1491&lt;&gt;"TXO"),L1491,"")</f>
        <v/>
      </c>
      <c r="X1491" s="226">
        <f>IF(AND(R1491="Yes",S1491="Yes",L1491&gt;0,B1491&lt;&gt;"TXO"),L1491,"")</f>
        <v/>
      </c>
      <c r="Y1491" s="226">
        <f>IF(AND(R1491="Yes",S1491="Yes",L1491&lt;0,B1491&lt;&gt;"TXO"),L1491,"")</f>
        <v/>
      </c>
      <c r="Z1491" s="226">
        <f>IF(AND(R1491="",S1491="Yes",L1491&gt;0,B1491&lt;&gt;"TXO"),L1491,"")</f>
        <v/>
      </c>
      <c r="AA1491" s="226">
        <f>IF(AND(R1491="",S1491="Yes",L1491&lt;0,B1491&lt;&gt;"TXO"),L1491,"")</f>
        <v/>
      </c>
    </row>
    <row r="1492" hidden="1" outlineLevel="2" ht="17.25" customHeight="1" thickBot="1">
      <c r="A1492" s="696" t="n">
        <v>43396</v>
      </c>
      <c r="B1492" s="234" t="inlineStr">
        <is>
          <t>FIMTX</t>
        </is>
      </c>
      <c r="C1492" s="229" t="inlineStr">
        <is>
          <t>小指11</t>
        </is>
      </c>
      <c r="D1492" s="229" t="inlineStr">
        <is>
          <t>新倉</t>
        </is>
      </c>
      <c r="E1492" s="257" t="inlineStr">
        <is>
          <t>買</t>
        </is>
      </c>
      <c r="F1492" s="229" t="inlineStr">
        <is>
          <t>-</t>
        </is>
      </c>
      <c r="G1492" s="697" t="n">
        <v>2</v>
      </c>
      <c r="H1492" s="697" t="n">
        <v>9834</v>
      </c>
      <c r="I1492" s="697" t="n">
        <v>0</v>
      </c>
      <c r="J1492" s="585" t="n">
        <v>46</v>
      </c>
      <c r="K1492" s="585" t="n">
        <v>20</v>
      </c>
      <c r="L1492" s="585">
        <f>IF(B1492="TXO",I1492-SUM(J1492:K1492),IF(B1492="FITX",IF(D1492="新倉",-SUM(J1492:K1492),IF(E1492="賣",(H1492-H1491)*G1492*200-SUM(J1492:K1492),(H1491-H1492)*G1492*200-SUM(J1492:K1492))),IF(D1492="新倉",-SUM(J1492:K1492),IF(E1492="賣",(H1492-H1491)*G1492*50-SUM(J1492:K1492),(H1491-H1492)*G1492*50-SUM(J1492:K1492)))))</f>
        <v/>
      </c>
      <c r="M1492" s="699">
        <f>L1492</f>
        <v/>
      </c>
      <c r="N1492" s="686">
        <f>IF(B1492="TXO","",IF(D1492="新倉","",IF(E1492="賣",(H1492-H1491)*G1492,(H1491-H1492)*G1492)))</f>
        <v/>
      </c>
      <c r="O1492" s="226" t="n">
        <v>0</v>
      </c>
      <c r="P1492" s="667" t="n"/>
      <c r="S1492" s="249" t="n"/>
      <c r="T1492" s="61">
        <f>IF(AND(R1492="Yes",S1492&lt;&gt;"Yes",L1492&gt;0,B1492&lt;&gt;"TXO"),L1492,"")</f>
        <v/>
      </c>
      <c r="U1492" s="61">
        <f>IF(AND(R1492="Yes",S1492&lt;&gt;"Yes",L1492&lt;0,B1492&lt;&gt;"TXO"),L1492,"")</f>
        <v/>
      </c>
      <c r="V1492" s="61">
        <f>IF(AND(R1492="",S1492&lt;&gt;"Yes",L1492&gt;0,B1492&lt;&gt;"TXO"),L1492,"")</f>
        <v/>
      </c>
      <c r="W1492" s="61">
        <f>IF(AND(R1492="",S1492&lt;&gt;"Yes",L1492&lt;0,B1492&lt;&gt;"TXO"),L1492,"")</f>
        <v/>
      </c>
      <c r="X1492" s="226">
        <f>IF(AND(R1492="Yes",S1492="Yes",L1492&gt;0,B1492&lt;&gt;"TXO"),L1492,"")</f>
        <v/>
      </c>
      <c r="Y1492" s="226">
        <f>IF(AND(R1492="Yes",S1492="Yes",L1492&lt;0,B1492&lt;&gt;"TXO"),L1492,"")</f>
        <v/>
      </c>
      <c r="Z1492" s="226">
        <f>IF(AND(R1492="",S1492="Yes",L1492&gt;0,B1492&lt;&gt;"TXO"),L1492,"")</f>
        <v/>
      </c>
      <c r="AA1492" s="226">
        <f>IF(AND(R1492="",S1492="Yes",L1492&lt;0,B1492&lt;&gt;"TXO"),L1492,"")</f>
        <v/>
      </c>
    </row>
    <row r="1493" hidden="1" outlineLevel="2" ht="17.25" customHeight="1" thickBot="1">
      <c r="A1493" s="696" t="n">
        <v>43396</v>
      </c>
      <c r="B1493" s="234" t="inlineStr">
        <is>
          <t>FIMTX</t>
        </is>
      </c>
      <c r="C1493" s="229" t="inlineStr">
        <is>
          <t>小指11</t>
        </is>
      </c>
      <c r="D1493" s="229" t="inlineStr">
        <is>
          <t>平倉</t>
        </is>
      </c>
      <c r="E1493" s="257" t="inlineStr">
        <is>
          <t>賣</t>
        </is>
      </c>
      <c r="F1493" s="229" t="inlineStr">
        <is>
          <t>-</t>
        </is>
      </c>
      <c r="G1493" s="697" t="n">
        <v>2</v>
      </c>
      <c r="H1493" s="697" t="n">
        <v>9822</v>
      </c>
      <c r="I1493" s="697" t="n">
        <v>0</v>
      </c>
      <c r="J1493" s="585" t="n">
        <v>46</v>
      </c>
      <c r="K1493" s="585" t="n">
        <v>20</v>
      </c>
      <c r="L1493" s="585">
        <f>IF(B1493="TXO",I1493-SUM(J1493:K1493),IF(B1493="FITX",IF(D1493="新倉",-SUM(J1493:K1493),IF(E1493="賣",(H1493-H1492)*G1493*200-SUM(J1493:K1493),(H1492-H1493)*G1493*200-SUM(J1493:K1493))),IF(D1493="新倉",-SUM(J1493:K1493),IF(E1493="賣",(H1493-H1492)*G1493*50-SUM(J1493:K1493),(H1492-H1493)*G1493*50-SUM(J1493:K1493)))))</f>
        <v/>
      </c>
      <c r="M1493" s="699">
        <f>L1493</f>
        <v/>
      </c>
      <c r="N1493" s="686">
        <f>IF(B1493="TXO","",IF(D1493="新倉","",IF(E1493="賣",(H1493-H1492)*G1493,(H1492-H1493)*G1493)))</f>
        <v/>
      </c>
      <c r="O1493" s="226" t="n">
        <v>0</v>
      </c>
      <c r="P1493" s="667" t="n"/>
      <c r="S1493" s="249" t="n"/>
      <c r="T1493" s="61">
        <f>IF(AND(R1493="Yes",S1493&lt;&gt;"Yes",L1493&gt;0,B1493&lt;&gt;"TXO"),L1493,"")</f>
        <v/>
      </c>
      <c r="U1493" s="61">
        <f>IF(AND(R1493="Yes",S1493&lt;&gt;"Yes",L1493&lt;0,B1493&lt;&gt;"TXO"),L1493,"")</f>
        <v/>
      </c>
      <c r="V1493" s="61">
        <f>IF(AND(R1493="",S1493&lt;&gt;"Yes",L1493&gt;0,B1493&lt;&gt;"TXO"),L1493,"")</f>
        <v/>
      </c>
      <c r="W1493" s="61">
        <f>IF(AND(R1493="",S1493&lt;&gt;"Yes",L1493&lt;0,B1493&lt;&gt;"TXO"),L1493,"")</f>
        <v/>
      </c>
      <c r="X1493" s="226">
        <f>IF(AND(R1493="Yes",S1493="Yes",L1493&gt;0,B1493&lt;&gt;"TXO"),L1493,"")</f>
        <v/>
      </c>
      <c r="Y1493" s="226">
        <f>IF(AND(R1493="Yes",S1493="Yes",L1493&lt;0,B1493&lt;&gt;"TXO"),L1493,"")</f>
        <v/>
      </c>
      <c r="Z1493" s="226">
        <f>IF(AND(R1493="",S1493="Yes",L1493&gt;0,B1493&lt;&gt;"TXO"),L1493,"")</f>
        <v/>
      </c>
      <c r="AA1493" s="226">
        <f>IF(AND(R1493="",S1493="Yes",L1493&lt;0,B1493&lt;&gt;"TXO"),L1493,"")</f>
        <v/>
      </c>
    </row>
    <row r="1494" hidden="1" outlineLevel="2" ht="17.25" customHeight="1" thickBot="1">
      <c r="A1494" s="696" t="n">
        <v>43396</v>
      </c>
      <c r="B1494" s="234" t="inlineStr">
        <is>
          <t>FIMTX</t>
        </is>
      </c>
      <c r="C1494" s="229" t="inlineStr">
        <is>
          <t>小指11</t>
        </is>
      </c>
      <c r="D1494" s="229" t="inlineStr">
        <is>
          <t>新倉</t>
        </is>
      </c>
      <c r="E1494" s="257" t="inlineStr">
        <is>
          <t>買</t>
        </is>
      </c>
      <c r="F1494" s="229" t="inlineStr">
        <is>
          <t>-</t>
        </is>
      </c>
      <c r="G1494" s="697" t="n">
        <v>1</v>
      </c>
      <c r="H1494" s="697" t="n">
        <v>9834</v>
      </c>
      <c r="I1494" s="697" t="n">
        <v>0</v>
      </c>
      <c r="J1494" s="585" t="n">
        <v>23</v>
      </c>
      <c r="K1494" s="585" t="n">
        <v>10</v>
      </c>
      <c r="L1494" s="585">
        <f>IF(B1494="TXO",I1494-SUM(J1494:K1494),IF(B1494="FITX",IF(D1494="新倉",-SUM(J1494:K1494),IF(E1494="賣",(H1494-H1493)*G1494*200-SUM(J1494:K1494),(H1493-H1494)*G1494*200-SUM(J1494:K1494))),IF(D1494="新倉",-SUM(J1494:K1494),IF(E1494="賣",(H1494-H1493)*G1494*50-SUM(J1494:K1494),(H1493-H1494)*G1494*50-SUM(J1494:K1494)))))</f>
        <v/>
      </c>
      <c r="M1494" s="699">
        <f>L1494</f>
        <v/>
      </c>
      <c r="N1494" s="686">
        <f>IF(B1494="TXO","",IF(D1494="新倉","",IF(E1494="賣",(H1494-H1493)*G1494,(H1493-H1494)*G1494)))</f>
        <v/>
      </c>
      <c r="O1494" s="226" t="n">
        <v>0</v>
      </c>
      <c r="P1494" s="667" t="n"/>
      <c r="S1494" s="249" t="n"/>
      <c r="T1494" s="61">
        <f>IF(AND(R1494="Yes",S1494&lt;&gt;"Yes",L1494&gt;0,B1494&lt;&gt;"TXO"),L1494,"")</f>
        <v/>
      </c>
      <c r="U1494" s="61">
        <f>IF(AND(R1494="Yes",S1494&lt;&gt;"Yes",L1494&lt;0,B1494&lt;&gt;"TXO"),L1494,"")</f>
        <v/>
      </c>
      <c r="V1494" s="61">
        <f>IF(AND(R1494="",S1494&lt;&gt;"Yes",L1494&gt;0,B1494&lt;&gt;"TXO"),L1494,"")</f>
        <v/>
      </c>
      <c r="W1494" s="61">
        <f>IF(AND(R1494="",S1494&lt;&gt;"Yes",L1494&lt;0,B1494&lt;&gt;"TXO"),L1494,"")</f>
        <v/>
      </c>
      <c r="X1494" s="226">
        <f>IF(AND(R1494="Yes",S1494="Yes",L1494&gt;0,B1494&lt;&gt;"TXO"),L1494,"")</f>
        <v/>
      </c>
      <c r="Y1494" s="226">
        <f>IF(AND(R1494="Yes",S1494="Yes",L1494&lt;0,B1494&lt;&gt;"TXO"),L1494,"")</f>
        <v/>
      </c>
      <c r="Z1494" s="226">
        <f>IF(AND(R1494="",S1494="Yes",L1494&gt;0,B1494&lt;&gt;"TXO"),L1494,"")</f>
        <v/>
      </c>
      <c r="AA1494" s="226">
        <f>IF(AND(R1494="",S1494="Yes",L1494&lt;0,B1494&lt;&gt;"TXO"),L1494,"")</f>
        <v/>
      </c>
    </row>
    <row r="1495" hidden="1" outlineLevel="2" ht="17.25" customHeight="1" thickBot="1">
      <c r="A1495" s="696" t="n">
        <v>43396</v>
      </c>
      <c r="B1495" s="234" t="inlineStr">
        <is>
          <t>FIMTX</t>
        </is>
      </c>
      <c r="C1495" s="229" t="inlineStr">
        <is>
          <t>小指11</t>
        </is>
      </c>
      <c r="D1495" s="229" t="inlineStr">
        <is>
          <t>平倉</t>
        </is>
      </c>
      <c r="E1495" s="257" t="inlineStr">
        <is>
          <t>賣</t>
        </is>
      </c>
      <c r="F1495" s="229" t="inlineStr">
        <is>
          <t>-</t>
        </is>
      </c>
      <c r="G1495" s="697" t="n">
        <v>1</v>
      </c>
      <c r="H1495" s="697" t="n">
        <v>9846</v>
      </c>
      <c r="I1495" s="697" t="n">
        <v>0</v>
      </c>
      <c r="J1495" s="585" t="n">
        <v>23</v>
      </c>
      <c r="K1495" s="585" t="n">
        <v>10</v>
      </c>
      <c r="L1495" s="585">
        <f>IF(B1495="TXO",I1495-SUM(J1495:K1495),IF(B1495="FITX",IF(D1495="新倉",-SUM(J1495:K1495),IF(E1495="賣",(H1495-H1494)*G1495*200-SUM(J1495:K1495),(H1494-H1495)*G1495*200-SUM(J1495:K1495))),IF(D1495="新倉",-SUM(J1495:K1495),IF(E1495="賣",(H1495-H1494)*G1495*50-SUM(J1495:K1495),(H1494-H1495)*G1495*50-SUM(J1495:K1495)))))</f>
        <v/>
      </c>
      <c r="M1495" s="699">
        <f>L1495</f>
        <v/>
      </c>
      <c r="N1495" s="686">
        <f>IF(B1495="TXO","",IF(D1495="新倉","",IF(E1495="賣",(H1495-H1494)*G1495,(H1494-H1495)*G1495)))</f>
        <v/>
      </c>
      <c r="O1495" s="226" t="n">
        <v>0</v>
      </c>
      <c r="P1495" s="667" t="n"/>
      <c r="S1495" s="249" t="n"/>
      <c r="T1495" s="61">
        <f>IF(AND(R1495="Yes",S1495&lt;&gt;"Yes",L1495&gt;0,B1495&lt;&gt;"TXO"),L1495,"")</f>
        <v/>
      </c>
      <c r="U1495" s="61">
        <f>IF(AND(R1495="Yes",S1495&lt;&gt;"Yes",L1495&lt;0,B1495&lt;&gt;"TXO"),L1495,"")</f>
        <v/>
      </c>
      <c r="V1495" s="61">
        <f>IF(AND(R1495="",S1495&lt;&gt;"Yes",L1495&gt;0,B1495&lt;&gt;"TXO"),L1495,"")</f>
        <v/>
      </c>
      <c r="W1495" s="61">
        <f>IF(AND(R1495="",S1495&lt;&gt;"Yes",L1495&lt;0,B1495&lt;&gt;"TXO"),L1495,"")</f>
        <v/>
      </c>
      <c r="X1495" s="226">
        <f>IF(AND(R1495="Yes",S1495="Yes",L1495&gt;0,B1495&lt;&gt;"TXO"),L1495,"")</f>
        <v/>
      </c>
      <c r="Y1495" s="226">
        <f>IF(AND(R1495="Yes",S1495="Yes",L1495&lt;0,B1495&lt;&gt;"TXO"),L1495,"")</f>
        <v/>
      </c>
      <c r="Z1495" s="226">
        <f>IF(AND(R1495="",S1495="Yes",L1495&gt;0,B1495&lt;&gt;"TXO"),L1495,"")</f>
        <v/>
      </c>
      <c r="AA1495" s="226">
        <f>IF(AND(R1495="",S1495="Yes",L1495&lt;0,B1495&lt;&gt;"TXO"),L1495,"")</f>
        <v/>
      </c>
    </row>
    <row r="1496" hidden="1" outlineLevel="2" ht="17.25" customHeight="1" thickBot="1">
      <c r="A1496" s="696" t="n">
        <v>43396</v>
      </c>
      <c r="B1496" s="234" t="inlineStr">
        <is>
          <t>FIMTX</t>
        </is>
      </c>
      <c r="C1496" s="229" t="inlineStr">
        <is>
          <t>小指11</t>
        </is>
      </c>
      <c r="D1496" s="229" t="inlineStr">
        <is>
          <t>新倉</t>
        </is>
      </c>
      <c r="E1496" s="257" t="inlineStr">
        <is>
          <t>賣</t>
        </is>
      </c>
      <c r="F1496" s="229" t="inlineStr">
        <is>
          <t>-</t>
        </is>
      </c>
      <c r="G1496" s="697" t="n">
        <v>1</v>
      </c>
      <c r="H1496" s="697" t="n">
        <v>9786</v>
      </c>
      <c r="I1496" s="697" t="n">
        <v>0</v>
      </c>
      <c r="J1496" s="585" t="n">
        <v>23</v>
      </c>
      <c r="K1496" s="585" t="n">
        <v>10</v>
      </c>
      <c r="L1496" s="585">
        <f>IF(B1496="TXO",I1496-SUM(J1496:K1496),IF(B1496="FITX",IF(D1496="新倉",-SUM(J1496:K1496),IF(E1496="賣",(H1496-H1495)*G1496*200-SUM(J1496:K1496),(H1495-H1496)*G1496*200-SUM(J1496:K1496))),IF(D1496="新倉",-SUM(J1496:K1496),IF(E1496="賣",(H1496-H1495)*G1496*50-SUM(J1496:K1496),(H1495-H1496)*G1496*50-SUM(J1496:K1496)))))</f>
        <v/>
      </c>
      <c r="M1496" s="699">
        <f>L1496</f>
        <v/>
      </c>
      <c r="N1496" s="686">
        <f>IF(B1496="TXO","",IF(D1496="新倉","",IF(E1496="賣",(H1496-H1495)*G1496,(H1495-H1496)*G1496)))</f>
        <v/>
      </c>
      <c r="O1496" s="226" t="n">
        <v>0</v>
      </c>
      <c r="P1496" s="667" t="n"/>
      <c r="S1496" s="249" t="n"/>
      <c r="T1496" s="61">
        <f>IF(AND(R1496="Yes",S1496&lt;&gt;"Yes",L1496&gt;0,B1496&lt;&gt;"TXO"),L1496,"")</f>
        <v/>
      </c>
      <c r="U1496" s="61">
        <f>IF(AND(R1496="Yes",S1496&lt;&gt;"Yes",L1496&lt;0,B1496&lt;&gt;"TXO"),L1496,"")</f>
        <v/>
      </c>
      <c r="V1496" s="61">
        <f>IF(AND(R1496="",S1496&lt;&gt;"Yes",L1496&gt;0,B1496&lt;&gt;"TXO"),L1496,"")</f>
        <v/>
      </c>
      <c r="W1496" s="61">
        <f>IF(AND(R1496="",S1496&lt;&gt;"Yes",L1496&lt;0,B1496&lt;&gt;"TXO"),L1496,"")</f>
        <v/>
      </c>
      <c r="X1496" s="226">
        <f>IF(AND(R1496="Yes",S1496="Yes",L1496&gt;0,B1496&lt;&gt;"TXO"),L1496,"")</f>
        <v/>
      </c>
      <c r="Y1496" s="226">
        <f>IF(AND(R1496="Yes",S1496="Yes",L1496&lt;0,B1496&lt;&gt;"TXO"),L1496,"")</f>
        <v/>
      </c>
      <c r="Z1496" s="226">
        <f>IF(AND(R1496="",S1496="Yes",L1496&gt;0,B1496&lt;&gt;"TXO"),L1496,"")</f>
        <v/>
      </c>
      <c r="AA1496" s="226">
        <f>IF(AND(R1496="",S1496="Yes",L1496&lt;0,B1496&lt;&gt;"TXO"),L1496,"")</f>
        <v/>
      </c>
    </row>
    <row r="1497" hidden="1" outlineLevel="2" ht="17.25" customHeight="1" thickBot="1">
      <c r="A1497" s="696" t="n">
        <v>43396</v>
      </c>
      <c r="B1497" s="234" t="inlineStr">
        <is>
          <t>FIMTX</t>
        </is>
      </c>
      <c r="C1497" s="229" t="inlineStr">
        <is>
          <t>小指11</t>
        </is>
      </c>
      <c r="D1497" s="229" t="inlineStr">
        <is>
          <t>平倉</t>
        </is>
      </c>
      <c r="E1497" s="257" t="inlineStr">
        <is>
          <t>買</t>
        </is>
      </c>
      <c r="F1497" s="229" t="inlineStr">
        <is>
          <t>-</t>
        </is>
      </c>
      <c r="G1497" s="697" t="n">
        <v>1</v>
      </c>
      <c r="H1497" s="697" t="n">
        <v>9785</v>
      </c>
      <c r="I1497" s="697" t="n">
        <v>0</v>
      </c>
      <c r="J1497" s="585" t="n">
        <v>23</v>
      </c>
      <c r="K1497" s="585" t="n">
        <v>10</v>
      </c>
      <c r="L1497" s="585">
        <f>IF(B1497="TXO",I1497-SUM(J1497:K1497),IF(B1497="FITX",IF(D1497="新倉",-SUM(J1497:K1497),IF(E1497="賣",(H1497-H1496)*G1497*200-SUM(J1497:K1497),(H1496-H1497)*G1497*200-SUM(J1497:K1497))),IF(D1497="新倉",-SUM(J1497:K1497),IF(E1497="賣",(H1497-H1496)*G1497*50-SUM(J1497:K1497),(H1496-H1497)*G1497*50-SUM(J1497:K1497)))))</f>
        <v/>
      </c>
      <c r="M1497" s="699">
        <f>L1497</f>
        <v/>
      </c>
      <c r="N1497" s="686">
        <f>IF(B1497="TXO","",IF(D1497="新倉","",IF(E1497="賣",(H1497-H1496)*G1497,(H1496-H1497)*G1497)))</f>
        <v/>
      </c>
      <c r="O1497" s="226" t="n">
        <v>0</v>
      </c>
      <c r="P1497" s="667" t="n"/>
      <c r="S1497" s="249" t="n"/>
      <c r="T1497" s="61">
        <f>IF(AND(R1497="Yes",S1497&lt;&gt;"Yes",L1497&gt;0,B1497&lt;&gt;"TXO"),L1497,"")</f>
        <v/>
      </c>
      <c r="U1497" s="61">
        <f>IF(AND(R1497="Yes",S1497&lt;&gt;"Yes",L1497&lt;0,B1497&lt;&gt;"TXO"),L1497,"")</f>
        <v/>
      </c>
      <c r="V1497" s="61">
        <f>IF(AND(R1497="",S1497&lt;&gt;"Yes",L1497&gt;0,B1497&lt;&gt;"TXO"),L1497,"")</f>
        <v/>
      </c>
      <c r="W1497" s="61">
        <f>IF(AND(R1497="",S1497&lt;&gt;"Yes",L1497&lt;0,B1497&lt;&gt;"TXO"),L1497,"")</f>
        <v/>
      </c>
      <c r="X1497" s="226">
        <f>IF(AND(R1497="Yes",S1497="Yes",L1497&gt;0,B1497&lt;&gt;"TXO"),L1497,"")</f>
        <v/>
      </c>
      <c r="Y1497" s="226">
        <f>IF(AND(R1497="Yes",S1497="Yes",L1497&lt;0,B1497&lt;&gt;"TXO"),L1497,"")</f>
        <v/>
      </c>
      <c r="Z1497" s="226">
        <f>IF(AND(R1497="",S1497="Yes",L1497&gt;0,B1497&lt;&gt;"TXO"),L1497,"")</f>
        <v/>
      </c>
      <c r="AA1497" s="226">
        <f>IF(AND(R1497="",S1497="Yes",L1497&lt;0,B1497&lt;&gt;"TXO"),L1497,"")</f>
        <v/>
      </c>
    </row>
    <row r="1498" hidden="1" outlineLevel="2" ht="17.25" customHeight="1" thickBot="1">
      <c r="A1498" s="696" t="n">
        <v>43396</v>
      </c>
      <c r="B1498" s="234" t="inlineStr">
        <is>
          <t>FIMTX</t>
        </is>
      </c>
      <c r="C1498" s="229" t="inlineStr">
        <is>
          <t>小指11</t>
        </is>
      </c>
      <c r="D1498" s="229" t="inlineStr">
        <is>
          <t>新倉</t>
        </is>
      </c>
      <c r="E1498" s="257" t="inlineStr">
        <is>
          <t>賣</t>
        </is>
      </c>
      <c r="F1498" s="229" t="inlineStr">
        <is>
          <t>-</t>
        </is>
      </c>
      <c r="G1498" s="697" t="n">
        <v>1</v>
      </c>
      <c r="H1498" s="697" t="n">
        <v>9786</v>
      </c>
      <c r="I1498" s="697" t="n">
        <v>0</v>
      </c>
      <c r="J1498" s="585" t="n">
        <v>23</v>
      </c>
      <c r="K1498" s="585" t="n">
        <v>10</v>
      </c>
      <c r="L1498" s="585">
        <f>IF(B1498="TXO",I1498-SUM(J1498:K1498),IF(B1498="FITX",IF(D1498="新倉",-SUM(J1498:K1498),IF(E1498="賣",(H1498-H1497)*G1498*200-SUM(J1498:K1498),(H1497-H1498)*G1498*200-SUM(J1498:K1498))),IF(D1498="新倉",-SUM(J1498:K1498),IF(E1498="賣",(H1498-H1497)*G1498*50-SUM(J1498:K1498),(H1497-H1498)*G1498*50-SUM(J1498:K1498)))))</f>
        <v/>
      </c>
      <c r="M1498" s="699">
        <f>L1498</f>
        <v/>
      </c>
      <c r="N1498" s="686">
        <f>IF(B1498="TXO","",IF(D1498="新倉","",IF(E1498="賣",(H1498-H1497)*G1498,(H1497-H1498)*G1498)))</f>
        <v/>
      </c>
      <c r="O1498" s="226" t="n">
        <v>0</v>
      </c>
      <c r="P1498" s="667" t="n"/>
      <c r="S1498" s="249" t="n"/>
      <c r="T1498" s="61">
        <f>IF(AND(R1498="Yes",S1498&lt;&gt;"Yes",L1498&gt;0,B1498&lt;&gt;"TXO"),L1498,"")</f>
        <v/>
      </c>
      <c r="U1498" s="61">
        <f>IF(AND(R1498="Yes",S1498&lt;&gt;"Yes",L1498&lt;0,B1498&lt;&gt;"TXO"),L1498,"")</f>
        <v/>
      </c>
      <c r="V1498" s="61">
        <f>IF(AND(R1498="",S1498&lt;&gt;"Yes",L1498&gt;0,B1498&lt;&gt;"TXO"),L1498,"")</f>
        <v/>
      </c>
      <c r="W1498" s="61">
        <f>IF(AND(R1498="",S1498&lt;&gt;"Yes",L1498&lt;0,B1498&lt;&gt;"TXO"),L1498,"")</f>
        <v/>
      </c>
      <c r="X1498" s="226">
        <f>IF(AND(R1498="Yes",S1498="Yes",L1498&gt;0,B1498&lt;&gt;"TXO"),L1498,"")</f>
        <v/>
      </c>
      <c r="Y1498" s="226">
        <f>IF(AND(R1498="Yes",S1498="Yes",L1498&lt;0,B1498&lt;&gt;"TXO"),L1498,"")</f>
        <v/>
      </c>
      <c r="Z1498" s="226">
        <f>IF(AND(R1498="",S1498="Yes",L1498&gt;0,B1498&lt;&gt;"TXO"),L1498,"")</f>
        <v/>
      </c>
      <c r="AA1498" s="226">
        <f>IF(AND(R1498="",S1498="Yes",L1498&lt;0,B1498&lt;&gt;"TXO"),L1498,"")</f>
        <v/>
      </c>
    </row>
    <row r="1499" hidden="1" outlineLevel="2" ht="17.25" customHeight="1" thickBot="1">
      <c r="A1499" s="696" t="n">
        <v>43396</v>
      </c>
      <c r="B1499" s="234" t="inlineStr">
        <is>
          <t>FIMTX</t>
        </is>
      </c>
      <c r="C1499" s="229" t="inlineStr">
        <is>
          <t>小指11</t>
        </is>
      </c>
      <c r="D1499" s="229" t="inlineStr">
        <is>
          <t>平倉</t>
        </is>
      </c>
      <c r="E1499" s="257" t="inlineStr">
        <is>
          <t>買</t>
        </is>
      </c>
      <c r="F1499" s="229" t="inlineStr">
        <is>
          <t>-</t>
        </is>
      </c>
      <c r="G1499" s="697" t="n">
        <v>1</v>
      </c>
      <c r="H1499" s="697" t="n">
        <v>9777</v>
      </c>
      <c r="I1499" s="697" t="n">
        <v>0</v>
      </c>
      <c r="J1499" s="585" t="n">
        <v>23</v>
      </c>
      <c r="K1499" s="585" t="n">
        <v>10</v>
      </c>
      <c r="L1499" s="585">
        <f>IF(B1499="TXO",I1499-SUM(J1499:K1499),IF(B1499="FITX",IF(D1499="新倉",-SUM(J1499:K1499),IF(E1499="賣",(H1499-H1498)*G1499*200-SUM(J1499:K1499),(H1498-H1499)*G1499*200-SUM(J1499:K1499))),IF(D1499="新倉",-SUM(J1499:K1499),IF(E1499="賣",(H1499-H1498)*G1499*50-SUM(J1499:K1499),(H1498-H1499)*G1499*50-SUM(J1499:K1499)))))</f>
        <v/>
      </c>
      <c r="M1499" s="699">
        <f>L1499</f>
        <v/>
      </c>
      <c r="N1499" s="686">
        <f>IF(B1499="TXO","",IF(D1499="新倉","",IF(E1499="賣",(H1499-H1498)*G1499,(H1498-H1499)*G1499)))</f>
        <v/>
      </c>
      <c r="O1499" s="226" t="n">
        <v>0</v>
      </c>
      <c r="P1499" s="667" t="n"/>
      <c r="S1499" s="249" t="n"/>
      <c r="T1499" s="61">
        <f>IF(AND(R1499="Yes",S1499&lt;&gt;"Yes",L1499&gt;0,B1499&lt;&gt;"TXO"),L1499,"")</f>
        <v/>
      </c>
      <c r="U1499" s="61">
        <f>IF(AND(R1499="Yes",S1499&lt;&gt;"Yes",L1499&lt;0,B1499&lt;&gt;"TXO"),L1499,"")</f>
        <v/>
      </c>
      <c r="V1499" s="61">
        <f>IF(AND(R1499="",S1499&lt;&gt;"Yes",L1499&gt;0,B1499&lt;&gt;"TXO"),L1499,"")</f>
        <v/>
      </c>
      <c r="W1499" s="61">
        <f>IF(AND(R1499="",S1499&lt;&gt;"Yes",L1499&lt;0,B1499&lt;&gt;"TXO"),L1499,"")</f>
        <v/>
      </c>
      <c r="X1499" s="226">
        <f>IF(AND(R1499="Yes",S1499="Yes",L1499&gt;0,B1499&lt;&gt;"TXO"),L1499,"")</f>
        <v/>
      </c>
      <c r="Y1499" s="226">
        <f>IF(AND(R1499="Yes",S1499="Yes",L1499&lt;0,B1499&lt;&gt;"TXO"),L1499,"")</f>
        <v/>
      </c>
      <c r="Z1499" s="226">
        <f>IF(AND(R1499="",S1499="Yes",L1499&gt;0,B1499&lt;&gt;"TXO"),L1499,"")</f>
        <v/>
      </c>
      <c r="AA1499" s="226">
        <f>IF(AND(R1499="",S1499="Yes",L1499&lt;0,B1499&lt;&gt;"TXO"),L1499,"")</f>
        <v/>
      </c>
    </row>
    <row r="1500" hidden="1" outlineLevel="2" ht="17.25" customHeight="1" thickBot="1">
      <c r="A1500" s="696" t="n">
        <v>43396</v>
      </c>
      <c r="B1500" s="234" t="inlineStr">
        <is>
          <t>FIMTX</t>
        </is>
      </c>
      <c r="C1500" s="229" t="inlineStr">
        <is>
          <t>小指11</t>
        </is>
      </c>
      <c r="D1500" s="229" t="inlineStr">
        <is>
          <t>新倉</t>
        </is>
      </c>
      <c r="E1500" s="257" t="inlineStr">
        <is>
          <t>賣</t>
        </is>
      </c>
      <c r="F1500" s="229" t="inlineStr">
        <is>
          <t>-</t>
        </is>
      </c>
      <c r="G1500" s="697" t="n">
        <v>1</v>
      </c>
      <c r="H1500" s="697" t="n">
        <v>9809</v>
      </c>
      <c r="I1500" s="697" t="n">
        <v>0</v>
      </c>
      <c r="J1500" s="585" t="n">
        <v>23</v>
      </c>
      <c r="K1500" s="585" t="n">
        <v>10</v>
      </c>
      <c r="L1500" s="585">
        <f>IF(B1500="TXO",I1500-SUM(J1500:K1500),IF(B1500="FITX",IF(D1500="新倉",-SUM(J1500:K1500),IF(E1500="賣",(H1500-H1499)*G1500*200-SUM(J1500:K1500),(H1499-H1500)*G1500*200-SUM(J1500:K1500))),IF(D1500="新倉",-SUM(J1500:K1500),IF(E1500="賣",(H1500-H1499)*G1500*50-SUM(J1500:K1500),(H1499-H1500)*G1500*50-SUM(J1500:K1500)))))</f>
        <v/>
      </c>
      <c r="M1500" s="699">
        <f>L1500</f>
        <v/>
      </c>
      <c r="N1500" s="686">
        <f>IF(B1500="TXO","",IF(D1500="新倉","",IF(E1500="賣",(H1500-H1499)*G1500,(H1499-H1500)*G1500)))</f>
        <v/>
      </c>
      <c r="O1500" s="226" t="n">
        <v>0</v>
      </c>
      <c r="P1500" s="667" t="n"/>
      <c r="Q1500" s="249" t="inlineStr">
        <is>
          <t>技法: 3/3 買進三口</t>
        </is>
      </c>
      <c r="S1500" s="249" t="n"/>
      <c r="T1500" s="61">
        <f>IF(AND(R1500="Yes",S1500&lt;&gt;"Yes",L1500&gt;0,B1500&lt;&gt;"TXO"),L1500,"")</f>
        <v/>
      </c>
      <c r="U1500" s="61">
        <f>IF(AND(R1500="Yes",S1500&lt;&gt;"Yes",L1500&lt;0,B1500&lt;&gt;"TXO"),L1500,"")</f>
        <v/>
      </c>
      <c r="V1500" s="61">
        <f>IF(AND(R1500="",S1500&lt;&gt;"Yes",L1500&gt;0,B1500&lt;&gt;"TXO"),L1500,"")</f>
        <v/>
      </c>
      <c r="W1500" s="61">
        <f>IF(AND(R1500="",S1500&lt;&gt;"Yes",L1500&lt;0,B1500&lt;&gt;"TXO"),L1500,"")</f>
        <v/>
      </c>
      <c r="X1500" s="226">
        <f>IF(AND(R1500="Yes",S1500="Yes",L1500&gt;0,B1500&lt;&gt;"TXO"),L1500,"")</f>
        <v/>
      </c>
      <c r="Y1500" s="226">
        <f>IF(AND(R1500="Yes",S1500="Yes",L1500&lt;0,B1500&lt;&gt;"TXO"),L1500,"")</f>
        <v/>
      </c>
      <c r="Z1500" s="226">
        <f>IF(AND(R1500="",S1500="Yes",L1500&gt;0,B1500&lt;&gt;"TXO"),L1500,"")</f>
        <v/>
      </c>
      <c r="AA1500" s="226">
        <f>IF(AND(R1500="",S1500="Yes",L1500&lt;0,B1500&lt;&gt;"TXO"),L1500,"")</f>
        <v/>
      </c>
    </row>
    <row r="1501" hidden="1" outlineLevel="2" ht="17.25" customHeight="1" thickBot="1">
      <c r="A1501" s="696" t="n">
        <v>43396</v>
      </c>
      <c r="B1501" s="234" t="inlineStr">
        <is>
          <t>FIMTX</t>
        </is>
      </c>
      <c r="C1501" s="229" t="inlineStr">
        <is>
          <t>小指11</t>
        </is>
      </c>
      <c r="D1501" s="229" t="inlineStr">
        <is>
          <t>平倉</t>
        </is>
      </c>
      <c r="E1501" s="257" t="inlineStr">
        <is>
          <t>買</t>
        </is>
      </c>
      <c r="F1501" s="229" t="inlineStr">
        <is>
          <t>-</t>
        </is>
      </c>
      <c r="G1501" s="697" t="n">
        <v>1</v>
      </c>
      <c r="H1501" s="697" t="n">
        <v>9807</v>
      </c>
      <c r="I1501" s="697" t="n">
        <v>0</v>
      </c>
      <c r="J1501" s="585" t="n">
        <v>23</v>
      </c>
      <c r="K1501" s="585" t="n">
        <v>10</v>
      </c>
      <c r="L1501" s="585">
        <f>IF(B1501="TXO",I1501-SUM(J1501:K1501),IF(B1501="FITX",IF(D1501="新倉",-SUM(J1501:K1501),IF(E1501="賣",(H1501-H1500)*G1501*200-SUM(J1501:K1501),(H1500-H1501)*G1501*200-SUM(J1501:K1501))),IF(D1501="新倉",-SUM(J1501:K1501),IF(E1501="賣",(H1501-H1500)*G1501*50-SUM(J1501:K1501),(H1500-H1501)*G1501*50-SUM(J1501:K1501)))))</f>
        <v/>
      </c>
      <c r="M1501" s="699">
        <f>L1501</f>
        <v/>
      </c>
      <c r="N1501" s="686">
        <f>IF(B1501="TXO","",IF(D1501="新倉","",IF(E1501="賣",(H1501-H1500)*G1501,(H1500-H1501)*G1501)))</f>
        <v/>
      </c>
      <c r="O1501" s="226" t="n">
        <v>0</v>
      </c>
      <c r="P1501" s="667" t="n"/>
      <c r="S1501" s="249" t="n"/>
      <c r="T1501" s="61">
        <f>IF(AND(R1501="Yes",S1501&lt;&gt;"Yes",L1501&gt;0,B1501&lt;&gt;"TXO"),L1501,"")</f>
        <v/>
      </c>
      <c r="U1501" s="61">
        <f>IF(AND(R1501="Yes",S1501&lt;&gt;"Yes",L1501&lt;0,B1501&lt;&gt;"TXO"),L1501,"")</f>
        <v/>
      </c>
      <c r="V1501" s="61">
        <f>IF(AND(R1501="",S1501&lt;&gt;"Yes",L1501&gt;0,B1501&lt;&gt;"TXO"),L1501,"")</f>
        <v/>
      </c>
      <c r="W1501" s="61">
        <f>IF(AND(R1501="",S1501&lt;&gt;"Yes",L1501&lt;0,B1501&lt;&gt;"TXO"),L1501,"")</f>
        <v/>
      </c>
      <c r="X1501" s="226">
        <f>IF(AND(R1501="Yes",S1501="Yes",L1501&gt;0,B1501&lt;&gt;"TXO"),L1501,"")</f>
        <v/>
      </c>
      <c r="Y1501" s="226">
        <f>IF(AND(R1501="Yes",S1501="Yes",L1501&lt;0,B1501&lt;&gt;"TXO"),L1501,"")</f>
        <v/>
      </c>
      <c r="Z1501" s="226">
        <f>IF(AND(R1501="",S1501="Yes",L1501&gt;0,B1501&lt;&gt;"TXO"),L1501,"")</f>
        <v/>
      </c>
      <c r="AA1501" s="226">
        <f>IF(AND(R1501="",S1501="Yes",L1501&lt;0,B1501&lt;&gt;"TXO"),L1501,"")</f>
        <v/>
      </c>
    </row>
    <row r="1502" hidden="1" outlineLevel="2" ht="17.25" customHeight="1" thickBot="1">
      <c r="A1502" s="696" t="n">
        <v>43396</v>
      </c>
      <c r="B1502" s="234" t="inlineStr">
        <is>
          <t>FIMTX</t>
        </is>
      </c>
      <c r="C1502" s="229" t="inlineStr">
        <is>
          <t>小指11</t>
        </is>
      </c>
      <c r="D1502" s="229" t="inlineStr">
        <is>
          <t>新倉</t>
        </is>
      </c>
      <c r="E1502" s="257" t="inlineStr">
        <is>
          <t>賣</t>
        </is>
      </c>
      <c r="F1502" s="229" t="inlineStr">
        <is>
          <t>-</t>
        </is>
      </c>
      <c r="G1502" s="697" t="n">
        <v>1</v>
      </c>
      <c r="H1502" s="697" t="n">
        <v>9810</v>
      </c>
      <c r="I1502" s="697" t="n">
        <v>0</v>
      </c>
      <c r="J1502" s="585" t="n">
        <v>23</v>
      </c>
      <c r="K1502" s="585" t="n">
        <v>10</v>
      </c>
      <c r="L1502" s="585">
        <f>IF(B1502="TXO",I1502-SUM(J1502:K1502),IF(B1502="FITX",IF(D1502="新倉",-SUM(J1502:K1502),IF(E1502="賣",(H1502-H1501)*G1502*200-SUM(J1502:K1502),(H1501-H1502)*G1502*200-SUM(J1502:K1502))),IF(D1502="新倉",-SUM(J1502:K1502),IF(E1502="賣",(H1502-H1501)*G1502*50-SUM(J1502:K1502),(H1501-H1502)*G1502*50-SUM(J1502:K1502)))))</f>
        <v/>
      </c>
      <c r="M1502" s="699">
        <f>L1502</f>
        <v/>
      </c>
      <c r="N1502" s="686">
        <f>IF(B1502="TXO","",IF(D1502="新倉","",IF(E1502="賣",(H1502-H1501)*G1502,(H1501-H1502)*G1502)))</f>
        <v/>
      </c>
      <c r="O1502" s="226" t="n">
        <v>0</v>
      </c>
      <c r="P1502" s="667" t="n"/>
      <c r="Q1502" s="315" t="n"/>
      <c r="R1502" s="249" t="inlineStr">
        <is>
          <t>Yes</t>
        </is>
      </c>
      <c r="S1502" s="249" t="n"/>
      <c r="T1502" s="61">
        <f>IF(AND(R1502="Yes",S1502&lt;&gt;"Yes",L1502&gt;0,B1502&lt;&gt;"TXO"),L1502,"")</f>
        <v/>
      </c>
      <c r="U1502" s="61">
        <f>IF(AND(R1502="Yes",S1502&lt;&gt;"Yes",L1502&lt;0,B1502&lt;&gt;"TXO"),L1502,"")</f>
        <v/>
      </c>
      <c r="V1502" s="61">
        <f>IF(AND(R1502="",S1502&lt;&gt;"Yes",L1502&gt;0,B1502&lt;&gt;"TXO"),L1502,"")</f>
        <v/>
      </c>
      <c r="W1502" s="61">
        <f>IF(AND(R1502="",S1502&lt;&gt;"Yes",L1502&lt;0,B1502&lt;&gt;"TXO"),L1502,"")</f>
        <v/>
      </c>
      <c r="X1502" s="226">
        <f>IF(AND(R1502="Yes",S1502="Yes",L1502&gt;0,B1502&lt;&gt;"TXO"),L1502,"")</f>
        <v/>
      </c>
      <c r="Y1502" s="226">
        <f>IF(AND(R1502="Yes",S1502="Yes",L1502&lt;0,B1502&lt;&gt;"TXO"),L1502,"")</f>
        <v/>
      </c>
      <c r="Z1502" s="226">
        <f>IF(AND(R1502="",S1502="Yes",L1502&gt;0,B1502&lt;&gt;"TXO"),L1502,"")</f>
        <v/>
      </c>
      <c r="AA1502" s="226">
        <f>IF(AND(R1502="",S1502="Yes",L1502&lt;0,B1502&lt;&gt;"TXO"),L1502,"")</f>
        <v/>
      </c>
    </row>
    <row r="1503" hidden="1" outlineLevel="2" ht="17.25" customHeight="1" thickBot="1">
      <c r="A1503" s="696" t="n">
        <v>43396</v>
      </c>
      <c r="B1503" s="234" t="inlineStr">
        <is>
          <t>FIMTX</t>
        </is>
      </c>
      <c r="C1503" s="229" t="inlineStr">
        <is>
          <t>小指11</t>
        </is>
      </c>
      <c r="D1503" s="229" t="inlineStr">
        <is>
          <t>平倉</t>
        </is>
      </c>
      <c r="E1503" s="257" t="inlineStr">
        <is>
          <t>買</t>
        </is>
      </c>
      <c r="F1503" s="229" t="inlineStr">
        <is>
          <t>-</t>
        </is>
      </c>
      <c r="G1503" s="697" t="n">
        <v>1</v>
      </c>
      <c r="H1503" s="697" t="n">
        <v>9770</v>
      </c>
      <c r="I1503" s="697" t="n">
        <v>0</v>
      </c>
      <c r="J1503" s="585" t="n">
        <v>23</v>
      </c>
      <c r="K1503" s="585" t="n">
        <v>10</v>
      </c>
      <c r="L1503" s="585">
        <f>IF(B1503="TXO",I1503-SUM(J1503:K1503),IF(B1503="FITX",IF(D1503="新倉",-SUM(J1503:K1503),IF(E1503="賣",(H1503-H1502)*G1503*200-SUM(J1503:K1503),(H1502-H1503)*G1503*200-SUM(J1503:K1503))),IF(D1503="新倉",-SUM(J1503:K1503),IF(E1503="賣",(H1503-H1502)*G1503*50-SUM(J1503:K1503),(H1502-H1503)*G1503*50-SUM(J1503:K1503)))))</f>
        <v/>
      </c>
      <c r="M1503" s="699">
        <f>L1503</f>
        <v/>
      </c>
      <c r="N1503" s="686">
        <f>IF(B1503="TXO","",IF(D1503="新倉","",IF(E1503="賣",(H1503-H1502)*G1503,(H1502-H1503)*G1503)))</f>
        <v/>
      </c>
      <c r="O1503" s="226" t="n">
        <v>0</v>
      </c>
      <c r="P1503" s="667" t="n"/>
      <c r="Q1503" s="249" t="inlineStr">
        <is>
          <t>技法: 刺補</t>
        </is>
      </c>
      <c r="R1503" s="249" t="inlineStr">
        <is>
          <t>Yes</t>
        </is>
      </c>
      <c r="S1503" s="249" t="n"/>
      <c r="T1503" s="61">
        <f>IF(AND(R1503="Yes",S1503&lt;&gt;"Yes",L1503&gt;0,B1503&lt;&gt;"TXO"),L1503,"")</f>
        <v/>
      </c>
      <c r="U1503" s="61">
        <f>IF(AND(R1503="Yes",S1503&lt;&gt;"Yes",L1503&lt;0,B1503&lt;&gt;"TXO"),L1503,"")</f>
        <v/>
      </c>
      <c r="V1503" s="61">
        <f>IF(AND(R1503="",S1503&lt;&gt;"Yes",L1503&gt;0,B1503&lt;&gt;"TXO"),L1503,"")</f>
        <v/>
      </c>
      <c r="W1503" s="61">
        <f>IF(AND(R1503="",S1503&lt;&gt;"Yes",L1503&lt;0,B1503&lt;&gt;"TXO"),L1503,"")</f>
        <v/>
      </c>
      <c r="X1503" s="226">
        <f>IF(AND(R1503="Yes",S1503="Yes",L1503&gt;0,B1503&lt;&gt;"TXO"),L1503,"")</f>
        <v/>
      </c>
      <c r="Y1503" s="226">
        <f>IF(AND(R1503="Yes",S1503="Yes",L1503&lt;0,B1503&lt;&gt;"TXO"),L1503,"")</f>
        <v/>
      </c>
      <c r="Z1503" s="226">
        <f>IF(AND(R1503="",S1503="Yes",L1503&gt;0,B1503&lt;&gt;"TXO"),L1503,"")</f>
        <v/>
      </c>
      <c r="AA1503" s="226">
        <f>IF(AND(R1503="",S1503="Yes",L1503&lt;0,B1503&lt;&gt;"TXO"),L1503,"")</f>
        <v/>
      </c>
    </row>
    <row r="1504" hidden="1" outlineLevel="2" ht="17.25" customHeight="1" thickBot="1">
      <c r="A1504" s="696" t="n">
        <v>43396</v>
      </c>
      <c r="B1504" s="234" t="inlineStr">
        <is>
          <t>FIMTX</t>
        </is>
      </c>
      <c r="C1504" s="229" t="inlineStr">
        <is>
          <t>小指11</t>
        </is>
      </c>
      <c r="D1504" s="229" t="inlineStr">
        <is>
          <t>新倉</t>
        </is>
      </c>
      <c r="E1504" s="257" t="inlineStr">
        <is>
          <t>賣</t>
        </is>
      </c>
      <c r="F1504" s="229" t="inlineStr">
        <is>
          <t>-</t>
        </is>
      </c>
      <c r="G1504" s="697" t="n">
        <v>1</v>
      </c>
      <c r="H1504" s="697" t="n">
        <v>9810</v>
      </c>
      <c r="I1504" s="697" t="n">
        <v>0</v>
      </c>
      <c r="J1504" s="585" t="n">
        <v>23</v>
      </c>
      <c r="K1504" s="585" t="n">
        <v>10</v>
      </c>
      <c r="L1504" s="585">
        <f>IF(B1504="TXO",I1504-SUM(J1504:K1504),IF(B1504="FITX",IF(D1504="新倉",-SUM(J1504:K1504),IF(E1504="賣",(H1504-H1503)*G1504*200-SUM(J1504:K1504),(H1503-H1504)*G1504*200-SUM(J1504:K1504))),IF(D1504="新倉",-SUM(J1504:K1504),IF(E1504="賣",(H1504-H1503)*G1504*50-SUM(J1504:K1504),(H1503-H1504)*G1504*50-SUM(J1504:K1504)))))</f>
        <v/>
      </c>
      <c r="M1504" s="699">
        <f>L1504</f>
        <v/>
      </c>
      <c r="N1504" s="686">
        <f>IF(B1504="TXO","",IF(D1504="新倉","",IF(E1504="賣",(H1504-H1503)*G1504,(H1503-H1504)*G1504)))</f>
        <v/>
      </c>
      <c r="O1504" s="226" t="n">
        <v>0</v>
      </c>
      <c r="P1504" s="667" t="n"/>
      <c r="Q1504" s="315" t="n"/>
      <c r="R1504" s="249" t="inlineStr">
        <is>
          <t>Yes</t>
        </is>
      </c>
      <c r="S1504" s="249" t="n"/>
      <c r="T1504" s="61">
        <f>IF(AND(R1504="Yes",S1504&lt;&gt;"Yes",L1504&gt;0,B1504&lt;&gt;"TXO"),L1504,"")</f>
        <v/>
      </c>
      <c r="U1504" s="61">
        <f>IF(AND(R1504="Yes",S1504&lt;&gt;"Yes",L1504&lt;0,B1504&lt;&gt;"TXO"),L1504,"")</f>
        <v/>
      </c>
      <c r="V1504" s="61">
        <f>IF(AND(R1504="",S1504&lt;&gt;"Yes",L1504&gt;0,B1504&lt;&gt;"TXO"),L1504,"")</f>
        <v/>
      </c>
      <c r="W1504" s="61">
        <f>IF(AND(R1504="",S1504&lt;&gt;"Yes",L1504&lt;0,B1504&lt;&gt;"TXO"),L1504,"")</f>
        <v/>
      </c>
      <c r="X1504" s="226">
        <f>IF(AND(R1504="Yes",S1504="Yes",L1504&gt;0,B1504&lt;&gt;"TXO"),L1504,"")</f>
        <v/>
      </c>
      <c r="Y1504" s="226">
        <f>IF(AND(R1504="Yes",S1504="Yes",L1504&lt;0,B1504&lt;&gt;"TXO"),L1504,"")</f>
        <v/>
      </c>
      <c r="Z1504" s="226">
        <f>IF(AND(R1504="",S1504="Yes",L1504&gt;0,B1504&lt;&gt;"TXO"),L1504,"")</f>
        <v/>
      </c>
      <c r="AA1504" s="226">
        <f>IF(AND(R1504="",S1504="Yes",L1504&lt;0,B1504&lt;&gt;"TXO"),L1504,"")</f>
        <v/>
      </c>
    </row>
    <row r="1505" hidden="1" outlineLevel="2" ht="17.25" customHeight="1" thickBot="1">
      <c r="A1505" s="696" t="n">
        <v>43396</v>
      </c>
      <c r="B1505" s="234" t="inlineStr">
        <is>
          <t>FIMTX</t>
        </is>
      </c>
      <c r="C1505" s="229" t="inlineStr">
        <is>
          <t>小指11</t>
        </is>
      </c>
      <c r="D1505" s="229" t="inlineStr">
        <is>
          <t>平倉</t>
        </is>
      </c>
      <c r="E1505" s="257" t="inlineStr">
        <is>
          <t>買</t>
        </is>
      </c>
      <c r="F1505" s="229" t="inlineStr">
        <is>
          <t>-</t>
        </is>
      </c>
      <c r="G1505" s="697" t="n">
        <v>1</v>
      </c>
      <c r="H1505" s="697" t="n">
        <v>9780</v>
      </c>
      <c r="I1505" s="697" t="n">
        <v>0</v>
      </c>
      <c r="J1505" s="585" t="n">
        <v>23</v>
      </c>
      <c r="K1505" s="585" t="n">
        <v>10</v>
      </c>
      <c r="L1505" s="585">
        <f>IF(B1505="TXO",I1505-SUM(J1505:K1505),IF(B1505="FITX",IF(D1505="新倉",-SUM(J1505:K1505),IF(E1505="賣",(H1505-H1504)*G1505*200-SUM(J1505:K1505),(H1504-H1505)*G1505*200-SUM(J1505:K1505))),IF(D1505="新倉",-SUM(J1505:K1505),IF(E1505="賣",(H1505-H1504)*G1505*50-SUM(J1505:K1505),(H1504-H1505)*G1505*50-SUM(J1505:K1505)))))</f>
        <v/>
      </c>
      <c r="M1505" s="699">
        <f>L1505</f>
        <v/>
      </c>
      <c r="N1505" s="686">
        <f>IF(B1505="TXO","",IF(D1505="新倉","",IF(E1505="賣",(H1505-H1504)*G1505,(H1504-H1505)*G1505)))</f>
        <v/>
      </c>
      <c r="O1505" s="226" t="n">
        <v>0</v>
      </c>
      <c r="P1505" s="667" t="n"/>
      <c r="Q1505" s="315" t="inlineStr">
        <is>
          <t>技法: 移動式停利</t>
        </is>
      </c>
      <c r="R1505" s="249" t="inlineStr">
        <is>
          <t>Yes</t>
        </is>
      </c>
      <c r="S1505" s="249" t="n"/>
      <c r="T1505" s="61">
        <f>IF(AND(R1505="Yes",S1505&lt;&gt;"Yes",L1505&gt;0,B1505&lt;&gt;"TXO"),L1505,"")</f>
        <v/>
      </c>
      <c r="U1505" s="61">
        <f>IF(AND(R1505="Yes",S1505&lt;&gt;"Yes",L1505&lt;0,B1505&lt;&gt;"TXO"),L1505,"")</f>
        <v/>
      </c>
      <c r="V1505" s="61">
        <f>IF(AND(R1505="",S1505&lt;&gt;"Yes",L1505&gt;0,B1505&lt;&gt;"TXO"),L1505,"")</f>
        <v/>
      </c>
      <c r="W1505" s="61">
        <f>IF(AND(R1505="",S1505&lt;&gt;"Yes",L1505&lt;0,B1505&lt;&gt;"TXO"),L1505,"")</f>
        <v/>
      </c>
      <c r="X1505" s="226">
        <f>IF(AND(R1505="Yes",S1505="Yes",L1505&gt;0,B1505&lt;&gt;"TXO"),L1505,"")</f>
        <v/>
      </c>
      <c r="Y1505" s="226">
        <f>IF(AND(R1505="Yes",S1505="Yes",L1505&lt;0,B1505&lt;&gt;"TXO"),L1505,"")</f>
        <v/>
      </c>
      <c r="Z1505" s="226">
        <f>IF(AND(R1505="",S1505="Yes",L1505&gt;0,B1505&lt;&gt;"TXO"),L1505,"")</f>
        <v/>
      </c>
      <c r="AA1505" s="226">
        <f>IF(AND(R1505="",S1505="Yes",L1505&lt;0,B1505&lt;&gt;"TXO"),L1505,"")</f>
        <v/>
      </c>
    </row>
    <row r="1506" hidden="1" outlineLevel="2" ht="17.25" customHeight="1" thickBot="1">
      <c r="A1506" s="696" t="n">
        <v>43396</v>
      </c>
      <c r="B1506" s="234" t="inlineStr">
        <is>
          <t>FIMTX</t>
        </is>
      </c>
      <c r="C1506" s="229" t="inlineStr">
        <is>
          <t>小指11</t>
        </is>
      </c>
      <c r="D1506" s="229" t="inlineStr">
        <is>
          <t>新倉</t>
        </is>
      </c>
      <c r="E1506" s="257" t="inlineStr">
        <is>
          <t>賣</t>
        </is>
      </c>
      <c r="F1506" s="229" t="inlineStr">
        <is>
          <t>-</t>
        </is>
      </c>
      <c r="G1506" s="697" t="n">
        <v>1</v>
      </c>
      <c r="H1506" s="697" t="n">
        <v>9775</v>
      </c>
      <c r="I1506" s="697" t="n">
        <v>0</v>
      </c>
      <c r="J1506" s="585" t="n">
        <v>23</v>
      </c>
      <c r="K1506" s="585" t="n">
        <v>10</v>
      </c>
      <c r="L1506" s="585">
        <f>IF(B1506="TXO",I1506-SUM(J1506:K1506),IF(B1506="FITX",IF(D1506="新倉",-SUM(J1506:K1506),IF(E1506="賣",(H1506-H1505)*G1506*200-SUM(J1506:K1506),(H1505-H1506)*G1506*200-SUM(J1506:K1506))),IF(D1506="新倉",-SUM(J1506:K1506),IF(E1506="賣",(H1506-H1505)*G1506*50-SUM(J1506:K1506),(H1505-H1506)*G1506*50-SUM(J1506:K1506)))))</f>
        <v/>
      </c>
      <c r="M1506" s="699">
        <f>L1506</f>
        <v/>
      </c>
      <c r="N1506" s="686">
        <f>IF(B1506="TXO","",IF(D1506="新倉","",IF(E1506="賣",(H1506-H1505)*G1506,(H1505-H1506)*G1506)))</f>
        <v/>
      </c>
      <c r="O1506" s="226" t="n">
        <v>0</v>
      </c>
      <c r="P1506" s="667" t="n"/>
      <c r="Q1506" s="315" t="n"/>
      <c r="R1506" s="249" t="inlineStr">
        <is>
          <t>Yes</t>
        </is>
      </c>
      <c r="S1506" s="249" t="n"/>
      <c r="T1506" s="61">
        <f>IF(AND(R1506="Yes",S1506&lt;&gt;"Yes",L1506&gt;0,B1506&lt;&gt;"TXO"),L1506,"")</f>
        <v/>
      </c>
      <c r="U1506" s="61">
        <f>IF(AND(R1506="Yes",S1506&lt;&gt;"Yes",L1506&lt;0,B1506&lt;&gt;"TXO"),L1506,"")</f>
        <v/>
      </c>
      <c r="V1506" s="61">
        <f>IF(AND(R1506="",S1506&lt;&gt;"Yes",L1506&gt;0,B1506&lt;&gt;"TXO"),L1506,"")</f>
        <v/>
      </c>
      <c r="W1506" s="61">
        <f>IF(AND(R1506="",S1506&lt;&gt;"Yes",L1506&lt;0,B1506&lt;&gt;"TXO"),L1506,"")</f>
        <v/>
      </c>
      <c r="X1506" s="226">
        <f>IF(AND(R1506="Yes",S1506="Yes",L1506&gt;0,B1506&lt;&gt;"TXO"),L1506,"")</f>
        <v/>
      </c>
      <c r="Y1506" s="226">
        <f>IF(AND(R1506="Yes",S1506="Yes",L1506&lt;0,B1506&lt;&gt;"TXO"),L1506,"")</f>
        <v/>
      </c>
      <c r="Z1506" s="226">
        <f>IF(AND(R1506="",S1506="Yes",L1506&gt;0,B1506&lt;&gt;"TXO"),L1506,"")</f>
        <v/>
      </c>
      <c r="AA1506" s="226">
        <f>IF(AND(R1506="",S1506="Yes",L1506&lt;0,B1506&lt;&gt;"TXO"),L1506,"")</f>
        <v/>
      </c>
    </row>
    <row r="1507" hidden="1" outlineLevel="2" ht="17.25" customHeight="1" thickBot="1">
      <c r="A1507" s="696" t="n">
        <v>43396</v>
      </c>
      <c r="B1507" s="234" t="inlineStr">
        <is>
          <t>FIMTX</t>
        </is>
      </c>
      <c r="C1507" s="229" t="inlineStr">
        <is>
          <t>小指11</t>
        </is>
      </c>
      <c r="D1507" s="229" t="inlineStr">
        <is>
          <t>平倉</t>
        </is>
      </c>
      <c r="E1507" s="257" t="inlineStr">
        <is>
          <t>買</t>
        </is>
      </c>
      <c r="F1507" s="229" t="inlineStr">
        <is>
          <t>-</t>
        </is>
      </c>
      <c r="G1507" s="697" t="n">
        <v>1</v>
      </c>
      <c r="H1507" s="697" t="n">
        <v>9767</v>
      </c>
      <c r="I1507" s="697" t="n">
        <v>0</v>
      </c>
      <c r="J1507" s="585" t="n">
        <v>23</v>
      </c>
      <c r="K1507" s="585" t="n">
        <v>10</v>
      </c>
      <c r="L1507" s="585">
        <f>IF(B1507="TXO",I1507-SUM(J1507:K1507),IF(B1507="FITX",IF(D1507="新倉",-SUM(J1507:K1507),IF(E1507="賣",(H1507-H1506)*G1507*200-SUM(J1507:K1507),(H1506-H1507)*G1507*200-SUM(J1507:K1507))),IF(D1507="新倉",-SUM(J1507:K1507),IF(E1507="賣",(H1507-H1506)*G1507*50-SUM(J1507:K1507),(H1506-H1507)*G1507*50-SUM(J1507:K1507)))))</f>
        <v/>
      </c>
      <c r="M1507" s="699">
        <f>L1507</f>
        <v/>
      </c>
      <c r="N1507" s="686">
        <f>IF(B1507="TXO","",IF(D1507="新倉","",IF(E1507="賣",(H1507-H1506)*G1507,(H1506-H1507)*G1507)))</f>
        <v/>
      </c>
      <c r="O1507" s="226" t="n">
        <v>0</v>
      </c>
      <c r="P1507" s="667" t="n"/>
      <c r="Q1507" s="315" t="inlineStr">
        <is>
          <t>技法: 移動式停利</t>
        </is>
      </c>
      <c r="R1507" s="249" t="inlineStr">
        <is>
          <t>Yes</t>
        </is>
      </c>
      <c r="S1507" s="249" t="n"/>
      <c r="T1507" s="61">
        <f>IF(AND(R1507="Yes",S1507&lt;&gt;"Yes",L1507&gt;0,B1507&lt;&gt;"TXO"),L1507,"")</f>
        <v/>
      </c>
      <c r="U1507" s="61">
        <f>IF(AND(R1507="Yes",S1507&lt;&gt;"Yes",L1507&lt;0,B1507&lt;&gt;"TXO"),L1507,"")</f>
        <v/>
      </c>
      <c r="V1507" s="61">
        <f>IF(AND(R1507="",S1507&lt;&gt;"Yes",L1507&gt;0,B1507&lt;&gt;"TXO"),L1507,"")</f>
        <v/>
      </c>
      <c r="W1507" s="61">
        <f>IF(AND(R1507="",S1507&lt;&gt;"Yes",L1507&lt;0,B1507&lt;&gt;"TXO"),L1507,"")</f>
        <v/>
      </c>
      <c r="X1507" s="226">
        <f>IF(AND(R1507="Yes",S1507="Yes",L1507&gt;0,B1507&lt;&gt;"TXO"),L1507,"")</f>
        <v/>
      </c>
      <c r="Y1507" s="226">
        <f>IF(AND(R1507="Yes",S1507="Yes",L1507&lt;0,B1507&lt;&gt;"TXO"),L1507,"")</f>
        <v/>
      </c>
      <c r="Z1507" s="226">
        <f>IF(AND(R1507="",S1507="Yes",L1507&gt;0,B1507&lt;&gt;"TXO"),L1507,"")</f>
        <v/>
      </c>
      <c r="AA1507" s="226">
        <f>IF(AND(R1507="",S1507="Yes",L1507&lt;0,B1507&lt;&gt;"TXO"),L1507,"")</f>
        <v/>
      </c>
    </row>
    <row r="1508" hidden="1" outlineLevel="2" ht="17.25" customHeight="1" thickBot="1">
      <c r="A1508" s="696" t="n">
        <v>43396</v>
      </c>
      <c r="B1508" s="234" t="inlineStr">
        <is>
          <t>FIMTX</t>
        </is>
      </c>
      <c r="C1508" s="229" t="inlineStr">
        <is>
          <t>小指11</t>
        </is>
      </c>
      <c r="D1508" s="229" t="inlineStr">
        <is>
          <t>新倉</t>
        </is>
      </c>
      <c r="E1508" s="257" t="inlineStr">
        <is>
          <t>賣</t>
        </is>
      </c>
      <c r="F1508" s="229" t="inlineStr">
        <is>
          <t>-</t>
        </is>
      </c>
      <c r="G1508" s="697" t="n">
        <v>3</v>
      </c>
      <c r="H1508" s="697" t="n">
        <v>9787</v>
      </c>
      <c r="I1508" s="697" t="n">
        <v>0</v>
      </c>
      <c r="J1508" s="585" t="n">
        <v>69</v>
      </c>
      <c r="K1508" s="585" t="n">
        <v>30</v>
      </c>
      <c r="L1508" s="585">
        <f>IF(B1508="TXO",I1508-SUM(J1508:K1508),IF(B1508="FITX",IF(D1508="新倉",-SUM(J1508:K1508),IF(E1508="賣",(H1508-H1507)*G1508*200-SUM(J1508:K1508),(H1507-H1508)*G1508*200-SUM(J1508:K1508))),IF(D1508="新倉",-SUM(J1508:K1508),IF(E1508="賣",(H1508-H1507)*G1508*50-SUM(J1508:K1508),(H1507-H1508)*G1508*50-SUM(J1508:K1508)))))</f>
        <v/>
      </c>
      <c r="M1508" s="699">
        <f>L1508</f>
        <v/>
      </c>
      <c r="N1508" s="686">
        <f>IF(B1508="TXO","",IF(D1508="新倉","",IF(E1508="賣",(H1508-H1507)*G1508,(H1507-H1508)*G1508)))</f>
        <v/>
      </c>
      <c r="O1508" s="226" t="n">
        <v>0</v>
      </c>
      <c r="P1508" s="667" t="n"/>
      <c r="Q1508" s="249" t="inlineStr">
        <is>
          <t>技法: 3/3 買進三口</t>
        </is>
      </c>
      <c r="R1508" s="249" t="inlineStr">
        <is>
          <t>Yes</t>
        </is>
      </c>
      <c r="S1508" s="249" t="n"/>
      <c r="T1508" s="61">
        <f>IF(AND(R1508="Yes",S1508&lt;&gt;"Yes",L1508&gt;0,B1508&lt;&gt;"TXO"),L1508,"")</f>
        <v/>
      </c>
      <c r="U1508" s="61">
        <f>IF(AND(R1508="Yes",S1508&lt;&gt;"Yes",L1508&lt;0,B1508&lt;&gt;"TXO"),L1508,"")</f>
        <v/>
      </c>
      <c r="V1508" s="61">
        <f>IF(AND(R1508="",S1508&lt;&gt;"Yes",L1508&gt;0,B1508&lt;&gt;"TXO"),L1508,"")</f>
        <v/>
      </c>
      <c r="W1508" s="61">
        <f>IF(AND(R1508="",S1508&lt;&gt;"Yes",L1508&lt;0,B1508&lt;&gt;"TXO"),L1508,"")</f>
        <v/>
      </c>
      <c r="X1508" s="226">
        <f>IF(AND(R1508="Yes",S1508="Yes",L1508&gt;0,B1508&lt;&gt;"TXO"),L1508,"")</f>
        <v/>
      </c>
      <c r="Y1508" s="226">
        <f>IF(AND(R1508="Yes",S1508="Yes",L1508&lt;0,B1508&lt;&gt;"TXO"),L1508,"")</f>
        <v/>
      </c>
      <c r="Z1508" s="226">
        <f>IF(AND(R1508="",S1508="Yes",L1508&gt;0,B1508&lt;&gt;"TXO"),L1508,"")</f>
        <v/>
      </c>
      <c r="AA1508" s="226">
        <f>IF(AND(R1508="",S1508="Yes",L1508&lt;0,B1508&lt;&gt;"TXO"),L1508,"")</f>
        <v/>
      </c>
    </row>
    <row r="1509" hidden="1" outlineLevel="2" ht="17.25" customHeight="1" thickBot="1">
      <c r="A1509" s="696" t="n">
        <v>43396</v>
      </c>
      <c r="B1509" s="234" t="inlineStr">
        <is>
          <t>FIMTX</t>
        </is>
      </c>
      <c r="C1509" s="229" t="inlineStr">
        <is>
          <t>小指11</t>
        </is>
      </c>
      <c r="D1509" s="229" t="inlineStr">
        <is>
          <t>平倉</t>
        </is>
      </c>
      <c r="E1509" s="257" t="inlineStr">
        <is>
          <t>買</t>
        </is>
      </c>
      <c r="F1509" s="229" t="inlineStr">
        <is>
          <t>-</t>
        </is>
      </c>
      <c r="G1509" s="697" t="n">
        <v>3</v>
      </c>
      <c r="H1509" s="697" t="n">
        <v>9785</v>
      </c>
      <c r="I1509" s="697" t="n">
        <v>0</v>
      </c>
      <c r="J1509" s="585" t="n">
        <v>69</v>
      </c>
      <c r="K1509" s="585" t="n">
        <v>30</v>
      </c>
      <c r="L1509" s="585">
        <f>IF(B1509="TXO",I1509-SUM(J1509:K1509),IF(B1509="FITX",IF(D1509="新倉",-SUM(J1509:K1509),IF(E1509="賣",(H1509-H1508)*G1509*200-SUM(J1509:K1509),(H1508-H1509)*G1509*200-SUM(J1509:K1509))),IF(D1509="新倉",-SUM(J1509:K1509),IF(E1509="賣",(H1509-H1508)*G1509*50-SUM(J1509:K1509),(H1508-H1509)*G1509*50-SUM(J1509:K1509)))))</f>
        <v/>
      </c>
      <c r="M1509" s="699">
        <f>L1509</f>
        <v/>
      </c>
      <c r="N1509" s="686">
        <f>IF(B1509="TXO","",IF(D1509="新倉","",IF(E1509="賣",(H1509-H1508)*G1509,(H1508-H1509)*G1509)))</f>
        <v/>
      </c>
      <c r="O1509" s="226" t="n">
        <v>0</v>
      </c>
      <c r="P1509" s="667" t="n"/>
      <c r="Q1509" s="249" t="inlineStr">
        <is>
          <t>技法: 碰10MA出場</t>
        </is>
      </c>
      <c r="R1509" s="249" t="inlineStr">
        <is>
          <t>Yes</t>
        </is>
      </c>
      <c r="S1509" s="249" t="n"/>
      <c r="T1509" s="61">
        <f>IF(AND(R1509="Yes",S1509&lt;&gt;"Yes",L1509&gt;0,B1509&lt;&gt;"TXO"),L1509,"")</f>
        <v/>
      </c>
      <c r="U1509" s="61">
        <f>IF(AND(R1509="Yes",S1509&lt;&gt;"Yes",L1509&lt;0,B1509&lt;&gt;"TXO"),L1509,"")</f>
        <v/>
      </c>
      <c r="V1509" s="61">
        <f>IF(AND(R1509="",S1509&lt;&gt;"Yes",L1509&gt;0,B1509&lt;&gt;"TXO"),L1509,"")</f>
        <v/>
      </c>
      <c r="W1509" s="61">
        <f>IF(AND(R1509="",S1509&lt;&gt;"Yes",L1509&lt;0,B1509&lt;&gt;"TXO"),L1509,"")</f>
        <v/>
      </c>
      <c r="X1509" s="226">
        <f>IF(AND(R1509="Yes",S1509="Yes",L1509&gt;0,B1509&lt;&gt;"TXO"),L1509,"")</f>
        <v/>
      </c>
      <c r="Y1509" s="226">
        <f>IF(AND(R1509="Yes",S1509="Yes",L1509&lt;0,B1509&lt;&gt;"TXO"),L1509,"")</f>
        <v/>
      </c>
      <c r="Z1509" s="226">
        <f>IF(AND(R1509="",S1509="Yes",L1509&gt;0,B1509&lt;&gt;"TXO"),L1509,"")</f>
        <v/>
      </c>
      <c r="AA1509" s="226">
        <f>IF(AND(R1509="",S1509="Yes",L1509&lt;0,B1509&lt;&gt;"TXO"),L1509,"")</f>
        <v/>
      </c>
    </row>
    <row r="1510" hidden="1" outlineLevel="2" ht="17.25" customHeight="1" thickBot="1">
      <c r="A1510" s="696" t="n">
        <v>43396</v>
      </c>
      <c r="B1510" s="234" t="inlineStr">
        <is>
          <t>FIMTX</t>
        </is>
      </c>
      <c r="C1510" s="229" t="inlineStr">
        <is>
          <t>小指11</t>
        </is>
      </c>
      <c r="D1510" s="229" t="inlineStr">
        <is>
          <t>新倉</t>
        </is>
      </c>
      <c r="E1510" s="257" t="inlineStr">
        <is>
          <t>賣</t>
        </is>
      </c>
      <c r="F1510" s="229" t="inlineStr">
        <is>
          <t>-</t>
        </is>
      </c>
      <c r="G1510" s="697" t="n">
        <v>1</v>
      </c>
      <c r="H1510" s="697" t="n">
        <v>9773</v>
      </c>
      <c r="I1510" s="697" t="n">
        <v>0</v>
      </c>
      <c r="J1510" s="585" t="n">
        <v>23</v>
      </c>
      <c r="K1510" s="585" t="n">
        <v>10</v>
      </c>
      <c r="L1510" s="585">
        <f>IF(B1510="TXO",I1510-SUM(J1510:K1510),IF(B1510="FITX",IF(D1510="新倉",-SUM(J1510:K1510),IF(E1510="賣",(H1510-H1509)*G1510*200-SUM(J1510:K1510),(H1509-H1510)*G1510*200-SUM(J1510:K1510))),IF(D1510="新倉",-SUM(J1510:K1510),IF(E1510="賣",(H1510-H1509)*G1510*50-SUM(J1510:K1510),(H1509-H1510)*G1510*50-SUM(J1510:K1510)))))</f>
        <v/>
      </c>
      <c r="M1510" s="699">
        <f>L1510</f>
        <v/>
      </c>
      <c r="N1510" s="686">
        <f>IF(B1510="TXO","",IF(D1510="新倉","",IF(E1510="賣",(H1510-H1509)*G1510,(H1509-H1510)*G1510)))</f>
        <v/>
      </c>
      <c r="O1510" s="226" t="n">
        <v>0</v>
      </c>
      <c r="P1510" s="667" t="n"/>
      <c r="S1510" s="249" t="n"/>
      <c r="T1510" s="61">
        <f>IF(AND(R1510="Yes",S1510&lt;&gt;"Yes",L1510&gt;0,B1510&lt;&gt;"TXO"),L1510,"")</f>
        <v/>
      </c>
      <c r="U1510" s="61">
        <f>IF(AND(R1510="Yes",S1510&lt;&gt;"Yes",L1510&lt;0,B1510&lt;&gt;"TXO"),L1510,"")</f>
        <v/>
      </c>
      <c r="V1510" s="61">
        <f>IF(AND(R1510="",S1510&lt;&gt;"Yes",L1510&gt;0,B1510&lt;&gt;"TXO"),L1510,"")</f>
        <v/>
      </c>
      <c r="W1510" s="61">
        <f>IF(AND(R1510="",S1510&lt;&gt;"Yes",L1510&lt;0,B1510&lt;&gt;"TXO"),L1510,"")</f>
        <v/>
      </c>
      <c r="X1510" s="226">
        <f>IF(AND(R1510="Yes",S1510="Yes",L1510&gt;0,B1510&lt;&gt;"TXO"),L1510,"")</f>
        <v/>
      </c>
      <c r="Y1510" s="226">
        <f>IF(AND(R1510="Yes",S1510="Yes",L1510&lt;0,B1510&lt;&gt;"TXO"),L1510,"")</f>
        <v/>
      </c>
      <c r="Z1510" s="226">
        <f>IF(AND(R1510="",S1510="Yes",L1510&gt;0,B1510&lt;&gt;"TXO"),L1510,"")</f>
        <v/>
      </c>
      <c r="AA1510" s="226">
        <f>IF(AND(R1510="",S1510="Yes",L1510&lt;0,B1510&lt;&gt;"TXO"),L1510,"")</f>
        <v/>
      </c>
    </row>
    <row r="1511" hidden="1" outlineLevel="2" ht="17.25" customHeight="1" thickBot="1">
      <c r="A1511" s="696" t="n">
        <v>43396</v>
      </c>
      <c r="B1511" s="234" t="inlineStr">
        <is>
          <t>FIMTX</t>
        </is>
      </c>
      <c r="C1511" s="229" t="inlineStr">
        <is>
          <t>小指11</t>
        </is>
      </c>
      <c r="D1511" s="229" t="inlineStr">
        <is>
          <t>平倉</t>
        </is>
      </c>
      <c r="E1511" s="257" t="inlineStr">
        <is>
          <t>買</t>
        </is>
      </c>
      <c r="F1511" s="229" t="inlineStr">
        <is>
          <t>-</t>
        </is>
      </c>
      <c r="G1511" s="697" t="n">
        <v>1</v>
      </c>
      <c r="H1511" s="697" t="n">
        <v>9769</v>
      </c>
      <c r="I1511" s="697" t="n">
        <v>0</v>
      </c>
      <c r="J1511" s="585" t="n">
        <v>23</v>
      </c>
      <c r="K1511" s="585" t="n">
        <v>10</v>
      </c>
      <c r="L1511" s="585">
        <f>IF(B1511="TXO",I1511-SUM(J1511:K1511),IF(B1511="FITX",IF(D1511="新倉",-SUM(J1511:K1511),IF(E1511="賣",(H1511-H1510)*G1511*200-SUM(J1511:K1511),(H1510-H1511)*G1511*200-SUM(J1511:K1511))),IF(D1511="新倉",-SUM(J1511:K1511),IF(E1511="賣",(H1511-H1510)*G1511*50-SUM(J1511:K1511),(H1510-H1511)*G1511*50-SUM(J1511:K1511)))))</f>
        <v/>
      </c>
      <c r="M1511" s="699">
        <f>L1511</f>
        <v/>
      </c>
      <c r="N1511" s="686">
        <f>IF(B1511="TXO","",IF(D1511="新倉","",IF(E1511="賣",(H1511-H1510)*G1511,(H1510-H1511)*G1511)))</f>
        <v/>
      </c>
      <c r="O1511" s="226" t="n">
        <v>0</v>
      </c>
      <c r="P1511" s="667" t="n"/>
      <c r="S1511" s="249" t="n"/>
      <c r="T1511" s="61">
        <f>IF(AND(R1511="Yes",S1511&lt;&gt;"Yes",L1511&gt;0,B1511&lt;&gt;"TXO"),L1511,"")</f>
        <v/>
      </c>
      <c r="U1511" s="61">
        <f>IF(AND(R1511="Yes",S1511&lt;&gt;"Yes",L1511&lt;0,B1511&lt;&gt;"TXO"),L1511,"")</f>
        <v/>
      </c>
      <c r="V1511" s="61">
        <f>IF(AND(R1511="",S1511&lt;&gt;"Yes",L1511&gt;0,B1511&lt;&gt;"TXO"),L1511,"")</f>
        <v/>
      </c>
      <c r="W1511" s="61">
        <f>IF(AND(R1511="",S1511&lt;&gt;"Yes",L1511&lt;0,B1511&lt;&gt;"TXO"),L1511,"")</f>
        <v/>
      </c>
      <c r="X1511" s="226">
        <f>IF(AND(R1511="Yes",S1511="Yes",L1511&gt;0,B1511&lt;&gt;"TXO"),L1511,"")</f>
        <v/>
      </c>
      <c r="Y1511" s="226">
        <f>IF(AND(R1511="Yes",S1511="Yes",L1511&lt;0,B1511&lt;&gt;"TXO"),L1511,"")</f>
        <v/>
      </c>
      <c r="Z1511" s="226">
        <f>IF(AND(R1511="",S1511="Yes",L1511&gt;0,B1511&lt;&gt;"TXO"),L1511,"")</f>
        <v/>
      </c>
      <c r="AA1511" s="226">
        <f>IF(AND(R1511="",S1511="Yes",L1511&lt;0,B1511&lt;&gt;"TXO"),L1511,"")</f>
        <v/>
      </c>
    </row>
    <row r="1512" hidden="1" outlineLevel="2" ht="17.25" customHeight="1" thickBot="1">
      <c r="A1512" s="696" t="n">
        <v>43396</v>
      </c>
      <c r="B1512" s="234" t="inlineStr">
        <is>
          <t>FIMTX</t>
        </is>
      </c>
      <c r="C1512" s="229" t="inlineStr">
        <is>
          <t>小指11</t>
        </is>
      </c>
      <c r="D1512" s="229" t="inlineStr">
        <is>
          <t>新倉</t>
        </is>
      </c>
      <c r="E1512" s="257" t="inlineStr">
        <is>
          <t>賣</t>
        </is>
      </c>
      <c r="F1512" s="229" t="inlineStr">
        <is>
          <t>-</t>
        </is>
      </c>
      <c r="G1512" s="697" t="n">
        <v>1</v>
      </c>
      <c r="H1512" s="697" t="n">
        <v>9759</v>
      </c>
      <c r="I1512" s="697" t="n">
        <v>0</v>
      </c>
      <c r="J1512" s="585" t="n">
        <v>23</v>
      </c>
      <c r="K1512" s="585" t="n">
        <v>10</v>
      </c>
      <c r="L1512" s="585">
        <f>IF(B1512="TXO",I1512-SUM(J1512:K1512),IF(B1512="FITX",IF(D1512="新倉",-SUM(J1512:K1512),IF(E1512="賣",(H1512-H1511)*G1512*200-SUM(J1512:K1512),(H1511-H1512)*G1512*200-SUM(J1512:K1512))),IF(D1512="新倉",-SUM(J1512:K1512),IF(E1512="賣",(H1512-H1511)*G1512*50-SUM(J1512:K1512),(H1511-H1512)*G1512*50-SUM(J1512:K1512)))))</f>
        <v/>
      </c>
      <c r="M1512" s="699">
        <f>L1512</f>
        <v/>
      </c>
      <c r="N1512" s="686">
        <f>IF(B1512="TXO","",IF(D1512="新倉","",IF(E1512="賣",(H1512-H1511)*G1512,(H1511-H1512)*G1512)))</f>
        <v/>
      </c>
      <c r="O1512" s="226" t="n">
        <v>0</v>
      </c>
      <c r="P1512" s="667" t="n"/>
      <c r="Q1512" s="249" t="inlineStr">
        <is>
          <t>技法: 3/3 買進三口</t>
        </is>
      </c>
      <c r="R1512" s="249" t="inlineStr">
        <is>
          <t>Yes</t>
        </is>
      </c>
      <c r="S1512" s="249" t="n"/>
      <c r="T1512" s="61">
        <f>IF(AND(R1512="Yes",S1512&lt;&gt;"Yes",L1512&gt;0,B1512&lt;&gt;"TXO"),L1512,"")</f>
        <v/>
      </c>
      <c r="U1512" s="61">
        <f>IF(AND(R1512="Yes",S1512&lt;&gt;"Yes",L1512&lt;0,B1512&lt;&gt;"TXO"),L1512,"")</f>
        <v/>
      </c>
      <c r="V1512" s="61">
        <f>IF(AND(R1512="",S1512&lt;&gt;"Yes",L1512&gt;0,B1512&lt;&gt;"TXO"),L1512,"")</f>
        <v/>
      </c>
      <c r="W1512" s="61">
        <f>IF(AND(R1512="",S1512&lt;&gt;"Yes",L1512&lt;0,B1512&lt;&gt;"TXO"),L1512,"")</f>
        <v/>
      </c>
      <c r="X1512" s="226">
        <f>IF(AND(R1512="Yes",S1512="Yes",L1512&gt;0,B1512&lt;&gt;"TXO"),L1512,"")</f>
        <v/>
      </c>
      <c r="Y1512" s="226">
        <f>IF(AND(R1512="Yes",S1512="Yes",L1512&lt;0,B1512&lt;&gt;"TXO"),L1512,"")</f>
        <v/>
      </c>
      <c r="Z1512" s="226">
        <f>IF(AND(R1512="",S1512="Yes",L1512&gt;0,B1512&lt;&gt;"TXO"),L1512,"")</f>
        <v/>
      </c>
      <c r="AA1512" s="226">
        <f>IF(AND(R1512="",S1512="Yes",L1512&lt;0,B1512&lt;&gt;"TXO"),L1512,"")</f>
        <v/>
      </c>
    </row>
    <row r="1513" hidden="1" outlineLevel="2" ht="17.25" customHeight="1" thickBot="1">
      <c r="A1513" s="696" t="n">
        <v>43396</v>
      </c>
      <c r="B1513" s="234" t="inlineStr">
        <is>
          <t>FIMTX</t>
        </is>
      </c>
      <c r="C1513" s="229" t="inlineStr">
        <is>
          <t>小指11</t>
        </is>
      </c>
      <c r="D1513" s="229" t="inlineStr">
        <is>
          <t>平倉</t>
        </is>
      </c>
      <c r="E1513" s="257" t="inlineStr">
        <is>
          <t>買</t>
        </is>
      </c>
      <c r="F1513" s="229" t="inlineStr">
        <is>
          <t>-</t>
        </is>
      </c>
      <c r="G1513" s="697" t="n">
        <v>1</v>
      </c>
      <c r="H1513" s="697" t="n">
        <v>9757</v>
      </c>
      <c r="I1513" s="697" t="n">
        <v>0</v>
      </c>
      <c r="J1513" s="585" t="n">
        <v>23</v>
      </c>
      <c r="K1513" s="585" t="n">
        <v>10</v>
      </c>
      <c r="L1513" s="585">
        <f>IF(B1513="TXO",I1513-SUM(J1513:K1513),IF(B1513="FITX",IF(D1513="新倉",-SUM(J1513:K1513),IF(E1513="賣",(H1513-H1512)*G1513*200-SUM(J1513:K1513),(H1512-H1513)*G1513*200-SUM(J1513:K1513))),IF(D1513="新倉",-SUM(J1513:K1513),IF(E1513="賣",(H1513-H1512)*G1513*50-SUM(J1513:K1513),(H1512-H1513)*G1513*50-SUM(J1513:K1513)))))</f>
        <v/>
      </c>
      <c r="M1513" s="699">
        <f>L1513</f>
        <v/>
      </c>
      <c r="N1513" s="686">
        <f>IF(B1513="TXO","",IF(D1513="新倉","",IF(E1513="賣",(H1513-H1512)*G1513,(H1512-H1513)*G1513)))</f>
        <v/>
      </c>
      <c r="O1513" s="226" t="n">
        <v>0</v>
      </c>
      <c r="P1513" s="667" t="n"/>
      <c r="Q1513" s="249" t="inlineStr">
        <is>
          <t>技法: 刺補</t>
        </is>
      </c>
      <c r="R1513" s="249" t="inlineStr">
        <is>
          <t>Yes</t>
        </is>
      </c>
      <c r="S1513" s="249" t="n"/>
      <c r="T1513" s="61">
        <f>IF(AND(R1513="Yes",S1513&lt;&gt;"Yes",L1513&gt;0,B1513&lt;&gt;"TXO"),L1513,"")</f>
        <v/>
      </c>
      <c r="U1513" s="61">
        <f>IF(AND(R1513="Yes",S1513&lt;&gt;"Yes",L1513&lt;0,B1513&lt;&gt;"TXO"),L1513,"")</f>
        <v/>
      </c>
      <c r="V1513" s="61">
        <f>IF(AND(R1513="",S1513&lt;&gt;"Yes",L1513&gt;0,B1513&lt;&gt;"TXO"),L1513,"")</f>
        <v/>
      </c>
      <c r="W1513" s="61">
        <f>IF(AND(R1513="",S1513&lt;&gt;"Yes",L1513&lt;0,B1513&lt;&gt;"TXO"),L1513,"")</f>
        <v/>
      </c>
      <c r="X1513" s="226">
        <f>IF(AND(R1513="Yes",S1513="Yes",L1513&gt;0,B1513&lt;&gt;"TXO"),L1513,"")</f>
        <v/>
      </c>
      <c r="Y1513" s="226">
        <f>IF(AND(R1513="Yes",S1513="Yes",L1513&lt;0,B1513&lt;&gt;"TXO"),L1513,"")</f>
        <v/>
      </c>
      <c r="Z1513" s="226">
        <f>IF(AND(R1513="",S1513="Yes",L1513&gt;0,B1513&lt;&gt;"TXO"),L1513,"")</f>
        <v/>
      </c>
      <c r="AA1513" s="226">
        <f>IF(AND(R1513="",S1513="Yes",L1513&lt;0,B1513&lt;&gt;"TXO"),L1513,"")</f>
        <v/>
      </c>
    </row>
    <row r="1514" hidden="1" outlineLevel="2" ht="17.25" customHeight="1" thickBot="1">
      <c r="A1514" s="696" t="n">
        <v>43396</v>
      </c>
      <c r="B1514" s="234" t="inlineStr">
        <is>
          <t>FIMTX</t>
        </is>
      </c>
      <c r="C1514" s="229" t="inlineStr">
        <is>
          <t>小指11</t>
        </is>
      </c>
      <c r="D1514" s="229" t="inlineStr">
        <is>
          <t>新倉</t>
        </is>
      </c>
      <c r="E1514" s="257" t="inlineStr">
        <is>
          <t>賣</t>
        </is>
      </c>
      <c r="F1514" s="229" t="inlineStr">
        <is>
          <t>-</t>
        </is>
      </c>
      <c r="G1514" s="697" t="n">
        <v>1</v>
      </c>
      <c r="H1514" s="697" t="n">
        <v>9759</v>
      </c>
      <c r="I1514" s="697" t="n">
        <v>0</v>
      </c>
      <c r="J1514" s="585" t="n">
        <v>23</v>
      </c>
      <c r="K1514" s="585" t="n">
        <v>10</v>
      </c>
      <c r="L1514" s="585">
        <f>IF(B1514="TXO",I1514-SUM(J1514:K1514),IF(B1514="FITX",IF(D1514="新倉",-SUM(J1514:K1514),IF(E1514="賣",(H1514-H1513)*G1514*200-SUM(J1514:K1514),(H1513-H1514)*G1514*200-SUM(J1514:K1514))),IF(D1514="新倉",-SUM(J1514:K1514),IF(E1514="賣",(H1514-H1513)*G1514*50-SUM(J1514:K1514),(H1513-H1514)*G1514*50-SUM(J1514:K1514)))))</f>
        <v/>
      </c>
      <c r="M1514" s="699">
        <f>L1514</f>
        <v/>
      </c>
      <c r="N1514" s="686">
        <f>IF(B1514="TXO","",IF(D1514="新倉","",IF(E1514="賣",(H1514-H1513)*G1514,(H1513-H1514)*G1514)))</f>
        <v/>
      </c>
      <c r="O1514" s="226" t="n">
        <v>0</v>
      </c>
      <c r="P1514" s="667" t="n"/>
      <c r="R1514" s="249" t="inlineStr">
        <is>
          <t>Yes</t>
        </is>
      </c>
      <c r="S1514" s="249" t="n"/>
      <c r="T1514" s="61">
        <f>IF(AND(R1514="Yes",S1514&lt;&gt;"Yes",L1514&gt;0,B1514&lt;&gt;"TXO"),L1514,"")</f>
        <v/>
      </c>
      <c r="U1514" s="61">
        <f>IF(AND(R1514="Yes",S1514&lt;&gt;"Yes",L1514&lt;0,B1514&lt;&gt;"TXO"),L1514,"")</f>
        <v/>
      </c>
      <c r="V1514" s="61">
        <f>IF(AND(R1514="",S1514&lt;&gt;"Yes",L1514&gt;0,B1514&lt;&gt;"TXO"),L1514,"")</f>
        <v/>
      </c>
      <c r="W1514" s="61">
        <f>IF(AND(R1514="",S1514&lt;&gt;"Yes",L1514&lt;0,B1514&lt;&gt;"TXO"),L1514,"")</f>
        <v/>
      </c>
      <c r="X1514" s="226">
        <f>IF(AND(R1514="Yes",S1514="Yes",L1514&gt;0,B1514&lt;&gt;"TXO"),L1514,"")</f>
        <v/>
      </c>
      <c r="Y1514" s="226">
        <f>IF(AND(R1514="Yes",S1514="Yes",L1514&lt;0,B1514&lt;&gt;"TXO"),L1514,"")</f>
        <v/>
      </c>
      <c r="Z1514" s="226">
        <f>IF(AND(R1514="",S1514="Yes",L1514&gt;0,B1514&lt;&gt;"TXO"),L1514,"")</f>
        <v/>
      </c>
      <c r="AA1514" s="226">
        <f>IF(AND(R1514="",S1514="Yes",L1514&lt;0,B1514&lt;&gt;"TXO"),L1514,"")</f>
        <v/>
      </c>
    </row>
    <row r="1515" hidden="1" outlineLevel="2" ht="17.25" customHeight="1" thickBot="1">
      <c r="A1515" s="696" t="n">
        <v>43396</v>
      </c>
      <c r="B1515" s="234" t="inlineStr">
        <is>
          <t>FIMTX</t>
        </is>
      </c>
      <c r="C1515" s="229" t="inlineStr">
        <is>
          <t>小指11</t>
        </is>
      </c>
      <c r="D1515" s="229" t="inlineStr">
        <is>
          <t>平倉</t>
        </is>
      </c>
      <c r="E1515" s="257" t="inlineStr">
        <is>
          <t>買</t>
        </is>
      </c>
      <c r="F1515" s="229" t="inlineStr">
        <is>
          <t>-</t>
        </is>
      </c>
      <c r="G1515" s="697" t="n">
        <v>1</v>
      </c>
      <c r="H1515" s="697" t="n">
        <v>9745</v>
      </c>
      <c r="I1515" s="697" t="n">
        <v>0</v>
      </c>
      <c r="J1515" s="585" t="n">
        <v>23</v>
      </c>
      <c r="K1515" s="585" t="n">
        <v>10</v>
      </c>
      <c r="L1515" s="585">
        <f>IF(B1515="TXO",I1515-SUM(J1515:K1515),IF(B1515="FITX",IF(D1515="新倉",-SUM(J1515:K1515),IF(E1515="賣",(H1515-H1514)*G1515*200-SUM(J1515:K1515),(H1514-H1515)*G1515*200-SUM(J1515:K1515))),IF(D1515="新倉",-SUM(J1515:K1515),IF(E1515="賣",(H1515-H1514)*G1515*50-SUM(J1515:K1515),(H1514-H1515)*G1515*50-SUM(J1515:K1515)))))</f>
        <v/>
      </c>
      <c r="M1515" s="699">
        <f>L1515</f>
        <v/>
      </c>
      <c r="N1515" s="686">
        <f>IF(B1515="TXO","",IF(D1515="新倉","",IF(E1515="賣",(H1515-H1514)*G1515,(H1514-H1515)*G1515)))</f>
        <v/>
      </c>
      <c r="O1515" s="226" t="n">
        <v>0</v>
      </c>
      <c r="P1515" s="667" t="n"/>
      <c r="Q1515" s="249" t="inlineStr">
        <is>
          <t>元大移動式停利</t>
        </is>
      </c>
      <c r="R1515" s="249" t="inlineStr">
        <is>
          <t>Yes</t>
        </is>
      </c>
      <c r="S1515" s="249" t="n"/>
      <c r="T1515" s="61">
        <f>IF(AND(R1515="Yes",S1515&lt;&gt;"Yes",L1515&gt;0,B1515&lt;&gt;"TXO"),L1515,"")</f>
        <v/>
      </c>
      <c r="U1515" s="61">
        <f>IF(AND(R1515="Yes",S1515&lt;&gt;"Yes",L1515&lt;0,B1515&lt;&gt;"TXO"),L1515,"")</f>
        <v/>
      </c>
      <c r="V1515" s="61">
        <f>IF(AND(R1515="",S1515&lt;&gt;"Yes",L1515&gt;0,B1515&lt;&gt;"TXO"),L1515,"")</f>
        <v/>
      </c>
      <c r="W1515" s="61">
        <f>IF(AND(R1515="",S1515&lt;&gt;"Yes",L1515&lt;0,B1515&lt;&gt;"TXO"),L1515,"")</f>
        <v/>
      </c>
      <c r="X1515" s="226">
        <f>IF(AND(R1515="Yes",S1515="Yes",L1515&gt;0,B1515&lt;&gt;"TXO"),L1515,"")</f>
        <v/>
      </c>
      <c r="Y1515" s="226">
        <f>IF(AND(R1515="Yes",S1515="Yes",L1515&lt;0,B1515&lt;&gt;"TXO"),L1515,"")</f>
        <v/>
      </c>
      <c r="Z1515" s="226">
        <f>IF(AND(R1515="",S1515="Yes",L1515&gt;0,B1515&lt;&gt;"TXO"),L1515,"")</f>
        <v/>
      </c>
      <c r="AA1515" s="226">
        <f>IF(AND(R1515="",S1515="Yes",L1515&lt;0,B1515&lt;&gt;"TXO"),L1515,"")</f>
        <v/>
      </c>
    </row>
    <row r="1516" hidden="1" outlineLevel="2" ht="17.25" customHeight="1" thickBot="1">
      <c r="A1516" s="696" t="n">
        <v>43396</v>
      </c>
      <c r="B1516" s="234" t="inlineStr">
        <is>
          <t>FIMTX</t>
        </is>
      </c>
      <c r="C1516" s="229" t="inlineStr">
        <is>
          <t>小指11</t>
        </is>
      </c>
      <c r="D1516" s="229" t="inlineStr">
        <is>
          <t>新倉</t>
        </is>
      </c>
      <c r="E1516" s="257" t="inlineStr">
        <is>
          <t>賣</t>
        </is>
      </c>
      <c r="F1516" s="229" t="inlineStr">
        <is>
          <t>-</t>
        </is>
      </c>
      <c r="G1516" s="697" t="n">
        <v>1</v>
      </c>
      <c r="H1516" s="697" t="n">
        <v>9758</v>
      </c>
      <c r="I1516" s="697" t="n">
        <v>0</v>
      </c>
      <c r="J1516" s="585" t="n">
        <v>23</v>
      </c>
      <c r="K1516" s="585" t="n">
        <v>10</v>
      </c>
      <c r="L1516" s="585">
        <f>IF(B1516="TXO",I1516-SUM(J1516:K1516),IF(B1516="FITX",IF(D1516="新倉",-SUM(J1516:K1516),IF(E1516="賣",(H1516-H1515)*G1516*200-SUM(J1516:K1516),(H1515-H1516)*G1516*200-SUM(J1516:K1516))),IF(D1516="新倉",-SUM(J1516:K1516),IF(E1516="賣",(H1516-H1515)*G1516*50-SUM(J1516:K1516),(H1515-H1516)*G1516*50-SUM(J1516:K1516)))))</f>
        <v/>
      </c>
      <c r="M1516" s="699">
        <f>L1516</f>
        <v/>
      </c>
      <c r="N1516" s="686">
        <f>IF(B1516="TXO","",IF(D1516="新倉","",IF(E1516="賣",(H1516-H1515)*G1516,(H1515-H1516)*G1516)))</f>
        <v/>
      </c>
      <c r="O1516" s="226" t="n">
        <v>0</v>
      </c>
      <c r="P1516" s="667" t="n"/>
      <c r="R1516" s="249" t="inlineStr">
        <is>
          <t>Yes</t>
        </is>
      </c>
      <c r="S1516" s="249" t="n"/>
      <c r="T1516" s="61">
        <f>IF(AND(R1516="Yes",S1516&lt;&gt;"Yes",L1516&gt;0,B1516&lt;&gt;"TXO"),L1516,"")</f>
        <v/>
      </c>
      <c r="U1516" s="61">
        <f>IF(AND(R1516="Yes",S1516&lt;&gt;"Yes",L1516&lt;0,B1516&lt;&gt;"TXO"),L1516,"")</f>
        <v/>
      </c>
      <c r="V1516" s="61">
        <f>IF(AND(R1516="",S1516&lt;&gt;"Yes",L1516&gt;0,B1516&lt;&gt;"TXO"),L1516,"")</f>
        <v/>
      </c>
      <c r="W1516" s="61">
        <f>IF(AND(R1516="",S1516&lt;&gt;"Yes",L1516&lt;0,B1516&lt;&gt;"TXO"),L1516,"")</f>
        <v/>
      </c>
      <c r="X1516" s="226">
        <f>IF(AND(R1516="Yes",S1516="Yes",L1516&gt;0,B1516&lt;&gt;"TXO"),L1516,"")</f>
        <v/>
      </c>
      <c r="Y1516" s="226">
        <f>IF(AND(R1516="Yes",S1516="Yes",L1516&lt;0,B1516&lt;&gt;"TXO"),L1516,"")</f>
        <v/>
      </c>
      <c r="Z1516" s="226">
        <f>IF(AND(R1516="",S1516="Yes",L1516&gt;0,B1516&lt;&gt;"TXO"),L1516,"")</f>
        <v/>
      </c>
      <c r="AA1516" s="226">
        <f>IF(AND(R1516="",S1516="Yes",L1516&lt;0,B1516&lt;&gt;"TXO"),L1516,"")</f>
        <v/>
      </c>
    </row>
    <row r="1517" hidden="1" outlineLevel="2" ht="17.25" customHeight="1" thickBot="1">
      <c r="A1517" s="696" t="n">
        <v>43396</v>
      </c>
      <c r="B1517" s="234" t="inlineStr">
        <is>
          <t>FIMTX</t>
        </is>
      </c>
      <c r="C1517" s="229" t="inlineStr">
        <is>
          <t>小指11</t>
        </is>
      </c>
      <c r="D1517" s="229" t="inlineStr">
        <is>
          <t>平倉</t>
        </is>
      </c>
      <c r="E1517" s="257" t="inlineStr">
        <is>
          <t>買</t>
        </is>
      </c>
      <c r="F1517" s="229" t="inlineStr">
        <is>
          <t>-</t>
        </is>
      </c>
      <c r="G1517" s="697" t="n">
        <v>1</v>
      </c>
      <c r="H1517" s="697" t="n">
        <v>9745</v>
      </c>
      <c r="I1517" s="697" t="n">
        <v>0</v>
      </c>
      <c r="J1517" s="585" t="n">
        <v>23</v>
      </c>
      <c r="K1517" s="585" t="n">
        <v>10</v>
      </c>
      <c r="L1517" s="585">
        <f>IF(B1517="TXO",I1517-SUM(J1517:K1517),IF(B1517="FITX",IF(D1517="新倉",-SUM(J1517:K1517),IF(E1517="賣",(H1517-H1516)*G1517*200-SUM(J1517:K1517),(H1516-H1517)*G1517*200-SUM(J1517:K1517))),IF(D1517="新倉",-SUM(J1517:K1517),IF(E1517="賣",(H1517-H1516)*G1517*50-SUM(J1517:K1517),(H1516-H1517)*G1517*50-SUM(J1517:K1517)))))</f>
        <v/>
      </c>
      <c r="M1517" s="699">
        <f>L1517</f>
        <v/>
      </c>
      <c r="N1517" s="686">
        <f>IF(B1517="TXO","",IF(D1517="新倉","",IF(E1517="賣",(H1517-H1516)*G1517,(H1516-H1517)*G1517)))</f>
        <v/>
      </c>
      <c r="O1517" s="226" t="n">
        <v>0</v>
      </c>
      <c r="P1517" s="667" t="n"/>
      <c r="Q1517" s="249" t="inlineStr">
        <is>
          <t>元大移動式停利</t>
        </is>
      </c>
      <c r="R1517" s="249" t="inlineStr">
        <is>
          <t>Yes</t>
        </is>
      </c>
      <c r="S1517" s="249" t="n"/>
      <c r="T1517" s="61">
        <f>IF(AND(R1517="Yes",S1517&lt;&gt;"Yes",L1517&gt;0,B1517&lt;&gt;"TXO"),L1517,"")</f>
        <v/>
      </c>
      <c r="U1517" s="61">
        <f>IF(AND(R1517="Yes",S1517&lt;&gt;"Yes",L1517&lt;0,B1517&lt;&gt;"TXO"),L1517,"")</f>
        <v/>
      </c>
      <c r="V1517" s="61">
        <f>IF(AND(R1517="",S1517&lt;&gt;"Yes",L1517&gt;0,B1517&lt;&gt;"TXO"),L1517,"")</f>
        <v/>
      </c>
      <c r="W1517" s="61">
        <f>IF(AND(R1517="",S1517&lt;&gt;"Yes",L1517&lt;0,B1517&lt;&gt;"TXO"),L1517,"")</f>
        <v/>
      </c>
      <c r="X1517" s="226">
        <f>IF(AND(R1517="Yes",S1517="Yes",L1517&gt;0,B1517&lt;&gt;"TXO"),L1517,"")</f>
        <v/>
      </c>
      <c r="Y1517" s="226">
        <f>IF(AND(R1517="Yes",S1517="Yes",L1517&lt;0,B1517&lt;&gt;"TXO"),L1517,"")</f>
        <v/>
      </c>
      <c r="Z1517" s="226">
        <f>IF(AND(R1517="",S1517="Yes",L1517&gt;0,B1517&lt;&gt;"TXO"),L1517,"")</f>
        <v/>
      </c>
      <c r="AA1517" s="226">
        <f>IF(AND(R1517="",S1517="Yes",L1517&lt;0,B1517&lt;&gt;"TXO"),L1517,"")</f>
        <v/>
      </c>
    </row>
    <row r="1518" hidden="1" outlineLevel="2" ht="17.25" customHeight="1" thickBot="1">
      <c r="A1518" s="696" t="n">
        <v>43396</v>
      </c>
      <c r="B1518" s="234" t="inlineStr">
        <is>
          <t>FIMTX</t>
        </is>
      </c>
      <c r="C1518" s="229" t="inlineStr">
        <is>
          <t>小指11</t>
        </is>
      </c>
      <c r="D1518" s="229" t="inlineStr">
        <is>
          <t>新倉</t>
        </is>
      </c>
      <c r="E1518" s="257" t="inlineStr">
        <is>
          <t>賣</t>
        </is>
      </c>
      <c r="F1518" s="229" t="inlineStr">
        <is>
          <t>-</t>
        </is>
      </c>
      <c r="G1518" s="697" t="n">
        <v>2</v>
      </c>
      <c r="H1518" s="697" t="n">
        <v>9608</v>
      </c>
      <c r="I1518" s="697" t="n">
        <v>0</v>
      </c>
      <c r="J1518" s="585" t="n">
        <v>46</v>
      </c>
      <c r="K1518" s="585" t="n">
        <v>20</v>
      </c>
      <c r="L1518" s="585">
        <f>IF(B1518="TXO",I1518-SUM(J1518:K1518),IF(B1518="FITX",IF(D1518="新倉",-SUM(J1518:K1518),IF(E1518="賣",(H1518-H1517)*G1518*200-SUM(J1518:K1518),(H1517-H1518)*G1518*200-SUM(J1518:K1518))),IF(D1518="新倉",-SUM(J1518:K1518),IF(E1518="賣",(H1518-H1517)*G1518*50-SUM(J1518:K1518),(H1517-H1518)*G1518*50-SUM(J1518:K1518)))))</f>
        <v/>
      </c>
      <c r="M1518" s="699">
        <f>L1518</f>
        <v/>
      </c>
      <c r="N1518" s="686">
        <f>IF(B1518="TXO","",IF(D1518="新倉","",IF(E1518="賣",(H1518-H1517)*G1518,(H1517-H1518)*G1518)))</f>
        <v/>
      </c>
      <c r="O1518" s="226" t="n">
        <v>0</v>
      </c>
      <c r="P1518" s="667">
        <f>SUM(L1518:L1540)</f>
        <v/>
      </c>
      <c r="S1518" s="249" t="inlineStr">
        <is>
          <t>Yes</t>
        </is>
      </c>
      <c r="T1518" s="61">
        <f>IF(AND(R1518="Yes",S1518&lt;&gt;"Yes",L1518&gt;0,B1518&lt;&gt;"TXO"),L1518,"")</f>
        <v/>
      </c>
      <c r="U1518" s="61">
        <f>IF(AND(R1518="Yes",S1518&lt;&gt;"Yes",L1518&lt;0,B1518&lt;&gt;"TXO"),L1518,"")</f>
        <v/>
      </c>
      <c r="V1518" s="61">
        <f>IF(AND(R1518="",S1518&lt;&gt;"Yes",L1518&gt;0,B1518&lt;&gt;"TXO"),L1518,"")</f>
        <v/>
      </c>
      <c r="W1518" s="61">
        <f>IF(AND(R1518="",S1518&lt;&gt;"Yes",L1518&lt;0,B1518&lt;&gt;"TXO"),L1518,"")</f>
        <v/>
      </c>
      <c r="X1518" s="226">
        <f>IF(AND(R1518="Yes",S1518="Yes",L1518&gt;0,B1518&lt;&gt;"TXO"),L1518,"")</f>
        <v/>
      </c>
      <c r="Y1518" s="226">
        <f>IF(AND(R1518="Yes",S1518="Yes",L1518&lt;0,B1518&lt;&gt;"TXO"),L1518,"")</f>
        <v/>
      </c>
      <c r="Z1518" s="226">
        <f>IF(AND(R1518="",S1518="Yes",L1518&gt;0,B1518&lt;&gt;"TXO"),L1518,"")</f>
        <v/>
      </c>
      <c r="AA1518" s="226">
        <f>IF(AND(R1518="",S1518="Yes",L1518&lt;0,B1518&lt;&gt;"TXO"),L1518,"")</f>
        <v/>
      </c>
    </row>
    <row r="1519" hidden="1" outlineLevel="2" ht="17.25" customHeight="1" thickBot="1">
      <c r="A1519" s="696" t="n">
        <v>43396</v>
      </c>
      <c r="B1519" s="234" t="inlineStr">
        <is>
          <t>FIMTX</t>
        </is>
      </c>
      <c r="C1519" s="229" t="inlineStr">
        <is>
          <t>小指11</t>
        </is>
      </c>
      <c r="D1519" s="229" t="inlineStr">
        <is>
          <t>平倉</t>
        </is>
      </c>
      <c r="E1519" s="257" t="inlineStr">
        <is>
          <t>買</t>
        </is>
      </c>
      <c r="F1519" s="229" t="inlineStr">
        <is>
          <t>-</t>
        </is>
      </c>
      <c r="G1519" s="697" t="n">
        <v>2</v>
      </c>
      <c r="H1519" s="697" t="n">
        <v>9604</v>
      </c>
      <c r="I1519" s="697" t="n">
        <v>0</v>
      </c>
      <c r="J1519" s="585" t="n">
        <v>46</v>
      </c>
      <c r="K1519" s="585" t="n">
        <v>20</v>
      </c>
      <c r="L1519" s="585">
        <f>IF(B1519="TXO",I1519-SUM(J1519:K1519),IF(B1519="FITX",IF(D1519="新倉",-SUM(J1519:K1519),IF(E1519="賣",(H1519-H1518)*G1519*200-SUM(J1519:K1519),(H1518-H1519)*G1519*200-SUM(J1519:K1519))),IF(D1519="新倉",-SUM(J1519:K1519),IF(E1519="賣",(H1519-H1518)*G1519*50-SUM(J1519:K1519),(H1518-H1519)*G1519*50-SUM(J1519:K1519)))))</f>
        <v/>
      </c>
      <c r="M1519" s="699">
        <f>L1519</f>
        <v/>
      </c>
      <c r="N1519" s="686">
        <f>IF(B1519="TXO","",IF(D1519="新倉","",IF(E1519="賣",(H1519-H1518)*G1519,(H1518-H1519)*G1519)))</f>
        <v/>
      </c>
      <c r="O1519" s="226" t="n">
        <v>0</v>
      </c>
      <c r="P1519" s="667" t="n"/>
      <c r="S1519" s="249" t="inlineStr">
        <is>
          <t>Yes</t>
        </is>
      </c>
      <c r="T1519" s="61">
        <f>IF(AND(R1519="Yes",S1519&lt;&gt;"Yes",L1519&gt;0,B1519&lt;&gt;"TXO"),L1519,"")</f>
        <v/>
      </c>
      <c r="U1519" s="61">
        <f>IF(AND(R1519="Yes",S1519&lt;&gt;"Yes",L1519&lt;0,B1519&lt;&gt;"TXO"),L1519,"")</f>
        <v/>
      </c>
      <c r="V1519" s="61">
        <f>IF(AND(R1519="",S1519&lt;&gt;"Yes",L1519&gt;0,B1519&lt;&gt;"TXO"),L1519,"")</f>
        <v/>
      </c>
      <c r="W1519" s="61">
        <f>IF(AND(R1519="",S1519&lt;&gt;"Yes",L1519&lt;0,B1519&lt;&gt;"TXO"),L1519,"")</f>
        <v/>
      </c>
      <c r="X1519" s="226">
        <f>IF(AND(R1519="Yes",S1519="Yes",L1519&gt;0,B1519&lt;&gt;"TXO"),L1519,"")</f>
        <v/>
      </c>
      <c r="Y1519" s="226">
        <f>IF(AND(R1519="Yes",S1519="Yes",L1519&lt;0,B1519&lt;&gt;"TXO"),L1519,"")</f>
        <v/>
      </c>
      <c r="Z1519" s="226">
        <f>IF(AND(R1519="",S1519="Yes",L1519&gt;0,B1519&lt;&gt;"TXO"),L1519,"")</f>
        <v/>
      </c>
      <c r="AA1519" s="226">
        <f>IF(AND(R1519="",S1519="Yes",L1519&lt;0,B1519&lt;&gt;"TXO"),L1519,"")</f>
        <v/>
      </c>
    </row>
    <row r="1520" hidden="1" outlineLevel="2" ht="17.25" customHeight="1" thickBot="1">
      <c r="A1520" s="696" t="n">
        <v>43396</v>
      </c>
      <c r="B1520" s="234" t="inlineStr">
        <is>
          <t>FIMTX</t>
        </is>
      </c>
      <c r="C1520" s="229" t="inlineStr">
        <is>
          <t>小指11</t>
        </is>
      </c>
      <c r="D1520" s="229" t="inlineStr">
        <is>
          <t>新倉</t>
        </is>
      </c>
      <c r="E1520" s="257" t="inlineStr">
        <is>
          <t>賣</t>
        </is>
      </c>
      <c r="F1520" s="229" t="inlineStr">
        <is>
          <t>-</t>
        </is>
      </c>
      <c r="G1520" s="697" t="n">
        <v>1</v>
      </c>
      <c r="H1520" s="697" t="n">
        <v>9609</v>
      </c>
      <c r="I1520" s="697" t="n">
        <v>0</v>
      </c>
      <c r="J1520" s="585" t="n">
        <v>23</v>
      </c>
      <c r="K1520" s="585" t="n">
        <v>10</v>
      </c>
      <c r="L1520" s="585">
        <f>IF(B1520="TXO",I1520-SUM(J1520:K1520),IF(B1520="FITX",IF(D1520="新倉",-SUM(J1520:K1520),IF(E1520="賣",(H1520-H1519)*G1520*200-SUM(J1520:K1520),(H1519-H1520)*G1520*200-SUM(J1520:K1520))),IF(D1520="新倉",-SUM(J1520:K1520),IF(E1520="賣",(H1520-H1519)*G1520*50-SUM(J1520:K1520),(H1519-H1520)*G1520*50-SUM(J1520:K1520)))))</f>
        <v/>
      </c>
      <c r="M1520" s="699">
        <f>L1520</f>
        <v/>
      </c>
      <c r="N1520" s="686">
        <f>IF(B1520="TXO","",IF(D1520="新倉","",IF(E1520="賣",(H1520-H1519)*G1520,(H1519-H1520)*G1520)))</f>
        <v/>
      </c>
      <c r="O1520" s="226" t="n">
        <v>0</v>
      </c>
      <c r="P1520" s="667" t="n"/>
      <c r="S1520" s="249" t="inlineStr">
        <is>
          <t>Yes</t>
        </is>
      </c>
      <c r="T1520" s="61">
        <f>IF(AND(R1520="Yes",S1520&lt;&gt;"Yes",L1520&gt;0,B1520&lt;&gt;"TXO"),L1520,"")</f>
        <v/>
      </c>
      <c r="U1520" s="61">
        <f>IF(AND(R1520="Yes",S1520&lt;&gt;"Yes",L1520&lt;0,B1520&lt;&gt;"TXO"),L1520,"")</f>
        <v/>
      </c>
      <c r="V1520" s="61">
        <f>IF(AND(R1520="",S1520&lt;&gt;"Yes",L1520&gt;0,B1520&lt;&gt;"TXO"),L1520,"")</f>
        <v/>
      </c>
      <c r="W1520" s="61">
        <f>IF(AND(R1520="",S1520&lt;&gt;"Yes",L1520&lt;0,B1520&lt;&gt;"TXO"),L1520,"")</f>
        <v/>
      </c>
      <c r="X1520" s="226">
        <f>IF(AND(R1520="Yes",S1520="Yes",L1520&gt;0,B1520&lt;&gt;"TXO"),L1520,"")</f>
        <v/>
      </c>
      <c r="Y1520" s="226">
        <f>IF(AND(R1520="Yes",S1520="Yes",L1520&lt;0,B1520&lt;&gt;"TXO"),L1520,"")</f>
        <v/>
      </c>
      <c r="Z1520" s="226">
        <f>IF(AND(R1520="",S1520="Yes",L1520&gt;0,B1520&lt;&gt;"TXO"),L1520,"")</f>
        <v/>
      </c>
      <c r="AA1520" s="226">
        <f>IF(AND(R1520="",S1520="Yes",L1520&lt;0,B1520&lt;&gt;"TXO"),L1520,"")</f>
        <v/>
      </c>
    </row>
    <row r="1521" hidden="1" outlineLevel="2" ht="17.25" customHeight="1" thickBot="1">
      <c r="A1521" s="696" t="n">
        <v>43396</v>
      </c>
      <c r="B1521" s="234" t="inlineStr">
        <is>
          <t>FIMTX</t>
        </is>
      </c>
      <c r="C1521" s="229" t="inlineStr">
        <is>
          <t>小指11</t>
        </is>
      </c>
      <c r="D1521" s="229" t="inlineStr">
        <is>
          <t>平倉</t>
        </is>
      </c>
      <c r="E1521" s="257" t="inlineStr">
        <is>
          <t>買</t>
        </is>
      </c>
      <c r="F1521" s="229" t="inlineStr">
        <is>
          <t>-</t>
        </is>
      </c>
      <c r="G1521" s="697" t="n">
        <v>1</v>
      </c>
      <c r="H1521" s="697" t="n">
        <v>9605</v>
      </c>
      <c r="I1521" s="697" t="n">
        <v>0</v>
      </c>
      <c r="J1521" s="585" t="n">
        <v>23</v>
      </c>
      <c r="K1521" s="585" t="n">
        <v>10</v>
      </c>
      <c r="L1521" s="585">
        <f>IF(B1521="TXO",I1521-SUM(J1521:K1521),IF(B1521="FITX",IF(D1521="新倉",-SUM(J1521:K1521),IF(E1521="賣",(H1521-H1520)*G1521*200-SUM(J1521:K1521),(H1520-H1521)*G1521*200-SUM(J1521:K1521))),IF(D1521="新倉",-SUM(J1521:K1521),IF(E1521="賣",(H1521-H1520)*G1521*50-SUM(J1521:K1521),(H1520-H1521)*G1521*50-SUM(J1521:K1521)))))</f>
        <v/>
      </c>
      <c r="M1521" s="699">
        <f>L1521</f>
        <v/>
      </c>
      <c r="N1521" s="686">
        <f>IF(B1521="TXO","",IF(D1521="新倉","",IF(E1521="賣",(H1521-H1520)*G1521,(H1520-H1521)*G1521)))</f>
        <v/>
      </c>
      <c r="O1521" s="226" t="n">
        <v>0</v>
      </c>
      <c r="P1521" s="667" t="n"/>
      <c r="S1521" s="249" t="inlineStr">
        <is>
          <t>Yes</t>
        </is>
      </c>
      <c r="T1521" s="61">
        <f>IF(AND(R1521="Yes",S1521&lt;&gt;"Yes",L1521&gt;0,B1521&lt;&gt;"TXO"),L1521,"")</f>
        <v/>
      </c>
      <c r="U1521" s="61">
        <f>IF(AND(R1521="Yes",S1521&lt;&gt;"Yes",L1521&lt;0,B1521&lt;&gt;"TXO"),L1521,"")</f>
        <v/>
      </c>
      <c r="V1521" s="61">
        <f>IF(AND(R1521="",S1521&lt;&gt;"Yes",L1521&gt;0,B1521&lt;&gt;"TXO"),L1521,"")</f>
        <v/>
      </c>
      <c r="W1521" s="61">
        <f>IF(AND(R1521="",S1521&lt;&gt;"Yes",L1521&lt;0,B1521&lt;&gt;"TXO"),L1521,"")</f>
        <v/>
      </c>
      <c r="X1521" s="226">
        <f>IF(AND(R1521="Yes",S1521="Yes",L1521&gt;0,B1521&lt;&gt;"TXO"),L1521,"")</f>
        <v/>
      </c>
      <c r="Y1521" s="226">
        <f>IF(AND(R1521="Yes",S1521="Yes",L1521&lt;0,B1521&lt;&gt;"TXO"),L1521,"")</f>
        <v/>
      </c>
      <c r="Z1521" s="226">
        <f>IF(AND(R1521="",S1521="Yes",L1521&gt;0,B1521&lt;&gt;"TXO"),L1521,"")</f>
        <v/>
      </c>
      <c r="AA1521" s="226">
        <f>IF(AND(R1521="",S1521="Yes",L1521&lt;0,B1521&lt;&gt;"TXO"),L1521,"")</f>
        <v/>
      </c>
    </row>
    <row r="1522" hidden="1" outlineLevel="2" ht="17.25" customHeight="1" thickBot="1">
      <c r="A1522" s="696" t="n">
        <v>43396</v>
      </c>
      <c r="B1522" s="234" t="inlineStr">
        <is>
          <t>FIMTX</t>
        </is>
      </c>
      <c r="C1522" s="229" t="inlineStr">
        <is>
          <t>小指11</t>
        </is>
      </c>
      <c r="D1522" s="229" t="inlineStr">
        <is>
          <t>新倉</t>
        </is>
      </c>
      <c r="E1522" s="257" t="inlineStr">
        <is>
          <t>賣</t>
        </is>
      </c>
      <c r="F1522" s="229" t="inlineStr">
        <is>
          <t>-</t>
        </is>
      </c>
      <c r="G1522" s="697" t="n">
        <v>1</v>
      </c>
      <c r="H1522" s="697" t="n">
        <v>9609</v>
      </c>
      <c r="I1522" s="697" t="n">
        <v>0</v>
      </c>
      <c r="J1522" s="585" t="n">
        <v>23</v>
      </c>
      <c r="K1522" s="585" t="n">
        <v>10</v>
      </c>
      <c r="L1522" s="585">
        <f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/>
      </c>
      <c r="M1522" s="699">
        <f>L1522</f>
        <v/>
      </c>
      <c r="N1522" s="686">
        <f>IF(B1522="TXO","",IF(D1522="新倉","",IF(E1522="賣",(H1522-H1521)*G1522,(H1521-H1522)*G1522)))</f>
        <v/>
      </c>
      <c r="O1522" s="226" t="n">
        <v>0</v>
      </c>
      <c r="P1522" s="667" t="n"/>
      <c r="S1522" s="249" t="inlineStr">
        <is>
          <t>Yes</t>
        </is>
      </c>
      <c r="T1522" s="61">
        <f>IF(AND(R1522="Yes",S1522&lt;&gt;"Yes",L1522&gt;0,B1522&lt;&gt;"TXO"),L1522,"")</f>
        <v/>
      </c>
      <c r="U1522" s="61">
        <f>IF(AND(R1522="Yes",S1522&lt;&gt;"Yes",L1522&lt;0,B1522&lt;&gt;"TXO"),L1522,"")</f>
        <v/>
      </c>
      <c r="V1522" s="61">
        <f>IF(AND(R1522="",S1522&lt;&gt;"Yes",L1522&gt;0,B1522&lt;&gt;"TXO"),L1522,"")</f>
        <v/>
      </c>
      <c r="W1522" s="61">
        <f>IF(AND(R1522="",S1522&lt;&gt;"Yes",L1522&lt;0,B1522&lt;&gt;"TXO"),L1522,"")</f>
        <v/>
      </c>
      <c r="X1522" s="226">
        <f>IF(AND(R1522="Yes",S1522="Yes",L1522&gt;0,B1522&lt;&gt;"TXO"),L1522,"")</f>
        <v/>
      </c>
      <c r="Y1522" s="226">
        <f>IF(AND(R1522="Yes",S1522="Yes",L1522&lt;0,B1522&lt;&gt;"TXO"),L1522,"")</f>
        <v/>
      </c>
      <c r="Z1522" s="226">
        <f>IF(AND(R1522="",S1522="Yes",L1522&gt;0,B1522&lt;&gt;"TXO"),L1522,"")</f>
        <v/>
      </c>
      <c r="AA1522" s="226">
        <f>IF(AND(R1522="",S1522="Yes",L1522&lt;0,B1522&lt;&gt;"TXO"),L1522,"")</f>
        <v/>
      </c>
    </row>
    <row r="1523" hidden="1" outlineLevel="2" ht="17.25" customHeight="1" thickBot="1">
      <c r="A1523" s="696" t="n">
        <v>43396</v>
      </c>
      <c r="B1523" s="234" t="inlineStr">
        <is>
          <t>FIMTX</t>
        </is>
      </c>
      <c r="C1523" s="229" t="inlineStr">
        <is>
          <t>小指11</t>
        </is>
      </c>
      <c r="D1523" s="229" t="inlineStr">
        <is>
          <t>平倉</t>
        </is>
      </c>
      <c r="E1523" s="257" t="inlineStr">
        <is>
          <t>買</t>
        </is>
      </c>
      <c r="F1523" s="229" t="inlineStr">
        <is>
          <t>-</t>
        </is>
      </c>
      <c r="G1523" s="697" t="n">
        <v>1</v>
      </c>
      <c r="H1523" s="697" t="n">
        <v>9722</v>
      </c>
      <c r="I1523" s="697" t="n">
        <v>0</v>
      </c>
      <c r="J1523" s="585" t="n">
        <v>23</v>
      </c>
      <c r="K1523" s="585" t="n">
        <v>10</v>
      </c>
      <c r="L1523" s="585">
        <f>IF(B1523="TXO",I1523-SUM(J1523:K1523),IF(B1523="FITX",IF(D1523="新倉",-SUM(J1523:K1523),IF(E1523="賣",(H1523-H1522)*G1523*200-SUM(J1523:K1523),(H1522-H1523)*G1523*200-SUM(J1523:K1523))),IF(D1523="新倉",-SUM(J1523:K1523),IF(E1523="賣",(H1523-H1522)*G1523*50-SUM(J1523:K1523),(H1522-H1523)*G1523*50-SUM(J1523:K1523)))))</f>
        <v/>
      </c>
      <c r="M1523" s="699">
        <f>L1523</f>
        <v/>
      </c>
      <c r="N1523" s="686">
        <f>IF(B1523="TXO","",IF(D1523="新倉","",IF(E1523="賣",(H1523-H1522)*G1523,(H1522-H1523)*G1523)))</f>
        <v/>
      </c>
      <c r="O1523" s="226" t="n">
        <v>0</v>
      </c>
      <c r="P1523" s="667" t="n"/>
      <c r="S1523" s="249" t="inlineStr">
        <is>
          <t>Yes</t>
        </is>
      </c>
      <c r="T1523" s="61">
        <f>IF(AND(R1523="Yes",S1523&lt;&gt;"Yes",L1523&gt;0,B1523&lt;&gt;"TXO"),L1523,"")</f>
        <v/>
      </c>
      <c r="U1523" s="61">
        <f>IF(AND(R1523="Yes",S1523&lt;&gt;"Yes",L1523&lt;0,B1523&lt;&gt;"TXO"),L1523,"")</f>
        <v/>
      </c>
      <c r="V1523" s="61">
        <f>IF(AND(R1523="",S1523&lt;&gt;"Yes",L1523&gt;0,B1523&lt;&gt;"TXO"),L1523,"")</f>
        <v/>
      </c>
      <c r="W1523" s="61">
        <f>IF(AND(R1523="",S1523&lt;&gt;"Yes",L1523&lt;0,B1523&lt;&gt;"TXO"),L1523,"")</f>
        <v/>
      </c>
      <c r="X1523" s="226">
        <f>IF(AND(R1523="Yes",S1523="Yes",L1523&gt;0,B1523&lt;&gt;"TXO"),L1523,"")</f>
        <v/>
      </c>
      <c r="Y1523" s="226">
        <f>IF(AND(R1523="Yes",S1523="Yes",L1523&lt;0,B1523&lt;&gt;"TXO"),L1523,"")</f>
        <v/>
      </c>
      <c r="Z1523" s="226">
        <f>IF(AND(R1523="",S1523="Yes",L1523&gt;0,B1523&lt;&gt;"TXO"),L1523,"")</f>
        <v/>
      </c>
      <c r="AA1523" s="226">
        <f>IF(AND(R1523="",S1523="Yes",L1523&lt;0,B1523&lt;&gt;"TXO"),L1523,"")</f>
        <v/>
      </c>
    </row>
    <row r="1524" hidden="1" outlineLevel="2" ht="17.25" customHeight="1" thickBot="1">
      <c r="A1524" s="696" t="n">
        <v>43396</v>
      </c>
      <c r="B1524" s="234" t="inlineStr">
        <is>
          <t>FIMTX</t>
        </is>
      </c>
      <c r="C1524" s="229" t="inlineStr">
        <is>
          <t>小指11</t>
        </is>
      </c>
      <c r="D1524" s="229" t="inlineStr">
        <is>
          <t>新倉</t>
        </is>
      </c>
      <c r="E1524" s="257" t="inlineStr">
        <is>
          <t>賣</t>
        </is>
      </c>
      <c r="F1524" s="229" t="inlineStr">
        <is>
          <t>-</t>
        </is>
      </c>
      <c r="G1524" s="697" t="n">
        <v>1</v>
      </c>
      <c r="H1524" s="697" t="n">
        <v>9623</v>
      </c>
      <c r="I1524" s="697" t="n">
        <v>0</v>
      </c>
      <c r="J1524" s="585" t="n">
        <v>23</v>
      </c>
      <c r="K1524" s="585" t="n">
        <v>10</v>
      </c>
      <c r="L1524" s="585">
        <f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/>
      </c>
      <c r="M1524" s="699">
        <f>L1524</f>
        <v/>
      </c>
      <c r="N1524" s="686">
        <f>IF(B1524="TXO","",IF(D1524="新倉","",IF(E1524="賣",(H1524-H1523)*G1524,(H1523-H1524)*G1524)))</f>
        <v/>
      </c>
      <c r="O1524" s="226" t="n">
        <v>0</v>
      </c>
      <c r="P1524" s="667" t="n"/>
      <c r="S1524" s="249" t="inlineStr">
        <is>
          <t>Yes</t>
        </is>
      </c>
      <c r="T1524" s="61">
        <f>IF(AND(R1524="Yes",S1524&lt;&gt;"Yes",L1524&gt;0,B1524&lt;&gt;"TXO"),L1524,"")</f>
        <v/>
      </c>
      <c r="U1524" s="61">
        <f>IF(AND(R1524="Yes",S1524&lt;&gt;"Yes",L1524&lt;0,B1524&lt;&gt;"TXO"),L1524,"")</f>
        <v/>
      </c>
      <c r="V1524" s="61">
        <f>IF(AND(R1524="",S1524&lt;&gt;"Yes",L1524&gt;0,B1524&lt;&gt;"TXO"),L1524,"")</f>
        <v/>
      </c>
      <c r="W1524" s="61">
        <f>IF(AND(R1524="",S1524&lt;&gt;"Yes",L1524&lt;0,B1524&lt;&gt;"TXO"),L1524,"")</f>
        <v/>
      </c>
      <c r="X1524" s="226">
        <f>IF(AND(R1524="Yes",S1524="Yes",L1524&gt;0,B1524&lt;&gt;"TXO"),L1524,"")</f>
        <v/>
      </c>
      <c r="Y1524" s="226">
        <f>IF(AND(R1524="Yes",S1524="Yes",L1524&lt;0,B1524&lt;&gt;"TXO"),L1524,"")</f>
        <v/>
      </c>
      <c r="Z1524" s="226">
        <f>IF(AND(R1524="",S1524="Yes",L1524&gt;0,B1524&lt;&gt;"TXO"),L1524,"")</f>
        <v/>
      </c>
      <c r="AA1524" s="226">
        <f>IF(AND(R1524="",S1524="Yes",L1524&lt;0,B1524&lt;&gt;"TXO"),L1524,"")</f>
        <v/>
      </c>
    </row>
    <row r="1525" hidden="1" outlineLevel="2" ht="17.25" customHeight="1" thickBot="1">
      <c r="A1525" s="696" t="n">
        <v>43396</v>
      </c>
      <c r="B1525" s="234" t="inlineStr">
        <is>
          <t>FIMTX</t>
        </is>
      </c>
      <c r="C1525" s="229" t="inlineStr">
        <is>
          <t>小指11</t>
        </is>
      </c>
      <c r="D1525" s="229" t="inlineStr">
        <is>
          <t>平倉</t>
        </is>
      </c>
      <c r="E1525" s="257" t="inlineStr">
        <is>
          <t>買</t>
        </is>
      </c>
      <c r="F1525" s="229" t="inlineStr">
        <is>
          <t>-</t>
        </is>
      </c>
      <c r="G1525" s="697" t="n">
        <v>1</v>
      </c>
      <c r="H1525" s="697" t="n">
        <v>9704</v>
      </c>
      <c r="I1525" s="697" t="n">
        <v>0</v>
      </c>
      <c r="J1525" s="585" t="n">
        <v>23</v>
      </c>
      <c r="K1525" s="585" t="n">
        <v>10</v>
      </c>
      <c r="L1525" s="585">
        <f>IF(B1525="TXO",I1525-SUM(J1525:K1525),IF(B1525="FITX",IF(D1525="新倉",-SUM(J1525:K1525),IF(E1525="賣",(H1525-H1524)*G1525*200-SUM(J1525:K1525),(H1524-H1525)*G1525*200-SUM(J1525:K1525))),IF(D1525="新倉",-SUM(J1525:K1525),IF(E1525="賣",(H1525-H1524)*G1525*50-SUM(J1525:K1525),(H1524-H1525)*G1525*50-SUM(J1525:K1525)))))</f>
        <v/>
      </c>
      <c r="M1525" s="699">
        <f>L1525</f>
        <v/>
      </c>
      <c r="N1525" s="686">
        <f>IF(B1525="TXO","",IF(D1525="新倉","",IF(E1525="賣",(H1525-H1524)*G1525,(H1524-H1525)*G1525)))</f>
        <v/>
      </c>
      <c r="O1525" s="226" t="n">
        <v>0</v>
      </c>
      <c r="P1525" s="667" t="n"/>
      <c r="S1525" s="249" t="inlineStr">
        <is>
          <t>Yes</t>
        </is>
      </c>
      <c r="T1525" s="61">
        <f>IF(AND(R1525="Yes",S1525&lt;&gt;"Yes",L1525&gt;0,B1525&lt;&gt;"TXO"),L1525,"")</f>
        <v/>
      </c>
      <c r="U1525" s="61">
        <f>IF(AND(R1525="Yes",S1525&lt;&gt;"Yes",L1525&lt;0,B1525&lt;&gt;"TXO"),L1525,"")</f>
        <v/>
      </c>
      <c r="V1525" s="61">
        <f>IF(AND(R1525="",S1525&lt;&gt;"Yes",L1525&gt;0,B1525&lt;&gt;"TXO"),L1525,"")</f>
        <v/>
      </c>
      <c r="W1525" s="61">
        <f>IF(AND(R1525="",S1525&lt;&gt;"Yes",L1525&lt;0,B1525&lt;&gt;"TXO"),L1525,"")</f>
        <v/>
      </c>
      <c r="X1525" s="226">
        <f>IF(AND(R1525="Yes",S1525="Yes",L1525&gt;0,B1525&lt;&gt;"TXO"),L1525,"")</f>
        <v/>
      </c>
      <c r="Y1525" s="226">
        <f>IF(AND(R1525="Yes",S1525="Yes",L1525&lt;0,B1525&lt;&gt;"TXO"),L1525,"")</f>
        <v/>
      </c>
      <c r="Z1525" s="226">
        <f>IF(AND(R1525="",S1525="Yes",L1525&gt;0,B1525&lt;&gt;"TXO"),L1525,"")</f>
        <v/>
      </c>
      <c r="AA1525" s="226">
        <f>IF(AND(R1525="",S1525="Yes",L1525&lt;0,B1525&lt;&gt;"TXO"),L1525,"")</f>
        <v/>
      </c>
    </row>
    <row r="1526" hidden="1" outlineLevel="2" ht="17.25" customHeight="1" thickBot="1">
      <c r="A1526" s="696" t="n">
        <v>43396</v>
      </c>
      <c r="B1526" s="234" t="inlineStr">
        <is>
          <t>FIMTX</t>
        </is>
      </c>
      <c r="C1526" s="229" t="inlineStr">
        <is>
          <t>小指11</t>
        </is>
      </c>
      <c r="D1526" s="229" t="inlineStr">
        <is>
          <t>新倉</t>
        </is>
      </c>
      <c r="E1526" s="257" t="inlineStr">
        <is>
          <t>賣</t>
        </is>
      </c>
      <c r="F1526" s="229" t="inlineStr">
        <is>
          <t>-</t>
        </is>
      </c>
      <c r="G1526" s="697" t="n">
        <v>1</v>
      </c>
      <c r="H1526" s="697" t="n">
        <v>9631</v>
      </c>
      <c r="I1526" s="697" t="n">
        <v>0</v>
      </c>
      <c r="J1526" s="585" t="n">
        <v>23</v>
      </c>
      <c r="K1526" s="585" t="n">
        <v>10</v>
      </c>
      <c r="L1526" s="585">
        <f>IF(B1526="TXO",I1526-SUM(J1526:K1526),IF(B1526="FITX",IF(D1526="新倉",-SUM(J1526:K1526),IF(E1526="賣",(H1526-H1525)*G1526*200-SUM(J1526:K1526),(H1525-H1526)*G1526*200-SUM(J1526:K1526))),IF(D1526="新倉",-SUM(J1526:K1526),IF(E1526="賣",(H1526-H1525)*G1526*50-SUM(J1526:K1526),(H1525-H1526)*G1526*50-SUM(J1526:K1526)))))</f>
        <v/>
      </c>
      <c r="M1526" s="699">
        <f>L1526</f>
        <v/>
      </c>
      <c r="N1526" s="686">
        <f>IF(B1526="TXO","",IF(D1526="新倉","",IF(E1526="賣",(H1526-H1525)*G1526,(H1525-H1526)*G1526)))</f>
        <v/>
      </c>
      <c r="O1526" s="226" t="n">
        <v>0</v>
      </c>
      <c r="P1526" s="667" t="n"/>
      <c r="S1526" s="249" t="inlineStr">
        <is>
          <t>Yes</t>
        </is>
      </c>
      <c r="T1526" s="61">
        <f>IF(AND(R1526="Yes",S1526&lt;&gt;"Yes",L1526&gt;0,B1526&lt;&gt;"TXO"),L1526,"")</f>
        <v/>
      </c>
      <c r="U1526" s="61">
        <f>IF(AND(R1526="Yes",S1526&lt;&gt;"Yes",L1526&lt;0,B1526&lt;&gt;"TXO"),L1526,"")</f>
        <v/>
      </c>
      <c r="V1526" s="61">
        <f>IF(AND(R1526="",S1526&lt;&gt;"Yes",L1526&gt;0,B1526&lt;&gt;"TXO"),L1526,"")</f>
        <v/>
      </c>
      <c r="W1526" s="61">
        <f>IF(AND(R1526="",S1526&lt;&gt;"Yes",L1526&lt;0,B1526&lt;&gt;"TXO"),L1526,"")</f>
        <v/>
      </c>
      <c r="X1526" s="226">
        <f>IF(AND(R1526="Yes",S1526="Yes",L1526&gt;0,B1526&lt;&gt;"TXO"),L1526,"")</f>
        <v/>
      </c>
      <c r="Y1526" s="226">
        <f>IF(AND(R1526="Yes",S1526="Yes",L1526&lt;0,B1526&lt;&gt;"TXO"),L1526,"")</f>
        <v/>
      </c>
      <c r="Z1526" s="226">
        <f>IF(AND(R1526="",S1526="Yes",L1526&gt;0,B1526&lt;&gt;"TXO"),L1526,"")</f>
        <v/>
      </c>
      <c r="AA1526" s="226">
        <f>IF(AND(R1526="",S1526="Yes",L1526&lt;0,B1526&lt;&gt;"TXO"),L1526,"")</f>
        <v/>
      </c>
    </row>
    <row r="1527" hidden="1" outlineLevel="2" ht="17.25" customHeight="1" thickBot="1">
      <c r="A1527" s="696" t="n">
        <v>43396</v>
      </c>
      <c r="B1527" s="234" t="inlineStr">
        <is>
          <t>FIMTX</t>
        </is>
      </c>
      <c r="C1527" s="229" t="inlineStr">
        <is>
          <t>小指11</t>
        </is>
      </c>
      <c r="D1527" s="229" t="inlineStr">
        <is>
          <t>平倉</t>
        </is>
      </c>
      <c r="E1527" s="257" t="inlineStr">
        <is>
          <t>買</t>
        </is>
      </c>
      <c r="F1527" s="229" t="inlineStr">
        <is>
          <t>-</t>
        </is>
      </c>
      <c r="G1527" s="697" t="n">
        <v>1</v>
      </c>
      <c r="H1527" s="697" t="n">
        <v>9695</v>
      </c>
      <c r="I1527" s="697" t="n">
        <v>0</v>
      </c>
      <c r="J1527" s="585" t="n">
        <v>23</v>
      </c>
      <c r="K1527" s="585" t="n">
        <v>10</v>
      </c>
      <c r="L1527" s="585">
        <f>IF(B1527="TXO",I1527-SUM(J1527:K1527),IF(B1527="FITX",IF(D1527="新倉",-SUM(J1527:K1527),IF(E1527="賣",(H1527-H1526)*G1527*200-SUM(J1527:K1527),(H1526-H1527)*G1527*200-SUM(J1527:K1527))),IF(D1527="新倉",-SUM(J1527:K1527),IF(E1527="賣",(H1527-H1526)*G1527*50-SUM(J1527:K1527),(H1526-H1527)*G1527*50-SUM(J1527:K1527)))))</f>
        <v/>
      </c>
      <c r="M1527" s="699">
        <f>L1527</f>
        <v/>
      </c>
      <c r="N1527" s="686">
        <f>IF(B1527="TXO","",IF(D1527="新倉","",IF(E1527="賣",(H1527-H1526)*G1527,(H1526-H1527)*G1527)))</f>
        <v/>
      </c>
      <c r="O1527" s="226" t="n">
        <v>0</v>
      </c>
      <c r="P1527" s="667" t="n"/>
      <c r="S1527" s="249" t="inlineStr">
        <is>
          <t>Yes</t>
        </is>
      </c>
      <c r="T1527" s="61">
        <f>IF(AND(R1527="Yes",S1527&lt;&gt;"Yes",L1527&gt;0,B1527&lt;&gt;"TXO"),L1527,"")</f>
        <v/>
      </c>
      <c r="U1527" s="61">
        <f>IF(AND(R1527="Yes",S1527&lt;&gt;"Yes",L1527&lt;0,B1527&lt;&gt;"TXO"),L1527,"")</f>
        <v/>
      </c>
      <c r="V1527" s="61">
        <f>IF(AND(R1527="",S1527&lt;&gt;"Yes",L1527&gt;0,B1527&lt;&gt;"TXO"),L1527,"")</f>
        <v/>
      </c>
      <c r="W1527" s="61">
        <f>IF(AND(R1527="",S1527&lt;&gt;"Yes",L1527&lt;0,B1527&lt;&gt;"TXO"),L1527,"")</f>
        <v/>
      </c>
      <c r="X1527" s="226">
        <f>IF(AND(R1527="Yes",S1527="Yes",L1527&gt;0,B1527&lt;&gt;"TXO"),L1527,"")</f>
        <v/>
      </c>
      <c r="Y1527" s="226">
        <f>IF(AND(R1527="Yes",S1527="Yes",L1527&lt;0,B1527&lt;&gt;"TXO"),L1527,"")</f>
        <v/>
      </c>
      <c r="Z1527" s="226">
        <f>IF(AND(R1527="",S1527="Yes",L1527&gt;0,B1527&lt;&gt;"TXO"),L1527,"")</f>
        <v/>
      </c>
      <c r="AA1527" s="226">
        <f>IF(AND(R1527="",S1527="Yes",L1527&lt;0,B1527&lt;&gt;"TXO"),L1527,"")</f>
        <v/>
      </c>
    </row>
    <row r="1528" hidden="1" outlineLevel="2" ht="17.25" customHeight="1" thickBot="1">
      <c r="A1528" s="696" t="n">
        <v>43396</v>
      </c>
      <c r="B1528" s="234" t="inlineStr">
        <is>
          <t>TXO</t>
        </is>
      </c>
      <c r="C1528" s="229" t="inlineStr">
        <is>
          <t>台指選W4 10 9500  P</t>
        </is>
      </c>
      <c r="D1528" s="229" t="inlineStr">
        <is>
          <t>新倉</t>
        </is>
      </c>
      <c r="E1528" s="257" t="inlineStr">
        <is>
          <t>買</t>
        </is>
      </c>
      <c r="F1528" s="229" t="inlineStr">
        <is>
          <t>-</t>
        </is>
      </c>
      <c r="G1528" s="697" t="n">
        <v>1</v>
      </c>
      <c r="H1528" s="697" t="n">
        <v>35</v>
      </c>
      <c r="I1528" s="697" t="n">
        <v>-1750</v>
      </c>
      <c r="J1528" s="585" t="n">
        <v>18</v>
      </c>
      <c r="K1528" s="585" t="n">
        <v>2</v>
      </c>
      <c r="L1528" s="585">
        <f>IF(B1528="TXO",I1528-SUM(J1528:K1528),IF(B1528="FITX",IF(D1528="新倉",-SUM(J1528:K1528),IF(E1528="賣",(H1528-H1527)*G1528*200-SUM(J1528:K1528),(H1527-H1528)*G1528*200-SUM(J1528:K1528))),IF(D1528="新倉",-SUM(J1528:K1528),IF(E1528="賣",(H1528-H1527)*G1528*50-SUM(J1528:K1528),(H1527-H1528)*G1528*50-SUM(J1528:K1528)))))</f>
        <v/>
      </c>
      <c r="M1528" s="699">
        <f>L1528</f>
        <v/>
      </c>
      <c r="N1528" s="686">
        <f>IF(B1528="TXO","",IF(D1528="新倉","",IF(E1528="賣",(H1528-H1527)*G1528,(H1527-H1528)*G1528)))</f>
        <v/>
      </c>
      <c r="O1528" s="226" t="n">
        <v>0</v>
      </c>
      <c r="P1528" s="667" t="n"/>
      <c r="S1528" s="249" t="inlineStr">
        <is>
          <t>Yes</t>
        </is>
      </c>
      <c r="T1528" s="61">
        <f>IF(AND(R1528="Yes",S1528&lt;&gt;"Yes",L1528&gt;0,B1528&lt;&gt;"TXO"),L1528,"")</f>
        <v/>
      </c>
      <c r="U1528" s="61">
        <f>IF(AND(R1528="Yes",S1528&lt;&gt;"Yes",L1528&lt;0,B1528&lt;&gt;"TXO"),L1528,"")</f>
        <v/>
      </c>
      <c r="V1528" s="61">
        <f>IF(AND(R1528="",S1528&lt;&gt;"Yes",L1528&gt;0,B1528&lt;&gt;"TXO"),L1528,"")</f>
        <v/>
      </c>
      <c r="W1528" s="61">
        <f>IF(AND(R1528="",S1528&lt;&gt;"Yes",L1528&lt;0,B1528&lt;&gt;"TXO"),L1528,"")</f>
        <v/>
      </c>
      <c r="X1528" s="226">
        <f>IF(AND(R1528="Yes",S1528="Yes",L1528&gt;0,B1528&lt;&gt;"TXO"),L1528,"")</f>
        <v/>
      </c>
      <c r="Y1528" s="226">
        <f>IF(AND(R1528="Yes",S1528="Yes",L1528&lt;0,B1528&lt;&gt;"TXO"),L1528,"")</f>
        <v/>
      </c>
      <c r="Z1528" s="226">
        <f>IF(AND(R1528="",S1528="Yes",L1528&gt;0,B1528&lt;&gt;"TXO"),L1528,"")</f>
        <v/>
      </c>
      <c r="AA1528" s="226">
        <f>IF(AND(R1528="",S1528="Yes",L1528&lt;0,B1528&lt;&gt;"TXO"),L1528,"")</f>
        <v/>
      </c>
    </row>
    <row r="1529" hidden="1" outlineLevel="2" ht="17.25" customHeight="1" thickBot="1">
      <c r="A1529" s="696" t="n">
        <v>43397</v>
      </c>
      <c r="B1529" s="234" t="inlineStr">
        <is>
          <t>TXO</t>
        </is>
      </c>
      <c r="C1529" s="229" t="inlineStr">
        <is>
          <t>台指選W4 10 9500  P</t>
        </is>
      </c>
      <c r="D1529" s="229" t="inlineStr">
        <is>
          <t>平倉</t>
        </is>
      </c>
      <c r="E1529" s="257" t="inlineStr">
        <is>
          <t>賣</t>
        </is>
      </c>
      <c r="F1529" s="229" t="inlineStr">
        <is>
          <t>-</t>
        </is>
      </c>
      <c r="G1529" s="697" t="n">
        <v>1</v>
      </c>
      <c r="H1529" s="697" t="n">
        <v>0.1</v>
      </c>
      <c r="I1529" s="697" t="n">
        <v>5</v>
      </c>
      <c r="J1529" s="585" t="n">
        <v>18</v>
      </c>
      <c r="K1529" s="585" t="n">
        <v>0</v>
      </c>
      <c r="L1529" s="585">
        <f>IF(B1529="TXO",I1529-SUM(J1529:K1529),IF(B1529="FITX",IF(D1529="新倉",-SUM(J1529:K1529),IF(E1529="賣",(H1529-H1528)*G1529*200-SUM(J1529:K1529),(H1528-H1529)*G1529*200-SUM(J1529:K1529))),IF(D1529="新倉",-SUM(J1529:K1529),IF(E1529="賣",(H1529-H1528)*G1529*50-SUM(J1529:K1529),(H1528-H1529)*G1529*50-SUM(J1529:K1529)))))</f>
        <v/>
      </c>
      <c r="M1529" s="699">
        <f>L1529</f>
        <v/>
      </c>
      <c r="N1529" s="686">
        <f>IF(B1529="TXO","",IF(D1529="新倉","",IF(E1529="賣",(H1529-H1528)*G1529,(H1528-H1529)*G1529)))</f>
        <v/>
      </c>
      <c r="O1529" s="226" t="n">
        <v>0</v>
      </c>
      <c r="P1529" s="667" t="n"/>
      <c r="S1529" s="249" t="inlineStr">
        <is>
          <t>Yes</t>
        </is>
      </c>
      <c r="T1529" s="61">
        <f>IF(AND(R1529="Yes",S1529&lt;&gt;"Yes",L1529&gt;0,B1529&lt;&gt;"TXO"),L1529,"")</f>
        <v/>
      </c>
      <c r="U1529" s="61">
        <f>IF(AND(R1529="Yes",S1529&lt;&gt;"Yes",L1529&lt;0,B1529&lt;&gt;"TXO"),L1529,"")</f>
        <v/>
      </c>
      <c r="V1529" s="61">
        <f>IF(AND(R1529="",S1529&lt;&gt;"Yes",L1529&gt;0,B1529&lt;&gt;"TXO"),L1529,"")</f>
        <v/>
      </c>
      <c r="W1529" s="61">
        <f>IF(AND(R1529="",S1529&lt;&gt;"Yes",L1529&lt;0,B1529&lt;&gt;"TXO"),L1529,"")</f>
        <v/>
      </c>
      <c r="X1529" s="226">
        <f>IF(AND(R1529="Yes",S1529="Yes",L1529&gt;0,B1529&lt;&gt;"TXO"),L1529,"")</f>
        <v/>
      </c>
      <c r="Y1529" s="226">
        <f>IF(AND(R1529="Yes",S1529="Yes",L1529&lt;0,B1529&lt;&gt;"TXO"),L1529,"")</f>
        <v/>
      </c>
      <c r="Z1529" s="226">
        <f>IF(AND(R1529="",S1529="Yes",L1529&gt;0,B1529&lt;&gt;"TXO"),L1529,"")</f>
        <v/>
      </c>
      <c r="AA1529" s="226">
        <f>IF(AND(R1529="",S1529="Yes",L1529&lt;0,B1529&lt;&gt;"TXO"),L1529,"")</f>
        <v/>
      </c>
    </row>
    <row r="1530" hidden="1" outlineLevel="2" ht="17.25" customHeight="1" thickBot="1">
      <c r="A1530" s="696" t="n">
        <v>43396</v>
      </c>
      <c r="B1530" s="234" t="inlineStr">
        <is>
          <t>TXO</t>
        </is>
      </c>
      <c r="C1530" s="229" t="inlineStr">
        <is>
          <t>台指選W4 10 9500  P</t>
        </is>
      </c>
      <c r="D1530" s="229" t="inlineStr">
        <is>
          <t>新倉</t>
        </is>
      </c>
      <c r="E1530" s="257" t="inlineStr">
        <is>
          <t>買</t>
        </is>
      </c>
      <c r="F1530" s="229" t="inlineStr">
        <is>
          <t>-</t>
        </is>
      </c>
      <c r="G1530" s="697" t="n">
        <v>1</v>
      </c>
      <c r="H1530" s="697" t="n">
        <v>37</v>
      </c>
      <c r="I1530" s="697" t="n">
        <v>-1850</v>
      </c>
      <c r="J1530" s="585" t="n">
        <v>18</v>
      </c>
      <c r="K1530" s="585" t="n">
        <v>2</v>
      </c>
      <c r="L1530" s="585">
        <f>IF(B1530="TXO",I1530-SUM(J1530:K1530),IF(B1530="FITX",IF(D1530="新倉",-SUM(J1530:K1530),IF(E1530="賣",(H1530-H1529)*G1530*200-SUM(J1530:K1530),(H1529-H1530)*G1530*200-SUM(J1530:K1530))),IF(D1530="新倉",-SUM(J1530:K1530),IF(E1530="賣",(H1530-H1529)*G1530*50-SUM(J1530:K1530),(H1529-H1530)*G1530*50-SUM(J1530:K1530)))))</f>
        <v/>
      </c>
      <c r="M1530" s="699">
        <f>L1530</f>
        <v/>
      </c>
      <c r="N1530" s="686">
        <f>IF(B1530="TXO","",IF(D1530="新倉","",IF(E1530="賣",(H1530-H1529)*G1530,(H1529-H1530)*G1530)))</f>
        <v/>
      </c>
      <c r="O1530" s="226" t="n">
        <v>0</v>
      </c>
      <c r="P1530" s="667" t="n"/>
      <c r="S1530" s="249" t="inlineStr">
        <is>
          <t>Yes</t>
        </is>
      </c>
      <c r="T1530" s="61">
        <f>IF(AND(R1530="Yes",S1530&lt;&gt;"Yes",L1530&gt;0,B1530&lt;&gt;"TXO"),L1530,"")</f>
        <v/>
      </c>
      <c r="U1530" s="61">
        <f>IF(AND(R1530="Yes",S1530&lt;&gt;"Yes",L1530&lt;0,B1530&lt;&gt;"TXO"),L1530,"")</f>
        <v/>
      </c>
      <c r="V1530" s="61">
        <f>IF(AND(R1530="",S1530&lt;&gt;"Yes",L1530&gt;0,B1530&lt;&gt;"TXO"),L1530,"")</f>
        <v/>
      </c>
      <c r="W1530" s="61">
        <f>IF(AND(R1530="",S1530&lt;&gt;"Yes",L1530&lt;0,B1530&lt;&gt;"TXO"),L1530,"")</f>
        <v/>
      </c>
      <c r="X1530" s="226">
        <f>IF(AND(R1530="Yes",S1530="Yes",L1530&gt;0,B1530&lt;&gt;"TXO"),L1530,"")</f>
        <v/>
      </c>
      <c r="Y1530" s="226">
        <f>IF(AND(R1530="Yes",S1530="Yes",L1530&lt;0,B1530&lt;&gt;"TXO"),L1530,"")</f>
        <v/>
      </c>
      <c r="Z1530" s="226">
        <f>IF(AND(R1530="",S1530="Yes",L1530&gt;0,B1530&lt;&gt;"TXO"),L1530,"")</f>
        <v/>
      </c>
      <c r="AA1530" s="226">
        <f>IF(AND(R1530="",S1530="Yes",L1530&lt;0,B1530&lt;&gt;"TXO"),L1530,"")</f>
        <v/>
      </c>
    </row>
    <row r="1531" hidden="1" outlineLevel="2" ht="17.25" customHeight="1" thickBot="1">
      <c r="A1531" s="696" t="n">
        <v>43397</v>
      </c>
      <c r="B1531" s="234" t="inlineStr">
        <is>
          <t>TXO</t>
        </is>
      </c>
      <c r="C1531" s="229" t="inlineStr">
        <is>
          <t>台指選W4 10 9500  P</t>
        </is>
      </c>
      <c r="D1531" s="229" t="inlineStr">
        <is>
          <t>平倉</t>
        </is>
      </c>
      <c r="E1531" s="257" t="inlineStr">
        <is>
          <t>賣</t>
        </is>
      </c>
      <c r="F1531" s="229" t="inlineStr">
        <is>
          <t>-</t>
        </is>
      </c>
      <c r="G1531" s="697" t="n">
        <v>1</v>
      </c>
      <c r="H1531" s="697" t="n">
        <v>0.1</v>
      </c>
      <c r="I1531" s="697" t="n">
        <v>5</v>
      </c>
      <c r="J1531" s="585" t="n">
        <v>18</v>
      </c>
      <c r="K1531" s="585" t="n">
        <v>0</v>
      </c>
      <c r="L1531" s="585">
        <f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/>
      </c>
      <c r="M1531" s="699">
        <f>L1531</f>
        <v/>
      </c>
      <c r="N1531" s="686">
        <f>IF(B1531="TXO","",IF(D1531="新倉","",IF(E1531="賣",(H1531-H1530)*G1531,(H1530-H1531)*G1531)))</f>
        <v/>
      </c>
      <c r="O1531" s="226" t="n">
        <v>0</v>
      </c>
      <c r="P1531" s="667" t="n"/>
      <c r="S1531" s="249" t="inlineStr">
        <is>
          <t>Yes</t>
        </is>
      </c>
      <c r="T1531" s="61">
        <f>IF(AND(R1531="Yes",S1531&lt;&gt;"Yes",L1531&gt;0,B1531&lt;&gt;"TXO"),L1531,"")</f>
        <v/>
      </c>
      <c r="U1531" s="61">
        <f>IF(AND(R1531="Yes",S1531&lt;&gt;"Yes",L1531&lt;0,B1531&lt;&gt;"TXO"),L1531,"")</f>
        <v/>
      </c>
      <c r="V1531" s="61">
        <f>IF(AND(R1531="",S1531&lt;&gt;"Yes",L1531&gt;0,B1531&lt;&gt;"TXO"),L1531,"")</f>
        <v/>
      </c>
      <c r="W1531" s="61">
        <f>IF(AND(R1531="",S1531&lt;&gt;"Yes",L1531&lt;0,B1531&lt;&gt;"TXO"),L1531,"")</f>
        <v/>
      </c>
      <c r="X1531" s="226">
        <f>IF(AND(R1531="Yes",S1531="Yes",L1531&gt;0,B1531&lt;&gt;"TXO"),L1531,"")</f>
        <v/>
      </c>
      <c r="Y1531" s="226">
        <f>IF(AND(R1531="Yes",S1531="Yes",L1531&lt;0,B1531&lt;&gt;"TXO"),L1531,"")</f>
        <v/>
      </c>
      <c r="Z1531" s="226">
        <f>IF(AND(R1531="",S1531="Yes",L1531&gt;0,B1531&lt;&gt;"TXO"),L1531,"")</f>
        <v/>
      </c>
      <c r="AA1531" s="226">
        <f>IF(AND(R1531="",S1531="Yes",L1531&lt;0,B1531&lt;&gt;"TXO"),L1531,"")</f>
        <v/>
      </c>
    </row>
    <row r="1532" hidden="1" outlineLevel="2" ht="17.25" customHeight="1" thickBot="1">
      <c r="A1532" s="696" t="n">
        <v>43396</v>
      </c>
      <c r="B1532" s="234" t="inlineStr">
        <is>
          <t>TXO</t>
        </is>
      </c>
      <c r="C1532" s="229" t="inlineStr">
        <is>
          <t>台指選W4 10 9650  P</t>
        </is>
      </c>
      <c r="D1532" s="229" t="inlineStr">
        <is>
          <t>新倉</t>
        </is>
      </c>
      <c r="E1532" s="257" t="inlineStr">
        <is>
          <t>買</t>
        </is>
      </c>
      <c r="F1532" s="229" t="inlineStr">
        <is>
          <t>-</t>
        </is>
      </c>
      <c r="G1532" s="697" t="n">
        <v>1</v>
      </c>
      <c r="H1532" s="697" t="n">
        <v>60</v>
      </c>
      <c r="I1532" s="697" t="n">
        <v>-3000</v>
      </c>
      <c r="J1532" s="585" t="n">
        <v>18</v>
      </c>
      <c r="K1532" s="585" t="n">
        <v>3</v>
      </c>
      <c r="L1532" s="585">
        <f>IF(B1532="TXO",I1532-SUM(J1532:K1532),IF(B1532="FITX",IF(D1532="新倉",-SUM(J1532:K1532),IF(E1532="賣",(H1532-H1531)*G1532*200-SUM(J1532:K1532),(H1531-H1532)*G1532*200-SUM(J1532:K1532))),IF(D1532="新倉",-SUM(J1532:K1532),IF(E1532="賣",(H1532-H1531)*G1532*50-SUM(J1532:K1532),(H1531-H1532)*G1532*50-SUM(J1532:K1532)))))</f>
        <v/>
      </c>
      <c r="M1532" s="699">
        <f>L1532</f>
        <v/>
      </c>
      <c r="N1532" s="686">
        <f>IF(B1532="TXO","",IF(D1532="新倉","",IF(E1532="賣",(H1532-H1531)*G1532,(H1531-H1532)*G1532)))</f>
        <v/>
      </c>
      <c r="O1532" s="226" t="n">
        <v>0</v>
      </c>
      <c r="P1532" s="667" t="n"/>
      <c r="S1532" s="249" t="inlineStr">
        <is>
          <t>Yes</t>
        </is>
      </c>
      <c r="T1532" s="61">
        <f>IF(AND(R1532="Yes",S1532&lt;&gt;"Yes",L1532&gt;0,B1532&lt;&gt;"TXO"),L1532,"")</f>
        <v/>
      </c>
      <c r="U1532" s="61">
        <f>IF(AND(R1532="Yes",S1532&lt;&gt;"Yes",L1532&lt;0,B1532&lt;&gt;"TXO"),L1532,"")</f>
        <v/>
      </c>
      <c r="V1532" s="61">
        <f>IF(AND(R1532="",S1532&lt;&gt;"Yes",L1532&gt;0,B1532&lt;&gt;"TXO"),L1532,"")</f>
        <v/>
      </c>
      <c r="W1532" s="61">
        <f>IF(AND(R1532="",S1532&lt;&gt;"Yes",L1532&lt;0,B1532&lt;&gt;"TXO"),L1532,"")</f>
        <v/>
      </c>
      <c r="X1532" s="226">
        <f>IF(AND(R1532="Yes",S1532="Yes",L1532&gt;0,B1532&lt;&gt;"TXO"),L1532,"")</f>
        <v/>
      </c>
      <c r="Y1532" s="226">
        <f>IF(AND(R1532="Yes",S1532="Yes",L1532&lt;0,B1532&lt;&gt;"TXO"),L1532,"")</f>
        <v/>
      </c>
      <c r="Z1532" s="226">
        <f>IF(AND(R1532="",S1532="Yes",L1532&gt;0,B1532&lt;&gt;"TXO"),L1532,"")</f>
        <v/>
      </c>
      <c r="AA1532" s="226">
        <f>IF(AND(R1532="",S1532="Yes",L1532&lt;0,B1532&lt;&gt;"TXO"),L1532,"")</f>
        <v/>
      </c>
    </row>
    <row r="1533" hidden="1" outlineLevel="2" ht="17.25" customHeight="1" thickBot="1">
      <c r="A1533" s="696" t="n">
        <v>43396</v>
      </c>
      <c r="B1533" s="234" t="inlineStr">
        <is>
          <t>TXO</t>
        </is>
      </c>
      <c r="C1533" s="229" t="inlineStr">
        <is>
          <t>台指選W4 10 9700  P</t>
        </is>
      </c>
      <c r="D1533" s="229" t="inlineStr">
        <is>
          <t>新倉</t>
        </is>
      </c>
      <c r="E1533" s="257" t="inlineStr">
        <is>
          <t>買</t>
        </is>
      </c>
      <c r="F1533" s="229" t="inlineStr">
        <is>
          <t>-</t>
        </is>
      </c>
      <c r="G1533" s="697" t="n">
        <v>1</v>
      </c>
      <c r="H1533" s="697" t="n">
        <v>80</v>
      </c>
      <c r="I1533" s="697" t="n">
        <v>-4000</v>
      </c>
      <c r="J1533" s="585" t="n">
        <v>18</v>
      </c>
      <c r="K1533" s="585" t="n">
        <v>4</v>
      </c>
      <c r="L1533" s="585">
        <f>IF(B1533="TXO",I1533-SUM(J1533:K1533),IF(B1533="FITX",IF(D1533="新倉",-SUM(J1533:K1533),IF(E1533="賣",(H1533-H1532)*G1533*200-SUM(J1533:K1533),(H1532-H1533)*G1533*200-SUM(J1533:K1533))),IF(D1533="新倉",-SUM(J1533:K1533),IF(E1533="賣",(H1533-H1532)*G1533*50-SUM(J1533:K1533),(H1532-H1533)*G1533*50-SUM(J1533:K1533)))))</f>
        <v/>
      </c>
      <c r="M1533" s="699">
        <f>L1533</f>
        <v/>
      </c>
      <c r="N1533" s="686">
        <f>IF(B1533="TXO","",IF(D1533="新倉","",IF(E1533="賣",(H1533-H1532)*G1533,(H1532-H1533)*G1533)))</f>
        <v/>
      </c>
      <c r="O1533" s="226" t="n">
        <v>0</v>
      </c>
      <c r="P1533" s="667" t="n"/>
      <c r="S1533" s="249" t="inlineStr">
        <is>
          <t>Yes</t>
        </is>
      </c>
      <c r="T1533" s="61">
        <f>IF(AND(R1533="Yes",S1533&lt;&gt;"Yes",L1533&gt;0,B1533&lt;&gt;"TXO"),L1533,"")</f>
        <v/>
      </c>
      <c r="U1533" s="61">
        <f>IF(AND(R1533="Yes",S1533&lt;&gt;"Yes",L1533&lt;0,B1533&lt;&gt;"TXO"),L1533,"")</f>
        <v/>
      </c>
      <c r="V1533" s="61">
        <f>IF(AND(R1533="",S1533&lt;&gt;"Yes",L1533&gt;0,B1533&lt;&gt;"TXO"),L1533,"")</f>
        <v/>
      </c>
      <c r="W1533" s="61">
        <f>IF(AND(R1533="",S1533&lt;&gt;"Yes",L1533&lt;0,B1533&lt;&gt;"TXO"),L1533,"")</f>
        <v/>
      </c>
      <c r="X1533" s="226">
        <f>IF(AND(R1533="Yes",S1533="Yes",L1533&gt;0,B1533&lt;&gt;"TXO"),L1533,"")</f>
        <v/>
      </c>
      <c r="Y1533" s="226">
        <f>IF(AND(R1533="Yes",S1533="Yes",L1533&lt;0,B1533&lt;&gt;"TXO"),L1533,"")</f>
        <v/>
      </c>
      <c r="Z1533" s="226">
        <f>IF(AND(R1533="",S1533="Yes",L1533&gt;0,B1533&lt;&gt;"TXO"),L1533,"")</f>
        <v/>
      </c>
      <c r="AA1533" s="226">
        <f>IF(AND(R1533="",S1533="Yes",L1533&lt;0,B1533&lt;&gt;"TXO"),L1533,"")</f>
        <v/>
      </c>
    </row>
    <row r="1534" hidden="1" outlineLevel="2" ht="17.25" customHeight="1" thickBot="1">
      <c r="A1534" s="696" t="n">
        <v>43397</v>
      </c>
      <c r="B1534" s="234" t="inlineStr">
        <is>
          <t>TXO</t>
        </is>
      </c>
      <c r="C1534" s="229" t="inlineStr">
        <is>
          <t>台指選W4 10 9700  P</t>
        </is>
      </c>
      <c r="D1534" s="229" t="inlineStr">
        <is>
          <t>平倉</t>
        </is>
      </c>
      <c r="E1534" s="257" t="inlineStr">
        <is>
          <t>賣</t>
        </is>
      </c>
      <c r="F1534" s="229" t="inlineStr">
        <is>
          <t>-</t>
        </is>
      </c>
      <c r="G1534" s="697" t="n">
        <v>1</v>
      </c>
      <c r="H1534" s="697" t="n">
        <v>26.5</v>
      </c>
      <c r="I1534" s="697" t="n">
        <v>1325</v>
      </c>
      <c r="J1534" s="585" t="n">
        <v>18</v>
      </c>
      <c r="K1534" s="585" t="n">
        <v>1</v>
      </c>
      <c r="L1534" s="585">
        <f>IF(B1534="TXO",I1534-SUM(J1534:K1534),IF(B1534="FITX",IF(D1534="新倉",-SUM(J1534:K1534),IF(E1534="賣",(H1534-H1533)*G1534*200-SUM(J1534:K1534),(H1533-H1534)*G1534*200-SUM(J1534:K1534))),IF(D1534="新倉",-SUM(J1534:K1534),IF(E1534="賣",(H1534-H1533)*G1534*50-SUM(J1534:K1534),(H1533-H1534)*G1534*50-SUM(J1534:K1534)))))</f>
        <v/>
      </c>
      <c r="M1534" s="699">
        <f>L1534</f>
        <v/>
      </c>
      <c r="N1534" s="686">
        <f>IF(B1534="TXO","",IF(D1534="新倉","",IF(E1534="賣",(H1534-H1533)*G1534,(H1533-H1534)*G1534)))</f>
        <v/>
      </c>
      <c r="O1534" s="226" t="n">
        <v>0</v>
      </c>
      <c r="P1534" s="667" t="n"/>
      <c r="S1534" s="249" t="inlineStr">
        <is>
          <t>Yes</t>
        </is>
      </c>
      <c r="T1534" s="61">
        <f>IF(AND(R1534="Yes",S1534&lt;&gt;"Yes",L1534&gt;0,B1534&lt;&gt;"TXO"),L1534,"")</f>
        <v/>
      </c>
      <c r="U1534" s="61">
        <f>IF(AND(R1534="Yes",S1534&lt;&gt;"Yes",L1534&lt;0,B1534&lt;&gt;"TXO"),L1534,"")</f>
        <v/>
      </c>
      <c r="V1534" s="61">
        <f>IF(AND(R1534="",S1534&lt;&gt;"Yes",L1534&gt;0,B1534&lt;&gt;"TXO"),L1534,"")</f>
        <v/>
      </c>
      <c r="W1534" s="61">
        <f>IF(AND(R1534="",S1534&lt;&gt;"Yes",L1534&lt;0,B1534&lt;&gt;"TXO"),L1534,"")</f>
        <v/>
      </c>
      <c r="X1534" s="226">
        <f>IF(AND(R1534="Yes",S1534="Yes",L1534&gt;0,B1534&lt;&gt;"TXO"),L1534,"")</f>
        <v/>
      </c>
      <c r="Y1534" s="226">
        <f>IF(AND(R1534="Yes",S1534="Yes",L1534&lt;0,B1534&lt;&gt;"TXO"),L1534,"")</f>
        <v/>
      </c>
      <c r="Z1534" s="226">
        <f>IF(AND(R1534="",S1534="Yes",L1534&gt;0,B1534&lt;&gt;"TXO"),L1534,"")</f>
        <v/>
      </c>
      <c r="AA1534" s="226">
        <f>IF(AND(R1534="",S1534="Yes",L1534&lt;0,B1534&lt;&gt;"TXO"),L1534,"")</f>
        <v/>
      </c>
    </row>
    <row r="1535" hidden="1" outlineLevel="2" ht="17.25" customHeight="1" thickBot="1">
      <c r="A1535" s="696" t="n">
        <v>43396</v>
      </c>
      <c r="B1535" s="234" t="inlineStr">
        <is>
          <t>TXO</t>
        </is>
      </c>
      <c r="C1535" s="229" t="inlineStr">
        <is>
          <t>台指選W4 10 9600  P</t>
        </is>
      </c>
      <c r="D1535" s="229" t="inlineStr">
        <is>
          <t>新倉</t>
        </is>
      </c>
      <c r="E1535" s="257" t="inlineStr">
        <is>
          <t>買</t>
        </is>
      </c>
      <c r="F1535" s="229" t="inlineStr">
        <is>
          <t>-</t>
        </is>
      </c>
      <c r="G1535" s="697" t="n">
        <v>1</v>
      </c>
      <c r="H1535" s="697" t="n">
        <v>50</v>
      </c>
      <c r="I1535" s="697" t="n">
        <v>-2500</v>
      </c>
      <c r="J1535" s="585" t="n">
        <v>18</v>
      </c>
      <c r="K1535" s="585" t="n">
        <v>3</v>
      </c>
      <c r="L1535" s="585">
        <f>IF(B1535="TXO",I1535-SUM(J1535:K1535),IF(B1535="FITX",IF(D1535="新倉",-SUM(J1535:K1535),IF(E1535="賣",(H1535-H1534)*G1535*200-SUM(J1535:K1535),(H1534-H1535)*G1535*200-SUM(J1535:K1535))),IF(D1535="新倉",-SUM(J1535:K1535),IF(E1535="賣",(H1535-H1534)*G1535*50-SUM(J1535:K1535),(H1534-H1535)*G1535*50-SUM(J1535:K1535)))))</f>
        <v/>
      </c>
      <c r="M1535" s="699">
        <f>L1535</f>
        <v/>
      </c>
      <c r="N1535" s="686">
        <f>IF(B1535="TXO","",IF(D1535="新倉","",IF(E1535="賣",(H1535-H1534)*G1535,(H1534-H1535)*G1535)))</f>
        <v/>
      </c>
      <c r="O1535" s="226" t="n">
        <v>0</v>
      </c>
      <c r="P1535" s="667" t="n"/>
      <c r="S1535" s="249" t="inlineStr">
        <is>
          <t>Yes</t>
        </is>
      </c>
      <c r="T1535" s="61">
        <f>IF(AND(R1535="Yes",S1535&lt;&gt;"Yes",L1535&gt;0,B1535&lt;&gt;"TXO"),L1535,"")</f>
        <v/>
      </c>
      <c r="U1535" s="61">
        <f>IF(AND(R1535="Yes",S1535&lt;&gt;"Yes",L1535&lt;0,B1535&lt;&gt;"TXO"),L1535,"")</f>
        <v/>
      </c>
      <c r="V1535" s="61">
        <f>IF(AND(R1535="",S1535&lt;&gt;"Yes",L1535&gt;0,B1535&lt;&gt;"TXO"),L1535,"")</f>
        <v/>
      </c>
      <c r="W1535" s="61">
        <f>IF(AND(R1535="",S1535&lt;&gt;"Yes",L1535&lt;0,B1535&lt;&gt;"TXO"),L1535,"")</f>
        <v/>
      </c>
      <c r="X1535" s="226">
        <f>IF(AND(R1535="Yes",S1535="Yes",L1535&gt;0,B1535&lt;&gt;"TXO"),L1535,"")</f>
        <v/>
      </c>
      <c r="Y1535" s="226">
        <f>IF(AND(R1535="Yes",S1535="Yes",L1535&lt;0,B1535&lt;&gt;"TXO"),L1535,"")</f>
        <v/>
      </c>
      <c r="Z1535" s="226">
        <f>IF(AND(R1535="",S1535="Yes",L1535&gt;0,B1535&lt;&gt;"TXO"),L1535,"")</f>
        <v/>
      </c>
      <c r="AA1535" s="226">
        <f>IF(AND(R1535="",S1535="Yes",L1535&lt;0,B1535&lt;&gt;"TXO"),L1535,"")</f>
        <v/>
      </c>
    </row>
    <row r="1536" hidden="1" outlineLevel="2" ht="17.25" customHeight="1" thickBot="1">
      <c r="A1536" s="696" t="n">
        <v>43396</v>
      </c>
      <c r="B1536" s="234" t="inlineStr">
        <is>
          <t>TXO</t>
        </is>
      </c>
      <c r="C1536" s="229" t="inlineStr">
        <is>
          <t>台指選W4 10 9400  P</t>
        </is>
      </c>
      <c r="D1536" s="229" t="inlineStr">
        <is>
          <t>新倉</t>
        </is>
      </c>
      <c r="E1536" s="257" t="inlineStr">
        <is>
          <t>買</t>
        </is>
      </c>
      <c r="F1536" s="229" t="inlineStr">
        <is>
          <t>-</t>
        </is>
      </c>
      <c r="G1536" s="697" t="n">
        <v>5</v>
      </c>
      <c r="H1536" s="697" t="n">
        <v>10</v>
      </c>
      <c r="I1536" s="697" t="n">
        <v>-2500</v>
      </c>
      <c r="J1536" s="585" t="n">
        <v>90</v>
      </c>
      <c r="K1536" s="585" t="n">
        <v>5</v>
      </c>
      <c r="L1536" s="585">
        <f>IF(B1536="TXO",I1536-SUM(J1536:K1536),IF(B1536="FITX",IF(D1536="新倉",-SUM(J1536:K1536),IF(E1536="賣",(H1536-H1535)*G1536*200-SUM(J1536:K1536),(H1535-H1536)*G1536*200-SUM(J1536:K1536))),IF(D1536="新倉",-SUM(J1536:K1536),IF(E1536="賣",(H1536-H1535)*G1536*50-SUM(J1536:K1536),(H1535-H1536)*G1536*50-SUM(J1536:K1536)))))</f>
        <v/>
      </c>
      <c r="M1536" s="699">
        <f>L1536</f>
        <v/>
      </c>
      <c r="N1536" s="686">
        <f>IF(B1536="TXO","",IF(D1536="新倉","",IF(E1536="賣",(H1536-H1535)*G1536,(H1535-H1536)*G1536)))</f>
        <v/>
      </c>
      <c r="O1536" s="226" t="n">
        <v>0</v>
      </c>
      <c r="P1536" s="667" t="n"/>
      <c r="S1536" s="249" t="inlineStr">
        <is>
          <t>Yes</t>
        </is>
      </c>
      <c r="T1536" s="61">
        <f>IF(AND(R1536="Yes",S1536&lt;&gt;"Yes",L1536&gt;0,B1536&lt;&gt;"TXO"),L1536,"")</f>
        <v/>
      </c>
      <c r="U1536" s="61">
        <f>IF(AND(R1536="Yes",S1536&lt;&gt;"Yes",L1536&lt;0,B1536&lt;&gt;"TXO"),L1536,"")</f>
        <v/>
      </c>
      <c r="V1536" s="61">
        <f>IF(AND(R1536="",S1536&lt;&gt;"Yes",L1536&gt;0,B1536&lt;&gt;"TXO"),L1536,"")</f>
        <v/>
      </c>
      <c r="W1536" s="61">
        <f>IF(AND(R1536="",S1536&lt;&gt;"Yes",L1536&lt;0,B1536&lt;&gt;"TXO"),L1536,"")</f>
        <v/>
      </c>
      <c r="X1536" s="226">
        <f>IF(AND(R1536="Yes",S1536="Yes",L1536&gt;0,B1536&lt;&gt;"TXO"),L1536,"")</f>
        <v/>
      </c>
      <c r="Y1536" s="226">
        <f>IF(AND(R1536="Yes",S1536="Yes",L1536&lt;0,B1536&lt;&gt;"TXO"),L1536,"")</f>
        <v/>
      </c>
      <c r="Z1536" s="226">
        <f>IF(AND(R1536="",S1536="Yes",L1536&gt;0,B1536&lt;&gt;"TXO"),L1536,"")</f>
        <v/>
      </c>
      <c r="AA1536" s="226">
        <f>IF(AND(R1536="",S1536="Yes",L1536&lt;0,B1536&lt;&gt;"TXO"),L1536,"")</f>
        <v/>
      </c>
    </row>
    <row r="1537" hidden="1" outlineLevel="2" ht="17.25" customHeight="1" thickBot="1">
      <c r="A1537" s="696" t="n">
        <v>43396</v>
      </c>
      <c r="B1537" s="234" t="inlineStr">
        <is>
          <t>TXO</t>
        </is>
      </c>
      <c r="C1537" s="229" t="inlineStr">
        <is>
          <t>台指選W4 10 9600  P</t>
        </is>
      </c>
      <c r="D1537" s="229" t="inlineStr">
        <is>
          <t>新倉</t>
        </is>
      </c>
      <c r="E1537" s="257" t="inlineStr">
        <is>
          <t>買</t>
        </is>
      </c>
      <c r="F1537" s="229" t="inlineStr">
        <is>
          <t>-</t>
        </is>
      </c>
      <c r="G1537" s="697" t="n">
        <v>1</v>
      </c>
      <c r="H1537" s="697" t="n">
        <v>55</v>
      </c>
      <c r="I1537" s="697" t="n">
        <v>-2750</v>
      </c>
      <c r="J1537" s="585" t="n">
        <v>18</v>
      </c>
      <c r="K1537" s="585" t="n">
        <v>3</v>
      </c>
      <c r="L1537" s="585">
        <f>IF(B1537="TXO",I1537-SUM(J1537:K1537),IF(B1537="FITX",IF(D1537="新倉",-SUM(J1537:K1537),IF(E1537="賣",(H1537-H1536)*G1537*200-SUM(J1537:K1537),(H1536-H1537)*G1537*200-SUM(J1537:K1537))),IF(D1537="新倉",-SUM(J1537:K1537),IF(E1537="賣",(H1537-H1536)*G1537*50-SUM(J1537:K1537),(H1536-H1537)*G1537*50-SUM(J1537:K1537)))))</f>
        <v/>
      </c>
      <c r="M1537" s="699">
        <f>L1537</f>
        <v/>
      </c>
      <c r="N1537" s="686">
        <f>IF(B1537="TXO","",IF(D1537="新倉","",IF(E1537="賣",(H1537-H1536)*G1537,(H1536-H1537)*G1537)))</f>
        <v/>
      </c>
      <c r="O1537" s="226" t="n">
        <v>0</v>
      </c>
      <c r="P1537" s="667" t="n"/>
      <c r="S1537" s="249" t="inlineStr">
        <is>
          <t>Yes</t>
        </is>
      </c>
      <c r="T1537" s="61">
        <f>IF(AND(R1537="Yes",S1537&lt;&gt;"Yes",L1537&gt;0,B1537&lt;&gt;"TXO"),L1537,"")</f>
        <v/>
      </c>
      <c r="U1537" s="61">
        <f>IF(AND(R1537="Yes",S1537&lt;&gt;"Yes",L1537&lt;0,B1537&lt;&gt;"TXO"),L1537,"")</f>
        <v/>
      </c>
      <c r="V1537" s="61">
        <f>IF(AND(R1537="",S1537&lt;&gt;"Yes",L1537&gt;0,B1537&lt;&gt;"TXO"),L1537,"")</f>
        <v/>
      </c>
      <c r="W1537" s="61">
        <f>IF(AND(R1537="",S1537&lt;&gt;"Yes",L1537&lt;0,B1537&lt;&gt;"TXO"),L1537,"")</f>
        <v/>
      </c>
      <c r="X1537" s="226">
        <f>IF(AND(R1537="Yes",S1537="Yes",L1537&gt;0,B1537&lt;&gt;"TXO"),L1537,"")</f>
        <v/>
      </c>
      <c r="Y1537" s="226">
        <f>IF(AND(R1537="Yes",S1537="Yes",L1537&lt;0,B1537&lt;&gt;"TXO"),L1537,"")</f>
        <v/>
      </c>
      <c r="Z1537" s="226">
        <f>IF(AND(R1537="",S1537="Yes",L1537&gt;0,B1537&lt;&gt;"TXO"),L1537,"")</f>
        <v/>
      </c>
      <c r="AA1537" s="226">
        <f>IF(AND(R1537="",S1537="Yes",L1537&lt;0,B1537&lt;&gt;"TXO"),L1537,"")</f>
        <v/>
      </c>
    </row>
    <row r="1538" hidden="1" outlineLevel="2" ht="17.25" customHeight="1" thickBot="1">
      <c r="A1538" s="696" t="n">
        <v>43396</v>
      </c>
      <c r="B1538" s="234" t="inlineStr">
        <is>
          <t>TXO</t>
        </is>
      </c>
      <c r="C1538" s="229" t="inlineStr">
        <is>
          <t>台指選W4 10 9650  P</t>
        </is>
      </c>
      <c r="D1538" s="229" t="inlineStr">
        <is>
          <t>新倉</t>
        </is>
      </c>
      <c r="E1538" s="257" t="inlineStr">
        <is>
          <t>買</t>
        </is>
      </c>
      <c r="F1538" s="229" t="inlineStr">
        <is>
          <t>-</t>
        </is>
      </c>
      <c r="G1538" s="697" t="n">
        <v>1</v>
      </c>
      <c r="H1538" s="697" t="n">
        <v>70</v>
      </c>
      <c r="I1538" s="697" t="n">
        <v>-3500</v>
      </c>
      <c r="J1538" s="585" t="n">
        <v>18</v>
      </c>
      <c r="K1538" s="585" t="n">
        <v>4</v>
      </c>
      <c r="L1538" s="585">
        <f>IF(B1538="TXO",I1538-SUM(J1538:K1538),IF(B1538="FITX",IF(D1538="新倉",-SUM(J1538:K1538),IF(E1538="賣",(H1538-H1537)*G1538*200-SUM(J1538:K1538),(H1537-H1538)*G1538*200-SUM(J1538:K1538))),IF(D1538="新倉",-SUM(J1538:K1538),IF(E1538="賣",(H1538-H1537)*G1538*50-SUM(J1538:K1538),(H1537-H1538)*G1538*50-SUM(J1538:K1538)))))</f>
        <v/>
      </c>
      <c r="M1538" s="699">
        <f>L1538</f>
        <v/>
      </c>
      <c r="N1538" s="686">
        <f>IF(B1538="TXO","",IF(D1538="新倉","",IF(E1538="賣",(H1538-H1537)*G1538,(H1537-H1538)*G1538)))</f>
        <v/>
      </c>
      <c r="O1538" s="226" t="n">
        <v>0</v>
      </c>
      <c r="P1538" s="667" t="n"/>
      <c r="S1538" s="249" t="inlineStr">
        <is>
          <t>Yes</t>
        </is>
      </c>
      <c r="T1538" s="61">
        <f>IF(AND(R1538="Yes",S1538&lt;&gt;"Yes",L1538&gt;0,B1538&lt;&gt;"TXO"),L1538,"")</f>
        <v/>
      </c>
      <c r="U1538" s="61">
        <f>IF(AND(R1538="Yes",S1538&lt;&gt;"Yes",L1538&lt;0,B1538&lt;&gt;"TXO"),L1538,"")</f>
        <v/>
      </c>
      <c r="V1538" s="61">
        <f>IF(AND(R1538="",S1538&lt;&gt;"Yes",L1538&gt;0,B1538&lt;&gt;"TXO"),L1538,"")</f>
        <v/>
      </c>
      <c r="W1538" s="61">
        <f>IF(AND(R1538="",S1538&lt;&gt;"Yes",L1538&lt;0,B1538&lt;&gt;"TXO"),L1538,"")</f>
        <v/>
      </c>
      <c r="X1538" s="226">
        <f>IF(AND(R1538="Yes",S1538="Yes",L1538&gt;0,B1538&lt;&gt;"TXO"),L1538,"")</f>
        <v/>
      </c>
      <c r="Y1538" s="226">
        <f>IF(AND(R1538="Yes",S1538="Yes",L1538&lt;0,B1538&lt;&gt;"TXO"),L1538,"")</f>
        <v/>
      </c>
      <c r="Z1538" s="226">
        <f>IF(AND(R1538="",S1538="Yes",L1538&gt;0,B1538&lt;&gt;"TXO"),L1538,"")</f>
        <v/>
      </c>
      <c r="AA1538" s="226">
        <f>IF(AND(R1538="",S1538="Yes",L1538&lt;0,B1538&lt;&gt;"TXO"),L1538,"")</f>
        <v/>
      </c>
    </row>
    <row r="1539" hidden="1" outlineLevel="2" ht="17.25" customHeight="1" thickBot="1">
      <c r="A1539" s="696" t="n">
        <v>43396</v>
      </c>
      <c r="B1539" s="234" t="inlineStr">
        <is>
          <t>TXO</t>
        </is>
      </c>
      <c r="C1539" s="229" t="inlineStr">
        <is>
          <t>台指選W4 10 9700  P</t>
        </is>
      </c>
      <c r="D1539" s="229" t="inlineStr">
        <is>
          <t>新倉</t>
        </is>
      </c>
      <c r="E1539" s="257" t="inlineStr">
        <is>
          <t>買</t>
        </is>
      </c>
      <c r="F1539" s="229" t="inlineStr">
        <is>
          <t>-</t>
        </is>
      </c>
      <c r="G1539" s="697" t="n">
        <v>1</v>
      </c>
      <c r="H1539" s="697" t="n">
        <v>40</v>
      </c>
      <c r="I1539" s="697" t="n">
        <v>-2000</v>
      </c>
      <c r="J1539" s="585" t="n">
        <v>18</v>
      </c>
      <c r="K1539" s="585" t="n">
        <v>2</v>
      </c>
      <c r="L1539" s="585">
        <f>IF(B1539="TXO",I1539-SUM(J1539:K1539),IF(B1539="FITX",IF(D1539="新倉",-SUM(J1539:K1539),IF(E1539="賣",(H1539-H1538)*G1539*200-SUM(J1539:K1539),(H1538-H1539)*G1539*200-SUM(J1539:K1539))),IF(D1539="新倉",-SUM(J1539:K1539),IF(E1539="賣",(H1539-H1538)*G1539*50-SUM(J1539:K1539),(H1538-H1539)*G1539*50-SUM(J1539:K1539)))))</f>
        <v/>
      </c>
      <c r="M1539" s="699">
        <f>L1539</f>
        <v/>
      </c>
      <c r="N1539" s="686">
        <f>IF(B1539="TXO","",IF(D1539="新倉","",IF(E1539="賣",(H1539-H1538)*G1539,(H1538-H1539)*G1539)))</f>
        <v/>
      </c>
      <c r="O1539" s="226" t="n">
        <v>0</v>
      </c>
      <c r="P1539" s="667" t="n"/>
      <c r="S1539" s="249" t="inlineStr">
        <is>
          <t>Yes</t>
        </is>
      </c>
      <c r="T1539" s="61">
        <f>IF(AND(R1539="Yes",S1539&lt;&gt;"Yes",L1539&gt;0,B1539&lt;&gt;"TXO"),L1539,"")</f>
        <v/>
      </c>
      <c r="U1539" s="61">
        <f>IF(AND(R1539="Yes",S1539&lt;&gt;"Yes",L1539&lt;0,B1539&lt;&gt;"TXO"),L1539,"")</f>
        <v/>
      </c>
      <c r="V1539" s="61">
        <f>IF(AND(R1539="",S1539&lt;&gt;"Yes",L1539&gt;0,B1539&lt;&gt;"TXO"),L1539,"")</f>
        <v/>
      </c>
      <c r="W1539" s="61">
        <f>IF(AND(R1539="",S1539&lt;&gt;"Yes",L1539&lt;0,B1539&lt;&gt;"TXO"),L1539,"")</f>
        <v/>
      </c>
      <c r="X1539" s="226">
        <f>IF(AND(R1539="Yes",S1539="Yes",L1539&gt;0,B1539&lt;&gt;"TXO"),L1539,"")</f>
        <v/>
      </c>
      <c r="Y1539" s="226">
        <f>IF(AND(R1539="Yes",S1539="Yes",L1539&lt;0,B1539&lt;&gt;"TXO"),L1539,"")</f>
        <v/>
      </c>
      <c r="Z1539" s="226">
        <f>IF(AND(R1539="",S1539="Yes",L1539&gt;0,B1539&lt;&gt;"TXO"),L1539,"")</f>
        <v/>
      </c>
      <c r="AA1539" s="226">
        <f>IF(AND(R1539="",S1539="Yes",L1539&lt;0,B1539&lt;&gt;"TXO"),L1539,"")</f>
        <v/>
      </c>
    </row>
    <row r="1540" hidden="1" outlineLevel="2" ht="17.25" customHeight="1" thickBot="1">
      <c r="A1540" s="696" t="n">
        <v>43396</v>
      </c>
      <c r="B1540" s="234" t="inlineStr">
        <is>
          <t>TXO</t>
        </is>
      </c>
      <c r="C1540" s="229" t="inlineStr">
        <is>
          <t>台指選W4 10 9600  P</t>
        </is>
      </c>
      <c r="D1540" s="229" t="inlineStr">
        <is>
          <t>新倉</t>
        </is>
      </c>
      <c r="E1540" s="257" t="inlineStr">
        <is>
          <t>買</t>
        </is>
      </c>
      <c r="F1540" s="229" t="inlineStr">
        <is>
          <t>-</t>
        </is>
      </c>
      <c r="G1540" s="697" t="n">
        <v>1</v>
      </c>
      <c r="H1540" s="697" t="n">
        <v>20</v>
      </c>
      <c r="I1540" s="697" t="n">
        <v>-1000</v>
      </c>
      <c r="J1540" s="585" t="n">
        <v>18</v>
      </c>
      <c r="K1540" s="585" t="n">
        <v>1</v>
      </c>
      <c r="L1540" s="585">
        <f>IF(B1540="TXO",I1540-SUM(J1540:K1540),IF(B1540="FITX",IF(D1540="新倉",-SUM(J1540:K1540),IF(E1540="賣",(H1540-H1539)*G1540*200-SUM(J1540:K1540),(H1539-H1540)*G1540*200-SUM(J1540:K1540))),IF(D1540="新倉",-SUM(J1540:K1540),IF(E1540="賣",(H1540-H1539)*G1540*50-SUM(J1540:K1540),(H1539-H1540)*G1540*50-SUM(J1540:K1540)))))</f>
        <v/>
      </c>
      <c r="M1540" s="699">
        <f>L1540</f>
        <v/>
      </c>
      <c r="N1540" s="686">
        <f>IF(B1540="TXO","",IF(D1540="新倉","",IF(E1540="賣",(H1540-H1539)*G1540,(H1539-H1540)*G1540)))</f>
        <v/>
      </c>
      <c r="O1540" s="226" t="n">
        <v>0</v>
      </c>
      <c r="P1540" s="667" t="n"/>
      <c r="S1540" s="249" t="inlineStr">
        <is>
          <t>Yes</t>
        </is>
      </c>
      <c r="T1540" s="61">
        <f>IF(AND(R1540="Yes",S1540&lt;&gt;"Yes",L1540&gt;0,B1540&lt;&gt;"TXO"),L1540,"")</f>
        <v/>
      </c>
      <c r="U1540" s="61">
        <f>IF(AND(R1540="Yes",S1540&lt;&gt;"Yes",L1540&lt;0,B1540&lt;&gt;"TXO"),L1540,"")</f>
        <v/>
      </c>
      <c r="V1540" s="61">
        <f>IF(AND(R1540="",S1540&lt;&gt;"Yes",L1540&gt;0,B1540&lt;&gt;"TXO"),L1540,"")</f>
        <v/>
      </c>
      <c r="W1540" s="61">
        <f>IF(AND(R1540="",S1540&lt;&gt;"Yes",L1540&lt;0,B1540&lt;&gt;"TXO"),L1540,"")</f>
        <v/>
      </c>
      <c r="X1540" s="226">
        <f>IF(AND(R1540="Yes",S1540="Yes",L1540&gt;0,B1540&lt;&gt;"TXO"),L1540,"")</f>
        <v/>
      </c>
      <c r="Y1540" s="226">
        <f>IF(AND(R1540="Yes",S1540="Yes",L1540&lt;0,B1540&lt;&gt;"TXO"),L1540,"")</f>
        <v/>
      </c>
      <c r="Z1540" s="226">
        <f>IF(AND(R1540="",S1540="Yes",L1540&gt;0,B1540&lt;&gt;"TXO"),L1540,"")</f>
        <v/>
      </c>
      <c r="AA1540" s="226">
        <f>IF(AND(R1540="",S1540="Yes",L1540&lt;0,B1540&lt;&gt;"TXO"),L1540,"")</f>
        <v/>
      </c>
    </row>
    <row r="1541" hidden="1" outlineLevel="1" ht="17.25" customHeight="1" thickBot="1">
      <c r="A1541" s="740" t="n">
        <v>43397</v>
      </c>
      <c r="B1541" s="299" t="inlineStr">
        <is>
          <t>FIMTX</t>
        </is>
      </c>
      <c r="C1541" s="300" t="inlineStr">
        <is>
          <t>小指11</t>
        </is>
      </c>
      <c r="D1541" s="300" t="inlineStr">
        <is>
          <t>新倉</t>
        </is>
      </c>
      <c r="E1541" s="301" t="inlineStr">
        <is>
          <t>賣</t>
        </is>
      </c>
      <c r="F1541" s="300" t="inlineStr">
        <is>
          <t>-</t>
        </is>
      </c>
      <c r="G1541" s="741" t="n">
        <v>1</v>
      </c>
      <c r="H1541" s="741" t="n">
        <v>9679</v>
      </c>
      <c r="I1541" s="741" t="n">
        <v>0</v>
      </c>
      <c r="J1541" s="742" t="n">
        <v>23</v>
      </c>
      <c r="K1541" s="742" t="n">
        <v>10</v>
      </c>
      <c r="L1541" s="742">
        <f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/>
      </c>
      <c r="M1541" s="743">
        <f>L1541</f>
        <v/>
      </c>
      <c r="N1541" s="686">
        <f>IF(B1541="TXO","",IF(D1541="新倉","",IF(E1541="賣",(H1541-H1540)*G1541,(H1540-H1541)*G1541)))</f>
        <v/>
      </c>
      <c r="O1541" s="226">
        <f>ABS(I1541)</f>
        <v/>
      </c>
      <c r="P1541" s="667">
        <f>SUM(L1541:L1586)</f>
        <v/>
      </c>
      <c r="Q1541" s="311" t="n"/>
      <c r="S1541" s="249" t="n"/>
      <c r="T1541" s="61">
        <f>IF(AND(R1541="Yes",S1541&lt;&gt;"Yes",L1541&gt;0,B1541&lt;&gt;"TXO"),L1541,"")</f>
        <v/>
      </c>
      <c r="U1541" s="61">
        <f>IF(AND(R1541="Yes",S1541&lt;&gt;"Yes",L1541&lt;0,B1541&lt;&gt;"TXO"),L1541,"")</f>
        <v/>
      </c>
      <c r="V1541" s="61">
        <f>IF(AND(R1541="",S1541&lt;&gt;"Yes",L1541&gt;0,B1541&lt;&gt;"TXO"),L1541,"")</f>
        <v/>
      </c>
      <c r="W1541" s="61">
        <f>IF(AND(R1541="",S1541&lt;&gt;"Yes",L1541&lt;0,B1541&lt;&gt;"TXO"),L1541,"")</f>
        <v/>
      </c>
      <c r="X1541" s="226">
        <f>IF(AND(R1541="Yes",S1541="Yes",L1541&gt;0,B1541&lt;&gt;"TXO"),L1541,"")</f>
        <v/>
      </c>
      <c r="Y1541" s="226">
        <f>IF(AND(R1541="Yes",S1541="Yes",L1541&lt;0,B1541&lt;&gt;"TXO"),L1541,"")</f>
        <v/>
      </c>
      <c r="Z1541" s="226">
        <f>IF(AND(R1541="",S1541="Yes",L1541&gt;0,B1541&lt;&gt;"TXO"),L1541,"")</f>
        <v/>
      </c>
      <c r="AA1541" s="226">
        <f>IF(AND(R1541="",S1541="Yes",L1541&lt;0,B1541&lt;&gt;"TXO"),L1541,"")</f>
        <v/>
      </c>
    </row>
    <row r="1542" hidden="1" outlineLevel="2" collapsed="1" ht="17.25" customHeight="1" thickBot="1">
      <c r="A1542" s="740" t="n">
        <v>43397</v>
      </c>
      <c r="B1542" s="299" t="inlineStr">
        <is>
          <t>FIMTX</t>
        </is>
      </c>
      <c r="C1542" s="300" t="inlineStr">
        <is>
          <t>小指11</t>
        </is>
      </c>
      <c r="D1542" s="300" t="inlineStr">
        <is>
          <t>平倉</t>
        </is>
      </c>
      <c r="E1542" s="301" t="inlineStr">
        <is>
          <t>買</t>
        </is>
      </c>
      <c r="F1542" s="300" t="inlineStr">
        <is>
          <t>-</t>
        </is>
      </c>
      <c r="G1542" s="741" t="n">
        <v>1</v>
      </c>
      <c r="H1542" s="741" t="n">
        <v>9694</v>
      </c>
      <c r="I1542" s="741" t="n">
        <v>0</v>
      </c>
      <c r="J1542" s="742" t="n">
        <v>23</v>
      </c>
      <c r="K1542" s="742" t="n">
        <v>10</v>
      </c>
      <c r="L1542" s="742">
        <f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/>
      </c>
      <c r="M1542" s="743">
        <f>L1542</f>
        <v/>
      </c>
      <c r="N1542" s="686">
        <f>IF(B1542="TXO","",IF(D1542="新倉","",IF(E1542="賣",(H1542-H1541)*G1542,(H1541-H1542)*G1542)))</f>
        <v/>
      </c>
      <c r="O1542" s="226">
        <f>ABS(I1542)</f>
        <v/>
      </c>
      <c r="P1542" s="667" t="n"/>
      <c r="Q1542" s="311" t="n"/>
      <c r="S1542" s="249" t="n"/>
      <c r="T1542" s="61">
        <f>IF(AND(R1542="Yes",S1542&lt;&gt;"Yes",L1542&gt;0,B1542&lt;&gt;"TXO"),L1542,"")</f>
        <v/>
      </c>
      <c r="U1542" s="61">
        <f>IF(AND(R1542="Yes",S1542&lt;&gt;"Yes",L1542&lt;0,B1542&lt;&gt;"TXO"),L1542,"")</f>
        <v/>
      </c>
      <c r="V1542" s="61">
        <f>IF(AND(R1542="",S1542&lt;&gt;"Yes",L1542&gt;0,B1542&lt;&gt;"TXO"),L1542,"")</f>
        <v/>
      </c>
      <c r="W1542" s="61">
        <f>IF(AND(R1542="",S1542&lt;&gt;"Yes",L1542&lt;0,B1542&lt;&gt;"TXO"),L1542,"")</f>
        <v/>
      </c>
      <c r="X1542" s="226">
        <f>IF(AND(R1542="Yes",S1542="Yes",L1542&gt;0,B1542&lt;&gt;"TXO"),L1542,"")</f>
        <v/>
      </c>
      <c r="Y1542" s="226">
        <f>IF(AND(R1542="Yes",S1542="Yes",L1542&lt;0,B1542&lt;&gt;"TXO"),L1542,"")</f>
        <v/>
      </c>
      <c r="Z1542" s="226">
        <f>IF(AND(R1542="",S1542="Yes",L1542&gt;0,B1542&lt;&gt;"TXO"),L1542,"")</f>
        <v/>
      </c>
      <c r="AA1542" s="226">
        <f>IF(AND(R1542="",S1542="Yes",L1542&lt;0,B1542&lt;&gt;"TXO"),L1542,"")</f>
        <v/>
      </c>
    </row>
    <row r="1543" hidden="1" outlineLevel="2" collapsed="1" ht="17.25" customHeight="1" thickBot="1">
      <c r="A1543" s="740" t="n">
        <v>43397</v>
      </c>
      <c r="B1543" s="299" t="inlineStr">
        <is>
          <t>FIMTX</t>
        </is>
      </c>
      <c r="C1543" s="300" t="inlineStr">
        <is>
          <t>小指11</t>
        </is>
      </c>
      <c r="D1543" s="300" t="inlineStr">
        <is>
          <t>新倉</t>
        </is>
      </c>
      <c r="E1543" s="301" t="inlineStr">
        <is>
          <t>賣</t>
        </is>
      </c>
      <c r="F1543" s="300" t="inlineStr">
        <is>
          <t>-</t>
        </is>
      </c>
      <c r="G1543" s="741" t="n">
        <v>2</v>
      </c>
      <c r="H1543" s="741" t="n">
        <v>9680</v>
      </c>
      <c r="I1543" s="741" t="n">
        <v>0</v>
      </c>
      <c r="J1543" s="742" t="n">
        <v>46</v>
      </c>
      <c r="K1543" s="742" t="n">
        <v>20</v>
      </c>
      <c r="L1543" s="742">
        <f>IF(B1543="TXO",I1543-SUM(J1543:K1543),IF(B1543="FITX",IF(D1543="新倉",-SUM(J1543:K1543),IF(E1543="賣",(H1543-H1542)*G1543*200-SUM(J1543:K1543),(H1542-H1543)*G1543*200-SUM(J1543:K1543))),IF(D1543="新倉",-SUM(J1543:K1543),IF(E1543="賣",(H1543-H1542)*G1543*50-SUM(J1543:K1543),(H1542-H1543)*G1543*50-SUM(J1543:K1543)))))</f>
        <v/>
      </c>
      <c r="M1543" s="743">
        <f>L1543</f>
        <v/>
      </c>
      <c r="N1543" s="686">
        <f>IF(B1543="TXO","",IF(D1543="新倉","",IF(E1543="賣",(H1543-H1542)*G1543,(H1542-H1543)*G1543)))</f>
        <v/>
      </c>
      <c r="O1543" s="226">
        <f>ABS(I1543)</f>
        <v/>
      </c>
      <c r="P1543" s="667" t="n"/>
      <c r="Q1543" s="311" t="n"/>
      <c r="S1543" s="249" t="n"/>
      <c r="T1543" s="61">
        <f>IF(AND(R1543="Yes",S1543&lt;&gt;"Yes",L1543&gt;0,B1543&lt;&gt;"TXO"),L1543,"")</f>
        <v/>
      </c>
      <c r="U1543" s="61">
        <f>IF(AND(R1543="Yes",S1543&lt;&gt;"Yes",L1543&lt;0,B1543&lt;&gt;"TXO"),L1543,"")</f>
        <v/>
      </c>
      <c r="V1543" s="61">
        <f>IF(AND(R1543="",S1543&lt;&gt;"Yes",L1543&gt;0,B1543&lt;&gt;"TXO"),L1543,"")</f>
        <v/>
      </c>
      <c r="W1543" s="61">
        <f>IF(AND(R1543="",S1543&lt;&gt;"Yes",L1543&lt;0,B1543&lt;&gt;"TXO"),L1543,"")</f>
        <v/>
      </c>
      <c r="X1543" s="226">
        <f>IF(AND(R1543="Yes",S1543="Yes",L1543&gt;0,B1543&lt;&gt;"TXO"),L1543,"")</f>
        <v/>
      </c>
      <c r="Y1543" s="226">
        <f>IF(AND(R1543="Yes",S1543="Yes",L1543&lt;0,B1543&lt;&gt;"TXO"),L1543,"")</f>
        <v/>
      </c>
      <c r="Z1543" s="226">
        <f>IF(AND(R1543="",S1543="Yes",L1543&gt;0,B1543&lt;&gt;"TXO"),L1543,"")</f>
        <v/>
      </c>
      <c r="AA1543" s="226">
        <f>IF(AND(R1543="",S1543="Yes",L1543&lt;0,B1543&lt;&gt;"TXO"),L1543,"")</f>
        <v/>
      </c>
    </row>
    <row r="1544" hidden="1" outlineLevel="2" collapsed="1" ht="17.25" customHeight="1" thickBot="1">
      <c r="A1544" s="740" t="n">
        <v>43397</v>
      </c>
      <c r="B1544" s="299" t="inlineStr">
        <is>
          <t>FIMTX</t>
        </is>
      </c>
      <c r="C1544" s="300" t="inlineStr">
        <is>
          <t>小指11</t>
        </is>
      </c>
      <c r="D1544" s="300" t="inlineStr">
        <is>
          <t>平倉</t>
        </is>
      </c>
      <c r="E1544" s="301" t="inlineStr">
        <is>
          <t>買</t>
        </is>
      </c>
      <c r="F1544" s="300" t="inlineStr">
        <is>
          <t>-</t>
        </is>
      </c>
      <c r="G1544" s="741" t="n">
        <v>2</v>
      </c>
      <c r="H1544" s="741" t="n">
        <v>9695</v>
      </c>
      <c r="I1544" s="741" t="n">
        <v>0</v>
      </c>
      <c r="J1544" s="742" t="n">
        <v>46</v>
      </c>
      <c r="K1544" s="742" t="n">
        <v>20</v>
      </c>
      <c r="L1544" s="742">
        <f>IF(B1544="TXO",I1544-SUM(J1544:K1544),IF(B1544="FITX",IF(D1544="新倉",-SUM(J1544:K1544),IF(E1544="賣",(H1544-H1543)*G1544*200-SUM(J1544:K1544),(H1543-H1544)*G1544*200-SUM(J1544:K1544))),IF(D1544="新倉",-SUM(J1544:K1544),IF(E1544="賣",(H1544-H1543)*G1544*50-SUM(J1544:K1544),(H1543-H1544)*G1544*50-SUM(J1544:K1544)))))</f>
        <v/>
      </c>
      <c r="M1544" s="743">
        <f>L1544</f>
        <v/>
      </c>
      <c r="N1544" s="686">
        <f>IF(B1544="TXO","",IF(D1544="新倉","",IF(E1544="賣",(H1544-H1543)*G1544,(H1543-H1544)*G1544)))</f>
        <v/>
      </c>
      <c r="O1544" s="226">
        <f>ABS(I1544)</f>
        <v/>
      </c>
      <c r="P1544" s="667" t="n"/>
      <c r="Q1544" s="311" t="n"/>
      <c r="S1544" s="249" t="n"/>
      <c r="T1544" s="61">
        <f>IF(AND(R1544="Yes",S1544&lt;&gt;"Yes",L1544&gt;0,B1544&lt;&gt;"TXO"),L1544,"")</f>
        <v/>
      </c>
      <c r="U1544" s="61">
        <f>IF(AND(R1544="Yes",S1544&lt;&gt;"Yes",L1544&lt;0,B1544&lt;&gt;"TXO"),L1544,"")</f>
        <v/>
      </c>
      <c r="V1544" s="61">
        <f>IF(AND(R1544="",S1544&lt;&gt;"Yes",L1544&gt;0,B1544&lt;&gt;"TXO"),L1544,"")</f>
        <v/>
      </c>
      <c r="W1544" s="61">
        <f>IF(AND(R1544="",S1544&lt;&gt;"Yes",L1544&lt;0,B1544&lt;&gt;"TXO"),L1544,"")</f>
        <v/>
      </c>
      <c r="X1544" s="226">
        <f>IF(AND(R1544="Yes",S1544="Yes",L1544&gt;0,B1544&lt;&gt;"TXO"),L1544,"")</f>
        <v/>
      </c>
      <c r="Y1544" s="226">
        <f>IF(AND(R1544="Yes",S1544="Yes",L1544&lt;0,B1544&lt;&gt;"TXO"),L1544,"")</f>
        <v/>
      </c>
      <c r="Z1544" s="226">
        <f>IF(AND(R1544="",S1544="Yes",L1544&gt;0,B1544&lt;&gt;"TXO"),L1544,"")</f>
        <v/>
      </c>
      <c r="AA1544" s="226">
        <f>IF(AND(R1544="",S1544="Yes",L1544&lt;0,B1544&lt;&gt;"TXO"),L1544,"")</f>
        <v/>
      </c>
    </row>
    <row r="1545" hidden="1" outlineLevel="2" collapsed="1" ht="17.25" customHeight="1" thickBot="1">
      <c r="A1545" s="740" t="n">
        <v>43397</v>
      </c>
      <c r="B1545" s="299" t="inlineStr">
        <is>
          <t>FIMTX</t>
        </is>
      </c>
      <c r="C1545" s="300" t="inlineStr">
        <is>
          <t>小指11</t>
        </is>
      </c>
      <c r="D1545" s="300" t="inlineStr">
        <is>
          <t>新倉</t>
        </is>
      </c>
      <c r="E1545" s="301" t="inlineStr">
        <is>
          <t>賣</t>
        </is>
      </c>
      <c r="F1545" s="300" t="inlineStr">
        <is>
          <t>-</t>
        </is>
      </c>
      <c r="G1545" s="741" t="n">
        <v>2</v>
      </c>
      <c r="H1545" s="741" t="n">
        <v>9669</v>
      </c>
      <c r="I1545" s="741" t="n">
        <v>0</v>
      </c>
      <c r="J1545" s="742" t="n">
        <v>46</v>
      </c>
      <c r="K1545" s="742" t="n">
        <v>20</v>
      </c>
      <c r="L1545" s="742">
        <f>IF(B1545="TXO",I1545-SUM(J1545:K1545),IF(B1545="FITX",IF(D1545="新倉",-SUM(J1545:K1545),IF(E1545="賣",(H1545-H1544)*G1545*200-SUM(J1545:K1545),(H1544-H1545)*G1545*200-SUM(J1545:K1545))),IF(D1545="新倉",-SUM(J1545:K1545),IF(E1545="賣",(H1545-H1544)*G1545*50-SUM(J1545:K1545),(H1544-H1545)*G1545*50-SUM(J1545:K1545)))))</f>
        <v/>
      </c>
      <c r="M1545" s="743">
        <f>L1545</f>
        <v/>
      </c>
      <c r="N1545" s="686">
        <f>IF(B1545="TXO","",IF(D1545="新倉","",IF(E1545="賣",(H1545-H1544)*G1545,(H1544-H1545)*G1545)))</f>
        <v/>
      </c>
      <c r="O1545" s="226">
        <f>ABS(I1545)</f>
        <v/>
      </c>
      <c r="P1545" s="667" t="n"/>
      <c r="Q1545" s="311" t="n"/>
      <c r="S1545" s="249" t="n"/>
      <c r="T1545" s="61">
        <f>IF(AND(R1545="Yes",S1545&lt;&gt;"Yes",L1545&gt;0,B1545&lt;&gt;"TXO"),L1545,"")</f>
        <v/>
      </c>
      <c r="U1545" s="61">
        <f>IF(AND(R1545="Yes",S1545&lt;&gt;"Yes",L1545&lt;0,B1545&lt;&gt;"TXO"),L1545,"")</f>
        <v/>
      </c>
      <c r="V1545" s="61">
        <f>IF(AND(R1545="",S1545&lt;&gt;"Yes",L1545&gt;0,B1545&lt;&gt;"TXO"),L1545,"")</f>
        <v/>
      </c>
      <c r="W1545" s="61">
        <f>IF(AND(R1545="",S1545&lt;&gt;"Yes",L1545&lt;0,B1545&lt;&gt;"TXO"),L1545,"")</f>
        <v/>
      </c>
      <c r="X1545" s="226">
        <f>IF(AND(R1545="Yes",S1545="Yes",L1545&gt;0,B1545&lt;&gt;"TXO"),L1545,"")</f>
        <v/>
      </c>
      <c r="Y1545" s="226">
        <f>IF(AND(R1545="Yes",S1545="Yes",L1545&lt;0,B1545&lt;&gt;"TXO"),L1545,"")</f>
        <v/>
      </c>
      <c r="Z1545" s="226">
        <f>IF(AND(R1545="",S1545="Yes",L1545&gt;0,B1545&lt;&gt;"TXO"),L1545,"")</f>
        <v/>
      </c>
      <c r="AA1545" s="226">
        <f>IF(AND(R1545="",S1545="Yes",L1545&lt;0,B1545&lt;&gt;"TXO"),L1545,"")</f>
        <v/>
      </c>
    </row>
    <row r="1546" hidden="1" outlineLevel="2" collapsed="1" ht="17.25" customHeight="1" thickBot="1">
      <c r="A1546" s="740" t="n">
        <v>43397</v>
      </c>
      <c r="B1546" s="299" t="inlineStr">
        <is>
          <t>FIMTX</t>
        </is>
      </c>
      <c r="C1546" s="300" t="inlineStr">
        <is>
          <t>小指11</t>
        </is>
      </c>
      <c r="D1546" s="300" t="inlineStr">
        <is>
          <t>平倉</t>
        </is>
      </c>
      <c r="E1546" s="301" t="inlineStr">
        <is>
          <t>買</t>
        </is>
      </c>
      <c r="F1546" s="300" t="inlineStr">
        <is>
          <t>-</t>
        </is>
      </c>
      <c r="G1546" s="741" t="n">
        <v>2</v>
      </c>
      <c r="H1546" s="741" t="n">
        <v>9661</v>
      </c>
      <c r="I1546" s="741" t="n">
        <v>0</v>
      </c>
      <c r="J1546" s="742" t="n">
        <v>46</v>
      </c>
      <c r="K1546" s="742" t="n">
        <v>20</v>
      </c>
      <c r="L1546" s="742">
        <f>IF(B1546="TXO",I1546-SUM(J1546:K1546),IF(B1546="FITX",IF(D1546="新倉",-SUM(J1546:K1546),IF(E1546="賣",(H1546-H1545)*G1546*200-SUM(J1546:K1546),(H1545-H1546)*G1546*200-SUM(J1546:K1546))),IF(D1546="新倉",-SUM(J1546:K1546),IF(E1546="賣",(H1546-H1545)*G1546*50-SUM(J1546:K1546),(H1545-H1546)*G1546*50-SUM(J1546:K1546)))))</f>
        <v/>
      </c>
      <c r="M1546" s="743">
        <f>L1546</f>
        <v/>
      </c>
      <c r="N1546" s="686">
        <f>IF(B1546="TXO","",IF(D1546="新倉","",IF(E1546="賣",(H1546-H1545)*G1546,(H1545-H1546)*G1546)))</f>
        <v/>
      </c>
      <c r="O1546" s="226">
        <f>ABS(I1546)</f>
        <v/>
      </c>
      <c r="P1546" s="667" t="n"/>
      <c r="Q1546" s="311" t="n"/>
      <c r="S1546" s="249" t="n"/>
      <c r="T1546" s="61">
        <f>IF(AND(R1546="Yes",S1546&lt;&gt;"Yes",L1546&gt;0,B1546&lt;&gt;"TXO"),L1546,"")</f>
        <v/>
      </c>
      <c r="U1546" s="61">
        <f>IF(AND(R1546="Yes",S1546&lt;&gt;"Yes",L1546&lt;0,B1546&lt;&gt;"TXO"),L1546,"")</f>
        <v/>
      </c>
      <c r="V1546" s="61">
        <f>IF(AND(R1546="",S1546&lt;&gt;"Yes",L1546&gt;0,B1546&lt;&gt;"TXO"),L1546,"")</f>
        <v/>
      </c>
      <c r="W1546" s="61">
        <f>IF(AND(R1546="",S1546&lt;&gt;"Yes",L1546&lt;0,B1546&lt;&gt;"TXO"),L1546,"")</f>
        <v/>
      </c>
      <c r="X1546" s="226">
        <f>IF(AND(R1546="Yes",S1546="Yes",L1546&gt;0,B1546&lt;&gt;"TXO"),L1546,"")</f>
        <v/>
      </c>
      <c r="Y1546" s="226">
        <f>IF(AND(R1546="Yes",S1546="Yes",L1546&lt;0,B1546&lt;&gt;"TXO"),L1546,"")</f>
        <v/>
      </c>
      <c r="Z1546" s="226">
        <f>IF(AND(R1546="",S1546="Yes",L1546&gt;0,B1546&lt;&gt;"TXO"),L1546,"")</f>
        <v/>
      </c>
      <c r="AA1546" s="226">
        <f>IF(AND(R1546="",S1546="Yes",L1546&lt;0,B1546&lt;&gt;"TXO"),L1546,"")</f>
        <v/>
      </c>
    </row>
    <row r="1547" hidden="1" outlineLevel="2" collapsed="1" ht="17.25" customHeight="1" thickBot="1">
      <c r="A1547" s="740" t="n">
        <v>43397</v>
      </c>
      <c r="B1547" s="299" t="inlineStr">
        <is>
          <t>FIMTX</t>
        </is>
      </c>
      <c r="C1547" s="300" t="inlineStr">
        <is>
          <t>小指11</t>
        </is>
      </c>
      <c r="D1547" s="300" t="inlineStr">
        <is>
          <t>新倉</t>
        </is>
      </c>
      <c r="E1547" s="301" t="inlineStr">
        <is>
          <t>賣</t>
        </is>
      </c>
      <c r="F1547" s="300" t="inlineStr">
        <is>
          <t>-</t>
        </is>
      </c>
      <c r="G1547" s="741" t="n">
        <v>1</v>
      </c>
      <c r="H1547" s="741" t="n">
        <v>9669</v>
      </c>
      <c r="I1547" s="741" t="n">
        <v>0</v>
      </c>
      <c r="J1547" s="742" t="n">
        <v>23</v>
      </c>
      <c r="K1547" s="742" t="n">
        <v>10</v>
      </c>
      <c r="L1547" s="742">
        <f>IF(B1547="TXO",I1547-SUM(J1547:K1547),IF(B1547="FITX",IF(D1547="新倉",-SUM(J1547:K1547),IF(E1547="賣",(H1547-H1546)*G1547*200-SUM(J1547:K1547),(H1546-H1547)*G1547*200-SUM(J1547:K1547))),IF(D1547="新倉",-SUM(J1547:K1547),IF(E1547="賣",(H1547-H1546)*G1547*50-SUM(J1547:K1547),(H1546-H1547)*G1547*50-SUM(J1547:K1547)))))</f>
        <v/>
      </c>
      <c r="M1547" s="743">
        <f>L1547</f>
        <v/>
      </c>
      <c r="N1547" s="686">
        <f>IF(B1547="TXO","",IF(D1547="新倉","",IF(E1547="賣",(H1547-H1546)*G1547,(H1546-H1547)*G1547)))</f>
        <v/>
      </c>
      <c r="O1547" s="226">
        <f>ABS(I1547)</f>
        <v/>
      </c>
      <c r="P1547" s="667" t="n"/>
      <c r="Q1547" s="311" t="n"/>
      <c r="S1547" s="249" t="n"/>
      <c r="T1547" s="61">
        <f>IF(AND(R1547="Yes",S1547&lt;&gt;"Yes",L1547&gt;0,B1547&lt;&gt;"TXO"),L1547,"")</f>
        <v/>
      </c>
      <c r="U1547" s="61">
        <f>IF(AND(R1547="Yes",S1547&lt;&gt;"Yes",L1547&lt;0,B1547&lt;&gt;"TXO"),L1547,"")</f>
        <v/>
      </c>
      <c r="V1547" s="61">
        <f>IF(AND(R1547="",S1547&lt;&gt;"Yes",L1547&gt;0,B1547&lt;&gt;"TXO"),L1547,"")</f>
        <v/>
      </c>
      <c r="W1547" s="61">
        <f>IF(AND(R1547="",S1547&lt;&gt;"Yes",L1547&lt;0,B1547&lt;&gt;"TXO"),L1547,"")</f>
        <v/>
      </c>
      <c r="X1547" s="226">
        <f>IF(AND(R1547="Yes",S1547="Yes",L1547&gt;0,B1547&lt;&gt;"TXO"),L1547,"")</f>
        <v/>
      </c>
      <c r="Y1547" s="226">
        <f>IF(AND(R1547="Yes",S1547="Yes",L1547&lt;0,B1547&lt;&gt;"TXO"),L1547,"")</f>
        <v/>
      </c>
      <c r="Z1547" s="226">
        <f>IF(AND(R1547="",S1547="Yes",L1547&gt;0,B1547&lt;&gt;"TXO"),L1547,"")</f>
        <v/>
      </c>
      <c r="AA1547" s="226">
        <f>IF(AND(R1547="",S1547="Yes",L1547&lt;0,B1547&lt;&gt;"TXO"),L1547,"")</f>
        <v/>
      </c>
    </row>
    <row r="1548" hidden="1" outlineLevel="2" collapsed="1" ht="17.25" customHeight="1" thickBot="1">
      <c r="A1548" s="740" t="n">
        <v>43397</v>
      </c>
      <c r="B1548" s="299" t="inlineStr">
        <is>
          <t>FIMTX</t>
        </is>
      </c>
      <c r="C1548" s="300" t="inlineStr">
        <is>
          <t>小指11</t>
        </is>
      </c>
      <c r="D1548" s="300" t="inlineStr">
        <is>
          <t>平倉</t>
        </is>
      </c>
      <c r="E1548" s="301" t="inlineStr">
        <is>
          <t>買</t>
        </is>
      </c>
      <c r="F1548" s="300" t="inlineStr">
        <is>
          <t>-</t>
        </is>
      </c>
      <c r="G1548" s="741" t="n">
        <v>1</v>
      </c>
      <c r="H1548" s="741" t="n">
        <v>9660</v>
      </c>
      <c r="I1548" s="741" t="n">
        <v>0</v>
      </c>
      <c r="J1548" s="742" t="n">
        <v>23</v>
      </c>
      <c r="K1548" s="742" t="n">
        <v>10</v>
      </c>
      <c r="L1548" s="742">
        <f>IF(B1548="TXO",I1548-SUM(J1548:K1548),IF(B1548="FITX",IF(D1548="新倉",-SUM(J1548:K1548),IF(E1548="賣",(H1548-H1547)*G1548*200-SUM(J1548:K1548),(H1547-H1548)*G1548*200-SUM(J1548:K1548))),IF(D1548="新倉",-SUM(J1548:K1548),IF(E1548="賣",(H1548-H1547)*G1548*50-SUM(J1548:K1548),(H1547-H1548)*G1548*50-SUM(J1548:K1548)))))</f>
        <v/>
      </c>
      <c r="M1548" s="743">
        <f>L1548</f>
        <v/>
      </c>
      <c r="N1548" s="686">
        <f>IF(B1548="TXO","",IF(D1548="新倉","",IF(E1548="賣",(H1548-H1547)*G1548,(H1547-H1548)*G1548)))</f>
        <v/>
      </c>
      <c r="O1548" s="226">
        <f>ABS(I1548)</f>
        <v/>
      </c>
      <c r="P1548" s="667" t="n"/>
      <c r="Q1548" s="311" t="n"/>
      <c r="S1548" s="249" t="n"/>
      <c r="T1548" s="61">
        <f>IF(AND(R1548="Yes",S1548&lt;&gt;"Yes",L1548&gt;0,B1548&lt;&gt;"TXO"),L1548,"")</f>
        <v/>
      </c>
      <c r="U1548" s="61">
        <f>IF(AND(R1548="Yes",S1548&lt;&gt;"Yes",L1548&lt;0,B1548&lt;&gt;"TXO"),L1548,"")</f>
        <v/>
      </c>
      <c r="V1548" s="61">
        <f>IF(AND(R1548="",S1548&lt;&gt;"Yes",L1548&gt;0,B1548&lt;&gt;"TXO"),L1548,"")</f>
        <v/>
      </c>
      <c r="W1548" s="61">
        <f>IF(AND(R1548="",S1548&lt;&gt;"Yes",L1548&lt;0,B1548&lt;&gt;"TXO"),L1548,"")</f>
        <v/>
      </c>
      <c r="X1548" s="226">
        <f>IF(AND(R1548="Yes",S1548="Yes",L1548&gt;0,B1548&lt;&gt;"TXO"),L1548,"")</f>
        <v/>
      </c>
      <c r="Y1548" s="226">
        <f>IF(AND(R1548="Yes",S1548="Yes",L1548&lt;0,B1548&lt;&gt;"TXO"),L1548,"")</f>
        <v/>
      </c>
      <c r="Z1548" s="226">
        <f>IF(AND(R1548="",S1548="Yes",L1548&gt;0,B1548&lt;&gt;"TXO"),L1548,"")</f>
        <v/>
      </c>
      <c r="AA1548" s="226">
        <f>IF(AND(R1548="",S1548="Yes",L1548&lt;0,B1548&lt;&gt;"TXO"),L1548,"")</f>
        <v/>
      </c>
    </row>
    <row r="1549" hidden="1" outlineLevel="2" collapsed="1" ht="33.75" customHeight="1" thickBot="1">
      <c r="A1549" s="740" t="n">
        <v>43397</v>
      </c>
      <c r="B1549" s="299" t="inlineStr">
        <is>
          <t>FIMTX</t>
        </is>
      </c>
      <c r="C1549" s="300" t="inlineStr">
        <is>
          <t>小指11</t>
        </is>
      </c>
      <c r="D1549" s="300" t="inlineStr">
        <is>
          <t>新倉</t>
        </is>
      </c>
      <c r="E1549" s="301" t="inlineStr">
        <is>
          <t>賣</t>
        </is>
      </c>
      <c r="F1549" s="300" t="inlineStr">
        <is>
          <t>-</t>
        </is>
      </c>
      <c r="G1549" s="741" t="n">
        <v>3</v>
      </c>
      <c r="H1549" s="741" t="n">
        <v>9672</v>
      </c>
      <c r="I1549" s="741" t="n">
        <v>0</v>
      </c>
      <c r="J1549" s="742" t="n">
        <v>69</v>
      </c>
      <c r="K1549" s="742" t="n">
        <v>30</v>
      </c>
      <c r="L1549" s="742">
        <f>IF(B1549="TXO",I1549-SUM(J1549:K1549),IF(B1549="FITX",IF(D1549="新倉",-SUM(J1549:K1549),IF(E1549="賣",(H1549-H1548)*G1549*200-SUM(J1549:K1549),(H1548-H1549)*G1549*200-SUM(J1549:K1549))),IF(D1549="新倉",-SUM(J1549:K1549),IF(E1549="賣",(H1549-H1548)*G1549*50-SUM(J1549:K1549),(H1548-H1549)*G1549*50-SUM(J1549:K1549)))))</f>
        <v/>
      </c>
      <c r="M1549" s="743">
        <f>L1549</f>
        <v/>
      </c>
      <c r="N1549" s="686">
        <f>IF(B1549="TXO","",IF(D1549="新倉","",IF(E1549="賣",(H1549-H1548)*G1549,(H1548-H1549)*G1549)))</f>
        <v/>
      </c>
      <c r="O1549" s="226">
        <f>ABS(I1549)</f>
        <v/>
      </c>
      <c r="P1549" s="667" t="n"/>
      <c r="Q1549" s="310" t="inlineStr">
        <is>
          <t>技法: 3/3 買進三口
太早買進，訊號消失</t>
        </is>
      </c>
      <c r="S1549" s="249" t="n"/>
      <c r="T1549" s="61">
        <f>IF(AND(R1549="Yes",S1549&lt;&gt;"Yes",L1549&gt;0,B1549&lt;&gt;"TXO"),L1549,"")</f>
        <v/>
      </c>
      <c r="U1549" s="61">
        <f>IF(AND(R1549="Yes",S1549&lt;&gt;"Yes",L1549&lt;0,B1549&lt;&gt;"TXO"),L1549,"")</f>
        <v/>
      </c>
      <c r="V1549" s="61">
        <f>IF(AND(R1549="",S1549&lt;&gt;"Yes",L1549&gt;0,B1549&lt;&gt;"TXO"),L1549,"")</f>
        <v/>
      </c>
      <c r="W1549" s="61">
        <f>IF(AND(R1549="",S1549&lt;&gt;"Yes",L1549&lt;0,B1549&lt;&gt;"TXO"),L1549,"")</f>
        <v/>
      </c>
      <c r="X1549" s="226">
        <f>IF(AND(R1549="Yes",S1549="Yes",L1549&gt;0,B1549&lt;&gt;"TXO"),L1549,"")</f>
        <v/>
      </c>
      <c r="Y1549" s="226">
        <f>IF(AND(R1549="Yes",S1549="Yes",L1549&lt;0,B1549&lt;&gt;"TXO"),L1549,"")</f>
        <v/>
      </c>
      <c r="Z1549" s="226">
        <f>IF(AND(R1549="",S1549="Yes",L1549&gt;0,B1549&lt;&gt;"TXO"),L1549,"")</f>
        <v/>
      </c>
      <c r="AA1549" s="226">
        <f>IF(AND(R1549="",S1549="Yes",L1549&lt;0,B1549&lt;&gt;"TXO"),L1549,"")</f>
        <v/>
      </c>
    </row>
    <row r="1550" hidden="1" outlineLevel="2" collapsed="1" ht="17.25" customHeight="1" thickBot="1">
      <c r="A1550" s="740" t="n">
        <v>43397</v>
      </c>
      <c r="B1550" s="299" t="inlineStr">
        <is>
          <t>FIMTX</t>
        </is>
      </c>
      <c r="C1550" s="300" t="inlineStr">
        <is>
          <t>小指11</t>
        </is>
      </c>
      <c r="D1550" s="300" t="inlineStr">
        <is>
          <t>平倉</t>
        </is>
      </c>
      <c r="E1550" s="301" t="inlineStr">
        <is>
          <t>買</t>
        </is>
      </c>
      <c r="F1550" s="300" t="inlineStr">
        <is>
          <t>-</t>
        </is>
      </c>
      <c r="G1550" s="741" t="n">
        <v>3</v>
      </c>
      <c r="H1550" s="741" t="n">
        <v>9685</v>
      </c>
      <c r="I1550" s="741" t="n">
        <v>0</v>
      </c>
      <c r="J1550" s="742" t="n">
        <v>69</v>
      </c>
      <c r="K1550" s="742" t="n">
        <v>30</v>
      </c>
      <c r="L1550" s="742">
        <f>IF(B1550="TXO",I1550-SUM(J1550:K1550),IF(B1550="FITX",IF(D1550="新倉",-SUM(J1550:K1550),IF(E1550="賣",(H1550-H1549)*G1550*200-SUM(J1550:K1550),(H1549-H1550)*G1550*200-SUM(J1550:K1550))),IF(D1550="新倉",-SUM(J1550:K1550),IF(E1550="賣",(H1550-H1549)*G1550*50-SUM(J1550:K1550),(H1549-H1550)*G1550*50-SUM(J1550:K1550)))))</f>
        <v/>
      </c>
      <c r="M1550" s="743">
        <f>L1550</f>
        <v/>
      </c>
      <c r="N1550" s="686">
        <f>IF(B1550="TXO","",IF(D1550="新倉","",IF(E1550="賣",(H1550-H1549)*G1550,(H1549-H1550)*G1550)))</f>
        <v/>
      </c>
      <c r="O1550" s="226">
        <f>ABS(I1550)</f>
        <v/>
      </c>
      <c r="P1550" s="667" t="n"/>
      <c r="Q1550" s="249" t="inlineStr">
        <is>
          <t>技法: 碰10MA出場</t>
        </is>
      </c>
      <c r="S1550" s="249" t="n"/>
      <c r="T1550" s="61">
        <f>IF(AND(R1550="Yes",S1550&lt;&gt;"Yes",L1550&gt;0,B1550&lt;&gt;"TXO"),L1550,"")</f>
        <v/>
      </c>
      <c r="U1550" s="61">
        <f>IF(AND(R1550="Yes",S1550&lt;&gt;"Yes",L1550&lt;0,B1550&lt;&gt;"TXO"),L1550,"")</f>
        <v/>
      </c>
      <c r="V1550" s="61">
        <f>IF(AND(R1550="",S1550&lt;&gt;"Yes",L1550&gt;0,B1550&lt;&gt;"TXO"),L1550,"")</f>
        <v/>
      </c>
      <c r="W1550" s="61">
        <f>IF(AND(R1550="",S1550&lt;&gt;"Yes",L1550&lt;0,B1550&lt;&gt;"TXO"),L1550,"")</f>
        <v/>
      </c>
      <c r="X1550" s="226">
        <f>IF(AND(R1550="Yes",S1550="Yes",L1550&gt;0,B1550&lt;&gt;"TXO"),L1550,"")</f>
        <v/>
      </c>
      <c r="Y1550" s="226">
        <f>IF(AND(R1550="Yes",S1550="Yes",L1550&lt;0,B1550&lt;&gt;"TXO"),L1550,"")</f>
        <v/>
      </c>
      <c r="Z1550" s="226">
        <f>IF(AND(R1550="",S1550="Yes",L1550&gt;0,B1550&lt;&gt;"TXO"),L1550,"")</f>
        <v/>
      </c>
      <c r="AA1550" s="226">
        <f>IF(AND(R1550="",S1550="Yes",L1550&lt;0,B1550&lt;&gt;"TXO"),L1550,"")</f>
        <v/>
      </c>
    </row>
    <row r="1551" hidden="1" outlineLevel="2" collapsed="1" ht="17.25" customHeight="1" thickBot="1">
      <c r="A1551" s="740" t="n">
        <v>43397</v>
      </c>
      <c r="B1551" s="299" t="inlineStr">
        <is>
          <t>FIMTX</t>
        </is>
      </c>
      <c r="C1551" s="300" t="inlineStr">
        <is>
          <t>小指11</t>
        </is>
      </c>
      <c r="D1551" s="300" t="inlineStr">
        <is>
          <t>新倉</t>
        </is>
      </c>
      <c r="E1551" s="301" t="inlineStr">
        <is>
          <t>賣</t>
        </is>
      </c>
      <c r="F1551" s="300" t="inlineStr">
        <is>
          <t>-</t>
        </is>
      </c>
      <c r="G1551" s="741" t="n">
        <v>1</v>
      </c>
      <c r="H1551" s="741" t="n">
        <v>9711</v>
      </c>
      <c r="I1551" s="741" t="n">
        <v>0</v>
      </c>
      <c r="J1551" s="742" t="n">
        <v>23</v>
      </c>
      <c r="K1551" s="742" t="n">
        <v>10</v>
      </c>
      <c r="L1551" s="742">
        <f>IF(B1551="TXO",I1551-SUM(J1551:K1551),IF(B1551="FITX",IF(D1551="新倉",-SUM(J1551:K1551),IF(E1551="賣",(H1551-H1550)*G1551*200-SUM(J1551:K1551),(H1550-H1551)*G1551*200-SUM(J1551:K1551))),IF(D1551="新倉",-SUM(J1551:K1551),IF(E1551="賣",(H1551-H1550)*G1551*50-SUM(J1551:K1551),(H1550-H1551)*G1551*50-SUM(J1551:K1551)))))</f>
        <v/>
      </c>
      <c r="M1551" s="743">
        <f>L1551</f>
        <v/>
      </c>
      <c r="N1551" s="686">
        <f>IF(B1551="TXO","",IF(D1551="新倉","",IF(E1551="賣",(H1551-H1550)*G1551,(H1550-H1551)*G1551)))</f>
        <v/>
      </c>
      <c r="O1551" s="226">
        <f>ABS(I1551)</f>
        <v/>
      </c>
      <c r="P1551" s="667" t="n"/>
      <c r="Q1551" s="297" t="inlineStr">
        <is>
          <t>技法: 3/3 買進三口</t>
        </is>
      </c>
      <c r="R1551" s="249" t="inlineStr">
        <is>
          <t>Yes</t>
        </is>
      </c>
      <c r="S1551" s="249" t="n"/>
      <c r="T1551" s="61">
        <f>IF(AND(R1551="Yes",S1551&lt;&gt;"Yes",L1551&gt;0,B1551&lt;&gt;"TXO"),L1551,"")</f>
        <v/>
      </c>
      <c r="U1551" s="61">
        <f>IF(AND(R1551="Yes",S1551&lt;&gt;"Yes",L1551&lt;0,B1551&lt;&gt;"TXO"),L1551,"")</f>
        <v/>
      </c>
      <c r="V1551" s="61">
        <f>IF(AND(R1551="",S1551&lt;&gt;"Yes",L1551&gt;0,B1551&lt;&gt;"TXO"),L1551,"")</f>
        <v/>
      </c>
      <c r="W1551" s="61">
        <f>IF(AND(R1551="",S1551&lt;&gt;"Yes",L1551&lt;0,B1551&lt;&gt;"TXO"),L1551,"")</f>
        <v/>
      </c>
      <c r="X1551" s="226">
        <f>IF(AND(R1551="Yes",S1551="Yes",L1551&gt;0,B1551&lt;&gt;"TXO"),L1551,"")</f>
        <v/>
      </c>
      <c r="Y1551" s="226">
        <f>IF(AND(R1551="Yes",S1551="Yes",L1551&lt;0,B1551&lt;&gt;"TXO"),L1551,"")</f>
        <v/>
      </c>
      <c r="Z1551" s="226">
        <f>IF(AND(R1551="",S1551="Yes",L1551&gt;0,B1551&lt;&gt;"TXO"),L1551,"")</f>
        <v/>
      </c>
      <c r="AA1551" s="226">
        <f>IF(AND(R1551="",S1551="Yes",L1551&lt;0,B1551&lt;&gt;"TXO"),L1551,"")</f>
        <v/>
      </c>
    </row>
    <row r="1552" hidden="1" outlineLevel="2" collapsed="1" ht="17.25" customHeight="1" thickBot="1">
      <c r="A1552" s="740" t="n">
        <v>43397</v>
      </c>
      <c r="B1552" s="299" t="inlineStr">
        <is>
          <t>FIMTX</t>
        </is>
      </c>
      <c r="C1552" s="300" t="inlineStr">
        <is>
          <t>小指11</t>
        </is>
      </c>
      <c r="D1552" s="300" t="inlineStr">
        <is>
          <t>平倉</t>
        </is>
      </c>
      <c r="E1552" s="301" t="inlineStr">
        <is>
          <t>買</t>
        </is>
      </c>
      <c r="F1552" s="300" t="inlineStr">
        <is>
          <t>-</t>
        </is>
      </c>
      <c r="G1552" s="741" t="n">
        <v>1</v>
      </c>
      <c r="H1552" s="741" t="n">
        <v>9695</v>
      </c>
      <c r="I1552" s="741" t="n">
        <v>0</v>
      </c>
      <c r="J1552" s="742" t="n">
        <v>23</v>
      </c>
      <c r="K1552" s="742" t="n">
        <v>10</v>
      </c>
      <c r="L1552" s="742">
        <f>IF(B1552="TXO",I1552-SUM(J1552:K1552),IF(B1552="FITX",IF(D1552="新倉",-SUM(J1552:K1552),IF(E1552="賣",(H1552-H1551)*G1552*200-SUM(J1552:K1552),(H1551-H1552)*G1552*200-SUM(J1552:K1552))),IF(D1552="新倉",-SUM(J1552:K1552),IF(E1552="賣",(H1552-H1551)*G1552*50-SUM(J1552:K1552),(H1551-H1552)*G1552*50-SUM(J1552:K1552)))))</f>
        <v/>
      </c>
      <c r="M1552" s="743">
        <f>L1552</f>
        <v/>
      </c>
      <c r="N1552" s="686">
        <f>IF(B1552="TXO","",IF(D1552="新倉","",IF(E1552="賣",(H1552-H1551)*G1552,(H1551-H1552)*G1552)))</f>
        <v/>
      </c>
      <c r="O1552" s="226">
        <f>ABS(I1552)</f>
        <v/>
      </c>
      <c r="P1552" s="667" t="n"/>
      <c r="Q1552" s="249" t="inlineStr">
        <is>
          <t>技法: 刺補</t>
        </is>
      </c>
      <c r="R1552" s="249" t="inlineStr">
        <is>
          <t>Yes</t>
        </is>
      </c>
      <c r="S1552" s="249" t="n"/>
      <c r="T1552" s="61">
        <f>IF(AND(R1552="Yes",S1552&lt;&gt;"Yes",L1552&gt;0,B1552&lt;&gt;"TXO"),L1552,"")</f>
        <v/>
      </c>
      <c r="U1552" s="61">
        <f>IF(AND(R1552="Yes",S1552&lt;&gt;"Yes",L1552&lt;0,B1552&lt;&gt;"TXO"),L1552,"")</f>
        <v/>
      </c>
      <c r="V1552" s="61">
        <f>IF(AND(R1552="",S1552&lt;&gt;"Yes",L1552&gt;0,B1552&lt;&gt;"TXO"),L1552,"")</f>
        <v/>
      </c>
      <c r="W1552" s="61">
        <f>IF(AND(R1552="",S1552&lt;&gt;"Yes",L1552&lt;0,B1552&lt;&gt;"TXO"),L1552,"")</f>
        <v/>
      </c>
      <c r="X1552" s="226">
        <f>IF(AND(R1552="Yes",S1552="Yes",L1552&gt;0,B1552&lt;&gt;"TXO"),L1552,"")</f>
        <v/>
      </c>
      <c r="Y1552" s="226">
        <f>IF(AND(R1552="Yes",S1552="Yes",L1552&lt;0,B1552&lt;&gt;"TXO"),L1552,"")</f>
        <v/>
      </c>
      <c r="Z1552" s="226">
        <f>IF(AND(R1552="",S1552="Yes",L1552&gt;0,B1552&lt;&gt;"TXO"),L1552,"")</f>
        <v/>
      </c>
      <c r="AA1552" s="226">
        <f>IF(AND(R1552="",S1552="Yes",L1552&lt;0,B1552&lt;&gt;"TXO"),L1552,"")</f>
        <v/>
      </c>
    </row>
    <row r="1553" hidden="1" outlineLevel="2" collapsed="1" ht="17.25" customHeight="1" thickBot="1">
      <c r="A1553" s="740" t="n">
        <v>43397</v>
      </c>
      <c r="B1553" s="299" t="inlineStr">
        <is>
          <t>FIMTX</t>
        </is>
      </c>
      <c r="C1553" s="300" t="inlineStr">
        <is>
          <t>小指11</t>
        </is>
      </c>
      <c r="D1553" s="300" t="inlineStr">
        <is>
          <t>新倉</t>
        </is>
      </c>
      <c r="E1553" s="301" t="inlineStr">
        <is>
          <t>賣</t>
        </is>
      </c>
      <c r="F1553" s="300" t="inlineStr">
        <is>
          <t>-</t>
        </is>
      </c>
      <c r="G1553" s="741" t="n">
        <v>2</v>
      </c>
      <c r="H1553" s="741" t="n">
        <v>9711</v>
      </c>
      <c r="I1553" s="741" t="n">
        <v>0</v>
      </c>
      <c r="J1553" s="742" t="n">
        <v>46</v>
      </c>
      <c r="K1553" s="742" t="n">
        <v>20</v>
      </c>
      <c r="L1553" s="742">
        <f>IF(B1553="TXO",I1553-SUM(J1553:K1553),IF(B1553="FITX",IF(D1553="新倉",-SUM(J1553:K1553),IF(E1553="賣",(H1553-H1552)*G1553*200-SUM(J1553:K1553),(H1552-H1553)*G1553*200-SUM(J1553:K1553))),IF(D1553="新倉",-SUM(J1553:K1553),IF(E1553="賣",(H1553-H1552)*G1553*50-SUM(J1553:K1553),(H1552-H1553)*G1553*50-SUM(J1553:K1553)))))</f>
        <v/>
      </c>
      <c r="M1553" s="743">
        <f>L1553</f>
        <v/>
      </c>
      <c r="N1553" s="686">
        <f>IF(B1553="TXO","",IF(D1553="新倉","",IF(E1553="賣",(H1553-H1552)*G1553,(H1552-H1553)*G1553)))</f>
        <v/>
      </c>
      <c r="O1553" s="226">
        <f>ABS(I1553)</f>
        <v/>
      </c>
      <c r="P1553" s="667" t="n"/>
      <c r="R1553" s="249" t="inlineStr">
        <is>
          <t>Yes</t>
        </is>
      </c>
      <c r="S1553" s="249" t="n"/>
      <c r="T1553" s="61">
        <f>IF(AND(R1553="Yes",S1553&lt;&gt;"Yes",L1553&gt;0,B1553&lt;&gt;"TXO"),L1553,"")</f>
        <v/>
      </c>
      <c r="U1553" s="61">
        <f>IF(AND(R1553="Yes",S1553&lt;&gt;"Yes",L1553&lt;0,B1553&lt;&gt;"TXO"),L1553,"")</f>
        <v/>
      </c>
      <c r="V1553" s="61">
        <f>IF(AND(R1553="",S1553&lt;&gt;"Yes",L1553&gt;0,B1553&lt;&gt;"TXO"),L1553,"")</f>
        <v/>
      </c>
      <c r="W1553" s="61">
        <f>IF(AND(R1553="",S1553&lt;&gt;"Yes",L1553&lt;0,B1553&lt;&gt;"TXO"),L1553,"")</f>
        <v/>
      </c>
      <c r="X1553" s="226">
        <f>IF(AND(R1553="Yes",S1553="Yes",L1553&gt;0,B1553&lt;&gt;"TXO"),L1553,"")</f>
        <v/>
      </c>
      <c r="Y1553" s="226">
        <f>IF(AND(R1553="Yes",S1553="Yes",L1553&lt;0,B1553&lt;&gt;"TXO"),L1553,"")</f>
        <v/>
      </c>
      <c r="Z1553" s="226">
        <f>IF(AND(R1553="",S1553="Yes",L1553&gt;0,B1553&lt;&gt;"TXO"),L1553,"")</f>
        <v/>
      </c>
      <c r="AA1553" s="226">
        <f>IF(AND(R1553="",S1553="Yes",L1553&lt;0,B1553&lt;&gt;"TXO"),L1553,"")</f>
        <v/>
      </c>
    </row>
    <row r="1554" hidden="1" outlineLevel="2" collapsed="1" ht="17.25" customHeight="1" thickBot="1">
      <c r="A1554" s="740" t="n">
        <v>43397</v>
      </c>
      <c r="B1554" s="299" t="inlineStr">
        <is>
          <t>FIMTX</t>
        </is>
      </c>
      <c r="C1554" s="300" t="inlineStr">
        <is>
          <t>小指11</t>
        </is>
      </c>
      <c r="D1554" s="300" t="inlineStr">
        <is>
          <t>平倉</t>
        </is>
      </c>
      <c r="E1554" s="301" t="inlineStr">
        <is>
          <t>買</t>
        </is>
      </c>
      <c r="F1554" s="300" t="inlineStr">
        <is>
          <t>-</t>
        </is>
      </c>
      <c r="G1554" s="741" t="n">
        <v>2</v>
      </c>
      <c r="H1554" s="741" t="n">
        <v>9707</v>
      </c>
      <c r="I1554" s="741" t="n">
        <v>0</v>
      </c>
      <c r="J1554" s="742" t="n">
        <v>46</v>
      </c>
      <c r="K1554" s="742" t="n">
        <v>20</v>
      </c>
      <c r="L1554" s="742">
        <f>IF(B1554="TXO",I1554-SUM(J1554:K1554),IF(B1554="FITX",IF(D1554="新倉",-SUM(J1554:K1554),IF(E1554="賣",(H1554-H1553)*G1554*200-SUM(J1554:K1554),(H1553-H1554)*G1554*200-SUM(J1554:K1554))),IF(D1554="新倉",-SUM(J1554:K1554),IF(E1554="賣",(H1554-H1553)*G1554*50-SUM(J1554:K1554),(H1553-H1554)*G1554*50-SUM(J1554:K1554)))))</f>
        <v/>
      </c>
      <c r="M1554" s="743">
        <f>L1554</f>
        <v/>
      </c>
      <c r="N1554" s="686">
        <f>IF(B1554="TXO","",IF(D1554="新倉","",IF(E1554="賣",(H1554-H1553)*G1554,(H1553-H1554)*G1554)))</f>
        <v/>
      </c>
      <c r="O1554" s="226">
        <f>ABS(I1554)</f>
        <v/>
      </c>
      <c r="P1554" s="667" t="n"/>
      <c r="Q1554" s="315" t="inlineStr">
        <is>
          <t>技法: 移動式停利</t>
        </is>
      </c>
      <c r="R1554" s="249" t="inlineStr">
        <is>
          <t>Yes</t>
        </is>
      </c>
      <c r="S1554" s="249" t="n"/>
      <c r="T1554" s="61">
        <f>IF(AND(R1554="Yes",S1554&lt;&gt;"Yes",L1554&gt;0,B1554&lt;&gt;"TXO"),L1554,"")</f>
        <v/>
      </c>
      <c r="U1554" s="61">
        <f>IF(AND(R1554="Yes",S1554&lt;&gt;"Yes",L1554&lt;0,B1554&lt;&gt;"TXO"),L1554,"")</f>
        <v/>
      </c>
      <c r="V1554" s="61">
        <f>IF(AND(R1554="",S1554&lt;&gt;"Yes",L1554&gt;0,B1554&lt;&gt;"TXO"),L1554,"")</f>
        <v/>
      </c>
      <c r="W1554" s="61">
        <f>IF(AND(R1554="",S1554&lt;&gt;"Yes",L1554&lt;0,B1554&lt;&gt;"TXO"),L1554,"")</f>
        <v/>
      </c>
      <c r="X1554" s="226">
        <f>IF(AND(R1554="Yes",S1554="Yes",L1554&gt;0,B1554&lt;&gt;"TXO"),L1554,"")</f>
        <v/>
      </c>
      <c r="Y1554" s="226">
        <f>IF(AND(R1554="Yes",S1554="Yes",L1554&lt;0,B1554&lt;&gt;"TXO"),L1554,"")</f>
        <v/>
      </c>
      <c r="Z1554" s="226">
        <f>IF(AND(R1554="",S1554="Yes",L1554&gt;0,B1554&lt;&gt;"TXO"),L1554,"")</f>
        <v/>
      </c>
      <c r="AA1554" s="226">
        <f>IF(AND(R1554="",S1554="Yes",L1554&lt;0,B1554&lt;&gt;"TXO"),L1554,"")</f>
        <v/>
      </c>
    </row>
    <row r="1555" hidden="1" outlineLevel="2" collapsed="1" ht="17.25" customHeight="1" thickBot="1">
      <c r="A1555" s="740" t="n">
        <v>43397</v>
      </c>
      <c r="B1555" s="299" t="inlineStr">
        <is>
          <t>FIMTX</t>
        </is>
      </c>
      <c r="C1555" s="300" t="inlineStr">
        <is>
          <t>小指11</t>
        </is>
      </c>
      <c r="D1555" s="300" t="inlineStr">
        <is>
          <t>新倉</t>
        </is>
      </c>
      <c r="E1555" s="301" t="inlineStr">
        <is>
          <t>賣</t>
        </is>
      </c>
      <c r="F1555" s="300" t="inlineStr">
        <is>
          <t>-</t>
        </is>
      </c>
      <c r="G1555" s="741" t="n">
        <v>1</v>
      </c>
      <c r="H1555" s="741" t="n">
        <v>9693</v>
      </c>
      <c r="I1555" s="741" t="n">
        <v>0</v>
      </c>
      <c r="J1555" s="742" t="n">
        <v>23</v>
      </c>
      <c r="K1555" s="742" t="n">
        <v>10</v>
      </c>
      <c r="L1555" s="742">
        <f>IF(B1555="TXO",I1555-SUM(J1555:K1555),IF(B1555="FITX",IF(D1555="新倉",-SUM(J1555:K1555),IF(E1555="賣",(H1555-H1554)*G1555*200-SUM(J1555:K1555),(H1554-H1555)*G1555*200-SUM(J1555:K1555))),IF(D1555="新倉",-SUM(J1555:K1555),IF(E1555="賣",(H1555-H1554)*G1555*50-SUM(J1555:K1555),(H1554-H1555)*G1555*50-SUM(J1555:K1555)))))</f>
        <v/>
      </c>
      <c r="M1555" s="743">
        <f>L1555</f>
        <v/>
      </c>
      <c r="N1555" s="686">
        <f>IF(B1555="TXO","",IF(D1555="新倉","",IF(E1555="賣",(H1555-H1554)*G1555,(H1554-H1555)*G1555)))</f>
        <v/>
      </c>
      <c r="O1555" s="226">
        <f>ABS(I1555)</f>
        <v/>
      </c>
      <c r="P1555" s="667" t="n"/>
      <c r="Q1555" s="315" t="n"/>
      <c r="S1555" s="249" t="n"/>
      <c r="T1555" s="61">
        <f>IF(AND(R1555="Yes",S1555&lt;&gt;"Yes",L1555&gt;0,B1555&lt;&gt;"TXO"),L1555,"")</f>
        <v/>
      </c>
      <c r="U1555" s="61">
        <f>IF(AND(R1555="Yes",S1555&lt;&gt;"Yes",L1555&lt;0,B1555&lt;&gt;"TXO"),L1555,"")</f>
        <v/>
      </c>
      <c r="V1555" s="61">
        <f>IF(AND(R1555="",S1555&lt;&gt;"Yes",L1555&gt;0,B1555&lt;&gt;"TXO"),L1555,"")</f>
        <v/>
      </c>
      <c r="W1555" s="61">
        <f>IF(AND(R1555="",S1555&lt;&gt;"Yes",L1555&lt;0,B1555&lt;&gt;"TXO"),L1555,"")</f>
        <v/>
      </c>
      <c r="X1555" s="226">
        <f>IF(AND(R1555="Yes",S1555="Yes",L1555&gt;0,B1555&lt;&gt;"TXO"),L1555,"")</f>
        <v/>
      </c>
      <c r="Y1555" s="226">
        <f>IF(AND(R1555="Yes",S1555="Yes",L1555&lt;0,B1555&lt;&gt;"TXO"),L1555,"")</f>
        <v/>
      </c>
      <c r="Z1555" s="226">
        <f>IF(AND(R1555="",S1555="Yes",L1555&gt;0,B1555&lt;&gt;"TXO"),L1555,"")</f>
        <v/>
      </c>
      <c r="AA1555" s="226">
        <f>IF(AND(R1555="",S1555="Yes",L1555&lt;0,B1555&lt;&gt;"TXO"),L1555,"")</f>
        <v/>
      </c>
    </row>
    <row r="1556" hidden="1" outlineLevel="2" collapsed="1" ht="17.25" customHeight="1" thickBot="1">
      <c r="A1556" s="740" t="n">
        <v>43397</v>
      </c>
      <c r="B1556" s="299" t="inlineStr">
        <is>
          <t>FIMTX</t>
        </is>
      </c>
      <c r="C1556" s="300" t="inlineStr">
        <is>
          <t>小指11</t>
        </is>
      </c>
      <c r="D1556" s="300" t="inlineStr">
        <is>
          <t>平倉</t>
        </is>
      </c>
      <c r="E1556" s="301" t="inlineStr">
        <is>
          <t>買</t>
        </is>
      </c>
      <c r="F1556" s="300" t="inlineStr">
        <is>
          <t>-</t>
        </is>
      </c>
      <c r="G1556" s="741" t="n">
        <v>1</v>
      </c>
      <c r="H1556" s="741" t="n">
        <v>9687</v>
      </c>
      <c r="I1556" s="741" t="n">
        <v>0</v>
      </c>
      <c r="J1556" s="742" t="n">
        <v>23</v>
      </c>
      <c r="K1556" s="742" t="n">
        <v>10</v>
      </c>
      <c r="L1556" s="742">
        <f>IF(B1556="TXO",I1556-SUM(J1556:K1556),IF(B1556="FITX",IF(D1556="新倉",-SUM(J1556:K1556),IF(E1556="賣",(H1556-H1555)*G1556*200-SUM(J1556:K1556),(H1555-H1556)*G1556*200-SUM(J1556:K1556))),IF(D1556="新倉",-SUM(J1556:K1556),IF(E1556="賣",(H1556-H1555)*G1556*50-SUM(J1556:K1556),(H1555-H1556)*G1556*50-SUM(J1556:K1556)))))</f>
        <v/>
      </c>
      <c r="M1556" s="743">
        <f>L1556</f>
        <v/>
      </c>
      <c r="N1556" s="686">
        <f>IF(B1556="TXO","",IF(D1556="新倉","",IF(E1556="賣",(H1556-H1555)*G1556,(H1555-H1556)*G1556)))</f>
        <v/>
      </c>
      <c r="O1556" s="226">
        <f>ABS(I1556)</f>
        <v/>
      </c>
      <c r="P1556" s="667" t="n"/>
      <c r="Q1556" s="249" t="inlineStr">
        <is>
          <t>技法: 刺補</t>
        </is>
      </c>
      <c r="S1556" s="249" t="n"/>
      <c r="T1556" s="61">
        <f>IF(AND(R1556="Yes",S1556&lt;&gt;"Yes",L1556&gt;0,B1556&lt;&gt;"TXO"),L1556,"")</f>
        <v/>
      </c>
      <c r="U1556" s="61">
        <f>IF(AND(R1556="Yes",S1556&lt;&gt;"Yes",L1556&lt;0,B1556&lt;&gt;"TXO"),L1556,"")</f>
        <v/>
      </c>
      <c r="V1556" s="61">
        <f>IF(AND(R1556="",S1556&lt;&gt;"Yes",L1556&gt;0,B1556&lt;&gt;"TXO"),L1556,"")</f>
        <v/>
      </c>
      <c r="W1556" s="61">
        <f>IF(AND(R1556="",S1556&lt;&gt;"Yes",L1556&lt;0,B1556&lt;&gt;"TXO"),L1556,"")</f>
        <v/>
      </c>
      <c r="X1556" s="226">
        <f>IF(AND(R1556="Yes",S1556="Yes",L1556&gt;0,B1556&lt;&gt;"TXO"),L1556,"")</f>
        <v/>
      </c>
      <c r="Y1556" s="226">
        <f>IF(AND(R1556="Yes",S1556="Yes",L1556&lt;0,B1556&lt;&gt;"TXO"),L1556,"")</f>
        <v/>
      </c>
      <c r="Z1556" s="226">
        <f>IF(AND(R1556="",S1556="Yes",L1556&gt;0,B1556&lt;&gt;"TXO"),L1556,"")</f>
        <v/>
      </c>
      <c r="AA1556" s="226">
        <f>IF(AND(R1556="",S1556="Yes",L1556&lt;0,B1556&lt;&gt;"TXO"),L1556,"")</f>
        <v/>
      </c>
    </row>
    <row r="1557" hidden="1" outlineLevel="2" collapsed="1" ht="17.25" customHeight="1" thickBot="1">
      <c r="A1557" s="740" t="n">
        <v>43397</v>
      </c>
      <c r="B1557" s="299" t="inlineStr">
        <is>
          <t>FIMTX</t>
        </is>
      </c>
      <c r="C1557" s="300" t="inlineStr">
        <is>
          <t>小指11</t>
        </is>
      </c>
      <c r="D1557" s="300" t="inlineStr">
        <is>
          <t>新倉</t>
        </is>
      </c>
      <c r="E1557" s="301" t="inlineStr">
        <is>
          <t>賣</t>
        </is>
      </c>
      <c r="F1557" s="300" t="inlineStr">
        <is>
          <t>-</t>
        </is>
      </c>
      <c r="G1557" s="741" t="n">
        <v>1</v>
      </c>
      <c r="H1557" s="741" t="n">
        <v>9693</v>
      </c>
      <c r="I1557" s="741" t="n">
        <v>0</v>
      </c>
      <c r="J1557" s="742" t="n">
        <v>23</v>
      </c>
      <c r="K1557" s="742" t="n">
        <v>10</v>
      </c>
      <c r="L1557" s="742">
        <f>IF(B1557="TXO",I1557-SUM(J1557:K1557),IF(B1557="FITX",IF(D1557="新倉",-SUM(J1557:K1557),IF(E1557="賣",(H1557-H1556)*G1557*200-SUM(J1557:K1557),(H1556-H1557)*G1557*200-SUM(J1557:K1557))),IF(D1557="新倉",-SUM(J1557:K1557),IF(E1557="賣",(H1557-H1556)*G1557*50-SUM(J1557:K1557),(H1556-H1557)*G1557*50-SUM(J1557:K1557)))))</f>
        <v/>
      </c>
      <c r="M1557" s="743">
        <f>L1557</f>
        <v/>
      </c>
      <c r="N1557" s="686">
        <f>IF(B1557="TXO","",IF(D1557="新倉","",IF(E1557="賣",(H1557-H1556)*G1557,(H1556-H1557)*G1557)))</f>
        <v/>
      </c>
      <c r="O1557" s="226">
        <f>ABS(I1557)</f>
        <v/>
      </c>
      <c r="P1557" s="667" t="n"/>
      <c r="Q1557" s="297" t="n"/>
      <c r="S1557" s="249" t="n"/>
      <c r="T1557" s="61">
        <f>IF(AND(R1557="Yes",S1557&lt;&gt;"Yes",L1557&gt;0,B1557&lt;&gt;"TXO"),L1557,"")</f>
        <v/>
      </c>
      <c r="U1557" s="61">
        <f>IF(AND(R1557="Yes",S1557&lt;&gt;"Yes",L1557&lt;0,B1557&lt;&gt;"TXO"),L1557,"")</f>
        <v/>
      </c>
      <c r="V1557" s="61">
        <f>IF(AND(R1557="",S1557&lt;&gt;"Yes",L1557&gt;0,B1557&lt;&gt;"TXO"),L1557,"")</f>
        <v/>
      </c>
      <c r="W1557" s="61">
        <f>IF(AND(R1557="",S1557&lt;&gt;"Yes",L1557&lt;0,B1557&lt;&gt;"TXO"),L1557,"")</f>
        <v/>
      </c>
      <c r="X1557" s="226">
        <f>IF(AND(R1557="Yes",S1557="Yes",L1557&gt;0,B1557&lt;&gt;"TXO"),L1557,"")</f>
        <v/>
      </c>
      <c r="Y1557" s="226">
        <f>IF(AND(R1557="Yes",S1557="Yes",L1557&lt;0,B1557&lt;&gt;"TXO"),L1557,"")</f>
        <v/>
      </c>
      <c r="Z1557" s="226">
        <f>IF(AND(R1557="",S1557="Yes",L1557&gt;0,B1557&lt;&gt;"TXO"),L1557,"")</f>
        <v/>
      </c>
      <c r="AA1557" s="226">
        <f>IF(AND(R1557="",S1557="Yes",L1557&lt;0,B1557&lt;&gt;"TXO"),L1557,"")</f>
        <v/>
      </c>
    </row>
    <row r="1558" hidden="1" outlineLevel="2" collapsed="1" ht="17.25" customHeight="1" thickBot="1">
      <c r="A1558" s="740" t="n">
        <v>43397</v>
      </c>
      <c r="B1558" s="299" t="inlineStr">
        <is>
          <t>FIMTX</t>
        </is>
      </c>
      <c r="C1558" s="300" t="inlineStr">
        <is>
          <t>小指11</t>
        </is>
      </c>
      <c r="D1558" s="300" t="inlineStr">
        <is>
          <t>平倉</t>
        </is>
      </c>
      <c r="E1558" s="301" t="inlineStr">
        <is>
          <t>買</t>
        </is>
      </c>
      <c r="F1558" s="300" t="inlineStr">
        <is>
          <t>-</t>
        </is>
      </c>
      <c r="G1558" s="741" t="n">
        <v>1</v>
      </c>
      <c r="H1558" s="741" t="n">
        <v>9708</v>
      </c>
      <c r="I1558" s="741" t="n">
        <v>0</v>
      </c>
      <c r="J1558" s="742" t="n">
        <v>23</v>
      </c>
      <c r="K1558" s="742" t="n">
        <v>10</v>
      </c>
      <c r="L1558" s="742">
        <f>IF(B1558="TXO",I1558-SUM(J1558:K1558),IF(B1558="FITX",IF(D1558="新倉",-SUM(J1558:K1558),IF(E1558="賣",(H1558-H1557)*G1558*200-SUM(J1558:K1558),(H1557-H1558)*G1558*200-SUM(J1558:K1558))),IF(D1558="新倉",-SUM(J1558:K1558),IF(E1558="賣",(H1558-H1557)*G1558*50-SUM(J1558:K1558),(H1557-H1558)*G1558*50-SUM(J1558:K1558)))))</f>
        <v/>
      </c>
      <c r="M1558" s="743">
        <f>L1558</f>
        <v/>
      </c>
      <c r="N1558" s="686">
        <f>IF(B1558="TXO","",IF(D1558="新倉","",IF(E1558="賣",(H1558-H1557)*G1558,(H1557-H1558)*G1558)))</f>
        <v/>
      </c>
      <c r="O1558" s="226">
        <f>ABS(I1558)</f>
        <v/>
      </c>
      <c r="P1558" s="667" t="n"/>
      <c r="Q1558" s="249" t="inlineStr">
        <is>
          <t>技法: 碰10MA出場</t>
        </is>
      </c>
      <c r="S1558" s="249" t="n"/>
      <c r="T1558" s="61">
        <f>IF(AND(R1558="Yes",S1558&lt;&gt;"Yes",L1558&gt;0,B1558&lt;&gt;"TXO"),L1558,"")</f>
        <v/>
      </c>
      <c r="U1558" s="61">
        <f>IF(AND(R1558="Yes",S1558&lt;&gt;"Yes",L1558&lt;0,B1558&lt;&gt;"TXO"),L1558,"")</f>
        <v/>
      </c>
      <c r="V1558" s="61">
        <f>IF(AND(R1558="",S1558&lt;&gt;"Yes",L1558&gt;0,B1558&lt;&gt;"TXO"),L1558,"")</f>
        <v/>
      </c>
      <c r="W1558" s="61">
        <f>IF(AND(R1558="",S1558&lt;&gt;"Yes",L1558&lt;0,B1558&lt;&gt;"TXO"),L1558,"")</f>
        <v/>
      </c>
      <c r="X1558" s="226">
        <f>IF(AND(R1558="Yes",S1558="Yes",L1558&gt;0,B1558&lt;&gt;"TXO"),L1558,"")</f>
        <v/>
      </c>
      <c r="Y1558" s="226">
        <f>IF(AND(R1558="Yes",S1558="Yes",L1558&lt;0,B1558&lt;&gt;"TXO"),L1558,"")</f>
        <v/>
      </c>
      <c r="Z1558" s="226">
        <f>IF(AND(R1558="",S1558="Yes",L1558&gt;0,B1558&lt;&gt;"TXO"),L1558,"")</f>
        <v/>
      </c>
      <c r="AA1558" s="226">
        <f>IF(AND(R1558="",S1558="Yes",L1558&lt;0,B1558&lt;&gt;"TXO"),L1558,"")</f>
        <v/>
      </c>
    </row>
    <row r="1559" hidden="1" outlineLevel="2" collapsed="1" ht="17.25" customHeight="1" thickBot="1">
      <c r="A1559" s="740" t="n">
        <v>43397</v>
      </c>
      <c r="B1559" s="299" t="inlineStr">
        <is>
          <t>FIMTX</t>
        </is>
      </c>
      <c r="C1559" s="300" t="inlineStr">
        <is>
          <t>小指11</t>
        </is>
      </c>
      <c r="D1559" s="300" t="inlineStr">
        <is>
          <t>新倉</t>
        </is>
      </c>
      <c r="E1559" s="301" t="inlineStr">
        <is>
          <t>賣</t>
        </is>
      </c>
      <c r="F1559" s="300" t="inlineStr">
        <is>
          <t>-</t>
        </is>
      </c>
      <c r="G1559" s="741" t="n">
        <v>2</v>
      </c>
      <c r="H1559" s="741" t="n">
        <v>9682</v>
      </c>
      <c r="I1559" s="741" t="n">
        <v>0</v>
      </c>
      <c r="J1559" s="742" t="n">
        <v>46</v>
      </c>
      <c r="K1559" s="742" t="n">
        <v>20</v>
      </c>
      <c r="L1559" s="742">
        <f>IF(B1559="TXO",I1559-SUM(J1559:K1559),IF(B1559="FITX",IF(D1559="新倉",-SUM(J1559:K1559),IF(E1559="賣",(H1559-H1558)*G1559*200-SUM(J1559:K1559),(H1558-H1559)*G1559*200-SUM(J1559:K1559))),IF(D1559="新倉",-SUM(J1559:K1559),IF(E1559="賣",(H1559-H1558)*G1559*50-SUM(J1559:K1559),(H1558-H1559)*G1559*50-SUM(J1559:K1559)))))</f>
        <v/>
      </c>
      <c r="M1559" s="743">
        <f>L1559</f>
        <v/>
      </c>
      <c r="N1559" s="686">
        <f>IF(B1559="TXO","",IF(D1559="新倉","",IF(E1559="賣",(H1559-H1558)*G1559,(H1558-H1559)*G1559)))</f>
        <v/>
      </c>
      <c r="O1559" s="226">
        <f>ABS(I1559)</f>
        <v/>
      </c>
      <c r="P1559" s="667" t="n"/>
      <c r="Q1559" s="297" t="n"/>
      <c r="S1559" s="249" t="n"/>
      <c r="T1559" s="61">
        <f>IF(AND(R1559="Yes",S1559&lt;&gt;"Yes",L1559&gt;0,B1559&lt;&gt;"TXO"),L1559,"")</f>
        <v/>
      </c>
      <c r="U1559" s="61">
        <f>IF(AND(R1559="Yes",S1559&lt;&gt;"Yes",L1559&lt;0,B1559&lt;&gt;"TXO"),L1559,"")</f>
        <v/>
      </c>
      <c r="V1559" s="61">
        <f>IF(AND(R1559="",S1559&lt;&gt;"Yes",L1559&gt;0,B1559&lt;&gt;"TXO"),L1559,"")</f>
        <v/>
      </c>
      <c r="W1559" s="61">
        <f>IF(AND(R1559="",S1559&lt;&gt;"Yes",L1559&lt;0,B1559&lt;&gt;"TXO"),L1559,"")</f>
        <v/>
      </c>
      <c r="X1559" s="226">
        <f>IF(AND(R1559="Yes",S1559="Yes",L1559&gt;0,B1559&lt;&gt;"TXO"),L1559,"")</f>
        <v/>
      </c>
      <c r="Y1559" s="226">
        <f>IF(AND(R1559="Yes",S1559="Yes",L1559&lt;0,B1559&lt;&gt;"TXO"),L1559,"")</f>
        <v/>
      </c>
      <c r="Z1559" s="226">
        <f>IF(AND(R1559="",S1559="Yes",L1559&gt;0,B1559&lt;&gt;"TXO"),L1559,"")</f>
        <v/>
      </c>
      <c r="AA1559" s="226">
        <f>IF(AND(R1559="",S1559="Yes",L1559&lt;0,B1559&lt;&gt;"TXO"),L1559,"")</f>
        <v/>
      </c>
    </row>
    <row r="1560" hidden="1" outlineLevel="2" collapsed="1" ht="17.25" customHeight="1" thickBot="1">
      <c r="A1560" s="740" t="n">
        <v>43397</v>
      </c>
      <c r="B1560" s="299" t="inlineStr">
        <is>
          <t>FIMTX</t>
        </is>
      </c>
      <c r="C1560" s="300" t="inlineStr">
        <is>
          <t>小指11</t>
        </is>
      </c>
      <c r="D1560" s="300" t="inlineStr">
        <is>
          <t>平倉</t>
        </is>
      </c>
      <c r="E1560" s="301" t="inlineStr">
        <is>
          <t>買</t>
        </is>
      </c>
      <c r="F1560" s="300" t="inlineStr">
        <is>
          <t>-</t>
        </is>
      </c>
      <c r="G1560" s="741" t="n">
        <v>2</v>
      </c>
      <c r="H1560" s="741" t="n">
        <v>9697</v>
      </c>
      <c r="I1560" s="741" t="n">
        <v>0</v>
      </c>
      <c r="J1560" s="742" t="n">
        <v>46</v>
      </c>
      <c r="K1560" s="742" t="n">
        <v>20</v>
      </c>
      <c r="L1560" s="742">
        <f>IF(B1560="TXO",I1560-SUM(J1560:K1560),IF(B1560="FITX",IF(D1560="新倉",-SUM(J1560:K1560),IF(E1560="賣",(H1560-H1559)*G1560*200-SUM(J1560:K1560),(H1559-H1560)*G1560*200-SUM(J1560:K1560))),IF(D1560="新倉",-SUM(J1560:K1560),IF(E1560="賣",(H1560-H1559)*G1560*50-SUM(J1560:K1560),(H1559-H1560)*G1560*50-SUM(J1560:K1560)))))</f>
        <v/>
      </c>
      <c r="M1560" s="743">
        <f>L1560</f>
        <v/>
      </c>
      <c r="N1560" s="686">
        <f>IF(B1560="TXO","",IF(D1560="新倉","",IF(E1560="賣",(H1560-H1559)*G1560,(H1559-H1560)*G1560)))</f>
        <v/>
      </c>
      <c r="O1560" s="226">
        <f>ABS(I1560)</f>
        <v/>
      </c>
      <c r="P1560" s="667" t="n"/>
      <c r="Q1560" s="249" t="inlineStr">
        <is>
          <t>技法: 碰10MA出場</t>
        </is>
      </c>
      <c r="S1560" s="249" t="n"/>
      <c r="T1560" s="61">
        <f>IF(AND(R1560="Yes",S1560&lt;&gt;"Yes",L1560&gt;0,B1560&lt;&gt;"TXO"),L1560,"")</f>
        <v/>
      </c>
      <c r="U1560" s="61">
        <f>IF(AND(R1560="Yes",S1560&lt;&gt;"Yes",L1560&lt;0,B1560&lt;&gt;"TXO"),L1560,"")</f>
        <v/>
      </c>
      <c r="V1560" s="61">
        <f>IF(AND(R1560="",S1560&lt;&gt;"Yes",L1560&gt;0,B1560&lt;&gt;"TXO"),L1560,"")</f>
        <v/>
      </c>
      <c r="W1560" s="61">
        <f>IF(AND(R1560="",S1560&lt;&gt;"Yes",L1560&lt;0,B1560&lt;&gt;"TXO"),L1560,"")</f>
        <v/>
      </c>
      <c r="X1560" s="226">
        <f>IF(AND(R1560="Yes",S1560="Yes",L1560&gt;0,B1560&lt;&gt;"TXO"),L1560,"")</f>
        <v/>
      </c>
      <c r="Y1560" s="226">
        <f>IF(AND(R1560="Yes",S1560="Yes",L1560&lt;0,B1560&lt;&gt;"TXO"),L1560,"")</f>
        <v/>
      </c>
      <c r="Z1560" s="226">
        <f>IF(AND(R1560="",S1560="Yes",L1560&gt;0,B1560&lt;&gt;"TXO"),L1560,"")</f>
        <v/>
      </c>
      <c r="AA1560" s="226">
        <f>IF(AND(R1560="",S1560="Yes",L1560&lt;0,B1560&lt;&gt;"TXO"),L1560,"")</f>
        <v/>
      </c>
    </row>
    <row r="1561" hidden="1" outlineLevel="2" collapsed="1" ht="17.25" customHeight="1" thickBot="1">
      <c r="A1561" s="740" t="n">
        <v>43397</v>
      </c>
      <c r="B1561" s="299" t="inlineStr">
        <is>
          <t>FIMTX</t>
        </is>
      </c>
      <c r="C1561" s="300" t="inlineStr">
        <is>
          <t>小指11</t>
        </is>
      </c>
      <c r="D1561" s="300" t="inlineStr">
        <is>
          <t>新倉</t>
        </is>
      </c>
      <c r="E1561" s="301" t="inlineStr">
        <is>
          <t>賣</t>
        </is>
      </c>
      <c r="F1561" s="300" t="inlineStr">
        <is>
          <t>-</t>
        </is>
      </c>
      <c r="G1561" s="741" t="n">
        <v>1</v>
      </c>
      <c r="H1561" s="741" t="n">
        <v>9681</v>
      </c>
      <c r="I1561" s="741" t="n">
        <v>0</v>
      </c>
      <c r="J1561" s="742" t="n">
        <v>23</v>
      </c>
      <c r="K1561" s="742" t="n">
        <v>10</v>
      </c>
      <c r="L1561" s="742">
        <f>IF(B1561="TXO",I1561-SUM(J1561:K1561),IF(B1561="FITX",IF(D1561="新倉",-SUM(J1561:K1561),IF(E1561="賣",(H1561-H1560)*G1561*200-SUM(J1561:K1561),(H1560-H1561)*G1561*200-SUM(J1561:K1561))),IF(D1561="新倉",-SUM(J1561:K1561),IF(E1561="賣",(H1561-H1560)*G1561*50-SUM(J1561:K1561),(H1560-H1561)*G1561*50-SUM(J1561:K1561)))))</f>
        <v/>
      </c>
      <c r="M1561" s="743">
        <f>L1561</f>
        <v/>
      </c>
      <c r="N1561" s="686">
        <f>IF(B1561="TXO","",IF(D1561="新倉","",IF(E1561="賣",(H1561-H1560)*G1561,(H1560-H1561)*G1561)))</f>
        <v/>
      </c>
      <c r="O1561" s="226">
        <f>ABS(I1561)</f>
        <v/>
      </c>
      <c r="P1561" s="667" t="n"/>
      <c r="Q1561" s="297" t="n"/>
      <c r="S1561" s="249" t="n"/>
      <c r="T1561" s="61">
        <f>IF(AND(R1561="Yes",S1561&lt;&gt;"Yes",L1561&gt;0,B1561&lt;&gt;"TXO"),L1561,"")</f>
        <v/>
      </c>
      <c r="U1561" s="61">
        <f>IF(AND(R1561="Yes",S1561&lt;&gt;"Yes",L1561&lt;0,B1561&lt;&gt;"TXO"),L1561,"")</f>
        <v/>
      </c>
      <c r="V1561" s="61">
        <f>IF(AND(R1561="",S1561&lt;&gt;"Yes",L1561&gt;0,B1561&lt;&gt;"TXO"),L1561,"")</f>
        <v/>
      </c>
      <c r="W1561" s="61">
        <f>IF(AND(R1561="",S1561&lt;&gt;"Yes",L1561&lt;0,B1561&lt;&gt;"TXO"),L1561,"")</f>
        <v/>
      </c>
      <c r="X1561" s="226">
        <f>IF(AND(R1561="Yes",S1561="Yes",L1561&gt;0,B1561&lt;&gt;"TXO"),L1561,"")</f>
        <v/>
      </c>
      <c r="Y1561" s="226">
        <f>IF(AND(R1561="Yes",S1561="Yes",L1561&lt;0,B1561&lt;&gt;"TXO"),L1561,"")</f>
        <v/>
      </c>
      <c r="Z1561" s="226">
        <f>IF(AND(R1561="",S1561="Yes",L1561&gt;0,B1561&lt;&gt;"TXO"),L1561,"")</f>
        <v/>
      </c>
      <c r="AA1561" s="226">
        <f>IF(AND(R1561="",S1561="Yes",L1561&lt;0,B1561&lt;&gt;"TXO"),L1561,"")</f>
        <v/>
      </c>
    </row>
    <row r="1562" hidden="1" outlineLevel="2" collapsed="1" ht="17.25" customHeight="1" thickBot="1">
      <c r="A1562" s="740" t="n">
        <v>43397</v>
      </c>
      <c r="B1562" s="299" t="inlineStr">
        <is>
          <t>FIMTX</t>
        </is>
      </c>
      <c r="C1562" s="300" t="inlineStr">
        <is>
          <t>小指11</t>
        </is>
      </c>
      <c r="D1562" s="300" t="inlineStr">
        <is>
          <t>平倉</t>
        </is>
      </c>
      <c r="E1562" s="301" t="inlineStr">
        <is>
          <t>買</t>
        </is>
      </c>
      <c r="F1562" s="300" t="inlineStr">
        <is>
          <t>-</t>
        </is>
      </c>
      <c r="G1562" s="741" t="n">
        <v>1</v>
      </c>
      <c r="H1562" s="741" t="n">
        <v>9698</v>
      </c>
      <c r="I1562" s="741" t="n">
        <v>0</v>
      </c>
      <c r="J1562" s="742" t="n">
        <v>23</v>
      </c>
      <c r="K1562" s="742" t="n">
        <v>10</v>
      </c>
      <c r="L1562" s="742">
        <f>IF(B1562="TXO",I1562-SUM(J1562:K1562),IF(B1562="FITX",IF(D1562="新倉",-SUM(J1562:K1562),IF(E1562="賣",(H1562-H1561)*G1562*200-SUM(J1562:K1562),(H1561-H1562)*G1562*200-SUM(J1562:K1562))),IF(D1562="新倉",-SUM(J1562:K1562),IF(E1562="賣",(H1562-H1561)*G1562*50-SUM(J1562:K1562),(H1561-H1562)*G1562*50-SUM(J1562:K1562)))))</f>
        <v/>
      </c>
      <c r="M1562" s="743">
        <f>L1562</f>
        <v/>
      </c>
      <c r="N1562" s="686">
        <f>IF(B1562="TXO","",IF(D1562="新倉","",IF(E1562="賣",(H1562-H1561)*G1562,(H1561-H1562)*G1562)))</f>
        <v/>
      </c>
      <c r="O1562" s="226">
        <f>ABS(I1562)</f>
        <v/>
      </c>
      <c r="P1562" s="667" t="n"/>
      <c r="Q1562" s="249" t="inlineStr">
        <is>
          <t>技法: 碰10MA出場</t>
        </is>
      </c>
      <c r="S1562" s="249" t="n"/>
      <c r="T1562" s="61">
        <f>IF(AND(R1562="Yes",S1562&lt;&gt;"Yes",L1562&gt;0,B1562&lt;&gt;"TXO"),L1562,"")</f>
        <v/>
      </c>
      <c r="U1562" s="61">
        <f>IF(AND(R1562="Yes",S1562&lt;&gt;"Yes",L1562&lt;0,B1562&lt;&gt;"TXO"),L1562,"")</f>
        <v/>
      </c>
      <c r="V1562" s="61">
        <f>IF(AND(R1562="",S1562&lt;&gt;"Yes",L1562&gt;0,B1562&lt;&gt;"TXO"),L1562,"")</f>
        <v/>
      </c>
      <c r="W1562" s="61">
        <f>IF(AND(R1562="",S1562&lt;&gt;"Yes",L1562&lt;0,B1562&lt;&gt;"TXO"),L1562,"")</f>
        <v/>
      </c>
      <c r="X1562" s="226">
        <f>IF(AND(R1562="Yes",S1562="Yes",L1562&gt;0,B1562&lt;&gt;"TXO"),L1562,"")</f>
        <v/>
      </c>
      <c r="Y1562" s="226">
        <f>IF(AND(R1562="Yes",S1562="Yes",L1562&lt;0,B1562&lt;&gt;"TXO"),L1562,"")</f>
        <v/>
      </c>
      <c r="Z1562" s="226">
        <f>IF(AND(R1562="",S1562="Yes",L1562&gt;0,B1562&lt;&gt;"TXO"),L1562,"")</f>
        <v/>
      </c>
      <c r="AA1562" s="226">
        <f>IF(AND(R1562="",S1562="Yes",L1562&lt;0,B1562&lt;&gt;"TXO"),L1562,"")</f>
        <v/>
      </c>
    </row>
    <row r="1563" hidden="1" outlineLevel="2" collapsed="1" ht="17.25" customHeight="1" thickBot="1">
      <c r="A1563" s="740" t="n">
        <v>43397</v>
      </c>
      <c r="B1563" s="299" t="inlineStr">
        <is>
          <t>FIMTX</t>
        </is>
      </c>
      <c r="C1563" s="300" t="inlineStr">
        <is>
          <t>小指11</t>
        </is>
      </c>
      <c r="D1563" s="300" t="inlineStr">
        <is>
          <t>新倉</t>
        </is>
      </c>
      <c r="E1563" s="301" t="inlineStr">
        <is>
          <t>賣</t>
        </is>
      </c>
      <c r="F1563" s="300" t="inlineStr">
        <is>
          <t>-</t>
        </is>
      </c>
      <c r="G1563" s="741" t="n">
        <v>2</v>
      </c>
      <c r="H1563" s="741" t="n">
        <v>9681</v>
      </c>
      <c r="I1563" s="741" t="n">
        <v>0</v>
      </c>
      <c r="J1563" s="742" t="n">
        <v>46</v>
      </c>
      <c r="K1563" s="742" t="n">
        <v>20</v>
      </c>
      <c r="L1563" s="742">
        <f>IF(B1563="TXO",I1563-SUM(J1563:K1563),IF(B1563="FITX",IF(D1563="新倉",-SUM(J1563:K1563),IF(E1563="賣",(H1563-H1562)*G1563*200-SUM(J1563:K1563),(H1562-H1563)*G1563*200-SUM(J1563:K1563))),IF(D1563="新倉",-SUM(J1563:K1563),IF(E1563="賣",(H1563-H1562)*G1563*50-SUM(J1563:K1563),(H1562-H1563)*G1563*50-SUM(J1563:K1563)))))</f>
        <v/>
      </c>
      <c r="M1563" s="743">
        <f>L1563</f>
        <v/>
      </c>
      <c r="N1563" s="686">
        <f>IF(B1563="TXO","",IF(D1563="新倉","",IF(E1563="賣",(H1563-H1562)*G1563,(H1562-H1563)*G1563)))</f>
        <v/>
      </c>
      <c r="O1563" s="226">
        <f>ABS(I1563)</f>
        <v/>
      </c>
      <c r="P1563" s="667" t="n"/>
      <c r="Q1563" s="297" t="n"/>
      <c r="S1563" s="249" t="n"/>
      <c r="T1563" s="61">
        <f>IF(AND(R1563="Yes",S1563&lt;&gt;"Yes",L1563&gt;0,B1563&lt;&gt;"TXO"),L1563,"")</f>
        <v/>
      </c>
      <c r="U1563" s="61">
        <f>IF(AND(R1563="Yes",S1563&lt;&gt;"Yes",L1563&lt;0,B1563&lt;&gt;"TXO"),L1563,"")</f>
        <v/>
      </c>
      <c r="V1563" s="61">
        <f>IF(AND(R1563="",S1563&lt;&gt;"Yes",L1563&gt;0,B1563&lt;&gt;"TXO"),L1563,"")</f>
        <v/>
      </c>
      <c r="W1563" s="61">
        <f>IF(AND(R1563="",S1563&lt;&gt;"Yes",L1563&lt;0,B1563&lt;&gt;"TXO"),L1563,"")</f>
        <v/>
      </c>
      <c r="X1563" s="226">
        <f>IF(AND(R1563="Yes",S1563="Yes",L1563&gt;0,B1563&lt;&gt;"TXO"),L1563,"")</f>
        <v/>
      </c>
      <c r="Y1563" s="226">
        <f>IF(AND(R1563="Yes",S1563="Yes",L1563&lt;0,B1563&lt;&gt;"TXO"),L1563,"")</f>
        <v/>
      </c>
      <c r="Z1563" s="226">
        <f>IF(AND(R1563="",S1563="Yes",L1563&gt;0,B1563&lt;&gt;"TXO"),L1563,"")</f>
        <v/>
      </c>
      <c r="AA1563" s="226">
        <f>IF(AND(R1563="",S1563="Yes",L1563&lt;0,B1563&lt;&gt;"TXO"),L1563,"")</f>
        <v/>
      </c>
    </row>
    <row r="1564" hidden="1" outlineLevel="2" collapsed="1" ht="17.25" customHeight="1" thickBot="1">
      <c r="A1564" s="740" t="n">
        <v>43397</v>
      </c>
      <c r="B1564" s="299" t="inlineStr">
        <is>
          <t>FIMTX</t>
        </is>
      </c>
      <c r="C1564" s="300" t="inlineStr">
        <is>
          <t>小指11</t>
        </is>
      </c>
      <c r="D1564" s="300" t="inlineStr">
        <is>
          <t>平倉</t>
        </is>
      </c>
      <c r="E1564" s="301" t="inlineStr">
        <is>
          <t>買</t>
        </is>
      </c>
      <c r="F1564" s="300" t="inlineStr">
        <is>
          <t>-</t>
        </is>
      </c>
      <c r="G1564" s="741" t="n">
        <v>2</v>
      </c>
      <c r="H1564" s="741" t="n">
        <v>9699</v>
      </c>
      <c r="I1564" s="741" t="n">
        <v>0</v>
      </c>
      <c r="J1564" s="742" t="n">
        <v>46</v>
      </c>
      <c r="K1564" s="742" t="n">
        <v>20</v>
      </c>
      <c r="L1564" s="742">
        <f>IF(B1564="TXO",I1564-SUM(J1564:K1564),IF(B1564="FITX",IF(D1564="新倉",-SUM(J1564:K1564),IF(E1564="賣",(H1564-H1563)*G1564*200-SUM(J1564:K1564),(H1563-H1564)*G1564*200-SUM(J1564:K1564))),IF(D1564="新倉",-SUM(J1564:K1564),IF(E1564="賣",(H1564-H1563)*G1564*50-SUM(J1564:K1564),(H1563-H1564)*G1564*50-SUM(J1564:K1564)))))</f>
        <v/>
      </c>
      <c r="M1564" s="743">
        <f>L1564</f>
        <v/>
      </c>
      <c r="N1564" s="686">
        <f>IF(B1564="TXO","",IF(D1564="新倉","",IF(E1564="賣",(H1564-H1563)*G1564,(H1563-H1564)*G1564)))</f>
        <v/>
      </c>
      <c r="O1564" s="226">
        <f>ABS(I1564)</f>
        <v/>
      </c>
      <c r="P1564" s="667" t="n"/>
      <c r="Q1564" s="249" t="inlineStr">
        <is>
          <t>技法: 碰10MA出場</t>
        </is>
      </c>
      <c r="S1564" s="249" t="n"/>
      <c r="T1564" s="61">
        <f>IF(AND(R1564="Yes",S1564&lt;&gt;"Yes",L1564&gt;0,B1564&lt;&gt;"TXO"),L1564,"")</f>
        <v/>
      </c>
      <c r="U1564" s="61">
        <f>IF(AND(R1564="Yes",S1564&lt;&gt;"Yes",L1564&lt;0,B1564&lt;&gt;"TXO"),L1564,"")</f>
        <v/>
      </c>
      <c r="V1564" s="61">
        <f>IF(AND(R1564="",S1564&lt;&gt;"Yes",L1564&gt;0,B1564&lt;&gt;"TXO"),L1564,"")</f>
        <v/>
      </c>
      <c r="W1564" s="61">
        <f>IF(AND(R1564="",S1564&lt;&gt;"Yes",L1564&lt;0,B1564&lt;&gt;"TXO"),L1564,"")</f>
        <v/>
      </c>
      <c r="X1564" s="226">
        <f>IF(AND(R1564="Yes",S1564="Yes",L1564&gt;0,B1564&lt;&gt;"TXO"),L1564,"")</f>
        <v/>
      </c>
      <c r="Y1564" s="226">
        <f>IF(AND(R1564="Yes",S1564="Yes",L1564&lt;0,B1564&lt;&gt;"TXO"),L1564,"")</f>
        <v/>
      </c>
      <c r="Z1564" s="226">
        <f>IF(AND(R1564="",S1564="Yes",L1564&gt;0,B1564&lt;&gt;"TXO"),L1564,"")</f>
        <v/>
      </c>
      <c r="AA1564" s="226">
        <f>IF(AND(R1564="",S1564="Yes",L1564&lt;0,B1564&lt;&gt;"TXO"),L1564,"")</f>
        <v/>
      </c>
    </row>
    <row r="1565" hidden="1" outlineLevel="2" collapsed="1" ht="17.25" customHeight="1" thickBot="1">
      <c r="A1565" s="740" t="n">
        <v>43397</v>
      </c>
      <c r="B1565" s="299" t="inlineStr">
        <is>
          <t>FIMTX</t>
        </is>
      </c>
      <c r="C1565" s="300" t="inlineStr">
        <is>
          <t>小指11</t>
        </is>
      </c>
      <c r="D1565" s="300" t="inlineStr">
        <is>
          <t>新倉</t>
        </is>
      </c>
      <c r="E1565" s="301" t="inlineStr">
        <is>
          <t>賣</t>
        </is>
      </c>
      <c r="F1565" s="300" t="inlineStr">
        <is>
          <t>-</t>
        </is>
      </c>
      <c r="G1565" s="741" t="n">
        <v>1</v>
      </c>
      <c r="H1565" s="741" t="n">
        <v>9688</v>
      </c>
      <c r="I1565" s="741" t="n">
        <v>0</v>
      </c>
      <c r="J1565" s="742" t="n">
        <v>23</v>
      </c>
      <c r="K1565" s="742" t="n">
        <v>10</v>
      </c>
      <c r="L1565" s="742">
        <f>IF(B1565="TXO",I1565-SUM(J1565:K1565),IF(B1565="FITX",IF(D1565="新倉",-SUM(J1565:K1565),IF(E1565="賣",(H1565-H1564)*G1565*200-SUM(J1565:K1565),(H1564-H1565)*G1565*200-SUM(J1565:K1565))),IF(D1565="新倉",-SUM(J1565:K1565),IF(E1565="賣",(H1565-H1564)*G1565*50-SUM(J1565:K1565),(H1564-H1565)*G1565*50-SUM(J1565:K1565)))))</f>
        <v/>
      </c>
      <c r="M1565" s="743">
        <f>L1565</f>
        <v/>
      </c>
      <c r="N1565" s="686">
        <f>IF(B1565="TXO","",IF(D1565="新倉","",IF(E1565="賣",(H1565-H1564)*G1565,(H1564-H1565)*G1565)))</f>
        <v/>
      </c>
      <c r="O1565" s="226">
        <f>ABS(I1565)</f>
        <v/>
      </c>
      <c r="P1565" s="667">
        <f>SUM(L1565:L1586)</f>
        <v/>
      </c>
      <c r="Q1565" s="297" t="inlineStr">
        <is>
          <t>技法: 3/3 買進三口</t>
        </is>
      </c>
      <c r="R1565" s="249" t="inlineStr">
        <is>
          <t>Yes</t>
        </is>
      </c>
      <c r="S1565" s="249" t="inlineStr">
        <is>
          <t>Yes</t>
        </is>
      </c>
      <c r="T1565" s="61">
        <f>IF(AND(R1565="Yes",S1565&lt;&gt;"Yes",L1565&gt;0,B1565&lt;&gt;"TXO"),L1565,"")</f>
        <v/>
      </c>
      <c r="U1565" s="61">
        <f>IF(AND(R1565="Yes",S1565&lt;&gt;"Yes",L1565&lt;0,B1565&lt;&gt;"TXO"),L1565,"")</f>
        <v/>
      </c>
      <c r="V1565" s="61">
        <f>IF(AND(R1565="",S1565&lt;&gt;"Yes",L1565&gt;0,B1565&lt;&gt;"TXO"),L1565,"")</f>
        <v/>
      </c>
      <c r="W1565" s="61">
        <f>IF(AND(R1565="",S1565&lt;&gt;"Yes",L1565&lt;0,B1565&lt;&gt;"TXO"),L1565,"")</f>
        <v/>
      </c>
      <c r="X1565" s="226">
        <f>IF(AND(R1565="Yes",S1565="Yes",L1565&gt;0,B1565&lt;&gt;"TXO"),L1565,"")</f>
        <v/>
      </c>
      <c r="Y1565" s="226">
        <f>IF(AND(R1565="Yes",S1565="Yes",L1565&lt;0,B1565&lt;&gt;"TXO"),L1565,"")</f>
        <v/>
      </c>
      <c r="Z1565" s="226">
        <f>IF(AND(R1565="",S1565="Yes",L1565&gt;0,B1565&lt;&gt;"TXO"),L1565,"")</f>
        <v/>
      </c>
      <c r="AA1565" s="226">
        <f>IF(AND(R1565="",S1565="Yes",L1565&lt;0,B1565&lt;&gt;"TXO"),L1565,"")</f>
        <v/>
      </c>
    </row>
    <row r="1566" hidden="1" outlineLevel="2" collapsed="1" ht="17.25" customHeight="1" thickBot="1">
      <c r="A1566" s="740" t="n">
        <v>43397</v>
      </c>
      <c r="B1566" s="299" t="inlineStr">
        <is>
          <t>FIMTX</t>
        </is>
      </c>
      <c r="C1566" s="300" t="inlineStr">
        <is>
          <t>小指11</t>
        </is>
      </c>
      <c r="D1566" s="300" t="inlineStr">
        <is>
          <t>平倉</t>
        </is>
      </c>
      <c r="E1566" s="301" t="inlineStr">
        <is>
          <t>買</t>
        </is>
      </c>
      <c r="F1566" s="300" t="inlineStr">
        <is>
          <t>-</t>
        </is>
      </c>
      <c r="G1566" s="741" t="n">
        <v>1</v>
      </c>
      <c r="H1566" s="741" t="n">
        <v>9675</v>
      </c>
      <c r="I1566" s="741" t="n">
        <v>0</v>
      </c>
      <c r="J1566" s="742" t="n">
        <v>23</v>
      </c>
      <c r="K1566" s="742" t="n">
        <v>10</v>
      </c>
      <c r="L1566" s="742">
        <f>IF(B1566="TXO",I1566-SUM(J1566:K1566),IF(B1566="FITX",IF(D1566="新倉",-SUM(J1566:K1566),IF(E1566="賣",(H1566-H1565)*G1566*200-SUM(J1566:K1566),(H1565-H1566)*G1566*200-SUM(J1566:K1566))),IF(D1566="新倉",-SUM(J1566:K1566),IF(E1566="賣",(H1566-H1565)*G1566*50-SUM(J1566:K1566),(H1565-H1566)*G1566*50-SUM(J1566:K1566)))))</f>
        <v/>
      </c>
      <c r="M1566" s="743">
        <f>L1566</f>
        <v/>
      </c>
      <c r="N1566" s="686">
        <f>IF(B1566="TXO","",IF(D1566="新倉","",IF(E1566="賣",(H1566-H1565)*G1566,(H1565-H1566)*G1566)))</f>
        <v/>
      </c>
      <c r="O1566" s="226">
        <f>ABS(I1566)</f>
        <v/>
      </c>
      <c r="P1566" s="667" t="n"/>
      <c r="Q1566" s="249" t="inlineStr">
        <is>
          <t>技法: 刺補</t>
        </is>
      </c>
      <c r="R1566" s="249" t="inlineStr">
        <is>
          <t>Yes</t>
        </is>
      </c>
      <c r="S1566" s="249" t="inlineStr">
        <is>
          <t>Yes</t>
        </is>
      </c>
      <c r="T1566" s="61">
        <f>IF(AND(R1566="Yes",S1566&lt;&gt;"Yes",L1566&gt;0,B1566&lt;&gt;"TXO"),L1566,"")</f>
        <v/>
      </c>
      <c r="U1566" s="61">
        <f>IF(AND(R1566="Yes",S1566&lt;&gt;"Yes",L1566&lt;0,B1566&lt;&gt;"TXO"),L1566,"")</f>
        <v/>
      </c>
      <c r="V1566" s="61">
        <f>IF(AND(R1566="",S1566&lt;&gt;"Yes",L1566&gt;0,B1566&lt;&gt;"TXO"),L1566,"")</f>
        <v/>
      </c>
      <c r="W1566" s="61">
        <f>IF(AND(R1566="",S1566&lt;&gt;"Yes",L1566&lt;0,B1566&lt;&gt;"TXO"),L1566,"")</f>
        <v/>
      </c>
      <c r="X1566" s="226">
        <f>IF(AND(R1566="Yes",S1566="Yes",L1566&gt;0,B1566&lt;&gt;"TXO"),L1566,"")</f>
        <v/>
      </c>
      <c r="Y1566" s="226">
        <f>IF(AND(R1566="Yes",S1566="Yes",L1566&lt;0,B1566&lt;&gt;"TXO"),L1566,"")</f>
        <v/>
      </c>
      <c r="Z1566" s="226">
        <f>IF(AND(R1566="",S1566="Yes",L1566&gt;0,B1566&lt;&gt;"TXO"),L1566,"")</f>
        <v/>
      </c>
      <c r="AA1566" s="226">
        <f>IF(AND(R1566="",S1566="Yes",L1566&lt;0,B1566&lt;&gt;"TXO"),L1566,"")</f>
        <v/>
      </c>
    </row>
    <row r="1567" hidden="1" outlineLevel="2" collapsed="1" ht="17.25" customHeight="1" thickBot="1">
      <c r="A1567" s="740" t="n">
        <v>43397</v>
      </c>
      <c r="B1567" s="299" t="inlineStr">
        <is>
          <t>FIMTX</t>
        </is>
      </c>
      <c r="C1567" s="300" t="inlineStr">
        <is>
          <t>小指11</t>
        </is>
      </c>
      <c r="D1567" s="300" t="inlineStr">
        <is>
          <t>新倉</t>
        </is>
      </c>
      <c r="E1567" s="301" t="inlineStr">
        <is>
          <t>賣</t>
        </is>
      </c>
      <c r="F1567" s="300" t="inlineStr">
        <is>
          <t>-</t>
        </is>
      </c>
      <c r="G1567" s="741" t="n">
        <v>2</v>
      </c>
      <c r="H1567" s="741" t="n">
        <v>9688</v>
      </c>
      <c r="I1567" s="741" t="n">
        <v>0</v>
      </c>
      <c r="J1567" s="742" t="n">
        <v>46</v>
      </c>
      <c r="K1567" s="742" t="n">
        <v>20</v>
      </c>
      <c r="L1567" s="742">
        <f>IF(B1567="TXO",I1567-SUM(J1567:K1567),IF(B1567="FITX",IF(D1567="新倉",-SUM(J1567:K1567),IF(E1567="賣",(H1567-H1566)*G1567*200-SUM(J1567:K1567),(H1566-H1567)*G1567*200-SUM(J1567:K1567))),IF(D1567="新倉",-SUM(J1567:K1567),IF(E1567="賣",(H1567-H1566)*G1567*50-SUM(J1567:K1567),(H1566-H1567)*G1567*50-SUM(J1567:K1567)))))</f>
        <v/>
      </c>
      <c r="M1567" s="743">
        <f>L1567</f>
        <v/>
      </c>
      <c r="N1567" s="686">
        <f>IF(B1567="TXO","",IF(D1567="新倉","",IF(E1567="賣",(H1567-H1566)*G1567,(H1566-H1567)*G1567)))</f>
        <v/>
      </c>
      <c r="O1567" s="226">
        <f>ABS(I1567)</f>
        <v/>
      </c>
      <c r="P1567" s="667" t="n"/>
      <c r="R1567" s="249" t="inlineStr">
        <is>
          <t>Yes</t>
        </is>
      </c>
      <c r="S1567" s="249" t="inlineStr">
        <is>
          <t>Yes</t>
        </is>
      </c>
      <c r="T1567" s="61">
        <f>IF(AND(R1567="Yes",S1567&lt;&gt;"Yes",L1567&gt;0,B1567&lt;&gt;"TXO"),L1567,"")</f>
        <v/>
      </c>
      <c r="U1567" s="61">
        <f>IF(AND(R1567="Yes",S1567&lt;&gt;"Yes",L1567&lt;0,B1567&lt;&gt;"TXO"),L1567,"")</f>
        <v/>
      </c>
      <c r="V1567" s="61">
        <f>IF(AND(R1567="",S1567&lt;&gt;"Yes",L1567&gt;0,B1567&lt;&gt;"TXO"),L1567,"")</f>
        <v/>
      </c>
      <c r="W1567" s="61">
        <f>IF(AND(R1567="",S1567&lt;&gt;"Yes",L1567&lt;0,B1567&lt;&gt;"TXO"),L1567,"")</f>
        <v/>
      </c>
      <c r="X1567" s="226">
        <f>IF(AND(R1567="Yes",S1567="Yes",L1567&gt;0,B1567&lt;&gt;"TXO"),L1567,"")</f>
        <v/>
      </c>
      <c r="Y1567" s="226">
        <f>IF(AND(R1567="Yes",S1567="Yes",L1567&lt;0,B1567&lt;&gt;"TXO"),L1567,"")</f>
        <v/>
      </c>
      <c r="Z1567" s="226">
        <f>IF(AND(R1567="",S1567="Yes",L1567&gt;0,B1567&lt;&gt;"TXO"),L1567,"")</f>
        <v/>
      </c>
      <c r="AA1567" s="226">
        <f>IF(AND(R1567="",S1567="Yes",L1567&lt;0,B1567&lt;&gt;"TXO"),L1567,"")</f>
        <v/>
      </c>
    </row>
    <row r="1568" hidden="1" outlineLevel="2" collapsed="1" ht="17.25" customHeight="1" thickBot="1">
      <c r="A1568" s="740" t="n">
        <v>43397</v>
      </c>
      <c r="B1568" s="299" t="inlineStr">
        <is>
          <t>FIMTX</t>
        </is>
      </c>
      <c r="C1568" s="300" t="inlineStr">
        <is>
          <t>小指11</t>
        </is>
      </c>
      <c r="D1568" s="300" t="inlineStr">
        <is>
          <t>平倉</t>
        </is>
      </c>
      <c r="E1568" s="301" t="inlineStr">
        <is>
          <t>買</t>
        </is>
      </c>
      <c r="F1568" s="300" t="inlineStr">
        <is>
          <t>-</t>
        </is>
      </c>
      <c r="G1568" s="741" t="n">
        <v>2</v>
      </c>
      <c r="H1568" s="741" t="n">
        <v>9680</v>
      </c>
      <c r="I1568" s="741" t="n">
        <v>0</v>
      </c>
      <c r="J1568" s="742" t="n">
        <v>46</v>
      </c>
      <c r="K1568" s="742" t="n">
        <v>20</v>
      </c>
      <c r="L1568" s="742">
        <f>IF(B1568="TXO",I1568-SUM(J1568:K1568),IF(B1568="FITX",IF(D1568="新倉",-SUM(J1568:K1568),IF(E1568="賣",(H1568-H1567)*G1568*200-SUM(J1568:K1568),(H1567-H1568)*G1568*200-SUM(J1568:K1568))),IF(D1568="新倉",-SUM(J1568:K1568),IF(E1568="賣",(H1568-H1567)*G1568*50-SUM(J1568:K1568),(H1567-H1568)*G1568*50-SUM(J1568:K1568)))))</f>
        <v/>
      </c>
      <c r="M1568" s="743">
        <f>L1568</f>
        <v/>
      </c>
      <c r="N1568" s="686">
        <f>IF(B1568="TXO","",IF(D1568="新倉","",IF(E1568="賣",(H1568-H1567)*G1568,(H1567-H1568)*G1568)))</f>
        <v/>
      </c>
      <c r="O1568" s="226">
        <f>ABS(I1568)</f>
        <v/>
      </c>
      <c r="P1568" s="667" t="n"/>
      <c r="Q1568" s="315" t="inlineStr">
        <is>
          <t>技法: 移動式停利</t>
        </is>
      </c>
      <c r="R1568" s="249" t="inlineStr">
        <is>
          <t>Yes</t>
        </is>
      </c>
      <c r="S1568" s="249" t="inlineStr">
        <is>
          <t>Yes</t>
        </is>
      </c>
      <c r="T1568" s="61">
        <f>IF(AND(R1568="Yes",S1568&lt;&gt;"Yes",L1568&gt;0,B1568&lt;&gt;"TXO"),L1568,"")</f>
        <v/>
      </c>
      <c r="U1568" s="61">
        <f>IF(AND(R1568="Yes",S1568&lt;&gt;"Yes",L1568&lt;0,B1568&lt;&gt;"TXO"),L1568,"")</f>
        <v/>
      </c>
      <c r="V1568" s="61">
        <f>IF(AND(R1568="",S1568&lt;&gt;"Yes",L1568&gt;0,B1568&lt;&gt;"TXO"),L1568,"")</f>
        <v/>
      </c>
      <c r="W1568" s="61">
        <f>IF(AND(R1568="",S1568&lt;&gt;"Yes",L1568&lt;0,B1568&lt;&gt;"TXO"),L1568,"")</f>
        <v/>
      </c>
      <c r="X1568" s="226">
        <f>IF(AND(R1568="Yes",S1568="Yes",L1568&gt;0,B1568&lt;&gt;"TXO"),L1568,"")</f>
        <v/>
      </c>
      <c r="Y1568" s="226">
        <f>IF(AND(R1568="Yes",S1568="Yes",L1568&lt;0,B1568&lt;&gt;"TXO"),L1568,"")</f>
        <v/>
      </c>
      <c r="Z1568" s="226">
        <f>IF(AND(R1568="",S1568="Yes",L1568&gt;0,B1568&lt;&gt;"TXO"),L1568,"")</f>
        <v/>
      </c>
      <c r="AA1568" s="226">
        <f>IF(AND(R1568="",S1568="Yes",L1568&lt;0,B1568&lt;&gt;"TXO"),L1568,"")</f>
        <v/>
      </c>
    </row>
    <row r="1569" hidden="1" outlineLevel="2" collapsed="1" ht="17.25" customHeight="1" thickBot="1">
      <c r="A1569" s="740" t="n">
        <v>43397</v>
      </c>
      <c r="B1569" s="299" t="inlineStr">
        <is>
          <t>FIMTX</t>
        </is>
      </c>
      <c r="C1569" s="300" t="inlineStr">
        <is>
          <t>小指11</t>
        </is>
      </c>
      <c r="D1569" s="300" t="inlineStr">
        <is>
          <t>新倉</t>
        </is>
      </c>
      <c r="E1569" s="301" t="inlineStr">
        <is>
          <t>賣</t>
        </is>
      </c>
      <c r="F1569" s="300" t="inlineStr">
        <is>
          <t>-</t>
        </is>
      </c>
      <c r="G1569" s="741" t="n">
        <v>3</v>
      </c>
      <c r="H1569" s="741" t="n">
        <v>9684</v>
      </c>
      <c r="I1569" s="741" t="n">
        <v>0</v>
      </c>
      <c r="J1569" s="742" t="n">
        <v>69</v>
      </c>
      <c r="K1569" s="742" t="n">
        <v>30</v>
      </c>
      <c r="L1569" s="742">
        <f>IF(B1569="TXO",I1569-SUM(J1569:K1569),IF(B1569="FITX",IF(D1569="新倉",-SUM(J1569:K1569),IF(E1569="賣",(H1569-H1568)*G1569*200-SUM(J1569:K1569),(H1568-H1569)*G1569*200-SUM(J1569:K1569))),IF(D1569="新倉",-SUM(J1569:K1569),IF(E1569="賣",(H1569-H1568)*G1569*50-SUM(J1569:K1569),(H1568-H1569)*G1569*50-SUM(J1569:K1569)))))</f>
        <v/>
      </c>
      <c r="M1569" s="743">
        <f>L1569</f>
        <v/>
      </c>
      <c r="N1569" s="686">
        <f>IF(B1569="TXO","",IF(D1569="新倉","",IF(E1569="賣",(H1569-H1568)*G1569,(H1568-H1569)*G1569)))</f>
        <v/>
      </c>
      <c r="O1569" s="226">
        <f>ABS(I1569)</f>
        <v/>
      </c>
      <c r="P1569" s="667" t="n"/>
      <c r="Q1569" s="311" t="inlineStr">
        <is>
          <t>技法: 3/3 買進三口</t>
        </is>
      </c>
      <c r="S1569" s="249" t="inlineStr">
        <is>
          <t>Yes</t>
        </is>
      </c>
      <c r="T1569" s="61">
        <f>IF(AND(R1569="Yes",S1569&lt;&gt;"Yes",L1569&gt;0,B1569&lt;&gt;"TXO"),L1569,"")</f>
        <v/>
      </c>
      <c r="U1569" s="61">
        <f>IF(AND(R1569="Yes",S1569&lt;&gt;"Yes",L1569&lt;0,B1569&lt;&gt;"TXO"),L1569,"")</f>
        <v/>
      </c>
      <c r="V1569" s="61">
        <f>IF(AND(R1569="",S1569&lt;&gt;"Yes",L1569&gt;0,B1569&lt;&gt;"TXO"),L1569,"")</f>
        <v/>
      </c>
      <c r="W1569" s="61">
        <f>IF(AND(R1569="",S1569&lt;&gt;"Yes",L1569&lt;0,B1569&lt;&gt;"TXO"),L1569,"")</f>
        <v/>
      </c>
      <c r="X1569" s="226">
        <f>IF(AND(R1569="Yes",S1569="Yes",L1569&gt;0,B1569&lt;&gt;"TXO"),L1569,"")</f>
        <v/>
      </c>
      <c r="Y1569" s="226">
        <f>IF(AND(R1569="Yes",S1569="Yes",L1569&lt;0,B1569&lt;&gt;"TXO"),L1569,"")</f>
        <v/>
      </c>
      <c r="Z1569" s="226">
        <f>IF(AND(R1569="",S1569="Yes",L1569&gt;0,B1569&lt;&gt;"TXO"),L1569,"")</f>
        <v/>
      </c>
      <c r="AA1569" s="226">
        <f>IF(AND(R1569="",S1569="Yes",L1569&lt;0,B1569&lt;&gt;"TXO"),L1569,"")</f>
        <v/>
      </c>
    </row>
    <row r="1570" hidden="1" outlineLevel="2" collapsed="1" ht="17.25" customHeight="1" thickBot="1">
      <c r="A1570" s="740" t="n">
        <v>43397</v>
      </c>
      <c r="B1570" s="299" t="inlineStr">
        <is>
          <t>FIMTX</t>
        </is>
      </c>
      <c r="C1570" s="300" t="inlineStr">
        <is>
          <t>小指11</t>
        </is>
      </c>
      <c r="D1570" s="300" t="inlineStr">
        <is>
          <t>平倉</t>
        </is>
      </c>
      <c r="E1570" s="301" t="inlineStr">
        <is>
          <t>買</t>
        </is>
      </c>
      <c r="F1570" s="300" t="inlineStr">
        <is>
          <t>-</t>
        </is>
      </c>
      <c r="G1570" s="741" t="n">
        <v>3</v>
      </c>
      <c r="H1570" s="741" t="n">
        <v>9683</v>
      </c>
      <c r="I1570" s="741" t="n">
        <v>0</v>
      </c>
      <c r="J1570" s="742" t="n">
        <v>69</v>
      </c>
      <c r="K1570" s="742" t="n">
        <v>30</v>
      </c>
      <c r="L1570" s="742">
        <f>IF(B1570="TXO",I1570-SUM(J1570:K1570),IF(B1570="FITX",IF(D1570="新倉",-SUM(J1570:K1570),IF(E1570="賣",(H1570-H1569)*G1570*200-SUM(J1570:K1570),(H1569-H1570)*G1570*200-SUM(J1570:K1570))),IF(D1570="新倉",-SUM(J1570:K1570),IF(E1570="賣",(H1570-H1569)*G1570*50-SUM(J1570:K1570),(H1569-H1570)*G1570*50-SUM(J1570:K1570)))))</f>
        <v/>
      </c>
      <c r="M1570" s="743">
        <f>L1570</f>
        <v/>
      </c>
      <c r="N1570" s="686">
        <f>IF(B1570="TXO","",IF(D1570="新倉","",IF(E1570="賣",(H1570-H1569)*G1570,(H1569-H1570)*G1570)))</f>
        <v/>
      </c>
      <c r="O1570" s="226">
        <f>ABS(I1570)</f>
        <v/>
      </c>
      <c r="P1570" s="667" t="n"/>
      <c r="Q1570" s="311" t="inlineStr">
        <is>
          <t>設兩點停利被洗出場</t>
        </is>
      </c>
      <c r="S1570" s="249" t="inlineStr">
        <is>
          <t>Yes</t>
        </is>
      </c>
      <c r="T1570" s="61">
        <f>IF(AND(R1570="Yes",S1570&lt;&gt;"Yes",L1570&gt;0,B1570&lt;&gt;"TXO"),L1570,"")</f>
        <v/>
      </c>
      <c r="U1570" s="61">
        <f>IF(AND(R1570="Yes",S1570&lt;&gt;"Yes",L1570&lt;0,B1570&lt;&gt;"TXO"),L1570,"")</f>
        <v/>
      </c>
      <c r="V1570" s="61">
        <f>IF(AND(R1570="",S1570&lt;&gt;"Yes",L1570&gt;0,B1570&lt;&gt;"TXO"),L1570,"")</f>
        <v/>
      </c>
      <c r="W1570" s="61">
        <f>IF(AND(R1570="",S1570&lt;&gt;"Yes",L1570&lt;0,B1570&lt;&gt;"TXO"),L1570,"")</f>
        <v/>
      </c>
      <c r="X1570" s="226">
        <f>IF(AND(R1570="Yes",S1570="Yes",L1570&gt;0,B1570&lt;&gt;"TXO"),L1570,"")</f>
        <v/>
      </c>
      <c r="Y1570" s="226">
        <f>IF(AND(R1570="Yes",S1570="Yes",L1570&lt;0,B1570&lt;&gt;"TXO"),L1570,"")</f>
        <v/>
      </c>
      <c r="Z1570" s="226">
        <f>IF(AND(R1570="",S1570="Yes",L1570&gt;0,B1570&lt;&gt;"TXO"),L1570,"")</f>
        <v/>
      </c>
      <c r="AA1570" s="226">
        <f>IF(AND(R1570="",S1570="Yes",L1570&lt;0,B1570&lt;&gt;"TXO"),L1570,"")</f>
        <v/>
      </c>
    </row>
    <row r="1571" hidden="1" outlineLevel="2" collapsed="1" ht="17.25" customHeight="1" thickBot="1">
      <c r="A1571" s="740" t="n">
        <v>43397</v>
      </c>
      <c r="B1571" s="299" t="inlineStr">
        <is>
          <t>FIMTX</t>
        </is>
      </c>
      <c r="C1571" s="300" t="inlineStr">
        <is>
          <t>小指11</t>
        </is>
      </c>
      <c r="D1571" s="300" t="inlineStr">
        <is>
          <t>新倉</t>
        </is>
      </c>
      <c r="E1571" s="301" t="inlineStr">
        <is>
          <t>賣</t>
        </is>
      </c>
      <c r="F1571" s="300" t="inlineStr">
        <is>
          <t>-</t>
        </is>
      </c>
      <c r="G1571" s="741" t="n">
        <v>3</v>
      </c>
      <c r="H1571" s="741" t="n">
        <v>9686</v>
      </c>
      <c r="I1571" s="741" t="n">
        <v>0</v>
      </c>
      <c r="J1571" s="742" t="n">
        <v>69</v>
      </c>
      <c r="K1571" s="742" t="n">
        <v>30</v>
      </c>
      <c r="L1571" s="742">
        <f>IF(B1571="TXO",I1571-SUM(J1571:K1571),IF(B1571="FITX",IF(D1571="新倉",-SUM(J1571:K1571),IF(E1571="賣",(H1571-H1570)*G1571*200-SUM(J1571:K1571),(H1570-H1571)*G1571*200-SUM(J1571:K1571))),IF(D1571="新倉",-SUM(J1571:K1571),IF(E1571="賣",(H1571-H1570)*G1571*50-SUM(J1571:K1571),(H1570-H1571)*G1571*50-SUM(J1571:K1571)))))</f>
        <v/>
      </c>
      <c r="M1571" s="743">
        <f>L1571</f>
        <v/>
      </c>
      <c r="N1571" s="686">
        <f>IF(B1571="TXO","",IF(D1571="新倉","",IF(E1571="賣",(H1571-H1570)*G1571,(H1570-H1571)*G1571)))</f>
        <v/>
      </c>
      <c r="O1571" s="226">
        <f>ABS(I1571)</f>
        <v/>
      </c>
      <c r="P1571" s="667" t="n"/>
      <c r="Q1571" s="311" t="inlineStr">
        <is>
          <t>技法: 3/3 買進三口</t>
        </is>
      </c>
      <c r="S1571" s="249" t="inlineStr">
        <is>
          <t>Yes</t>
        </is>
      </c>
      <c r="T1571" s="61">
        <f>IF(AND(R1571="Yes",S1571&lt;&gt;"Yes",L1571&gt;0,B1571&lt;&gt;"TXO"),L1571,"")</f>
        <v/>
      </c>
      <c r="U1571" s="61">
        <f>IF(AND(R1571="Yes",S1571&lt;&gt;"Yes",L1571&lt;0,B1571&lt;&gt;"TXO"),L1571,"")</f>
        <v/>
      </c>
      <c r="V1571" s="61">
        <f>IF(AND(R1571="",S1571&lt;&gt;"Yes",L1571&gt;0,B1571&lt;&gt;"TXO"),L1571,"")</f>
        <v/>
      </c>
      <c r="W1571" s="61">
        <f>IF(AND(R1571="",S1571&lt;&gt;"Yes",L1571&lt;0,B1571&lt;&gt;"TXO"),L1571,"")</f>
        <v/>
      </c>
      <c r="X1571" s="226">
        <f>IF(AND(R1571="Yes",S1571="Yes",L1571&gt;0,B1571&lt;&gt;"TXO"),L1571,"")</f>
        <v/>
      </c>
      <c r="Y1571" s="226">
        <f>IF(AND(R1571="Yes",S1571="Yes",L1571&lt;0,B1571&lt;&gt;"TXO"),L1571,"")</f>
        <v/>
      </c>
      <c r="Z1571" s="226">
        <f>IF(AND(R1571="",S1571="Yes",L1571&gt;0,B1571&lt;&gt;"TXO"),L1571,"")</f>
        <v/>
      </c>
      <c r="AA1571" s="226">
        <f>IF(AND(R1571="",S1571="Yes",L1571&lt;0,B1571&lt;&gt;"TXO"),L1571,"")</f>
        <v/>
      </c>
    </row>
    <row r="1572" hidden="1" outlineLevel="2" collapsed="1" ht="17.25" customHeight="1" thickBot="1">
      <c r="A1572" s="740" t="n">
        <v>43397</v>
      </c>
      <c r="B1572" s="299" t="inlineStr">
        <is>
          <t>FIMTX</t>
        </is>
      </c>
      <c r="C1572" s="300" t="inlineStr">
        <is>
          <t>小指11</t>
        </is>
      </c>
      <c r="D1572" s="300" t="inlineStr">
        <is>
          <t>平倉</t>
        </is>
      </c>
      <c r="E1572" s="301" t="inlineStr">
        <is>
          <t>買</t>
        </is>
      </c>
      <c r="F1572" s="300" t="inlineStr">
        <is>
          <t>-</t>
        </is>
      </c>
      <c r="G1572" s="741" t="n">
        <v>3</v>
      </c>
      <c r="H1572" s="741" t="n">
        <v>9685</v>
      </c>
      <c r="I1572" s="741" t="n">
        <v>0</v>
      </c>
      <c r="J1572" s="742" t="n">
        <v>69</v>
      </c>
      <c r="K1572" s="742" t="n">
        <v>30</v>
      </c>
      <c r="L1572" s="742">
        <f>IF(B1572="TXO",I1572-SUM(J1572:K1572),IF(B1572="FITX",IF(D1572="新倉",-SUM(J1572:K1572),IF(E1572="賣",(H1572-H1571)*G1572*200-SUM(J1572:K1572),(H1571-H1572)*G1572*200-SUM(J1572:K1572))),IF(D1572="新倉",-SUM(J1572:K1572),IF(E1572="賣",(H1572-H1571)*G1572*50-SUM(J1572:K1572),(H1571-H1572)*G1572*50-SUM(J1572:K1572)))))</f>
        <v/>
      </c>
      <c r="M1572" s="743">
        <f>L1572</f>
        <v/>
      </c>
      <c r="N1572" s="686">
        <f>IF(B1572="TXO","",IF(D1572="新倉","",IF(E1572="賣",(H1572-H1571)*G1572,(H1571-H1572)*G1572)))</f>
        <v/>
      </c>
      <c r="O1572" s="226">
        <f>ABS(I1572)</f>
        <v/>
      </c>
      <c r="P1572" s="667" t="n"/>
      <c r="Q1572" s="311" t="inlineStr">
        <is>
          <t>設兩點停利被洗出場</t>
        </is>
      </c>
      <c r="S1572" s="249" t="inlineStr">
        <is>
          <t>Yes</t>
        </is>
      </c>
      <c r="T1572" s="61">
        <f>IF(AND(R1572="Yes",S1572&lt;&gt;"Yes",L1572&gt;0,B1572&lt;&gt;"TXO"),L1572,"")</f>
        <v/>
      </c>
      <c r="U1572" s="61">
        <f>IF(AND(R1572="Yes",S1572&lt;&gt;"Yes",L1572&lt;0,B1572&lt;&gt;"TXO"),L1572,"")</f>
        <v/>
      </c>
      <c r="V1572" s="61">
        <f>IF(AND(R1572="",S1572&lt;&gt;"Yes",L1572&gt;0,B1572&lt;&gt;"TXO"),L1572,"")</f>
        <v/>
      </c>
      <c r="W1572" s="61">
        <f>IF(AND(R1572="",S1572&lt;&gt;"Yes",L1572&lt;0,B1572&lt;&gt;"TXO"),L1572,"")</f>
        <v/>
      </c>
      <c r="X1572" s="226">
        <f>IF(AND(R1572="Yes",S1572="Yes",L1572&gt;0,B1572&lt;&gt;"TXO"),L1572,"")</f>
        <v/>
      </c>
      <c r="Y1572" s="226">
        <f>IF(AND(R1572="Yes",S1572="Yes",L1572&lt;0,B1572&lt;&gt;"TXO"),L1572,"")</f>
        <v/>
      </c>
      <c r="Z1572" s="226">
        <f>IF(AND(R1572="",S1572="Yes",L1572&gt;0,B1572&lt;&gt;"TXO"),L1572,"")</f>
        <v/>
      </c>
      <c r="AA1572" s="226">
        <f>IF(AND(R1572="",S1572="Yes",L1572&lt;0,B1572&lt;&gt;"TXO"),L1572,"")</f>
        <v/>
      </c>
    </row>
    <row r="1573" hidden="1" outlineLevel="2" collapsed="1" ht="17.25" customHeight="1" thickBot="1">
      <c r="A1573" s="740" t="n">
        <v>43397</v>
      </c>
      <c r="B1573" s="299" t="inlineStr">
        <is>
          <t>FIMTX</t>
        </is>
      </c>
      <c r="C1573" s="300" t="inlineStr">
        <is>
          <t>小指11</t>
        </is>
      </c>
      <c r="D1573" s="300" t="inlineStr">
        <is>
          <t>新倉</t>
        </is>
      </c>
      <c r="E1573" s="301" t="inlineStr">
        <is>
          <t>賣</t>
        </is>
      </c>
      <c r="F1573" s="300" t="inlineStr">
        <is>
          <t>-</t>
        </is>
      </c>
      <c r="G1573" s="741" t="n">
        <v>1</v>
      </c>
      <c r="H1573" s="741" t="n">
        <v>9679</v>
      </c>
      <c r="I1573" s="741" t="n">
        <v>0</v>
      </c>
      <c r="J1573" s="742" t="n">
        <v>23</v>
      </c>
      <c r="K1573" s="742" t="n">
        <v>10</v>
      </c>
      <c r="L1573" s="742">
        <f>IF(B1573="TXO",I1573-SUM(J1573:K1573),IF(B1573="FITX",IF(D1573="新倉",-SUM(J1573:K1573),IF(E1573="賣",(H1573-H1572)*G1573*200-SUM(J1573:K1573),(H1572-H1573)*G1573*200-SUM(J1573:K1573))),IF(D1573="新倉",-SUM(J1573:K1573),IF(E1573="賣",(H1573-H1572)*G1573*50-SUM(J1573:K1573),(H1572-H1573)*G1573*50-SUM(J1573:K1573)))))</f>
        <v/>
      </c>
      <c r="M1573" s="743">
        <f>L1573</f>
        <v/>
      </c>
      <c r="N1573" s="686">
        <f>IF(B1573="TXO","",IF(D1573="新倉","",IF(E1573="賣",(H1573-H1572)*G1573,(H1572-H1573)*G1573)))</f>
        <v/>
      </c>
      <c r="O1573" s="226">
        <f>ABS(I1573)</f>
        <v/>
      </c>
      <c r="P1573" s="667" t="n"/>
      <c r="Q1573" s="311" t="inlineStr">
        <is>
          <t>技法: 3/3 買進三口</t>
        </is>
      </c>
      <c r="S1573" s="249" t="inlineStr">
        <is>
          <t>Yes</t>
        </is>
      </c>
      <c r="T1573" s="61">
        <f>IF(AND(R1573="Yes",S1573&lt;&gt;"Yes",L1573&gt;0,B1573&lt;&gt;"TXO"),L1573,"")</f>
        <v/>
      </c>
      <c r="U1573" s="61">
        <f>IF(AND(R1573="Yes",S1573&lt;&gt;"Yes",L1573&lt;0,B1573&lt;&gt;"TXO"),L1573,"")</f>
        <v/>
      </c>
      <c r="V1573" s="61">
        <f>IF(AND(R1573="",S1573&lt;&gt;"Yes",L1573&gt;0,B1573&lt;&gt;"TXO"),L1573,"")</f>
        <v/>
      </c>
      <c r="W1573" s="61">
        <f>IF(AND(R1573="",S1573&lt;&gt;"Yes",L1573&lt;0,B1573&lt;&gt;"TXO"),L1573,"")</f>
        <v/>
      </c>
      <c r="X1573" s="226">
        <f>IF(AND(R1573="Yes",S1573="Yes",L1573&gt;0,B1573&lt;&gt;"TXO"),L1573,"")</f>
        <v/>
      </c>
      <c r="Y1573" s="226">
        <f>IF(AND(R1573="Yes",S1573="Yes",L1573&lt;0,B1573&lt;&gt;"TXO"),L1573,"")</f>
        <v/>
      </c>
      <c r="Z1573" s="226">
        <f>IF(AND(R1573="",S1573="Yes",L1573&gt;0,B1573&lt;&gt;"TXO"),L1573,"")</f>
        <v/>
      </c>
      <c r="AA1573" s="226">
        <f>IF(AND(R1573="",S1573="Yes",L1573&lt;0,B1573&lt;&gt;"TXO"),L1573,"")</f>
        <v/>
      </c>
    </row>
    <row r="1574" hidden="1" outlineLevel="2" collapsed="1" ht="17.25" customHeight="1" thickBot="1">
      <c r="A1574" s="740" t="n">
        <v>43397</v>
      </c>
      <c r="B1574" s="299" t="inlineStr">
        <is>
          <t>FIMTX</t>
        </is>
      </c>
      <c r="C1574" s="300" t="inlineStr">
        <is>
          <t>小指11</t>
        </is>
      </c>
      <c r="D1574" s="300" t="inlineStr">
        <is>
          <t>平倉</t>
        </is>
      </c>
      <c r="E1574" s="301" t="inlineStr">
        <is>
          <t>買</t>
        </is>
      </c>
      <c r="F1574" s="300" t="inlineStr">
        <is>
          <t>-</t>
        </is>
      </c>
      <c r="G1574" s="741" t="n">
        <v>1</v>
      </c>
      <c r="H1574" s="741" t="n">
        <v>9677</v>
      </c>
      <c r="I1574" s="741" t="n">
        <v>0</v>
      </c>
      <c r="J1574" s="742" t="n">
        <v>23</v>
      </c>
      <c r="K1574" s="742" t="n">
        <v>10</v>
      </c>
      <c r="L1574" s="742">
        <f>IF(B1574="TXO",I1574-SUM(J1574:K1574),IF(B1574="FITX",IF(D1574="新倉",-SUM(J1574:K1574),IF(E1574="賣",(H1574-H1573)*G1574*200-SUM(J1574:K1574),(H1573-H1574)*G1574*200-SUM(J1574:K1574))),IF(D1574="新倉",-SUM(J1574:K1574),IF(E1574="賣",(H1574-H1573)*G1574*50-SUM(J1574:K1574),(H1573-H1574)*G1574*50-SUM(J1574:K1574)))))</f>
        <v/>
      </c>
      <c r="M1574" s="743">
        <f>L1574</f>
        <v/>
      </c>
      <c r="N1574" s="686">
        <f>IF(B1574="TXO","",IF(D1574="新倉","",IF(E1574="賣",(H1574-H1573)*G1574,(H1573-H1574)*G1574)))</f>
        <v/>
      </c>
      <c r="O1574" s="226">
        <f>ABS(I1574)</f>
        <v/>
      </c>
      <c r="P1574" s="667" t="n"/>
      <c r="Q1574" s="311" t="inlineStr">
        <is>
          <t>設兩點停利被洗出場</t>
        </is>
      </c>
      <c r="S1574" s="249" t="inlineStr">
        <is>
          <t>Yes</t>
        </is>
      </c>
      <c r="T1574" s="61">
        <f>IF(AND(R1574="Yes",S1574&lt;&gt;"Yes",L1574&gt;0,B1574&lt;&gt;"TXO"),L1574,"")</f>
        <v/>
      </c>
      <c r="U1574" s="61">
        <f>IF(AND(R1574="Yes",S1574&lt;&gt;"Yes",L1574&lt;0,B1574&lt;&gt;"TXO"),L1574,"")</f>
        <v/>
      </c>
      <c r="V1574" s="61">
        <f>IF(AND(R1574="",S1574&lt;&gt;"Yes",L1574&gt;0,B1574&lt;&gt;"TXO"),L1574,"")</f>
        <v/>
      </c>
      <c r="W1574" s="61">
        <f>IF(AND(R1574="",S1574&lt;&gt;"Yes",L1574&lt;0,B1574&lt;&gt;"TXO"),L1574,"")</f>
        <v/>
      </c>
      <c r="X1574" s="226">
        <f>IF(AND(R1574="Yes",S1574="Yes",L1574&gt;0,B1574&lt;&gt;"TXO"),L1574,"")</f>
        <v/>
      </c>
      <c r="Y1574" s="226">
        <f>IF(AND(R1574="Yes",S1574="Yes",L1574&lt;0,B1574&lt;&gt;"TXO"),L1574,"")</f>
        <v/>
      </c>
      <c r="Z1574" s="226">
        <f>IF(AND(R1574="",S1574="Yes",L1574&gt;0,B1574&lt;&gt;"TXO"),L1574,"")</f>
        <v/>
      </c>
      <c r="AA1574" s="226">
        <f>IF(AND(R1574="",S1574="Yes",L1574&lt;0,B1574&lt;&gt;"TXO"),L1574,"")</f>
        <v/>
      </c>
    </row>
    <row r="1575" hidden="1" outlineLevel="2" collapsed="1" ht="17.25" customHeight="1" thickBot="1">
      <c r="A1575" s="740" t="n">
        <v>43397</v>
      </c>
      <c r="B1575" s="299" t="inlineStr">
        <is>
          <t>FIMTX</t>
        </is>
      </c>
      <c r="C1575" s="300" t="inlineStr">
        <is>
          <t>小指11</t>
        </is>
      </c>
      <c r="D1575" s="300" t="inlineStr">
        <is>
          <t>新倉</t>
        </is>
      </c>
      <c r="E1575" s="301" t="inlineStr">
        <is>
          <t>賣</t>
        </is>
      </c>
      <c r="F1575" s="300" t="inlineStr">
        <is>
          <t>-</t>
        </is>
      </c>
      <c r="G1575" s="741" t="n">
        <v>2</v>
      </c>
      <c r="H1575" s="741" t="n">
        <v>9679</v>
      </c>
      <c r="I1575" s="741" t="n">
        <v>0</v>
      </c>
      <c r="J1575" s="742" t="n">
        <v>46</v>
      </c>
      <c r="K1575" s="742" t="n">
        <v>20</v>
      </c>
      <c r="L1575" s="742">
        <f>IF(B1575="TXO",I1575-SUM(J1575:K1575),IF(B1575="FITX",IF(D1575="新倉",-SUM(J1575:K1575),IF(E1575="賣",(H1575-H1574)*G1575*200-SUM(J1575:K1575),(H1574-H1575)*G1575*200-SUM(J1575:K1575))),IF(D1575="新倉",-SUM(J1575:K1575),IF(E1575="賣",(H1575-H1574)*G1575*50-SUM(J1575:K1575),(H1574-H1575)*G1575*50-SUM(J1575:K1575)))))</f>
        <v/>
      </c>
      <c r="M1575" s="743">
        <f>L1575</f>
        <v/>
      </c>
      <c r="N1575" s="686">
        <f>IF(B1575="TXO","",IF(D1575="新倉","",IF(E1575="賣",(H1575-H1574)*G1575,(H1574-H1575)*G1575)))</f>
        <v/>
      </c>
      <c r="O1575" s="226">
        <f>ABS(I1575)</f>
        <v/>
      </c>
      <c r="P1575" s="667" t="n"/>
      <c r="Q1575" s="311" t="inlineStr">
        <is>
          <t>技法: 3/3 買進三口</t>
        </is>
      </c>
      <c r="S1575" s="249" t="inlineStr">
        <is>
          <t>Yes</t>
        </is>
      </c>
      <c r="T1575" s="61">
        <f>IF(AND(R1575="Yes",S1575&lt;&gt;"Yes",L1575&gt;0,B1575&lt;&gt;"TXO"),L1575,"")</f>
        <v/>
      </c>
      <c r="U1575" s="61">
        <f>IF(AND(R1575="Yes",S1575&lt;&gt;"Yes",L1575&lt;0,B1575&lt;&gt;"TXO"),L1575,"")</f>
        <v/>
      </c>
      <c r="V1575" s="61">
        <f>IF(AND(R1575="",S1575&lt;&gt;"Yes",L1575&gt;0,B1575&lt;&gt;"TXO"),L1575,"")</f>
        <v/>
      </c>
      <c r="W1575" s="61">
        <f>IF(AND(R1575="",S1575&lt;&gt;"Yes",L1575&lt;0,B1575&lt;&gt;"TXO"),L1575,"")</f>
        <v/>
      </c>
      <c r="X1575" s="226">
        <f>IF(AND(R1575="Yes",S1575="Yes",L1575&gt;0,B1575&lt;&gt;"TXO"),L1575,"")</f>
        <v/>
      </c>
      <c r="Y1575" s="226">
        <f>IF(AND(R1575="Yes",S1575="Yes",L1575&lt;0,B1575&lt;&gt;"TXO"),L1575,"")</f>
        <v/>
      </c>
      <c r="Z1575" s="226">
        <f>IF(AND(R1575="",S1575="Yes",L1575&gt;0,B1575&lt;&gt;"TXO"),L1575,"")</f>
        <v/>
      </c>
      <c r="AA1575" s="226">
        <f>IF(AND(R1575="",S1575="Yes",L1575&lt;0,B1575&lt;&gt;"TXO"),L1575,"")</f>
        <v/>
      </c>
    </row>
    <row r="1576" hidden="1" outlineLevel="2" collapsed="1" ht="17.25" customHeight="1" thickBot="1">
      <c r="A1576" s="740" t="n">
        <v>43397</v>
      </c>
      <c r="B1576" s="299" t="inlineStr">
        <is>
          <t>FIMTX</t>
        </is>
      </c>
      <c r="C1576" s="300" t="inlineStr">
        <is>
          <t>小指11</t>
        </is>
      </c>
      <c r="D1576" s="300" t="inlineStr">
        <is>
          <t>平倉</t>
        </is>
      </c>
      <c r="E1576" s="301" t="inlineStr">
        <is>
          <t>買</t>
        </is>
      </c>
      <c r="F1576" s="300" t="inlineStr">
        <is>
          <t>-</t>
        </is>
      </c>
      <c r="G1576" s="741" t="n">
        <v>2</v>
      </c>
      <c r="H1576" s="741" t="n">
        <v>9676</v>
      </c>
      <c r="I1576" s="741" t="n">
        <v>0</v>
      </c>
      <c r="J1576" s="742" t="n">
        <v>46</v>
      </c>
      <c r="K1576" s="742" t="n">
        <v>20</v>
      </c>
      <c r="L1576" s="742">
        <f>IF(B1576="TXO",I1576-SUM(J1576:K1576),IF(B1576="FITX",IF(D1576="新倉",-SUM(J1576:K1576),IF(E1576="賣",(H1576-H1575)*G1576*200-SUM(J1576:K1576),(H1575-H1576)*G1576*200-SUM(J1576:K1576))),IF(D1576="新倉",-SUM(J1576:K1576),IF(E1576="賣",(H1576-H1575)*G1576*50-SUM(J1576:K1576),(H1575-H1576)*G1576*50-SUM(J1576:K1576)))))</f>
        <v/>
      </c>
      <c r="M1576" s="743">
        <f>L1576</f>
        <v/>
      </c>
      <c r="N1576" s="686">
        <f>IF(B1576="TXO","",IF(D1576="新倉","",IF(E1576="賣",(H1576-H1575)*G1576,(H1575-H1576)*G1576)))</f>
        <v/>
      </c>
      <c r="O1576" s="226">
        <f>ABS(I1576)</f>
        <v/>
      </c>
      <c r="P1576" s="667" t="n"/>
      <c r="Q1576" s="311" t="inlineStr">
        <is>
          <t>設兩點停利被洗出場</t>
        </is>
      </c>
      <c r="S1576" s="249" t="inlineStr">
        <is>
          <t>Yes</t>
        </is>
      </c>
      <c r="T1576" s="61">
        <f>IF(AND(R1576="Yes",S1576&lt;&gt;"Yes",L1576&gt;0,B1576&lt;&gt;"TXO"),L1576,"")</f>
        <v/>
      </c>
      <c r="U1576" s="61">
        <f>IF(AND(R1576="Yes",S1576&lt;&gt;"Yes",L1576&lt;0,B1576&lt;&gt;"TXO"),L1576,"")</f>
        <v/>
      </c>
      <c r="V1576" s="61">
        <f>IF(AND(R1576="",S1576&lt;&gt;"Yes",L1576&gt;0,B1576&lt;&gt;"TXO"),L1576,"")</f>
        <v/>
      </c>
      <c r="W1576" s="61">
        <f>IF(AND(R1576="",S1576&lt;&gt;"Yes",L1576&lt;0,B1576&lt;&gt;"TXO"),L1576,"")</f>
        <v/>
      </c>
      <c r="X1576" s="226">
        <f>IF(AND(R1576="Yes",S1576="Yes",L1576&gt;0,B1576&lt;&gt;"TXO"),L1576,"")</f>
        <v/>
      </c>
      <c r="Y1576" s="226">
        <f>IF(AND(R1576="Yes",S1576="Yes",L1576&lt;0,B1576&lt;&gt;"TXO"),L1576,"")</f>
        <v/>
      </c>
      <c r="Z1576" s="226">
        <f>IF(AND(R1576="",S1576="Yes",L1576&gt;0,B1576&lt;&gt;"TXO"),L1576,"")</f>
        <v/>
      </c>
      <c r="AA1576" s="226">
        <f>IF(AND(R1576="",S1576="Yes",L1576&lt;0,B1576&lt;&gt;"TXO"),L1576,"")</f>
        <v/>
      </c>
    </row>
    <row r="1577" hidden="1" outlineLevel="2" collapsed="1" ht="17.25" customHeight="1" thickBot="1">
      <c r="A1577" s="740" t="n">
        <v>43397</v>
      </c>
      <c r="B1577" s="299" t="inlineStr">
        <is>
          <t>FIMTX</t>
        </is>
      </c>
      <c r="C1577" s="300" t="inlineStr">
        <is>
          <t>小指11</t>
        </is>
      </c>
      <c r="D1577" s="300" t="inlineStr">
        <is>
          <t>新倉</t>
        </is>
      </c>
      <c r="E1577" s="301" t="inlineStr">
        <is>
          <t>賣</t>
        </is>
      </c>
      <c r="F1577" s="300" t="inlineStr">
        <is>
          <t>-</t>
        </is>
      </c>
      <c r="G1577" s="741" t="n">
        <v>1</v>
      </c>
      <c r="H1577" s="741" t="n">
        <v>9679</v>
      </c>
      <c r="I1577" s="741" t="n">
        <v>0</v>
      </c>
      <c r="J1577" s="742" t="n">
        <v>23</v>
      </c>
      <c r="K1577" s="742" t="n">
        <v>10</v>
      </c>
      <c r="L1577" s="742">
        <f>IF(B1577="TXO",I1577-SUM(J1577:K1577),IF(B1577="FITX",IF(D1577="新倉",-SUM(J1577:K1577),IF(E1577="賣",(H1577-H1576)*G1577*200-SUM(J1577:K1577),(H1576-H1577)*G1577*200-SUM(J1577:K1577))),IF(D1577="新倉",-SUM(J1577:K1577),IF(E1577="賣",(H1577-H1576)*G1577*50-SUM(J1577:K1577),(H1576-H1577)*G1577*50-SUM(J1577:K1577)))))</f>
        <v/>
      </c>
      <c r="M1577" s="743">
        <f>L1577</f>
        <v/>
      </c>
      <c r="N1577" s="686">
        <f>IF(B1577="TXO","",IF(D1577="新倉","",IF(E1577="賣",(H1577-H1576)*G1577,(H1576-H1577)*G1577)))</f>
        <v/>
      </c>
      <c r="O1577" s="226">
        <f>ABS(I1577)</f>
        <v/>
      </c>
      <c r="P1577" s="667" t="n"/>
      <c r="Q1577" s="311" t="n"/>
      <c r="S1577" s="249" t="inlineStr">
        <is>
          <t>Yes</t>
        </is>
      </c>
      <c r="T1577" s="61">
        <f>IF(AND(R1577="Yes",S1577&lt;&gt;"Yes",L1577&gt;0,B1577&lt;&gt;"TXO"),L1577,"")</f>
        <v/>
      </c>
      <c r="U1577" s="61">
        <f>IF(AND(R1577="Yes",S1577&lt;&gt;"Yes",L1577&lt;0,B1577&lt;&gt;"TXO"),L1577,"")</f>
        <v/>
      </c>
      <c r="V1577" s="61">
        <f>IF(AND(R1577="",S1577&lt;&gt;"Yes",L1577&gt;0,B1577&lt;&gt;"TXO"),L1577,"")</f>
        <v/>
      </c>
      <c r="W1577" s="61">
        <f>IF(AND(R1577="",S1577&lt;&gt;"Yes",L1577&lt;0,B1577&lt;&gt;"TXO"),L1577,"")</f>
        <v/>
      </c>
      <c r="X1577" s="226">
        <f>IF(AND(R1577="Yes",S1577="Yes",L1577&gt;0,B1577&lt;&gt;"TXO"),L1577,"")</f>
        <v/>
      </c>
      <c r="Y1577" s="226">
        <f>IF(AND(R1577="Yes",S1577="Yes",L1577&lt;0,B1577&lt;&gt;"TXO"),L1577,"")</f>
        <v/>
      </c>
      <c r="Z1577" s="226">
        <f>IF(AND(R1577="",S1577="Yes",L1577&gt;0,B1577&lt;&gt;"TXO"),L1577,"")</f>
        <v/>
      </c>
      <c r="AA1577" s="226">
        <f>IF(AND(R1577="",S1577="Yes",L1577&lt;0,B1577&lt;&gt;"TXO"),L1577,"")</f>
        <v/>
      </c>
    </row>
    <row r="1578" hidden="1" outlineLevel="2" collapsed="1" ht="17.25" customHeight="1" thickBot="1">
      <c r="A1578" s="740" t="n">
        <v>43397</v>
      </c>
      <c r="B1578" s="299" t="inlineStr">
        <is>
          <t>FIMTX</t>
        </is>
      </c>
      <c r="C1578" s="300" t="inlineStr">
        <is>
          <t>小指11</t>
        </is>
      </c>
      <c r="D1578" s="300" t="inlineStr">
        <is>
          <t>平倉</t>
        </is>
      </c>
      <c r="E1578" s="301" t="inlineStr">
        <is>
          <t>買</t>
        </is>
      </c>
      <c r="F1578" s="300" t="inlineStr">
        <is>
          <t>-</t>
        </is>
      </c>
      <c r="G1578" s="741" t="n">
        <v>1</v>
      </c>
      <c r="H1578" s="741" t="n">
        <v>9673</v>
      </c>
      <c r="I1578" s="741" t="n">
        <v>0</v>
      </c>
      <c r="J1578" s="742" t="n">
        <v>23</v>
      </c>
      <c r="K1578" s="742" t="n">
        <v>10</v>
      </c>
      <c r="L1578" s="742">
        <f>IF(B1578="TXO",I1578-SUM(J1578:K1578),IF(B1578="FITX",IF(D1578="新倉",-SUM(J1578:K1578),IF(E1578="賣",(H1578-H1577)*G1578*200-SUM(J1578:K1578),(H1577-H1578)*G1578*200-SUM(J1578:K1578))),IF(D1578="新倉",-SUM(J1578:K1578),IF(E1578="賣",(H1578-H1577)*G1578*50-SUM(J1578:K1578),(H1577-H1578)*G1578*50-SUM(J1578:K1578)))))</f>
        <v/>
      </c>
      <c r="M1578" s="743">
        <f>L1578</f>
        <v/>
      </c>
      <c r="N1578" s="686">
        <f>IF(B1578="TXO","",IF(D1578="新倉","",IF(E1578="賣",(H1578-H1577)*G1578,(H1577-H1578)*G1578)))</f>
        <v/>
      </c>
      <c r="O1578" s="226">
        <f>ABS(I1578)</f>
        <v/>
      </c>
      <c r="P1578" s="667" t="n"/>
      <c r="Q1578" s="311" t="n"/>
      <c r="S1578" s="249" t="inlineStr">
        <is>
          <t>Yes</t>
        </is>
      </c>
      <c r="T1578" s="61">
        <f>IF(AND(R1578="Yes",S1578&lt;&gt;"Yes",L1578&gt;0,B1578&lt;&gt;"TXO"),L1578,"")</f>
        <v/>
      </c>
      <c r="U1578" s="61">
        <f>IF(AND(R1578="Yes",S1578&lt;&gt;"Yes",L1578&lt;0,B1578&lt;&gt;"TXO"),L1578,"")</f>
        <v/>
      </c>
      <c r="V1578" s="61">
        <f>IF(AND(R1578="",S1578&lt;&gt;"Yes",L1578&gt;0,B1578&lt;&gt;"TXO"),L1578,"")</f>
        <v/>
      </c>
      <c r="W1578" s="61">
        <f>IF(AND(R1578="",S1578&lt;&gt;"Yes",L1578&lt;0,B1578&lt;&gt;"TXO"),L1578,"")</f>
        <v/>
      </c>
      <c r="X1578" s="226">
        <f>IF(AND(R1578="Yes",S1578="Yes",L1578&gt;0,B1578&lt;&gt;"TXO"),L1578,"")</f>
        <v/>
      </c>
      <c r="Y1578" s="226">
        <f>IF(AND(R1578="Yes",S1578="Yes",L1578&lt;0,B1578&lt;&gt;"TXO"),L1578,"")</f>
        <v/>
      </c>
      <c r="Z1578" s="226">
        <f>IF(AND(R1578="",S1578="Yes",L1578&gt;0,B1578&lt;&gt;"TXO"),L1578,"")</f>
        <v/>
      </c>
      <c r="AA1578" s="226">
        <f>IF(AND(R1578="",S1578="Yes",L1578&lt;0,B1578&lt;&gt;"TXO"),L1578,"")</f>
        <v/>
      </c>
    </row>
    <row r="1579" hidden="1" outlineLevel="2" collapsed="1" ht="17.25" customHeight="1" thickBot="1">
      <c r="A1579" s="740" t="n">
        <v>43397</v>
      </c>
      <c r="B1579" s="299" t="inlineStr">
        <is>
          <t>FIMTX</t>
        </is>
      </c>
      <c r="C1579" s="300" t="inlineStr">
        <is>
          <t>小指11</t>
        </is>
      </c>
      <c r="D1579" s="300" t="inlineStr">
        <is>
          <t>新倉</t>
        </is>
      </c>
      <c r="E1579" s="301" t="inlineStr">
        <is>
          <t>賣</t>
        </is>
      </c>
      <c r="F1579" s="300" t="inlineStr">
        <is>
          <t>-</t>
        </is>
      </c>
      <c r="G1579" s="741" t="n">
        <v>1</v>
      </c>
      <c r="H1579" s="741" t="n">
        <v>9656</v>
      </c>
      <c r="I1579" s="741" t="n">
        <v>0</v>
      </c>
      <c r="J1579" s="742" t="n">
        <v>23</v>
      </c>
      <c r="K1579" s="742" t="n">
        <v>10</v>
      </c>
      <c r="L1579" s="742">
        <f>IF(B1579="TXO",I1579-SUM(J1579:K1579),IF(B1579="FITX",IF(D1579="新倉",-SUM(J1579:K1579),IF(E1579="賣",(H1579-H1578)*G1579*200-SUM(J1579:K1579),(H1578-H1579)*G1579*200-SUM(J1579:K1579))),IF(D1579="新倉",-SUM(J1579:K1579),IF(E1579="賣",(H1579-H1578)*G1579*50-SUM(J1579:K1579),(H1578-H1579)*G1579*50-SUM(J1579:K1579)))))</f>
        <v/>
      </c>
      <c r="M1579" s="743">
        <f>L1579</f>
        <v/>
      </c>
      <c r="N1579" s="686">
        <f>IF(B1579="TXO","",IF(D1579="新倉","",IF(E1579="賣",(H1579-H1578)*G1579,(H1578-H1579)*G1579)))</f>
        <v/>
      </c>
      <c r="O1579" s="226">
        <f>ABS(I1579)</f>
        <v/>
      </c>
      <c r="P1579" s="667" t="n"/>
      <c r="Q1579" s="311" t="n"/>
      <c r="S1579" s="249" t="inlineStr">
        <is>
          <t>Yes</t>
        </is>
      </c>
      <c r="T1579" s="61">
        <f>IF(AND(R1579="Yes",S1579&lt;&gt;"Yes",L1579&gt;0,B1579&lt;&gt;"TXO"),L1579,"")</f>
        <v/>
      </c>
      <c r="U1579" s="61">
        <f>IF(AND(R1579="Yes",S1579&lt;&gt;"Yes",L1579&lt;0,B1579&lt;&gt;"TXO"),L1579,"")</f>
        <v/>
      </c>
      <c r="V1579" s="61">
        <f>IF(AND(R1579="",S1579&lt;&gt;"Yes",L1579&gt;0,B1579&lt;&gt;"TXO"),L1579,"")</f>
        <v/>
      </c>
      <c r="W1579" s="61">
        <f>IF(AND(R1579="",S1579&lt;&gt;"Yes",L1579&lt;0,B1579&lt;&gt;"TXO"),L1579,"")</f>
        <v/>
      </c>
      <c r="X1579" s="226">
        <f>IF(AND(R1579="Yes",S1579="Yes",L1579&gt;0,B1579&lt;&gt;"TXO"),L1579,"")</f>
        <v/>
      </c>
      <c r="Y1579" s="226">
        <f>IF(AND(R1579="Yes",S1579="Yes",L1579&lt;0,B1579&lt;&gt;"TXO"),L1579,"")</f>
        <v/>
      </c>
      <c r="Z1579" s="226">
        <f>IF(AND(R1579="",S1579="Yes",L1579&gt;0,B1579&lt;&gt;"TXO"),L1579,"")</f>
        <v/>
      </c>
      <c r="AA1579" s="226">
        <f>IF(AND(R1579="",S1579="Yes",L1579&lt;0,B1579&lt;&gt;"TXO"),L1579,"")</f>
        <v/>
      </c>
    </row>
    <row r="1580" hidden="1" outlineLevel="2" collapsed="1" ht="17.25" customHeight="1" thickBot="1">
      <c r="A1580" s="740" t="n">
        <v>43397</v>
      </c>
      <c r="B1580" s="299" t="inlineStr">
        <is>
          <t>FIMTX</t>
        </is>
      </c>
      <c r="C1580" s="300" t="inlineStr">
        <is>
          <t>小指11</t>
        </is>
      </c>
      <c r="D1580" s="300" t="inlineStr">
        <is>
          <t>平倉</t>
        </is>
      </c>
      <c r="E1580" s="301" t="inlineStr">
        <is>
          <t>買</t>
        </is>
      </c>
      <c r="F1580" s="300" t="inlineStr">
        <is>
          <t>-</t>
        </is>
      </c>
      <c r="G1580" s="741" t="n">
        <v>1</v>
      </c>
      <c r="H1580" s="741" t="n">
        <v>9653</v>
      </c>
      <c r="I1580" s="741" t="n">
        <v>0</v>
      </c>
      <c r="J1580" s="742" t="n">
        <v>23</v>
      </c>
      <c r="K1580" s="742" t="n">
        <v>10</v>
      </c>
      <c r="L1580" s="742">
        <f>IF(B1580="TXO",I1580-SUM(J1580:K1580),IF(B1580="FITX",IF(D1580="新倉",-SUM(J1580:K1580),IF(E1580="賣",(H1580-H1579)*G1580*200-SUM(J1580:K1580),(H1579-H1580)*G1580*200-SUM(J1580:K1580))),IF(D1580="新倉",-SUM(J1580:K1580),IF(E1580="賣",(H1580-H1579)*G1580*50-SUM(J1580:K1580),(H1579-H1580)*G1580*50-SUM(J1580:K1580)))))</f>
        <v/>
      </c>
      <c r="M1580" s="743">
        <f>L1580</f>
        <v/>
      </c>
      <c r="N1580" s="686">
        <f>IF(B1580="TXO","",IF(D1580="新倉","",IF(E1580="賣",(H1580-H1579)*G1580,(H1579-H1580)*G1580)))</f>
        <v/>
      </c>
      <c r="O1580" s="226">
        <f>ABS(I1580)</f>
        <v/>
      </c>
      <c r="P1580" s="667" t="n"/>
      <c r="Q1580" s="311" t="n"/>
      <c r="S1580" s="249" t="inlineStr">
        <is>
          <t>Yes</t>
        </is>
      </c>
      <c r="T1580" s="61">
        <f>IF(AND(R1580="Yes",S1580&lt;&gt;"Yes",L1580&gt;0,B1580&lt;&gt;"TXO"),L1580,"")</f>
        <v/>
      </c>
      <c r="U1580" s="61">
        <f>IF(AND(R1580="Yes",S1580&lt;&gt;"Yes",L1580&lt;0,B1580&lt;&gt;"TXO"),L1580,"")</f>
        <v/>
      </c>
      <c r="V1580" s="61">
        <f>IF(AND(R1580="",S1580&lt;&gt;"Yes",L1580&gt;0,B1580&lt;&gt;"TXO"),L1580,"")</f>
        <v/>
      </c>
      <c r="W1580" s="61">
        <f>IF(AND(R1580="",S1580&lt;&gt;"Yes",L1580&lt;0,B1580&lt;&gt;"TXO"),L1580,"")</f>
        <v/>
      </c>
      <c r="X1580" s="226">
        <f>IF(AND(R1580="Yes",S1580="Yes",L1580&gt;0,B1580&lt;&gt;"TXO"),L1580,"")</f>
        <v/>
      </c>
      <c r="Y1580" s="226">
        <f>IF(AND(R1580="Yes",S1580="Yes",L1580&lt;0,B1580&lt;&gt;"TXO"),L1580,"")</f>
        <v/>
      </c>
      <c r="Z1580" s="226">
        <f>IF(AND(R1580="",S1580="Yes",L1580&gt;0,B1580&lt;&gt;"TXO"),L1580,"")</f>
        <v/>
      </c>
      <c r="AA1580" s="226">
        <f>IF(AND(R1580="",S1580="Yes",L1580&lt;0,B1580&lt;&gt;"TXO"),L1580,"")</f>
        <v/>
      </c>
    </row>
    <row r="1581" hidden="1" outlineLevel="2" collapsed="1" ht="17.25" customHeight="1" thickBot="1">
      <c r="A1581" s="740" t="n">
        <v>43397</v>
      </c>
      <c r="B1581" s="299" t="inlineStr">
        <is>
          <t>FIMTX</t>
        </is>
      </c>
      <c r="C1581" s="300" t="inlineStr">
        <is>
          <t>小指11</t>
        </is>
      </c>
      <c r="D1581" s="300" t="inlineStr">
        <is>
          <t>新倉</t>
        </is>
      </c>
      <c r="E1581" s="301" t="inlineStr">
        <is>
          <t>賣</t>
        </is>
      </c>
      <c r="F1581" s="300" t="inlineStr">
        <is>
          <t>-</t>
        </is>
      </c>
      <c r="G1581" s="741" t="n">
        <v>1</v>
      </c>
      <c r="H1581" s="741" t="n">
        <v>9656</v>
      </c>
      <c r="I1581" s="741" t="n">
        <v>0</v>
      </c>
      <c r="J1581" s="742" t="n">
        <v>23</v>
      </c>
      <c r="K1581" s="742" t="n">
        <v>10</v>
      </c>
      <c r="L1581" s="742">
        <f>IF(B1581="TXO",I1581-SUM(J1581:K1581),IF(B1581="FITX",IF(D1581="新倉",-SUM(J1581:K1581),IF(E1581="賣",(H1581-H1580)*G1581*200-SUM(J1581:K1581),(H1580-H1581)*G1581*200-SUM(J1581:K1581))),IF(D1581="新倉",-SUM(J1581:K1581),IF(E1581="賣",(H1581-H1580)*G1581*50-SUM(J1581:K1581),(H1580-H1581)*G1581*50-SUM(J1581:K1581)))))</f>
        <v/>
      </c>
      <c r="M1581" s="743">
        <f>L1581</f>
        <v/>
      </c>
      <c r="N1581" s="686">
        <f>IF(B1581="TXO","",IF(D1581="新倉","",IF(E1581="賣",(H1581-H1580)*G1581,(H1580-H1581)*G1581)))</f>
        <v/>
      </c>
      <c r="O1581" s="226">
        <f>ABS(I1581)</f>
        <v/>
      </c>
      <c r="P1581" s="667" t="n"/>
      <c r="Q1581" s="311" t="n"/>
      <c r="S1581" s="249" t="inlineStr">
        <is>
          <t>Yes</t>
        </is>
      </c>
      <c r="T1581" s="61">
        <f>IF(AND(R1581="Yes",S1581&lt;&gt;"Yes",L1581&gt;0,B1581&lt;&gt;"TXO"),L1581,"")</f>
        <v/>
      </c>
      <c r="U1581" s="61">
        <f>IF(AND(R1581="Yes",S1581&lt;&gt;"Yes",L1581&lt;0,B1581&lt;&gt;"TXO"),L1581,"")</f>
        <v/>
      </c>
      <c r="V1581" s="61">
        <f>IF(AND(R1581="",S1581&lt;&gt;"Yes",L1581&gt;0,B1581&lt;&gt;"TXO"),L1581,"")</f>
        <v/>
      </c>
      <c r="W1581" s="61">
        <f>IF(AND(R1581="",S1581&lt;&gt;"Yes",L1581&lt;0,B1581&lt;&gt;"TXO"),L1581,"")</f>
        <v/>
      </c>
      <c r="X1581" s="226">
        <f>IF(AND(R1581="Yes",S1581="Yes",L1581&gt;0,B1581&lt;&gt;"TXO"),L1581,"")</f>
        <v/>
      </c>
      <c r="Y1581" s="226">
        <f>IF(AND(R1581="Yes",S1581="Yes",L1581&lt;0,B1581&lt;&gt;"TXO"),L1581,"")</f>
        <v/>
      </c>
      <c r="Z1581" s="226">
        <f>IF(AND(R1581="",S1581="Yes",L1581&gt;0,B1581&lt;&gt;"TXO"),L1581,"")</f>
        <v/>
      </c>
      <c r="AA1581" s="226">
        <f>IF(AND(R1581="",S1581="Yes",L1581&lt;0,B1581&lt;&gt;"TXO"),L1581,"")</f>
        <v/>
      </c>
    </row>
    <row r="1582" hidden="1" outlineLevel="2" collapsed="1" ht="17.25" customHeight="1" thickBot="1">
      <c r="A1582" s="740" t="n">
        <v>43397</v>
      </c>
      <c r="B1582" s="299" t="inlineStr">
        <is>
          <t>FIMTX</t>
        </is>
      </c>
      <c r="C1582" s="300" t="inlineStr">
        <is>
          <t>小指11</t>
        </is>
      </c>
      <c r="D1582" s="300" t="inlineStr">
        <is>
          <t>平倉</t>
        </is>
      </c>
      <c r="E1582" s="301" t="inlineStr">
        <is>
          <t>買</t>
        </is>
      </c>
      <c r="F1582" s="300" t="inlineStr">
        <is>
          <t>-</t>
        </is>
      </c>
      <c r="G1582" s="741" t="n">
        <v>1</v>
      </c>
      <c r="H1582" s="741" t="n">
        <v>9644</v>
      </c>
      <c r="I1582" s="741" t="n">
        <v>0</v>
      </c>
      <c r="J1582" s="742" t="n">
        <v>23</v>
      </c>
      <c r="K1582" s="742" t="n">
        <v>10</v>
      </c>
      <c r="L1582" s="742">
        <f>IF(B1582="TXO",I1582-SUM(J1582:K1582),IF(B1582="FITX",IF(D1582="新倉",-SUM(J1582:K1582),IF(E1582="賣",(H1582-H1581)*G1582*200-SUM(J1582:K1582),(H1581-H1582)*G1582*200-SUM(J1582:K1582))),IF(D1582="新倉",-SUM(J1582:K1582),IF(E1582="賣",(H1582-H1581)*G1582*50-SUM(J1582:K1582),(H1581-H1582)*G1582*50-SUM(J1582:K1582)))))</f>
        <v/>
      </c>
      <c r="M1582" s="743">
        <f>L1582</f>
        <v/>
      </c>
      <c r="N1582" s="686">
        <f>IF(B1582="TXO","",IF(D1582="新倉","",IF(E1582="賣",(H1582-H1581)*G1582,(H1581-H1582)*G1582)))</f>
        <v/>
      </c>
      <c r="O1582" s="226">
        <f>ABS(I1582)</f>
        <v/>
      </c>
      <c r="P1582" s="667" t="n"/>
      <c r="Q1582" s="311" t="n"/>
      <c r="S1582" s="249" t="inlineStr">
        <is>
          <t>Yes</t>
        </is>
      </c>
      <c r="T1582" s="61">
        <f>IF(AND(R1582="Yes",S1582&lt;&gt;"Yes",L1582&gt;0,B1582&lt;&gt;"TXO"),L1582,"")</f>
        <v/>
      </c>
      <c r="U1582" s="61">
        <f>IF(AND(R1582="Yes",S1582&lt;&gt;"Yes",L1582&lt;0,B1582&lt;&gt;"TXO"),L1582,"")</f>
        <v/>
      </c>
      <c r="V1582" s="61">
        <f>IF(AND(R1582="",S1582&lt;&gt;"Yes",L1582&gt;0,B1582&lt;&gt;"TXO"),L1582,"")</f>
        <v/>
      </c>
      <c r="W1582" s="61">
        <f>IF(AND(R1582="",S1582&lt;&gt;"Yes",L1582&lt;0,B1582&lt;&gt;"TXO"),L1582,"")</f>
        <v/>
      </c>
      <c r="X1582" s="226">
        <f>IF(AND(R1582="Yes",S1582="Yes",L1582&gt;0,B1582&lt;&gt;"TXO"),L1582,"")</f>
        <v/>
      </c>
      <c r="Y1582" s="226">
        <f>IF(AND(R1582="Yes",S1582="Yes",L1582&lt;0,B1582&lt;&gt;"TXO"),L1582,"")</f>
        <v/>
      </c>
      <c r="Z1582" s="226">
        <f>IF(AND(R1582="",S1582="Yes",L1582&gt;0,B1582&lt;&gt;"TXO"),L1582,"")</f>
        <v/>
      </c>
      <c r="AA1582" s="226">
        <f>IF(AND(R1582="",S1582="Yes",L1582&lt;0,B1582&lt;&gt;"TXO"),L1582,"")</f>
        <v/>
      </c>
    </row>
    <row r="1583" hidden="1" outlineLevel="2" collapsed="1" ht="17.25" customHeight="1" thickBot="1">
      <c r="A1583" s="740" t="n">
        <v>43397</v>
      </c>
      <c r="B1583" s="299" t="inlineStr">
        <is>
          <t>FIMTX</t>
        </is>
      </c>
      <c r="C1583" s="300" t="inlineStr">
        <is>
          <t>小指11</t>
        </is>
      </c>
      <c r="D1583" s="300" t="inlineStr">
        <is>
          <t>新倉</t>
        </is>
      </c>
      <c r="E1583" s="301" t="inlineStr">
        <is>
          <t>賣</t>
        </is>
      </c>
      <c r="F1583" s="300" t="inlineStr">
        <is>
          <t>-</t>
        </is>
      </c>
      <c r="G1583" s="741" t="n">
        <v>1</v>
      </c>
      <c r="H1583" s="741" t="n">
        <v>9654</v>
      </c>
      <c r="I1583" s="741" t="n">
        <v>0</v>
      </c>
      <c r="J1583" s="742" t="n">
        <v>23</v>
      </c>
      <c r="K1583" s="742" t="n">
        <v>10</v>
      </c>
      <c r="L1583" s="742">
        <f>IF(B1583="TXO",I1583-SUM(J1583:K1583),IF(B1583="FITX",IF(D1583="新倉",-SUM(J1583:K1583),IF(E1583="賣",(H1583-H1582)*G1583*200-SUM(J1583:K1583),(H1582-H1583)*G1583*200-SUM(J1583:K1583))),IF(D1583="新倉",-SUM(J1583:K1583),IF(E1583="賣",(H1583-H1582)*G1583*50-SUM(J1583:K1583),(H1582-H1583)*G1583*50-SUM(J1583:K1583)))))</f>
        <v/>
      </c>
      <c r="M1583" s="743">
        <f>L1583</f>
        <v/>
      </c>
      <c r="N1583" s="686">
        <f>IF(B1583="TXO","",IF(D1583="新倉","",IF(E1583="賣",(H1583-H1582)*G1583,(H1582-H1583)*G1583)))</f>
        <v/>
      </c>
      <c r="O1583" s="226">
        <f>ABS(I1583)</f>
        <v/>
      </c>
      <c r="P1583" s="667" t="n"/>
      <c r="Q1583" s="311" t="n"/>
      <c r="S1583" s="249" t="inlineStr">
        <is>
          <t>Yes</t>
        </is>
      </c>
      <c r="T1583" s="61">
        <f>IF(AND(R1583="Yes",S1583&lt;&gt;"Yes",L1583&gt;0,B1583&lt;&gt;"TXO"),L1583,"")</f>
        <v/>
      </c>
      <c r="U1583" s="61">
        <f>IF(AND(R1583="Yes",S1583&lt;&gt;"Yes",L1583&lt;0,B1583&lt;&gt;"TXO"),L1583,"")</f>
        <v/>
      </c>
      <c r="V1583" s="61">
        <f>IF(AND(R1583="",S1583&lt;&gt;"Yes",L1583&gt;0,B1583&lt;&gt;"TXO"),L1583,"")</f>
        <v/>
      </c>
      <c r="W1583" s="61">
        <f>IF(AND(R1583="",S1583&lt;&gt;"Yes",L1583&lt;0,B1583&lt;&gt;"TXO"),L1583,"")</f>
        <v/>
      </c>
      <c r="X1583" s="226">
        <f>IF(AND(R1583="Yes",S1583="Yes",L1583&gt;0,B1583&lt;&gt;"TXO"),L1583,"")</f>
        <v/>
      </c>
      <c r="Y1583" s="226">
        <f>IF(AND(R1583="Yes",S1583="Yes",L1583&lt;0,B1583&lt;&gt;"TXO"),L1583,"")</f>
        <v/>
      </c>
      <c r="Z1583" s="226">
        <f>IF(AND(R1583="",S1583="Yes",L1583&gt;0,B1583&lt;&gt;"TXO"),L1583,"")</f>
        <v/>
      </c>
      <c r="AA1583" s="226">
        <f>IF(AND(R1583="",S1583="Yes",L1583&lt;0,B1583&lt;&gt;"TXO"),L1583,"")</f>
        <v/>
      </c>
    </row>
    <row r="1584" hidden="1" outlineLevel="2" collapsed="1" ht="17.25" customHeight="1" thickBot="1">
      <c r="A1584" s="740" t="n">
        <v>43397</v>
      </c>
      <c r="B1584" s="299" t="inlineStr">
        <is>
          <t>FIMTX</t>
        </is>
      </c>
      <c r="C1584" s="300" t="inlineStr">
        <is>
          <t>小指11</t>
        </is>
      </c>
      <c r="D1584" s="300" t="inlineStr">
        <is>
          <t>平倉</t>
        </is>
      </c>
      <c r="E1584" s="301" t="inlineStr">
        <is>
          <t>買</t>
        </is>
      </c>
      <c r="F1584" s="300" t="inlineStr">
        <is>
          <t>-</t>
        </is>
      </c>
      <c r="G1584" s="741" t="n">
        <v>1</v>
      </c>
      <c r="H1584" s="741" t="n">
        <v>9644</v>
      </c>
      <c r="I1584" s="741" t="n">
        <v>0</v>
      </c>
      <c r="J1584" s="742" t="n">
        <v>23</v>
      </c>
      <c r="K1584" s="742" t="n">
        <v>10</v>
      </c>
      <c r="L1584" s="742">
        <f>IF(B1584="TXO",I1584-SUM(J1584:K1584),IF(B1584="FITX",IF(D1584="新倉",-SUM(J1584:K1584),IF(E1584="賣",(H1584-H1583)*G1584*200-SUM(J1584:K1584),(H1583-H1584)*G1584*200-SUM(J1584:K1584))),IF(D1584="新倉",-SUM(J1584:K1584),IF(E1584="賣",(H1584-H1583)*G1584*50-SUM(J1584:K1584),(H1583-H1584)*G1584*50-SUM(J1584:K1584)))))</f>
        <v/>
      </c>
      <c r="M1584" s="743">
        <f>L1584</f>
        <v/>
      </c>
      <c r="N1584" s="686">
        <f>IF(B1584="TXO","",IF(D1584="新倉","",IF(E1584="賣",(H1584-H1583)*G1584,(H1583-H1584)*G1584)))</f>
        <v/>
      </c>
      <c r="O1584" s="226">
        <f>ABS(I1584)</f>
        <v/>
      </c>
      <c r="P1584" s="667" t="n"/>
      <c r="Q1584" s="311" t="n"/>
      <c r="S1584" s="249" t="inlineStr">
        <is>
          <t>Yes</t>
        </is>
      </c>
      <c r="T1584" s="61">
        <f>IF(AND(R1584="Yes",S1584&lt;&gt;"Yes",L1584&gt;0,B1584&lt;&gt;"TXO"),L1584,"")</f>
        <v/>
      </c>
      <c r="U1584" s="61">
        <f>IF(AND(R1584="Yes",S1584&lt;&gt;"Yes",L1584&lt;0,B1584&lt;&gt;"TXO"),L1584,"")</f>
        <v/>
      </c>
      <c r="V1584" s="61">
        <f>IF(AND(R1584="",S1584&lt;&gt;"Yes",L1584&gt;0,B1584&lt;&gt;"TXO"),L1584,"")</f>
        <v/>
      </c>
      <c r="W1584" s="61">
        <f>IF(AND(R1584="",S1584&lt;&gt;"Yes",L1584&lt;0,B1584&lt;&gt;"TXO"),L1584,"")</f>
        <v/>
      </c>
      <c r="X1584" s="226">
        <f>IF(AND(R1584="Yes",S1584="Yes",L1584&gt;0,B1584&lt;&gt;"TXO"),L1584,"")</f>
        <v/>
      </c>
      <c r="Y1584" s="226">
        <f>IF(AND(R1584="Yes",S1584="Yes",L1584&lt;0,B1584&lt;&gt;"TXO"),L1584,"")</f>
        <v/>
      </c>
      <c r="Z1584" s="226">
        <f>IF(AND(R1584="",S1584="Yes",L1584&gt;0,B1584&lt;&gt;"TXO"),L1584,"")</f>
        <v/>
      </c>
      <c r="AA1584" s="226">
        <f>IF(AND(R1584="",S1584="Yes",L1584&lt;0,B1584&lt;&gt;"TXO"),L1584,"")</f>
        <v/>
      </c>
    </row>
    <row r="1585" hidden="1" outlineLevel="2" collapsed="1" ht="17.25" customHeight="1" thickBot="1">
      <c r="A1585" s="740" t="n">
        <v>43397</v>
      </c>
      <c r="B1585" s="299" t="inlineStr">
        <is>
          <t>FIMTX</t>
        </is>
      </c>
      <c r="C1585" s="300" t="inlineStr">
        <is>
          <t>小指11</t>
        </is>
      </c>
      <c r="D1585" s="300" t="inlineStr">
        <is>
          <t>新倉</t>
        </is>
      </c>
      <c r="E1585" s="301" t="inlineStr">
        <is>
          <t>賣</t>
        </is>
      </c>
      <c r="F1585" s="300" t="inlineStr">
        <is>
          <t>-</t>
        </is>
      </c>
      <c r="G1585" s="741" t="n">
        <v>2</v>
      </c>
      <c r="H1585" s="741" t="n">
        <v>9649</v>
      </c>
      <c r="I1585" s="741" t="n">
        <v>0</v>
      </c>
      <c r="J1585" s="742" t="n">
        <v>46</v>
      </c>
      <c r="K1585" s="742" t="n">
        <v>20</v>
      </c>
      <c r="L1585" s="742">
        <f>IF(B1585="TXO",I1585-SUM(J1585:K1585),IF(B1585="FITX",IF(D1585="新倉",-SUM(J1585:K1585),IF(E1585="賣",(H1585-H1584)*G1585*200-SUM(J1585:K1585),(H1584-H1585)*G1585*200-SUM(J1585:K1585))),IF(D1585="新倉",-SUM(J1585:K1585),IF(E1585="賣",(H1585-H1584)*G1585*50-SUM(J1585:K1585),(H1584-H1585)*G1585*50-SUM(J1585:K1585)))))</f>
        <v/>
      </c>
      <c r="M1585" s="743">
        <f>L1585</f>
        <v/>
      </c>
      <c r="N1585" s="686">
        <f>IF(B1585="TXO","",IF(D1585="新倉","",IF(E1585="賣",(H1585-H1584)*G1585,(H1584-H1585)*G1585)))</f>
        <v/>
      </c>
      <c r="O1585" s="226">
        <f>ABS(I1585)</f>
        <v/>
      </c>
      <c r="P1585" s="667" t="n"/>
      <c r="Q1585" s="297" t="inlineStr">
        <is>
          <t>技法: 3/3 買進兩口</t>
        </is>
      </c>
      <c r="S1585" s="249" t="inlineStr">
        <is>
          <t>Yes</t>
        </is>
      </c>
      <c r="T1585" s="61">
        <f>IF(AND(R1585="Yes",S1585&lt;&gt;"Yes",L1585&gt;0,B1585&lt;&gt;"TXO"),L1585,"")</f>
        <v/>
      </c>
      <c r="U1585" s="61">
        <f>IF(AND(R1585="Yes",S1585&lt;&gt;"Yes",L1585&lt;0,B1585&lt;&gt;"TXO"),L1585,"")</f>
        <v/>
      </c>
      <c r="V1585" s="61">
        <f>IF(AND(R1585="",S1585&lt;&gt;"Yes",L1585&gt;0,B1585&lt;&gt;"TXO"),L1585,"")</f>
        <v/>
      </c>
      <c r="W1585" s="61">
        <f>IF(AND(R1585="",S1585&lt;&gt;"Yes",L1585&lt;0,B1585&lt;&gt;"TXO"),L1585,"")</f>
        <v/>
      </c>
      <c r="X1585" s="226">
        <f>IF(AND(R1585="Yes",S1585="Yes",L1585&gt;0,B1585&lt;&gt;"TXO"),L1585,"")</f>
        <v/>
      </c>
      <c r="Y1585" s="226">
        <f>IF(AND(R1585="Yes",S1585="Yes",L1585&lt;0,B1585&lt;&gt;"TXO"),L1585,"")</f>
        <v/>
      </c>
      <c r="Z1585" s="226">
        <f>IF(AND(R1585="",S1585="Yes",L1585&gt;0,B1585&lt;&gt;"TXO"),L1585,"")</f>
        <v/>
      </c>
      <c r="AA1585" s="226">
        <f>IF(AND(R1585="",S1585="Yes",L1585&lt;0,B1585&lt;&gt;"TXO"),L1585,"")</f>
        <v/>
      </c>
    </row>
    <row r="1586" hidden="1" outlineLevel="2" collapsed="1" ht="17.25" customHeight="1" thickBot="1">
      <c r="A1586" s="740" t="n">
        <v>43397</v>
      </c>
      <c r="B1586" s="299" t="inlineStr">
        <is>
          <t>FIMTX</t>
        </is>
      </c>
      <c r="C1586" s="300" t="inlineStr">
        <is>
          <t>小指11</t>
        </is>
      </c>
      <c r="D1586" s="300" t="inlineStr">
        <is>
          <t>平倉</t>
        </is>
      </c>
      <c r="E1586" s="301" t="inlineStr">
        <is>
          <t>買</t>
        </is>
      </c>
      <c r="F1586" s="300" t="inlineStr">
        <is>
          <t>-</t>
        </is>
      </c>
      <c r="G1586" s="741" t="n">
        <v>2</v>
      </c>
      <c r="H1586" s="741" t="n">
        <v>9645</v>
      </c>
      <c r="I1586" s="741" t="n">
        <v>0</v>
      </c>
      <c r="J1586" s="742" t="n">
        <v>46</v>
      </c>
      <c r="K1586" s="742" t="n">
        <v>20</v>
      </c>
      <c r="L1586" s="742">
        <f>IF(B1586="TXO",I1586-SUM(J1586:K1586),IF(B1586="FITX",IF(D1586="新倉",-SUM(J1586:K1586),IF(E1586="賣",(H1586-H1585)*G1586*200-SUM(J1586:K1586),(H1585-H1586)*G1586*200-SUM(J1586:K1586))),IF(D1586="新倉",-SUM(J1586:K1586),IF(E1586="賣",(H1586-H1585)*G1586*50-SUM(J1586:K1586),(H1585-H1586)*G1586*50-SUM(J1586:K1586)))))</f>
        <v/>
      </c>
      <c r="M1586" s="743">
        <f>L1586</f>
        <v/>
      </c>
      <c r="N1586" s="686">
        <f>IF(B1586="TXO","",IF(D1586="新倉","",IF(E1586="賣",(H1586-H1585)*G1586,(H1585-H1586)*G1586)))</f>
        <v/>
      </c>
      <c r="O1586" s="226">
        <f>ABS(I1586)</f>
        <v/>
      </c>
      <c r="P1586" s="667" t="n"/>
      <c r="Q1586" s="311" t="inlineStr">
        <is>
          <t>設5點停利被洗出場</t>
        </is>
      </c>
      <c r="S1586" s="249" t="inlineStr">
        <is>
          <t>Yes</t>
        </is>
      </c>
      <c r="T1586" s="61">
        <f>IF(AND(R1586="Yes",S1586&lt;&gt;"Yes",L1586&gt;0,B1586&lt;&gt;"TXO"),L1586,"")</f>
        <v/>
      </c>
      <c r="U1586" s="61">
        <f>IF(AND(R1586="Yes",S1586&lt;&gt;"Yes",L1586&lt;0,B1586&lt;&gt;"TXO"),L1586,"")</f>
        <v/>
      </c>
      <c r="V1586" s="61">
        <f>IF(AND(R1586="",S1586&lt;&gt;"Yes",L1586&gt;0,B1586&lt;&gt;"TXO"),L1586,"")</f>
        <v/>
      </c>
      <c r="W1586" s="61">
        <f>IF(AND(R1586="",S1586&lt;&gt;"Yes",L1586&lt;0,B1586&lt;&gt;"TXO"),L1586,"")</f>
        <v/>
      </c>
      <c r="X1586" s="226">
        <f>IF(AND(R1586="Yes",S1586="Yes",L1586&gt;0,B1586&lt;&gt;"TXO"),L1586,"")</f>
        <v/>
      </c>
      <c r="Y1586" s="226">
        <f>IF(AND(R1586="Yes",S1586="Yes",L1586&lt;0,B1586&lt;&gt;"TXO"),L1586,"")</f>
        <v/>
      </c>
      <c r="Z1586" s="226">
        <f>IF(AND(R1586="",S1586="Yes",L1586&gt;0,B1586&lt;&gt;"TXO"),L1586,"")</f>
        <v/>
      </c>
      <c r="AA1586" s="226">
        <f>IF(AND(R1586="",S1586="Yes",L1586&lt;0,B1586&lt;&gt;"TXO"),L1586,"")</f>
        <v/>
      </c>
    </row>
    <row r="1587" hidden="1" outlineLevel="1" ht="17.25" customHeight="1" thickBot="1">
      <c r="A1587" s="696" t="n">
        <v>43398</v>
      </c>
      <c r="B1587" s="234" t="inlineStr">
        <is>
          <t>TXO</t>
        </is>
      </c>
      <c r="C1587" s="229" t="inlineStr">
        <is>
          <t>台指選W5 10 9750  C</t>
        </is>
      </c>
      <c r="D1587" s="229" t="inlineStr">
        <is>
          <t>新倉</t>
        </is>
      </c>
      <c r="E1587" s="257" t="inlineStr">
        <is>
          <t>買</t>
        </is>
      </c>
      <c r="F1587" s="229" t="inlineStr">
        <is>
          <t>-</t>
        </is>
      </c>
      <c r="G1587" s="697" t="n">
        <v>1</v>
      </c>
      <c r="H1587" s="697" t="n">
        <v>30</v>
      </c>
      <c r="I1587" s="697" t="n">
        <v>-1500</v>
      </c>
      <c r="J1587" s="585" t="n">
        <v>18</v>
      </c>
      <c r="K1587" s="585" t="n">
        <v>2</v>
      </c>
      <c r="L1587" s="585">
        <f>IF(B1587="TXO",I1587-SUM(J1587:K1587),IF(B1587="FITX",IF(D1587="新倉",-SUM(J1587:K1587),IF(E1587="賣",(H1587-H1586)*G1587*200-SUM(J1587:K1587),(H1586-H1587)*G1587*200-SUM(J1587:K1587))),IF(D1587="新倉",-SUM(J1587:K1587),IF(E1587="賣",(H1587-H1586)*G1587*50-SUM(J1587:K1587),(H1586-H1587)*G1587*50-SUM(J1587:K1587)))))</f>
        <v/>
      </c>
      <c r="M1587" s="699">
        <f>L1587</f>
        <v/>
      </c>
      <c r="N1587" s="686">
        <f>IF(B1587="TXO","",IF(D1587="新倉","",IF(E1587="賣",(H1587-H1586)*G1587,(H1586-H1587)*G1587)))</f>
        <v/>
      </c>
      <c r="O1587" s="226" t="n">
        <v>0</v>
      </c>
      <c r="P1587" s="667">
        <f>SUM(L1587:L1600)</f>
        <v/>
      </c>
      <c r="S1587" s="249" t="n"/>
      <c r="T1587" s="61">
        <f>IF(AND(R1587="Yes",S1587&lt;&gt;"Yes",L1587&gt;0,B1587&lt;&gt;"TXO"),L1587,"")</f>
        <v/>
      </c>
      <c r="U1587" s="61">
        <f>IF(AND(R1587="Yes",S1587&lt;&gt;"Yes",L1587&lt;0,B1587&lt;&gt;"TXO"),L1587,"")</f>
        <v/>
      </c>
      <c r="V1587" s="61">
        <f>IF(AND(R1587="",S1587&lt;&gt;"Yes",L1587&gt;0,B1587&lt;&gt;"TXO"),L1587,"")</f>
        <v/>
      </c>
      <c r="W1587" s="61">
        <f>IF(AND(R1587="",S1587&lt;&gt;"Yes",L1587&lt;0,B1587&lt;&gt;"TXO"),L1587,"")</f>
        <v/>
      </c>
      <c r="X1587" s="226">
        <f>IF(AND(R1587="Yes",S1587="Yes",L1587&gt;0,B1587&lt;&gt;"TXO"),L1587,"")</f>
        <v/>
      </c>
      <c r="Y1587" s="226">
        <f>IF(AND(R1587="Yes",S1587="Yes",L1587&lt;0,B1587&lt;&gt;"TXO"),L1587,"")</f>
        <v/>
      </c>
      <c r="Z1587" s="226">
        <f>IF(AND(R1587="",S1587="Yes",L1587&gt;0,B1587&lt;&gt;"TXO"),L1587,"")</f>
        <v/>
      </c>
      <c r="AA1587" s="226">
        <f>IF(AND(R1587="",S1587="Yes",L1587&lt;0,B1587&lt;&gt;"TXO"),L1587,"")</f>
        <v/>
      </c>
    </row>
    <row r="1588" hidden="1" outlineLevel="2" ht="17.25" customHeight="1" thickBot="1">
      <c r="A1588" s="696" t="n">
        <v>43399</v>
      </c>
      <c r="B1588" s="234" t="inlineStr">
        <is>
          <t>TXO</t>
        </is>
      </c>
      <c r="C1588" s="229" t="inlineStr">
        <is>
          <t>台指選W5 10 9750  C</t>
        </is>
      </c>
      <c r="D1588" s="229" t="inlineStr">
        <is>
          <t>平倉</t>
        </is>
      </c>
      <c r="E1588" s="257" t="inlineStr">
        <is>
          <t>賣</t>
        </is>
      </c>
      <c r="F1588" s="229" t="inlineStr">
        <is>
          <t>-</t>
        </is>
      </c>
      <c r="G1588" s="697" t="n">
        <v>1</v>
      </c>
      <c r="H1588" s="697" t="n">
        <v>31.5</v>
      </c>
      <c r="I1588" s="697" t="n">
        <v>1575</v>
      </c>
      <c r="J1588" s="585" t="n">
        <v>18</v>
      </c>
      <c r="K1588" s="585" t="n">
        <v>2</v>
      </c>
      <c r="L1588" s="585">
        <f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/>
      </c>
      <c r="M1588" s="699">
        <f>L1588</f>
        <v/>
      </c>
      <c r="N1588" s="686">
        <f>IF(B1588="TXO","",IF(D1588="新倉","",IF(E1588="賣",(H1588-H1587)*G1588,(H1587-H1588)*G1588)))</f>
        <v/>
      </c>
      <c r="O1588" s="226" t="n">
        <v>0</v>
      </c>
      <c r="P1588" s="667" t="n"/>
      <c r="S1588" s="249" t="n"/>
      <c r="T1588" s="61">
        <f>IF(AND(R1588="Yes",S1588&lt;&gt;"Yes",L1588&gt;0,B1588&lt;&gt;"TXO"),L1588,"")</f>
        <v/>
      </c>
      <c r="U1588" s="61">
        <f>IF(AND(R1588="Yes",S1588&lt;&gt;"Yes",L1588&lt;0,B1588&lt;&gt;"TXO"),L1588,"")</f>
        <v/>
      </c>
      <c r="V1588" s="61">
        <f>IF(AND(R1588="",S1588&lt;&gt;"Yes",L1588&gt;0,B1588&lt;&gt;"TXO"),L1588,"")</f>
        <v/>
      </c>
      <c r="W1588" s="61">
        <f>IF(AND(R1588="",S1588&lt;&gt;"Yes",L1588&lt;0,B1588&lt;&gt;"TXO"),L1588,"")</f>
        <v/>
      </c>
      <c r="X1588" s="226">
        <f>IF(AND(R1588="Yes",S1588="Yes",L1588&gt;0,B1588&lt;&gt;"TXO"),L1588,"")</f>
        <v/>
      </c>
      <c r="Y1588" s="226">
        <f>IF(AND(R1588="Yes",S1588="Yes",L1588&lt;0,B1588&lt;&gt;"TXO"),L1588,"")</f>
        <v/>
      </c>
      <c r="Z1588" s="226">
        <f>IF(AND(R1588="",S1588="Yes",L1588&gt;0,B1588&lt;&gt;"TXO"),L1588,"")</f>
        <v/>
      </c>
      <c r="AA1588" s="226">
        <f>IF(AND(R1588="",S1588="Yes",L1588&lt;0,B1588&lt;&gt;"TXO"),L1588,"")</f>
        <v/>
      </c>
    </row>
    <row r="1589" hidden="1" outlineLevel="2" ht="17.25" customHeight="1" thickBot="1">
      <c r="A1589" s="696" t="n">
        <v>43398</v>
      </c>
      <c r="B1589" s="234" t="inlineStr">
        <is>
          <t>TXO</t>
        </is>
      </c>
      <c r="C1589" s="229" t="inlineStr">
        <is>
          <t>台指選W5 10 9700  C</t>
        </is>
      </c>
      <c r="D1589" s="229" t="inlineStr">
        <is>
          <t>新倉</t>
        </is>
      </c>
      <c r="E1589" s="257" t="inlineStr">
        <is>
          <t>買</t>
        </is>
      </c>
      <c r="F1589" s="229" t="inlineStr">
        <is>
          <t>-</t>
        </is>
      </c>
      <c r="G1589" s="697" t="n">
        <v>1</v>
      </c>
      <c r="H1589" s="697" t="n">
        <v>52</v>
      </c>
      <c r="I1589" s="697" t="n">
        <v>-2600</v>
      </c>
      <c r="J1589" s="585" t="n">
        <v>18</v>
      </c>
      <c r="K1589" s="585" t="n">
        <v>3</v>
      </c>
      <c r="L1589" s="585">
        <f>IF(B1589="TXO",I1589-SUM(J1589:K1589),IF(B1589="FITX",IF(D1589="新倉",-SUM(J1589:K1589),IF(E1589="賣",(H1589-H1588)*G1589*200-SUM(J1589:K1589),(H1588-H1589)*G1589*200-SUM(J1589:K1589))),IF(D1589="新倉",-SUM(J1589:K1589),IF(E1589="賣",(H1589-H1588)*G1589*50-SUM(J1589:K1589),(H1588-H1589)*G1589*50-SUM(J1589:K1589)))))</f>
        <v/>
      </c>
      <c r="M1589" s="699">
        <f>L1589</f>
        <v/>
      </c>
      <c r="N1589" s="686">
        <f>IF(B1589="TXO","",IF(D1589="新倉","",IF(E1589="賣",(H1589-H1588)*G1589,(H1588-H1589)*G1589)))</f>
        <v/>
      </c>
      <c r="O1589" s="226" t="n">
        <v>0</v>
      </c>
      <c r="P1589" s="667" t="n"/>
      <c r="S1589" s="249" t="n"/>
      <c r="T1589" s="61">
        <f>IF(AND(R1589="Yes",S1589&lt;&gt;"Yes",L1589&gt;0,B1589&lt;&gt;"TXO"),L1589,"")</f>
        <v/>
      </c>
      <c r="U1589" s="61">
        <f>IF(AND(R1589="Yes",S1589&lt;&gt;"Yes",L1589&lt;0,B1589&lt;&gt;"TXO"),L1589,"")</f>
        <v/>
      </c>
      <c r="V1589" s="61">
        <f>IF(AND(R1589="",S1589&lt;&gt;"Yes",L1589&gt;0,B1589&lt;&gt;"TXO"),L1589,"")</f>
        <v/>
      </c>
      <c r="W1589" s="61">
        <f>IF(AND(R1589="",S1589&lt;&gt;"Yes",L1589&lt;0,B1589&lt;&gt;"TXO"),L1589,"")</f>
        <v/>
      </c>
      <c r="X1589" s="226">
        <f>IF(AND(R1589="Yes",S1589="Yes",L1589&gt;0,B1589&lt;&gt;"TXO"),L1589,"")</f>
        <v/>
      </c>
      <c r="Y1589" s="226">
        <f>IF(AND(R1589="Yes",S1589="Yes",L1589&lt;0,B1589&lt;&gt;"TXO"),L1589,"")</f>
        <v/>
      </c>
      <c r="Z1589" s="226">
        <f>IF(AND(R1589="",S1589="Yes",L1589&gt;0,B1589&lt;&gt;"TXO"),L1589,"")</f>
        <v/>
      </c>
      <c r="AA1589" s="226">
        <f>IF(AND(R1589="",S1589="Yes",L1589&lt;0,B1589&lt;&gt;"TXO"),L1589,"")</f>
        <v/>
      </c>
    </row>
    <row r="1590" hidden="1" outlineLevel="2" ht="17.25" customHeight="1" thickBot="1">
      <c r="A1590" s="696" t="n">
        <v>43398</v>
      </c>
      <c r="B1590" s="234" t="inlineStr">
        <is>
          <t>TXO</t>
        </is>
      </c>
      <c r="C1590" s="229" t="inlineStr">
        <is>
          <t>TXOW5 10 9700  C</t>
        </is>
      </c>
      <c r="D1590" s="229" t="inlineStr">
        <is>
          <t>平倉</t>
        </is>
      </c>
      <c r="E1590" s="257" t="inlineStr">
        <is>
          <t>賣</t>
        </is>
      </c>
      <c r="F1590" s="229" t="inlineStr">
        <is>
          <t>-</t>
        </is>
      </c>
      <c r="G1590" s="697" t="n">
        <v>1</v>
      </c>
      <c r="H1590" s="697" t="n">
        <v>60</v>
      </c>
      <c r="I1590" s="697" t="n">
        <v>3000</v>
      </c>
      <c r="J1590" s="585" t="n">
        <v>18</v>
      </c>
      <c r="K1590" s="585" t="n">
        <v>3</v>
      </c>
      <c r="L1590" s="585">
        <f>IF(B1590="TXO",I1590-SUM(J1590:K1590),IF(B1590="FITX",IF(D1590="新倉",-SUM(J1590:K1590),IF(E1590="賣",(H1590-H1589)*G1590*200-SUM(J1590:K1590),(H1589-H1590)*G1590*200-SUM(J1590:K1590))),IF(D1590="新倉",-SUM(J1590:K1590),IF(E1590="賣",(H1590-H1589)*G1590*50-SUM(J1590:K1590),(H1589-H1590)*G1590*50-SUM(J1590:K1590)))))</f>
        <v/>
      </c>
      <c r="M1590" s="699">
        <f>L1590</f>
        <v/>
      </c>
      <c r="N1590" s="686">
        <f>IF(B1590="TXO","",IF(D1590="新倉","",IF(E1590="賣",(H1590-H1589)*G1590,(H1589-H1590)*G1590)))</f>
        <v/>
      </c>
      <c r="O1590" s="226" t="n">
        <v>0</v>
      </c>
      <c r="P1590" s="667" t="n"/>
      <c r="S1590" s="249" t="inlineStr">
        <is>
          <t>Yes</t>
        </is>
      </c>
      <c r="T1590" s="61">
        <f>IF(AND(R1590="Yes",S1590&lt;&gt;"Yes",L1590&gt;0,B1590&lt;&gt;"TXO"),L1590,"")</f>
        <v/>
      </c>
      <c r="U1590" s="61">
        <f>IF(AND(R1590="Yes",S1590&lt;&gt;"Yes",L1590&lt;0,B1590&lt;&gt;"TXO"),L1590,"")</f>
        <v/>
      </c>
      <c r="V1590" s="61">
        <f>IF(AND(R1590="",S1590&lt;&gt;"Yes",L1590&gt;0,B1590&lt;&gt;"TXO"),L1590,"")</f>
        <v/>
      </c>
      <c r="W1590" s="61">
        <f>IF(AND(R1590="",S1590&lt;&gt;"Yes",L1590&lt;0,B1590&lt;&gt;"TXO"),L1590,"")</f>
        <v/>
      </c>
      <c r="X1590" s="226">
        <f>IF(AND(R1590="Yes",S1590="Yes",L1590&gt;0,B1590&lt;&gt;"TXO"),L1590,"")</f>
        <v/>
      </c>
      <c r="Y1590" s="226">
        <f>IF(AND(R1590="Yes",S1590="Yes",L1590&lt;0,B1590&lt;&gt;"TXO"),L1590,"")</f>
        <v/>
      </c>
      <c r="Z1590" s="226">
        <f>IF(AND(R1590="",S1590="Yes",L1590&gt;0,B1590&lt;&gt;"TXO"),L1590,"")</f>
        <v/>
      </c>
      <c r="AA1590" s="226">
        <f>IF(AND(R1590="",S1590="Yes",L1590&lt;0,B1590&lt;&gt;"TXO"),L1590,"")</f>
        <v/>
      </c>
    </row>
    <row r="1591" hidden="1" outlineLevel="2" ht="17.25" customHeight="1" thickBot="1">
      <c r="A1591" s="696" t="n">
        <v>43398</v>
      </c>
      <c r="B1591" s="234" t="inlineStr">
        <is>
          <t>TXO</t>
        </is>
      </c>
      <c r="C1591" s="229" t="inlineStr">
        <is>
          <t>台指選W5 10 9700  C</t>
        </is>
      </c>
      <c r="D1591" s="229" t="inlineStr">
        <is>
          <t>新倉</t>
        </is>
      </c>
      <c r="E1591" s="257" t="inlineStr">
        <is>
          <t>買</t>
        </is>
      </c>
      <c r="F1591" s="229" t="inlineStr">
        <is>
          <t>-</t>
        </is>
      </c>
      <c r="G1591" s="697" t="n">
        <v>1</v>
      </c>
      <c r="H1591" s="697" t="n">
        <v>44</v>
      </c>
      <c r="I1591" s="697" t="n">
        <v>-2200</v>
      </c>
      <c r="J1591" s="585" t="n">
        <v>18</v>
      </c>
      <c r="K1591" s="585" t="n">
        <v>2</v>
      </c>
      <c r="L1591" s="585">
        <f>IF(B1591="TXO",I1591-SUM(J1591:K1591),IF(B1591="FITX",IF(D1591="新倉",-SUM(J1591:K1591),IF(E1591="賣",(H1591-H1590)*G1591*200-SUM(J1591:K1591),(H1590-H1591)*G1591*200-SUM(J1591:K1591))),IF(D1591="新倉",-SUM(J1591:K1591),IF(E1591="賣",(H1591-H1590)*G1591*50-SUM(J1591:K1591),(H1590-H1591)*G1591*50-SUM(J1591:K1591)))))</f>
        <v/>
      </c>
      <c r="M1591" s="699">
        <f>L1591</f>
        <v/>
      </c>
      <c r="N1591" s="686">
        <f>IF(B1591="TXO","",IF(D1591="新倉","",IF(E1591="賣",(H1591-H1590)*G1591,(H1590-H1591)*G1591)))</f>
        <v/>
      </c>
      <c r="O1591" s="226" t="n">
        <v>0</v>
      </c>
      <c r="P1591" s="667" t="n"/>
      <c r="S1591" s="249" t="n"/>
      <c r="T1591" s="61">
        <f>IF(AND(R1591="Yes",S1591&lt;&gt;"Yes",L1591&gt;0,B1591&lt;&gt;"TXO"),L1591,"")</f>
        <v/>
      </c>
      <c r="U1591" s="61">
        <f>IF(AND(R1591="Yes",S1591&lt;&gt;"Yes",L1591&lt;0,B1591&lt;&gt;"TXO"),L1591,"")</f>
        <v/>
      </c>
      <c r="V1591" s="61">
        <f>IF(AND(R1591="",S1591&lt;&gt;"Yes",L1591&gt;0,B1591&lt;&gt;"TXO"),L1591,"")</f>
        <v/>
      </c>
      <c r="W1591" s="61">
        <f>IF(AND(R1591="",S1591&lt;&gt;"Yes",L1591&lt;0,B1591&lt;&gt;"TXO"),L1591,"")</f>
        <v/>
      </c>
      <c r="X1591" s="226">
        <f>IF(AND(R1591="Yes",S1591="Yes",L1591&gt;0,B1591&lt;&gt;"TXO"),L1591,"")</f>
        <v/>
      </c>
      <c r="Y1591" s="226">
        <f>IF(AND(R1591="Yes",S1591="Yes",L1591&lt;0,B1591&lt;&gt;"TXO"),L1591,"")</f>
        <v/>
      </c>
      <c r="Z1591" s="226">
        <f>IF(AND(R1591="",S1591="Yes",L1591&gt;0,B1591&lt;&gt;"TXO"),L1591,"")</f>
        <v/>
      </c>
      <c r="AA1591" s="226">
        <f>IF(AND(R1591="",S1591="Yes",L1591&lt;0,B1591&lt;&gt;"TXO"),L1591,"")</f>
        <v/>
      </c>
    </row>
    <row r="1592" hidden="1" outlineLevel="2" ht="17.25" customHeight="1" thickBot="1">
      <c r="A1592" s="696" t="n">
        <v>43398</v>
      </c>
      <c r="B1592" s="234" t="inlineStr">
        <is>
          <t>TXO</t>
        </is>
      </c>
      <c r="C1592" s="229" t="inlineStr">
        <is>
          <t>TXOW5 10 9700  C</t>
        </is>
      </c>
      <c r="D1592" s="229" t="inlineStr">
        <is>
          <t>平倉</t>
        </is>
      </c>
      <c r="E1592" s="257" t="inlineStr">
        <is>
          <t>賣</t>
        </is>
      </c>
      <c r="F1592" s="229" t="inlineStr">
        <is>
          <t>-</t>
        </is>
      </c>
      <c r="G1592" s="697" t="n">
        <v>1</v>
      </c>
      <c r="H1592" s="697" t="n">
        <v>66</v>
      </c>
      <c r="I1592" s="697" t="n">
        <v>3300</v>
      </c>
      <c r="J1592" s="585" t="n">
        <v>18</v>
      </c>
      <c r="K1592" s="585" t="n">
        <v>3</v>
      </c>
      <c r="L1592" s="585">
        <f>IF(B1592="TXO",I1592-SUM(J1592:K1592),IF(B1592="FITX",IF(D1592="新倉",-SUM(J1592:K1592),IF(E1592="賣",(H1592-H1591)*G1592*200-SUM(J1592:K1592),(H1591-H1592)*G1592*200-SUM(J1592:K1592))),IF(D1592="新倉",-SUM(J1592:K1592),IF(E1592="賣",(H1592-H1591)*G1592*50-SUM(J1592:K1592),(H1591-H1592)*G1592*50-SUM(J1592:K1592)))))</f>
        <v/>
      </c>
      <c r="M1592" s="699">
        <f>L1592</f>
        <v/>
      </c>
      <c r="N1592" s="686">
        <f>IF(B1592="TXO","",IF(D1592="新倉","",IF(E1592="賣",(H1592-H1591)*G1592,(H1591-H1592)*G1592)))</f>
        <v/>
      </c>
      <c r="O1592" s="226" t="n">
        <v>0</v>
      </c>
      <c r="P1592" s="667" t="n"/>
      <c r="S1592" s="249" t="inlineStr">
        <is>
          <t>Yes</t>
        </is>
      </c>
      <c r="T1592" s="61">
        <f>IF(AND(R1592="Yes",S1592&lt;&gt;"Yes",L1592&gt;0,B1592&lt;&gt;"TXO"),L1592,"")</f>
        <v/>
      </c>
      <c r="U1592" s="61">
        <f>IF(AND(R1592="Yes",S1592&lt;&gt;"Yes",L1592&lt;0,B1592&lt;&gt;"TXO"),L1592,"")</f>
        <v/>
      </c>
      <c r="V1592" s="61">
        <f>IF(AND(R1592="",S1592&lt;&gt;"Yes",L1592&gt;0,B1592&lt;&gt;"TXO"),L1592,"")</f>
        <v/>
      </c>
      <c r="W1592" s="61">
        <f>IF(AND(R1592="",S1592&lt;&gt;"Yes",L1592&lt;0,B1592&lt;&gt;"TXO"),L1592,"")</f>
        <v/>
      </c>
      <c r="X1592" s="226">
        <f>IF(AND(R1592="Yes",S1592="Yes",L1592&gt;0,B1592&lt;&gt;"TXO"),L1592,"")</f>
        <v/>
      </c>
      <c r="Y1592" s="226">
        <f>IF(AND(R1592="Yes",S1592="Yes",L1592&lt;0,B1592&lt;&gt;"TXO"),L1592,"")</f>
        <v/>
      </c>
      <c r="Z1592" s="226">
        <f>IF(AND(R1592="",S1592="Yes",L1592&gt;0,B1592&lt;&gt;"TXO"),L1592,"")</f>
        <v/>
      </c>
      <c r="AA1592" s="226">
        <f>IF(AND(R1592="",S1592="Yes",L1592&lt;0,B1592&lt;&gt;"TXO"),L1592,"")</f>
        <v/>
      </c>
    </row>
    <row r="1593" hidden="1" outlineLevel="2" ht="17.25" customHeight="1" thickBot="1">
      <c r="A1593" s="696" t="n">
        <v>43398</v>
      </c>
      <c r="B1593" s="234" t="inlineStr">
        <is>
          <t>FIMTX</t>
        </is>
      </c>
      <c r="C1593" s="229" t="inlineStr">
        <is>
          <t>小指11</t>
        </is>
      </c>
      <c r="D1593" s="229" t="inlineStr">
        <is>
          <t>新倉</t>
        </is>
      </c>
      <c r="E1593" s="257" t="inlineStr">
        <is>
          <t>賣</t>
        </is>
      </c>
      <c r="F1593" s="229" t="inlineStr">
        <is>
          <t>-</t>
        </is>
      </c>
      <c r="G1593" s="697" t="n">
        <v>1</v>
      </c>
      <c r="H1593" s="697" t="n">
        <v>9474</v>
      </c>
      <c r="I1593" s="697" t="n">
        <v>0</v>
      </c>
      <c r="J1593" s="585" t="n">
        <v>23</v>
      </c>
      <c r="K1593" s="585" t="n">
        <v>9</v>
      </c>
      <c r="L1593" s="585">
        <f>IF(B1593="TXO",I1593-SUM(J1593:K1593),IF(B1593="FITX",IF(D1593="新倉",-SUM(J1593:K1593),IF(E1593="賣",(H1593-H1592)*G1593*200-SUM(J1593:K1593),(H1592-H1593)*G1593*200-SUM(J1593:K1593))),IF(D1593="新倉",-SUM(J1593:K1593),IF(E1593="賣",(H1593-H1592)*G1593*50-SUM(J1593:K1593),(H1592-H1593)*G1593*50-SUM(J1593:K1593)))))</f>
        <v/>
      </c>
      <c r="M1593" s="699">
        <f>L1593</f>
        <v/>
      </c>
      <c r="N1593" s="686">
        <f>IF(B1593="TXO","",IF(D1593="新倉","",IF(E1593="賣",(H1593-H1592)*G1593,(H1592-H1593)*G1593)))</f>
        <v/>
      </c>
      <c r="O1593" s="226" t="n">
        <v>0</v>
      </c>
      <c r="P1593" s="667" t="n"/>
      <c r="Q1593" s="249" t="inlineStr">
        <is>
          <t>追單</t>
        </is>
      </c>
      <c r="S1593" s="249" t="n"/>
      <c r="T1593" s="61">
        <f>IF(AND(R1593="Yes",S1593&lt;&gt;"Yes",L1593&gt;0,B1593&lt;&gt;"TXO"),L1593,"")</f>
        <v/>
      </c>
      <c r="U1593" s="61">
        <f>IF(AND(R1593="Yes",S1593&lt;&gt;"Yes",L1593&lt;0,B1593&lt;&gt;"TXO"),L1593,"")</f>
        <v/>
      </c>
      <c r="V1593" s="61">
        <f>IF(AND(R1593="",S1593&lt;&gt;"Yes",L1593&gt;0,B1593&lt;&gt;"TXO"),L1593,"")</f>
        <v/>
      </c>
      <c r="W1593" s="61">
        <f>IF(AND(R1593="",S1593&lt;&gt;"Yes",L1593&lt;0,B1593&lt;&gt;"TXO"),L1593,"")</f>
        <v/>
      </c>
      <c r="X1593" s="226">
        <f>IF(AND(R1593="Yes",S1593="Yes",L1593&gt;0,B1593&lt;&gt;"TXO"),L1593,"")</f>
        <v/>
      </c>
      <c r="Y1593" s="226">
        <f>IF(AND(R1593="Yes",S1593="Yes",L1593&lt;0,B1593&lt;&gt;"TXO"),L1593,"")</f>
        <v/>
      </c>
      <c r="Z1593" s="226">
        <f>IF(AND(R1593="",S1593="Yes",L1593&gt;0,B1593&lt;&gt;"TXO"),L1593,"")</f>
        <v/>
      </c>
      <c r="AA1593" s="226">
        <f>IF(AND(R1593="",S1593="Yes",L1593&lt;0,B1593&lt;&gt;"TXO"),L1593,"")</f>
        <v/>
      </c>
    </row>
    <row r="1594" hidden="1" outlineLevel="2" ht="17.25" customHeight="1" thickBot="1">
      <c r="A1594" s="696" t="n">
        <v>43398</v>
      </c>
      <c r="B1594" s="234" t="inlineStr">
        <is>
          <t>FIMTX</t>
        </is>
      </c>
      <c r="C1594" s="229" t="inlineStr">
        <is>
          <t>小指11</t>
        </is>
      </c>
      <c r="D1594" s="229" t="inlineStr">
        <is>
          <t>平倉</t>
        </is>
      </c>
      <c r="E1594" s="257" t="inlineStr">
        <is>
          <t>買</t>
        </is>
      </c>
      <c r="F1594" s="229" t="inlineStr">
        <is>
          <t>-</t>
        </is>
      </c>
      <c r="G1594" s="697" t="n">
        <v>1</v>
      </c>
      <c r="H1594" s="697" t="n">
        <v>9490</v>
      </c>
      <c r="I1594" s="697" t="n">
        <v>0</v>
      </c>
      <c r="J1594" s="585" t="n">
        <v>23</v>
      </c>
      <c r="K1594" s="585" t="n">
        <v>9</v>
      </c>
      <c r="L1594" s="585">
        <f>IF(B1594="TXO",I1594-SUM(J1594:K1594),IF(B1594="FITX",IF(D1594="新倉",-SUM(J1594:K1594),IF(E1594="賣",(H1594-H1593)*G1594*200-SUM(J1594:K1594),(H1593-H1594)*G1594*200-SUM(J1594:K1594))),IF(D1594="新倉",-SUM(J1594:K1594),IF(E1594="賣",(H1594-H1593)*G1594*50-SUM(J1594:K1594),(H1593-H1594)*G1594*50-SUM(J1594:K1594)))))</f>
        <v/>
      </c>
      <c r="M1594" s="699">
        <f>L1594</f>
        <v/>
      </c>
      <c r="N1594" s="686">
        <f>IF(B1594="TXO","",IF(D1594="新倉","",IF(E1594="賣",(H1594-H1593)*G1594,(H1593-H1594)*G1594)))</f>
        <v/>
      </c>
      <c r="O1594" s="226" t="n">
        <v>0</v>
      </c>
      <c r="P1594" s="667" t="n"/>
      <c r="Q1594" s="249" t="inlineStr">
        <is>
          <t>15點停損</t>
        </is>
      </c>
      <c r="S1594" s="249" t="n"/>
      <c r="T1594" s="61">
        <f>IF(AND(R1594="Yes",S1594&lt;&gt;"Yes",L1594&gt;0,B1594&lt;&gt;"TXO"),L1594,"")</f>
        <v/>
      </c>
      <c r="U1594" s="61">
        <f>IF(AND(R1594="Yes",S1594&lt;&gt;"Yes",L1594&lt;0,B1594&lt;&gt;"TXO"),L1594,"")</f>
        <v/>
      </c>
      <c r="V1594" s="61">
        <f>IF(AND(R1594="",S1594&lt;&gt;"Yes",L1594&gt;0,B1594&lt;&gt;"TXO"),L1594,"")</f>
        <v/>
      </c>
      <c r="W1594" s="61">
        <f>IF(AND(R1594="",S1594&lt;&gt;"Yes",L1594&lt;0,B1594&lt;&gt;"TXO"),L1594,"")</f>
        <v/>
      </c>
      <c r="X1594" s="226">
        <f>IF(AND(R1594="Yes",S1594="Yes",L1594&gt;0,B1594&lt;&gt;"TXO"),L1594,"")</f>
        <v/>
      </c>
      <c r="Y1594" s="226">
        <f>IF(AND(R1594="Yes",S1594="Yes",L1594&lt;0,B1594&lt;&gt;"TXO"),L1594,"")</f>
        <v/>
      </c>
      <c r="Z1594" s="226">
        <f>IF(AND(R1594="",S1594="Yes",L1594&gt;0,B1594&lt;&gt;"TXO"),L1594,"")</f>
        <v/>
      </c>
      <c r="AA1594" s="226">
        <f>IF(AND(R1594="",S1594="Yes",L1594&lt;0,B1594&lt;&gt;"TXO"),L1594,"")</f>
        <v/>
      </c>
    </row>
    <row r="1595" hidden="1" outlineLevel="2" ht="17.25" customHeight="1" thickBot="1">
      <c r="A1595" s="696" t="n">
        <v>43398</v>
      </c>
      <c r="B1595" s="234" t="inlineStr">
        <is>
          <t>FIMTX</t>
        </is>
      </c>
      <c r="C1595" s="229" t="inlineStr">
        <is>
          <t>小指11</t>
        </is>
      </c>
      <c r="D1595" s="229" t="inlineStr">
        <is>
          <t>新倉</t>
        </is>
      </c>
      <c r="E1595" s="257" t="inlineStr">
        <is>
          <t>賣</t>
        </is>
      </c>
      <c r="F1595" s="229" t="inlineStr">
        <is>
          <t>-</t>
        </is>
      </c>
      <c r="G1595" s="697" t="n">
        <v>1</v>
      </c>
      <c r="H1595" s="697" t="n">
        <v>9470</v>
      </c>
      <c r="I1595" s="697" t="n">
        <v>0</v>
      </c>
      <c r="J1595" s="585" t="n">
        <v>23</v>
      </c>
      <c r="K1595" s="585" t="n">
        <v>9</v>
      </c>
      <c r="L1595" s="585">
        <f>IF(B1595="TXO",I1595-SUM(J1595:K1595),IF(B1595="FITX",IF(D1595="新倉",-SUM(J1595:K1595),IF(E1595="賣",(H1595-H1594)*G1595*200-SUM(J1595:K1595),(H1594-H1595)*G1595*200-SUM(J1595:K1595))),IF(D1595="新倉",-SUM(J1595:K1595),IF(E1595="賣",(H1595-H1594)*G1595*50-SUM(J1595:K1595),(H1594-H1595)*G1595*50-SUM(J1595:K1595)))))</f>
        <v/>
      </c>
      <c r="M1595" s="699">
        <f>L1595</f>
        <v/>
      </c>
      <c r="N1595" s="686">
        <f>IF(B1595="TXO","",IF(D1595="新倉","",IF(E1595="賣",(H1595-H1594)*G1595,(H1594-H1595)*G1595)))</f>
        <v/>
      </c>
      <c r="O1595" s="226" t="n">
        <v>0</v>
      </c>
      <c r="P1595" s="667" t="n"/>
      <c r="Q1595" s="249" t="inlineStr">
        <is>
          <t>追單</t>
        </is>
      </c>
      <c r="S1595" s="249" t="n"/>
      <c r="T1595" s="61">
        <f>IF(AND(R1595="Yes",S1595&lt;&gt;"Yes",L1595&gt;0,B1595&lt;&gt;"TXO"),L1595,"")</f>
        <v/>
      </c>
      <c r="U1595" s="61">
        <f>IF(AND(R1595="Yes",S1595&lt;&gt;"Yes",L1595&lt;0,B1595&lt;&gt;"TXO"),L1595,"")</f>
        <v/>
      </c>
      <c r="V1595" s="61">
        <f>IF(AND(R1595="",S1595&lt;&gt;"Yes",L1595&gt;0,B1595&lt;&gt;"TXO"),L1595,"")</f>
        <v/>
      </c>
      <c r="W1595" s="61">
        <f>IF(AND(R1595="",S1595&lt;&gt;"Yes",L1595&lt;0,B1595&lt;&gt;"TXO"),L1595,"")</f>
        <v/>
      </c>
      <c r="X1595" s="226">
        <f>IF(AND(R1595="Yes",S1595="Yes",L1595&gt;0,B1595&lt;&gt;"TXO"),L1595,"")</f>
        <v/>
      </c>
      <c r="Y1595" s="226">
        <f>IF(AND(R1595="Yes",S1595="Yes",L1595&lt;0,B1595&lt;&gt;"TXO"),L1595,"")</f>
        <v/>
      </c>
      <c r="Z1595" s="226">
        <f>IF(AND(R1595="",S1595="Yes",L1595&gt;0,B1595&lt;&gt;"TXO"),L1595,"")</f>
        <v/>
      </c>
      <c r="AA1595" s="226">
        <f>IF(AND(R1595="",S1595="Yes",L1595&lt;0,B1595&lt;&gt;"TXO"),L1595,"")</f>
        <v/>
      </c>
    </row>
    <row r="1596" hidden="1" outlineLevel="2" ht="17.25" customHeight="1" thickBot="1">
      <c r="A1596" s="696" t="n">
        <v>43398</v>
      </c>
      <c r="B1596" s="234" t="inlineStr">
        <is>
          <t>FIMTX</t>
        </is>
      </c>
      <c r="C1596" s="229" t="inlineStr">
        <is>
          <t>小指11</t>
        </is>
      </c>
      <c r="D1596" s="229" t="inlineStr">
        <is>
          <t>平倉</t>
        </is>
      </c>
      <c r="E1596" s="257" t="inlineStr">
        <is>
          <t>買</t>
        </is>
      </c>
      <c r="F1596" s="229" t="inlineStr">
        <is>
          <t>-</t>
        </is>
      </c>
      <c r="G1596" s="697" t="n">
        <v>1</v>
      </c>
      <c r="H1596" s="697" t="n">
        <v>9467</v>
      </c>
      <c r="I1596" s="697" t="n">
        <v>0</v>
      </c>
      <c r="J1596" s="585" t="n">
        <v>23</v>
      </c>
      <c r="K1596" s="585" t="n">
        <v>9</v>
      </c>
      <c r="L1596" s="585">
        <f>IF(B1596="TXO",I1596-SUM(J1596:K1596),IF(B1596="FITX",IF(D1596="新倉",-SUM(J1596:K1596),IF(E1596="賣",(H1596-H1595)*G1596*200-SUM(J1596:K1596),(H1595-H1596)*G1596*200-SUM(J1596:K1596))),IF(D1596="新倉",-SUM(J1596:K1596),IF(E1596="賣",(H1596-H1595)*G1596*50-SUM(J1596:K1596),(H1595-H1596)*G1596*50-SUM(J1596:K1596)))))</f>
        <v/>
      </c>
      <c r="M1596" s="699">
        <f>L1596</f>
        <v/>
      </c>
      <c r="N1596" s="686">
        <f>IF(B1596="TXO","",IF(D1596="新倉","",IF(E1596="賣",(H1596-H1595)*G1596,(H1595-H1596)*G1596)))</f>
        <v/>
      </c>
      <c r="O1596" s="226" t="n">
        <v>0</v>
      </c>
      <c r="P1596" s="667" t="n"/>
      <c r="S1596" s="249" t="n"/>
      <c r="T1596" s="61">
        <f>IF(AND(R1596="Yes",S1596&lt;&gt;"Yes",L1596&gt;0,B1596&lt;&gt;"TXO"),L1596,"")</f>
        <v/>
      </c>
      <c r="U1596" s="61">
        <f>IF(AND(R1596="Yes",S1596&lt;&gt;"Yes",L1596&lt;0,B1596&lt;&gt;"TXO"),L1596,"")</f>
        <v/>
      </c>
      <c r="V1596" s="61">
        <f>IF(AND(R1596="",S1596&lt;&gt;"Yes",L1596&gt;0,B1596&lt;&gt;"TXO"),L1596,"")</f>
        <v/>
      </c>
      <c r="W1596" s="61">
        <f>IF(AND(R1596="",S1596&lt;&gt;"Yes",L1596&lt;0,B1596&lt;&gt;"TXO"),L1596,"")</f>
        <v/>
      </c>
      <c r="X1596" s="226">
        <f>IF(AND(R1596="Yes",S1596="Yes",L1596&gt;0,B1596&lt;&gt;"TXO"),L1596,"")</f>
        <v/>
      </c>
      <c r="Y1596" s="226">
        <f>IF(AND(R1596="Yes",S1596="Yes",L1596&lt;0,B1596&lt;&gt;"TXO"),L1596,"")</f>
        <v/>
      </c>
      <c r="Z1596" s="226">
        <f>IF(AND(R1596="",S1596="Yes",L1596&gt;0,B1596&lt;&gt;"TXO"),L1596,"")</f>
        <v/>
      </c>
      <c r="AA1596" s="226">
        <f>IF(AND(R1596="",S1596="Yes",L1596&lt;0,B1596&lt;&gt;"TXO"),L1596,"")</f>
        <v/>
      </c>
    </row>
    <row r="1597" hidden="1" outlineLevel="2" ht="33.75" customHeight="1" thickBot="1">
      <c r="A1597" s="696" t="n">
        <v>43398</v>
      </c>
      <c r="B1597" s="234" t="inlineStr">
        <is>
          <t>FIMTX</t>
        </is>
      </c>
      <c r="C1597" s="229" t="inlineStr">
        <is>
          <t>小指11</t>
        </is>
      </c>
      <c r="D1597" s="229" t="inlineStr">
        <is>
          <t>新倉</t>
        </is>
      </c>
      <c r="E1597" s="257" t="inlineStr">
        <is>
          <t>買</t>
        </is>
      </c>
      <c r="F1597" s="229" t="inlineStr">
        <is>
          <t>-</t>
        </is>
      </c>
      <c r="G1597" s="697" t="n">
        <v>3</v>
      </c>
      <c r="H1597" s="697" t="n">
        <v>9580</v>
      </c>
      <c r="I1597" s="697" t="n">
        <v>0</v>
      </c>
      <c r="J1597" s="585" t="n">
        <v>69</v>
      </c>
      <c r="K1597" s="585" t="n">
        <v>30</v>
      </c>
      <c r="L1597" s="585">
        <f>IF(B1597="TXO",I1597-SUM(J1597:K1597),IF(B1597="FITX",IF(D1597="新倉",-SUM(J1597:K1597),IF(E1597="賣",(H1597-H1596)*G1597*200-SUM(J1597:K1597),(H1596-H1597)*G1597*200-SUM(J1597:K1597))),IF(D1597="新倉",-SUM(J1597:K1597),IF(E1597="賣",(H1597-H1596)*G1597*50-SUM(J1597:K1597),(H1596-H1597)*G1597*50-SUM(J1597:K1597)))))</f>
        <v/>
      </c>
      <c r="M1597" s="699">
        <f>L1597</f>
        <v/>
      </c>
      <c r="N1597" s="686">
        <f>IF(B1597="TXO","",IF(D1597="新倉","",IF(E1597="賣",(H1597-H1596)*G1597,(H1596-H1597)*G1597)))</f>
        <v/>
      </c>
      <c r="O1597" s="226" t="n">
        <v>0</v>
      </c>
      <c r="P1597" s="667">
        <f>SUM(L1597:L1600)</f>
        <v/>
      </c>
      <c r="Q1597" s="297" t="inlineStr">
        <is>
          <t>技法: 3/3 買進兩口
離10MA超過10點</t>
        </is>
      </c>
      <c r="S1597" s="249" t="inlineStr">
        <is>
          <t>Yes</t>
        </is>
      </c>
      <c r="T1597" s="61">
        <f>IF(AND(R1597="Yes",S1597&lt;&gt;"Yes",L1597&gt;0,B1597&lt;&gt;"TXO"),L1597,"")</f>
        <v/>
      </c>
      <c r="U1597" s="61">
        <f>IF(AND(R1597="Yes",S1597&lt;&gt;"Yes",L1597&lt;0,B1597&lt;&gt;"TXO"),L1597,"")</f>
        <v/>
      </c>
      <c r="V1597" s="61">
        <f>IF(AND(R1597="",S1597&lt;&gt;"Yes",L1597&gt;0,B1597&lt;&gt;"TXO"),L1597,"")</f>
        <v/>
      </c>
      <c r="W1597" s="61">
        <f>IF(AND(R1597="",S1597&lt;&gt;"Yes",L1597&lt;0,B1597&lt;&gt;"TXO"),L1597,"")</f>
        <v/>
      </c>
      <c r="X1597" s="226">
        <f>IF(AND(R1597="Yes",S1597="Yes",L1597&gt;0,B1597&lt;&gt;"TXO"),L1597,"")</f>
        <v/>
      </c>
      <c r="Y1597" s="226">
        <f>IF(AND(R1597="Yes",S1597="Yes",L1597&lt;0,B1597&lt;&gt;"TXO"),L1597,"")</f>
        <v/>
      </c>
      <c r="Z1597" s="226">
        <f>IF(AND(R1597="",S1597="Yes",L1597&gt;0,B1597&lt;&gt;"TXO"),L1597,"")</f>
        <v/>
      </c>
      <c r="AA1597" s="226">
        <f>IF(AND(R1597="",S1597="Yes",L1597&lt;0,B1597&lt;&gt;"TXO"),L1597,"")</f>
        <v/>
      </c>
    </row>
    <row r="1598" hidden="1" outlineLevel="2" ht="17.25" customHeight="1" thickBot="1">
      <c r="A1598" s="696" t="n">
        <v>43398</v>
      </c>
      <c r="B1598" s="234" t="inlineStr">
        <is>
          <t>FIMTX</t>
        </is>
      </c>
      <c r="C1598" s="229" t="inlineStr">
        <is>
          <t>小指11</t>
        </is>
      </c>
      <c r="D1598" s="229" t="inlineStr">
        <is>
          <t>平倉</t>
        </is>
      </c>
      <c r="E1598" s="257" t="inlineStr">
        <is>
          <t>賣</t>
        </is>
      </c>
      <c r="F1598" s="229" t="inlineStr">
        <is>
          <t>-</t>
        </is>
      </c>
      <c r="G1598" s="697" t="n">
        <v>3</v>
      </c>
      <c r="H1598" s="697" t="n">
        <v>9567</v>
      </c>
      <c r="I1598" s="697" t="n">
        <v>0</v>
      </c>
      <c r="J1598" s="585" t="n">
        <v>69</v>
      </c>
      <c r="K1598" s="585" t="n">
        <v>30</v>
      </c>
      <c r="L1598" s="585">
        <f>IF(B1598="TXO",I1598-SUM(J1598:K1598),IF(B1598="FITX",IF(D1598="新倉",-SUM(J1598:K1598),IF(E1598="賣",(H1598-H1597)*G1598*200-SUM(J1598:K1598),(H1597-H1598)*G1598*200-SUM(J1598:K1598))),IF(D1598="新倉",-SUM(J1598:K1598),IF(E1598="賣",(H1598-H1597)*G1598*50-SUM(J1598:K1598),(H1597-H1598)*G1598*50-SUM(J1598:K1598)))))</f>
        <v/>
      </c>
      <c r="M1598" s="699">
        <f>L1598</f>
        <v/>
      </c>
      <c r="N1598" s="686">
        <f>IF(B1598="TXO","",IF(D1598="新倉","",IF(E1598="賣",(H1598-H1597)*G1598,(H1597-H1598)*G1598)))</f>
        <v/>
      </c>
      <c r="O1598" s="226" t="n">
        <v>0</v>
      </c>
      <c r="P1598" s="667" t="n"/>
      <c r="Q1598" s="249" t="inlineStr">
        <is>
          <t>技法: 碰10MA出場</t>
        </is>
      </c>
      <c r="S1598" s="249" t="inlineStr">
        <is>
          <t>Yes</t>
        </is>
      </c>
      <c r="T1598" s="61">
        <f>IF(AND(R1598="Yes",S1598&lt;&gt;"Yes",L1598&gt;0,B1598&lt;&gt;"TXO"),L1598,"")</f>
        <v/>
      </c>
      <c r="U1598" s="61">
        <f>IF(AND(R1598="Yes",S1598&lt;&gt;"Yes",L1598&lt;0,B1598&lt;&gt;"TXO"),L1598,"")</f>
        <v/>
      </c>
      <c r="V1598" s="61">
        <f>IF(AND(R1598="",S1598&lt;&gt;"Yes",L1598&gt;0,B1598&lt;&gt;"TXO"),L1598,"")</f>
        <v/>
      </c>
      <c r="W1598" s="61">
        <f>IF(AND(R1598="",S1598&lt;&gt;"Yes",L1598&lt;0,B1598&lt;&gt;"TXO"),L1598,"")</f>
        <v/>
      </c>
      <c r="X1598" s="226">
        <f>IF(AND(R1598="Yes",S1598="Yes",L1598&gt;0,B1598&lt;&gt;"TXO"),L1598,"")</f>
        <v/>
      </c>
      <c r="Y1598" s="226">
        <f>IF(AND(R1598="Yes",S1598="Yes",L1598&lt;0,B1598&lt;&gt;"TXO"),L1598,"")</f>
        <v/>
      </c>
      <c r="Z1598" s="226">
        <f>IF(AND(R1598="",S1598="Yes",L1598&gt;0,B1598&lt;&gt;"TXO"),L1598,"")</f>
        <v/>
      </c>
      <c r="AA1598" s="226">
        <f>IF(AND(R1598="",S1598="Yes",L1598&lt;0,B1598&lt;&gt;"TXO"),L1598,"")</f>
        <v/>
      </c>
    </row>
    <row r="1599" hidden="1" outlineLevel="2" ht="33.75" customHeight="1" thickBot="1">
      <c r="A1599" s="696" t="n">
        <v>43398</v>
      </c>
      <c r="B1599" s="234" t="inlineStr">
        <is>
          <t>FIMTX</t>
        </is>
      </c>
      <c r="C1599" s="229" t="inlineStr">
        <is>
          <t>小指11</t>
        </is>
      </c>
      <c r="D1599" s="229" t="inlineStr">
        <is>
          <t>新倉</t>
        </is>
      </c>
      <c r="E1599" s="257" t="inlineStr">
        <is>
          <t>賣</t>
        </is>
      </c>
      <c r="F1599" s="229" t="inlineStr">
        <is>
          <t>-</t>
        </is>
      </c>
      <c r="G1599" s="697" t="n">
        <v>2</v>
      </c>
      <c r="H1599" s="697" t="n">
        <v>9562</v>
      </c>
      <c r="I1599" s="697" t="n">
        <v>0</v>
      </c>
      <c r="J1599" s="585" t="n">
        <v>46</v>
      </c>
      <c r="K1599" s="585" t="n">
        <v>20</v>
      </c>
      <c r="L1599" s="585">
        <f>IF(B1599="TXO",I1599-SUM(J1599:K1599),IF(B1599="FITX",IF(D1599="新倉",-SUM(J1599:K1599),IF(E1599="賣",(H1599-H1598)*G1599*200-SUM(J1599:K1599),(H1598-H1599)*G1599*200-SUM(J1599:K1599))),IF(D1599="新倉",-SUM(J1599:K1599),IF(E1599="賣",(H1599-H1598)*G1599*50-SUM(J1599:K1599),(H1598-H1599)*G1599*50-SUM(J1599:K1599)))))</f>
        <v/>
      </c>
      <c r="M1599" s="699">
        <f>L1599</f>
        <v/>
      </c>
      <c r="N1599" s="686">
        <f>IF(B1599="TXO","",IF(D1599="新倉","",IF(E1599="賣",(H1599-H1598)*G1599,(H1598-H1599)*G1599)))</f>
        <v/>
      </c>
      <c r="O1599" s="226" t="n">
        <v>0</v>
      </c>
      <c r="P1599" s="667" t="n"/>
      <c r="Q1599" s="297" t="inlineStr">
        <is>
          <t>技法: 3/3 買進兩口
離10MA超過10點</t>
        </is>
      </c>
      <c r="S1599" s="249" t="inlineStr">
        <is>
          <t>Yes</t>
        </is>
      </c>
      <c r="T1599" s="61">
        <f>IF(AND(R1599="Yes",S1599&lt;&gt;"Yes",L1599&gt;0,B1599&lt;&gt;"TXO"),L1599,"")</f>
        <v/>
      </c>
      <c r="U1599" s="61">
        <f>IF(AND(R1599="Yes",S1599&lt;&gt;"Yes",L1599&lt;0,B1599&lt;&gt;"TXO"),L1599,"")</f>
        <v/>
      </c>
      <c r="V1599" s="61">
        <f>IF(AND(R1599="",S1599&lt;&gt;"Yes",L1599&gt;0,B1599&lt;&gt;"TXO"),L1599,"")</f>
        <v/>
      </c>
      <c r="W1599" s="61">
        <f>IF(AND(R1599="",S1599&lt;&gt;"Yes",L1599&lt;0,B1599&lt;&gt;"TXO"),L1599,"")</f>
        <v/>
      </c>
      <c r="X1599" s="226">
        <f>IF(AND(R1599="Yes",S1599="Yes",L1599&gt;0,B1599&lt;&gt;"TXO"),L1599,"")</f>
        <v/>
      </c>
      <c r="Y1599" s="226">
        <f>IF(AND(R1599="Yes",S1599="Yes",L1599&lt;0,B1599&lt;&gt;"TXO"),L1599,"")</f>
        <v/>
      </c>
      <c r="Z1599" s="226">
        <f>IF(AND(R1599="",S1599="Yes",L1599&gt;0,B1599&lt;&gt;"TXO"),L1599,"")</f>
        <v/>
      </c>
      <c r="AA1599" s="226">
        <f>IF(AND(R1599="",S1599="Yes",L1599&lt;0,B1599&lt;&gt;"TXO"),L1599,"")</f>
        <v/>
      </c>
    </row>
    <row r="1600" hidden="1" outlineLevel="2" ht="17.25" customHeight="1" thickBot="1">
      <c r="A1600" s="696" t="n">
        <v>43398</v>
      </c>
      <c r="B1600" s="234" t="inlineStr">
        <is>
          <t>FIMTX</t>
        </is>
      </c>
      <c r="C1600" s="229" t="inlineStr">
        <is>
          <t>小指11</t>
        </is>
      </c>
      <c r="D1600" s="229" t="inlineStr">
        <is>
          <t>平倉</t>
        </is>
      </c>
      <c r="E1600" s="257" t="inlineStr">
        <is>
          <t>買</t>
        </is>
      </c>
      <c r="F1600" s="229" t="inlineStr">
        <is>
          <t>-</t>
        </is>
      </c>
      <c r="G1600" s="697" t="n">
        <v>2</v>
      </c>
      <c r="H1600" s="697" t="n">
        <v>9576</v>
      </c>
      <c r="I1600" s="697" t="n">
        <v>0</v>
      </c>
      <c r="J1600" s="585" t="n">
        <v>46</v>
      </c>
      <c r="K1600" s="585" t="n">
        <v>20</v>
      </c>
      <c r="L1600" s="585">
        <f>IF(B1600="TXO",I1600-SUM(J1600:K1600),IF(B1600="FITX",IF(D1600="新倉",-SUM(J1600:K1600),IF(E1600="賣",(H1600-H1599)*G1600*200-SUM(J1600:K1600),(H1599-H1600)*G1600*200-SUM(J1600:K1600))),IF(D1600="新倉",-SUM(J1600:K1600),IF(E1600="賣",(H1600-H1599)*G1600*50-SUM(J1600:K1600),(H1599-H1600)*G1600*50-SUM(J1600:K1600)))))</f>
        <v/>
      </c>
      <c r="M1600" s="699">
        <f>L1600</f>
        <v/>
      </c>
      <c r="N1600" s="686">
        <f>IF(B1600="TXO","",IF(D1600="新倉","",IF(E1600="賣",(H1600-H1599)*G1600,(H1599-H1600)*G1600)))</f>
        <v/>
      </c>
      <c r="O1600" s="226" t="n">
        <v>0</v>
      </c>
      <c r="P1600" s="667" t="n"/>
      <c r="Q1600" s="249" t="inlineStr">
        <is>
          <t>技法: 碰10MA出場</t>
        </is>
      </c>
      <c r="S1600" s="249" t="inlineStr">
        <is>
          <t>Yes</t>
        </is>
      </c>
      <c r="T1600" s="61">
        <f>IF(AND(R1600="Yes",S1600&lt;&gt;"Yes",L1600&gt;0,B1600&lt;&gt;"TXO"),L1600,"")</f>
        <v/>
      </c>
      <c r="U1600" s="61">
        <f>IF(AND(R1600="Yes",S1600&lt;&gt;"Yes",L1600&lt;0,B1600&lt;&gt;"TXO"),L1600,"")</f>
        <v/>
      </c>
      <c r="V1600" s="61">
        <f>IF(AND(R1600="",S1600&lt;&gt;"Yes",L1600&gt;0,B1600&lt;&gt;"TXO"),L1600,"")</f>
        <v/>
      </c>
      <c r="W1600" s="61">
        <f>IF(AND(R1600="",S1600&lt;&gt;"Yes",L1600&lt;0,B1600&lt;&gt;"TXO"),L1600,"")</f>
        <v/>
      </c>
      <c r="X1600" s="226">
        <f>IF(AND(R1600="Yes",S1600="Yes",L1600&gt;0,B1600&lt;&gt;"TXO"),L1600,"")</f>
        <v/>
      </c>
      <c r="Y1600" s="226">
        <f>IF(AND(R1600="Yes",S1600="Yes",L1600&lt;0,B1600&lt;&gt;"TXO"),L1600,"")</f>
        <v/>
      </c>
      <c r="Z1600" s="226">
        <f>IF(AND(R1600="",S1600="Yes",L1600&gt;0,B1600&lt;&gt;"TXO"),L1600,"")</f>
        <v/>
      </c>
      <c r="AA1600" s="226">
        <f>IF(AND(R1600="",S1600="Yes",L1600&lt;0,B1600&lt;&gt;"TXO"),L1600,"")</f>
        <v/>
      </c>
    </row>
    <row r="1601" hidden="1" outlineLevel="1" ht="17.25" customHeight="1" thickBot="1">
      <c r="A1601" s="696" t="n">
        <v>43402</v>
      </c>
      <c r="B1601" s="234" t="inlineStr">
        <is>
          <t>FIMTX</t>
        </is>
      </c>
      <c r="C1601" s="229" t="inlineStr">
        <is>
          <t>小指11</t>
        </is>
      </c>
      <c r="D1601" s="229" t="inlineStr">
        <is>
          <t>新倉</t>
        </is>
      </c>
      <c r="E1601" s="257" t="inlineStr">
        <is>
          <t>買</t>
        </is>
      </c>
      <c r="F1601" s="229" t="inlineStr">
        <is>
          <t>-</t>
        </is>
      </c>
      <c r="G1601" s="697" t="n">
        <v>1</v>
      </c>
      <c r="H1601" s="697" t="n">
        <v>9490</v>
      </c>
      <c r="I1601" s="697" t="n">
        <v>0</v>
      </c>
      <c r="J1601" s="585" t="n">
        <v>23</v>
      </c>
      <c r="K1601" s="585" t="n">
        <v>9</v>
      </c>
      <c r="L1601" s="585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/>
      </c>
      <c r="M1601" s="699">
        <f>L1601</f>
        <v/>
      </c>
      <c r="N1601" s="686">
        <f>IF(B1601="TXO","",IF(D1601="新倉","",IF(E1601="賣",(H1601-H870)*G1601,(H870-H1601)*G1601)))</f>
        <v/>
      </c>
      <c r="O1601" s="226" t="n">
        <v>0</v>
      </c>
      <c r="P1601" s="667">
        <f>SUM(L1601:L1616)</f>
        <v/>
      </c>
      <c r="S1601" s="249" t="n"/>
      <c r="T1601" s="61">
        <f>IF(AND(R1601="Yes",S1601&lt;&gt;"Yes",L1601&gt;0,B1601&lt;&gt;"TXO"),L1601,"")</f>
        <v/>
      </c>
      <c r="U1601" s="61">
        <f>IF(AND(R1601="Yes",S1601&lt;&gt;"Yes",L1601&lt;0,B1601&lt;&gt;"TXO"),L1601,"")</f>
        <v/>
      </c>
      <c r="V1601" s="61">
        <f>IF(AND(R1601="",S1601&lt;&gt;"Yes",L1601&gt;0,B1601&lt;&gt;"TXO"),L1601,"")</f>
        <v/>
      </c>
      <c r="W1601" s="61">
        <f>IF(AND(R1601="",S1601&lt;&gt;"Yes",L1601&lt;0,B1601&lt;&gt;"TXO"),L1601,"")</f>
        <v/>
      </c>
      <c r="X1601" s="226">
        <f>IF(AND(R1601="Yes",S1601="Yes",L1601&gt;0,B1601&lt;&gt;"TXO"),L1601,"")</f>
        <v/>
      </c>
      <c r="Y1601" s="226">
        <f>IF(AND(R1601="Yes",S1601="Yes",L1601&lt;0,B1601&lt;&gt;"TXO"),L1601,"")</f>
        <v/>
      </c>
      <c r="Z1601" s="226">
        <f>IF(AND(R1601="",S1601="Yes",L1601&gt;0,B1601&lt;&gt;"TXO"),L1601,"")</f>
        <v/>
      </c>
      <c r="AA1601" s="226">
        <f>IF(AND(R1601="",S1601="Yes",L1601&lt;0,B1601&lt;&gt;"TXO"),L1601,"")</f>
        <v/>
      </c>
    </row>
    <row r="1602" hidden="1" outlineLevel="2" ht="17.25" customHeight="1" thickBot="1">
      <c r="A1602" s="696" t="n">
        <v>43402</v>
      </c>
      <c r="B1602" s="234" t="inlineStr">
        <is>
          <t>FIMTX</t>
        </is>
      </c>
      <c r="C1602" s="229" t="inlineStr">
        <is>
          <t>小指11</t>
        </is>
      </c>
      <c r="D1602" s="229" t="inlineStr">
        <is>
          <t>平倉</t>
        </is>
      </c>
      <c r="E1602" s="257" t="inlineStr">
        <is>
          <t>賣</t>
        </is>
      </c>
      <c r="F1602" s="229" t="inlineStr">
        <is>
          <t>-</t>
        </is>
      </c>
      <c r="G1602" s="697" t="n">
        <v>1</v>
      </c>
      <c r="H1602" s="697" t="n">
        <v>9476</v>
      </c>
      <c r="I1602" s="697" t="n">
        <v>0</v>
      </c>
      <c r="J1602" s="585" t="n">
        <v>23</v>
      </c>
      <c r="K1602" s="585" t="n">
        <v>9</v>
      </c>
      <c r="L1602" s="585">
        <f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/>
      </c>
      <c r="M1602" s="699">
        <f>L1602</f>
        <v/>
      </c>
      <c r="N1602" s="686">
        <f>IF(B1602="TXO","",IF(D1602="新倉","",IF(E1602="賣",(H1602-H1601)*G1602,(H1601-H1602)*G1602)))</f>
        <v/>
      </c>
      <c r="O1602" s="226" t="n">
        <v>0</v>
      </c>
      <c r="P1602" s="667" t="n"/>
      <c r="S1602" s="249" t="n"/>
      <c r="T1602" s="61">
        <f>IF(AND(R1602="Yes",S1602&lt;&gt;"Yes",L1602&gt;0,B1602&lt;&gt;"TXO"),L1602,"")</f>
        <v/>
      </c>
      <c r="U1602" s="61">
        <f>IF(AND(R1602="Yes",S1602&lt;&gt;"Yes",L1602&lt;0,B1602&lt;&gt;"TXO"),L1602,"")</f>
        <v/>
      </c>
      <c r="V1602" s="61">
        <f>IF(AND(R1602="",S1602&lt;&gt;"Yes",L1602&gt;0,B1602&lt;&gt;"TXO"),L1602,"")</f>
        <v/>
      </c>
      <c r="W1602" s="61">
        <f>IF(AND(R1602="",S1602&lt;&gt;"Yes",L1602&lt;0,B1602&lt;&gt;"TXO"),L1602,"")</f>
        <v/>
      </c>
      <c r="X1602" s="226">
        <f>IF(AND(R1602="Yes",S1602="Yes",L1602&gt;0,B1602&lt;&gt;"TXO"),L1602,"")</f>
        <v/>
      </c>
      <c r="Y1602" s="226">
        <f>IF(AND(R1602="Yes",S1602="Yes",L1602&lt;0,B1602&lt;&gt;"TXO"),L1602,"")</f>
        <v/>
      </c>
      <c r="Z1602" s="226">
        <f>IF(AND(R1602="",S1602="Yes",L1602&gt;0,B1602&lt;&gt;"TXO"),L1602,"")</f>
        <v/>
      </c>
      <c r="AA1602" s="226">
        <f>IF(AND(R1602="",S1602="Yes",L1602&lt;0,B1602&lt;&gt;"TXO"),L1602,"")</f>
        <v/>
      </c>
    </row>
    <row r="1603" hidden="1" outlineLevel="2" ht="17.25" customHeight="1" thickBot="1">
      <c r="A1603" s="696" t="n">
        <v>43402</v>
      </c>
      <c r="B1603" s="234" t="inlineStr">
        <is>
          <t>FIMTX</t>
        </is>
      </c>
      <c r="C1603" s="229" t="inlineStr">
        <is>
          <t>小指11</t>
        </is>
      </c>
      <c r="D1603" s="229" t="inlineStr">
        <is>
          <t>新倉</t>
        </is>
      </c>
      <c r="E1603" s="257" t="inlineStr">
        <is>
          <t>賣</t>
        </is>
      </c>
      <c r="F1603" s="229" t="inlineStr">
        <is>
          <t>-</t>
        </is>
      </c>
      <c r="G1603" s="697" t="n">
        <v>1</v>
      </c>
      <c r="H1603" s="697" t="n">
        <v>9487</v>
      </c>
      <c r="I1603" s="697" t="n">
        <v>0</v>
      </c>
      <c r="J1603" s="585" t="n">
        <v>23</v>
      </c>
      <c r="K1603" s="585" t="n">
        <v>9</v>
      </c>
      <c r="L1603" s="585">
        <f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/>
      </c>
      <c r="M1603" s="699">
        <f>L1603</f>
        <v/>
      </c>
      <c r="N1603" s="686">
        <f>IF(B1603="TXO","",IF(D1603="新倉","",IF(E1603="賣",(H1603-H1602)*G1603,(H1602-H1603)*G1603)))</f>
        <v/>
      </c>
      <c r="O1603" s="226" t="n">
        <v>0</v>
      </c>
      <c r="P1603" s="667" t="n"/>
      <c r="S1603" s="249" t="n"/>
      <c r="T1603" s="61">
        <f>IF(AND(R1603="Yes",S1603&lt;&gt;"Yes",L1603&gt;0,B1603&lt;&gt;"TXO"),L1603,"")</f>
        <v/>
      </c>
      <c r="U1603" s="61">
        <f>IF(AND(R1603="Yes",S1603&lt;&gt;"Yes",L1603&lt;0,B1603&lt;&gt;"TXO"),L1603,"")</f>
        <v/>
      </c>
      <c r="V1603" s="61">
        <f>IF(AND(R1603="",S1603&lt;&gt;"Yes",L1603&gt;0,B1603&lt;&gt;"TXO"),L1603,"")</f>
        <v/>
      </c>
      <c r="W1603" s="61">
        <f>IF(AND(R1603="",S1603&lt;&gt;"Yes",L1603&lt;0,B1603&lt;&gt;"TXO"),L1603,"")</f>
        <v/>
      </c>
      <c r="X1603" s="226">
        <f>IF(AND(R1603="Yes",S1603="Yes",L1603&gt;0,B1603&lt;&gt;"TXO"),L1603,"")</f>
        <v/>
      </c>
      <c r="Y1603" s="226">
        <f>IF(AND(R1603="Yes",S1603="Yes",L1603&lt;0,B1603&lt;&gt;"TXO"),L1603,"")</f>
        <v/>
      </c>
      <c r="Z1603" s="226">
        <f>IF(AND(R1603="",S1603="Yes",L1603&gt;0,B1603&lt;&gt;"TXO"),L1603,"")</f>
        <v/>
      </c>
      <c r="AA1603" s="226">
        <f>IF(AND(R1603="",S1603="Yes",L1603&lt;0,B1603&lt;&gt;"TXO"),L1603,"")</f>
        <v/>
      </c>
    </row>
    <row r="1604" hidden="1" outlineLevel="2" ht="17.25" customHeight="1" thickBot="1">
      <c r="A1604" s="696" t="n">
        <v>43402</v>
      </c>
      <c r="B1604" s="234" t="inlineStr">
        <is>
          <t>FIMTX</t>
        </is>
      </c>
      <c r="C1604" s="229" t="inlineStr">
        <is>
          <t>小指11</t>
        </is>
      </c>
      <c r="D1604" s="229" t="inlineStr">
        <is>
          <t>平倉</t>
        </is>
      </c>
      <c r="E1604" s="257" t="inlineStr">
        <is>
          <t>買</t>
        </is>
      </c>
      <c r="F1604" s="229" t="inlineStr">
        <is>
          <t>-</t>
        </is>
      </c>
      <c r="G1604" s="697" t="n">
        <v>1</v>
      </c>
      <c r="H1604" s="697" t="n">
        <v>9502</v>
      </c>
      <c r="I1604" s="697" t="n">
        <v>0</v>
      </c>
      <c r="J1604" s="585" t="n">
        <v>23</v>
      </c>
      <c r="K1604" s="585" t="n">
        <v>10</v>
      </c>
      <c r="L1604" s="585">
        <f>IF(B1604="TXO",I1604-SUM(J1604:K1604),IF(B1604="FITX",IF(D1604="新倉",-SUM(J1604:K1604),IF(E1604="賣",(H1604-H1603)*G1604*200-SUM(J1604:K1604),(H1603-H1604)*G1604*200-SUM(J1604:K1604))),IF(D1604="新倉",-SUM(J1604:K1604),IF(E1604="賣",(H1604-H1603)*G1604*50-SUM(J1604:K1604),(H1603-H1604)*G1604*50-SUM(J1604:K1604)))))</f>
        <v/>
      </c>
      <c r="M1604" s="699">
        <f>L1604</f>
        <v/>
      </c>
      <c r="N1604" s="686">
        <f>IF(B1604="TXO","",IF(D1604="新倉","",IF(E1604="賣",(H1604-H1603)*G1604,(H1603-H1604)*G1604)))</f>
        <v/>
      </c>
      <c r="O1604" s="226" t="n">
        <v>0</v>
      </c>
      <c r="P1604" s="667" t="n"/>
      <c r="S1604" s="249" t="n"/>
      <c r="T1604" s="61">
        <f>IF(AND(R1604="Yes",S1604&lt;&gt;"Yes",L1604&gt;0,B1604&lt;&gt;"TXO"),L1604,"")</f>
        <v/>
      </c>
      <c r="U1604" s="61">
        <f>IF(AND(R1604="Yes",S1604&lt;&gt;"Yes",L1604&lt;0,B1604&lt;&gt;"TXO"),L1604,"")</f>
        <v/>
      </c>
      <c r="V1604" s="61">
        <f>IF(AND(R1604="",S1604&lt;&gt;"Yes",L1604&gt;0,B1604&lt;&gt;"TXO"),L1604,"")</f>
        <v/>
      </c>
      <c r="W1604" s="61">
        <f>IF(AND(R1604="",S1604&lt;&gt;"Yes",L1604&lt;0,B1604&lt;&gt;"TXO"),L1604,"")</f>
        <v/>
      </c>
      <c r="X1604" s="226">
        <f>IF(AND(R1604="Yes",S1604="Yes",L1604&gt;0,B1604&lt;&gt;"TXO"),L1604,"")</f>
        <v/>
      </c>
      <c r="Y1604" s="226">
        <f>IF(AND(R1604="Yes",S1604="Yes",L1604&lt;0,B1604&lt;&gt;"TXO"),L1604,"")</f>
        <v/>
      </c>
      <c r="Z1604" s="226">
        <f>IF(AND(R1604="",S1604="Yes",L1604&gt;0,B1604&lt;&gt;"TXO"),L1604,"")</f>
        <v/>
      </c>
      <c r="AA1604" s="226">
        <f>IF(AND(R1604="",S1604="Yes",L1604&lt;0,B1604&lt;&gt;"TXO"),L1604,"")</f>
        <v/>
      </c>
    </row>
    <row r="1605" hidden="1" outlineLevel="2" ht="17.25" customHeight="1" thickBot="1">
      <c r="A1605" s="696" t="n">
        <v>43402</v>
      </c>
      <c r="B1605" s="234" t="inlineStr">
        <is>
          <t>FIMTX</t>
        </is>
      </c>
      <c r="C1605" s="229" t="inlineStr">
        <is>
          <t>小指11</t>
        </is>
      </c>
      <c r="D1605" s="229" t="inlineStr">
        <is>
          <t>新倉</t>
        </is>
      </c>
      <c r="E1605" s="257" t="inlineStr">
        <is>
          <t>賣</t>
        </is>
      </c>
      <c r="F1605" s="229" t="inlineStr">
        <is>
          <t>-</t>
        </is>
      </c>
      <c r="G1605" s="697" t="n">
        <v>1</v>
      </c>
      <c r="H1605" s="697" t="n">
        <v>9495</v>
      </c>
      <c r="I1605" s="697" t="n">
        <v>0</v>
      </c>
      <c r="J1605" s="585" t="n">
        <v>23</v>
      </c>
      <c r="K1605" s="585" t="n">
        <v>9</v>
      </c>
      <c r="L1605" s="585">
        <f>IF(B1605="TXO",I1605-SUM(J1605:K1605),IF(B1605="FITX",IF(D1605="新倉",-SUM(J1605:K1605),IF(E1605="賣",(H1605-H1604)*G1605*200-SUM(J1605:K1605),(H1604-H1605)*G1605*200-SUM(J1605:K1605))),IF(D1605="新倉",-SUM(J1605:K1605),IF(E1605="賣",(H1605-H1604)*G1605*50-SUM(J1605:K1605),(H1604-H1605)*G1605*50-SUM(J1605:K1605)))))</f>
        <v/>
      </c>
      <c r="M1605" s="699">
        <f>L1605</f>
        <v/>
      </c>
      <c r="N1605" s="686">
        <f>IF(B1605="TXO","",IF(D1605="新倉","",IF(E1605="賣",(H1605-H1604)*G1605,(H1604-H1605)*G1605)))</f>
        <v/>
      </c>
      <c r="O1605" s="226" t="n">
        <v>0</v>
      </c>
      <c r="P1605" s="667" t="n"/>
      <c r="S1605" s="249" t="n"/>
      <c r="T1605" s="61">
        <f>IF(AND(R1605="Yes",S1605&lt;&gt;"Yes",L1605&gt;0,B1605&lt;&gt;"TXO"),L1605,"")</f>
        <v/>
      </c>
      <c r="U1605" s="61">
        <f>IF(AND(R1605="Yes",S1605&lt;&gt;"Yes",L1605&lt;0,B1605&lt;&gt;"TXO"),L1605,"")</f>
        <v/>
      </c>
      <c r="V1605" s="61">
        <f>IF(AND(R1605="",S1605&lt;&gt;"Yes",L1605&gt;0,B1605&lt;&gt;"TXO"),L1605,"")</f>
        <v/>
      </c>
      <c r="W1605" s="61">
        <f>IF(AND(R1605="",S1605&lt;&gt;"Yes",L1605&lt;0,B1605&lt;&gt;"TXO"),L1605,"")</f>
        <v/>
      </c>
      <c r="X1605" s="226">
        <f>IF(AND(R1605="Yes",S1605="Yes",L1605&gt;0,B1605&lt;&gt;"TXO"),L1605,"")</f>
        <v/>
      </c>
      <c r="Y1605" s="226">
        <f>IF(AND(R1605="Yes",S1605="Yes",L1605&lt;0,B1605&lt;&gt;"TXO"),L1605,"")</f>
        <v/>
      </c>
      <c r="Z1605" s="226">
        <f>IF(AND(R1605="",S1605="Yes",L1605&gt;0,B1605&lt;&gt;"TXO"),L1605,"")</f>
        <v/>
      </c>
      <c r="AA1605" s="226">
        <f>IF(AND(R1605="",S1605="Yes",L1605&lt;0,B1605&lt;&gt;"TXO"),L1605,"")</f>
        <v/>
      </c>
    </row>
    <row r="1606" hidden="1" outlineLevel="2" ht="17.25" customHeight="1" thickBot="1">
      <c r="A1606" s="696" t="n">
        <v>43402</v>
      </c>
      <c r="B1606" s="234" t="inlineStr">
        <is>
          <t>FIMTX</t>
        </is>
      </c>
      <c r="C1606" s="229" t="inlineStr">
        <is>
          <t>小指11</t>
        </is>
      </c>
      <c r="D1606" s="229" t="inlineStr">
        <is>
          <t>平倉</t>
        </is>
      </c>
      <c r="E1606" s="257" t="inlineStr">
        <is>
          <t>買</t>
        </is>
      </c>
      <c r="F1606" s="229" t="inlineStr">
        <is>
          <t>-</t>
        </is>
      </c>
      <c r="G1606" s="697" t="n">
        <v>1</v>
      </c>
      <c r="H1606" s="697" t="n">
        <v>9509</v>
      </c>
      <c r="I1606" s="697" t="n">
        <v>0</v>
      </c>
      <c r="J1606" s="585" t="n">
        <v>23</v>
      </c>
      <c r="K1606" s="585" t="n">
        <v>10</v>
      </c>
      <c r="L1606" s="585">
        <f>IF(B1606="TXO",I1606-SUM(J1606:K1606),IF(B1606="FITX",IF(D1606="新倉",-SUM(J1606:K1606),IF(E1606="賣",(H1606-H1605)*G1606*200-SUM(J1606:K1606),(H1605-H1606)*G1606*200-SUM(J1606:K1606))),IF(D1606="新倉",-SUM(J1606:K1606),IF(E1606="賣",(H1606-H1605)*G1606*50-SUM(J1606:K1606),(H1605-H1606)*G1606*50-SUM(J1606:K1606)))))</f>
        <v/>
      </c>
      <c r="M1606" s="699">
        <f>L1606</f>
        <v/>
      </c>
      <c r="N1606" s="686">
        <f>IF(B1606="TXO","",IF(D1606="新倉","",IF(E1606="賣",(H1606-H1605)*G1606,(H1605-H1606)*G1606)))</f>
        <v/>
      </c>
      <c r="O1606" s="226" t="n">
        <v>0</v>
      </c>
      <c r="P1606" s="667" t="n"/>
      <c r="S1606" s="249" t="n"/>
      <c r="T1606" s="61">
        <f>IF(AND(R1606="Yes",S1606&lt;&gt;"Yes",L1606&gt;0,B1606&lt;&gt;"TXO"),L1606,"")</f>
        <v/>
      </c>
      <c r="U1606" s="61">
        <f>IF(AND(R1606="Yes",S1606&lt;&gt;"Yes",L1606&lt;0,B1606&lt;&gt;"TXO"),L1606,"")</f>
        <v/>
      </c>
      <c r="V1606" s="61">
        <f>IF(AND(R1606="",S1606&lt;&gt;"Yes",L1606&gt;0,B1606&lt;&gt;"TXO"),L1606,"")</f>
        <v/>
      </c>
      <c r="W1606" s="61">
        <f>IF(AND(R1606="",S1606&lt;&gt;"Yes",L1606&lt;0,B1606&lt;&gt;"TXO"),L1606,"")</f>
        <v/>
      </c>
      <c r="X1606" s="226">
        <f>IF(AND(R1606="Yes",S1606="Yes",L1606&gt;0,B1606&lt;&gt;"TXO"),L1606,"")</f>
        <v/>
      </c>
      <c r="Y1606" s="226">
        <f>IF(AND(R1606="Yes",S1606="Yes",L1606&lt;0,B1606&lt;&gt;"TXO"),L1606,"")</f>
        <v/>
      </c>
      <c r="Z1606" s="226">
        <f>IF(AND(R1606="",S1606="Yes",L1606&gt;0,B1606&lt;&gt;"TXO"),L1606,"")</f>
        <v/>
      </c>
      <c r="AA1606" s="226">
        <f>IF(AND(R1606="",S1606="Yes",L1606&lt;0,B1606&lt;&gt;"TXO"),L1606,"")</f>
        <v/>
      </c>
    </row>
    <row r="1607" hidden="1" outlineLevel="2" ht="17.25" customHeight="1" thickBot="1">
      <c r="A1607" s="696" t="n">
        <v>43402</v>
      </c>
      <c r="B1607" s="234" t="inlineStr">
        <is>
          <t>FIMTX</t>
        </is>
      </c>
      <c r="C1607" s="229" t="inlineStr">
        <is>
          <t>小指11</t>
        </is>
      </c>
      <c r="D1607" s="229" t="inlineStr">
        <is>
          <t>新倉</t>
        </is>
      </c>
      <c r="E1607" s="257" t="inlineStr">
        <is>
          <t>賣</t>
        </is>
      </c>
      <c r="F1607" s="229" t="inlineStr">
        <is>
          <t>-</t>
        </is>
      </c>
      <c r="G1607" s="697" t="n">
        <v>2</v>
      </c>
      <c r="H1607" s="697" t="n">
        <v>9486</v>
      </c>
      <c r="I1607" s="697" t="n">
        <v>0</v>
      </c>
      <c r="J1607" s="585" t="n">
        <v>46</v>
      </c>
      <c r="K1607" s="585" t="n">
        <v>18</v>
      </c>
      <c r="L1607" s="585">
        <f>IF(B1607="TXO",I1607-SUM(J1607:K1607),IF(B1607="FITX",IF(D1607="新倉",-SUM(J1607:K1607),IF(E1607="賣",(H1607-H1606)*G1607*200-SUM(J1607:K1607),(H1606-H1607)*G1607*200-SUM(J1607:K1607))),IF(D1607="新倉",-SUM(J1607:K1607),IF(E1607="賣",(H1607-H1606)*G1607*50-SUM(J1607:K1607),(H1606-H1607)*G1607*50-SUM(J1607:K1607)))))</f>
        <v/>
      </c>
      <c r="M1607" s="699">
        <f>L1607</f>
        <v/>
      </c>
      <c r="N1607" s="686">
        <f>IF(B1607="TXO","",IF(D1607="新倉","",IF(E1607="賣",(H1607-H1606)*G1607,(H1606-H1607)*G1607)))</f>
        <v/>
      </c>
      <c r="O1607" s="226" t="n">
        <v>0</v>
      </c>
      <c r="P1607" s="667" t="n"/>
      <c r="S1607" s="249" t="n"/>
      <c r="T1607" s="61">
        <f>IF(AND(R1607="Yes",S1607&lt;&gt;"Yes",L1607&gt;0,B1607&lt;&gt;"TXO"),L1607,"")</f>
        <v/>
      </c>
      <c r="U1607" s="61">
        <f>IF(AND(R1607="Yes",S1607&lt;&gt;"Yes",L1607&lt;0,B1607&lt;&gt;"TXO"),L1607,"")</f>
        <v/>
      </c>
      <c r="V1607" s="61">
        <f>IF(AND(R1607="",S1607&lt;&gt;"Yes",L1607&gt;0,B1607&lt;&gt;"TXO"),L1607,"")</f>
        <v/>
      </c>
      <c r="W1607" s="61">
        <f>IF(AND(R1607="",S1607&lt;&gt;"Yes",L1607&lt;0,B1607&lt;&gt;"TXO"),L1607,"")</f>
        <v/>
      </c>
      <c r="X1607" s="226">
        <f>IF(AND(R1607="Yes",S1607="Yes",L1607&gt;0,B1607&lt;&gt;"TXO"),L1607,"")</f>
        <v/>
      </c>
      <c r="Y1607" s="226">
        <f>IF(AND(R1607="Yes",S1607="Yes",L1607&lt;0,B1607&lt;&gt;"TXO"),L1607,"")</f>
        <v/>
      </c>
      <c r="Z1607" s="226">
        <f>IF(AND(R1607="",S1607="Yes",L1607&gt;0,B1607&lt;&gt;"TXO"),L1607,"")</f>
        <v/>
      </c>
      <c r="AA1607" s="226">
        <f>IF(AND(R1607="",S1607="Yes",L1607&lt;0,B1607&lt;&gt;"TXO"),L1607,"")</f>
        <v/>
      </c>
    </row>
    <row r="1608" hidden="1" outlineLevel="2" ht="17.25" customHeight="1" thickBot="1">
      <c r="A1608" s="696" t="n">
        <v>43402</v>
      </c>
      <c r="B1608" s="234" t="inlineStr">
        <is>
          <t>FIMTX</t>
        </is>
      </c>
      <c r="C1608" s="229" t="inlineStr">
        <is>
          <t>小指11</t>
        </is>
      </c>
      <c r="D1608" s="229" t="inlineStr">
        <is>
          <t>平倉</t>
        </is>
      </c>
      <c r="E1608" s="257" t="inlineStr">
        <is>
          <t>買</t>
        </is>
      </c>
      <c r="F1608" s="229" t="inlineStr">
        <is>
          <t>-</t>
        </is>
      </c>
      <c r="G1608" s="697" t="n">
        <v>2</v>
      </c>
      <c r="H1608" s="697" t="n">
        <v>9501</v>
      </c>
      <c r="I1608" s="697" t="n">
        <v>0</v>
      </c>
      <c r="J1608" s="585" t="n">
        <v>46</v>
      </c>
      <c r="K1608" s="585" t="n">
        <v>20</v>
      </c>
      <c r="L1608" s="585">
        <f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/>
      </c>
      <c r="M1608" s="699">
        <f>L1608</f>
        <v/>
      </c>
      <c r="N1608" s="686">
        <f>IF(B1608="TXO","",IF(D1608="新倉","",IF(E1608="賣",(H1608-H1607)*G1608,(H1607-H1608)*G1608)))</f>
        <v/>
      </c>
      <c r="O1608" s="226" t="n">
        <v>0</v>
      </c>
      <c r="P1608" s="667" t="n"/>
      <c r="S1608" s="249" t="n"/>
      <c r="T1608" s="61">
        <f>IF(AND(R1608="Yes",S1608&lt;&gt;"Yes",L1608&gt;0,B1608&lt;&gt;"TXO"),L1608,"")</f>
        <v/>
      </c>
      <c r="U1608" s="61">
        <f>IF(AND(R1608="Yes",S1608&lt;&gt;"Yes",L1608&lt;0,B1608&lt;&gt;"TXO"),L1608,"")</f>
        <v/>
      </c>
      <c r="V1608" s="61">
        <f>IF(AND(R1608="",S1608&lt;&gt;"Yes",L1608&gt;0,B1608&lt;&gt;"TXO"),L1608,"")</f>
        <v/>
      </c>
      <c r="W1608" s="61">
        <f>IF(AND(R1608="",S1608&lt;&gt;"Yes",L1608&lt;0,B1608&lt;&gt;"TXO"),L1608,"")</f>
        <v/>
      </c>
      <c r="X1608" s="226">
        <f>IF(AND(R1608="Yes",S1608="Yes",L1608&gt;0,B1608&lt;&gt;"TXO"),L1608,"")</f>
        <v/>
      </c>
      <c r="Y1608" s="226">
        <f>IF(AND(R1608="Yes",S1608="Yes",L1608&lt;0,B1608&lt;&gt;"TXO"),L1608,"")</f>
        <v/>
      </c>
      <c r="Z1608" s="226">
        <f>IF(AND(R1608="",S1608="Yes",L1608&gt;0,B1608&lt;&gt;"TXO"),L1608,"")</f>
        <v/>
      </c>
      <c r="AA1608" s="226">
        <f>IF(AND(R1608="",S1608="Yes",L1608&lt;0,B1608&lt;&gt;"TXO"),L1608,"")</f>
        <v/>
      </c>
    </row>
    <row r="1609" hidden="1" outlineLevel="2" ht="17.25" customHeight="1" thickBot="1">
      <c r="A1609" s="696" t="n">
        <v>43402</v>
      </c>
      <c r="B1609" s="234" t="inlineStr">
        <is>
          <t>FIMTX</t>
        </is>
      </c>
      <c r="C1609" s="229" t="inlineStr">
        <is>
          <t>小指11</t>
        </is>
      </c>
      <c r="D1609" s="229" t="inlineStr">
        <is>
          <t>新倉</t>
        </is>
      </c>
      <c r="E1609" s="257" t="inlineStr">
        <is>
          <t>買</t>
        </is>
      </c>
      <c r="F1609" s="229" t="inlineStr">
        <is>
          <t>-</t>
        </is>
      </c>
      <c r="G1609" s="697" t="n">
        <v>1</v>
      </c>
      <c r="H1609" s="697" t="n">
        <v>9515</v>
      </c>
      <c r="I1609" s="697" t="n">
        <v>0</v>
      </c>
      <c r="J1609" s="585" t="n">
        <v>23</v>
      </c>
      <c r="K1609" s="585" t="n">
        <v>10</v>
      </c>
      <c r="L1609" s="585">
        <f>IF(B1609="TXO",I1609-SUM(J1609:K1609),IF(B1609="FITX",IF(D1609="新倉",-SUM(J1609:K1609),IF(E1609="賣",(H1609-H1608)*G1609*200-SUM(J1609:K1609),(H1608-H1609)*G1609*200-SUM(J1609:K1609))),IF(D1609="新倉",-SUM(J1609:K1609),IF(E1609="賣",(H1609-H1608)*G1609*50-SUM(J1609:K1609),(H1608-H1609)*G1609*50-SUM(J1609:K1609)))))</f>
        <v/>
      </c>
      <c r="M1609" s="699">
        <f>L1609</f>
        <v/>
      </c>
      <c r="N1609" s="686">
        <f>IF(B1609="TXO","",IF(D1609="新倉","",IF(E1609="賣",(H1609-H1608)*G1609,(H1608-H1609)*G1609)))</f>
        <v/>
      </c>
      <c r="O1609" s="226" t="n">
        <v>0</v>
      </c>
      <c r="P1609" s="667" t="n"/>
      <c r="Q1609" s="297" t="inlineStr">
        <is>
          <t>技法: 3/3 買進兩口</t>
        </is>
      </c>
      <c r="S1609" s="249" t="inlineStr">
        <is>
          <t>Yes</t>
        </is>
      </c>
      <c r="T1609" s="61">
        <f>IF(AND(R1609="Yes",S1609&lt;&gt;"Yes",L1609&gt;0,B1609&lt;&gt;"TXO"),L1609,"")</f>
        <v/>
      </c>
      <c r="U1609" s="61">
        <f>IF(AND(R1609="Yes",S1609&lt;&gt;"Yes",L1609&lt;0,B1609&lt;&gt;"TXO"),L1609,"")</f>
        <v/>
      </c>
      <c r="V1609" s="61">
        <f>IF(AND(R1609="",S1609&lt;&gt;"Yes",L1609&gt;0,B1609&lt;&gt;"TXO"),L1609,"")</f>
        <v/>
      </c>
      <c r="W1609" s="61">
        <f>IF(AND(R1609="",S1609&lt;&gt;"Yes",L1609&lt;0,B1609&lt;&gt;"TXO"),L1609,"")</f>
        <v/>
      </c>
      <c r="X1609" s="226">
        <f>IF(AND(R1609="Yes",S1609="Yes",L1609&gt;0,B1609&lt;&gt;"TXO"),L1609,"")</f>
        <v/>
      </c>
      <c r="Y1609" s="226">
        <f>IF(AND(R1609="Yes",S1609="Yes",L1609&lt;0,B1609&lt;&gt;"TXO"),L1609,"")</f>
        <v/>
      </c>
      <c r="Z1609" s="226">
        <f>IF(AND(R1609="",S1609="Yes",L1609&gt;0,B1609&lt;&gt;"TXO"),L1609,"")</f>
        <v/>
      </c>
      <c r="AA1609" s="226">
        <f>IF(AND(R1609="",S1609="Yes",L1609&lt;0,B1609&lt;&gt;"TXO"),L1609,"")</f>
        <v/>
      </c>
    </row>
    <row r="1610" hidden="1" outlineLevel="2" ht="17.25" customHeight="1" thickBot="1">
      <c r="A1610" s="696" t="n">
        <v>43402</v>
      </c>
      <c r="B1610" s="234" t="inlineStr">
        <is>
          <t>FIMTX</t>
        </is>
      </c>
      <c r="C1610" s="229" t="inlineStr">
        <is>
          <t>小指11</t>
        </is>
      </c>
      <c r="D1610" s="229" t="inlineStr">
        <is>
          <t>平倉</t>
        </is>
      </c>
      <c r="E1610" s="257" t="inlineStr">
        <is>
          <t>賣</t>
        </is>
      </c>
      <c r="F1610" s="229" t="inlineStr">
        <is>
          <t>-</t>
        </is>
      </c>
      <c r="G1610" s="697" t="n">
        <v>1</v>
      </c>
      <c r="H1610" s="697" t="n">
        <v>9528</v>
      </c>
      <c r="I1610" s="697" t="n">
        <v>0</v>
      </c>
      <c r="J1610" s="585" t="n">
        <v>23</v>
      </c>
      <c r="K1610" s="585" t="n">
        <v>10</v>
      </c>
      <c r="L1610" s="585">
        <f>IF(B1610="TXO",I1610-SUM(J1610:K1610),IF(B1610="FITX",IF(D1610="新倉",-SUM(J1610:K1610),IF(E1610="賣",(H1610-H1609)*G1610*200-SUM(J1610:K1610),(H1609-H1610)*G1610*200-SUM(J1610:K1610))),IF(D1610="新倉",-SUM(J1610:K1610),IF(E1610="賣",(H1610-H1609)*G1610*50-SUM(J1610:K1610),(H1609-H1610)*G1610*50-SUM(J1610:K1610)))))</f>
        <v/>
      </c>
      <c r="M1610" s="699">
        <f>L1610</f>
        <v/>
      </c>
      <c r="N1610" s="686">
        <f>IF(B1610="TXO","",IF(D1610="新倉","",IF(E1610="賣",(H1610-H1609)*G1610,(H1609-H1610)*G1610)))</f>
        <v/>
      </c>
      <c r="O1610" s="226" t="n">
        <v>0</v>
      </c>
      <c r="P1610" s="667" t="n"/>
      <c r="Q1610" s="249" t="inlineStr">
        <is>
          <t>技法: 刺補</t>
        </is>
      </c>
      <c r="S1610" s="249" t="inlineStr">
        <is>
          <t>Yes</t>
        </is>
      </c>
      <c r="T1610" s="61">
        <f>IF(AND(R1610="Yes",S1610&lt;&gt;"Yes",L1610&gt;0,B1610&lt;&gt;"TXO"),L1610,"")</f>
        <v/>
      </c>
      <c r="U1610" s="61">
        <f>IF(AND(R1610="Yes",S1610&lt;&gt;"Yes",L1610&lt;0,B1610&lt;&gt;"TXO"),L1610,"")</f>
        <v/>
      </c>
      <c r="V1610" s="61">
        <f>IF(AND(R1610="",S1610&lt;&gt;"Yes",L1610&gt;0,B1610&lt;&gt;"TXO"),L1610,"")</f>
        <v/>
      </c>
      <c r="W1610" s="61">
        <f>IF(AND(R1610="",S1610&lt;&gt;"Yes",L1610&lt;0,B1610&lt;&gt;"TXO"),L1610,"")</f>
        <v/>
      </c>
      <c r="X1610" s="226">
        <f>IF(AND(R1610="Yes",S1610="Yes",L1610&gt;0,B1610&lt;&gt;"TXO"),L1610,"")</f>
        <v/>
      </c>
      <c r="Y1610" s="226">
        <f>IF(AND(R1610="Yes",S1610="Yes",L1610&lt;0,B1610&lt;&gt;"TXO"),L1610,"")</f>
        <v/>
      </c>
      <c r="Z1610" s="226">
        <f>IF(AND(R1610="",S1610="Yes",L1610&gt;0,B1610&lt;&gt;"TXO"),L1610,"")</f>
        <v/>
      </c>
      <c r="AA1610" s="226">
        <f>IF(AND(R1610="",S1610="Yes",L1610&lt;0,B1610&lt;&gt;"TXO"),L1610,"")</f>
        <v/>
      </c>
    </row>
    <row r="1611" hidden="1" outlineLevel="2" ht="17.25" customHeight="1" thickBot="1">
      <c r="A1611" s="696" t="n">
        <v>43402</v>
      </c>
      <c r="B1611" s="234" t="inlineStr">
        <is>
          <t>FIMTX</t>
        </is>
      </c>
      <c r="C1611" s="229" t="inlineStr">
        <is>
          <t>小指11</t>
        </is>
      </c>
      <c r="D1611" s="229" t="inlineStr">
        <is>
          <t>新倉</t>
        </is>
      </c>
      <c r="E1611" s="257" t="inlineStr">
        <is>
          <t>買</t>
        </is>
      </c>
      <c r="F1611" s="229" t="inlineStr">
        <is>
          <t>-</t>
        </is>
      </c>
      <c r="G1611" s="697" t="n">
        <v>1</v>
      </c>
      <c r="H1611" s="697" t="n">
        <v>9515</v>
      </c>
      <c r="I1611" s="697" t="n">
        <v>0</v>
      </c>
      <c r="J1611" s="585" t="n">
        <v>23</v>
      </c>
      <c r="K1611" s="585" t="n">
        <v>10</v>
      </c>
      <c r="L1611" s="585">
        <f>IF(B1611="TXO",I1611-SUM(J1611:K1611),IF(B1611="FITX",IF(D1611="新倉",-SUM(J1611:K1611),IF(E1611="賣",(H1611-H1610)*G1611*200-SUM(J1611:K1611),(H1610-H1611)*G1611*200-SUM(J1611:K1611))),IF(D1611="新倉",-SUM(J1611:K1611),IF(E1611="賣",(H1611-H1610)*G1611*50-SUM(J1611:K1611),(H1610-H1611)*G1611*50-SUM(J1611:K1611)))))</f>
        <v/>
      </c>
      <c r="M1611" s="699">
        <f>L1611</f>
        <v/>
      </c>
      <c r="N1611" s="686">
        <f>IF(B1611="TXO","",IF(D1611="新倉","",IF(E1611="賣",(H1611-H1610)*G1611,(H1610-H1611)*G1611)))</f>
        <v/>
      </c>
      <c r="O1611" s="226" t="n">
        <v>0</v>
      </c>
      <c r="P1611" s="667" t="n"/>
      <c r="S1611" s="249" t="inlineStr">
        <is>
          <t>Yes</t>
        </is>
      </c>
      <c r="T1611" s="61">
        <f>IF(AND(R1611="Yes",S1611&lt;&gt;"Yes",L1611&gt;0,B1611&lt;&gt;"TXO"),L1611,"")</f>
        <v/>
      </c>
      <c r="U1611" s="61">
        <f>IF(AND(R1611="Yes",S1611&lt;&gt;"Yes",L1611&lt;0,B1611&lt;&gt;"TXO"),L1611,"")</f>
        <v/>
      </c>
      <c r="V1611" s="61">
        <f>IF(AND(R1611="",S1611&lt;&gt;"Yes",L1611&gt;0,B1611&lt;&gt;"TXO"),L1611,"")</f>
        <v/>
      </c>
      <c r="W1611" s="61">
        <f>IF(AND(R1611="",S1611&lt;&gt;"Yes",L1611&lt;0,B1611&lt;&gt;"TXO"),L1611,"")</f>
        <v/>
      </c>
      <c r="X1611" s="226">
        <f>IF(AND(R1611="Yes",S1611="Yes",L1611&gt;0,B1611&lt;&gt;"TXO"),L1611,"")</f>
        <v/>
      </c>
      <c r="Y1611" s="226">
        <f>IF(AND(R1611="Yes",S1611="Yes",L1611&lt;0,B1611&lt;&gt;"TXO"),L1611,"")</f>
        <v/>
      </c>
      <c r="Z1611" s="226">
        <f>IF(AND(R1611="",S1611="Yes",L1611&gt;0,B1611&lt;&gt;"TXO"),L1611,"")</f>
        <v/>
      </c>
      <c r="AA1611" s="226">
        <f>IF(AND(R1611="",S1611="Yes",L1611&lt;0,B1611&lt;&gt;"TXO"),L1611,"")</f>
        <v/>
      </c>
    </row>
    <row r="1612" hidden="1" outlineLevel="2" ht="17.25" customHeight="1" thickBot="1">
      <c r="A1612" s="696" t="n">
        <v>43402</v>
      </c>
      <c r="B1612" s="234" t="inlineStr">
        <is>
          <t>FIMTX</t>
        </is>
      </c>
      <c r="C1612" s="229" t="inlineStr">
        <is>
          <t>小指11</t>
        </is>
      </c>
      <c r="D1612" s="229" t="inlineStr">
        <is>
          <t>平倉</t>
        </is>
      </c>
      <c r="E1612" s="257" t="inlineStr">
        <is>
          <t>賣</t>
        </is>
      </c>
      <c r="F1612" s="229" t="inlineStr">
        <is>
          <t>-</t>
        </is>
      </c>
      <c r="G1612" s="697" t="n">
        <v>1</v>
      </c>
      <c r="H1612" s="697" t="n">
        <v>9510</v>
      </c>
      <c r="I1612" s="697" t="n">
        <v>0</v>
      </c>
      <c r="J1612" s="585" t="n">
        <v>23</v>
      </c>
      <c r="K1612" s="585" t="n">
        <v>10</v>
      </c>
      <c r="L1612" s="585">
        <f>IF(B1612="TXO",I1612-SUM(J1612:K1612),IF(B1612="FITX",IF(D1612="新倉",-SUM(J1612:K1612),IF(E1612="賣",(H1612-H1611)*G1612*200-SUM(J1612:K1612),(H1611-H1612)*G1612*200-SUM(J1612:K1612))),IF(D1612="新倉",-SUM(J1612:K1612),IF(E1612="賣",(H1612-H1611)*G1612*50-SUM(J1612:K1612),(H1611-H1612)*G1612*50-SUM(J1612:K1612)))))</f>
        <v/>
      </c>
      <c r="M1612" s="699">
        <f>L1612</f>
        <v/>
      </c>
      <c r="N1612" s="686">
        <f>IF(B1612="TXO","",IF(D1612="新倉","",IF(E1612="賣",(H1612-H1611)*G1612,(H1611-H1612)*G1612)))</f>
        <v/>
      </c>
      <c r="O1612" s="226" t="n">
        <v>0</v>
      </c>
      <c r="P1612" s="667" t="n"/>
      <c r="Q1612" s="249" t="inlineStr">
        <is>
          <t>技法: 碰10MA出場</t>
        </is>
      </c>
      <c r="S1612" s="249" t="inlineStr">
        <is>
          <t>Yes</t>
        </is>
      </c>
      <c r="T1612" s="61">
        <f>IF(AND(R1612="Yes",S1612&lt;&gt;"Yes",L1612&gt;0,B1612&lt;&gt;"TXO"),L1612,"")</f>
        <v/>
      </c>
      <c r="U1612" s="61">
        <f>IF(AND(R1612="Yes",S1612&lt;&gt;"Yes",L1612&lt;0,B1612&lt;&gt;"TXO"),L1612,"")</f>
        <v/>
      </c>
      <c r="V1612" s="61">
        <f>IF(AND(R1612="",S1612&lt;&gt;"Yes",L1612&gt;0,B1612&lt;&gt;"TXO"),L1612,"")</f>
        <v/>
      </c>
      <c r="W1612" s="61">
        <f>IF(AND(R1612="",S1612&lt;&gt;"Yes",L1612&lt;0,B1612&lt;&gt;"TXO"),L1612,"")</f>
        <v/>
      </c>
      <c r="X1612" s="226">
        <f>IF(AND(R1612="Yes",S1612="Yes",L1612&gt;0,B1612&lt;&gt;"TXO"),L1612,"")</f>
        <v/>
      </c>
      <c r="Y1612" s="226">
        <f>IF(AND(R1612="Yes",S1612="Yes",L1612&lt;0,B1612&lt;&gt;"TXO"),L1612,"")</f>
        <v/>
      </c>
      <c r="Z1612" s="226">
        <f>IF(AND(R1612="",S1612="Yes",L1612&gt;0,B1612&lt;&gt;"TXO"),L1612,"")</f>
        <v/>
      </c>
      <c r="AA1612" s="226">
        <f>IF(AND(R1612="",S1612="Yes",L1612&lt;0,B1612&lt;&gt;"TXO"),L1612,"")</f>
        <v/>
      </c>
    </row>
    <row r="1613" hidden="1" outlineLevel="2" ht="17.25" customHeight="1" thickBot="1">
      <c r="A1613" s="696" t="n">
        <v>43402</v>
      </c>
      <c r="B1613" s="234" t="inlineStr">
        <is>
          <t>FIMTX</t>
        </is>
      </c>
      <c r="C1613" s="229" t="inlineStr">
        <is>
          <t>小指11</t>
        </is>
      </c>
      <c r="D1613" s="229" t="inlineStr">
        <is>
          <t>新倉</t>
        </is>
      </c>
      <c r="E1613" s="257" t="inlineStr">
        <is>
          <t>賣</t>
        </is>
      </c>
      <c r="F1613" s="229" t="inlineStr">
        <is>
          <t>-</t>
        </is>
      </c>
      <c r="G1613" s="697" t="n">
        <v>1</v>
      </c>
      <c r="H1613" s="697" t="n">
        <v>9511</v>
      </c>
      <c r="I1613" s="697" t="n">
        <v>0</v>
      </c>
      <c r="J1613" s="585" t="n">
        <v>23</v>
      </c>
      <c r="K1613" s="585" t="n">
        <v>10</v>
      </c>
      <c r="L1613" s="585">
        <f>IF(B1613="TXO",I1613-SUM(J1613:K1613),IF(B1613="FITX",IF(D1613="新倉",-SUM(J1613:K1613),IF(E1613="賣",(H1613-H1612)*G1613*200-SUM(J1613:K1613),(H1612-H1613)*G1613*200-SUM(J1613:K1613))),IF(D1613="新倉",-SUM(J1613:K1613),IF(E1613="賣",(H1613-H1612)*G1613*50-SUM(J1613:K1613),(H1612-H1613)*G1613*50-SUM(J1613:K1613)))))</f>
        <v/>
      </c>
      <c r="M1613" s="699">
        <f>L1613</f>
        <v/>
      </c>
      <c r="N1613" s="686">
        <f>IF(B1613="TXO","",IF(D1613="新倉","",IF(E1613="賣",(H1613-H1612)*G1613,(H1612-H1613)*G1613)))</f>
        <v/>
      </c>
      <c r="O1613" s="226" t="n">
        <v>0</v>
      </c>
      <c r="P1613" s="667" t="n"/>
      <c r="Q1613" s="297" t="inlineStr">
        <is>
          <t>技法: 3/3 買進兩口</t>
        </is>
      </c>
      <c r="S1613" s="249" t="inlineStr">
        <is>
          <t>Yes</t>
        </is>
      </c>
      <c r="T1613" s="61">
        <f>IF(AND(R1613="Yes",S1613&lt;&gt;"Yes",L1613&gt;0,B1613&lt;&gt;"TXO"),L1613,"")</f>
        <v/>
      </c>
      <c r="U1613" s="61">
        <f>IF(AND(R1613="Yes",S1613&lt;&gt;"Yes",L1613&lt;0,B1613&lt;&gt;"TXO"),L1613,"")</f>
        <v/>
      </c>
      <c r="V1613" s="61">
        <f>IF(AND(R1613="",S1613&lt;&gt;"Yes",L1613&gt;0,B1613&lt;&gt;"TXO"),L1613,"")</f>
        <v/>
      </c>
      <c r="W1613" s="61">
        <f>IF(AND(R1613="",S1613&lt;&gt;"Yes",L1613&lt;0,B1613&lt;&gt;"TXO"),L1613,"")</f>
        <v/>
      </c>
      <c r="X1613" s="226">
        <f>IF(AND(R1613="Yes",S1613="Yes",L1613&gt;0,B1613&lt;&gt;"TXO"),L1613,"")</f>
        <v/>
      </c>
      <c r="Y1613" s="226">
        <f>IF(AND(R1613="Yes",S1613="Yes",L1613&lt;0,B1613&lt;&gt;"TXO"),L1613,"")</f>
        <v/>
      </c>
      <c r="Z1613" s="226">
        <f>IF(AND(R1613="",S1613="Yes",L1613&gt;0,B1613&lt;&gt;"TXO"),L1613,"")</f>
        <v/>
      </c>
      <c r="AA1613" s="226">
        <f>IF(AND(R1613="",S1613="Yes",L1613&lt;0,B1613&lt;&gt;"TXO"),L1613,"")</f>
        <v/>
      </c>
    </row>
    <row r="1614" hidden="1" outlineLevel="2" ht="17.25" customHeight="1" thickBot="1">
      <c r="A1614" s="696" t="n">
        <v>43402</v>
      </c>
      <c r="B1614" s="234" t="inlineStr">
        <is>
          <t>FIMTX</t>
        </is>
      </c>
      <c r="C1614" s="229" t="inlineStr">
        <is>
          <t>小指11</t>
        </is>
      </c>
      <c r="D1614" s="229" t="inlineStr">
        <is>
          <t>平倉</t>
        </is>
      </c>
      <c r="E1614" s="257" t="inlineStr">
        <is>
          <t>買</t>
        </is>
      </c>
      <c r="F1614" s="229" t="inlineStr">
        <is>
          <t>-</t>
        </is>
      </c>
      <c r="G1614" s="697" t="n">
        <v>1</v>
      </c>
      <c r="H1614" s="697" t="n">
        <v>9497</v>
      </c>
      <c r="I1614" s="697" t="n">
        <v>0</v>
      </c>
      <c r="J1614" s="585" t="n">
        <v>23</v>
      </c>
      <c r="K1614" s="585" t="n">
        <v>9</v>
      </c>
      <c r="L1614" s="585">
        <f>IF(B1614="TXO",I1614-SUM(J1614:K1614),IF(B1614="FITX",IF(D1614="新倉",-SUM(J1614:K1614),IF(E1614="賣",(H1614-H1613)*G1614*200-SUM(J1614:K1614),(H1613-H1614)*G1614*200-SUM(J1614:K1614))),IF(D1614="新倉",-SUM(J1614:K1614),IF(E1614="賣",(H1614-H1613)*G1614*50-SUM(J1614:K1614),(H1613-H1614)*G1614*50-SUM(J1614:K1614)))))</f>
        <v/>
      </c>
      <c r="M1614" s="699">
        <f>L1614</f>
        <v/>
      </c>
      <c r="N1614" s="686">
        <f>IF(B1614="TXO","",IF(D1614="新倉","",IF(E1614="賣",(H1614-H1613)*G1614,(H1613-H1614)*G1614)))</f>
        <v/>
      </c>
      <c r="O1614" s="226" t="n">
        <v>0</v>
      </c>
      <c r="P1614" s="667" t="n"/>
      <c r="Q1614" s="249" t="inlineStr">
        <is>
          <t>技法: 刺補</t>
        </is>
      </c>
      <c r="S1614" s="249" t="inlineStr">
        <is>
          <t>Yes</t>
        </is>
      </c>
      <c r="T1614" s="61">
        <f>IF(AND(R1614="Yes",S1614&lt;&gt;"Yes",L1614&gt;0,B1614&lt;&gt;"TXO"),L1614,"")</f>
        <v/>
      </c>
      <c r="U1614" s="61">
        <f>IF(AND(R1614="Yes",S1614&lt;&gt;"Yes",L1614&lt;0,B1614&lt;&gt;"TXO"),L1614,"")</f>
        <v/>
      </c>
      <c r="V1614" s="61">
        <f>IF(AND(R1614="",S1614&lt;&gt;"Yes",L1614&gt;0,B1614&lt;&gt;"TXO"),L1614,"")</f>
        <v/>
      </c>
      <c r="W1614" s="61">
        <f>IF(AND(R1614="",S1614&lt;&gt;"Yes",L1614&lt;0,B1614&lt;&gt;"TXO"),L1614,"")</f>
        <v/>
      </c>
      <c r="X1614" s="226">
        <f>IF(AND(R1614="Yes",S1614="Yes",L1614&gt;0,B1614&lt;&gt;"TXO"),L1614,"")</f>
        <v/>
      </c>
      <c r="Y1614" s="226">
        <f>IF(AND(R1614="Yes",S1614="Yes",L1614&lt;0,B1614&lt;&gt;"TXO"),L1614,"")</f>
        <v/>
      </c>
      <c r="Z1614" s="226">
        <f>IF(AND(R1614="",S1614="Yes",L1614&gt;0,B1614&lt;&gt;"TXO"),L1614,"")</f>
        <v/>
      </c>
      <c r="AA1614" s="226">
        <f>IF(AND(R1614="",S1614="Yes",L1614&lt;0,B1614&lt;&gt;"TXO"),L1614,"")</f>
        <v/>
      </c>
    </row>
    <row r="1615" hidden="1" outlineLevel="2" ht="17.25" customHeight="1" thickBot="1">
      <c r="A1615" s="696" t="n">
        <v>43402</v>
      </c>
      <c r="B1615" s="234" t="inlineStr">
        <is>
          <t>FIMTX</t>
        </is>
      </c>
      <c r="C1615" s="229" t="inlineStr">
        <is>
          <t>小指11</t>
        </is>
      </c>
      <c r="D1615" s="229" t="inlineStr">
        <is>
          <t>新倉</t>
        </is>
      </c>
      <c r="E1615" s="257" t="inlineStr">
        <is>
          <t>賣</t>
        </is>
      </c>
      <c r="F1615" s="229" t="inlineStr">
        <is>
          <t>-</t>
        </is>
      </c>
      <c r="G1615" s="697" t="n">
        <v>1</v>
      </c>
      <c r="H1615" s="697" t="n">
        <v>9511</v>
      </c>
      <c r="I1615" s="697" t="n">
        <v>0</v>
      </c>
      <c r="J1615" s="585" t="n">
        <v>23</v>
      </c>
      <c r="K1615" s="585" t="n">
        <v>10</v>
      </c>
      <c r="L1615" s="585">
        <f>IF(B1615="TXO",I1615-SUM(J1615:K1615),IF(B1615="FITX",IF(D1615="新倉",-SUM(J1615:K1615),IF(E1615="賣",(H1615-H1614)*G1615*200-SUM(J1615:K1615),(H1614-H1615)*G1615*200-SUM(J1615:K1615))),IF(D1615="新倉",-SUM(J1615:K1615),IF(E1615="賣",(H1615-H1614)*G1615*50-SUM(J1615:K1615),(H1614-H1615)*G1615*50-SUM(J1615:K1615)))))</f>
        <v/>
      </c>
      <c r="M1615" s="699">
        <f>L1615</f>
        <v/>
      </c>
      <c r="N1615" s="686">
        <f>IF(B1615="TXO","",IF(D1615="新倉","",IF(E1615="賣",(H1615-H1614)*G1615,(H1614-H1615)*G1615)))</f>
        <v/>
      </c>
      <c r="O1615" s="226" t="n">
        <v>0</v>
      </c>
      <c r="P1615" s="667" t="n"/>
      <c r="S1615" s="249" t="inlineStr">
        <is>
          <t>Yes</t>
        </is>
      </c>
      <c r="T1615" s="61">
        <f>IF(AND(R1615="Yes",S1615&lt;&gt;"Yes",L1615&gt;0,B1615&lt;&gt;"TXO"),L1615,"")</f>
        <v/>
      </c>
      <c r="U1615" s="61">
        <f>IF(AND(R1615="Yes",S1615&lt;&gt;"Yes",L1615&lt;0,B1615&lt;&gt;"TXO"),L1615,"")</f>
        <v/>
      </c>
      <c r="V1615" s="61">
        <f>IF(AND(R1615="",S1615&lt;&gt;"Yes",L1615&gt;0,B1615&lt;&gt;"TXO"),L1615,"")</f>
        <v/>
      </c>
      <c r="W1615" s="61">
        <f>IF(AND(R1615="",S1615&lt;&gt;"Yes",L1615&lt;0,B1615&lt;&gt;"TXO"),L1615,"")</f>
        <v/>
      </c>
      <c r="X1615" s="226">
        <f>IF(AND(R1615="Yes",S1615="Yes",L1615&gt;0,B1615&lt;&gt;"TXO"),L1615,"")</f>
        <v/>
      </c>
      <c r="Y1615" s="226">
        <f>IF(AND(R1615="Yes",S1615="Yes",L1615&lt;0,B1615&lt;&gt;"TXO"),L1615,"")</f>
        <v/>
      </c>
      <c r="Z1615" s="226">
        <f>IF(AND(R1615="",S1615="Yes",L1615&gt;0,B1615&lt;&gt;"TXO"),L1615,"")</f>
        <v/>
      </c>
      <c r="AA1615" s="226">
        <f>IF(AND(R1615="",S1615="Yes",L1615&lt;0,B1615&lt;&gt;"TXO"),L1615,"")</f>
        <v/>
      </c>
    </row>
    <row r="1616" hidden="1" outlineLevel="2" ht="17.25" customHeight="1" thickBot="1">
      <c r="A1616" s="696" t="n">
        <v>43402</v>
      </c>
      <c r="B1616" s="234" t="inlineStr">
        <is>
          <t>FIMTX</t>
        </is>
      </c>
      <c r="C1616" s="229" t="inlineStr">
        <is>
          <t>小指11</t>
        </is>
      </c>
      <c r="D1616" s="229" t="inlineStr">
        <is>
          <t>平倉</t>
        </is>
      </c>
      <c r="E1616" s="257" t="inlineStr">
        <is>
          <t>買</t>
        </is>
      </c>
      <c r="F1616" s="229" t="inlineStr">
        <is>
          <t>-</t>
        </is>
      </c>
      <c r="G1616" s="697" t="n">
        <v>1</v>
      </c>
      <c r="H1616" s="697" t="n">
        <v>9498</v>
      </c>
      <c r="I1616" s="697" t="n">
        <v>0</v>
      </c>
      <c r="J1616" s="585" t="n">
        <v>23</v>
      </c>
      <c r="K1616" s="585" t="n">
        <v>9</v>
      </c>
      <c r="L1616" s="585">
        <f>IF(B1616="TXO",I1616-SUM(J1616:K1616),IF(B1616="FITX",IF(D1616="新倉",-SUM(J1616:K1616),IF(E1616="賣",(H1616-H1615)*G1616*200-SUM(J1616:K1616),(H1615-H1616)*G1616*200-SUM(J1616:K1616))),IF(D1616="新倉",-SUM(J1616:K1616),IF(E1616="賣",(H1616-H1615)*G1616*50-SUM(J1616:K1616),(H1615-H1616)*G1616*50-SUM(J1616:K1616)))))</f>
        <v/>
      </c>
      <c r="M1616" s="699">
        <f>L1616</f>
        <v/>
      </c>
      <c r="N1616" s="686">
        <f>IF(B1616="TXO","",IF(D1616="新倉","",IF(E1616="賣",(H1616-H1615)*G1616,(H1615-H1616)*G1616)))</f>
        <v/>
      </c>
      <c r="O1616" s="226" t="n">
        <v>0</v>
      </c>
      <c r="P1616" s="667" t="n"/>
      <c r="Q1616" s="249" t="inlineStr">
        <is>
          <t>技法: 刺補</t>
        </is>
      </c>
      <c r="S1616" s="249" t="inlineStr">
        <is>
          <t>Yes</t>
        </is>
      </c>
      <c r="T1616" s="61">
        <f>IF(AND(R1616="Yes",S1616&lt;&gt;"Yes",L1616&gt;0,B1616&lt;&gt;"TXO"),L1616,"")</f>
        <v/>
      </c>
      <c r="U1616" s="61">
        <f>IF(AND(R1616="Yes",S1616&lt;&gt;"Yes",L1616&lt;0,B1616&lt;&gt;"TXO"),L1616,"")</f>
        <v/>
      </c>
      <c r="V1616" s="61">
        <f>IF(AND(R1616="",S1616&lt;&gt;"Yes",L1616&gt;0,B1616&lt;&gt;"TXO"),L1616,"")</f>
        <v/>
      </c>
      <c r="W1616" s="61">
        <f>IF(AND(R1616="",S1616&lt;&gt;"Yes",L1616&lt;0,B1616&lt;&gt;"TXO"),L1616,"")</f>
        <v/>
      </c>
      <c r="X1616" s="226">
        <f>IF(AND(R1616="Yes",S1616="Yes",L1616&gt;0,B1616&lt;&gt;"TXO"),L1616,"")</f>
        <v/>
      </c>
      <c r="Y1616" s="226">
        <f>IF(AND(R1616="Yes",S1616="Yes",L1616&lt;0,B1616&lt;&gt;"TXO"),L1616,"")</f>
        <v/>
      </c>
      <c r="Z1616" s="226">
        <f>IF(AND(R1616="",S1616="Yes",L1616&gt;0,B1616&lt;&gt;"TXO"),L1616,"")</f>
        <v/>
      </c>
      <c r="AA1616" s="226">
        <f>IF(AND(R1616="",S1616="Yes",L1616&lt;0,B1616&lt;&gt;"TXO"),L1616,"")</f>
        <v/>
      </c>
    </row>
    <row r="1617" hidden="1" outlineLevel="1" ht="33.75" customHeight="1" thickBot="1">
      <c r="A1617" s="740" t="n">
        <v>43403</v>
      </c>
      <c r="B1617" s="299" t="inlineStr">
        <is>
          <t>FIMTX</t>
        </is>
      </c>
      <c r="C1617" s="300" t="inlineStr">
        <is>
          <t>小指11</t>
        </is>
      </c>
      <c r="D1617" s="300" t="inlineStr">
        <is>
          <t>新倉</t>
        </is>
      </c>
      <c r="E1617" s="301" t="inlineStr">
        <is>
          <t>買</t>
        </is>
      </c>
      <c r="F1617" s="300" t="inlineStr">
        <is>
          <t>-</t>
        </is>
      </c>
      <c r="G1617" s="741" t="n">
        <v>1</v>
      </c>
      <c r="H1617" s="741" t="n">
        <v>9538</v>
      </c>
      <c r="I1617" s="741" t="n">
        <v>0</v>
      </c>
      <c r="J1617" s="742" t="n">
        <v>23</v>
      </c>
      <c r="K1617" s="742" t="n">
        <v>10</v>
      </c>
      <c r="L1617" s="742">
        <f>IF(B1617="TXO",I1617-SUM(J1617:K1617),IF(B1617="FITX",IF(D1617="新倉",-SUM(J1617:K1617),IF(E1617="賣",(H1617-H1616)*G1617*200-SUM(J1617:K1617),(H1616-H1617)*G1617*200-SUM(J1617:K1617))),IF(D1617="新倉",-SUM(J1617:K1617),IF(E1617="賣",(H1617-H1616)*G1617*50-SUM(J1617:K1617),(H1616-H1617)*G1617*50-SUM(J1617:K1617)))))</f>
        <v/>
      </c>
      <c r="M1617" s="743">
        <f>L1617</f>
        <v/>
      </c>
      <c r="N1617" s="686">
        <f>IF(B1617="TXO","",IF(D1617="新倉","",IF(E1617="賣",(H1617-H1616)*G1617,(H1616-H1617)*G1617)))</f>
        <v/>
      </c>
      <c r="O1617" s="226" t="n">
        <v>0</v>
      </c>
      <c r="P1617" s="667">
        <f>SUM(L1617:L1628)</f>
        <v/>
      </c>
      <c r="Q1617" s="315" t="inlineStr">
        <is>
          <t>技法: 籌碼三強，突破開盤高點下多單</t>
        </is>
      </c>
      <c r="S1617" s="249" t="inlineStr">
        <is>
          <t>Yes</t>
        </is>
      </c>
      <c r="T1617" s="61">
        <f>IF(AND(R1617="Yes",S1617&lt;&gt;"Yes",L1617&gt;0,B1617&lt;&gt;"TXO"),L1617,"")</f>
        <v/>
      </c>
      <c r="U1617" s="61">
        <f>IF(AND(R1617="Yes",S1617&lt;&gt;"Yes",L1617&lt;0,B1617&lt;&gt;"TXO"),L1617,"")</f>
        <v/>
      </c>
      <c r="V1617" s="61">
        <f>IF(AND(R1617="",S1617&lt;&gt;"Yes",L1617&gt;0,B1617&lt;&gt;"TXO"),L1617,"")</f>
        <v/>
      </c>
      <c r="W1617" s="61">
        <f>IF(AND(R1617="",S1617&lt;&gt;"Yes",L1617&lt;0,B1617&lt;&gt;"TXO"),L1617,"")</f>
        <v/>
      </c>
      <c r="X1617" s="226">
        <f>IF(AND(R1617="Yes",S1617="Yes",L1617&gt;0,B1617&lt;&gt;"TXO"),L1617,"")</f>
        <v/>
      </c>
      <c r="Y1617" s="226">
        <f>IF(AND(R1617="Yes",S1617="Yes",L1617&lt;0,B1617&lt;&gt;"TXO"),L1617,"")</f>
        <v/>
      </c>
      <c r="Z1617" s="226">
        <f>IF(AND(R1617="",S1617="Yes",L1617&gt;0,B1617&lt;&gt;"TXO"),L1617,"")</f>
        <v/>
      </c>
      <c r="AA1617" s="226">
        <f>IF(AND(R1617="",S1617="Yes",L1617&lt;0,B1617&lt;&gt;"TXO"),L1617,"")</f>
        <v/>
      </c>
    </row>
    <row r="1618" hidden="1" outlineLevel="2" ht="17.25" customHeight="1" thickBot="1">
      <c r="A1618" s="740" t="n">
        <v>43403</v>
      </c>
      <c r="B1618" s="299" t="inlineStr">
        <is>
          <t>FIMTX</t>
        </is>
      </c>
      <c r="C1618" s="300" t="inlineStr">
        <is>
          <t>小指11</t>
        </is>
      </c>
      <c r="D1618" s="300" t="inlineStr">
        <is>
          <t>平倉</t>
        </is>
      </c>
      <c r="E1618" s="301" t="inlineStr">
        <is>
          <t>賣</t>
        </is>
      </c>
      <c r="F1618" s="300" t="inlineStr">
        <is>
          <t>-</t>
        </is>
      </c>
      <c r="G1618" s="741" t="n">
        <v>1</v>
      </c>
      <c r="H1618" s="741" t="n">
        <v>9546</v>
      </c>
      <c r="I1618" s="741" t="n">
        <v>0</v>
      </c>
      <c r="J1618" s="742" t="n">
        <v>23</v>
      </c>
      <c r="K1618" s="742" t="n">
        <v>10</v>
      </c>
      <c r="L1618" s="742">
        <f>IF(B1618="TXO",I1618-SUM(J1618:K1618),IF(B1618="FITX",IF(D1618="新倉",-SUM(J1618:K1618),IF(E1618="賣",(H1618-H1617)*G1618*200-SUM(J1618:K1618),(H1617-H1618)*G1618*200-SUM(J1618:K1618))),IF(D1618="新倉",-SUM(J1618:K1618),IF(E1618="賣",(H1618-H1617)*G1618*50-SUM(J1618:K1618),(H1617-H1618)*G1618*50-SUM(J1618:K1618)))))</f>
        <v/>
      </c>
      <c r="M1618" s="743">
        <f>L1618</f>
        <v/>
      </c>
      <c r="N1618" s="686">
        <f>IF(B1618="TXO","",IF(D1618="新倉","",IF(E1618="賣",(H1618-H1617)*G1618,(H1617-H1618)*G1618)))</f>
        <v/>
      </c>
      <c r="O1618" s="226" t="n">
        <v>0</v>
      </c>
      <c r="P1618" s="667" t="n"/>
      <c r="Q1618" s="315" t="inlineStr">
        <is>
          <t>元大移動式停利</t>
        </is>
      </c>
      <c r="S1618" s="249" t="inlineStr">
        <is>
          <t>Yes</t>
        </is>
      </c>
      <c r="T1618" s="61">
        <f>IF(AND(R1618="Yes",S1618&lt;&gt;"Yes",L1618&gt;0,B1618&lt;&gt;"TXO"),L1618,"")</f>
        <v/>
      </c>
      <c r="U1618" s="61">
        <f>IF(AND(R1618="Yes",S1618&lt;&gt;"Yes",L1618&lt;0,B1618&lt;&gt;"TXO"),L1618,"")</f>
        <v/>
      </c>
      <c r="V1618" s="61">
        <f>IF(AND(R1618="",S1618&lt;&gt;"Yes",L1618&gt;0,B1618&lt;&gt;"TXO"),L1618,"")</f>
        <v/>
      </c>
      <c r="W1618" s="61">
        <f>IF(AND(R1618="",S1618&lt;&gt;"Yes",L1618&lt;0,B1618&lt;&gt;"TXO"),L1618,"")</f>
        <v/>
      </c>
      <c r="X1618" s="226">
        <f>IF(AND(R1618="Yes",S1618="Yes",L1618&gt;0,B1618&lt;&gt;"TXO"),L1618,"")</f>
        <v/>
      </c>
      <c r="Y1618" s="226">
        <f>IF(AND(R1618="Yes",S1618="Yes",L1618&lt;0,B1618&lt;&gt;"TXO"),L1618,"")</f>
        <v/>
      </c>
      <c r="Z1618" s="226">
        <f>IF(AND(R1618="",S1618="Yes",L1618&gt;0,B1618&lt;&gt;"TXO"),L1618,"")</f>
        <v/>
      </c>
      <c r="AA1618" s="226">
        <f>IF(AND(R1618="",S1618="Yes",L1618&lt;0,B1618&lt;&gt;"TXO"),L1618,"")</f>
        <v/>
      </c>
    </row>
    <row r="1619" hidden="1" outlineLevel="2" collapsed="1" ht="33.75" customHeight="1" thickBot="1">
      <c r="A1619" s="740" t="n">
        <v>43403</v>
      </c>
      <c r="B1619" s="299" t="inlineStr">
        <is>
          <t>FIMTX</t>
        </is>
      </c>
      <c r="C1619" s="300" t="inlineStr">
        <is>
          <t>小指11</t>
        </is>
      </c>
      <c r="D1619" s="300" t="inlineStr">
        <is>
          <t>新倉</t>
        </is>
      </c>
      <c r="E1619" s="301" t="inlineStr">
        <is>
          <t>買</t>
        </is>
      </c>
      <c r="F1619" s="300" t="inlineStr">
        <is>
          <t>-</t>
        </is>
      </c>
      <c r="G1619" s="741" t="n">
        <v>1</v>
      </c>
      <c r="H1619" s="741" t="n">
        <v>9543</v>
      </c>
      <c r="I1619" s="741" t="n">
        <v>0</v>
      </c>
      <c r="J1619" s="742" t="n">
        <v>23</v>
      </c>
      <c r="K1619" s="742" t="n">
        <v>10</v>
      </c>
      <c r="L1619" s="742">
        <f>IF(B1619="TXO",I1619-SUM(J1619:K1619),IF(B1619="FITX",IF(D1619="新倉",-SUM(J1619:K1619),IF(E1619="賣",(H1619-H1618)*G1619*200-SUM(J1619:K1619),(H1618-H1619)*G1619*200-SUM(J1619:K1619))),IF(D1619="新倉",-SUM(J1619:K1619),IF(E1619="賣",(H1619-H1618)*G1619*50-SUM(J1619:K1619),(H1618-H1619)*G1619*50-SUM(J1619:K1619)))))</f>
        <v/>
      </c>
      <c r="M1619" s="743">
        <f>L1619</f>
        <v/>
      </c>
      <c r="N1619" s="686">
        <f>IF(B1619="TXO","",IF(D1619="新倉","",IF(E1619="賣",(H1619-H1618)*G1619,(H1618-H1619)*G1619)))</f>
        <v/>
      </c>
      <c r="O1619" s="226" t="n">
        <v>0</v>
      </c>
      <c r="P1619" s="667" t="n"/>
      <c r="Q1619" s="315" t="inlineStr">
        <is>
          <t>技法: 籌碼三強，突破開盤高點下多單</t>
        </is>
      </c>
      <c r="S1619" s="249" t="inlineStr">
        <is>
          <t>Yes</t>
        </is>
      </c>
      <c r="T1619" s="61">
        <f>IF(AND(R1619="Yes",S1619&lt;&gt;"Yes",L1619&gt;0,B1619&lt;&gt;"TXO"),L1619,"")</f>
        <v/>
      </c>
      <c r="U1619" s="61">
        <f>IF(AND(R1619="Yes",S1619&lt;&gt;"Yes",L1619&lt;0,B1619&lt;&gt;"TXO"),L1619,"")</f>
        <v/>
      </c>
      <c r="V1619" s="61">
        <f>IF(AND(R1619="",S1619&lt;&gt;"Yes",L1619&gt;0,B1619&lt;&gt;"TXO"),L1619,"")</f>
        <v/>
      </c>
      <c r="W1619" s="61">
        <f>IF(AND(R1619="",S1619&lt;&gt;"Yes",L1619&lt;0,B1619&lt;&gt;"TXO"),L1619,"")</f>
        <v/>
      </c>
      <c r="X1619" s="226">
        <f>IF(AND(R1619="Yes",S1619="Yes",L1619&gt;0,B1619&lt;&gt;"TXO"),L1619,"")</f>
        <v/>
      </c>
      <c r="Y1619" s="226">
        <f>IF(AND(R1619="Yes",S1619="Yes",L1619&lt;0,B1619&lt;&gt;"TXO"),L1619,"")</f>
        <v/>
      </c>
      <c r="Z1619" s="226">
        <f>IF(AND(R1619="",S1619="Yes",L1619&gt;0,B1619&lt;&gt;"TXO"),L1619,"")</f>
        <v/>
      </c>
      <c r="AA1619" s="226">
        <f>IF(AND(R1619="",S1619="Yes",L1619&lt;0,B1619&lt;&gt;"TXO"),L1619,"")</f>
        <v/>
      </c>
    </row>
    <row r="1620" hidden="1" outlineLevel="2" collapsed="1" ht="17.25" customHeight="1" thickBot="1">
      <c r="A1620" s="740" t="n">
        <v>43403</v>
      </c>
      <c r="B1620" s="299" t="inlineStr">
        <is>
          <t>FIMTX</t>
        </is>
      </c>
      <c r="C1620" s="300" t="inlineStr">
        <is>
          <t>小指11</t>
        </is>
      </c>
      <c r="D1620" s="300" t="inlineStr">
        <is>
          <t>平倉</t>
        </is>
      </c>
      <c r="E1620" s="301" t="inlineStr">
        <is>
          <t>賣</t>
        </is>
      </c>
      <c r="F1620" s="300" t="inlineStr">
        <is>
          <t>-</t>
        </is>
      </c>
      <c r="G1620" s="741" t="n">
        <v>1</v>
      </c>
      <c r="H1620" s="741" t="n">
        <v>9552</v>
      </c>
      <c r="I1620" s="741" t="n">
        <v>0</v>
      </c>
      <c r="J1620" s="742" t="n">
        <v>23</v>
      </c>
      <c r="K1620" s="742" t="n">
        <v>10</v>
      </c>
      <c r="L1620" s="742">
        <f>IF(B1620="TXO",I1620-SUM(J1620:K1620),IF(B1620="FITX",IF(D1620="新倉",-SUM(J1620:K1620),IF(E1620="賣",(H1620-H1619)*G1620*200-SUM(J1620:K1620),(H1619-H1620)*G1620*200-SUM(J1620:K1620))),IF(D1620="新倉",-SUM(J1620:K1620),IF(E1620="賣",(H1620-H1619)*G1620*50-SUM(J1620:K1620),(H1619-H1620)*G1620*50-SUM(J1620:K1620)))))</f>
        <v/>
      </c>
      <c r="M1620" s="743">
        <f>L1620</f>
        <v/>
      </c>
      <c r="N1620" s="686">
        <f>IF(B1620="TXO","",IF(D1620="新倉","",IF(E1620="賣",(H1620-H1619)*G1620,(H1619-H1620)*G1620)))</f>
        <v/>
      </c>
      <c r="O1620" s="226" t="n">
        <v>0</v>
      </c>
      <c r="P1620" s="667" t="n"/>
      <c r="Q1620" s="315" t="inlineStr">
        <is>
          <t>元大移動式停利</t>
        </is>
      </c>
      <c r="S1620" s="249" t="inlineStr">
        <is>
          <t>Yes</t>
        </is>
      </c>
      <c r="T1620" s="61">
        <f>IF(AND(R1620="Yes",S1620&lt;&gt;"Yes",L1620&gt;0,B1620&lt;&gt;"TXO"),L1620,"")</f>
        <v/>
      </c>
      <c r="U1620" s="61">
        <f>IF(AND(R1620="Yes",S1620&lt;&gt;"Yes",L1620&lt;0,B1620&lt;&gt;"TXO"),L1620,"")</f>
        <v/>
      </c>
      <c r="V1620" s="61">
        <f>IF(AND(R1620="",S1620&lt;&gt;"Yes",L1620&gt;0,B1620&lt;&gt;"TXO"),L1620,"")</f>
        <v/>
      </c>
      <c r="W1620" s="61">
        <f>IF(AND(R1620="",S1620&lt;&gt;"Yes",L1620&lt;0,B1620&lt;&gt;"TXO"),L1620,"")</f>
        <v/>
      </c>
      <c r="X1620" s="226">
        <f>IF(AND(R1620="Yes",S1620="Yes",L1620&gt;0,B1620&lt;&gt;"TXO"),L1620,"")</f>
        <v/>
      </c>
      <c r="Y1620" s="226">
        <f>IF(AND(R1620="Yes",S1620="Yes",L1620&lt;0,B1620&lt;&gt;"TXO"),L1620,"")</f>
        <v/>
      </c>
      <c r="Z1620" s="226">
        <f>IF(AND(R1620="",S1620="Yes",L1620&gt;0,B1620&lt;&gt;"TXO"),L1620,"")</f>
        <v/>
      </c>
      <c r="AA1620" s="226">
        <f>IF(AND(R1620="",S1620="Yes",L1620&lt;0,B1620&lt;&gt;"TXO"),L1620,"")</f>
        <v/>
      </c>
    </row>
    <row r="1621" hidden="1" outlineLevel="2" collapsed="1" ht="17.25" customHeight="1" thickBot="1">
      <c r="A1621" s="740" t="n">
        <v>43403</v>
      </c>
      <c r="B1621" s="299" t="inlineStr">
        <is>
          <t>FIMTX</t>
        </is>
      </c>
      <c r="C1621" s="300" t="inlineStr">
        <is>
          <t>小指11</t>
        </is>
      </c>
      <c r="D1621" s="300" t="inlineStr">
        <is>
          <t>新倉</t>
        </is>
      </c>
      <c r="E1621" s="301" t="inlineStr">
        <is>
          <t>賣</t>
        </is>
      </c>
      <c r="F1621" s="300" t="inlineStr">
        <is>
          <t>-</t>
        </is>
      </c>
      <c r="G1621" s="741" t="n">
        <v>1</v>
      </c>
      <c r="H1621" s="741" t="n">
        <v>9528</v>
      </c>
      <c r="I1621" s="741" t="n">
        <v>0</v>
      </c>
      <c r="J1621" s="742" t="n">
        <v>23</v>
      </c>
      <c r="K1621" s="742" t="n">
        <v>10</v>
      </c>
      <c r="L1621" s="742">
        <f>IF(B1621="TXO",I1621-SUM(J1621:K1621),IF(B1621="FITX",IF(D1621="新倉",-SUM(J1621:K1621),IF(E1621="賣",(H1621-H1620)*G1621*200-SUM(J1621:K1621),(H1620-H1621)*G1621*200-SUM(J1621:K1621))),IF(D1621="新倉",-SUM(J1621:K1621),IF(E1621="賣",(H1621-H1620)*G1621*50-SUM(J1621:K1621),(H1620-H1621)*G1621*50-SUM(J1621:K1621)))))</f>
        <v/>
      </c>
      <c r="M1621" s="743">
        <f>L1621</f>
        <v/>
      </c>
      <c r="N1621" s="686">
        <f>IF(B1621="TXO","",IF(D1621="新倉","",IF(E1621="賣",(H1621-H1620)*G1621,(H1620-H1621)*G1621)))</f>
        <v/>
      </c>
      <c r="O1621" s="226" t="n">
        <v>0</v>
      </c>
      <c r="P1621" s="667" t="n"/>
      <c r="Q1621" s="297" t="inlineStr">
        <is>
          <t>技法: 3/3 買進兩口</t>
        </is>
      </c>
      <c r="S1621" s="249" t="inlineStr">
        <is>
          <t>Yes</t>
        </is>
      </c>
      <c r="T1621" s="61">
        <f>IF(AND(R1621="Yes",S1621&lt;&gt;"Yes",L1621&gt;0,B1621&lt;&gt;"TXO"),L1621,"")</f>
        <v/>
      </c>
      <c r="U1621" s="61">
        <f>IF(AND(R1621="Yes",S1621&lt;&gt;"Yes",L1621&lt;0,B1621&lt;&gt;"TXO"),L1621,"")</f>
        <v/>
      </c>
      <c r="V1621" s="61">
        <f>IF(AND(R1621="",S1621&lt;&gt;"Yes",L1621&gt;0,B1621&lt;&gt;"TXO"),L1621,"")</f>
        <v/>
      </c>
      <c r="W1621" s="61">
        <f>IF(AND(R1621="",S1621&lt;&gt;"Yes",L1621&lt;0,B1621&lt;&gt;"TXO"),L1621,"")</f>
        <v/>
      </c>
      <c r="X1621" s="226">
        <f>IF(AND(R1621="Yes",S1621="Yes",L1621&gt;0,B1621&lt;&gt;"TXO"),L1621,"")</f>
        <v/>
      </c>
      <c r="Y1621" s="226">
        <f>IF(AND(R1621="Yes",S1621="Yes",L1621&lt;0,B1621&lt;&gt;"TXO"),L1621,"")</f>
        <v/>
      </c>
      <c r="Z1621" s="226">
        <f>IF(AND(R1621="",S1621="Yes",L1621&gt;0,B1621&lt;&gt;"TXO"),L1621,"")</f>
        <v/>
      </c>
      <c r="AA1621" s="226">
        <f>IF(AND(R1621="",S1621="Yes",L1621&lt;0,B1621&lt;&gt;"TXO"),L1621,"")</f>
        <v/>
      </c>
    </row>
    <row r="1622" hidden="1" outlineLevel="2" collapsed="1" ht="17.25" customHeight="1" thickBot="1">
      <c r="A1622" s="740" t="n">
        <v>43403</v>
      </c>
      <c r="B1622" s="299" t="inlineStr">
        <is>
          <t>FIMTX</t>
        </is>
      </c>
      <c r="C1622" s="300" t="inlineStr">
        <is>
          <t>小指11</t>
        </is>
      </c>
      <c r="D1622" s="300" t="inlineStr">
        <is>
          <t>平倉</t>
        </is>
      </c>
      <c r="E1622" s="301" t="inlineStr">
        <is>
          <t>買</t>
        </is>
      </c>
      <c r="F1622" s="300" t="inlineStr">
        <is>
          <t>-</t>
        </is>
      </c>
      <c r="G1622" s="741" t="n">
        <v>1</v>
      </c>
      <c r="H1622" s="741" t="n">
        <v>9525</v>
      </c>
      <c r="I1622" s="741" t="n">
        <v>0</v>
      </c>
      <c r="J1622" s="742" t="n">
        <v>23</v>
      </c>
      <c r="K1622" s="742" t="n">
        <v>10</v>
      </c>
      <c r="L1622" s="742">
        <f>IF(B1622="TXO",I1622-SUM(J1622:K1622),IF(B1622="FITX",IF(D1622="新倉",-SUM(J1622:K1622),IF(E1622="賣",(H1622-H1621)*G1622*200-SUM(J1622:K1622),(H1621-H1622)*G1622*200-SUM(J1622:K1622))),IF(D1622="新倉",-SUM(J1622:K1622),IF(E1622="賣",(H1622-H1621)*G1622*50-SUM(J1622:K1622),(H1621-H1622)*G1622*50-SUM(J1622:K1622)))))</f>
        <v/>
      </c>
      <c r="M1622" s="743">
        <f>L1622</f>
        <v/>
      </c>
      <c r="N1622" s="686">
        <f>IF(B1622="TXO","",IF(D1622="新倉","",IF(E1622="賣",(H1622-H1621)*G1622,(H1621-H1622)*G1622)))</f>
        <v/>
      </c>
      <c r="O1622" s="226" t="n">
        <v>0</v>
      </c>
      <c r="P1622" s="667" t="n"/>
      <c r="Q1622" s="249" t="inlineStr">
        <is>
          <t>技法: 刺補</t>
        </is>
      </c>
      <c r="S1622" s="249" t="inlineStr">
        <is>
          <t>Yes</t>
        </is>
      </c>
      <c r="T1622" s="61">
        <f>IF(AND(R1622="Yes",S1622&lt;&gt;"Yes",L1622&gt;0,B1622&lt;&gt;"TXO"),L1622,"")</f>
        <v/>
      </c>
      <c r="U1622" s="61">
        <f>IF(AND(R1622="Yes",S1622&lt;&gt;"Yes",L1622&lt;0,B1622&lt;&gt;"TXO"),L1622,"")</f>
        <v/>
      </c>
      <c r="V1622" s="61">
        <f>IF(AND(R1622="",S1622&lt;&gt;"Yes",L1622&gt;0,B1622&lt;&gt;"TXO"),L1622,"")</f>
        <v/>
      </c>
      <c r="W1622" s="61">
        <f>IF(AND(R1622="",S1622&lt;&gt;"Yes",L1622&lt;0,B1622&lt;&gt;"TXO"),L1622,"")</f>
        <v/>
      </c>
      <c r="X1622" s="226">
        <f>IF(AND(R1622="Yes",S1622="Yes",L1622&gt;0,B1622&lt;&gt;"TXO"),L1622,"")</f>
        <v/>
      </c>
      <c r="Y1622" s="226">
        <f>IF(AND(R1622="Yes",S1622="Yes",L1622&lt;0,B1622&lt;&gt;"TXO"),L1622,"")</f>
        <v/>
      </c>
      <c r="Z1622" s="226">
        <f>IF(AND(R1622="",S1622="Yes",L1622&gt;0,B1622&lt;&gt;"TXO"),L1622,"")</f>
        <v/>
      </c>
      <c r="AA1622" s="226">
        <f>IF(AND(R1622="",S1622="Yes",L1622&lt;0,B1622&lt;&gt;"TXO"),L1622,"")</f>
        <v/>
      </c>
    </row>
    <row r="1623" hidden="1" outlineLevel="2" collapsed="1" ht="17.25" customHeight="1" thickBot="1">
      <c r="A1623" s="740" t="n">
        <v>43403</v>
      </c>
      <c r="B1623" s="299" t="inlineStr">
        <is>
          <t>FIMTX</t>
        </is>
      </c>
      <c r="C1623" s="300" t="inlineStr">
        <is>
          <t>小指11</t>
        </is>
      </c>
      <c r="D1623" s="300" t="inlineStr">
        <is>
          <t>新倉</t>
        </is>
      </c>
      <c r="E1623" s="301" t="inlineStr">
        <is>
          <t>賣</t>
        </is>
      </c>
      <c r="F1623" s="300" t="inlineStr">
        <is>
          <t>-</t>
        </is>
      </c>
      <c r="G1623" s="741" t="n">
        <v>1</v>
      </c>
      <c r="H1623" s="741" t="n">
        <v>9528</v>
      </c>
      <c r="I1623" s="741" t="n">
        <v>0</v>
      </c>
      <c r="J1623" s="742" t="n">
        <v>23</v>
      </c>
      <c r="K1623" s="742" t="n">
        <v>10</v>
      </c>
      <c r="L1623" s="742">
        <f>IF(B1623="TXO",I1623-SUM(J1623:K1623),IF(B1623="FITX",IF(D1623="新倉",-SUM(J1623:K1623),IF(E1623="賣",(H1623-H1622)*G1623*200-SUM(J1623:K1623),(H1622-H1623)*G1623*200-SUM(J1623:K1623))),IF(D1623="新倉",-SUM(J1623:K1623),IF(E1623="賣",(H1623-H1622)*G1623*50-SUM(J1623:K1623),(H1622-H1623)*G1623*50-SUM(J1623:K1623)))))</f>
        <v/>
      </c>
      <c r="M1623" s="743">
        <f>L1623</f>
        <v/>
      </c>
      <c r="N1623" s="686">
        <f>IF(B1623="TXO","",IF(D1623="新倉","",IF(E1623="賣",(H1623-H1622)*G1623,(H1622-H1623)*G1623)))</f>
        <v/>
      </c>
      <c r="O1623" s="226" t="n">
        <v>0</v>
      </c>
      <c r="P1623" s="667" t="n"/>
      <c r="Q1623" s="315" t="n"/>
      <c r="S1623" s="249" t="inlineStr">
        <is>
          <t>Yes</t>
        </is>
      </c>
      <c r="T1623" s="61">
        <f>IF(AND(R1623="Yes",S1623&lt;&gt;"Yes",L1623&gt;0,B1623&lt;&gt;"TXO"),L1623,"")</f>
        <v/>
      </c>
      <c r="U1623" s="61">
        <f>IF(AND(R1623="Yes",S1623&lt;&gt;"Yes",L1623&lt;0,B1623&lt;&gt;"TXO"),L1623,"")</f>
        <v/>
      </c>
      <c r="V1623" s="61">
        <f>IF(AND(R1623="",S1623&lt;&gt;"Yes",L1623&gt;0,B1623&lt;&gt;"TXO"),L1623,"")</f>
        <v/>
      </c>
      <c r="W1623" s="61">
        <f>IF(AND(R1623="",S1623&lt;&gt;"Yes",L1623&lt;0,B1623&lt;&gt;"TXO"),L1623,"")</f>
        <v/>
      </c>
      <c r="X1623" s="226">
        <f>IF(AND(R1623="Yes",S1623="Yes",L1623&gt;0,B1623&lt;&gt;"TXO"),L1623,"")</f>
        <v/>
      </c>
      <c r="Y1623" s="226">
        <f>IF(AND(R1623="Yes",S1623="Yes",L1623&lt;0,B1623&lt;&gt;"TXO"),L1623,"")</f>
        <v/>
      </c>
      <c r="Z1623" s="226">
        <f>IF(AND(R1623="",S1623="Yes",L1623&gt;0,B1623&lt;&gt;"TXO"),L1623,"")</f>
        <v/>
      </c>
      <c r="AA1623" s="226">
        <f>IF(AND(R1623="",S1623="Yes",L1623&lt;0,B1623&lt;&gt;"TXO"),L1623,"")</f>
        <v/>
      </c>
    </row>
    <row r="1624" hidden="1" outlineLevel="2" collapsed="1" ht="17.25" customHeight="1" thickBot="1">
      <c r="A1624" s="740" t="n">
        <v>43403</v>
      </c>
      <c r="B1624" s="299" t="inlineStr">
        <is>
          <t>FIMTX</t>
        </is>
      </c>
      <c r="C1624" s="300" t="inlineStr">
        <is>
          <t>小指11</t>
        </is>
      </c>
      <c r="D1624" s="300" t="inlineStr">
        <is>
          <t>平倉</t>
        </is>
      </c>
      <c r="E1624" s="301" t="inlineStr">
        <is>
          <t>買</t>
        </is>
      </c>
      <c r="F1624" s="300" t="inlineStr">
        <is>
          <t>-</t>
        </is>
      </c>
      <c r="G1624" s="741" t="n">
        <v>1</v>
      </c>
      <c r="H1624" s="741" t="n">
        <v>9530</v>
      </c>
      <c r="I1624" s="741" t="n">
        <v>0</v>
      </c>
      <c r="J1624" s="742" t="n">
        <v>23</v>
      </c>
      <c r="K1624" s="742" t="n">
        <v>10</v>
      </c>
      <c r="L1624" s="742">
        <f>IF(B1624="TXO",I1624-SUM(J1624:K1624),IF(B1624="FITX",IF(D1624="新倉",-SUM(J1624:K1624),IF(E1624="賣",(H1624-H1623)*G1624*200-SUM(J1624:K1624),(H1623-H1624)*G1624*200-SUM(J1624:K1624))),IF(D1624="新倉",-SUM(J1624:K1624),IF(E1624="賣",(H1624-H1623)*G1624*50-SUM(J1624:K1624),(H1623-H1624)*G1624*50-SUM(J1624:K1624)))))</f>
        <v/>
      </c>
      <c r="M1624" s="743">
        <f>L1624</f>
        <v/>
      </c>
      <c r="N1624" s="686">
        <f>IF(B1624="TXO","",IF(D1624="新倉","",IF(E1624="賣",(H1624-H1623)*G1624,(H1623-H1624)*G1624)))</f>
        <v/>
      </c>
      <c r="O1624" s="226" t="n">
        <v>0</v>
      </c>
      <c r="P1624" s="667" t="n"/>
      <c r="Q1624" s="315" t="inlineStr">
        <is>
          <t>技法: 碰10MA出場</t>
        </is>
      </c>
      <c r="S1624" s="249" t="inlineStr">
        <is>
          <t>Yes</t>
        </is>
      </c>
      <c r="T1624" s="61">
        <f>IF(AND(R1624="Yes",S1624&lt;&gt;"Yes",L1624&gt;0,B1624&lt;&gt;"TXO"),L1624,"")</f>
        <v/>
      </c>
      <c r="U1624" s="61">
        <f>IF(AND(R1624="Yes",S1624&lt;&gt;"Yes",L1624&lt;0,B1624&lt;&gt;"TXO"),L1624,"")</f>
        <v/>
      </c>
      <c r="V1624" s="61">
        <f>IF(AND(R1624="",S1624&lt;&gt;"Yes",L1624&gt;0,B1624&lt;&gt;"TXO"),L1624,"")</f>
        <v/>
      </c>
      <c r="W1624" s="61">
        <f>IF(AND(R1624="",S1624&lt;&gt;"Yes",L1624&lt;0,B1624&lt;&gt;"TXO"),L1624,"")</f>
        <v/>
      </c>
      <c r="X1624" s="226">
        <f>IF(AND(R1624="Yes",S1624="Yes",L1624&gt;0,B1624&lt;&gt;"TXO"),L1624,"")</f>
        <v/>
      </c>
      <c r="Y1624" s="226">
        <f>IF(AND(R1624="Yes",S1624="Yes",L1624&lt;0,B1624&lt;&gt;"TXO"),L1624,"")</f>
        <v/>
      </c>
      <c r="Z1624" s="226">
        <f>IF(AND(R1624="",S1624="Yes",L1624&gt;0,B1624&lt;&gt;"TXO"),L1624,"")</f>
        <v/>
      </c>
      <c r="AA1624" s="226">
        <f>IF(AND(R1624="",S1624="Yes",L1624&lt;0,B1624&lt;&gt;"TXO"),L1624,"")</f>
        <v/>
      </c>
    </row>
    <row r="1625" hidden="1" outlineLevel="2" collapsed="1" ht="17.25" customHeight="1" thickBot="1">
      <c r="A1625" s="740" t="n">
        <v>43403</v>
      </c>
      <c r="B1625" s="299" t="inlineStr">
        <is>
          <t>FIMTX</t>
        </is>
      </c>
      <c r="C1625" s="300" t="inlineStr">
        <is>
          <t>小指11</t>
        </is>
      </c>
      <c r="D1625" s="300" t="inlineStr">
        <is>
          <t>新倉</t>
        </is>
      </c>
      <c r="E1625" s="301" t="inlineStr">
        <is>
          <t>賣</t>
        </is>
      </c>
      <c r="F1625" s="300" t="inlineStr">
        <is>
          <t>-</t>
        </is>
      </c>
      <c r="G1625" s="741" t="n">
        <v>1</v>
      </c>
      <c r="H1625" s="741" t="n">
        <v>9532</v>
      </c>
      <c r="I1625" s="741" t="n">
        <v>0</v>
      </c>
      <c r="J1625" s="742" t="n">
        <v>23</v>
      </c>
      <c r="K1625" s="742" t="n">
        <v>10</v>
      </c>
      <c r="L1625" s="742">
        <f>IF(B1625="TXO",I1625-SUM(J1625:K1625),IF(B1625="FITX",IF(D1625="新倉",-SUM(J1625:K1625),IF(E1625="賣",(H1625-H1624)*G1625*200-SUM(J1625:K1625),(H1624-H1625)*G1625*200-SUM(J1625:K1625))),IF(D1625="新倉",-SUM(J1625:K1625),IF(E1625="賣",(H1625-H1624)*G1625*50-SUM(J1625:K1625),(H1624-H1625)*G1625*50-SUM(J1625:K1625)))))</f>
        <v/>
      </c>
      <c r="M1625" s="743">
        <f>L1625</f>
        <v/>
      </c>
      <c r="N1625" s="686">
        <f>IF(B1625="TXO","",IF(D1625="新倉","",IF(E1625="賣",(H1625-H1624)*G1625,(H1624-H1625)*G1625)))</f>
        <v/>
      </c>
      <c r="O1625" s="226" t="n">
        <v>0</v>
      </c>
      <c r="P1625" s="667" t="n"/>
      <c r="Q1625" s="297" t="inlineStr">
        <is>
          <t>技法: 3/3 買進一口</t>
        </is>
      </c>
      <c r="R1625" s="249" t="inlineStr">
        <is>
          <t>Yes</t>
        </is>
      </c>
      <c r="S1625" s="249" t="inlineStr">
        <is>
          <t>Yes</t>
        </is>
      </c>
      <c r="T1625" s="61">
        <f>IF(AND(R1625="Yes",S1625&lt;&gt;"Yes",L1625&gt;0,B1625&lt;&gt;"TXO"),L1625,"")</f>
        <v/>
      </c>
      <c r="U1625" s="61">
        <f>IF(AND(R1625="Yes",S1625&lt;&gt;"Yes",L1625&lt;0,B1625&lt;&gt;"TXO"),L1625,"")</f>
        <v/>
      </c>
      <c r="V1625" s="61">
        <f>IF(AND(R1625="",S1625&lt;&gt;"Yes",L1625&gt;0,B1625&lt;&gt;"TXO"),L1625,"")</f>
        <v/>
      </c>
      <c r="W1625" s="61">
        <f>IF(AND(R1625="",S1625&lt;&gt;"Yes",L1625&lt;0,B1625&lt;&gt;"TXO"),L1625,"")</f>
        <v/>
      </c>
      <c r="X1625" s="226">
        <f>IF(AND(R1625="Yes",S1625="Yes",L1625&gt;0,B1625&lt;&gt;"TXO"),L1625,"")</f>
        <v/>
      </c>
      <c r="Y1625" s="226">
        <f>IF(AND(R1625="Yes",S1625="Yes",L1625&lt;0,B1625&lt;&gt;"TXO"),L1625,"")</f>
        <v/>
      </c>
      <c r="Z1625" s="226">
        <f>IF(AND(R1625="",S1625="Yes",L1625&gt;0,B1625&lt;&gt;"TXO"),L1625,"")</f>
        <v/>
      </c>
      <c r="AA1625" s="226">
        <f>IF(AND(R1625="",S1625="Yes",L1625&lt;0,B1625&lt;&gt;"TXO"),L1625,"")</f>
        <v/>
      </c>
    </row>
    <row r="1626" hidden="1" outlineLevel="2" collapsed="1" ht="17.25" customHeight="1" thickBot="1">
      <c r="A1626" s="740" t="n">
        <v>43403</v>
      </c>
      <c r="B1626" s="299" t="inlineStr">
        <is>
          <t>FIMTX</t>
        </is>
      </c>
      <c r="C1626" s="300" t="inlineStr">
        <is>
          <t>小指11</t>
        </is>
      </c>
      <c r="D1626" s="300" t="inlineStr">
        <is>
          <t>平倉</t>
        </is>
      </c>
      <c r="E1626" s="301" t="inlineStr">
        <is>
          <t>買</t>
        </is>
      </c>
      <c r="F1626" s="300" t="inlineStr">
        <is>
          <t>-</t>
        </is>
      </c>
      <c r="G1626" s="741" t="n">
        <v>1</v>
      </c>
      <c r="H1626" s="741" t="n">
        <v>9538</v>
      </c>
      <c r="I1626" s="741" t="n">
        <v>0</v>
      </c>
      <c r="J1626" s="742" t="n">
        <v>23</v>
      </c>
      <c r="K1626" s="742" t="n">
        <v>10</v>
      </c>
      <c r="L1626" s="742">
        <f>IF(B1626="TXO",I1626-SUM(J1626:K1626),IF(B1626="FITX",IF(D1626="新倉",-SUM(J1626:K1626),IF(E1626="賣",(H1626-H1625)*G1626*200-SUM(J1626:K1626),(H1625-H1626)*G1626*200-SUM(J1626:K1626))),IF(D1626="新倉",-SUM(J1626:K1626),IF(E1626="賣",(H1626-H1625)*G1626*50-SUM(J1626:K1626),(H1625-H1626)*G1626*50-SUM(J1626:K1626)))))</f>
        <v/>
      </c>
      <c r="M1626" s="743">
        <f>L1626</f>
        <v/>
      </c>
      <c r="N1626" s="686">
        <f>IF(B1626="TXO","",IF(D1626="新倉","",IF(E1626="賣",(H1626-H1625)*G1626,(H1625-H1626)*G1626)))</f>
        <v/>
      </c>
      <c r="O1626" s="226" t="n">
        <v>0</v>
      </c>
      <c r="P1626" s="667" t="n"/>
      <c r="Q1626" s="315" t="inlineStr">
        <is>
          <t>技法: 碰10MA出場</t>
        </is>
      </c>
      <c r="R1626" s="249" t="inlineStr">
        <is>
          <t>Yes</t>
        </is>
      </c>
      <c r="S1626" s="249" t="inlineStr">
        <is>
          <t>Yes</t>
        </is>
      </c>
      <c r="T1626" s="61">
        <f>IF(AND(R1626="Yes",S1626&lt;&gt;"Yes",L1626&gt;0,B1626&lt;&gt;"TXO"),L1626,"")</f>
        <v/>
      </c>
      <c r="U1626" s="61">
        <f>IF(AND(R1626="Yes",S1626&lt;&gt;"Yes",L1626&lt;0,B1626&lt;&gt;"TXO"),L1626,"")</f>
        <v/>
      </c>
      <c r="V1626" s="61">
        <f>IF(AND(R1626="",S1626&lt;&gt;"Yes",L1626&gt;0,B1626&lt;&gt;"TXO"),L1626,"")</f>
        <v/>
      </c>
      <c r="W1626" s="61">
        <f>IF(AND(R1626="",S1626&lt;&gt;"Yes",L1626&lt;0,B1626&lt;&gt;"TXO"),L1626,"")</f>
        <v/>
      </c>
      <c r="X1626" s="226">
        <f>IF(AND(R1626="Yes",S1626="Yes",L1626&gt;0,B1626&lt;&gt;"TXO"),L1626,"")</f>
        <v/>
      </c>
      <c r="Y1626" s="226">
        <f>IF(AND(R1626="Yes",S1626="Yes",L1626&lt;0,B1626&lt;&gt;"TXO"),L1626,"")</f>
        <v/>
      </c>
      <c r="Z1626" s="226">
        <f>IF(AND(R1626="",S1626="Yes",L1626&gt;0,B1626&lt;&gt;"TXO"),L1626,"")</f>
        <v/>
      </c>
      <c r="AA1626" s="226">
        <f>IF(AND(R1626="",S1626="Yes",L1626&lt;0,B1626&lt;&gt;"TXO"),L1626,"")</f>
        <v/>
      </c>
    </row>
    <row r="1627" hidden="1" outlineLevel="2" collapsed="1" ht="17.25" customHeight="1" thickBot="1">
      <c r="A1627" s="740" t="n">
        <v>43403</v>
      </c>
      <c r="B1627" s="299" t="inlineStr">
        <is>
          <t>FIMTX</t>
        </is>
      </c>
      <c r="C1627" s="300" t="inlineStr">
        <is>
          <t>小指11</t>
        </is>
      </c>
      <c r="D1627" s="300" t="inlineStr">
        <is>
          <t>新倉</t>
        </is>
      </c>
      <c r="E1627" s="301" t="inlineStr">
        <is>
          <t>買</t>
        </is>
      </c>
      <c r="F1627" s="300" t="inlineStr">
        <is>
          <t>-</t>
        </is>
      </c>
      <c r="G1627" s="741" t="n">
        <v>1</v>
      </c>
      <c r="H1627" s="741" t="n">
        <v>9536</v>
      </c>
      <c r="I1627" s="741" t="n">
        <v>0</v>
      </c>
      <c r="J1627" s="742" t="n">
        <v>23</v>
      </c>
      <c r="K1627" s="742" t="n">
        <v>10</v>
      </c>
      <c r="L1627" s="742">
        <f>IF(B1627="TXO",I1627-SUM(J1627:K1627),IF(B1627="FITX",IF(D1627="新倉",-SUM(J1627:K1627),IF(E1627="賣",(H1627-H1626)*G1627*200-SUM(J1627:K1627),(H1626-H1627)*G1627*200-SUM(J1627:K1627))),IF(D1627="新倉",-SUM(J1627:K1627),IF(E1627="賣",(H1627-H1626)*G1627*50-SUM(J1627:K1627),(H1626-H1627)*G1627*50-SUM(J1627:K1627)))))</f>
        <v/>
      </c>
      <c r="M1627" s="743">
        <f>L1627</f>
        <v/>
      </c>
      <c r="N1627" s="686">
        <f>IF(B1627="TXO","",IF(D1627="新倉","",IF(E1627="賣",(H1627-H1626)*G1627,(H1626-H1627)*G1627)))</f>
        <v/>
      </c>
      <c r="O1627" s="226" t="n">
        <v>0</v>
      </c>
      <c r="P1627" s="667" t="n"/>
      <c r="Q1627" s="297" t="n"/>
      <c r="S1627" s="249" t="inlineStr">
        <is>
          <t>Yes</t>
        </is>
      </c>
      <c r="T1627" s="61">
        <f>IF(AND(R1627="Yes",S1627&lt;&gt;"Yes",L1627&gt;0,B1627&lt;&gt;"TXO"),L1627,"")</f>
        <v/>
      </c>
      <c r="U1627" s="61">
        <f>IF(AND(R1627="Yes",S1627&lt;&gt;"Yes",L1627&lt;0,B1627&lt;&gt;"TXO"),L1627,"")</f>
        <v/>
      </c>
      <c r="V1627" s="61">
        <f>IF(AND(R1627="",S1627&lt;&gt;"Yes",L1627&gt;0,B1627&lt;&gt;"TXO"),L1627,"")</f>
        <v/>
      </c>
      <c r="W1627" s="61">
        <f>IF(AND(R1627="",S1627&lt;&gt;"Yes",L1627&lt;0,B1627&lt;&gt;"TXO"),L1627,"")</f>
        <v/>
      </c>
      <c r="X1627" s="226">
        <f>IF(AND(R1627="Yes",S1627="Yes",L1627&gt;0,B1627&lt;&gt;"TXO"),L1627,"")</f>
        <v/>
      </c>
      <c r="Y1627" s="226">
        <f>IF(AND(R1627="Yes",S1627="Yes",L1627&lt;0,B1627&lt;&gt;"TXO"),L1627,"")</f>
        <v/>
      </c>
      <c r="Z1627" s="226">
        <f>IF(AND(R1627="",S1627="Yes",L1627&gt;0,B1627&lt;&gt;"TXO"),L1627,"")</f>
        <v/>
      </c>
      <c r="AA1627" s="226">
        <f>IF(AND(R1627="",S1627="Yes",L1627&lt;0,B1627&lt;&gt;"TXO"),L1627,"")</f>
        <v/>
      </c>
    </row>
    <row r="1628" hidden="1" outlineLevel="2" collapsed="1" ht="17.25" customHeight="1" thickBot="1">
      <c r="A1628" s="740" t="n">
        <v>43403</v>
      </c>
      <c r="B1628" s="299" t="inlineStr">
        <is>
          <t>FIMTX</t>
        </is>
      </c>
      <c r="C1628" s="300" t="inlineStr">
        <is>
          <t>小指11</t>
        </is>
      </c>
      <c r="D1628" s="300" t="inlineStr">
        <is>
          <t>平倉</t>
        </is>
      </c>
      <c r="E1628" s="301" t="inlineStr">
        <is>
          <t>賣</t>
        </is>
      </c>
      <c r="F1628" s="300" t="inlineStr">
        <is>
          <t>-</t>
        </is>
      </c>
      <c r="G1628" s="741" t="n">
        <v>1</v>
      </c>
      <c r="H1628" s="741" t="n">
        <v>9531</v>
      </c>
      <c r="I1628" s="741" t="n">
        <v>0</v>
      </c>
      <c r="J1628" s="742" t="n">
        <v>23</v>
      </c>
      <c r="K1628" s="742" t="n">
        <v>10</v>
      </c>
      <c r="L1628" s="742">
        <f>IF(B1628="TXO",I1628-SUM(J1628:K1628),IF(B1628="FITX",IF(D1628="新倉",-SUM(J1628:K1628),IF(E1628="賣",(H1628-H1627)*G1628*200-SUM(J1628:K1628),(H1627-H1628)*G1628*200-SUM(J1628:K1628))),IF(D1628="新倉",-SUM(J1628:K1628),IF(E1628="賣",(H1628-H1627)*G1628*50-SUM(J1628:K1628),(H1627-H1628)*G1628*50-SUM(J1628:K1628)))))</f>
        <v/>
      </c>
      <c r="M1628" s="743">
        <f>L1628</f>
        <v/>
      </c>
      <c r="N1628" s="686">
        <f>IF(B1628="TXO","",IF(D1628="新倉","",IF(E1628="賣",(H1628-H1627)*G1628,(H1627-H1628)*G1628)))</f>
        <v/>
      </c>
      <c r="O1628" s="226" t="n">
        <v>0</v>
      </c>
      <c r="P1628" s="667" t="n"/>
      <c r="Q1628" s="315" t="n"/>
      <c r="S1628" s="249" t="inlineStr">
        <is>
          <t>Yes</t>
        </is>
      </c>
      <c r="T1628" s="61">
        <f>IF(AND(R1628="Yes",S1628&lt;&gt;"Yes",L1628&gt;0,B1628&lt;&gt;"TXO"),L1628,"")</f>
        <v/>
      </c>
      <c r="U1628" s="61">
        <f>IF(AND(R1628="Yes",S1628&lt;&gt;"Yes",L1628&lt;0,B1628&lt;&gt;"TXO"),L1628,"")</f>
        <v/>
      </c>
      <c r="V1628" s="61">
        <f>IF(AND(R1628="",S1628&lt;&gt;"Yes",L1628&gt;0,B1628&lt;&gt;"TXO"),L1628,"")</f>
        <v/>
      </c>
      <c r="W1628" s="61">
        <f>IF(AND(R1628="",S1628&lt;&gt;"Yes",L1628&lt;0,B1628&lt;&gt;"TXO"),L1628,"")</f>
        <v/>
      </c>
      <c r="X1628" s="226">
        <f>IF(AND(R1628="Yes",S1628="Yes",L1628&gt;0,B1628&lt;&gt;"TXO"),L1628,"")</f>
        <v/>
      </c>
      <c r="Y1628" s="226">
        <f>IF(AND(R1628="Yes",S1628="Yes",L1628&lt;0,B1628&lt;&gt;"TXO"),L1628,"")</f>
        <v/>
      </c>
      <c r="Z1628" s="226">
        <f>IF(AND(R1628="",S1628="Yes",L1628&gt;0,B1628&lt;&gt;"TXO"),L1628,"")</f>
        <v/>
      </c>
      <c r="AA1628" s="226">
        <f>IF(AND(R1628="",S1628="Yes",L1628&lt;0,B1628&lt;&gt;"TXO"),L1628,"")</f>
        <v/>
      </c>
    </row>
    <row r="1629" hidden="1" outlineLevel="1" ht="33.75" customHeight="1" thickBot="1">
      <c r="A1629" s="696" t="n">
        <v>43404</v>
      </c>
      <c r="B1629" s="234" t="inlineStr">
        <is>
          <t>FIMTX</t>
        </is>
      </c>
      <c r="C1629" s="229" t="inlineStr">
        <is>
          <t>小指11</t>
        </is>
      </c>
      <c r="D1629" s="229" t="inlineStr">
        <is>
          <t>新倉</t>
        </is>
      </c>
      <c r="E1629" s="257" t="inlineStr">
        <is>
          <t>賣</t>
        </is>
      </c>
      <c r="F1629" s="229" t="inlineStr">
        <is>
          <t>-</t>
        </is>
      </c>
      <c r="G1629" s="697" t="n">
        <v>1</v>
      </c>
      <c r="H1629" s="697" t="n">
        <v>9677</v>
      </c>
      <c r="I1629" s="697" t="n">
        <v>0</v>
      </c>
      <c r="J1629" s="585" t="n">
        <v>23</v>
      </c>
      <c r="K1629" s="585" t="n">
        <v>10</v>
      </c>
      <c r="L1629" s="585">
        <f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/>
      </c>
      <c r="M1629" s="699">
        <f>L1629</f>
        <v/>
      </c>
      <c r="N1629" s="686">
        <f>IF(B1629="TXO","",IF(D1629="新倉","",IF(E1629="賣",(H1629-H1628)*G1629,(H1628-H1629)*G1629)))</f>
        <v/>
      </c>
      <c r="O1629" s="226" t="n">
        <v>0</v>
      </c>
      <c r="P1629" s="667">
        <f>SUM(L1629:L1641)</f>
        <v/>
      </c>
      <c r="Q1629" s="249" t="inlineStr">
        <is>
          <t>技法: 籌碼三強，突破開盤高點下多單</t>
        </is>
      </c>
      <c r="S1629" s="249" t="n"/>
      <c r="T1629" s="61">
        <f>IF(AND(R1629="Yes",S1629&lt;&gt;"Yes",L1629&gt;0,B1629&lt;&gt;"TXO"),L1629,"")</f>
        <v/>
      </c>
      <c r="U1629" s="61">
        <f>IF(AND(R1629="Yes",S1629&lt;&gt;"Yes",L1629&lt;0,B1629&lt;&gt;"TXO"),L1629,"")</f>
        <v/>
      </c>
      <c r="V1629" s="61">
        <f>IF(AND(R1629="",S1629&lt;&gt;"Yes",L1629&gt;0,B1629&lt;&gt;"TXO"),L1629,"")</f>
        <v/>
      </c>
      <c r="W1629" s="61">
        <f>IF(AND(R1629="",S1629&lt;&gt;"Yes",L1629&lt;0,B1629&lt;&gt;"TXO"),L1629,"")</f>
        <v/>
      </c>
      <c r="X1629" s="226">
        <f>IF(AND(R1629="Yes",S1629="Yes",L1629&gt;0,B1629&lt;&gt;"TXO"),L1629,"")</f>
        <v/>
      </c>
      <c r="Y1629" s="226">
        <f>IF(AND(R1629="Yes",S1629="Yes",L1629&lt;0,B1629&lt;&gt;"TXO"),L1629,"")</f>
        <v/>
      </c>
      <c r="Z1629" s="226">
        <f>IF(AND(R1629="",S1629="Yes",L1629&gt;0,B1629&lt;&gt;"TXO"),L1629,"")</f>
        <v/>
      </c>
      <c r="AA1629" s="226">
        <f>IF(AND(R1629="",S1629="Yes",L1629&lt;0,B1629&lt;&gt;"TXO"),L1629,"")</f>
        <v/>
      </c>
    </row>
    <row r="1630" hidden="1" outlineLevel="2" collapsed="1" ht="17.25" customHeight="1" thickBot="1">
      <c r="A1630" s="696" t="n">
        <v>43404</v>
      </c>
      <c r="B1630" s="234" t="inlineStr">
        <is>
          <t>FIMTX</t>
        </is>
      </c>
      <c r="C1630" s="229" t="inlineStr">
        <is>
          <t>小指11</t>
        </is>
      </c>
      <c r="D1630" s="229" t="inlineStr">
        <is>
          <t>平倉</t>
        </is>
      </c>
      <c r="E1630" s="257" t="inlineStr">
        <is>
          <t>買</t>
        </is>
      </c>
      <c r="F1630" s="229" t="inlineStr">
        <is>
          <t>-</t>
        </is>
      </c>
      <c r="G1630" s="697" t="n">
        <v>1</v>
      </c>
      <c r="H1630" s="697" t="n">
        <v>9697</v>
      </c>
      <c r="I1630" s="697" t="n">
        <v>0</v>
      </c>
      <c r="J1630" s="585" t="n">
        <v>23</v>
      </c>
      <c r="K1630" s="585" t="n">
        <v>10</v>
      </c>
      <c r="L1630" s="585">
        <f>IF(B1630="TXO",I1630-SUM(J1630:K1630),IF(B1630="FITX",IF(D1630="新倉",-SUM(J1630:K1630),IF(E1630="賣",(H1630-H1629)*G1630*200-SUM(J1630:K1630),(H1629-H1630)*G1630*200-SUM(J1630:K1630))),IF(D1630="新倉",-SUM(J1630:K1630),IF(E1630="賣",(H1630-H1629)*G1630*50-SUM(J1630:K1630),(H1629-H1630)*G1630*50-SUM(J1630:K1630)))))</f>
        <v/>
      </c>
      <c r="M1630" s="699">
        <f>L1630</f>
        <v/>
      </c>
      <c r="N1630" s="686">
        <f>IF(B1630="TXO","",IF(D1630="新倉","",IF(E1630="賣",(H1630-H1629)*G1630,(H1629-H1630)*G1630)))</f>
        <v/>
      </c>
      <c r="O1630" s="226" t="n">
        <v>0</v>
      </c>
      <c r="P1630" s="667" t="n"/>
      <c r="Q1630" s="249" t="inlineStr">
        <is>
          <t>元大移動式停利</t>
        </is>
      </c>
      <c r="S1630" s="249" t="n"/>
      <c r="T1630" s="61">
        <f>IF(AND(R1630="Yes",S1630&lt;&gt;"Yes",L1630&gt;0,B1630&lt;&gt;"TXO"),L1630,"")</f>
        <v/>
      </c>
      <c r="U1630" s="61">
        <f>IF(AND(R1630="Yes",S1630&lt;&gt;"Yes",L1630&lt;0,B1630&lt;&gt;"TXO"),L1630,"")</f>
        <v/>
      </c>
      <c r="V1630" s="61">
        <f>IF(AND(R1630="",S1630&lt;&gt;"Yes",L1630&gt;0,B1630&lt;&gt;"TXO"),L1630,"")</f>
        <v/>
      </c>
      <c r="W1630" s="61">
        <f>IF(AND(R1630="",S1630&lt;&gt;"Yes",L1630&lt;0,B1630&lt;&gt;"TXO"),L1630,"")</f>
        <v/>
      </c>
      <c r="X1630" s="226">
        <f>IF(AND(R1630="Yes",S1630="Yes",L1630&gt;0,B1630&lt;&gt;"TXO"),L1630,"")</f>
        <v/>
      </c>
      <c r="Y1630" s="226">
        <f>IF(AND(R1630="Yes",S1630="Yes",L1630&lt;0,B1630&lt;&gt;"TXO"),L1630,"")</f>
        <v/>
      </c>
      <c r="Z1630" s="226">
        <f>IF(AND(R1630="",S1630="Yes",L1630&gt;0,B1630&lt;&gt;"TXO"),L1630,"")</f>
        <v/>
      </c>
      <c r="AA1630" s="226">
        <f>IF(AND(R1630="",S1630="Yes",L1630&lt;0,B1630&lt;&gt;"TXO"),L1630,"")</f>
        <v/>
      </c>
    </row>
    <row r="1631" hidden="1" outlineLevel="2" collapsed="1" ht="33.75" customHeight="1" thickBot="1">
      <c r="A1631" s="696" t="n">
        <v>43404</v>
      </c>
      <c r="B1631" s="234" t="inlineStr">
        <is>
          <t>FIMTX</t>
        </is>
      </c>
      <c r="C1631" s="229" t="inlineStr">
        <is>
          <t>小指11</t>
        </is>
      </c>
      <c r="D1631" s="229" t="inlineStr">
        <is>
          <t>新倉</t>
        </is>
      </c>
      <c r="E1631" s="257" t="inlineStr">
        <is>
          <t>賣</t>
        </is>
      </c>
      <c r="F1631" s="229" t="inlineStr">
        <is>
          <t>-</t>
        </is>
      </c>
      <c r="G1631" s="697" t="n">
        <v>1</v>
      </c>
      <c r="H1631" s="697" t="n">
        <v>9687</v>
      </c>
      <c r="I1631" s="697" t="n">
        <v>0</v>
      </c>
      <c r="J1631" s="585" t="n">
        <v>23</v>
      </c>
      <c r="K1631" s="585" t="n">
        <v>10</v>
      </c>
      <c r="L1631" s="585">
        <f>IF(B1631="TXO",I1631-SUM(J1631:K1631),IF(B1631="FITX",IF(D1631="新倉",-SUM(J1631:K1631),IF(E1631="賣",(H1631-H1630)*G1631*200-SUM(J1631:K1631),(H1630-H1631)*G1631*200-SUM(J1631:K1631))),IF(D1631="新倉",-SUM(J1631:K1631),IF(E1631="賣",(H1631-H1630)*G1631*50-SUM(J1631:K1631),(H1630-H1631)*G1631*50-SUM(J1631:K1631)))))</f>
        <v/>
      </c>
      <c r="M1631" s="699">
        <f>L1631</f>
        <v/>
      </c>
      <c r="N1631" s="686">
        <f>IF(B1631="TXO","",IF(D1631="新倉","",IF(E1631="賣",(H1631-H1630)*G1631,(H1630-H1631)*G1631)))</f>
        <v/>
      </c>
      <c r="O1631" s="226" t="n">
        <v>0</v>
      </c>
      <c r="P1631" s="667" t="n"/>
      <c r="Q1631" s="249" t="inlineStr">
        <is>
          <t>技法: 籌碼三強，突破開盤高點下多單</t>
        </is>
      </c>
      <c r="S1631" s="249" t="n"/>
      <c r="T1631" s="61">
        <f>IF(AND(R1631="Yes",S1631&lt;&gt;"Yes",L1631&gt;0,B1631&lt;&gt;"TXO"),L1631,"")</f>
        <v/>
      </c>
      <c r="U1631" s="61">
        <f>IF(AND(R1631="Yes",S1631&lt;&gt;"Yes",L1631&lt;0,B1631&lt;&gt;"TXO"),L1631,"")</f>
        <v/>
      </c>
      <c r="V1631" s="61">
        <f>IF(AND(R1631="",S1631&lt;&gt;"Yes",L1631&gt;0,B1631&lt;&gt;"TXO"),L1631,"")</f>
        <v/>
      </c>
      <c r="W1631" s="61">
        <f>IF(AND(R1631="",S1631&lt;&gt;"Yes",L1631&lt;0,B1631&lt;&gt;"TXO"),L1631,"")</f>
        <v/>
      </c>
      <c r="X1631" s="226">
        <f>IF(AND(R1631="Yes",S1631="Yes",L1631&gt;0,B1631&lt;&gt;"TXO"),L1631,"")</f>
        <v/>
      </c>
      <c r="Y1631" s="226">
        <f>IF(AND(R1631="Yes",S1631="Yes",L1631&lt;0,B1631&lt;&gt;"TXO"),L1631,"")</f>
        <v/>
      </c>
      <c r="Z1631" s="226">
        <f>IF(AND(R1631="",S1631="Yes",L1631&gt;0,B1631&lt;&gt;"TXO"),L1631,"")</f>
        <v/>
      </c>
      <c r="AA1631" s="226">
        <f>IF(AND(R1631="",S1631="Yes",L1631&lt;0,B1631&lt;&gt;"TXO"),L1631,"")</f>
        <v/>
      </c>
    </row>
    <row r="1632" hidden="1" outlineLevel="2" collapsed="1" ht="17.25" customHeight="1" thickBot="1">
      <c r="A1632" s="696" t="n">
        <v>43404</v>
      </c>
      <c r="B1632" s="234" t="inlineStr">
        <is>
          <t>FIMTX</t>
        </is>
      </c>
      <c r="C1632" s="229" t="inlineStr">
        <is>
          <t>小指11</t>
        </is>
      </c>
      <c r="D1632" s="229" t="inlineStr">
        <is>
          <t>平倉</t>
        </is>
      </c>
      <c r="E1632" s="257" t="inlineStr">
        <is>
          <t>買</t>
        </is>
      </c>
      <c r="F1632" s="229" t="inlineStr">
        <is>
          <t>-</t>
        </is>
      </c>
      <c r="G1632" s="697" t="n">
        <v>1</v>
      </c>
      <c r="H1632" s="697" t="n">
        <v>9696</v>
      </c>
      <c r="I1632" s="697" t="n">
        <v>0</v>
      </c>
      <c r="J1632" s="585" t="n">
        <v>23</v>
      </c>
      <c r="K1632" s="585" t="n">
        <v>10</v>
      </c>
      <c r="L1632" s="585">
        <f>IF(B1632="TXO",I1632-SUM(J1632:K1632),IF(B1632="FITX",IF(D1632="新倉",-SUM(J1632:K1632),IF(E1632="賣",(H1632-H1631)*G1632*200-SUM(J1632:K1632),(H1631-H1632)*G1632*200-SUM(J1632:K1632))),IF(D1632="新倉",-SUM(J1632:K1632),IF(E1632="賣",(H1632-H1631)*G1632*50-SUM(J1632:K1632),(H1631-H1632)*G1632*50-SUM(J1632:K1632)))))</f>
        <v/>
      </c>
      <c r="M1632" s="699">
        <f>L1632</f>
        <v/>
      </c>
      <c r="N1632" s="686">
        <f>IF(B1632="TXO","",IF(D1632="新倉","",IF(E1632="賣",(H1632-H1631)*G1632,(H1631-H1632)*G1632)))</f>
        <v/>
      </c>
      <c r="O1632" s="226" t="n">
        <v>0</v>
      </c>
      <c r="P1632" s="667" t="n"/>
      <c r="Q1632" s="249" t="inlineStr">
        <is>
          <t>元大移動式停利</t>
        </is>
      </c>
      <c r="S1632" s="249" t="n"/>
      <c r="T1632" s="61">
        <f>IF(AND(R1632="Yes",S1632&lt;&gt;"Yes",L1632&gt;0,B1632&lt;&gt;"TXO"),L1632,"")</f>
        <v/>
      </c>
      <c r="U1632" s="61">
        <f>IF(AND(R1632="Yes",S1632&lt;&gt;"Yes",L1632&lt;0,B1632&lt;&gt;"TXO"),L1632,"")</f>
        <v/>
      </c>
      <c r="V1632" s="61">
        <f>IF(AND(R1632="",S1632&lt;&gt;"Yes",L1632&gt;0,B1632&lt;&gt;"TXO"),L1632,"")</f>
        <v/>
      </c>
      <c r="W1632" s="61">
        <f>IF(AND(R1632="",S1632&lt;&gt;"Yes",L1632&lt;0,B1632&lt;&gt;"TXO"),L1632,"")</f>
        <v/>
      </c>
      <c r="X1632" s="226">
        <f>IF(AND(R1632="Yes",S1632="Yes",L1632&gt;0,B1632&lt;&gt;"TXO"),L1632,"")</f>
        <v/>
      </c>
      <c r="Y1632" s="226">
        <f>IF(AND(R1632="Yes",S1632="Yes",L1632&lt;0,B1632&lt;&gt;"TXO"),L1632,"")</f>
        <v/>
      </c>
      <c r="Z1632" s="226">
        <f>IF(AND(R1632="",S1632="Yes",L1632&gt;0,B1632&lt;&gt;"TXO"),L1632,"")</f>
        <v/>
      </c>
      <c r="AA1632" s="226">
        <f>IF(AND(R1632="",S1632="Yes",L1632&lt;0,B1632&lt;&gt;"TXO"),L1632,"")</f>
        <v/>
      </c>
    </row>
    <row r="1633" hidden="1" outlineLevel="2" collapsed="1" ht="17.25" customHeight="1" thickBot="1">
      <c r="A1633" s="696" t="n">
        <v>43404</v>
      </c>
      <c r="B1633" s="234" t="inlineStr">
        <is>
          <t>FIMTX</t>
        </is>
      </c>
      <c r="C1633" s="229" t="inlineStr">
        <is>
          <t>小指11</t>
        </is>
      </c>
      <c r="D1633" s="229" t="inlineStr">
        <is>
          <t>新倉</t>
        </is>
      </c>
      <c r="E1633" s="257" t="inlineStr">
        <is>
          <t>買</t>
        </is>
      </c>
      <c r="F1633" s="229" t="inlineStr">
        <is>
          <t>-</t>
        </is>
      </c>
      <c r="G1633" s="697" t="n">
        <v>1</v>
      </c>
      <c r="H1633" s="697" t="n">
        <v>9692</v>
      </c>
      <c r="I1633" s="697" t="n">
        <v>0</v>
      </c>
      <c r="J1633" s="585" t="n">
        <v>23</v>
      </c>
      <c r="K1633" s="585" t="n">
        <v>10</v>
      </c>
      <c r="L1633" s="585">
        <f>IF(B1633="TXO",I1633-SUM(J1633:K1633),IF(B1633="FITX",IF(D1633="新倉",-SUM(J1633:K1633),IF(E1633="賣",(H1633-H1632)*G1633*200-SUM(J1633:K1633),(H1632-H1633)*G1633*200-SUM(J1633:K1633))),IF(D1633="新倉",-SUM(J1633:K1633),IF(E1633="賣",(H1633-H1632)*G1633*50-SUM(J1633:K1633),(H1632-H1633)*G1633*50-SUM(J1633:K1633)))))</f>
        <v/>
      </c>
      <c r="M1633" s="699">
        <f>L1633</f>
        <v/>
      </c>
      <c r="N1633" s="686">
        <f>IF(B1633="TXO","",IF(D1633="新倉","",IF(E1633="賣",(H1633-H1632)*G1633,(H1632-H1633)*G1633)))</f>
        <v/>
      </c>
      <c r="O1633" s="226" t="n">
        <v>0</v>
      </c>
      <c r="P1633" s="667" t="n"/>
      <c r="Q1633" s="297" t="inlineStr">
        <is>
          <t>技法: 3/3 買進兩口</t>
        </is>
      </c>
      <c r="S1633" s="249" t="inlineStr">
        <is>
          <t>Yes</t>
        </is>
      </c>
      <c r="T1633" s="61">
        <f>IF(AND(R1633="Yes",S1633&lt;&gt;"Yes",L1633&gt;0,B1633&lt;&gt;"TXO"),L1633,"")</f>
        <v/>
      </c>
      <c r="U1633" s="61">
        <f>IF(AND(R1633="Yes",S1633&lt;&gt;"Yes",L1633&lt;0,B1633&lt;&gt;"TXO"),L1633,"")</f>
        <v/>
      </c>
      <c r="V1633" s="61">
        <f>IF(AND(R1633="",S1633&lt;&gt;"Yes",L1633&gt;0,B1633&lt;&gt;"TXO"),L1633,"")</f>
        <v/>
      </c>
      <c r="W1633" s="61">
        <f>IF(AND(R1633="",S1633&lt;&gt;"Yes",L1633&lt;0,B1633&lt;&gt;"TXO"),L1633,"")</f>
        <v/>
      </c>
      <c r="X1633" s="226">
        <f>IF(AND(R1633="Yes",S1633="Yes",L1633&gt;0,B1633&lt;&gt;"TXO"),L1633,"")</f>
        <v/>
      </c>
      <c r="Y1633" s="226">
        <f>IF(AND(R1633="Yes",S1633="Yes",L1633&lt;0,B1633&lt;&gt;"TXO"),L1633,"")</f>
        <v/>
      </c>
      <c r="Z1633" s="226">
        <f>IF(AND(R1633="",S1633="Yes",L1633&gt;0,B1633&lt;&gt;"TXO"),L1633,"")</f>
        <v/>
      </c>
      <c r="AA1633" s="226">
        <f>IF(AND(R1633="",S1633="Yes",L1633&lt;0,B1633&lt;&gt;"TXO"),L1633,"")</f>
        <v/>
      </c>
    </row>
    <row r="1634" hidden="1" outlineLevel="2" collapsed="1" ht="17.25" customHeight="1" thickBot="1">
      <c r="A1634" s="696" t="n">
        <v>43404</v>
      </c>
      <c r="B1634" s="234" t="inlineStr">
        <is>
          <t>FIMTX</t>
        </is>
      </c>
      <c r="C1634" s="229" t="inlineStr">
        <is>
          <t>小指11</t>
        </is>
      </c>
      <c r="D1634" s="229" t="inlineStr">
        <is>
          <t>平倉</t>
        </is>
      </c>
      <c r="E1634" s="257" t="inlineStr">
        <is>
          <t>賣</t>
        </is>
      </c>
      <c r="F1634" s="229" t="inlineStr">
        <is>
          <t>-</t>
        </is>
      </c>
      <c r="G1634" s="697" t="n">
        <v>1</v>
      </c>
      <c r="H1634" s="697" t="n">
        <v>9694</v>
      </c>
      <c r="I1634" s="697" t="n">
        <v>0</v>
      </c>
      <c r="J1634" s="585" t="n">
        <v>23</v>
      </c>
      <c r="K1634" s="585" t="n">
        <v>10</v>
      </c>
      <c r="L1634" s="585">
        <f>IF(B1634="TXO",I1634-SUM(J1634:K1634),IF(B1634="FITX",IF(D1634="新倉",-SUM(J1634:K1634),IF(E1634="賣",(H1634-H1633)*G1634*200-SUM(J1634:K1634),(H1633-H1634)*G1634*200-SUM(J1634:K1634))),IF(D1634="新倉",-SUM(J1634:K1634),IF(E1634="賣",(H1634-H1633)*G1634*50-SUM(J1634:K1634),(H1633-H1634)*G1634*50-SUM(J1634:K1634)))))</f>
        <v/>
      </c>
      <c r="M1634" s="699">
        <f>L1634</f>
        <v/>
      </c>
      <c r="N1634" s="686">
        <f>IF(B1634="TXO","",IF(D1634="新倉","",IF(E1634="賣",(H1634-H1633)*G1634,(H1633-H1634)*G1634)))</f>
        <v/>
      </c>
      <c r="O1634" s="226" t="n">
        <v>0</v>
      </c>
      <c r="P1634" s="667" t="n"/>
      <c r="Q1634" s="249" t="inlineStr">
        <is>
          <t>技法: 刺補</t>
        </is>
      </c>
      <c r="S1634" s="249" t="inlineStr">
        <is>
          <t>Yes</t>
        </is>
      </c>
      <c r="T1634" s="61">
        <f>IF(AND(R1634="Yes",S1634&lt;&gt;"Yes",L1634&gt;0,B1634&lt;&gt;"TXO"),L1634,"")</f>
        <v/>
      </c>
      <c r="U1634" s="61">
        <f>IF(AND(R1634="Yes",S1634&lt;&gt;"Yes",L1634&lt;0,B1634&lt;&gt;"TXO"),L1634,"")</f>
        <v/>
      </c>
      <c r="V1634" s="61">
        <f>IF(AND(R1634="",S1634&lt;&gt;"Yes",L1634&gt;0,B1634&lt;&gt;"TXO"),L1634,"")</f>
        <v/>
      </c>
      <c r="W1634" s="61">
        <f>IF(AND(R1634="",S1634&lt;&gt;"Yes",L1634&lt;0,B1634&lt;&gt;"TXO"),L1634,"")</f>
        <v/>
      </c>
      <c r="X1634" s="226">
        <f>IF(AND(R1634="Yes",S1634="Yes",L1634&gt;0,B1634&lt;&gt;"TXO"),L1634,"")</f>
        <v/>
      </c>
      <c r="Y1634" s="226">
        <f>IF(AND(R1634="Yes",S1634="Yes",L1634&lt;0,B1634&lt;&gt;"TXO"),L1634,"")</f>
        <v/>
      </c>
      <c r="Z1634" s="226">
        <f>IF(AND(R1634="",S1634="Yes",L1634&gt;0,B1634&lt;&gt;"TXO"),L1634,"")</f>
        <v/>
      </c>
      <c r="AA1634" s="226">
        <f>IF(AND(R1634="",S1634="Yes",L1634&lt;0,B1634&lt;&gt;"TXO"),L1634,"")</f>
        <v/>
      </c>
    </row>
    <row r="1635" hidden="1" outlineLevel="2" collapsed="1" ht="17.25" customHeight="1" thickBot="1">
      <c r="A1635" s="696" t="n">
        <v>43404</v>
      </c>
      <c r="B1635" s="234" t="inlineStr">
        <is>
          <t>FIMTX</t>
        </is>
      </c>
      <c r="C1635" s="229" t="inlineStr">
        <is>
          <t>小指11</t>
        </is>
      </c>
      <c r="D1635" s="229" t="inlineStr">
        <is>
          <t>新倉</t>
        </is>
      </c>
      <c r="E1635" s="257" t="inlineStr">
        <is>
          <t>買</t>
        </is>
      </c>
      <c r="F1635" s="229" t="inlineStr">
        <is>
          <t>-</t>
        </is>
      </c>
      <c r="G1635" s="697" t="n">
        <v>1</v>
      </c>
      <c r="H1635" s="697" t="n">
        <v>9692</v>
      </c>
      <c r="I1635" s="697" t="n">
        <v>0</v>
      </c>
      <c r="J1635" s="585" t="n">
        <v>23</v>
      </c>
      <c r="K1635" s="585" t="n">
        <v>10</v>
      </c>
      <c r="L1635" s="585">
        <f>IF(B1635="TXO",I1635-SUM(J1635:K1635),IF(B1635="FITX",IF(D1635="新倉",-SUM(J1635:K1635),IF(E1635="賣",(H1635-H1634)*G1635*200-SUM(J1635:K1635),(H1634-H1635)*G1635*200-SUM(J1635:K1635))),IF(D1635="新倉",-SUM(J1635:K1635),IF(E1635="賣",(H1635-H1634)*G1635*50-SUM(J1635:K1635),(H1634-H1635)*G1635*50-SUM(J1635:K1635)))))</f>
        <v/>
      </c>
      <c r="M1635" s="699">
        <f>L1635</f>
        <v/>
      </c>
      <c r="N1635" s="686">
        <f>IF(B1635="TXO","",IF(D1635="新倉","",IF(E1635="賣",(H1635-H1634)*G1635,(H1634-H1635)*G1635)))</f>
        <v/>
      </c>
      <c r="O1635" s="226" t="n">
        <v>0</v>
      </c>
      <c r="P1635" s="667" t="n"/>
      <c r="Q1635" s="297" t="inlineStr">
        <is>
          <t>技法: 3/3 買進兩口</t>
        </is>
      </c>
      <c r="S1635" s="249" t="inlineStr">
        <is>
          <t>Yes</t>
        </is>
      </c>
      <c r="T1635" s="61">
        <f>IF(AND(R1635="Yes",S1635&lt;&gt;"Yes",L1635&gt;0,B1635&lt;&gt;"TXO"),L1635,"")</f>
        <v/>
      </c>
      <c r="U1635" s="61">
        <f>IF(AND(R1635="Yes",S1635&lt;&gt;"Yes",L1635&lt;0,B1635&lt;&gt;"TXO"),L1635,"")</f>
        <v/>
      </c>
      <c r="V1635" s="61">
        <f>IF(AND(R1635="",S1635&lt;&gt;"Yes",L1635&gt;0,B1635&lt;&gt;"TXO"),L1635,"")</f>
        <v/>
      </c>
      <c r="W1635" s="61">
        <f>IF(AND(R1635="",S1635&lt;&gt;"Yes",L1635&lt;0,B1635&lt;&gt;"TXO"),L1635,"")</f>
        <v/>
      </c>
      <c r="X1635" s="226">
        <f>IF(AND(R1635="Yes",S1635="Yes",L1635&gt;0,B1635&lt;&gt;"TXO"),L1635,"")</f>
        <v/>
      </c>
      <c r="Y1635" s="226">
        <f>IF(AND(R1635="Yes",S1635="Yes",L1635&lt;0,B1635&lt;&gt;"TXO"),L1635,"")</f>
        <v/>
      </c>
      <c r="Z1635" s="226">
        <f>IF(AND(R1635="",S1635="Yes",L1635&gt;0,B1635&lt;&gt;"TXO"),L1635,"")</f>
        <v/>
      </c>
      <c r="AA1635" s="226">
        <f>IF(AND(R1635="",S1635="Yes",L1635&lt;0,B1635&lt;&gt;"TXO"),L1635,"")</f>
        <v/>
      </c>
    </row>
    <row r="1636" hidden="1" outlineLevel="2" collapsed="1" ht="17.25" customHeight="1" thickBot="1">
      <c r="A1636" s="696" t="n">
        <v>43404</v>
      </c>
      <c r="B1636" s="234" t="inlineStr">
        <is>
          <t>FIMTX</t>
        </is>
      </c>
      <c r="C1636" s="229" t="inlineStr">
        <is>
          <t>小指11</t>
        </is>
      </c>
      <c r="D1636" s="229" t="inlineStr">
        <is>
          <t>平倉</t>
        </is>
      </c>
      <c r="E1636" s="257" t="inlineStr">
        <is>
          <t>賣</t>
        </is>
      </c>
      <c r="F1636" s="229" t="inlineStr">
        <is>
          <t>-</t>
        </is>
      </c>
      <c r="G1636" s="697" t="n">
        <v>1</v>
      </c>
      <c r="H1636" s="697" t="n">
        <v>9697</v>
      </c>
      <c r="I1636" s="697" t="n">
        <v>0</v>
      </c>
      <c r="J1636" s="585" t="n">
        <v>23</v>
      </c>
      <c r="K1636" s="585" t="n">
        <v>10</v>
      </c>
      <c r="L1636" s="585">
        <f>IF(B1636="TXO",I1636-SUM(J1636:K1636),IF(B1636="FITX",IF(D1636="新倉",-SUM(J1636:K1636),IF(E1636="賣",(H1636-H1635)*G1636*200-SUM(J1636:K1636),(H1635-H1636)*G1636*200-SUM(J1636:K1636))),IF(D1636="新倉",-SUM(J1636:K1636),IF(E1636="賣",(H1636-H1635)*G1636*50-SUM(J1636:K1636),(H1635-H1636)*G1636*50-SUM(J1636:K1636)))))</f>
        <v/>
      </c>
      <c r="M1636" s="699">
        <f>L1636</f>
        <v/>
      </c>
      <c r="N1636" s="686">
        <f>IF(B1636="TXO","",IF(D1636="新倉","",IF(E1636="賣",(H1636-H1635)*G1636,(H1635-H1636)*G1636)))</f>
        <v/>
      </c>
      <c r="O1636" s="226" t="n">
        <v>0</v>
      </c>
      <c r="P1636" s="667" t="n"/>
      <c r="Q1636" s="249" t="inlineStr">
        <is>
          <t>技法: 刺補</t>
        </is>
      </c>
      <c r="S1636" s="249" t="inlineStr">
        <is>
          <t>Yes</t>
        </is>
      </c>
      <c r="T1636" s="61">
        <f>IF(AND(R1636="Yes",S1636&lt;&gt;"Yes",L1636&gt;0,B1636&lt;&gt;"TXO"),L1636,"")</f>
        <v/>
      </c>
      <c r="U1636" s="61">
        <f>IF(AND(R1636="Yes",S1636&lt;&gt;"Yes",L1636&lt;0,B1636&lt;&gt;"TXO"),L1636,"")</f>
        <v/>
      </c>
      <c r="V1636" s="61">
        <f>IF(AND(R1636="",S1636&lt;&gt;"Yes",L1636&gt;0,B1636&lt;&gt;"TXO"),L1636,"")</f>
        <v/>
      </c>
      <c r="W1636" s="61">
        <f>IF(AND(R1636="",S1636&lt;&gt;"Yes",L1636&lt;0,B1636&lt;&gt;"TXO"),L1636,"")</f>
        <v/>
      </c>
      <c r="X1636" s="226">
        <f>IF(AND(R1636="Yes",S1636="Yes",L1636&gt;0,B1636&lt;&gt;"TXO"),L1636,"")</f>
        <v/>
      </c>
      <c r="Y1636" s="226">
        <f>IF(AND(R1636="Yes",S1636="Yes",L1636&lt;0,B1636&lt;&gt;"TXO"),L1636,"")</f>
        <v/>
      </c>
      <c r="Z1636" s="226">
        <f>IF(AND(R1636="",S1636="Yes",L1636&gt;0,B1636&lt;&gt;"TXO"),L1636,"")</f>
        <v/>
      </c>
      <c r="AA1636" s="226">
        <f>IF(AND(R1636="",S1636="Yes",L1636&lt;0,B1636&lt;&gt;"TXO"),L1636,"")</f>
        <v/>
      </c>
    </row>
    <row r="1637" hidden="1" outlineLevel="2" collapsed="1" ht="17.25" customHeight="1" thickBot="1">
      <c r="A1637" s="696" t="n">
        <v>43404</v>
      </c>
      <c r="B1637" s="234" t="inlineStr">
        <is>
          <t>TXO</t>
        </is>
      </c>
      <c r="C1637" s="229" t="inlineStr">
        <is>
          <t>TXOW1 11 9900  C</t>
        </is>
      </c>
      <c r="D1637" s="229" t="inlineStr">
        <is>
          <t>新倉</t>
        </is>
      </c>
      <c r="E1637" s="257" t="inlineStr">
        <is>
          <t>買</t>
        </is>
      </c>
      <c r="F1637" s="229" t="inlineStr">
        <is>
          <t>-</t>
        </is>
      </c>
      <c r="G1637" s="697" t="n">
        <v>1</v>
      </c>
      <c r="H1637" s="697" t="n">
        <v>52</v>
      </c>
      <c r="I1637" s="697" t="n">
        <v>-2600</v>
      </c>
      <c r="J1637" s="585" t="n">
        <v>18</v>
      </c>
      <c r="K1637" s="585" t="n">
        <v>3</v>
      </c>
      <c r="L1637" s="585">
        <f>IF(B1637="TXO",I1637-SUM(J1637:K1637),IF(B1637="FITX",IF(D1637="新倉",-SUM(J1637:K1637),IF(E1637="賣",(H1637-H1636)*G1637*200-SUM(J1637:K1637),(H1636-H1637)*G1637*200-SUM(J1637:K1637))),IF(D1637="新倉",-SUM(J1637:K1637),IF(E1637="賣",(H1637-H1636)*G1637*50-SUM(J1637:K1637),(H1636-H1637)*G1637*50-SUM(J1637:K1637)))))</f>
        <v/>
      </c>
      <c r="M1637" s="699">
        <f>L1637</f>
        <v/>
      </c>
      <c r="N1637" s="686">
        <f>IF(B1637="TXO","",IF(D1637="新倉","",IF(E1637="賣",(H1637-H1636)*G1637,(H1636-H1637)*G1637)))</f>
        <v/>
      </c>
      <c r="O1637" s="226" t="n">
        <v>0</v>
      </c>
      <c r="P1637" s="667" t="n"/>
      <c r="Q1637" s="297" t="n"/>
      <c r="R1637" s="249" t="inlineStr">
        <is>
          <t>Yes</t>
        </is>
      </c>
      <c r="S1637" s="249" t="n"/>
      <c r="T1637" s="61">
        <f>IF(AND(R1637="Yes",S1637&lt;&gt;"Yes",L1637&gt;0,B1637&lt;&gt;"TXO"),L1637,"")</f>
        <v/>
      </c>
      <c r="U1637" s="61">
        <f>IF(AND(R1637="Yes",S1637&lt;&gt;"Yes",L1637&lt;0,B1637&lt;&gt;"TXO"),L1637,"")</f>
        <v/>
      </c>
      <c r="V1637" s="61">
        <f>IF(AND(R1637="",S1637&lt;&gt;"Yes",L1637&gt;0,B1637&lt;&gt;"TXO"),L1637,"")</f>
        <v/>
      </c>
      <c r="W1637" s="61">
        <f>IF(AND(R1637="",S1637&lt;&gt;"Yes",L1637&lt;0,B1637&lt;&gt;"TXO"),L1637,"")</f>
        <v/>
      </c>
      <c r="X1637" s="226">
        <f>IF(AND(R1637="Yes",S1637="Yes",L1637&gt;0,B1637&lt;&gt;"TXO"),L1637,"")</f>
        <v/>
      </c>
      <c r="Y1637" s="226">
        <f>IF(AND(R1637="Yes",S1637="Yes",L1637&lt;0,B1637&lt;&gt;"TXO"),L1637,"")</f>
        <v/>
      </c>
      <c r="Z1637" s="226">
        <f>IF(AND(R1637="",S1637="Yes",L1637&gt;0,B1637&lt;&gt;"TXO"),L1637,"")</f>
        <v/>
      </c>
      <c r="AA1637" s="226">
        <f>IF(AND(R1637="",S1637="Yes",L1637&lt;0,B1637&lt;&gt;"TXO"),L1637,"")</f>
        <v/>
      </c>
    </row>
    <row r="1638" hidden="1" outlineLevel="2" collapsed="1" ht="17.25" customHeight="1" thickBot="1">
      <c r="A1638" s="696" t="n">
        <v>43405</v>
      </c>
      <c r="B1638" s="234" t="inlineStr">
        <is>
          <t>TXO</t>
        </is>
      </c>
      <c r="C1638" s="229" t="inlineStr">
        <is>
          <t>台指選W1 11 9900  C</t>
        </is>
      </c>
      <c r="D1638" s="229" t="inlineStr">
        <is>
          <t>平倉</t>
        </is>
      </c>
      <c r="E1638" s="257" t="inlineStr">
        <is>
          <t>賣</t>
        </is>
      </c>
      <c r="F1638" s="229" t="inlineStr">
        <is>
          <t>-</t>
        </is>
      </c>
      <c r="G1638" s="697" t="n">
        <v>1</v>
      </c>
      <c r="H1638" s="697" t="n">
        <v>65</v>
      </c>
      <c r="I1638" s="697" t="n">
        <v>3250</v>
      </c>
      <c r="J1638" s="585" t="n">
        <v>18</v>
      </c>
      <c r="K1638" s="585" t="n">
        <v>3</v>
      </c>
      <c r="L1638" s="585">
        <f>IF(B1638="TXO",I1638-SUM(J1638:K1638),IF(B1638="FITX",IF(D1638="新倉",-SUM(J1638:K1638),IF(E1638="賣",(H1638-H1637)*G1638*200-SUM(J1638:K1638),(H1637-H1638)*G1638*200-SUM(J1638:K1638))),IF(D1638="新倉",-SUM(J1638:K1638),IF(E1638="賣",(H1638-H1637)*G1638*50-SUM(J1638:K1638),(H1637-H1638)*G1638*50-SUM(J1638:K1638)))))</f>
        <v/>
      </c>
      <c r="M1638" s="699">
        <f>L1638</f>
        <v/>
      </c>
      <c r="N1638" s="686">
        <f>IF(B1638="TXO","",IF(D1638="新倉","",IF(E1638="賣",(H1638-H1637)*G1638,(H1637-H1638)*G1638)))</f>
        <v/>
      </c>
      <c r="O1638" s="226" t="n">
        <v>0</v>
      </c>
      <c r="P1638" s="667" t="n"/>
      <c r="Q1638" s="297" t="n"/>
      <c r="R1638" s="249" t="inlineStr">
        <is>
          <t>Yes</t>
        </is>
      </c>
      <c r="S1638" s="249" t="n"/>
      <c r="T1638" s="61">
        <f>IF(AND(R1638="Yes",S1638&lt;&gt;"Yes",L1638&gt;0,B1638&lt;&gt;"TXO"),L1638,"")</f>
        <v/>
      </c>
      <c r="U1638" s="61">
        <f>IF(AND(R1638="Yes",S1638&lt;&gt;"Yes",L1638&lt;0,B1638&lt;&gt;"TXO"),L1638,"")</f>
        <v/>
      </c>
      <c r="V1638" s="61">
        <f>IF(AND(R1638="",S1638&lt;&gt;"Yes",L1638&gt;0,B1638&lt;&gt;"TXO"),L1638,"")</f>
        <v/>
      </c>
      <c r="W1638" s="61">
        <f>IF(AND(R1638="",S1638&lt;&gt;"Yes",L1638&lt;0,B1638&lt;&gt;"TXO"),L1638,"")</f>
        <v/>
      </c>
      <c r="X1638" s="226">
        <f>IF(AND(R1638="Yes",S1638="Yes",L1638&gt;0,B1638&lt;&gt;"TXO"),L1638,"")</f>
        <v/>
      </c>
      <c r="Y1638" s="226">
        <f>IF(AND(R1638="Yes",S1638="Yes",L1638&lt;0,B1638&lt;&gt;"TXO"),L1638,"")</f>
        <v/>
      </c>
      <c r="Z1638" s="226">
        <f>IF(AND(R1638="",S1638="Yes",L1638&gt;0,B1638&lt;&gt;"TXO"),L1638,"")</f>
        <v/>
      </c>
      <c r="AA1638" s="226">
        <f>IF(AND(R1638="",S1638="Yes",L1638&lt;0,B1638&lt;&gt;"TXO"),L1638,"")</f>
        <v/>
      </c>
    </row>
    <row r="1639" hidden="1" outlineLevel="2" collapsed="1" ht="17.25" customHeight="1" thickBot="1">
      <c r="A1639" s="696" t="n">
        <v>43404</v>
      </c>
      <c r="B1639" s="234" t="inlineStr">
        <is>
          <t>TXO</t>
        </is>
      </c>
      <c r="C1639" s="229" t="inlineStr">
        <is>
          <t>TXOW1 11 10000 C</t>
        </is>
      </c>
      <c r="D1639" s="229" t="inlineStr">
        <is>
          <t>新倉</t>
        </is>
      </c>
      <c r="E1639" s="257" t="inlineStr">
        <is>
          <t>買</t>
        </is>
      </c>
      <c r="F1639" s="229" t="inlineStr">
        <is>
          <t>-</t>
        </is>
      </c>
      <c r="G1639" s="697" t="n">
        <v>1</v>
      </c>
      <c r="H1639" s="697" t="n">
        <v>26</v>
      </c>
      <c r="I1639" s="697" t="n">
        <v>-1300</v>
      </c>
      <c r="J1639" s="585" t="n">
        <v>18</v>
      </c>
      <c r="K1639" s="585" t="n">
        <v>1</v>
      </c>
      <c r="L1639" s="585">
        <f>IF(B1639="TXO",I1639-SUM(J1639:K1639),IF(B1639="FITX",IF(D1639="新倉",-SUM(J1639:K1639),IF(E1639="賣",(H1639-H1638)*G1639*200-SUM(J1639:K1639),(H1638-H1639)*G1639*200-SUM(J1639:K1639))),IF(D1639="新倉",-SUM(J1639:K1639),IF(E1639="賣",(H1639-H1638)*G1639*50-SUM(J1639:K1639),(H1638-H1639)*G1639*50-SUM(J1639:K1639)))))</f>
        <v/>
      </c>
      <c r="M1639" s="699">
        <f>L1639</f>
        <v/>
      </c>
      <c r="N1639" s="686">
        <f>IF(B1639="TXO","",IF(D1639="新倉","",IF(E1639="賣",(H1639-H1638)*G1639,(H1638-H1639)*G1639)))</f>
        <v/>
      </c>
      <c r="O1639" s="226" t="n">
        <v>0</v>
      </c>
      <c r="P1639" s="667" t="n"/>
      <c r="R1639" s="249" t="inlineStr">
        <is>
          <t>Yes</t>
        </is>
      </c>
      <c r="S1639" s="249" t="n"/>
      <c r="T1639" s="61">
        <f>IF(AND(R1639="Yes",S1639&lt;&gt;"Yes",L1639&gt;0,B1639&lt;&gt;"TXO"),L1639,"")</f>
        <v/>
      </c>
      <c r="U1639" s="61">
        <f>IF(AND(R1639="Yes",S1639&lt;&gt;"Yes",L1639&lt;0,B1639&lt;&gt;"TXO"),L1639,"")</f>
        <v/>
      </c>
      <c r="V1639" s="61">
        <f>IF(AND(R1639="",S1639&lt;&gt;"Yes",L1639&gt;0,B1639&lt;&gt;"TXO"),L1639,"")</f>
        <v/>
      </c>
      <c r="W1639" s="61">
        <f>IF(AND(R1639="",S1639&lt;&gt;"Yes",L1639&lt;0,B1639&lt;&gt;"TXO"),L1639,"")</f>
        <v/>
      </c>
      <c r="X1639" s="226">
        <f>IF(AND(R1639="Yes",S1639="Yes",L1639&gt;0,B1639&lt;&gt;"TXO"),L1639,"")</f>
        <v/>
      </c>
      <c r="Y1639" s="226">
        <f>IF(AND(R1639="Yes",S1639="Yes",L1639&lt;0,B1639&lt;&gt;"TXO"),L1639,"")</f>
        <v/>
      </c>
      <c r="Z1639" s="226">
        <f>IF(AND(R1639="",S1639="Yes",L1639&gt;0,B1639&lt;&gt;"TXO"),L1639,"")</f>
        <v/>
      </c>
      <c r="AA1639" s="226">
        <f>IF(AND(R1639="",S1639="Yes",L1639&lt;0,B1639&lt;&gt;"TXO"),L1639,"")</f>
        <v/>
      </c>
    </row>
    <row r="1640" hidden="1" outlineLevel="2" collapsed="1" ht="17.25" customHeight="1" thickBot="1">
      <c r="A1640" s="696" t="n">
        <v>43404</v>
      </c>
      <c r="B1640" s="234" t="inlineStr">
        <is>
          <t>FIMTX</t>
        </is>
      </c>
      <c r="C1640" s="229" t="inlineStr">
        <is>
          <t>小指11</t>
        </is>
      </c>
      <c r="D1640" s="229" t="inlineStr">
        <is>
          <t>新倉</t>
        </is>
      </c>
      <c r="E1640" s="257" t="inlineStr">
        <is>
          <t>賣</t>
        </is>
      </c>
      <c r="F1640" s="229" t="inlineStr">
        <is>
          <t>-</t>
        </is>
      </c>
      <c r="G1640" s="697" t="n">
        <v>2</v>
      </c>
      <c r="H1640" s="697" t="n">
        <v>9724</v>
      </c>
      <c r="I1640" s="697" t="n">
        <v>0</v>
      </c>
      <c r="J1640" s="585" t="n">
        <v>46</v>
      </c>
      <c r="K1640" s="585" t="n">
        <v>20</v>
      </c>
      <c r="L1640" s="585">
        <f>IF(B1640="TXO",I1640-SUM(J1640:K1640),IF(B1640="FITX",IF(D1640="新倉",-SUM(J1640:K1640),IF(E1640="賣",(H1640-H1639)*G1640*200-SUM(J1640:K1640),(H1639-H1640)*G1640*200-SUM(J1640:K1640))),IF(D1640="新倉",-SUM(J1640:K1640),IF(E1640="賣",(H1640-H1639)*G1640*50-SUM(J1640:K1640),(H1639-H1640)*G1640*50-SUM(J1640:K1640)))))</f>
        <v/>
      </c>
      <c r="M1640" s="699">
        <f>L1640</f>
        <v/>
      </c>
      <c r="N1640" s="686">
        <f>IF(B1640="TXO","",IF(D1640="新倉","",IF(E1640="賣",(H1640-H1639)*G1640,(H1639-H1640)*G1640)))</f>
        <v/>
      </c>
      <c r="O1640" s="226" t="n">
        <v>0</v>
      </c>
      <c r="P1640" s="667" t="n"/>
      <c r="Q1640" s="297" t="n"/>
      <c r="R1640" s="249" t="inlineStr">
        <is>
          <t>Yes</t>
        </is>
      </c>
      <c r="S1640" s="249" t="n"/>
      <c r="T1640" s="61">
        <f>IF(AND(R1640="Yes",S1640&lt;&gt;"Yes",L1640&gt;0,B1640&lt;&gt;"TXO"),L1640,"")</f>
        <v/>
      </c>
      <c r="U1640" s="61">
        <f>IF(AND(R1640="Yes",S1640&lt;&gt;"Yes",L1640&lt;0,B1640&lt;&gt;"TXO"),L1640,"")</f>
        <v/>
      </c>
      <c r="V1640" s="61">
        <f>IF(AND(R1640="",S1640&lt;&gt;"Yes",L1640&gt;0,B1640&lt;&gt;"TXO"),L1640,"")</f>
        <v/>
      </c>
      <c r="W1640" s="61">
        <f>IF(AND(R1640="",S1640&lt;&gt;"Yes",L1640&lt;0,B1640&lt;&gt;"TXO"),L1640,"")</f>
        <v/>
      </c>
      <c r="X1640" s="226">
        <f>IF(AND(R1640="Yes",S1640="Yes",L1640&gt;0,B1640&lt;&gt;"TXO"),L1640,"")</f>
        <v/>
      </c>
      <c r="Y1640" s="226">
        <f>IF(AND(R1640="Yes",S1640="Yes",L1640&lt;0,B1640&lt;&gt;"TXO"),L1640,"")</f>
        <v/>
      </c>
      <c r="Z1640" s="226">
        <f>IF(AND(R1640="",S1640="Yes",L1640&gt;0,B1640&lt;&gt;"TXO"),L1640,"")</f>
        <v/>
      </c>
      <c r="AA1640" s="226">
        <f>IF(AND(R1640="",S1640="Yes",L1640&lt;0,B1640&lt;&gt;"TXO"),L1640,"")</f>
        <v/>
      </c>
    </row>
    <row r="1641" hidden="1" outlineLevel="2" collapsed="1" ht="17.25" customHeight="1" thickBot="1">
      <c r="A1641" s="696" t="n">
        <v>43404</v>
      </c>
      <c r="B1641" s="234" t="inlineStr">
        <is>
          <t>FIMTX</t>
        </is>
      </c>
      <c r="C1641" s="229" t="inlineStr">
        <is>
          <t>小指11</t>
        </is>
      </c>
      <c r="D1641" s="229" t="inlineStr">
        <is>
          <t>平倉</t>
        </is>
      </c>
      <c r="E1641" s="257" t="inlineStr">
        <is>
          <t>買</t>
        </is>
      </c>
      <c r="F1641" s="229" t="inlineStr">
        <is>
          <t>-</t>
        </is>
      </c>
      <c r="G1641" s="697" t="n">
        <v>2</v>
      </c>
      <c r="H1641" s="697" t="n">
        <v>9739</v>
      </c>
      <c r="I1641" s="697" t="n">
        <v>0</v>
      </c>
      <c r="J1641" s="585" t="n">
        <v>46</v>
      </c>
      <c r="K1641" s="585" t="n">
        <v>20</v>
      </c>
      <c r="L1641" s="585">
        <f>IF(B1641="TXO",I1641-SUM(J1641:K1641),IF(B1641="FITX",IF(D1641="新倉",-SUM(J1641:K1641),IF(E1641="賣",(H1641-H1640)*G1641*200-SUM(J1641:K1641),(H1640-H1641)*G1641*200-SUM(J1641:K1641))),IF(D1641="新倉",-SUM(J1641:K1641),IF(E1641="賣",(H1641-H1640)*G1641*50-SUM(J1641:K1641),(H1640-H1641)*G1641*50-SUM(J1641:K1641)))))</f>
        <v/>
      </c>
      <c r="M1641" s="699">
        <f>L1641</f>
        <v/>
      </c>
      <c r="N1641" s="686">
        <f>IF(B1641="TXO","",IF(D1641="新倉","",IF(E1641="賣",(H1641-H1640)*G1641,(H1640-H1641)*G1641)))</f>
        <v/>
      </c>
      <c r="O1641" s="226" t="n">
        <v>0</v>
      </c>
      <c r="P1641" s="667" t="n"/>
      <c r="R1641" s="249" t="inlineStr">
        <is>
          <t>Yes</t>
        </is>
      </c>
      <c r="S1641" s="249" t="n"/>
      <c r="T1641" s="61">
        <f>IF(AND(R1641="Yes",S1641&lt;&gt;"Yes",L1641&gt;0,B1641&lt;&gt;"TXO"),L1641,"")</f>
        <v/>
      </c>
      <c r="U1641" s="61">
        <f>IF(AND(R1641="Yes",S1641&lt;&gt;"Yes",L1641&lt;0,B1641&lt;&gt;"TXO"),L1641,"")</f>
        <v/>
      </c>
      <c r="V1641" s="61">
        <f>IF(AND(R1641="",S1641&lt;&gt;"Yes",L1641&gt;0,B1641&lt;&gt;"TXO"),L1641,"")</f>
        <v/>
      </c>
      <c r="W1641" s="61">
        <f>IF(AND(R1641="",S1641&lt;&gt;"Yes",L1641&lt;0,B1641&lt;&gt;"TXO"),L1641,"")</f>
        <v/>
      </c>
      <c r="X1641" s="226">
        <f>IF(AND(R1641="Yes",S1641="Yes",L1641&gt;0,B1641&lt;&gt;"TXO"),L1641,"")</f>
        <v/>
      </c>
      <c r="Y1641" s="226">
        <f>IF(AND(R1641="Yes",S1641="Yes",L1641&lt;0,B1641&lt;&gt;"TXO"),L1641,"")</f>
        <v/>
      </c>
      <c r="Z1641" s="226">
        <f>IF(AND(R1641="",S1641="Yes",L1641&gt;0,B1641&lt;&gt;"TXO"),L1641,"")</f>
        <v/>
      </c>
      <c r="AA1641" s="226">
        <f>IF(AND(R1641="",S1641="Yes",L1641&lt;0,B1641&lt;&gt;"TXO"),L1641,"")</f>
        <v/>
      </c>
    </row>
    <row r="1642" ht="17.25" customHeight="1" thickBot="1">
      <c r="A1642" s="273" t="inlineStr">
        <is>
          <t>10月總計</t>
        </is>
      </c>
      <c r="B1642" s="274" t="n"/>
      <c r="C1642" s="274" t="n"/>
      <c r="D1642" s="274" t="n"/>
      <c r="E1642" s="274" t="n"/>
      <c r="F1642" s="274" t="n"/>
      <c r="G1642" s="715" t="n"/>
      <c r="H1642" s="715" t="n"/>
      <c r="I1642" s="715" t="n"/>
      <c r="J1642" s="716" t="n"/>
      <c r="K1642" s="715" t="n"/>
      <c r="L1642" s="717">
        <f>SUM(L865:L1641)</f>
        <v/>
      </c>
      <c r="M1642" s="751">
        <f>SUM(M865:M1641)</f>
        <v/>
      </c>
      <c r="N1642" s="666" t="n"/>
      <c r="P1642" s="744" t="n"/>
      <c r="R1642" s="717">
        <f>SUMIF(R865:R1641,"Yes",L865:L1641)</f>
        <v/>
      </c>
      <c r="S1642" s="739" t="n"/>
      <c r="T1642" s="226">
        <f>SUM(T865:T1641)</f>
        <v/>
      </c>
      <c r="U1642" s="226">
        <f>SUM(U865:U1641)</f>
        <v/>
      </c>
      <c r="V1642" s="226">
        <f>SUM(V865:V1641)</f>
        <v/>
      </c>
      <c r="W1642" s="226">
        <f>SUM(W865:W1641)</f>
        <v/>
      </c>
      <c r="X1642" s="226">
        <f>SUM(X865:X1641)</f>
        <v/>
      </c>
      <c r="Y1642" s="226">
        <f>SUM(Y865:Y1641)</f>
        <v/>
      </c>
      <c r="Z1642" s="226">
        <f>SUM(Z865:Z1641)</f>
        <v/>
      </c>
      <c r="AA1642" s="226">
        <f>SUM(AA865:AA1641)</f>
        <v/>
      </c>
    </row>
    <row r="1643" ht="17.25" customHeight="1" thickBot="1">
      <c r="A1643" s="718" t="n">
        <v>43418</v>
      </c>
      <c r="B1643" s="292" t="n"/>
      <c r="C1643" s="292" t="inlineStr">
        <is>
          <t>XQ 學院版</t>
        </is>
      </c>
      <c r="D1643" s="292" t="n"/>
      <c r="E1643" s="292" t="n"/>
      <c r="F1643" s="292" t="n"/>
      <c r="G1643" s="719" t="n"/>
      <c r="H1643" s="719" t="n"/>
      <c r="I1643" s="719" t="n"/>
      <c r="J1643" s="720" t="n"/>
      <c r="K1643" s="719" t="n"/>
      <c r="L1643" s="720" t="n"/>
      <c r="M1643" s="721">
        <f>-4457*0.965</f>
        <v/>
      </c>
      <c r="N1643" s="666" t="n"/>
      <c r="P1643" s="722" t="n"/>
      <c r="Q1643" s="249" t="inlineStr">
        <is>
          <t>49888分12期, 每期4457</t>
        </is>
      </c>
      <c r="S1643" s="739" t="n"/>
      <c r="T1643" s="61" t="n"/>
      <c r="U1643" s="61" t="n"/>
      <c r="V1643" s="61" t="n"/>
      <c r="W1643" s="61" t="n"/>
    </row>
    <row r="1644" ht="17.25" customHeight="1" thickBot="1">
      <c r="A1644" s="718" t="n">
        <v>43423</v>
      </c>
      <c r="B1644" s="292" t="n"/>
      <c r="C1644" s="292" t="inlineStr">
        <is>
          <t>阿水制霸班</t>
        </is>
      </c>
      <c r="D1644" s="292" t="n"/>
      <c r="E1644" s="292" t="n"/>
      <c r="F1644" s="292" t="n"/>
      <c r="G1644" s="719" t="n"/>
      <c r="H1644" s="719" t="n"/>
      <c r="I1644" s="719" t="n"/>
      <c r="J1644" s="720" t="n"/>
      <c r="K1644" s="719" t="n"/>
      <c r="L1644" s="720" t="n"/>
      <c r="M1644" s="721" t="n">
        <v>-4490</v>
      </c>
      <c r="N1644" s="666" t="n"/>
      <c r="P1644" s="722" t="n"/>
      <c r="Q1644" s="249" t="inlineStr">
        <is>
          <t>53888分12期, 每期4490, 12-12</t>
        </is>
      </c>
      <c r="S1644" s="739" t="n"/>
      <c r="T1644" s="61">
        <f>IF(AND(R1644="Yes",S1644&lt;&gt;"Yes",L1644&gt;0,B1644&lt;&gt;"TXO"),L1644,"")</f>
        <v/>
      </c>
    </row>
    <row r="1645" collapsed="1" ht="17.25" customHeight="1" thickBot="1">
      <c r="A1645" s="718" t="n">
        <v>43432</v>
      </c>
      <c r="B1645" s="292" t="n"/>
      <c r="C1645" s="292" t="inlineStr">
        <is>
          <t>阿水財經四班</t>
        </is>
      </c>
      <c r="D1645" s="292" t="n"/>
      <c r="E1645" s="292" t="n"/>
      <c r="F1645" s="292" t="n"/>
      <c r="G1645" s="719" t="n"/>
      <c r="H1645" s="719" t="n"/>
      <c r="I1645" s="719" t="n"/>
      <c r="J1645" s="720" t="n"/>
      <c r="K1645" s="719" t="n"/>
      <c r="L1645" s="720" t="n"/>
      <c r="M1645" s="721">
        <f>-5000*0.965</f>
        <v/>
      </c>
      <c r="N1645" s="666" t="n"/>
      <c r="P1645" s="722" t="n"/>
      <c r="Q1645" s="249" t="inlineStr">
        <is>
          <t>60000分12期, 每期5000</t>
        </is>
      </c>
      <c r="S1645" s="739" t="n"/>
    </row>
    <row r="1646" hidden="1" outlineLevel="1" ht="33.75" customHeight="1" thickBot="1">
      <c r="A1646" s="696" t="n">
        <v>43405</v>
      </c>
      <c r="B1646" s="234" t="inlineStr">
        <is>
          <t>FIMTX</t>
        </is>
      </c>
      <c r="C1646" s="229" t="inlineStr">
        <is>
          <t>小指11</t>
        </is>
      </c>
      <c r="D1646" s="229" t="inlineStr">
        <is>
          <t>新倉</t>
        </is>
      </c>
      <c r="E1646" s="257" t="inlineStr">
        <is>
          <t>賣</t>
        </is>
      </c>
      <c r="F1646" s="229" t="inlineStr">
        <is>
          <t>-</t>
        </is>
      </c>
      <c r="G1646" s="697" t="n">
        <v>2</v>
      </c>
      <c r="H1646" s="697" t="n">
        <v>9801</v>
      </c>
      <c r="I1646" s="697" t="n">
        <v>0</v>
      </c>
      <c r="J1646" s="585" t="n">
        <v>46</v>
      </c>
      <c r="K1646" s="585" t="n">
        <v>20</v>
      </c>
      <c r="L1646" s="585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/>
      </c>
      <c r="M1646" s="699">
        <f>L1646</f>
        <v/>
      </c>
      <c r="N1646" s="686">
        <f>IF(B1646="TXO","",IF(D1646="新倉","",IF(E1646="賣",(H1646-H1642)*G1646,(H1642-H1646)*G1646)))</f>
        <v/>
      </c>
      <c r="O1646" s="226" t="n">
        <v>0</v>
      </c>
      <c r="P1646" s="667">
        <f>SUM(L1646:L1653)</f>
        <v/>
      </c>
      <c r="Q1646" s="297" t="inlineStr">
        <is>
          <t>技法: 3/3 買進兩口
點錯方向</t>
        </is>
      </c>
      <c r="S1646" s="249" t="n"/>
      <c r="T1646" s="61">
        <f>IF(AND(R1646="Yes",S1646&lt;&gt;"Yes",L1646&gt;0,B1646&lt;&gt;"TXO"),L1646,"")</f>
        <v/>
      </c>
      <c r="U1646" s="61">
        <f>IF(AND(R1646="Yes",S1646&lt;&gt;"Yes",L1646&lt;0,B1646&lt;&gt;"TXO"),L1646,"")</f>
        <v/>
      </c>
      <c r="V1646" s="61">
        <f>IF(AND(R1646="",S1646&lt;&gt;"Yes",L1646&gt;0,B1646&lt;&gt;"TXO"),L1646,"")</f>
        <v/>
      </c>
      <c r="W1646" s="61">
        <f>IF(AND(R1646="",S1646&lt;&gt;"Yes",L1646&lt;0,B1646&lt;&gt;"TXO"),L1646,"")</f>
        <v/>
      </c>
      <c r="X1646" s="226">
        <f>IF(AND(R1646="Yes",S1646="Yes",L1646&gt;0,B1646&lt;&gt;"TXO"),L1646,"")</f>
        <v/>
      </c>
      <c r="Y1646" s="226">
        <f>IF(AND(R1646="Yes",S1646="Yes",L1646&lt;0,B1646&lt;&gt;"TXO"),L1646,"")</f>
        <v/>
      </c>
      <c r="Z1646" s="226">
        <f>IF(AND(R1646="",S1646="Yes",L1646&gt;0,B1646&lt;&gt;"TXO"),L1646,"")</f>
        <v/>
      </c>
      <c r="AA1646" s="226">
        <f>IF(AND(R1646="",S1646="Yes",L1646&lt;0,B1646&lt;&gt;"TXO"),L1646,"")</f>
        <v/>
      </c>
    </row>
    <row r="1647" hidden="1" outlineLevel="2" collapsed="1" ht="17.25" customHeight="1" thickBot="1">
      <c r="A1647" s="696" t="n">
        <v>43405</v>
      </c>
      <c r="B1647" s="234" t="inlineStr">
        <is>
          <t>FIMTX</t>
        </is>
      </c>
      <c r="C1647" s="229" t="inlineStr">
        <is>
          <t>小指11</t>
        </is>
      </c>
      <c r="D1647" s="229" t="inlineStr">
        <is>
          <t>平倉</t>
        </is>
      </c>
      <c r="E1647" s="257" t="inlineStr">
        <is>
          <t>買</t>
        </is>
      </c>
      <c r="F1647" s="229" t="inlineStr">
        <is>
          <t>-</t>
        </is>
      </c>
      <c r="G1647" s="697" t="n">
        <v>2</v>
      </c>
      <c r="H1647" s="697" t="n">
        <v>9802</v>
      </c>
      <c r="I1647" s="697" t="n">
        <v>0</v>
      </c>
      <c r="J1647" s="585" t="n">
        <v>46</v>
      </c>
      <c r="K1647" s="585" t="n">
        <v>20</v>
      </c>
      <c r="L1647" s="585">
        <f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/>
      </c>
      <c r="M1647" s="699">
        <f>L1647</f>
        <v/>
      </c>
      <c r="N1647" s="686">
        <f>IF(B1647="TXO","",IF(D1647="新倉","",IF(E1647="賣",(H1647-H1646)*G1647,(H1646-H1647)*G1647)))</f>
        <v/>
      </c>
      <c r="O1647" s="226" t="n">
        <v>0</v>
      </c>
      <c r="P1647" s="667" t="n"/>
      <c r="S1647" s="249" t="n"/>
      <c r="T1647" s="61">
        <f>IF(AND(R1647="Yes",S1647&lt;&gt;"Yes",L1647&gt;0,B1647&lt;&gt;"TXO"),L1647,"")</f>
        <v/>
      </c>
      <c r="U1647" s="61">
        <f>IF(AND(R1647="Yes",S1647&lt;&gt;"Yes",L1647&lt;0,B1647&lt;&gt;"TXO"),L1647,"")</f>
        <v/>
      </c>
      <c r="V1647" s="61">
        <f>IF(AND(R1647="",S1647&lt;&gt;"Yes",L1647&gt;0,B1647&lt;&gt;"TXO"),L1647,"")</f>
        <v/>
      </c>
      <c r="W1647" s="61">
        <f>IF(AND(R1647="",S1647&lt;&gt;"Yes",L1647&lt;0,B1647&lt;&gt;"TXO"),L1647,"")</f>
        <v/>
      </c>
      <c r="X1647" s="226">
        <f>IF(AND(R1647="Yes",S1647="Yes",L1647&gt;0,B1647&lt;&gt;"TXO"),L1647,"")</f>
        <v/>
      </c>
      <c r="Y1647" s="226">
        <f>IF(AND(R1647="Yes",S1647="Yes",L1647&lt;0,B1647&lt;&gt;"TXO"),L1647,"")</f>
        <v/>
      </c>
      <c r="Z1647" s="226">
        <f>IF(AND(R1647="",S1647="Yes",L1647&gt;0,B1647&lt;&gt;"TXO"),L1647,"")</f>
        <v/>
      </c>
      <c r="AA1647" s="226">
        <f>IF(AND(R1647="",S1647="Yes",L1647&lt;0,B1647&lt;&gt;"TXO"),L1647,"")</f>
        <v/>
      </c>
    </row>
    <row r="1648" hidden="1" outlineLevel="2" collapsed="1" ht="17.25" customHeight="1" thickBot="1">
      <c r="A1648" s="696" t="n">
        <v>43405</v>
      </c>
      <c r="B1648" s="234" t="inlineStr">
        <is>
          <t>FIMTX</t>
        </is>
      </c>
      <c r="C1648" s="229" t="inlineStr">
        <is>
          <t>小指11</t>
        </is>
      </c>
      <c r="D1648" s="229" t="inlineStr">
        <is>
          <t>新倉</t>
        </is>
      </c>
      <c r="E1648" s="257" t="inlineStr">
        <is>
          <t>買</t>
        </is>
      </c>
      <c r="F1648" s="229" t="inlineStr">
        <is>
          <t>-</t>
        </is>
      </c>
      <c r="G1648" s="697" t="n">
        <v>1</v>
      </c>
      <c r="H1648" s="697" t="n">
        <v>9800</v>
      </c>
      <c r="I1648" s="697" t="n">
        <v>0</v>
      </c>
      <c r="J1648" s="585" t="n">
        <v>23</v>
      </c>
      <c r="K1648" s="585" t="n">
        <v>10</v>
      </c>
      <c r="L1648" s="585">
        <f>IF(B1648="TXO",I1648-SUM(J1648:K1648),IF(B1648="FITX",IF(D1648="新倉",-SUM(J1648:K1648),IF(E1648="賣",(H1648-H1647)*G1648*200-SUM(J1648:K1648),(H1647-H1648)*G1648*200-SUM(J1648:K1648))),IF(D1648="新倉",-SUM(J1648:K1648),IF(E1648="賣",(H1648-H1647)*G1648*50-SUM(J1648:K1648),(H1647-H1648)*G1648*50-SUM(J1648:K1648)))))</f>
        <v/>
      </c>
      <c r="M1648" s="699">
        <f>L1648</f>
        <v/>
      </c>
      <c r="N1648" s="686">
        <f>IF(B1648="TXO","",IF(D1648="新倉","",IF(E1648="賣",(H1648-H1647)*G1648,(H1647-H1648)*G1648)))</f>
        <v/>
      </c>
      <c r="O1648" s="226" t="n">
        <v>0</v>
      </c>
      <c r="P1648" s="667" t="n"/>
      <c r="Q1648" s="297" t="inlineStr">
        <is>
          <t>技法: 3/3 買進兩口</t>
        </is>
      </c>
      <c r="R1648" s="249" t="inlineStr">
        <is>
          <t>Yes</t>
        </is>
      </c>
      <c r="S1648" s="61" t="n"/>
      <c r="T1648" s="61">
        <f>IF(AND(R1648="Yes",S1648&lt;&gt;"Yes",L1648&gt;0,B1648&lt;&gt;"TXO"),L1648,"")</f>
        <v/>
      </c>
      <c r="U1648" s="61">
        <f>IF(AND(R1648="Yes",S1648&lt;&gt;"Yes",L1648&lt;0,B1648&lt;&gt;"TXO"),L1648,"")</f>
        <v/>
      </c>
      <c r="V1648" s="61">
        <f>IF(AND(R1648="",S1648&lt;&gt;"Yes",L1648&gt;0,B1648&lt;&gt;"TXO"),L1648,"")</f>
        <v/>
      </c>
      <c r="W1648" s="61">
        <f>IF(AND(R1648="",S1648&lt;&gt;"Yes",L1648&lt;0,B1648&lt;&gt;"TXO"),L1648,"")</f>
        <v/>
      </c>
      <c r="X1648" s="226">
        <f>IF(AND(R1648="Yes",S1648="Yes",L1648&gt;0,B1648&lt;&gt;"TXO"),L1648,"")</f>
        <v/>
      </c>
      <c r="Y1648" s="226">
        <f>IF(AND(R1648="Yes",S1648="Yes",L1648&lt;0,B1648&lt;&gt;"TXO"),L1648,"")</f>
        <v/>
      </c>
      <c r="Z1648" s="226">
        <f>IF(AND(R1648="",S1648="Yes",L1648&gt;0,B1648&lt;&gt;"TXO"),L1648,"")</f>
        <v/>
      </c>
      <c r="AA1648" s="226">
        <f>IF(AND(R1648="",S1648="Yes",L1648&lt;0,B1648&lt;&gt;"TXO"),L1648,"")</f>
        <v/>
      </c>
    </row>
    <row r="1649" hidden="1" outlineLevel="2" collapsed="1" ht="17.25" customHeight="1" thickBot="1">
      <c r="A1649" s="696" t="n">
        <v>43405</v>
      </c>
      <c r="B1649" s="234" t="inlineStr">
        <is>
          <t>FIMTX</t>
        </is>
      </c>
      <c r="C1649" s="229" t="inlineStr">
        <is>
          <t>小指11</t>
        </is>
      </c>
      <c r="D1649" s="229" t="inlineStr">
        <is>
          <t>平倉</t>
        </is>
      </c>
      <c r="E1649" s="257" t="inlineStr">
        <is>
          <t>賣</t>
        </is>
      </c>
      <c r="F1649" s="229" t="inlineStr">
        <is>
          <t>-</t>
        </is>
      </c>
      <c r="G1649" s="697" t="n">
        <v>1</v>
      </c>
      <c r="H1649" s="697" t="n">
        <v>9812</v>
      </c>
      <c r="I1649" s="697" t="n">
        <v>0</v>
      </c>
      <c r="J1649" s="585" t="n">
        <v>23</v>
      </c>
      <c r="K1649" s="585" t="n">
        <v>10</v>
      </c>
      <c r="L1649" s="585">
        <f>IF(B1649="TXO",I1649-SUM(J1649:K1649),IF(B1649="FITX",IF(D1649="新倉",-SUM(J1649:K1649),IF(E1649="賣",(H1649-H1648)*G1649*200-SUM(J1649:K1649),(H1648-H1649)*G1649*200-SUM(J1649:K1649))),IF(D1649="新倉",-SUM(J1649:K1649),IF(E1649="賣",(H1649-H1648)*G1649*50-SUM(J1649:K1649),(H1648-H1649)*G1649*50-SUM(J1649:K1649)))))</f>
        <v/>
      </c>
      <c r="M1649" s="699">
        <f>L1649</f>
        <v/>
      </c>
      <c r="N1649" s="686">
        <f>IF(B1649="TXO","",IF(D1649="新倉","",IF(E1649="賣",(H1649-H1648)*G1649,(H1648-H1649)*G1649)))</f>
        <v/>
      </c>
      <c r="O1649" s="226" t="n">
        <v>0</v>
      </c>
      <c r="P1649" s="667" t="n"/>
      <c r="Q1649" s="249" t="inlineStr">
        <is>
          <t>技法: 刺補</t>
        </is>
      </c>
      <c r="R1649" s="249" t="inlineStr">
        <is>
          <t>Yes</t>
        </is>
      </c>
      <c r="S1649" s="61" t="n"/>
      <c r="T1649" s="61">
        <f>IF(AND(R1649="Yes",S1649&lt;&gt;"Yes",L1649&gt;0,B1649&lt;&gt;"TXO"),L1649,"")</f>
        <v/>
      </c>
      <c r="U1649" s="61">
        <f>IF(AND(R1649="Yes",S1649&lt;&gt;"Yes",L1649&lt;0,B1649&lt;&gt;"TXO"),L1649,"")</f>
        <v/>
      </c>
      <c r="V1649" s="61">
        <f>IF(AND(R1649="",S1649&lt;&gt;"Yes",L1649&gt;0,B1649&lt;&gt;"TXO"),L1649,"")</f>
        <v/>
      </c>
      <c r="W1649" s="61">
        <f>IF(AND(R1649="",S1649&lt;&gt;"Yes",L1649&lt;0,B1649&lt;&gt;"TXO"),L1649,"")</f>
        <v/>
      </c>
      <c r="X1649" s="226">
        <f>IF(AND(R1649="Yes",S1649="Yes",L1649&gt;0,B1649&lt;&gt;"TXO"),L1649,"")</f>
        <v/>
      </c>
      <c r="Y1649" s="226">
        <f>IF(AND(R1649="Yes",S1649="Yes",L1649&lt;0,B1649&lt;&gt;"TXO"),L1649,"")</f>
        <v/>
      </c>
      <c r="Z1649" s="226">
        <f>IF(AND(R1649="",S1649="Yes",L1649&gt;0,B1649&lt;&gt;"TXO"),L1649,"")</f>
        <v/>
      </c>
      <c r="AA1649" s="226">
        <f>IF(AND(R1649="",S1649="Yes",L1649&lt;0,B1649&lt;&gt;"TXO"),L1649,"")</f>
        <v/>
      </c>
    </row>
    <row r="1650" hidden="1" outlineLevel="2" collapsed="1" ht="17.25" customHeight="1" thickBot="1">
      <c r="A1650" s="696" t="n">
        <v>43405</v>
      </c>
      <c r="B1650" s="234" t="inlineStr">
        <is>
          <t>FIMTX</t>
        </is>
      </c>
      <c r="C1650" s="229" t="inlineStr">
        <is>
          <t>小指11</t>
        </is>
      </c>
      <c r="D1650" s="229" t="inlineStr">
        <is>
          <t>新倉</t>
        </is>
      </c>
      <c r="E1650" s="257" t="inlineStr">
        <is>
          <t>買</t>
        </is>
      </c>
      <c r="F1650" s="229" t="inlineStr">
        <is>
          <t>-</t>
        </is>
      </c>
      <c r="G1650" s="697" t="n">
        <v>1</v>
      </c>
      <c r="H1650" s="697" t="n">
        <v>9800</v>
      </c>
      <c r="I1650" s="697" t="n">
        <v>0</v>
      </c>
      <c r="J1650" s="585" t="n">
        <v>23</v>
      </c>
      <c r="K1650" s="585" t="n">
        <v>10</v>
      </c>
      <c r="L1650" s="585">
        <f>IF(B1650="TXO",I1650-SUM(J1650:K1650),IF(B1650="FITX",IF(D1650="新倉",-SUM(J1650:K1650),IF(E1650="賣",(H1650-H1649)*G1650*200-SUM(J1650:K1650),(H1649-H1650)*G1650*200-SUM(J1650:K1650))),IF(D1650="新倉",-SUM(J1650:K1650),IF(E1650="賣",(H1650-H1649)*G1650*50-SUM(J1650:K1650),(H1649-H1650)*G1650*50-SUM(J1650:K1650)))))</f>
        <v/>
      </c>
      <c r="M1650" s="699">
        <f>L1650</f>
        <v/>
      </c>
      <c r="N1650" s="686">
        <f>IF(B1650="TXO","",IF(D1650="新倉","",IF(E1650="賣",(H1650-H1649)*G1650,(H1649-H1650)*G1650)))</f>
        <v/>
      </c>
      <c r="O1650" s="226" t="n">
        <v>0</v>
      </c>
      <c r="P1650" s="667" t="n"/>
      <c r="Q1650" s="297" t="inlineStr">
        <is>
          <t>技法: 3/3 買進兩口</t>
        </is>
      </c>
      <c r="R1650" s="249" t="inlineStr">
        <is>
          <t>Yes</t>
        </is>
      </c>
      <c r="S1650" s="61" t="n"/>
      <c r="T1650" s="61">
        <f>IF(AND(R1650="Yes",S1650&lt;&gt;"Yes",L1650&gt;0,B1650&lt;&gt;"TXO"),L1650,"")</f>
        <v/>
      </c>
      <c r="U1650" s="61">
        <f>IF(AND(R1650="Yes",S1650&lt;&gt;"Yes",L1650&lt;0,B1650&lt;&gt;"TXO"),L1650,"")</f>
        <v/>
      </c>
      <c r="V1650" s="61">
        <f>IF(AND(R1650="",S1650&lt;&gt;"Yes",L1650&gt;0,B1650&lt;&gt;"TXO"),L1650,"")</f>
        <v/>
      </c>
      <c r="W1650" s="61">
        <f>IF(AND(R1650="",S1650&lt;&gt;"Yes",L1650&lt;0,B1650&lt;&gt;"TXO"),L1650,"")</f>
        <v/>
      </c>
      <c r="X1650" s="226">
        <f>IF(AND(R1650="Yes",S1650="Yes",L1650&gt;0,B1650&lt;&gt;"TXO"),L1650,"")</f>
        <v/>
      </c>
      <c r="Y1650" s="226">
        <f>IF(AND(R1650="Yes",S1650="Yes",L1650&lt;0,B1650&lt;&gt;"TXO"),L1650,"")</f>
        <v/>
      </c>
      <c r="Z1650" s="226">
        <f>IF(AND(R1650="",S1650="Yes",L1650&gt;0,B1650&lt;&gt;"TXO"),L1650,"")</f>
        <v/>
      </c>
      <c r="AA1650" s="226">
        <f>IF(AND(R1650="",S1650="Yes",L1650&lt;0,B1650&lt;&gt;"TXO"),L1650,"")</f>
        <v/>
      </c>
    </row>
    <row r="1651" hidden="1" outlineLevel="2" collapsed="1" ht="17.25" customHeight="1" thickBot="1">
      <c r="A1651" s="696" t="n">
        <v>43405</v>
      </c>
      <c r="B1651" s="234" t="inlineStr">
        <is>
          <t>FIMTX</t>
        </is>
      </c>
      <c r="C1651" s="229" t="inlineStr">
        <is>
          <t>小指11</t>
        </is>
      </c>
      <c r="D1651" s="229" t="inlineStr">
        <is>
          <t>平倉</t>
        </is>
      </c>
      <c r="E1651" s="257" t="inlineStr">
        <is>
          <t>賣</t>
        </is>
      </c>
      <c r="F1651" s="229" t="inlineStr">
        <is>
          <t>-</t>
        </is>
      </c>
      <c r="G1651" s="697" t="n">
        <v>1</v>
      </c>
      <c r="H1651" s="697" t="n">
        <v>9809</v>
      </c>
      <c r="I1651" s="697" t="n">
        <v>0</v>
      </c>
      <c r="J1651" s="585" t="n">
        <v>23</v>
      </c>
      <c r="K1651" s="585" t="n">
        <v>10</v>
      </c>
      <c r="L1651" s="585">
        <f>IF(B1651="TXO",I1651-SUM(J1651:K1651),IF(B1651="FITX",IF(D1651="新倉",-SUM(J1651:K1651),IF(E1651="賣",(H1651-H1650)*G1651*200-SUM(J1651:K1651),(H1650-H1651)*G1651*200-SUM(J1651:K1651))),IF(D1651="新倉",-SUM(J1651:K1651),IF(E1651="賣",(H1651-H1650)*G1651*50-SUM(J1651:K1651),(H1650-H1651)*G1651*50-SUM(J1651:K1651)))))</f>
        <v/>
      </c>
      <c r="M1651" s="699">
        <f>L1651</f>
        <v/>
      </c>
      <c r="N1651" s="686">
        <f>IF(B1651="TXO","",IF(D1651="新倉","",IF(E1651="賣",(H1651-H1650)*G1651,(H1650-H1651)*G1651)))</f>
        <v/>
      </c>
      <c r="O1651" s="226" t="n">
        <v>0</v>
      </c>
      <c r="P1651" s="667" t="n"/>
      <c r="Q1651" s="315" t="inlineStr">
        <is>
          <t>技法: 移動式停利</t>
        </is>
      </c>
      <c r="R1651" s="249" t="inlineStr">
        <is>
          <t>Yes</t>
        </is>
      </c>
      <c r="S1651" s="61" t="n"/>
      <c r="T1651" s="61">
        <f>IF(AND(R1651="Yes",S1651&lt;&gt;"Yes",L1651&gt;0,B1651&lt;&gt;"TXO"),L1651,"")</f>
        <v/>
      </c>
      <c r="U1651" s="61">
        <f>IF(AND(R1651="Yes",S1651&lt;&gt;"Yes",L1651&lt;0,B1651&lt;&gt;"TXO"),L1651,"")</f>
        <v/>
      </c>
      <c r="V1651" s="61">
        <f>IF(AND(R1651="",S1651&lt;&gt;"Yes",L1651&gt;0,B1651&lt;&gt;"TXO"),L1651,"")</f>
        <v/>
      </c>
      <c r="W1651" s="61">
        <f>IF(AND(R1651="",S1651&lt;&gt;"Yes",L1651&lt;0,B1651&lt;&gt;"TXO"),L1651,"")</f>
        <v/>
      </c>
      <c r="X1651" s="226">
        <f>IF(AND(R1651="Yes",S1651="Yes",L1651&gt;0,B1651&lt;&gt;"TXO"),L1651,"")</f>
        <v/>
      </c>
      <c r="Y1651" s="226">
        <f>IF(AND(R1651="Yes",S1651="Yes",L1651&lt;0,B1651&lt;&gt;"TXO"),L1651,"")</f>
        <v/>
      </c>
      <c r="Z1651" s="226">
        <f>IF(AND(R1651="",S1651="Yes",L1651&gt;0,B1651&lt;&gt;"TXO"),L1651,"")</f>
        <v/>
      </c>
      <c r="AA1651" s="226">
        <f>IF(AND(R1651="",S1651="Yes",L1651&lt;0,B1651&lt;&gt;"TXO"),L1651,"")</f>
        <v/>
      </c>
    </row>
    <row r="1652" hidden="1" outlineLevel="2" collapsed="1" ht="17.25" customHeight="1" thickBot="1">
      <c r="A1652" s="696" t="n">
        <v>43405</v>
      </c>
      <c r="B1652" s="234" t="inlineStr">
        <is>
          <t>FIMTX</t>
        </is>
      </c>
      <c r="C1652" s="229" t="inlineStr">
        <is>
          <t>小指11</t>
        </is>
      </c>
      <c r="D1652" s="229" t="inlineStr">
        <is>
          <t>新倉</t>
        </is>
      </c>
      <c r="E1652" s="257" t="inlineStr">
        <is>
          <t>賣</t>
        </is>
      </c>
      <c r="F1652" s="229" t="inlineStr">
        <is>
          <t>-</t>
        </is>
      </c>
      <c r="G1652" s="697" t="n">
        <v>1</v>
      </c>
      <c r="H1652" s="697" t="n">
        <v>9815</v>
      </c>
      <c r="I1652" s="697" t="n">
        <v>0</v>
      </c>
      <c r="J1652" s="585" t="n">
        <v>23</v>
      </c>
      <c r="K1652" s="585" t="n">
        <v>10</v>
      </c>
      <c r="L1652" s="585">
        <f>IF(B1652="TXO",I1652-SUM(J1652:K1652),IF(B1652="FITX",IF(D1652="新倉",-SUM(J1652:K1652),IF(E1652="賣",(H1652-H1651)*G1652*200-SUM(J1652:K1652),(H1651-H1652)*G1652*200-SUM(J1652:K1652))),IF(D1652="新倉",-SUM(J1652:K1652),IF(E1652="賣",(H1652-H1651)*G1652*50-SUM(J1652:K1652),(H1651-H1652)*G1652*50-SUM(J1652:K1652)))))</f>
        <v/>
      </c>
      <c r="M1652" s="699">
        <f>L1652</f>
        <v/>
      </c>
      <c r="N1652" s="686">
        <f>IF(B1652="TXO","",IF(D1652="新倉","",IF(E1652="賣",(H1652-H1651)*G1652,(H1651-H1652)*G1652)))</f>
        <v/>
      </c>
      <c r="O1652" s="226" t="n">
        <v>0</v>
      </c>
      <c r="P1652" s="667" t="n"/>
      <c r="Q1652" s="297" t="inlineStr">
        <is>
          <t>技法: 3/3 買進一口</t>
        </is>
      </c>
      <c r="R1652" s="249" t="inlineStr">
        <is>
          <t>Yes</t>
        </is>
      </c>
      <c r="S1652" s="249" t="inlineStr">
        <is>
          <t>Yes</t>
        </is>
      </c>
      <c r="T1652" s="61">
        <f>IF(AND(R1652="Yes",S1652&lt;&gt;"Yes",L1652&gt;0,B1652&lt;&gt;"TXO"),L1652,"")</f>
        <v/>
      </c>
      <c r="U1652" s="61">
        <f>IF(AND(R1652="Yes",S1652&lt;&gt;"Yes",L1652&lt;0,B1652&lt;&gt;"TXO"),L1652,"")</f>
        <v/>
      </c>
      <c r="V1652" s="61">
        <f>IF(AND(R1652="",S1652&lt;&gt;"Yes",L1652&gt;0,B1652&lt;&gt;"TXO"),L1652,"")</f>
        <v/>
      </c>
      <c r="W1652" s="61">
        <f>IF(AND(R1652="",S1652&lt;&gt;"Yes",L1652&lt;0,B1652&lt;&gt;"TXO"),L1652,"")</f>
        <v/>
      </c>
      <c r="X1652" s="226">
        <f>IF(AND(R1652="Yes",S1652="Yes",L1652&gt;0,B1652&lt;&gt;"TXO"),L1652,"")</f>
        <v/>
      </c>
      <c r="Y1652" s="226">
        <f>IF(AND(R1652="Yes",S1652="Yes",L1652&lt;0,B1652&lt;&gt;"TXO"),L1652,"")</f>
        <v/>
      </c>
      <c r="Z1652" s="226">
        <f>IF(AND(R1652="",S1652="Yes",L1652&gt;0,B1652&lt;&gt;"TXO"),L1652,"")</f>
        <v/>
      </c>
      <c r="AA1652" s="226">
        <f>IF(AND(R1652="",S1652="Yes",L1652&lt;0,B1652&lt;&gt;"TXO"),L1652,"")</f>
        <v/>
      </c>
    </row>
    <row r="1653" hidden="1" outlineLevel="2" ht="17.25" customHeight="1" thickBot="1">
      <c r="A1653" s="696" t="n">
        <v>43405</v>
      </c>
      <c r="B1653" s="234" t="inlineStr">
        <is>
          <t>FIMTX</t>
        </is>
      </c>
      <c r="C1653" s="229" t="inlineStr">
        <is>
          <t>小指11</t>
        </is>
      </c>
      <c r="D1653" s="229" t="inlineStr">
        <is>
          <t>平倉</t>
        </is>
      </c>
      <c r="E1653" s="257" t="inlineStr">
        <is>
          <t>買</t>
        </is>
      </c>
      <c r="F1653" s="229" t="inlineStr">
        <is>
          <t>-</t>
        </is>
      </c>
      <c r="G1653" s="697" t="n">
        <v>1</v>
      </c>
      <c r="H1653" s="697" t="n">
        <v>9811</v>
      </c>
      <c r="I1653" s="697" t="n">
        <v>0</v>
      </c>
      <c r="J1653" s="585" t="n">
        <v>23</v>
      </c>
      <c r="K1653" s="585" t="n">
        <v>10</v>
      </c>
      <c r="L1653" s="585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/>
      </c>
      <c r="M1653" s="699">
        <f>L1653</f>
        <v/>
      </c>
      <c r="N1653" s="686">
        <f>IF(B1653="TXO","",IF(D1653="新倉","",IF(E1653="賣",(H1653-H1652)*G1653,(H1652-H1653)*G1653)))</f>
        <v/>
      </c>
      <c r="O1653" s="226" t="n">
        <v>0</v>
      </c>
      <c r="P1653" s="667" t="n"/>
      <c r="Q1653" s="249" t="inlineStr">
        <is>
          <t>技法: 刺補</t>
        </is>
      </c>
      <c r="R1653" s="249" t="inlineStr">
        <is>
          <t>Yes</t>
        </is>
      </c>
      <c r="S1653" s="249" t="inlineStr">
        <is>
          <t>Yes</t>
        </is>
      </c>
      <c r="T1653" s="61">
        <f>IF(AND(R1653="Yes",S1653&lt;&gt;"Yes",L1653&gt;0,B1653&lt;&gt;"TXO"),L1653,"")</f>
        <v/>
      </c>
      <c r="U1653" s="61">
        <f>IF(AND(R1653="Yes",S1653&lt;&gt;"Yes",L1653&lt;0,B1653&lt;&gt;"TXO"),L1653,"")</f>
        <v/>
      </c>
      <c r="V1653" s="61">
        <f>IF(AND(R1653="",S1653&lt;&gt;"Yes",L1653&gt;0,B1653&lt;&gt;"TXO"),L1653,"")</f>
        <v/>
      </c>
      <c r="W1653" s="61">
        <f>IF(AND(R1653="",S1653&lt;&gt;"Yes",L1653&lt;0,B1653&lt;&gt;"TXO"),L1653,"")</f>
        <v/>
      </c>
      <c r="X1653" s="226">
        <f>IF(AND(R1653="Yes",S1653="Yes",L1653&gt;0,B1653&lt;&gt;"TXO"),L1653,"")</f>
        <v/>
      </c>
      <c r="Y1653" s="226">
        <f>IF(AND(R1653="Yes",S1653="Yes",L1653&lt;0,B1653&lt;&gt;"TXO"),L1653,"")</f>
        <v/>
      </c>
      <c r="Z1653" s="226">
        <f>IF(AND(R1653="",S1653="Yes",L1653&gt;0,B1653&lt;&gt;"TXO"),L1653,"")</f>
        <v/>
      </c>
      <c r="AA1653" s="226">
        <f>IF(AND(R1653="",S1653="Yes",L1653&lt;0,B1653&lt;&gt;"TXO"),L1653,"")</f>
        <v/>
      </c>
    </row>
    <row r="1654" hidden="1" outlineLevel="1" ht="17.25" customHeight="1" thickBot="1">
      <c r="A1654" s="740" t="n">
        <v>43406</v>
      </c>
      <c r="B1654" s="299" t="inlineStr">
        <is>
          <t>TXO</t>
        </is>
      </c>
      <c r="C1654" s="300" t="inlineStr">
        <is>
          <t>台選W1 11 10000 C</t>
        </is>
      </c>
      <c r="D1654" s="300" t="inlineStr">
        <is>
          <t>新倉</t>
        </is>
      </c>
      <c r="E1654" s="301" t="inlineStr">
        <is>
          <t>買</t>
        </is>
      </c>
      <c r="F1654" s="300" t="inlineStr">
        <is>
          <t>-</t>
        </is>
      </c>
      <c r="G1654" s="741" t="n">
        <v>1</v>
      </c>
      <c r="H1654" s="741" t="n">
        <v>20</v>
      </c>
      <c r="I1654" s="741" t="n">
        <v>-1000</v>
      </c>
      <c r="J1654" s="742" t="n">
        <v>18</v>
      </c>
      <c r="K1654" s="742" t="n">
        <v>1</v>
      </c>
      <c r="L1654" s="742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/>
      </c>
      <c r="M1654" s="743">
        <f>L1654</f>
        <v/>
      </c>
      <c r="N1654" s="686">
        <f>IF(B1654="TXO","",IF(D1654="新倉","",IF(E1654="賣",(H1654-H1653)*G1654,(H1653-H1654)*G1654)))</f>
        <v/>
      </c>
      <c r="O1654" s="226" t="n">
        <v>0</v>
      </c>
      <c r="P1654" s="667">
        <f>SUM(L1654:L1660)</f>
        <v/>
      </c>
      <c r="Q1654" s="297" t="n"/>
      <c r="S1654" s="249" t="n"/>
      <c r="T1654" s="61">
        <f>IF(AND(R1654="Yes",S1654&lt;&gt;"Yes",L1654&gt;0,B1654&lt;&gt;"TXO"),L1654,"")</f>
        <v/>
      </c>
      <c r="U1654" s="61">
        <f>IF(AND(R1654="Yes",S1654&lt;&gt;"Yes",L1654&lt;0,B1654&lt;&gt;"TXO"),L1654,"")</f>
        <v/>
      </c>
      <c r="V1654" s="61">
        <f>IF(AND(R1654="",S1654&lt;&gt;"Yes",L1654&gt;0,B1654&lt;&gt;"TXO"),L1654,"")</f>
        <v/>
      </c>
      <c r="W1654" s="61">
        <f>IF(AND(R1654="",S1654&lt;&gt;"Yes",L1654&lt;0,B1654&lt;&gt;"TXO"),L1654,"")</f>
        <v/>
      </c>
      <c r="X1654" s="226">
        <f>IF(AND(R1654="Yes",S1654="Yes",L1654&gt;0,B1654&lt;&gt;"TXO"),L1654,"")</f>
        <v/>
      </c>
      <c r="Y1654" s="226">
        <f>IF(AND(R1654="Yes",S1654="Yes",L1654&lt;0,B1654&lt;&gt;"TXO"),L1654,"")</f>
        <v/>
      </c>
      <c r="Z1654" s="226">
        <f>IF(AND(R1654="",S1654="Yes",L1654&gt;0,B1654&lt;&gt;"TXO"),L1654,"")</f>
        <v/>
      </c>
      <c r="AA1654" s="226">
        <f>IF(AND(R1654="",S1654="Yes",L1654&lt;0,B1654&lt;&gt;"TXO"),L1654,"")</f>
        <v/>
      </c>
    </row>
    <row r="1655" hidden="1" outlineLevel="2" collapsed="1" ht="17.25" customHeight="1" thickBot="1">
      <c r="A1655" s="740" t="n">
        <v>43406</v>
      </c>
      <c r="B1655" s="299" t="inlineStr">
        <is>
          <t>TXO</t>
        </is>
      </c>
      <c r="C1655" s="300" t="inlineStr">
        <is>
          <t>台選W1 11 10000 C</t>
        </is>
      </c>
      <c r="D1655" s="300" t="inlineStr">
        <is>
          <t>平倉</t>
        </is>
      </c>
      <c r="E1655" s="301" t="inlineStr">
        <is>
          <t>賣</t>
        </is>
      </c>
      <c r="F1655" s="300" t="inlineStr">
        <is>
          <t>-</t>
        </is>
      </c>
      <c r="G1655" s="741" t="n">
        <v>1</v>
      </c>
      <c r="H1655" s="741" t="n">
        <v>23.5</v>
      </c>
      <c r="I1655" s="741" t="n">
        <v>1175</v>
      </c>
      <c r="J1655" s="742" t="n">
        <v>18</v>
      </c>
      <c r="K1655" s="742" t="n">
        <v>1</v>
      </c>
      <c r="L1655" s="742">
        <f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/>
      </c>
      <c r="M1655" s="743">
        <f>L1655</f>
        <v/>
      </c>
      <c r="N1655" s="686">
        <f>IF(B1655="TXO","",IF(D1655="新倉","",IF(E1655="賣",(H1655-H1654)*G1655,(H1654-H1655)*G1655)))</f>
        <v/>
      </c>
      <c r="O1655" s="226" t="n">
        <v>0</v>
      </c>
      <c r="P1655" s="667" t="n"/>
      <c r="Q1655" s="297" t="n"/>
      <c r="S1655" s="249" t="n"/>
      <c r="T1655" s="61">
        <f>IF(AND(R1655="Yes",S1655&lt;&gt;"Yes",L1655&gt;0,B1655&lt;&gt;"TXO"),L1655,"")</f>
        <v/>
      </c>
      <c r="U1655" s="61">
        <f>IF(AND(R1655="Yes",S1655&lt;&gt;"Yes",L1655&lt;0,B1655&lt;&gt;"TXO"),L1655,"")</f>
        <v/>
      </c>
      <c r="V1655" s="61">
        <f>IF(AND(R1655="",S1655&lt;&gt;"Yes",L1655&gt;0,B1655&lt;&gt;"TXO"),L1655,"")</f>
        <v/>
      </c>
      <c r="W1655" s="61">
        <f>IF(AND(R1655="",S1655&lt;&gt;"Yes",L1655&lt;0,B1655&lt;&gt;"TXO"),L1655,"")</f>
        <v/>
      </c>
      <c r="X1655" s="226">
        <f>IF(AND(R1655="Yes",S1655="Yes",L1655&gt;0,B1655&lt;&gt;"TXO"),L1655,"")</f>
        <v/>
      </c>
      <c r="Y1655" s="226">
        <f>IF(AND(R1655="Yes",S1655="Yes",L1655&lt;0,B1655&lt;&gt;"TXO"),L1655,"")</f>
        <v/>
      </c>
      <c r="Z1655" s="226">
        <f>IF(AND(R1655="",S1655="Yes",L1655&gt;0,B1655&lt;&gt;"TXO"),L1655,"")</f>
        <v/>
      </c>
      <c r="AA1655" s="226">
        <f>IF(AND(R1655="",S1655="Yes",L1655&lt;0,B1655&lt;&gt;"TXO"),L1655,"")</f>
        <v/>
      </c>
    </row>
    <row r="1656" hidden="1" outlineLevel="2" collapsed="1" ht="17.25" customHeight="1" thickBot="1">
      <c r="A1656" s="740" t="n">
        <v>43406</v>
      </c>
      <c r="B1656" s="299" t="inlineStr">
        <is>
          <t>TXO</t>
        </is>
      </c>
      <c r="C1656" s="300" t="inlineStr">
        <is>
          <t>台選W1 11 10200 C</t>
        </is>
      </c>
      <c r="D1656" s="300" t="inlineStr">
        <is>
          <t>新倉</t>
        </is>
      </c>
      <c r="E1656" s="301" t="inlineStr">
        <is>
          <t>買</t>
        </is>
      </c>
      <c r="F1656" s="300" t="inlineStr">
        <is>
          <t>-</t>
        </is>
      </c>
      <c r="G1656" s="741" t="n">
        <v>2</v>
      </c>
      <c r="H1656" s="741" t="n">
        <v>2.5</v>
      </c>
      <c r="I1656" s="741" t="n">
        <v>-250</v>
      </c>
      <c r="J1656" s="742" t="n">
        <v>36</v>
      </c>
      <c r="K1656" s="742" t="n">
        <v>0</v>
      </c>
      <c r="L1656" s="742">
        <f>IF(B1656="TXO",I1656-SUM(J1656:K1656),IF(B1656="FITX",IF(D1656="新倉",-SUM(J1656:K1656),IF(E1656="賣",(H1656-H1655)*G1656*200-SUM(J1656:K1656),(H1655-H1656)*G1656*200-SUM(J1656:K1656))),IF(D1656="新倉",-SUM(J1656:K1656),IF(E1656="賣",(H1656-H1655)*G1656*50-SUM(J1656:K1656),(H1655-H1656)*G1656*50-SUM(J1656:K1656)))))</f>
        <v/>
      </c>
      <c r="M1656" s="743">
        <f>L1656</f>
        <v/>
      </c>
      <c r="N1656" s="686">
        <f>IF(B1656="TXO","",IF(D1656="新倉","",IF(E1656="賣",(H1656-H1655)*G1656,(H1655-H1656)*G1656)))</f>
        <v/>
      </c>
      <c r="O1656" s="226" t="n">
        <v>0</v>
      </c>
      <c r="P1656" s="667" t="n"/>
      <c r="S1656" s="249" t="n"/>
      <c r="T1656" s="61">
        <f>IF(AND(R1656="Yes",S1656&lt;&gt;"Yes",L1656&gt;0,B1656&lt;&gt;"TXO"),L1656,"")</f>
        <v/>
      </c>
      <c r="U1656" s="61">
        <f>IF(AND(R1656="Yes",S1656&lt;&gt;"Yes",L1656&lt;0,B1656&lt;&gt;"TXO"),L1656,"")</f>
        <v/>
      </c>
      <c r="V1656" s="61">
        <f>IF(AND(R1656="",S1656&lt;&gt;"Yes",L1656&gt;0,B1656&lt;&gt;"TXO"),L1656,"")</f>
        <v/>
      </c>
      <c r="W1656" s="61">
        <f>IF(AND(R1656="",S1656&lt;&gt;"Yes",L1656&lt;0,B1656&lt;&gt;"TXO"),L1656,"")</f>
        <v/>
      </c>
      <c r="X1656" s="226">
        <f>IF(AND(R1656="Yes",S1656="Yes",L1656&gt;0,B1656&lt;&gt;"TXO"),L1656,"")</f>
        <v/>
      </c>
      <c r="Y1656" s="226">
        <f>IF(AND(R1656="Yes",S1656="Yes",L1656&lt;0,B1656&lt;&gt;"TXO"),L1656,"")</f>
        <v/>
      </c>
      <c r="Z1656" s="226">
        <f>IF(AND(R1656="",S1656="Yes",L1656&gt;0,B1656&lt;&gt;"TXO"),L1656,"")</f>
        <v/>
      </c>
      <c r="AA1656" s="226">
        <f>IF(AND(R1656="",S1656="Yes",L1656&lt;0,B1656&lt;&gt;"TXO"),L1656,"")</f>
        <v/>
      </c>
    </row>
    <row r="1657" hidden="1" outlineLevel="2" collapsed="1" ht="17.25" customHeight="1" thickBot="1">
      <c r="A1657" s="740" t="n">
        <v>43406</v>
      </c>
      <c r="B1657" s="299" t="inlineStr">
        <is>
          <t>TXO</t>
        </is>
      </c>
      <c r="C1657" s="300" t="inlineStr">
        <is>
          <t>台選W1 11 10300 C</t>
        </is>
      </c>
      <c r="D1657" s="300" t="inlineStr">
        <is>
          <t>新倉</t>
        </is>
      </c>
      <c r="E1657" s="301" t="inlineStr">
        <is>
          <t>買</t>
        </is>
      </c>
      <c r="F1657" s="300" t="inlineStr">
        <is>
          <t>-</t>
        </is>
      </c>
      <c r="G1657" s="741" t="n">
        <v>1</v>
      </c>
      <c r="H1657" s="741" t="n">
        <v>1</v>
      </c>
      <c r="I1657" s="741" t="n">
        <v>-50</v>
      </c>
      <c r="J1657" s="742" t="n">
        <v>18</v>
      </c>
      <c r="K1657" s="742" t="n">
        <v>0</v>
      </c>
      <c r="L1657" s="742">
        <f>IF(B1657="TXO",I1657-SUM(J1657:K1657),IF(B1657="FITX",IF(D1657="新倉",-SUM(J1657:K1657),IF(E1657="賣",(H1657-H1656)*G1657*200-SUM(J1657:K1657),(H1656-H1657)*G1657*200-SUM(J1657:K1657))),IF(D1657="新倉",-SUM(J1657:K1657),IF(E1657="賣",(H1657-H1656)*G1657*50-SUM(J1657:K1657),(H1656-H1657)*G1657*50-SUM(J1657:K1657)))))</f>
        <v/>
      </c>
      <c r="M1657" s="743">
        <f>L1657</f>
        <v/>
      </c>
      <c r="N1657" s="686">
        <f>IF(B1657="TXO","",IF(D1657="新倉","",IF(E1657="賣",(H1657-H1656)*G1657,(H1656-H1657)*G1657)))</f>
        <v/>
      </c>
      <c r="O1657" s="226" t="n">
        <v>0</v>
      </c>
      <c r="P1657" s="667" t="n"/>
      <c r="Q1657" s="315" t="n"/>
      <c r="S1657" s="249" t="n"/>
      <c r="T1657" s="61">
        <f>IF(AND(R1657="Yes",S1657&lt;&gt;"Yes",L1657&gt;0,B1657&lt;&gt;"TXO"),L1657,"")</f>
        <v/>
      </c>
      <c r="U1657" s="61">
        <f>IF(AND(R1657="Yes",S1657&lt;&gt;"Yes",L1657&lt;0,B1657&lt;&gt;"TXO"),L1657,"")</f>
        <v/>
      </c>
      <c r="V1657" s="61">
        <f>IF(AND(R1657="",S1657&lt;&gt;"Yes",L1657&gt;0,B1657&lt;&gt;"TXO"),L1657,"")</f>
        <v/>
      </c>
      <c r="W1657" s="61">
        <f>IF(AND(R1657="",S1657&lt;&gt;"Yes",L1657&lt;0,B1657&lt;&gt;"TXO"),L1657,"")</f>
        <v/>
      </c>
      <c r="X1657" s="226">
        <f>IF(AND(R1657="Yes",S1657="Yes",L1657&gt;0,B1657&lt;&gt;"TXO"),L1657,"")</f>
        <v/>
      </c>
      <c r="Y1657" s="226">
        <f>IF(AND(R1657="Yes",S1657="Yes",L1657&lt;0,B1657&lt;&gt;"TXO"),L1657,"")</f>
        <v/>
      </c>
      <c r="Z1657" s="226">
        <f>IF(AND(R1657="",S1657="Yes",L1657&gt;0,B1657&lt;&gt;"TXO"),L1657,"")</f>
        <v/>
      </c>
      <c r="AA1657" s="226">
        <f>IF(AND(R1657="",S1657="Yes",L1657&lt;0,B1657&lt;&gt;"TXO"),L1657,"")</f>
        <v/>
      </c>
    </row>
    <row r="1658" hidden="1" outlineLevel="2" collapsed="1" ht="17.25" customHeight="1" thickBot="1">
      <c r="A1658" s="740" t="n">
        <v>43406</v>
      </c>
      <c r="B1658" s="299" t="inlineStr">
        <is>
          <t>TXO</t>
        </is>
      </c>
      <c r="C1658" s="300" t="inlineStr">
        <is>
          <t>台選W1 11 10300 C</t>
        </is>
      </c>
      <c r="D1658" s="300" t="inlineStr">
        <is>
          <t>新倉</t>
        </is>
      </c>
      <c r="E1658" s="301" t="inlineStr">
        <is>
          <t>買</t>
        </is>
      </c>
      <c r="F1658" s="300" t="inlineStr">
        <is>
          <t>-</t>
        </is>
      </c>
      <c r="G1658" s="741" t="n">
        <v>1</v>
      </c>
      <c r="H1658" s="741" t="n">
        <v>1</v>
      </c>
      <c r="I1658" s="741" t="n">
        <v>-50</v>
      </c>
      <c r="J1658" s="742" t="n">
        <v>18</v>
      </c>
      <c r="K1658" s="742" t="n">
        <v>0</v>
      </c>
      <c r="L1658" s="742">
        <f>IF(B1658="TXO",I1658-SUM(J1658:K1658),IF(B1658="FITX",IF(D1658="新倉",-SUM(J1658:K1658),IF(E1658="賣",(H1658-H1657)*G1658*200-SUM(J1658:K1658),(H1657-H1658)*G1658*200-SUM(J1658:K1658))),IF(D1658="新倉",-SUM(J1658:K1658),IF(E1658="賣",(H1658-H1657)*G1658*50-SUM(J1658:K1658),(H1657-H1658)*G1658*50-SUM(J1658:K1658)))))</f>
        <v/>
      </c>
      <c r="M1658" s="743">
        <f>L1658</f>
        <v/>
      </c>
      <c r="N1658" s="686">
        <f>IF(B1658="TXO","",IF(D1658="新倉","",IF(E1658="賣",(H1658-H1657)*G1658,(H1657-H1658)*G1658)))</f>
        <v/>
      </c>
      <c r="O1658" s="226" t="n">
        <v>0</v>
      </c>
      <c r="P1658" s="667" t="n"/>
      <c r="Q1658" s="315" t="n"/>
      <c r="S1658" s="249" t="n"/>
      <c r="T1658" s="61">
        <f>IF(AND(R1658="Yes",S1658&lt;&gt;"Yes",L1658&gt;0,B1658&lt;&gt;"TXO"),L1658,"")</f>
        <v/>
      </c>
      <c r="U1658" s="61">
        <f>IF(AND(R1658="Yes",S1658&lt;&gt;"Yes",L1658&lt;0,B1658&lt;&gt;"TXO"),L1658,"")</f>
        <v/>
      </c>
      <c r="V1658" s="61">
        <f>IF(AND(R1658="",S1658&lt;&gt;"Yes",L1658&gt;0,B1658&lt;&gt;"TXO"),L1658,"")</f>
        <v/>
      </c>
      <c r="W1658" s="61">
        <f>IF(AND(R1658="",S1658&lt;&gt;"Yes",L1658&lt;0,B1658&lt;&gt;"TXO"),L1658,"")</f>
        <v/>
      </c>
      <c r="X1658" s="226">
        <f>IF(AND(R1658="Yes",S1658="Yes",L1658&gt;0,B1658&lt;&gt;"TXO"),L1658,"")</f>
        <v/>
      </c>
      <c r="Y1658" s="226">
        <f>IF(AND(R1658="Yes",S1658="Yes",L1658&lt;0,B1658&lt;&gt;"TXO"),L1658,"")</f>
        <v/>
      </c>
      <c r="Z1658" s="226">
        <f>IF(AND(R1658="",S1658="Yes",L1658&gt;0,B1658&lt;&gt;"TXO"),L1658,"")</f>
        <v/>
      </c>
      <c r="AA1658" s="226">
        <f>IF(AND(R1658="",S1658="Yes",L1658&lt;0,B1658&lt;&gt;"TXO"),L1658,"")</f>
        <v/>
      </c>
    </row>
    <row r="1659" hidden="1" outlineLevel="2" collapsed="1" ht="17.25" customHeight="1" thickBot="1">
      <c r="A1659" s="740" t="n">
        <v>43406</v>
      </c>
      <c r="B1659" s="299" t="inlineStr">
        <is>
          <t>TXO</t>
        </is>
      </c>
      <c r="C1659" s="300" t="inlineStr">
        <is>
          <t>台選W1 11 10300 C</t>
        </is>
      </c>
      <c r="D1659" s="300" t="inlineStr">
        <is>
          <t>新倉</t>
        </is>
      </c>
      <c r="E1659" s="301" t="inlineStr">
        <is>
          <t>買</t>
        </is>
      </c>
      <c r="F1659" s="300" t="inlineStr">
        <is>
          <t>-</t>
        </is>
      </c>
      <c r="G1659" s="741" t="n">
        <v>2</v>
      </c>
      <c r="H1659" s="741" t="n">
        <v>1</v>
      </c>
      <c r="I1659" s="741" t="n">
        <v>-100</v>
      </c>
      <c r="J1659" s="742" t="n">
        <v>36</v>
      </c>
      <c r="K1659" s="742" t="n">
        <v>0</v>
      </c>
      <c r="L1659" s="742">
        <f>IF(B1659="TXO",I1659-SUM(J1659:K1659),IF(B1659="FITX",IF(D1659="新倉",-SUM(J1659:K1659),IF(E1659="賣",(H1659-H1658)*G1659*200-SUM(J1659:K1659),(H1658-H1659)*G1659*200-SUM(J1659:K1659))),IF(D1659="新倉",-SUM(J1659:K1659),IF(E1659="賣",(H1659-H1658)*G1659*50-SUM(J1659:K1659),(H1658-H1659)*G1659*50-SUM(J1659:K1659)))))</f>
        <v/>
      </c>
      <c r="M1659" s="743">
        <f>L1659</f>
        <v/>
      </c>
      <c r="N1659" s="686">
        <f>IF(B1659="TXO","",IF(D1659="新倉","",IF(E1659="賣",(H1659-H1658)*G1659,(H1658-H1659)*G1659)))</f>
        <v/>
      </c>
      <c r="O1659" s="226" t="n">
        <v>0</v>
      </c>
      <c r="P1659" s="667" t="n"/>
      <c r="Q1659" s="297" t="n"/>
      <c r="S1659" s="249" t="n"/>
      <c r="T1659" s="61">
        <f>IF(AND(R1659="Yes",S1659&lt;&gt;"Yes",L1659&gt;0,B1659&lt;&gt;"TXO"),L1659,"")</f>
        <v/>
      </c>
      <c r="U1659" s="61">
        <f>IF(AND(R1659="Yes",S1659&lt;&gt;"Yes",L1659&lt;0,B1659&lt;&gt;"TXO"),L1659,"")</f>
        <v/>
      </c>
      <c r="V1659" s="61">
        <f>IF(AND(R1659="",S1659&lt;&gt;"Yes",L1659&gt;0,B1659&lt;&gt;"TXO"),L1659,"")</f>
        <v/>
      </c>
      <c r="W1659" s="61">
        <f>IF(AND(R1659="",S1659&lt;&gt;"Yes",L1659&lt;0,B1659&lt;&gt;"TXO"),L1659,"")</f>
        <v/>
      </c>
      <c r="X1659" s="226">
        <f>IF(AND(R1659="Yes",S1659="Yes",L1659&gt;0,B1659&lt;&gt;"TXO"),L1659,"")</f>
        <v/>
      </c>
      <c r="Y1659" s="226">
        <f>IF(AND(R1659="Yes",S1659="Yes",L1659&lt;0,B1659&lt;&gt;"TXO"),L1659,"")</f>
        <v/>
      </c>
      <c r="Z1659" s="226">
        <f>IF(AND(R1659="",S1659="Yes",L1659&gt;0,B1659&lt;&gt;"TXO"),L1659,"")</f>
        <v/>
      </c>
      <c r="AA1659" s="226">
        <f>IF(AND(R1659="",S1659="Yes",L1659&lt;0,B1659&lt;&gt;"TXO"),L1659,"")</f>
        <v/>
      </c>
    </row>
    <row r="1660" hidden="1" outlineLevel="2" collapsed="1" ht="17.25" customHeight="1" thickBot="1">
      <c r="A1660" s="740" t="n">
        <v>43406</v>
      </c>
      <c r="B1660" s="299" t="inlineStr">
        <is>
          <t>TXO</t>
        </is>
      </c>
      <c r="C1660" s="300" t="inlineStr">
        <is>
          <t>台選W1 11 10300 C</t>
        </is>
      </c>
      <c r="D1660" s="300" t="inlineStr">
        <is>
          <t>新倉</t>
        </is>
      </c>
      <c r="E1660" s="301" t="inlineStr">
        <is>
          <t>買</t>
        </is>
      </c>
      <c r="F1660" s="300" t="inlineStr">
        <is>
          <t>-</t>
        </is>
      </c>
      <c r="G1660" s="741" t="n">
        <v>1</v>
      </c>
      <c r="H1660" s="741" t="n">
        <v>1</v>
      </c>
      <c r="I1660" s="741" t="n">
        <v>-50</v>
      </c>
      <c r="J1660" s="742" t="n">
        <v>18</v>
      </c>
      <c r="K1660" s="742" t="n">
        <v>0</v>
      </c>
      <c r="L1660" s="742">
        <f>IF(B1660="TXO",I1660-SUM(J1660:K1660),IF(B1660="FITX",IF(D1660="新倉",-SUM(J1660:K1660),IF(E1660="賣",(H1660-H1659)*G1660*200-SUM(J1660:K1660),(H1659-H1660)*G1660*200-SUM(J1660:K1660))),IF(D1660="新倉",-SUM(J1660:K1660),IF(E1660="賣",(H1660-H1659)*G1660*50-SUM(J1660:K1660),(H1659-H1660)*G1660*50-SUM(J1660:K1660)))))</f>
        <v/>
      </c>
      <c r="M1660" s="743">
        <f>L1660</f>
        <v/>
      </c>
      <c r="N1660" s="686">
        <f>IF(B1660="TXO","",IF(D1660="新倉","",IF(E1660="賣",(H1660-H1659)*G1660,(H1659-H1660)*G1660)))</f>
        <v/>
      </c>
      <c r="O1660" s="226" t="n">
        <v>0</v>
      </c>
      <c r="P1660" s="667" t="n"/>
      <c r="Q1660" s="315" t="n"/>
      <c r="S1660" s="249" t="n"/>
      <c r="T1660" s="61">
        <f>IF(AND(R1660="Yes",S1660&lt;&gt;"Yes",L1660&gt;0,B1660&lt;&gt;"TXO"),L1660,"")</f>
        <v/>
      </c>
      <c r="U1660" s="61">
        <f>IF(AND(R1660="Yes",S1660&lt;&gt;"Yes",L1660&lt;0,B1660&lt;&gt;"TXO"),L1660,"")</f>
        <v/>
      </c>
      <c r="V1660" s="61">
        <f>IF(AND(R1660="",S1660&lt;&gt;"Yes",L1660&gt;0,B1660&lt;&gt;"TXO"),L1660,"")</f>
        <v/>
      </c>
      <c r="W1660" s="61">
        <f>IF(AND(R1660="",S1660&lt;&gt;"Yes",L1660&lt;0,B1660&lt;&gt;"TXO"),L1660,"")</f>
        <v/>
      </c>
      <c r="X1660" s="226">
        <f>IF(AND(R1660="Yes",S1660="Yes",L1660&gt;0,B1660&lt;&gt;"TXO"),L1660,"")</f>
        <v/>
      </c>
      <c r="Y1660" s="226">
        <f>IF(AND(R1660="Yes",S1660="Yes",L1660&lt;0,B1660&lt;&gt;"TXO"),L1660,"")</f>
        <v/>
      </c>
      <c r="Z1660" s="226">
        <f>IF(AND(R1660="",S1660="Yes",L1660&gt;0,B1660&lt;&gt;"TXO"),L1660,"")</f>
        <v/>
      </c>
      <c r="AA1660" s="226">
        <f>IF(AND(R1660="",S1660="Yes",L1660&lt;0,B1660&lt;&gt;"TXO"),L1660,"")</f>
        <v/>
      </c>
    </row>
    <row r="1661" hidden="1" outlineLevel="1" ht="17.25" customHeight="1" thickBot="1">
      <c r="A1661" s="696" t="n">
        <v>43409</v>
      </c>
      <c r="B1661" s="234" t="inlineStr">
        <is>
          <t>FIMTX</t>
        </is>
      </c>
      <c r="C1661" s="229" t="inlineStr">
        <is>
          <t>小指11</t>
        </is>
      </c>
      <c r="D1661" s="229" t="inlineStr">
        <is>
          <t>新倉</t>
        </is>
      </c>
      <c r="E1661" s="257" t="inlineStr">
        <is>
          <t>賣</t>
        </is>
      </c>
      <c r="F1661" s="229" t="inlineStr">
        <is>
          <t>-</t>
        </is>
      </c>
      <c r="G1661" s="697" t="n">
        <v>1</v>
      </c>
      <c r="H1661" s="697" t="n">
        <v>9829</v>
      </c>
      <c r="I1661" s="697" t="n">
        <v>0</v>
      </c>
      <c r="J1661" s="585" t="n">
        <v>23</v>
      </c>
      <c r="K1661" s="585" t="n">
        <v>10</v>
      </c>
      <c r="L1661" s="585">
        <f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/>
      </c>
      <c r="M1661" s="699">
        <f>L1661</f>
        <v/>
      </c>
      <c r="N1661" s="686">
        <f>IF(B1661="TXO","",IF(D1661="新倉","",IF(E1661="賣",(H1661-H1660)*G1661,(H1660-H1661)*G1661)))</f>
        <v/>
      </c>
      <c r="O1661" s="226" t="n">
        <v>0</v>
      </c>
      <c r="P1661" s="667">
        <f>SUM(L1661:L1664)</f>
        <v/>
      </c>
      <c r="Q1661" s="297" t="n"/>
      <c r="S1661" s="249" t="n"/>
      <c r="T1661" s="61">
        <f>IF(AND(R1661="Yes",S1661&lt;&gt;"Yes",L1661&gt;0,B1661&lt;&gt;"TXO"),L1661,"")</f>
        <v/>
      </c>
      <c r="U1661" s="61">
        <f>IF(AND(R1661="Yes",S1661&lt;&gt;"Yes",L1661&lt;0,B1661&lt;&gt;"TXO"),L1661,"")</f>
        <v/>
      </c>
      <c r="V1661" s="61">
        <f>IF(AND(R1661="",S1661&lt;&gt;"Yes",L1661&gt;0,B1661&lt;&gt;"TXO"),L1661,"")</f>
        <v/>
      </c>
      <c r="W1661" s="61">
        <f>IF(AND(R1661="",S1661&lt;&gt;"Yes",L1661&lt;0,B1661&lt;&gt;"TXO"),L1661,"")</f>
        <v/>
      </c>
      <c r="X1661" s="226">
        <f>IF(AND(R1661="Yes",S1661="Yes",L1661&gt;0,B1661&lt;&gt;"TXO"),L1661,"")</f>
        <v/>
      </c>
      <c r="Y1661" s="226">
        <f>IF(AND(R1661="Yes",S1661="Yes",L1661&lt;0,B1661&lt;&gt;"TXO"),L1661,"")</f>
        <v/>
      </c>
      <c r="Z1661" s="226">
        <f>IF(AND(R1661="",S1661="Yes",L1661&gt;0,B1661&lt;&gt;"TXO"),L1661,"")</f>
        <v/>
      </c>
      <c r="AA1661" s="226">
        <f>IF(AND(R1661="",S1661="Yes",L1661&lt;0,B1661&lt;&gt;"TXO"),L1661,"")</f>
        <v/>
      </c>
    </row>
    <row r="1662" hidden="1" outlineLevel="2" collapsed="1" ht="17.25" customHeight="1" thickBot="1">
      <c r="A1662" s="696" t="n">
        <v>43409</v>
      </c>
      <c r="B1662" s="234" t="inlineStr">
        <is>
          <t>FIMTX</t>
        </is>
      </c>
      <c r="C1662" s="229" t="inlineStr">
        <is>
          <t>小指11</t>
        </is>
      </c>
      <c r="D1662" s="229" t="inlineStr">
        <is>
          <t>平倉</t>
        </is>
      </c>
      <c r="E1662" s="257" t="inlineStr">
        <is>
          <t>買</t>
        </is>
      </c>
      <c r="F1662" s="229" t="inlineStr">
        <is>
          <t>-</t>
        </is>
      </c>
      <c r="G1662" s="697" t="n">
        <v>1</v>
      </c>
      <c r="H1662" s="697" t="n">
        <v>9831</v>
      </c>
      <c r="I1662" s="697" t="n">
        <v>0</v>
      </c>
      <c r="J1662" s="585" t="n">
        <v>23</v>
      </c>
      <c r="K1662" s="585" t="n">
        <v>10</v>
      </c>
      <c r="L1662" s="585">
        <f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/>
      </c>
      <c r="M1662" s="699">
        <f>L1662</f>
        <v/>
      </c>
      <c r="N1662" s="686">
        <f>IF(B1662="TXO","",IF(D1662="新倉","",IF(E1662="賣",(H1662-H1661)*G1662,(H1661-H1662)*G1662)))</f>
        <v/>
      </c>
      <c r="O1662" s="226" t="n">
        <v>0</v>
      </c>
      <c r="P1662" s="667" t="n"/>
      <c r="Q1662" s="315" t="n"/>
      <c r="S1662" s="249" t="n"/>
      <c r="T1662" s="61">
        <f>IF(AND(R1662="Yes",S1662&lt;&gt;"Yes",L1662&gt;0,B1662&lt;&gt;"TXO"),L1662,"")</f>
        <v/>
      </c>
      <c r="U1662" s="61">
        <f>IF(AND(R1662="Yes",S1662&lt;&gt;"Yes",L1662&lt;0,B1662&lt;&gt;"TXO"),L1662,"")</f>
        <v/>
      </c>
      <c r="V1662" s="61">
        <f>IF(AND(R1662="",S1662&lt;&gt;"Yes",L1662&gt;0,B1662&lt;&gt;"TXO"),L1662,"")</f>
        <v/>
      </c>
      <c r="W1662" s="61">
        <f>IF(AND(R1662="",S1662&lt;&gt;"Yes",L1662&lt;0,B1662&lt;&gt;"TXO"),L1662,"")</f>
        <v/>
      </c>
      <c r="X1662" s="226">
        <f>IF(AND(R1662="Yes",S1662="Yes",L1662&gt;0,B1662&lt;&gt;"TXO"),L1662,"")</f>
        <v/>
      </c>
      <c r="Y1662" s="226">
        <f>IF(AND(R1662="Yes",S1662="Yes",L1662&lt;0,B1662&lt;&gt;"TXO"),L1662,"")</f>
        <v/>
      </c>
      <c r="Z1662" s="226">
        <f>IF(AND(R1662="",S1662="Yes",L1662&gt;0,B1662&lt;&gt;"TXO"),L1662,"")</f>
        <v/>
      </c>
      <c r="AA1662" s="226">
        <f>IF(AND(R1662="",S1662="Yes",L1662&lt;0,B1662&lt;&gt;"TXO"),L1662,"")</f>
        <v/>
      </c>
    </row>
    <row r="1663" hidden="1" outlineLevel="2" collapsed="1" ht="17.25" customHeight="1" thickBot="1">
      <c r="A1663" s="696" t="n">
        <v>43409</v>
      </c>
      <c r="B1663" s="234" t="inlineStr">
        <is>
          <t>FIMTX</t>
        </is>
      </c>
      <c r="C1663" s="229" t="inlineStr">
        <is>
          <t>小指11</t>
        </is>
      </c>
      <c r="D1663" s="229" t="inlineStr">
        <is>
          <t>新倉</t>
        </is>
      </c>
      <c r="E1663" s="257" t="inlineStr">
        <is>
          <t>買</t>
        </is>
      </c>
      <c r="F1663" s="229" t="inlineStr">
        <is>
          <t>-</t>
        </is>
      </c>
      <c r="G1663" s="697" t="n">
        <v>1</v>
      </c>
      <c r="H1663" s="697" t="n">
        <v>9828</v>
      </c>
      <c r="I1663" s="697" t="n">
        <v>0</v>
      </c>
      <c r="J1663" s="585" t="n">
        <v>23</v>
      </c>
      <c r="K1663" s="585" t="n">
        <v>10</v>
      </c>
      <c r="L1663" s="585">
        <f>IF(B1663="TXO",I1663-SUM(J1663:K1663),IF(B1663="FITX",IF(D1663="新倉",-SUM(J1663:K1663),IF(E1663="賣",(H1663-H1662)*G1663*200-SUM(J1663:K1663),(H1662-H1663)*G1663*200-SUM(J1663:K1663))),IF(D1663="新倉",-SUM(J1663:K1663),IF(E1663="賣",(H1663-H1662)*G1663*50-SUM(J1663:K1663),(H1662-H1663)*G1663*50-SUM(J1663:K1663)))))</f>
        <v/>
      </c>
      <c r="M1663" s="699">
        <f>L1663</f>
        <v/>
      </c>
      <c r="N1663" s="686">
        <f>IF(B1663="TXO","",IF(D1663="新倉","",IF(E1663="賣",(H1663-H1662)*G1663,(H1662-H1663)*G1663)))</f>
        <v/>
      </c>
      <c r="O1663" s="226" t="n">
        <v>0</v>
      </c>
      <c r="P1663" s="667" t="n"/>
      <c r="Q1663" s="297" t="n"/>
      <c r="S1663" s="249" t="n"/>
      <c r="T1663" s="61">
        <f>IF(AND(R1663="Yes",S1663&lt;&gt;"Yes",L1663&gt;0,B1663&lt;&gt;"TXO"),L1663,"")</f>
        <v/>
      </c>
      <c r="U1663" s="61">
        <f>IF(AND(R1663="Yes",S1663&lt;&gt;"Yes",L1663&lt;0,B1663&lt;&gt;"TXO"),L1663,"")</f>
        <v/>
      </c>
      <c r="V1663" s="61">
        <f>IF(AND(R1663="",S1663&lt;&gt;"Yes",L1663&gt;0,B1663&lt;&gt;"TXO"),L1663,"")</f>
        <v/>
      </c>
      <c r="W1663" s="61">
        <f>IF(AND(R1663="",S1663&lt;&gt;"Yes",L1663&lt;0,B1663&lt;&gt;"TXO"),L1663,"")</f>
        <v/>
      </c>
      <c r="X1663" s="226">
        <f>IF(AND(R1663="Yes",S1663="Yes",L1663&gt;0,B1663&lt;&gt;"TXO"),L1663,"")</f>
        <v/>
      </c>
      <c r="Y1663" s="226">
        <f>IF(AND(R1663="Yes",S1663="Yes",L1663&lt;0,B1663&lt;&gt;"TXO"),L1663,"")</f>
        <v/>
      </c>
      <c r="Z1663" s="226">
        <f>IF(AND(R1663="",S1663="Yes",L1663&gt;0,B1663&lt;&gt;"TXO"),L1663,"")</f>
        <v/>
      </c>
      <c r="AA1663" s="226">
        <f>IF(AND(R1663="",S1663="Yes",L1663&lt;0,B1663&lt;&gt;"TXO"),L1663,"")</f>
        <v/>
      </c>
    </row>
    <row r="1664" hidden="1" outlineLevel="2" ht="17.25" customHeight="1" thickBot="1">
      <c r="A1664" s="696" t="n">
        <v>43409</v>
      </c>
      <c r="B1664" s="234" t="inlineStr">
        <is>
          <t>FIMTX</t>
        </is>
      </c>
      <c r="C1664" s="229" t="inlineStr">
        <is>
          <t>小指11</t>
        </is>
      </c>
      <c r="D1664" s="229" t="inlineStr">
        <is>
          <t>平倉</t>
        </is>
      </c>
      <c r="E1664" s="257" t="inlineStr">
        <is>
          <t>賣</t>
        </is>
      </c>
      <c r="F1664" s="229" t="inlineStr">
        <is>
          <t>-</t>
        </is>
      </c>
      <c r="G1664" s="697" t="n">
        <v>1</v>
      </c>
      <c r="H1664" s="697" t="n">
        <v>9814</v>
      </c>
      <c r="I1664" s="697" t="n">
        <v>0</v>
      </c>
      <c r="J1664" s="585" t="n">
        <v>23</v>
      </c>
      <c r="K1664" s="585" t="n">
        <v>10</v>
      </c>
      <c r="L1664" s="585">
        <f>IF(B1664="TXO",I1664-SUM(J1664:K1664),IF(B1664="FITX",IF(D1664="新倉",-SUM(J1664:K1664),IF(E1664="賣",(H1664-H1663)*G1664*200-SUM(J1664:K1664),(H1663-H1664)*G1664*200-SUM(J1664:K1664))),IF(D1664="新倉",-SUM(J1664:K1664),IF(E1664="賣",(H1664-H1663)*G1664*50-SUM(J1664:K1664),(H1663-H1664)*G1664*50-SUM(J1664:K1664)))))</f>
        <v/>
      </c>
      <c r="M1664" s="699">
        <f>L1664</f>
        <v/>
      </c>
      <c r="N1664" s="686">
        <f>IF(B1664="TXO","",IF(D1664="新倉","",IF(E1664="賣",(H1664-H1663)*G1664,(H1663-H1664)*G1664)))</f>
        <v/>
      </c>
      <c r="O1664" s="226" t="n">
        <v>0</v>
      </c>
      <c r="P1664" s="667" t="n"/>
      <c r="S1664" s="249" t="n"/>
      <c r="T1664" s="61">
        <f>IF(AND(R1664="Yes",S1664&lt;&gt;"Yes",L1664&gt;0,B1664&lt;&gt;"TXO"),L1664,"")</f>
        <v/>
      </c>
      <c r="U1664" s="61">
        <f>IF(AND(R1664="Yes",S1664&lt;&gt;"Yes",L1664&lt;0,B1664&lt;&gt;"TXO"),L1664,"")</f>
        <v/>
      </c>
      <c r="V1664" s="61">
        <f>IF(AND(R1664="",S1664&lt;&gt;"Yes",L1664&gt;0,B1664&lt;&gt;"TXO"),L1664,"")</f>
        <v/>
      </c>
      <c r="W1664" s="61">
        <f>IF(AND(R1664="",S1664&lt;&gt;"Yes",L1664&lt;0,B1664&lt;&gt;"TXO"),L1664,"")</f>
        <v/>
      </c>
      <c r="X1664" s="226">
        <f>IF(AND(R1664="Yes",S1664="Yes",L1664&gt;0,B1664&lt;&gt;"TXO"),L1664,"")</f>
        <v/>
      </c>
      <c r="Y1664" s="226">
        <f>IF(AND(R1664="Yes",S1664="Yes",L1664&lt;0,B1664&lt;&gt;"TXO"),L1664,"")</f>
        <v/>
      </c>
      <c r="Z1664" s="226">
        <f>IF(AND(R1664="",S1664="Yes",L1664&gt;0,B1664&lt;&gt;"TXO"),L1664,"")</f>
        <v/>
      </c>
      <c r="AA1664" s="226">
        <f>IF(AND(R1664="",S1664="Yes",L1664&lt;0,B1664&lt;&gt;"TXO"),L1664,"")</f>
        <v/>
      </c>
    </row>
    <row r="1665" hidden="1" outlineLevel="1" collapsed="1" ht="17.25" customHeight="1" thickBot="1">
      <c r="A1665" s="740" t="n">
        <v>43410</v>
      </c>
      <c r="B1665" s="299" t="inlineStr">
        <is>
          <t>FIMTX</t>
        </is>
      </c>
      <c r="C1665" s="300" t="inlineStr">
        <is>
          <t>小指11</t>
        </is>
      </c>
      <c r="D1665" s="300" t="inlineStr">
        <is>
          <t>新倉</t>
        </is>
      </c>
      <c r="E1665" s="301" t="inlineStr">
        <is>
          <t>賣</t>
        </is>
      </c>
      <c r="F1665" s="300" t="inlineStr">
        <is>
          <t>-</t>
        </is>
      </c>
      <c r="G1665" s="741" t="n">
        <v>1</v>
      </c>
      <c r="H1665" s="741" t="n">
        <v>9781</v>
      </c>
      <c r="I1665" s="741" t="n">
        <v>0</v>
      </c>
      <c r="J1665" s="742" t="n">
        <v>23</v>
      </c>
      <c r="K1665" s="742" t="n">
        <v>10</v>
      </c>
      <c r="L1665" s="742">
        <f>IF(B1665="TXO",I1665-SUM(J1665:K1665),IF(B1665="FITX",IF(D1665="新倉",-SUM(J1665:K1665),IF(E1665="賣",(H1665-H1664)*G1665*200-SUM(J1665:K1665),(H1664-H1665)*G1665*200-SUM(J1665:K1665))),IF(D1665="新倉",-SUM(J1665:K1665),IF(E1665="賣",(H1665-H1664)*G1665*50-SUM(J1665:K1665),(H1664-H1665)*G1665*50-SUM(J1665:K1665)))))</f>
        <v/>
      </c>
      <c r="M1665" s="743">
        <f>L1665</f>
        <v/>
      </c>
      <c r="N1665" s="686">
        <f>IF(B1665="TXO","",IF(D1665="新倉","",IF(E1665="賣",(H1665-H1664)*G1665,(H1664-H1665)*G1665)))</f>
        <v/>
      </c>
      <c r="O1665" s="226" t="n">
        <v>0</v>
      </c>
      <c r="P1665" s="667">
        <f>SUM(L1665:L1666)</f>
        <v/>
      </c>
      <c r="Q1665" s="297" t="n"/>
      <c r="S1665" s="249" t="n"/>
      <c r="T1665" s="61">
        <f>IF(AND(R1665="Yes",S1665&lt;&gt;"Yes",L1665&gt;0,B1665&lt;&gt;"TXO"),L1665,"")</f>
        <v/>
      </c>
      <c r="U1665" s="61">
        <f>IF(AND(R1665="Yes",S1665&lt;&gt;"Yes",L1665&lt;0,B1665&lt;&gt;"TXO"),L1665,"")</f>
        <v/>
      </c>
      <c r="V1665" s="61">
        <f>IF(AND(R1665="",S1665&lt;&gt;"Yes",L1665&gt;0,B1665&lt;&gt;"TXO"),L1665,"")</f>
        <v/>
      </c>
      <c r="W1665" s="61">
        <f>IF(AND(R1665="",S1665&lt;&gt;"Yes",L1665&lt;0,B1665&lt;&gt;"TXO"),L1665,"")</f>
        <v/>
      </c>
      <c r="X1665" s="226">
        <f>IF(AND(R1665="Yes",S1665="Yes",L1665&gt;0,B1665&lt;&gt;"TXO"),L1665,"")</f>
        <v/>
      </c>
      <c r="Y1665" s="226">
        <f>IF(AND(R1665="Yes",S1665="Yes",L1665&lt;0,B1665&lt;&gt;"TXO"),L1665,"")</f>
        <v/>
      </c>
      <c r="Z1665" s="226">
        <f>IF(AND(R1665="",S1665="Yes",L1665&gt;0,B1665&lt;&gt;"TXO"),L1665,"")</f>
        <v/>
      </c>
      <c r="AA1665" s="226">
        <f>IF(AND(R1665="",S1665="Yes",L1665&lt;0,B1665&lt;&gt;"TXO"),L1665,"")</f>
        <v/>
      </c>
    </row>
    <row r="1666" hidden="1" outlineLevel="1" collapsed="1" ht="17.25" customHeight="1" thickBot="1">
      <c r="A1666" s="740" t="n">
        <v>43410</v>
      </c>
      <c r="B1666" s="299" t="inlineStr">
        <is>
          <t>FIMTX</t>
        </is>
      </c>
      <c r="C1666" s="300" t="inlineStr">
        <is>
          <t>小指11</t>
        </is>
      </c>
      <c r="D1666" s="300" t="inlineStr">
        <is>
          <t>平倉</t>
        </is>
      </c>
      <c r="E1666" s="301" t="inlineStr">
        <is>
          <t>買</t>
        </is>
      </c>
      <c r="F1666" s="300" t="inlineStr">
        <is>
          <t>-</t>
        </is>
      </c>
      <c r="G1666" s="741" t="n">
        <v>1</v>
      </c>
      <c r="H1666" s="741" t="n">
        <v>9784</v>
      </c>
      <c r="I1666" s="741" t="n">
        <v>0</v>
      </c>
      <c r="J1666" s="742" t="n">
        <v>23</v>
      </c>
      <c r="K1666" s="742" t="n">
        <v>10</v>
      </c>
      <c r="L1666" s="742">
        <f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/>
      </c>
      <c r="M1666" s="743">
        <f>L1666</f>
        <v/>
      </c>
      <c r="N1666" s="686">
        <f>IF(B1666="TXO","",IF(D1666="新倉","",IF(E1666="賣",(H1666-H1665)*G1666,(H1665-H1666)*G1666)))</f>
        <v/>
      </c>
      <c r="O1666" s="226" t="n">
        <v>0</v>
      </c>
      <c r="P1666" s="667" t="n"/>
      <c r="Q1666" s="315" t="n"/>
      <c r="S1666" s="249" t="n"/>
      <c r="T1666" s="61">
        <f>IF(AND(R1666="Yes",S1666&lt;&gt;"Yes",L1666&gt;0,B1666&lt;&gt;"TXO"),L1666,"")</f>
        <v/>
      </c>
      <c r="U1666" s="61">
        <f>IF(AND(R1666="Yes",S1666&lt;&gt;"Yes",L1666&lt;0,B1666&lt;&gt;"TXO"),L1666,"")</f>
        <v/>
      </c>
      <c r="V1666" s="61">
        <f>IF(AND(R1666="",S1666&lt;&gt;"Yes",L1666&gt;0,B1666&lt;&gt;"TXO"),L1666,"")</f>
        <v/>
      </c>
      <c r="W1666" s="61">
        <f>IF(AND(R1666="",S1666&lt;&gt;"Yes",L1666&lt;0,B1666&lt;&gt;"TXO"),L1666,"")</f>
        <v/>
      </c>
      <c r="X1666" s="226">
        <f>IF(AND(R1666="Yes",S1666="Yes",L1666&gt;0,B1666&lt;&gt;"TXO"),L1666,"")</f>
        <v/>
      </c>
      <c r="Y1666" s="226">
        <f>IF(AND(R1666="Yes",S1666="Yes",L1666&lt;0,B1666&lt;&gt;"TXO"),L1666,"")</f>
        <v/>
      </c>
      <c r="Z1666" s="226">
        <f>IF(AND(R1666="",S1666="Yes",L1666&gt;0,B1666&lt;&gt;"TXO"),L1666,"")</f>
        <v/>
      </c>
      <c r="AA1666" s="226">
        <f>IF(AND(R1666="",S1666="Yes",L1666&lt;0,B1666&lt;&gt;"TXO"),L1666,"")</f>
        <v/>
      </c>
    </row>
    <row r="1667" hidden="1" outlineLevel="1" ht="17.25" customHeight="1" thickBot="1">
      <c r="A1667" s="696" t="n">
        <v>43412</v>
      </c>
      <c r="B1667" s="234" t="inlineStr">
        <is>
          <t>TXO</t>
        </is>
      </c>
      <c r="C1667" s="229" t="inlineStr">
        <is>
          <t>台選W2 11 10150 C</t>
        </is>
      </c>
      <c r="D1667" s="229" t="inlineStr">
        <is>
          <t>新倉</t>
        </is>
      </c>
      <c r="E1667" s="257" t="inlineStr">
        <is>
          <t>買</t>
        </is>
      </c>
      <c r="F1667" s="229" t="inlineStr">
        <is>
          <t>-</t>
        </is>
      </c>
      <c r="G1667" s="697" t="n">
        <v>1</v>
      </c>
      <c r="H1667" s="697" t="n">
        <v>11.5</v>
      </c>
      <c r="I1667" s="697" t="n">
        <v>-575</v>
      </c>
      <c r="J1667" s="585" t="n">
        <v>18</v>
      </c>
      <c r="K1667" s="585" t="n">
        <v>1</v>
      </c>
      <c r="L1667" s="585">
        <f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/>
      </c>
      <c r="M1667" s="699">
        <f>L1667</f>
        <v/>
      </c>
      <c r="N1667" s="686">
        <f>IF(B1667="TXO","",IF(D1667="新倉","",IF(E1667="賣",(H1667-H1666)*G1667,(H1666-H1667)*G1667)))</f>
        <v/>
      </c>
      <c r="O1667" s="226" t="n">
        <v>0</v>
      </c>
      <c r="P1667" s="667" t="n"/>
      <c r="Q1667" s="297" t="n"/>
      <c r="S1667" s="249" t="n"/>
      <c r="T1667" s="61">
        <f>IF(AND(R1667="Yes",S1667&lt;&gt;"Yes",L1667&gt;0,B1667&lt;&gt;"TXO"),L1667,"")</f>
        <v/>
      </c>
      <c r="U1667" s="61">
        <f>IF(AND(R1667="Yes",S1667&lt;&gt;"Yes",L1667&lt;0,B1667&lt;&gt;"TXO"),L1667,"")</f>
        <v/>
      </c>
      <c r="V1667" s="61">
        <f>IF(AND(R1667="",S1667&lt;&gt;"Yes",L1667&gt;0,B1667&lt;&gt;"TXO"),L1667,"")</f>
        <v/>
      </c>
      <c r="W1667" s="61">
        <f>IF(AND(R1667="",S1667&lt;&gt;"Yes",L1667&lt;0,B1667&lt;&gt;"TXO"),L1667,"")</f>
        <v/>
      </c>
      <c r="X1667" s="226">
        <f>IF(AND(R1667="Yes",S1667="Yes",L1667&gt;0,B1667&lt;&gt;"TXO"),L1667,"")</f>
        <v/>
      </c>
      <c r="Y1667" s="226">
        <f>IF(AND(R1667="Yes",S1667="Yes",L1667&lt;0,B1667&lt;&gt;"TXO"),L1667,"")</f>
        <v/>
      </c>
      <c r="Z1667" s="226">
        <f>IF(AND(R1667="",S1667="Yes",L1667&gt;0,B1667&lt;&gt;"TXO"),L1667,"")</f>
        <v/>
      </c>
      <c r="AA1667" s="226">
        <f>IF(AND(R1667="",S1667="Yes",L1667&lt;0,B1667&lt;&gt;"TXO"),L1667,"")</f>
        <v/>
      </c>
    </row>
    <row r="1668" hidden="1" outlineLevel="1" ht="17.25" customHeight="1" thickBot="1">
      <c r="A1668" s="740" t="n">
        <v>43413</v>
      </c>
      <c r="B1668" s="299" t="inlineStr">
        <is>
          <t>FIMTX</t>
        </is>
      </c>
      <c r="C1668" s="300" t="inlineStr">
        <is>
          <t>小指11</t>
        </is>
      </c>
      <c r="D1668" s="300" t="inlineStr">
        <is>
          <t>新倉</t>
        </is>
      </c>
      <c r="E1668" s="301" t="inlineStr">
        <is>
          <t>賣</t>
        </is>
      </c>
      <c r="F1668" s="300" t="inlineStr">
        <is>
          <t>-</t>
        </is>
      </c>
      <c r="G1668" s="741" t="n">
        <v>1</v>
      </c>
      <c r="H1668" s="741" t="n">
        <v>9719</v>
      </c>
      <c r="I1668" s="741" t="n">
        <v>0</v>
      </c>
      <c r="J1668" s="742" t="n">
        <v>23</v>
      </c>
      <c r="K1668" s="742" t="n">
        <v>10</v>
      </c>
      <c r="L1668" s="742">
        <f>IF(B1668="TXO",I1668-SUM(J1668:K1668),IF(B1668="FITX",IF(D1668="新倉",-SUM(J1668:K1668),IF(E1668="賣",(H1668-H1667)*G1668*200-SUM(J1668:K1668),(H1667-H1668)*G1668*200-SUM(J1668:K1668))),IF(D1668="新倉",-SUM(J1668:K1668),IF(E1668="賣",(H1668-H1667)*G1668*50-SUM(J1668:K1668),(H1667-H1668)*G1668*50-SUM(J1668:K1668)))))</f>
        <v/>
      </c>
      <c r="M1668" s="743">
        <f>L1668</f>
        <v/>
      </c>
      <c r="N1668" s="686">
        <f>IF(B1668="TXO","",IF(D1668="新倉","",IF(E1668="賣",(H1668-H1667)*G1668,(H1667-H1668)*G1668)))</f>
        <v/>
      </c>
      <c r="O1668" s="226" t="n">
        <v>0</v>
      </c>
      <c r="P1668" s="667">
        <f>SUM(L1668:L1670)</f>
        <v/>
      </c>
      <c r="Q1668" s="315" t="n"/>
      <c r="S1668" s="249" t="n"/>
      <c r="T1668" s="61">
        <f>IF(AND(R1668="Yes",S1668&lt;&gt;"Yes",L1668&gt;0,B1668&lt;&gt;"TXO"),L1668,"")</f>
        <v/>
      </c>
      <c r="U1668" s="61">
        <f>IF(AND(R1668="Yes",S1668&lt;&gt;"Yes",L1668&lt;0,B1668&lt;&gt;"TXO"),L1668,"")</f>
        <v/>
      </c>
      <c r="V1668" s="61">
        <f>IF(AND(R1668="",S1668&lt;&gt;"Yes",L1668&gt;0,B1668&lt;&gt;"TXO"),L1668,"")</f>
        <v/>
      </c>
      <c r="W1668" s="61">
        <f>IF(AND(R1668="",S1668&lt;&gt;"Yes",L1668&lt;0,B1668&lt;&gt;"TXO"),L1668,"")</f>
        <v/>
      </c>
      <c r="X1668" s="226">
        <f>IF(AND(R1668="Yes",S1668="Yes",L1668&gt;0,B1668&lt;&gt;"TXO"),L1668,"")</f>
        <v/>
      </c>
      <c r="Y1668" s="226">
        <f>IF(AND(R1668="Yes",S1668="Yes",L1668&lt;0,B1668&lt;&gt;"TXO"),L1668,"")</f>
        <v/>
      </c>
      <c r="Z1668" s="226">
        <f>IF(AND(R1668="",S1668="Yes",L1668&gt;0,B1668&lt;&gt;"TXO"),L1668,"")</f>
        <v/>
      </c>
      <c r="AA1668" s="226">
        <f>IF(AND(R1668="",S1668="Yes",L1668&lt;0,B1668&lt;&gt;"TXO"),L1668,"")</f>
        <v/>
      </c>
    </row>
    <row r="1669" hidden="1" outlineLevel="2" collapsed="1" ht="17.25" customHeight="1" thickBot="1">
      <c r="A1669" s="740" t="n">
        <v>43413</v>
      </c>
      <c r="B1669" s="299" t="inlineStr">
        <is>
          <t>FIMTX</t>
        </is>
      </c>
      <c r="C1669" s="300" t="inlineStr">
        <is>
          <t>小指11</t>
        </is>
      </c>
      <c r="D1669" s="300" t="inlineStr">
        <is>
          <t>平倉</t>
        </is>
      </c>
      <c r="E1669" s="301" t="inlineStr">
        <is>
          <t>買</t>
        </is>
      </c>
      <c r="F1669" s="300" t="inlineStr">
        <is>
          <t>-</t>
        </is>
      </c>
      <c r="G1669" s="741" t="n">
        <v>1</v>
      </c>
      <c r="H1669" s="741" t="n">
        <v>9727</v>
      </c>
      <c r="I1669" s="741" t="n">
        <v>0</v>
      </c>
      <c r="J1669" s="742" t="n">
        <v>23</v>
      </c>
      <c r="K1669" s="742" t="n">
        <v>10</v>
      </c>
      <c r="L1669" s="742">
        <f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/>
      </c>
      <c r="M1669" s="743">
        <f>L1669</f>
        <v/>
      </c>
      <c r="N1669" s="686">
        <f>IF(B1669="TXO","",IF(D1669="新倉","",IF(E1669="賣",(H1669-H1668)*G1669,(H1668-H1669)*G1669)))</f>
        <v/>
      </c>
      <c r="O1669" s="226" t="n">
        <v>0</v>
      </c>
      <c r="P1669" s="667" t="n"/>
      <c r="Q1669" s="315" t="n"/>
      <c r="S1669" s="249" t="n"/>
      <c r="T1669" s="61">
        <f>IF(AND(R1669="Yes",S1669&lt;&gt;"Yes",L1669&gt;0,B1669&lt;&gt;"TXO"),L1669,"")</f>
        <v/>
      </c>
      <c r="U1669" s="61">
        <f>IF(AND(R1669="Yes",S1669&lt;&gt;"Yes",L1669&lt;0,B1669&lt;&gt;"TXO"),L1669,"")</f>
        <v/>
      </c>
      <c r="V1669" s="61">
        <f>IF(AND(R1669="",S1669&lt;&gt;"Yes",L1669&gt;0,B1669&lt;&gt;"TXO"),L1669,"")</f>
        <v/>
      </c>
      <c r="W1669" s="61">
        <f>IF(AND(R1669="",S1669&lt;&gt;"Yes",L1669&lt;0,B1669&lt;&gt;"TXO"),L1669,"")</f>
        <v/>
      </c>
      <c r="X1669" s="226">
        <f>IF(AND(R1669="Yes",S1669="Yes",L1669&gt;0,B1669&lt;&gt;"TXO"),L1669,"")</f>
        <v/>
      </c>
      <c r="Y1669" s="226">
        <f>IF(AND(R1669="Yes",S1669="Yes",L1669&lt;0,B1669&lt;&gt;"TXO"),L1669,"")</f>
        <v/>
      </c>
      <c r="Z1669" s="226">
        <f>IF(AND(R1669="",S1669="Yes",L1669&gt;0,B1669&lt;&gt;"TXO"),L1669,"")</f>
        <v/>
      </c>
      <c r="AA1669" s="226">
        <f>IF(AND(R1669="",S1669="Yes",L1669&lt;0,B1669&lt;&gt;"TXO"),L1669,"")</f>
        <v/>
      </c>
    </row>
    <row r="1670" hidden="1" outlineLevel="2" collapsed="1" ht="17.25" customHeight="1" thickBot="1">
      <c r="A1670" s="740" t="n">
        <v>43413</v>
      </c>
      <c r="B1670" s="299" t="inlineStr">
        <is>
          <t>TXO</t>
        </is>
      </c>
      <c r="C1670" s="300" t="inlineStr">
        <is>
          <t>台選W2 11 9550 P</t>
        </is>
      </c>
      <c r="D1670" s="300" t="inlineStr">
        <is>
          <t>新倉</t>
        </is>
      </c>
      <c r="E1670" s="301" t="inlineStr">
        <is>
          <t>買</t>
        </is>
      </c>
      <c r="F1670" s="300" t="inlineStr">
        <is>
          <t>-</t>
        </is>
      </c>
      <c r="G1670" s="741" t="n">
        <v>1</v>
      </c>
      <c r="H1670" s="741" t="n">
        <v>31</v>
      </c>
      <c r="I1670" s="741" t="n">
        <v>-1550</v>
      </c>
      <c r="J1670" s="742" t="n">
        <v>18</v>
      </c>
      <c r="K1670" s="742" t="n">
        <v>2</v>
      </c>
      <c r="L1670" s="742">
        <f>IF(B1670="TXO",I1670-SUM(J1670:K1670),IF(B1670="FITX",IF(D1670="新倉",-SUM(J1670:K1670),IF(E1670="賣",(H1670-H1669)*G1670*200-SUM(J1670:K1670),(H1669-H1670)*G1670*200-SUM(J1670:K1670))),IF(D1670="新倉",-SUM(J1670:K1670),IF(E1670="賣",(H1670-H1669)*G1670*50-SUM(J1670:K1670),(H1669-H1670)*G1670*50-SUM(J1670:K1670)))))</f>
        <v/>
      </c>
      <c r="M1670" s="743">
        <f>L1670</f>
        <v/>
      </c>
      <c r="N1670" s="686">
        <f>IF(B1670="TXO","",IF(D1670="新倉","",IF(E1670="賣",(H1670-H1669)*G1670,(H1669-H1670)*G1670)))</f>
        <v/>
      </c>
      <c r="O1670" s="226" t="n">
        <v>0</v>
      </c>
      <c r="P1670" s="667" t="n"/>
      <c r="Q1670" s="315" t="n"/>
      <c r="S1670" s="249" t="n"/>
      <c r="T1670" s="61">
        <f>IF(AND(R1670="Yes",S1670&lt;&gt;"Yes",L1670&gt;0,B1670&lt;&gt;"TXO"),L1670,"")</f>
        <v/>
      </c>
      <c r="U1670" s="61">
        <f>IF(AND(R1670="Yes",S1670&lt;&gt;"Yes",L1670&lt;0,B1670&lt;&gt;"TXO"),L1670,"")</f>
        <v/>
      </c>
      <c r="V1670" s="61">
        <f>IF(AND(R1670="",S1670&lt;&gt;"Yes",L1670&gt;0,B1670&lt;&gt;"TXO"),L1670,"")</f>
        <v/>
      </c>
      <c r="W1670" s="61">
        <f>IF(AND(R1670="",S1670&lt;&gt;"Yes",L1670&lt;0,B1670&lt;&gt;"TXO"),L1670,"")</f>
        <v/>
      </c>
      <c r="X1670" s="226">
        <f>IF(AND(R1670="Yes",S1670="Yes",L1670&gt;0,B1670&lt;&gt;"TXO"),L1670,"")</f>
        <v/>
      </c>
      <c r="Y1670" s="226">
        <f>IF(AND(R1670="Yes",S1670="Yes",L1670&lt;0,B1670&lt;&gt;"TXO"),L1670,"")</f>
        <v/>
      </c>
      <c r="Z1670" s="226">
        <f>IF(AND(R1670="",S1670="Yes",L1670&gt;0,B1670&lt;&gt;"TXO"),L1670,"")</f>
        <v/>
      </c>
      <c r="AA1670" s="226">
        <f>IF(AND(R1670="",S1670="Yes",L1670&lt;0,B1670&lt;&gt;"TXO"),L1670,"")</f>
        <v/>
      </c>
    </row>
    <row r="1671" hidden="1" outlineLevel="1" collapsed="1" ht="17.25" customHeight="1" thickBot="1">
      <c r="A1671" s="696" t="n">
        <v>43420</v>
      </c>
      <c r="B1671" s="234" t="inlineStr">
        <is>
          <t>TXO</t>
        </is>
      </c>
      <c r="C1671" s="229" t="inlineStr">
        <is>
          <t>台指選 11 9500 P</t>
        </is>
      </c>
      <c r="D1671" s="229" t="inlineStr">
        <is>
          <t>新倉</t>
        </is>
      </c>
      <c r="E1671" s="257" t="inlineStr">
        <is>
          <t>買</t>
        </is>
      </c>
      <c r="F1671" s="229" t="inlineStr">
        <is>
          <t>-</t>
        </is>
      </c>
      <c r="G1671" s="697" t="n">
        <v>1</v>
      </c>
      <c r="H1671" s="697" t="n">
        <v>16.5</v>
      </c>
      <c r="I1671" s="697" t="n">
        <v>-825</v>
      </c>
      <c r="J1671" s="585" t="n">
        <v>18</v>
      </c>
      <c r="K1671" s="585" t="n">
        <v>1</v>
      </c>
      <c r="L1671" s="585">
        <f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/>
      </c>
      <c r="M1671" s="699">
        <f>L1671</f>
        <v/>
      </c>
      <c r="N1671" s="686">
        <f>IF(B1671="TXO","",IF(D1671="新倉","",IF(E1671="賣",(H1671-H1670)*G1671,(H1670-H1671)*G1671)))</f>
        <v/>
      </c>
      <c r="O1671" s="226" t="n">
        <v>0</v>
      </c>
      <c r="P1671" s="667" t="n"/>
      <c r="Q1671" s="297" t="n"/>
      <c r="S1671" s="249" t="n"/>
      <c r="T1671" s="61">
        <f>IF(AND(R1671="Yes",S1671&lt;&gt;"Yes",L1671&gt;0,B1671&lt;&gt;"TXO"),L1671,"")</f>
        <v/>
      </c>
      <c r="U1671" s="61">
        <f>IF(AND(R1671="Yes",S1671&lt;&gt;"Yes",L1671&lt;0,B1671&lt;&gt;"TXO"),L1671,"")</f>
        <v/>
      </c>
      <c r="V1671" s="61">
        <f>IF(AND(R1671="",S1671&lt;&gt;"Yes",L1671&gt;0,B1671&lt;&gt;"TXO"),L1671,"")</f>
        <v/>
      </c>
      <c r="W1671" s="61">
        <f>IF(AND(R1671="",S1671&lt;&gt;"Yes",L1671&lt;0,B1671&lt;&gt;"TXO"),L1671,"")</f>
        <v/>
      </c>
      <c r="X1671" s="226">
        <f>IF(AND(R1671="Yes",S1671="Yes",L1671&gt;0,B1671&lt;&gt;"TXO"),L1671,"")</f>
        <v/>
      </c>
      <c r="Y1671" s="226">
        <f>IF(AND(R1671="Yes",S1671="Yes",L1671&lt;0,B1671&lt;&gt;"TXO"),L1671,"")</f>
        <v/>
      </c>
      <c r="Z1671" s="226">
        <f>IF(AND(R1671="",S1671="Yes",L1671&gt;0,B1671&lt;&gt;"TXO"),L1671,"")</f>
        <v/>
      </c>
      <c r="AA1671" s="226">
        <f>IF(AND(R1671="",S1671="Yes",L1671&lt;0,B1671&lt;&gt;"TXO"),L1671,"")</f>
        <v/>
      </c>
    </row>
    <row r="1672" hidden="1" outlineLevel="1" ht="17.25" customHeight="1" thickBot="1">
      <c r="A1672" s="740" t="n">
        <v>43424</v>
      </c>
      <c r="B1672" s="299" t="inlineStr">
        <is>
          <t>FIMTX</t>
        </is>
      </c>
      <c r="C1672" s="300" t="inlineStr">
        <is>
          <t>小指11</t>
        </is>
      </c>
      <c r="D1672" s="300" t="inlineStr">
        <is>
          <t>新倉</t>
        </is>
      </c>
      <c r="E1672" s="301" t="inlineStr">
        <is>
          <t>賣</t>
        </is>
      </c>
      <c r="F1672" s="300" t="inlineStr">
        <is>
          <t>-</t>
        </is>
      </c>
      <c r="G1672" s="741" t="n">
        <v>3</v>
      </c>
      <c r="H1672" s="741" t="n">
        <v>9667</v>
      </c>
      <c r="I1672" s="741" t="n">
        <v>0</v>
      </c>
      <c r="J1672" s="742" t="n">
        <v>69</v>
      </c>
      <c r="K1672" s="742" t="n">
        <v>30</v>
      </c>
      <c r="L1672" s="742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/>
      </c>
      <c r="M1672" s="743">
        <f>L1672</f>
        <v/>
      </c>
      <c r="N1672" s="686">
        <f>IF(B1672="TXO","",IF(D1672="新倉","",IF(E1672="賣",(H1672-H1644)*G1672,(H1644-H1672)*G1672)))</f>
        <v/>
      </c>
      <c r="O1672" s="226" t="n">
        <v>0</v>
      </c>
      <c r="P1672" s="667">
        <f>SUM(L1672:L1680)</f>
        <v/>
      </c>
      <c r="Q1672" s="297" t="n"/>
      <c r="S1672" s="249" t="n"/>
      <c r="T1672" s="61">
        <f>IF(AND(R1672="Yes",S1672&lt;&gt;"Yes",L1672&gt;0,B1672&lt;&gt;"TXO"),L1672,"")</f>
        <v/>
      </c>
      <c r="U1672" s="61">
        <f>IF(AND(R1672="Yes",S1672&lt;&gt;"Yes",L1672&lt;0,B1672&lt;&gt;"TXO"),L1672,"")</f>
        <v/>
      </c>
      <c r="V1672" s="61">
        <f>IF(AND(R1672="",S1672&lt;&gt;"Yes",L1672&gt;0,B1672&lt;&gt;"TXO"),L1672,"")</f>
        <v/>
      </c>
      <c r="W1672" s="61">
        <f>IF(AND(R1672="",S1672&lt;&gt;"Yes",L1672&lt;0,B1672&lt;&gt;"TXO"),L1672,"")</f>
        <v/>
      </c>
      <c r="X1672" s="226">
        <f>IF(AND(R1672="Yes",S1672="Yes",L1672&gt;0,B1672&lt;&gt;"TXO"),L1672,"")</f>
        <v/>
      </c>
      <c r="Y1672" s="226">
        <f>IF(AND(R1672="Yes",S1672="Yes",L1672&lt;0,B1672&lt;&gt;"TXO"),L1672,"")</f>
        <v/>
      </c>
      <c r="Z1672" s="226">
        <f>IF(AND(R1672="",S1672="Yes",L1672&gt;0,B1672&lt;&gt;"TXO"),L1672,"")</f>
        <v/>
      </c>
      <c r="AA1672" s="226">
        <f>IF(AND(R1672="",S1672="Yes",L1672&lt;0,B1672&lt;&gt;"TXO"),L1672,"")</f>
        <v/>
      </c>
    </row>
    <row r="1673" hidden="1" outlineLevel="2" collapsed="1" ht="17.25" customHeight="1" thickBot="1">
      <c r="A1673" s="740" t="n">
        <v>43424</v>
      </c>
      <c r="B1673" s="299" t="inlineStr">
        <is>
          <t>FIMTX</t>
        </is>
      </c>
      <c r="C1673" s="300" t="inlineStr">
        <is>
          <t>小指11</t>
        </is>
      </c>
      <c r="D1673" s="300" t="inlineStr">
        <is>
          <t>平倉</t>
        </is>
      </c>
      <c r="E1673" s="301" t="inlineStr">
        <is>
          <t>買</t>
        </is>
      </c>
      <c r="F1673" s="300" t="inlineStr">
        <is>
          <t>-</t>
        </is>
      </c>
      <c r="G1673" s="741" t="n">
        <v>3</v>
      </c>
      <c r="H1673" s="741" t="n">
        <v>9674</v>
      </c>
      <c r="I1673" s="741" t="n">
        <v>0</v>
      </c>
      <c r="J1673" s="742" t="n">
        <v>69</v>
      </c>
      <c r="K1673" s="742" t="n">
        <v>30</v>
      </c>
      <c r="L1673" s="742">
        <f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/>
      </c>
      <c r="M1673" s="743">
        <f>L1673</f>
        <v/>
      </c>
      <c r="N1673" s="686">
        <f>IF(B1673="TXO","",IF(D1673="新倉","",IF(E1673="賣",(H1673-H1672)*G1673,(H1672-H1673)*G1673)))</f>
        <v/>
      </c>
      <c r="O1673" s="226" t="n">
        <v>0</v>
      </c>
      <c r="P1673" s="667" t="n"/>
      <c r="Q1673" s="297" t="n"/>
      <c r="S1673" s="249" t="n"/>
      <c r="T1673" s="61">
        <f>IF(AND(R1673="Yes",S1673&lt;&gt;"Yes",L1673&gt;0,B1673&lt;&gt;"TXO"),L1673,"")</f>
        <v/>
      </c>
      <c r="U1673" s="61">
        <f>IF(AND(R1673="Yes",S1673&lt;&gt;"Yes",L1673&lt;0,B1673&lt;&gt;"TXO"),L1673,"")</f>
        <v/>
      </c>
      <c r="V1673" s="61">
        <f>IF(AND(R1673="",S1673&lt;&gt;"Yes",L1673&gt;0,B1673&lt;&gt;"TXO"),L1673,"")</f>
        <v/>
      </c>
      <c r="W1673" s="61">
        <f>IF(AND(R1673="",S1673&lt;&gt;"Yes",L1673&lt;0,B1673&lt;&gt;"TXO"),L1673,"")</f>
        <v/>
      </c>
      <c r="X1673" s="226">
        <f>IF(AND(R1673="Yes",S1673="Yes",L1673&gt;0,B1673&lt;&gt;"TXO"),L1673,"")</f>
        <v/>
      </c>
      <c r="Y1673" s="226">
        <f>IF(AND(R1673="Yes",S1673="Yes",L1673&lt;0,B1673&lt;&gt;"TXO"),L1673,"")</f>
        <v/>
      </c>
      <c r="Z1673" s="226">
        <f>IF(AND(R1673="",S1673="Yes",L1673&gt;0,B1673&lt;&gt;"TXO"),L1673,"")</f>
        <v/>
      </c>
      <c r="AA1673" s="226">
        <f>IF(AND(R1673="",S1673="Yes",L1673&lt;0,B1673&lt;&gt;"TXO"),L1673,"")</f>
        <v/>
      </c>
    </row>
    <row r="1674" hidden="1" outlineLevel="2" collapsed="1" ht="17.25" customHeight="1" thickBot="1">
      <c r="A1674" s="740" t="n">
        <v>43424</v>
      </c>
      <c r="B1674" s="299" t="inlineStr">
        <is>
          <t>TXO</t>
        </is>
      </c>
      <c r="C1674" s="300" t="inlineStr">
        <is>
          <t>台指選 11 9600 P</t>
        </is>
      </c>
      <c r="D1674" s="300" t="inlineStr">
        <is>
          <t>新倉</t>
        </is>
      </c>
      <c r="E1674" s="301" t="inlineStr">
        <is>
          <t>買</t>
        </is>
      </c>
      <c r="F1674" s="300" t="inlineStr">
        <is>
          <t>-</t>
        </is>
      </c>
      <c r="G1674" s="741" t="n">
        <v>1</v>
      </c>
      <c r="H1674" s="741" t="n">
        <v>20</v>
      </c>
      <c r="I1674" s="741" t="n">
        <v>-1000</v>
      </c>
      <c r="J1674" s="742" t="n">
        <v>18</v>
      </c>
      <c r="K1674" s="742" t="n">
        <v>1</v>
      </c>
      <c r="L1674" s="742">
        <f>IF(B1674="TXO",I1674-SUM(J1674:K1674),IF(B1674="FITX",IF(D1674="新倉",-SUM(J1674:K1674),IF(E1674="賣",(H1674-H1673)*G1674*200-SUM(J1674:K1674),(H1673-H1674)*G1674*200-SUM(J1674:K1674))),IF(D1674="新倉",-SUM(J1674:K1674),IF(E1674="賣",(H1674-H1673)*G1674*50-SUM(J1674:K1674),(H1673-H1674)*G1674*50-SUM(J1674:K1674)))))</f>
        <v/>
      </c>
      <c r="M1674" s="743">
        <f>L1674</f>
        <v/>
      </c>
      <c r="N1674" s="686">
        <f>IF(B1674="TXO","",IF(D1674="新倉","",IF(E1674="賣",(H1674-H1673)*G1674,(H1673-H1674)*G1674)))</f>
        <v/>
      </c>
      <c r="O1674" s="226" t="n">
        <v>0</v>
      </c>
      <c r="P1674" s="667" t="n"/>
      <c r="Q1674" s="297" t="n"/>
      <c r="S1674" s="249" t="n"/>
      <c r="T1674" s="61">
        <f>IF(AND(R1674="Yes",S1674&lt;&gt;"Yes",L1674&gt;0,B1674&lt;&gt;"TXO"),L1674,"")</f>
        <v/>
      </c>
      <c r="U1674" s="61">
        <f>IF(AND(R1674="Yes",S1674&lt;&gt;"Yes",L1674&lt;0,B1674&lt;&gt;"TXO"),L1674,"")</f>
        <v/>
      </c>
      <c r="V1674" s="61">
        <f>IF(AND(R1674="",S1674&lt;&gt;"Yes",L1674&gt;0,B1674&lt;&gt;"TXO"),L1674,"")</f>
        <v/>
      </c>
      <c r="W1674" s="61">
        <f>IF(AND(R1674="",S1674&lt;&gt;"Yes",L1674&lt;0,B1674&lt;&gt;"TXO"),L1674,"")</f>
        <v/>
      </c>
      <c r="X1674" s="226">
        <f>IF(AND(R1674="Yes",S1674="Yes",L1674&gt;0,B1674&lt;&gt;"TXO"),L1674,"")</f>
        <v/>
      </c>
      <c r="Y1674" s="226">
        <f>IF(AND(R1674="Yes",S1674="Yes",L1674&lt;0,B1674&lt;&gt;"TXO"),L1674,"")</f>
        <v/>
      </c>
      <c r="Z1674" s="226">
        <f>IF(AND(R1674="",S1674="Yes",L1674&gt;0,B1674&lt;&gt;"TXO"),L1674,"")</f>
        <v/>
      </c>
      <c r="AA1674" s="226">
        <f>IF(AND(R1674="",S1674="Yes",L1674&lt;0,B1674&lt;&gt;"TXO"),L1674,"")</f>
        <v/>
      </c>
    </row>
    <row r="1675" hidden="1" outlineLevel="2" collapsed="1" ht="17.25" customHeight="1" thickBot="1">
      <c r="A1675" s="740" t="n">
        <v>43425</v>
      </c>
      <c r="B1675" s="299" t="inlineStr">
        <is>
          <t>TXO</t>
        </is>
      </c>
      <c r="C1675" s="300" t="inlineStr">
        <is>
          <t>台指選 11 9600 P</t>
        </is>
      </c>
      <c r="D1675" s="300" t="inlineStr">
        <is>
          <t>平倉</t>
        </is>
      </c>
      <c r="E1675" s="301" t="inlineStr">
        <is>
          <t>賣</t>
        </is>
      </c>
      <c r="F1675" s="300" t="inlineStr">
        <is>
          <t>-</t>
        </is>
      </c>
      <c r="G1675" s="741" t="n">
        <v>1</v>
      </c>
      <c r="H1675" s="741" t="n">
        <v>3.9</v>
      </c>
      <c r="I1675" s="741" t="n">
        <v>195</v>
      </c>
      <c r="J1675" s="742" t="n">
        <v>18</v>
      </c>
      <c r="K1675" s="742" t="n">
        <v>0</v>
      </c>
      <c r="L1675" s="742">
        <f>IF(B1675="TXO",I1675-SUM(J1675:K1675),IF(B1675="FITX",IF(D1675="新倉",-SUM(J1675:K1675),IF(E1675="賣",(H1675-H1674)*G1675*200-SUM(J1675:K1675),(H1674-H1675)*G1675*200-SUM(J1675:K1675))),IF(D1675="新倉",-SUM(J1675:K1675),IF(E1675="賣",(H1675-H1674)*G1675*50-SUM(J1675:K1675),(H1674-H1675)*G1675*50-SUM(J1675:K1675)))))</f>
        <v/>
      </c>
      <c r="M1675" s="743">
        <f>L1675</f>
        <v/>
      </c>
      <c r="N1675" s="686">
        <f>IF(B1675="TXO","",IF(D1675="新倉","",IF(E1675="賣",(H1675-H1674)*G1675,(H1674-H1675)*G1675)))</f>
        <v/>
      </c>
      <c r="O1675" s="226" t="n">
        <v>0</v>
      </c>
      <c r="P1675" s="667" t="n"/>
      <c r="Q1675" s="297" t="n"/>
      <c r="S1675" s="249" t="n"/>
      <c r="T1675" s="61">
        <f>IF(AND(R1675="Yes",S1675&lt;&gt;"Yes",L1675&gt;0,B1675&lt;&gt;"TXO"),L1675,"")</f>
        <v/>
      </c>
      <c r="U1675" s="61">
        <f>IF(AND(R1675="Yes",S1675&lt;&gt;"Yes",L1675&lt;0,B1675&lt;&gt;"TXO"),L1675,"")</f>
        <v/>
      </c>
      <c r="V1675" s="61">
        <f>IF(AND(R1675="",S1675&lt;&gt;"Yes",L1675&gt;0,B1675&lt;&gt;"TXO"),L1675,"")</f>
        <v/>
      </c>
      <c r="W1675" s="61">
        <f>IF(AND(R1675="",S1675&lt;&gt;"Yes",L1675&lt;0,B1675&lt;&gt;"TXO"),L1675,"")</f>
        <v/>
      </c>
      <c r="X1675" s="226">
        <f>IF(AND(R1675="Yes",S1675="Yes",L1675&gt;0,B1675&lt;&gt;"TXO"),L1675,"")</f>
        <v/>
      </c>
      <c r="Y1675" s="226">
        <f>IF(AND(R1675="Yes",S1675="Yes",L1675&lt;0,B1675&lt;&gt;"TXO"),L1675,"")</f>
        <v/>
      </c>
      <c r="Z1675" s="226">
        <f>IF(AND(R1675="",S1675="Yes",L1675&gt;0,B1675&lt;&gt;"TXO"),L1675,"")</f>
        <v/>
      </c>
      <c r="AA1675" s="226">
        <f>IF(AND(R1675="",S1675="Yes",L1675&lt;0,B1675&lt;&gt;"TXO"),L1675,"")</f>
        <v/>
      </c>
    </row>
    <row r="1676" hidden="1" outlineLevel="2" collapsed="1" ht="17.25" customHeight="1" thickBot="1">
      <c r="A1676" s="740" t="n">
        <v>43424</v>
      </c>
      <c r="B1676" s="299" t="inlineStr">
        <is>
          <t>TXO</t>
        </is>
      </c>
      <c r="C1676" s="300" t="inlineStr">
        <is>
          <t>台指選 11 9500 P</t>
        </is>
      </c>
      <c r="D1676" s="300" t="inlineStr">
        <is>
          <t>新倉</t>
        </is>
      </c>
      <c r="E1676" s="301" t="inlineStr">
        <is>
          <t>買</t>
        </is>
      </c>
      <c r="F1676" s="300" t="inlineStr">
        <is>
          <t>-</t>
        </is>
      </c>
      <c r="G1676" s="741" t="n">
        <v>1</v>
      </c>
      <c r="H1676" s="741" t="n">
        <v>19</v>
      </c>
      <c r="I1676" s="741" t="n">
        <v>-950</v>
      </c>
      <c r="J1676" s="742" t="n">
        <v>18</v>
      </c>
      <c r="K1676" s="742" t="n">
        <v>1</v>
      </c>
      <c r="L1676" s="742">
        <f>IF(B1676="TXO",I1676-SUM(J1676:K1676),IF(B1676="FITX",IF(D1676="新倉",-SUM(J1676:K1676),IF(E1676="賣",(H1676-H1675)*G1676*200-SUM(J1676:K1676),(H1675-H1676)*G1676*200-SUM(J1676:K1676))),IF(D1676="新倉",-SUM(J1676:K1676),IF(E1676="賣",(H1676-H1675)*G1676*50-SUM(J1676:K1676),(H1675-H1676)*G1676*50-SUM(J1676:K1676)))))</f>
        <v/>
      </c>
      <c r="M1676" s="743">
        <f>L1676</f>
        <v/>
      </c>
      <c r="N1676" s="686">
        <f>IF(B1676="TXO","",IF(D1676="新倉","",IF(E1676="賣",(H1676-H1675)*G1676,(H1675-H1676)*G1676)))</f>
        <v/>
      </c>
      <c r="O1676" s="226" t="n">
        <v>0</v>
      </c>
      <c r="P1676" s="667" t="n"/>
      <c r="S1676" s="249" t="n"/>
      <c r="T1676" s="61">
        <f>IF(AND(R1676="Yes",S1676&lt;&gt;"Yes",L1676&gt;0,B1676&lt;&gt;"TXO"),L1676,"")</f>
        <v/>
      </c>
      <c r="U1676" s="61">
        <f>IF(AND(R1676="Yes",S1676&lt;&gt;"Yes",L1676&lt;0,B1676&lt;&gt;"TXO"),L1676,"")</f>
        <v/>
      </c>
      <c r="V1676" s="61">
        <f>IF(AND(R1676="",S1676&lt;&gt;"Yes",L1676&gt;0,B1676&lt;&gt;"TXO"),L1676,"")</f>
        <v/>
      </c>
      <c r="W1676" s="61">
        <f>IF(AND(R1676="",S1676&lt;&gt;"Yes",L1676&lt;0,B1676&lt;&gt;"TXO"),L1676,"")</f>
        <v/>
      </c>
      <c r="X1676" s="226">
        <f>IF(AND(R1676="Yes",S1676="Yes",L1676&gt;0,B1676&lt;&gt;"TXO"),L1676,"")</f>
        <v/>
      </c>
      <c r="Y1676" s="226">
        <f>IF(AND(R1676="Yes",S1676="Yes",L1676&lt;0,B1676&lt;&gt;"TXO"),L1676,"")</f>
        <v/>
      </c>
      <c r="Z1676" s="226">
        <f>IF(AND(R1676="",S1676="Yes",L1676&gt;0,B1676&lt;&gt;"TXO"),L1676,"")</f>
        <v/>
      </c>
      <c r="AA1676" s="226">
        <f>IF(AND(R1676="",S1676="Yes",L1676&lt;0,B1676&lt;&gt;"TXO"),L1676,"")</f>
        <v/>
      </c>
    </row>
    <row r="1677" hidden="1" outlineLevel="2" collapsed="1" ht="17.25" customHeight="1" thickBot="1">
      <c r="A1677" s="740" t="n">
        <v>43424</v>
      </c>
      <c r="B1677" s="299" t="inlineStr">
        <is>
          <t>TXO</t>
        </is>
      </c>
      <c r="C1677" s="300" t="inlineStr">
        <is>
          <t>台指選 11 9650 P</t>
        </is>
      </c>
      <c r="D1677" s="300" t="inlineStr">
        <is>
          <t>新倉</t>
        </is>
      </c>
      <c r="E1677" s="301" t="inlineStr">
        <is>
          <t>買</t>
        </is>
      </c>
      <c r="F1677" s="300" t="inlineStr">
        <is>
          <t>-</t>
        </is>
      </c>
      <c r="G1677" s="741" t="n">
        <v>1</v>
      </c>
      <c r="H1677" s="741" t="n">
        <v>30</v>
      </c>
      <c r="I1677" s="741" t="n">
        <v>-1500</v>
      </c>
      <c r="J1677" s="742" t="n">
        <v>18</v>
      </c>
      <c r="K1677" s="742" t="n">
        <v>2</v>
      </c>
      <c r="L1677" s="742">
        <f>IF(B1677="TXO",I1677-SUM(J1677:K1677),IF(B1677="FITX",IF(D1677="新倉",-SUM(J1677:K1677),IF(E1677="賣",(H1677-H1676)*G1677*200-SUM(J1677:K1677),(H1676-H1677)*G1677*200-SUM(J1677:K1677))),IF(D1677="新倉",-SUM(J1677:K1677),IF(E1677="賣",(H1677-H1676)*G1677*50-SUM(J1677:K1677),(H1676-H1677)*G1677*50-SUM(J1677:K1677)))))</f>
        <v/>
      </c>
      <c r="M1677" s="743">
        <f>L1677</f>
        <v/>
      </c>
      <c r="N1677" s="686">
        <f>IF(B1677="TXO","",IF(D1677="新倉","",IF(E1677="賣",(H1677-H1676)*G1677,(H1676-H1677)*G1677)))</f>
        <v/>
      </c>
      <c r="O1677" s="226" t="n">
        <v>0</v>
      </c>
      <c r="P1677" s="667" t="n"/>
      <c r="Q1677" s="315" t="n"/>
      <c r="S1677" s="249" t="n"/>
      <c r="T1677" s="61">
        <f>IF(AND(R1677="Yes",S1677&lt;&gt;"Yes",L1677&gt;0,B1677&lt;&gt;"TXO"),L1677,"")</f>
        <v/>
      </c>
      <c r="U1677" s="61">
        <f>IF(AND(R1677="Yes",S1677&lt;&gt;"Yes",L1677&lt;0,B1677&lt;&gt;"TXO"),L1677,"")</f>
        <v/>
      </c>
      <c r="V1677" s="61">
        <f>IF(AND(R1677="",S1677&lt;&gt;"Yes",L1677&gt;0,B1677&lt;&gt;"TXO"),L1677,"")</f>
        <v/>
      </c>
      <c r="W1677" s="61">
        <f>IF(AND(R1677="",S1677&lt;&gt;"Yes",L1677&lt;0,B1677&lt;&gt;"TXO"),L1677,"")</f>
        <v/>
      </c>
      <c r="X1677" s="226">
        <f>IF(AND(R1677="Yes",S1677="Yes",L1677&gt;0,B1677&lt;&gt;"TXO"),L1677,"")</f>
        <v/>
      </c>
      <c r="Y1677" s="226">
        <f>IF(AND(R1677="Yes",S1677="Yes",L1677&lt;0,B1677&lt;&gt;"TXO"),L1677,"")</f>
        <v/>
      </c>
      <c r="Z1677" s="226">
        <f>IF(AND(R1677="",S1677="Yes",L1677&gt;0,B1677&lt;&gt;"TXO"),L1677,"")</f>
        <v/>
      </c>
      <c r="AA1677" s="226">
        <f>IF(AND(R1677="",S1677="Yes",L1677&lt;0,B1677&lt;&gt;"TXO"),L1677,"")</f>
        <v/>
      </c>
    </row>
    <row r="1678" hidden="1" outlineLevel="2" collapsed="1" ht="17.25" customHeight="1" thickBot="1">
      <c r="A1678" s="740" t="n">
        <v>43425</v>
      </c>
      <c r="B1678" s="299" t="inlineStr">
        <is>
          <t>TXO</t>
        </is>
      </c>
      <c r="C1678" s="300" t="inlineStr">
        <is>
          <t>台指選 11 9650 P</t>
        </is>
      </c>
      <c r="D1678" s="300" t="inlineStr">
        <is>
          <t>平倉</t>
        </is>
      </c>
      <c r="E1678" s="301" t="inlineStr">
        <is>
          <t>賣</t>
        </is>
      </c>
      <c r="F1678" s="300" t="inlineStr">
        <is>
          <t>-</t>
        </is>
      </c>
      <c r="G1678" s="741" t="n">
        <v>1</v>
      </c>
      <c r="H1678" s="741" t="n">
        <v>15</v>
      </c>
      <c r="I1678" s="741" t="n">
        <v>750</v>
      </c>
      <c r="J1678" s="742" t="n">
        <v>18</v>
      </c>
      <c r="K1678" s="742" t="n">
        <v>1</v>
      </c>
      <c r="L1678" s="742">
        <f>IF(B1678="TXO",I1678-SUM(J1678:K1678),IF(B1678="FITX",IF(D1678="新倉",-SUM(J1678:K1678),IF(E1678="賣",(H1678-H1677)*G1678*200-SUM(J1678:K1678),(H1677-H1678)*G1678*200-SUM(J1678:K1678))),IF(D1678="新倉",-SUM(J1678:K1678),IF(E1678="賣",(H1678-H1677)*G1678*50-SUM(J1678:K1678),(H1677-H1678)*G1678*50-SUM(J1678:K1678)))))</f>
        <v/>
      </c>
      <c r="M1678" s="743">
        <f>L1678</f>
        <v/>
      </c>
      <c r="N1678" s="686">
        <f>IF(B1678="TXO","",IF(D1678="新倉","",IF(E1678="賣",(H1678-H1677)*G1678,(H1677-H1678)*G1678)))</f>
        <v/>
      </c>
      <c r="O1678" s="226" t="n">
        <v>0</v>
      </c>
      <c r="P1678" s="667" t="n"/>
      <c r="Q1678" s="315" t="n"/>
      <c r="S1678" s="249" t="n"/>
      <c r="T1678" s="61">
        <f>IF(AND(R1678="Yes",S1678&lt;&gt;"Yes",L1678&gt;0,B1678&lt;&gt;"TXO"),L1678,"")</f>
        <v/>
      </c>
      <c r="U1678" s="61">
        <f>IF(AND(R1678="Yes",S1678&lt;&gt;"Yes",L1678&lt;0,B1678&lt;&gt;"TXO"),L1678,"")</f>
        <v/>
      </c>
      <c r="V1678" s="61">
        <f>IF(AND(R1678="",S1678&lt;&gt;"Yes",L1678&gt;0,B1678&lt;&gt;"TXO"),L1678,"")</f>
        <v/>
      </c>
      <c r="W1678" s="61">
        <f>IF(AND(R1678="",S1678&lt;&gt;"Yes",L1678&lt;0,B1678&lt;&gt;"TXO"),L1678,"")</f>
        <v/>
      </c>
      <c r="X1678" s="226">
        <f>IF(AND(R1678="Yes",S1678="Yes",L1678&gt;0,B1678&lt;&gt;"TXO"),L1678,"")</f>
        <v/>
      </c>
      <c r="Y1678" s="226">
        <f>IF(AND(R1678="Yes",S1678="Yes",L1678&lt;0,B1678&lt;&gt;"TXO"),L1678,"")</f>
        <v/>
      </c>
      <c r="Z1678" s="226">
        <f>IF(AND(R1678="",S1678="Yes",L1678&gt;0,B1678&lt;&gt;"TXO"),L1678,"")</f>
        <v/>
      </c>
      <c r="AA1678" s="226">
        <f>IF(AND(R1678="",S1678="Yes",L1678&lt;0,B1678&lt;&gt;"TXO"),L1678,"")</f>
        <v/>
      </c>
    </row>
    <row r="1679" hidden="1" outlineLevel="2" collapsed="1" ht="17.25" customHeight="1" thickBot="1">
      <c r="A1679" s="740" t="n">
        <v>43424</v>
      </c>
      <c r="B1679" s="299" t="inlineStr">
        <is>
          <t>FIMTX</t>
        </is>
      </c>
      <c r="C1679" s="300" t="inlineStr">
        <is>
          <t>小指11</t>
        </is>
      </c>
      <c r="D1679" s="300" t="inlineStr">
        <is>
          <t>新倉</t>
        </is>
      </c>
      <c r="E1679" s="301" t="inlineStr">
        <is>
          <t>買</t>
        </is>
      </c>
      <c r="F1679" s="300" t="inlineStr">
        <is>
          <t>-</t>
        </is>
      </c>
      <c r="G1679" s="741" t="n">
        <v>3</v>
      </c>
      <c r="H1679" s="741" t="n">
        <v>9706</v>
      </c>
      <c r="I1679" s="741" t="n">
        <v>0</v>
      </c>
      <c r="J1679" s="742" t="n">
        <v>69</v>
      </c>
      <c r="K1679" s="742" t="n">
        <v>30</v>
      </c>
      <c r="L1679" s="742">
        <f>IF(B1679="TXO",I1679-SUM(J1679:K1679),IF(B1679="FITX",IF(D1679="新倉",-SUM(J1679:K1679),IF(E1679="賣",(H1679-H1678)*G1679*200-SUM(J1679:K1679),(H1678-H1679)*G1679*200-SUM(J1679:K1679))),IF(D1679="新倉",-SUM(J1679:K1679),IF(E1679="賣",(H1679-H1678)*G1679*50-SUM(J1679:K1679),(H1678-H1679)*G1679*50-SUM(J1679:K1679)))))</f>
        <v/>
      </c>
      <c r="M1679" s="743">
        <f>L1679</f>
        <v/>
      </c>
      <c r="N1679" s="686">
        <f>IF(B1679="TXO","",IF(D1679="新倉","",IF(E1679="賣",(H1679-H1678)*G1679,(H1678-H1679)*G1679)))</f>
        <v/>
      </c>
      <c r="O1679" s="226" t="n">
        <v>0</v>
      </c>
      <c r="P1679" s="667" t="n"/>
      <c r="Q1679" s="297" t="n"/>
      <c r="S1679" s="249" t="n"/>
      <c r="T1679" s="61">
        <f>IF(AND(R1679="Yes",S1679&lt;&gt;"Yes",L1679&gt;0,B1679&lt;&gt;"TXO"),L1679,"")</f>
        <v/>
      </c>
      <c r="U1679" s="61">
        <f>IF(AND(R1679="Yes",S1679&lt;&gt;"Yes",L1679&lt;0,B1679&lt;&gt;"TXO"),L1679,"")</f>
        <v/>
      </c>
      <c r="V1679" s="61">
        <f>IF(AND(R1679="",S1679&lt;&gt;"Yes",L1679&gt;0,B1679&lt;&gt;"TXO"),L1679,"")</f>
        <v/>
      </c>
      <c r="W1679" s="61">
        <f>IF(AND(R1679="",S1679&lt;&gt;"Yes",L1679&lt;0,B1679&lt;&gt;"TXO"),L1679,"")</f>
        <v/>
      </c>
      <c r="X1679" s="226">
        <f>IF(AND(R1679="Yes",S1679="Yes",L1679&gt;0,B1679&lt;&gt;"TXO"),L1679,"")</f>
        <v/>
      </c>
      <c r="Y1679" s="226">
        <f>IF(AND(R1679="Yes",S1679="Yes",L1679&lt;0,B1679&lt;&gt;"TXO"),L1679,"")</f>
        <v/>
      </c>
      <c r="Z1679" s="226">
        <f>IF(AND(R1679="",S1679="Yes",L1679&gt;0,B1679&lt;&gt;"TXO"),L1679,"")</f>
        <v/>
      </c>
      <c r="AA1679" s="226">
        <f>IF(AND(R1679="",S1679="Yes",L1679&lt;0,B1679&lt;&gt;"TXO"),L1679,"")</f>
        <v/>
      </c>
    </row>
    <row r="1680" hidden="1" outlineLevel="2" collapsed="1" ht="17.25" customHeight="1" thickBot="1">
      <c r="A1680" s="740" t="n">
        <v>43424</v>
      </c>
      <c r="B1680" s="299" t="inlineStr">
        <is>
          <t>FIMTX</t>
        </is>
      </c>
      <c r="C1680" s="300" t="inlineStr">
        <is>
          <t>小指11</t>
        </is>
      </c>
      <c r="D1680" s="300" t="inlineStr">
        <is>
          <t>平倉</t>
        </is>
      </c>
      <c r="E1680" s="301" t="inlineStr">
        <is>
          <t>賣</t>
        </is>
      </c>
      <c r="F1680" s="300" t="inlineStr">
        <is>
          <t>-</t>
        </is>
      </c>
      <c r="G1680" s="741" t="n">
        <v>3</v>
      </c>
      <c r="H1680" s="741" t="n">
        <v>9698</v>
      </c>
      <c r="I1680" s="741" t="n">
        <v>0</v>
      </c>
      <c r="J1680" s="742" t="n">
        <v>69</v>
      </c>
      <c r="K1680" s="742" t="n">
        <v>30</v>
      </c>
      <c r="L1680" s="742">
        <f>IF(B1680="TXO",I1680-SUM(J1680:K1680),IF(B1680="FITX",IF(D1680="新倉",-SUM(J1680:K1680),IF(E1680="賣",(H1680-H1679)*G1680*200-SUM(J1680:K1680),(H1679-H1680)*G1680*200-SUM(J1680:K1680))),IF(D1680="新倉",-SUM(J1680:K1680),IF(E1680="賣",(H1680-H1679)*G1680*50-SUM(J1680:K1680),(H1679-H1680)*G1680*50-SUM(J1680:K1680)))))</f>
        <v/>
      </c>
      <c r="M1680" s="743">
        <f>L1680</f>
        <v/>
      </c>
      <c r="N1680" s="686">
        <f>IF(B1680="TXO","",IF(D1680="新倉","",IF(E1680="賣",(H1680-H1679)*G1680,(H1679-H1680)*G1680)))</f>
        <v/>
      </c>
      <c r="O1680" s="226" t="n">
        <v>0</v>
      </c>
      <c r="P1680" s="667" t="n"/>
      <c r="Q1680" s="315" t="n"/>
      <c r="S1680" s="249" t="n"/>
      <c r="T1680" s="61">
        <f>IF(AND(R1680="Yes",S1680&lt;&gt;"Yes",L1680&gt;0,B1680&lt;&gt;"TXO"),L1680,"")</f>
        <v/>
      </c>
      <c r="U1680" s="61">
        <f>IF(AND(R1680="Yes",S1680&lt;&gt;"Yes",L1680&lt;0,B1680&lt;&gt;"TXO"),L1680,"")</f>
        <v/>
      </c>
      <c r="V1680" s="61">
        <f>IF(AND(R1680="",S1680&lt;&gt;"Yes",L1680&gt;0,B1680&lt;&gt;"TXO"),L1680,"")</f>
        <v/>
      </c>
      <c r="W1680" s="61">
        <f>IF(AND(R1680="",S1680&lt;&gt;"Yes",L1680&lt;0,B1680&lt;&gt;"TXO"),L1680,"")</f>
        <v/>
      </c>
      <c r="X1680" s="226">
        <f>IF(AND(R1680="Yes",S1680="Yes",L1680&gt;0,B1680&lt;&gt;"TXO"),L1680,"")</f>
        <v/>
      </c>
      <c r="Y1680" s="226">
        <f>IF(AND(R1680="Yes",S1680="Yes",L1680&lt;0,B1680&lt;&gt;"TXO"),L1680,"")</f>
        <v/>
      </c>
      <c r="Z1680" s="226">
        <f>IF(AND(R1680="",S1680="Yes",L1680&gt;0,B1680&lt;&gt;"TXO"),L1680,"")</f>
        <v/>
      </c>
      <c r="AA1680" s="226">
        <f>IF(AND(R1680="",S1680="Yes",L1680&lt;0,B1680&lt;&gt;"TXO"),L1680,"")</f>
        <v/>
      </c>
    </row>
    <row r="1681" hidden="1" outlineLevel="1" ht="17.25" customHeight="1" thickBot="1">
      <c r="A1681" s="696" t="n">
        <v>43426</v>
      </c>
      <c r="B1681" s="234" t="inlineStr">
        <is>
          <t>FIMTX</t>
        </is>
      </c>
      <c r="C1681" s="229" t="inlineStr">
        <is>
          <t>小指12</t>
        </is>
      </c>
      <c r="D1681" s="229" t="inlineStr">
        <is>
          <t>新倉</t>
        </is>
      </c>
      <c r="E1681" s="257" t="inlineStr">
        <is>
          <t>賣</t>
        </is>
      </c>
      <c r="F1681" s="229" t="inlineStr">
        <is>
          <t>-</t>
        </is>
      </c>
      <c r="G1681" s="697" t="n">
        <v>1</v>
      </c>
      <c r="H1681" s="697" t="n">
        <v>9741</v>
      </c>
      <c r="I1681" s="697" t="n">
        <v>0</v>
      </c>
      <c r="J1681" s="585" t="n">
        <v>23</v>
      </c>
      <c r="K1681" s="585" t="n">
        <v>10</v>
      </c>
      <c r="L1681" s="585">
        <f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/>
      </c>
      <c r="M1681" s="699">
        <f>L1681</f>
        <v/>
      </c>
      <c r="N1681" s="686">
        <f>IF(B1681="TXO","",IF(D1681="新倉","",IF(E1681="賣",(H1681-H1680)*G1681,(H1680-H1681)*G1681)))</f>
        <v/>
      </c>
      <c r="O1681" s="226" t="n">
        <v>0</v>
      </c>
      <c r="P1681" s="667">
        <f>SUM(L1681:L1688)</f>
        <v/>
      </c>
      <c r="Q1681" s="297" t="inlineStr">
        <is>
          <t>技法: 3/3 買進一口</t>
        </is>
      </c>
      <c r="R1681" s="249" t="inlineStr">
        <is>
          <t>Yes</t>
        </is>
      </c>
      <c r="S1681" s="249" t="n"/>
      <c r="T1681" s="61">
        <f>IF(AND(R1681="Yes",S1681&lt;&gt;"Yes",L1681&gt;0,B1681&lt;&gt;"TXO"),L1681,"")</f>
        <v/>
      </c>
      <c r="U1681" s="61">
        <f>IF(AND(R1681="Yes",S1681&lt;&gt;"Yes",L1681&lt;0,B1681&lt;&gt;"TXO"),L1681,"")</f>
        <v/>
      </c>
      <c r="V1681" s="61">
        <f>IF(AND(R1681="",S1681&lt;&gt;"Yes",L1681&gt;0,B1681&lt;&gt;"TXO"),L1681,"")</f>
        <v/>
      </c>
      <c r="W1681" s="61">
        <f>IF(AND(R1681="",S1681&lt;&gt;"Yes",L1681&lt;0,B1681&lt;&gt;"TXO"),L1681,"")</f>
        <v/>
      </c>
      <c r="X1681" s="226">
        <f>IF(AND(R1681="Yes",S1681="Yes",L1681&gt;0,B1681&lt;&gt;"TXO"),L1681,"")</f>
        <v/>
      </c>
      <c r="Y1681" s="226">
        <f>IF(AND(R1681="Yes",S1681="Yes",L1681&lt;0,B1681&lt;&gt;"TXO"),L1681,"")</f>
        <v/>
      </c>
      <c r="Z1681" s="226">
        <f>IF(AND(R1681="",S1681="Yes",L1681&gt;0,B1681&lt;&gt;"TXO"),L1681,"")</f>
        <v/>
      </c>
      <c r="AA1681" s="226">
        <f>IF(AND(R1681="",S1681="Yes",L1681&lt;0,B1681&lt;&gt;"TXO"),L1681,"")</f>
        <v/>
      </c>
    </row>
    <row r="1682" hidden="1" outlineLevel="2" collapsed="1" ht="17.25" customHeight="1" thickBot="1">
      <c r="A1682" s="696" t="n">
        <v>43426</v>
      </c>
      <c r="B1682" s="234" t="inlineStr">
        <is>
          <t>FIMTX</t>
        </is>
      </c>
      <c r="C1682" s="229" t="inlineStr">
        <is>
          <t>小指12</t>
        </is>
      </c>
      <c r="D1682" s="229" t="inlineStr">
        <is>
          <t>平倉</t>
        </is>
      </c>
      <c r="E1682" s="257" t="inlineStr">
        <is>
          <t>買</t>
        </is>
      </c>
      <c r="F1682" s="229" t="inlineStr">
        <is>
          <t>-</t>
        </is>
      </c>
      <c r="G1682" s="697" t="n">
        <v>1</v>
      </c>
      <c r="H1682" s="697" t="n">
        <v>9751</v>
      </c>
      <c r="I1682" s="697" t="n">
        <v>0</v>
      </c>
      <c r="J1682" s="585" t="n">
        <v>23</v>
      </c>
      <c r="K1682" s="585" t="n">
        <v>10</v>
      </c>
      <c r="L1682" s="585">
        <f>IF(B1682="TXO",I1682-SUM(J1682:K1682),IF(B1682="FITX",IF(D1682="新倉",-SUM(J1682:K1682),IF(E1682="賣",(H1682-H1681)*G1682*200-SUM(J1682:K1682),(H1681-H1682)*G1682*200-SUM(J1682:K1682))),IF(D1682="新倉",-SUM(J1682:K1682),IF(E1682="賣",(H1682-H1681)*G1682*50-SUM(J1682:K1682),(H1681-H1682)*G1682*50-SUM(J1682:K1682)))))</f>
        <v/>
      </c>
      <c r="M1682" s="699">
        <f>L1682</f>
        <v/>
      </c>
      <c r="N1682" s="686">
        <f>IF(B1682="TXO","",IF(D1682="新倉","",IF(E1682="賣",(H1682-H1681)*G1682,(H1681-H1682)*G1682)))</f>
        <v/>
      </c>
      <c r="O1682" s="226" t="n">
        <v>0</v>
      </c>
      <c r="P1682" s="667" t="n"/>
      <c r="Q1682" s="249" t="inlineStr">
        <is>
          <t>技法: 碰10MA出場</t>
        </is>
      </c>
      <c r="R1682" s="249" t="inlineStr">
        <is>
          <t>Yes</t>
        </is>
      </c>
      <c r="S1682" s="249" t="n"/>
      <c r="T1682" s="61">
        <f>IF(AND(R1682="Yes",S1682&lt;&gt;"Yes",L1682&gt;0,B1682&lt;&gt;"TXO"),L1682,"")</f>
        <v/>
      </c>
      <c r="U1682" s="61">
        <f>IF(AND(R1682="Yes",S1682&lt;&gt;"Yes",L1682&lt;0,B1682&lt;&gt;"TXO"),L1682,"")</f>
        <v/>
      </c>
      <c r="V1682" s="61">
        <f>IF(AND(R1682="",S1682&lt;&gt;"Yes",L1682&gt;0,B1682&lt;&gt;"TXO"),L1682,"")</f>
        <v/>
      </c>
      <c r="W1682" s="61">
        <f>IF(AND(R1682="",S1682&lt;&gt;"Yes",L1682&lt;0,B1682&lt;&gt;"TXO"),L1682,"")</f>
        <v/>
      </c>
      <c r="X1682" s="226">
        <f>IF(AND(R1682="Yes",S1682="Yes",L1682&gt;0,B1682&lt;&gt;"TXO"),L1682,"")</f>
        <v/>
      </c>
      <c r="Y1682" s="226">
        <f>IF(AND(R1682="Yes",S1682="Yes",L1682&lt;0,B1682&lt;&gt;"TXO"),L1682,"")</f>
        <v/>
      </c>
      <c r="Z1682" s="226">
        <f>IF(AND(R1682="",S1682="Yes",L1682&gt;0,B1682&lt;&gt;"TXO"),L1682,"")</f>
        <v/>
      </c>
      <c r="AA1682" s="226">
        <f>IF(AND(R1682="",S1682="Yes",L1682&lt;0,B1682&lt;&gt;"TXO"),L1682,"")</f>
        <v/>
      </c>
    </row>
    <row r="1683" hidden="1" outlineLevel="2" collapsed="1" ht="17.25" customHeight="1" thickBot="1">
      <c r="A1683" s="696" t="n">
        <v>43426</v>
      </c>
      <c r="B1683" s="234" t="inlineStr">
        <is>
          <t>TXO</t>
        </is>
      </c>
      <c r="C1683" s="229" t="inlineStr">
        <is>
          <t>TXOW4 11 9400  P</t>
        </is>
      </c>
      <c r="D1683" s="229" t="inlineStr">
        <is>
          <t>新倉</t>
        </is>
      </c>
      <c r="E1683" s="257" t="inlineStr">
        <is>
          <t>買</t>
        </is>
      </c>
      <c r="F1683" s="229" t="inlineStr">
        <is>
          <t>-</t>
        </is>
      </c>
      <c r="G1683" s="697" t="n">
        <v>1</v>
      </c>
      <c r="H1683" s="697" t="n">
        <v>17</v>
      </c>
      <c r="I1683" s="697" t="n">
        <v>-850</v>
      </c>
      <c r="J1683" s="585" t="n">
        <v>18</v>
      </c>
      <c r="K1683" s="585" t="n">
        <v>1</v>
      </c>
      <c r="L1683" s="585">
        <f>IF(B1683="TXO",I1683-SUM(J1683:K1683),IF(B1683="FITX",IF(D1683="新倉",-SUM(J1683:K1683),IF(E1683="賣",(H1683-H1682)*G1683*200-SUM(J1683:K1683),(H1682-H1683)*G1683*200-SUM(J1683:K1683))),IF(D1683="新倉",-SUM(J1683:K1683),IF(E1683="賣",(H1683-H1682)*G1683*50-SUM(J1683:K1683),(H1682-H1683)*G1683*50-SUM(J1683:K1683)))))</f>
        <v/>
      </c>
      <c r="M1683" s="699">
        <f>L1683</f>
        <v/>
      </c>
      <c r="N1683" s="686">
        <f>IF(B1683="TXO","",IF(D1683="新倉","",IF(E1683="賣",(H1683-H1682)*G1683,(H1682-H1683)*G1683)))</f>
        <v/>
      </c>
      <c r="O1683" s="226" t="n">
        <v>0</v>
      </c>
      <c r="P1683" s="667" t="n"/>
      <c r="Q1683" s="297" t="n"/>
      <c r="S1683" s="249" t="n"/>
      <c r="T1683" s="61">
        <f>IF(AND(R1683="Yes",S1683&lt;&gt;"Yes",L1683&gt;0,B1683&lt;&gt;"TXO"),L1683,"")</f>
        <v/>
      </c>
      <c r="U1683" s="61">
        <f>IF(AND(R1683="Yes",S1683&lt;&gt;"Yes",L1683&lt;0,B1683&lt;&gt;"TXO"),L1683,"")</f>
        <v/>
      </c>
      <c r="V1683" s="61">
        <f>IF(AND(R1683="",S1683&lt;&gt;"Yes",L1683&gt;0,B1683&lt;&gt;"TXO"),L1683,"")</f>
        <v/>
      </c>
      <c r="W1683" s="61">
        <f>IF(AND(R1683="",S1683&lt;&gt;"Yes",L1683&lt;0,B1683&lt;&gt;"TXO"),L1683,"")</f>
        <v/>
      </c>
      <c r="X1683" s="226">
        <f>IF(AND(R1683="Yes",S1683="Yes",L1683&gt;0,B1683&lt;&gt;"TXO"),L1683,"")</f>
        <v/>
      </c>
      <c r="Y1683" s="226">
        <f>IF(AND(R1683="Yes",S1683="Yes",L1683&lt;0,B1683&lt;&gt;"TXO"),L1683,"")</f>
        <v/>
      </c>
      <c r="Z1683" s="226">
        <f>IF(AND(R1683="",S1683="Yes",L1683&gt;0,B1683&lt;&gt;"TXO"),L1683,"")</f>
        <v/>
      </c>
      <c r="AA1683" s="226">
        <f>IF(AND(R1683="",S1683="Yes",L1683&lt;0,B1683&lt;&gt;"TXO"),L1683,"")</f>
        <v/>
      </c>
    </row>
    <row r="1684" hidden="1" outlineLevel="2" collapsed="1" ht="17.25" customHeight="1" thickBot="1">
      <c r="A1684" s="696" t="n">
        <v>43426</v>
      </c>
      <c r="B1684" s="234" t="inlineStr">
        <is>
          <t>TXO</t>
        </is>
      </c>
      <c r="C1684" s="229" t="inlineStr">
        <is>
          <t>台指選W4 11 9500  P</t>
        </is>
      </c>
      <c r="D1684" s="229" t="inlineStr">
        <is>
          <t>新倉</t>
        </is>
      </c>
      <c r="E1684" s="257" t="inlineStr">
        <is>
          <t>買</t>
        </is>
      </c>
      <c r="F1684" s="229" t="inlineStr">
        <is>
          <t>-</t>
        </is>
      </c>
      <c r="G1684" s="697" t="n">
        <v>1</v>
      </c>
      <c r="H1684" s="697" t="n">
        <v>24</v>
      </c>
      <c r="I1684" s="697" t="n">
        <v>-1200</v>
      </c>
      <c r="J1684" s="585" t="n">
        <v>18</v>
      </c>
      <c r="K1684" s="585" t="n">
        <v>1</v>
      </c>
      <c r="L1684" s="585">
        <f>IF(B1684="TXO",I1684-SUM(J1684:K1684),IF(B1684="FITX",IF(D1684="新倉",-SUM(J1684:K1684),IF(E1684="賣",(H1684-H1683)*G1684*200-SUM(J1684:K1684),(H1683-H1684)*G1684*200-SUM(J1684:K1684))),IF(D1684="新倉",-SUM(J1684:K1684),IF(E1684="賣",(H1684-H1683)*G1684*50-SUM(J1684:K1684),(H1683-H1684)*G1684*50-SUM(J1684:K1684)))))</f>
        <v/>
      </c>
      <c r="M1684" s="699">
        <f>L1684</f>
        <v/>
      </c>
      <c r="N1684" s="686">
        <f>IF(B1684="TXO","",IF(D1684="新倉","",IF(E1684="賣",(H1684-H1683)*G1684,(H1683-H1684)*G1684)))</f>
        <v/>
      </c>
      <c r="O1684" s="226" t="n">
        <v>0</v>
      </c>
      <c r="P1684" s="667" t="n"/>
      <c r="Q1684" s="297" t="n"/>
      <c r="S1684" s="249" t="n"/>
      <c r="T1684" s="61">
        <f>IF(AND(R1684="Yes",S1684&lt;&gt;"Yes",L1684&gt;0,B1684&lt;&gt;"TXO"),L1684,"")</f>
        <v/>
      </c>
      <c r="U1684" s="61">
        <f>IF(AND(R1684="Yes",S1684&lt;&gt;"Yes",L1684&lt;0,B1684&lt;&gt;"TXO"),L1684,"")</f>
        <v/>
      </c>
      <c r="V1684" s="61">
        <f>IF(AND(R1684="",S1684&lt;&gt;"Yes",L1684&gt;0,B1684&lt;&gt;"TXO"),L1684,"")</f>
        <v/>
      </c>
      <c r="W1684" s="61">
        <f>IF(AND(R1684="",S1684&lt;&gt;"Yes",L1684&lt;0,B1684&lt;&gt;"TXO"),L1684,"")</f>
        <v/>
      </c>
      <c r="X1684" s="226">
        <f>IF(AND(R1684="Yes",S1684="Yes",L1684&gt;0,B1684&lt;&gt;"TXO"),L1684,"")</f>
        <v/>
      </c>
      <c r="Y1684" s="226">
        <f>IF(AND(R1684="Yes",S1684="Yes",L1684&lt;0,B1684&lt;&gt;"TXO"),L1684,"")</f>
        <v/>
      </c>
      <c r="Z1684" s="226">
        <f>IF(AND(R1684="",S1684="Yes",L1684&gt;0,B1684&lt;&gt;"TXO"),L1684,"")</f>
        <v/>
      </c>
      <c r="AA1684" s="226">
        <f>IF(AND(R1684="",S1684="Yes",L1684&lt;0,B1684&lt;&gt;"TXO"),L1684,"")</f>
        <v/>
      </c>
    </row>
    <row r="1685" hidden="1" outlineLevel="2" collapsed="1" ht="17.25" customHeight="1" thickBot="1">
      <c r="A1685" s="696" t="n">
        <v>43426</v>
      </c>
      <c r="B1685" s="234" t="inlineStr">
        <is>
          <t>FIMTX</t>
        </is>
      </c>
      <c r="C1685" s="229" t="inlineStr">
        <is>
          <t>小指12</t>
        </is>
      </c>
      <c r="D1685" s="229" t="inlineStr">
        <is>
          <t>新倉</t>
        </is>
      </c>
      <c r="E1685" s="257" t="inlineStr">
        <is>
          <t>賣</t>
        </is>
      </c>
      <c r="F1685" s="229" t="inlineStr">
        <is>
          <t>-</t>
        </is>
      </c>
      <c r="G1685" s="697" t="n">
        <v>2</v>
      </c>
      <c r="H1685" s="697" t="n">
        <v>9684</v>
      </c>
      <c r="I1685" s="697" t="n">
        <v>0</v>
      </c>
      <c r="J1685" s="585" t="n">
        <v>46</v>
      </c>
      <c r="K1685" s="585" t="n">
        <v>20</v>
      </c>
      <c r="L1685" s="585">
        <f>IF(B1685="TXO",I1685-SUM(J1685:K1685),IF(B1685="FITX",IF(D1685="新倉",-SUM(J1685:K1685),IF(E1685="賣",(H1685-H1684)*G1685*200-SUM(J1685:K1685),(H1684-H1685)*G1685*200-SUM(J1685:K1685))),IF(D1685="新倉",-SUM(J1685:K1685),IF(E1685="賣",(H1685-H1684)*G1685*50-SUM(J1685:K1685),(H1684-H1685)*G1685*50-SUM(J1685:K1685)))))</f>
        <v/>
      </c>
      <c r="M1685" s="699">
        <f>L1685</f>
        <v/>
      </c>
      <c r="N1685" s="686">
        <f>IF(B1685="TXO","",IF(D1685="新倉","",IF(E1685="賣",(H1685-H1684)*G1685,(H1684-H1685)*G1685)))</f>
        <v/>
      </c>
      <c r="O1685" s="226" t="n">
        <v>0</v>
      </c>
      <c r="P1685" s="667" t="n"/>
      <c r="Q1685" s="297" t="inlineStr">
        <is>
          <t>技法: 3/3 買進2口</t>
        </is>
      </c>
      <c r="R1685" s="249" t="inlineStr">
        <is>
          <t>Yes</t>
        </is>
      </c>
      <c r="S1685" s="249" t="inlineStr">
        <is>
          <t>Yes</t>
        </is>
      </c>
      <c r="T1685" s="61">
        <f>IF(AND(R1685="Yes",S1685&lt;&gt;"Yes",L1685&gt;0,B1685&lt;&gt;"TXO"),L1685,"")</f>
        <v/>
      </c>
      <c r="U1685" s="61">
        <f>IF(AND(R1685="Yes",S1685&lt;&gt;"Yes",L1685&lt;0,B1685&lt;&gt;"TXO"),L1685,"")</f>
        <v/>
      </c>
      <c r="V1685" s="61">
        <f>IF(AND(R1685="",S1685&lt;&gt;"Yes",L1685&gt;0,B1685&lt;&gt;"TXO"),L1685,"")</f>
        <v/>
      </c>
      <c r="W1685" s="61">
        <f>IF(AND(R1685="",S1685&lt;&gt;"Yes",L1685&lt;0,B1685&lt;&gt;"TXO"),L1685,"")</f>
        <v/>
      </c>
      <c r="X1685" s="226">
        <f>IF(AND(R1685="Yes",S1685="Yes",L1685&gt;0,B1685&lt;&gt;"TXO"),L1685,"")</f>
        <v/>
      </c>
      <c r="Y1685" s="226">
        <f>IF(AND(R1685="Yes",S1685="Yes",L1685&lt;0,B1685&lt;&gt;"TXO"),L1685,"")</f>
        <v/>
      </c>
      <c r="Z1685" s="226">
        <f>IF(AND(R1685="",S1685="Yes",L1685&gt;0,B1685&lt;&gt;"TXO"),L1685,"")</f>
        <v/>
      </c>
      <c r="AA1685" s="226">
        <f>IF(AND(R1685="",S1685="Yes",L1685&lt;0,B1685&lt;&gt;"TXO"),L1685,"")</f>
        <v/>
      </c>
    </row>
    <row r="1686" hidden="1" outlineLevel="2" collapsed="1" ht="17.25" customHeight="1" thickBot="1">
      <c r="A1686" s="696" t="n">
        <v>43426</v>
      </c>
      <c r="B1686" s="234" t="inlineStr">
        <is>
          <t>FIMTX</t>
        </is>
      </c>
      <c r="C1686" s="229" t="inlineStr">
        <is>
          <t>小指12</t>
        </is>
      </c>
      <c r="D1686" s="229" t="inlineStr">
        <is>
          <t>平倉</t>
        </is>
      </c>
      <c r="E1686" s="257" t="inlineStr">
        <is>
          <t>買</t>
        </is>
      </c>
      <c r="F1686" s="229" t="inlineStr">
        <is>
          <t>-</t>
        </is>
      </c>
      <c r="G1686" s="697" t="n">
        <v>2</v>
      </c>
      <c r="H1686" s="697" t="n">
        <v>9693</v>
      </c>
      <c r="I1686" s="697" t="n">
        <v>0</v>
      </c>
      <c r="J1686" s="585" t="n">
        <v>46</v>
      </c>
      <c r="K1686" s="585" t="n">
        <v>20</v>
      </c>
      <c r="L1686" s="585">
        <f>IF(B1686="TXO",I1686-SUM(J1686:K1686),IF(B1686="FITX",IF(D1686="新倉",-SUM(J1686:K1686),IF(E1686="賣",(H1686-H1685)*G1686*200-SUM(J1686:K1686),(H1685-H1686)*G1686*200-SUM(J1686:K1686))),IF(D1686="新倉",-SUM(J1686:K1686),IF(E1686="賣",(H1686-H1685)*G1686*50-SUM(J1686:K1686),(H1685-H1686)*G1686*50-SUM(J1686:K1686)))))</f>
        <v/>
      </c>
      <c r="M1686" s="699">
        <f>L1686</f>
        <v/>
      </c>
      <c r="N1686" s="686">
        <f>IF(B1686="TXO","",IF(D1686="新倉","",IF(E1686="賣",(H1686-H1685)*G1686,(H1685-H1686)*G1686)))</f>
        <v/>
      </c>
      <c r="O1686" s="226" t="n">
        <v>0</v>
      </c>
      <c r="P1686" s="667" t="n"/>
      <c r="Q1686" s="249" t="inlineStr">
        <is>
          <t>技法: 碰10MA出場</t>
        </is>
      </c>
      <c r="R1686" s="249" t="inlineStr">
        <is>
          <t>Yes</t>
        </is>
      </c>
      <c r="S1686" s="249" t="inlineStr">
        <is>
          <t>Yes</t>
        </is>
      </c>
      <c r="T1686" s="61">
        <f>IF(AND(R1686="Yes",S1686&lt;&gt;"Yes",L1686&gt;0,B1686&lt;&gt;"TXO"),L1686,"")</f>
        <v/>
      </c>
      <c r="U1686" s="61">
        <f>IF(AND(R1686="Yes",S1686&lt;&gt;"Yes",L1686&lt;0,B1686&lt;&gt;"TXO"),L1686,"")</f>
        <v/>
      </c>
      <c r="V1686" s="61">
        <f>IF(AND(R1686="",S1686&lt;&gt;"Yes",L1686&gt;0,B1686&lt;&gt;"TXO"),L1686,"")</f>
        <v/>
      </c>
      <c r="W1686" s="61">
        <f>IF(AND(R1686="",S1686&lt;&gt;"Yes",L1686&lt;0,B1686&lt;&gt;"TXO"),L1686,"")</f>
        <v/>
      </c>
      <c r="X1686" s="226">
        <f>IF(AND(R1686="Yes",S1686="Yes",L1686&gt;0,B1686&lt;&gt;"TXO"),L1686,"")</f>
        <v/>
      </c>
      <c r="Y1686" s="226">
        <f>IF(AND(R1686="Yes",S1686="Yes",L1686&lt;0,B1686&lt;&gt;"TXO"),L1686,"")</f>
        <v/>
      </c>
      <c r="Z1686" s="226">
        <f>IF(AND(R1686="",S1686="Yes",L1686&gt;0,B1686&lt;&gt;"TXO"),L1686,"")</f>
        <v/>
      </c>
      <c r="AA1686" s="226">
        <f>IF(AND(R1686="",S1686="Yes",L1686&lt;0,B1686&lt;&gt;"TXO"),L1686,"")</f>
        <v/>
      </c>
    </row>
    <row r="1687" hidden="1" outlineLevel="2" collapsed="1" ht="17.25" customHeight="1" thickBot="1">
      <c r="A1687" s="696" t="n">
        <v>43426</v>
      </c>
      <c r="B1687" s="234" t="inlineStr">
        <is>
          <t>FIMTX</t>
        </is>
      </c>
      <c r="C1687" s="229" t="inlineStr">
        <is>
          <t>小指12</t>
        </is>
      </c>
      <c r="D1687" s="229" t="inlineStr">
        <is>
          <t>新倉</t>
        </is>
      </c>
      <c r="E1687" s="257" t="inlineStr">
        <is>
          <t>買</t>
        </is>
      </c>
      <c r="F1687" s="229" t="inlineStr">
        <is>
          <t>-</t>
        </is>
      </c>
      <c r="G1687" s="697" t="n">
        <v>2</v>
      </c>
      <c r="H1687" s="697" t="n">
        <v>9694</v>
      </c>
      <c r="I1687" s="697" t="n">
        <v>0</v>
      </c>
      <c r="J1687" s="585" t="n">
        <v>46</v>
      </c>
      <c r="K1687" s="585" t="n">
        <v>20</v>
      </c>
      <c r="L1687" s="585">
        <f>IF(B1687="TXO",I1687-SUM(J1687:K1687),IF(B1687="FITX",IF(D1687="新倉",-SUM(J1687:K1687),IF(E1687="賣",(H1687-H1686)*G1687*200-SUM(J1687:K1687),(H1686-H1687)*G1687*200-SUM(J1687:K1687))),IF(D1687="新倉",-SUM(J1687:K1687),IF(E1687="賣",(H1687-H1686)*G1687*50-SUM(J1687:K1687),(H1686-H1687)*G1687*50-SUM(J1687:K1687)))))</f>
        <v/>
      </c>
      <c r="M1687" s="699">
        <f>L1687</f>
        <v/>
      </c>
      <c r="N1687" s="686">
        <f>IF(B1687="TXO","",IF(D1687="新倉","",IF(E1687="賣",(H1687-H1686)*G1687,(H1686-H1687)*G1687)))</f>
        <v/>
      </c>
      <c r="O1687" s="226" t="n">
        <v>0</v>
      </c>
      <c r="P1687" s="667" t="n"/>
      <c r="Q1687" s="297" t="inlineStr">
        <is>
          <t>技法: 3/3 買進2口</t>
        </is>
      </c>
      <c r="R1687" s="249" t="inlineStr">
        <is>
          <t>Yes</t>
        </is>
      </c>
      <c r="S1687" s="249" t="inlineStr">
        <is>
          <t>Yes</t>
        </is>
      </c>
      <c r="T1687" s="61">
        <f>IF(AND(R1687="Yes",S1687&lt;&gt;"Yes",L1687&gt;0,B1687&lt;&gt;"TXO"),L1687,"")</f>
        <v/>
      </c>
      <c r="U1687" s="61">
        <f>IF(AND(R1687="Yes",S1687&lt;&gt;"Yes",L1687&lt;0,B1687&lt;&gt;"TXO"),L1687,"")</f>
        <v/>
      </c>
      <c r="V1687" s="61">
        <f>IF(AND(R1687="",S1687&lt;&gt;"Yes",L1687&gt;0,B1687&lt;&gt;"TXO"),L1687,"")</f>
        <v/>
      </c>
      <c r="W1687" s="61">
        <f>IF(AND(R1687="",S1687&lt;&gt;"Yes",L1687&lt;0,B1687&lt;&gt;"TXO"),L1687,"")</f>
        <v/>
      </c>
      <c r="X1687" s="226">
        <f>IF(AND(R1687="Yes",S1687="Yes",L1687&gt;0,B1687&lt;&gt;"TXO"),L1687,"")</f>
        <v/>
      </c>
      <c r="Y1687" s="226">
        <f>IF(AND(R1687="Yes",S1687="Yes",L1687&lt;0,B1687&lt;&gt;"TXO"),L1687,"")</f>
        <v/>
      </c>
      <c r="Z1687" s="226">
        <f>IF(AND(R1687="",S1687="Yes",L1687&gt;0,B1687&lt;&gt;"TXO"),L1687,"")</f>
        <v/>
      </c>
      <c r="AA1687" s="226">
        <f>IF(AND(R1687="",S1687="Yes",L1687&lt;0,B1687&lt;&gt;"TXO"),L1687,"")</f>
        <v/>
      </c>
    </row>
    <row r="1688" hidden="1" outlineLevel="2" ht="17.25" customHeight="1" thickBot="1">
      <c r="A1688" s="696" t="n">
        <v>43426</v>
      </c>
      <c r="B1688" s="234" t="inlineStr">
        <is>
          <t>FIMTX</t>
        </is>
      </c>
      <c r="C1688" s="229" t="inlineStr">
        <is>
          <t>小指12</t>
        </is>
      </c>
      <c r="D1688" s="229" t="inlineStr">
        <is>
          <t>平倉</t>
        </is>
      </c>
      <c r="E1688" s="257" t="inlineStr">
        <is>
          <t>賣</t>
        </is>
      </c>
      <c r="F1688" s="229" t="inlineStr">
        <is>
          <t>-</t>
        </is>
      </c>
      <c r="G1688" s="697" t="n">
        <v>2</v>
      </c>
      <c r="H1688" s="697" t="n">
        <v>9690</v>
      </c>
      <c r="I1688" s="697" t="n">
        <v>0</v>
      </c>
      <c r="J1688" s="585" t="n">
        <v>46</v>
      </c>
      <c r="K1688" s="585" t="n">
        <v>20</v>
      </c>
      <c r="L1688" s="585">
        <f>IF(B1688="TXO",I1688-SUM(J1688:K1688),IF(B1688="FITX",IF(D1688="新倉",-SUM(J1688:K1688),IF(E1688="賣",(H1688-H1687)*G1688*200-SUM(J1688:K1688),(H1687-H1688)*G1688*200-SUM(J1688:K1688))),IF(D1688="新倉",-SUM(J1688:K1688),IF(E1688="賣",(H1688-H1687)*G1688*50-SUM(J1688:K1688),(H1687-H1688)*G1688*50-SUM(J1688:K1688)))))</f>
        <v/>
      </c>
      <c r="M1688" s="699">
        <f>L1688</f>
        <v/>
      </c>
      <c r="N1688" s="686">
        <f>IF(B1688="TXO","",IF(D1688="新倉","",IF(E1688="賣",(H1688-H1687)*G1688,(H1687-H1688)*G1688)))</f>
        <v/>
      </c>
      <c r="O1688" s="226" t="n">
        <v>0</v>
      </c>
      <c r="P1688" s="667" t="n"/>
      <c r="Q1688" s="249" t="inlineStr">
        <is>
          <t>技法: 碰10MA出場</t>
        </is>
      </c>
      <c r="R1688" s="249" t="inlineStr">
        <is>
          <t>Yes</t>
        </is>
      </c>
      <c r="S1688" s="249" t="inlineStr">
        <is>
          <t>Yes</t>
        </is>
      </c>
      <c r="T1688" s="61">
        <f>IF(AND(R1688="Yes",S1688&lt;&gt;"Yes",L1688&gt;0,B1688&lt;&gt;"TXO"),L1688,"")</f>
        <v/>
      </c>
      <c r="U1688" s="61">
        <f>IF(AND(R1688="Yes",S1688&lt;&gt;"Yes",L1688&lt;0,B1688&lt;&gt;"TXO"),L1688,"")</f>
        <v/>
      </c>
      <c r="V1688" s="61">
        <f>IF(AND(R1688="",S1688&lt;&gt;"Yes",L1688&gt;0,B1688&lt;&gt;"TXO"),L1688,"")</f>
        <v/>
      </c>
      <c r="W1688" s="61">
        <f>IF(AND(R1688="",S1688&lt;&gt;"Yes",L1688&lt;0,B1688&lt;&gt;"TXO"),L1688,"")</f>
        <v/>
      </c>
      <c r="X1688" s="226">
        <f>IF(AND(R1688="Yes",S1688="Yes",L1688&gt;0,B1688&lt;&gt;"TXO"),L1688,"")</f>
        <v/>
      </c>
      <c r="Y1688" s="226">
        <f>IF(AND(R1688="Yes",S1688="Yes",L1688&lt;0,B1688&lt;&gt;"TXO"),L1688,"")</f>
        <v/>
      </c>
      <c r="Z1688" s="226">
        <f>IF(AND(R1688="",S1688="Yes",L1688&gt;0,B1688&lt;&gt;"TXO"),L1688,"")</f>
        <v/>
      </c>
      <c r="AA1688" s="226">
        <f>IF(AND(R1688="",S1688="Yes",L1688&lt;0,B1688&lt;&gt;"TXO"),L1688,"")</f>
        <v/>
      </c>
    </row>
    <row r="1689" hidden="1" outlineLevel="1" ht="17.25" customHeight="1" thickBot="1">
      <c r="A1689" s="740" t="n">
        <v>43427</v>
      </c>
      <c r="B1689" s="299" t="inlineStr">
        <is>
          <t>FIMTX</t>
        </is>
      </c>
      <c r="C1689" s="300" t="inlineStr">
        <is>
          <t>小指12</t>
        </is>
      </c>
      <c r="D1689" s="300" t="inlineStr">
        <is>
          <t>新倉</t>
        </is>
      </c>
      <c r="E1689" s="301" t="inlineStr">
        <is>
          <t>賣</t>
        </is>
      </c>
      <c r="F1689" s="300" t="inlineStr">
        <is>
          <t>-</t>
        </is>
      </c>
      <c r="G1689" s="741" t="n">
        <v>1</v>
      </c>
      <c r="H1689" s="741" t="n">
        <v>9697</v>
      </c>
      <c r="I1689" s="741" t="n">
        <v>0</v>
      </c>
      <c r="J1689" s="742" t="n">
        <v>23</v>
      </c>
      <c r="K1689" s="742" t="n">
        <v>10</v>
      </c>
      <c r="L1689" s="742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/>
      </c>
      <c r="M1689" s="743">
        <f>L1689</f>
        <v/>
      </c>
      <c r="N1689" s="686">
        <f>IF(B1689="TXO","",IF(D1689="新倉","",IF(E1689="賣",(H1689-H1688)*G1689,(H1688-H1689)*G1689)))</f>
        <v/>
      </c>
      <c r="O1689" s="226" t="n">
        <v>0</v>
      </c>
      <c r="P1689" s="667">
        <f>SUM(L1689:L1703)</f>
        <v/>
      </c>
      <c r="Q1689" s="297" t="inlineStr">
        <is>
          <t>技法: 3/3 買進3口</t>
        </is>
      </c>
      <c r="R1689" s="249" t="inlineStr">
        <is>
          <t>Yes</t>
        </is>
      </c>
      <c r="S1689" s="249" t="n"/>
      <c r="T1689" s="61">
        <f>IF(AND(R1689="Yes",S1689&lt;&gt;"Yes",L1689&gt;0,B1689&lt;&gt;"TXO"),L1689,"")</f>
        <v/>
      </c>
      <c r="U1689" s="61">
        <f>IF(AND(R1689="Yes",S1689&lt;&gt;"Yes",L1689&lt;0,B1689&lt;&gt;"TXO"),L1689,"")</f>
        <v/>
      </c>
      <c r="V1689" s="61">
        <f>IF(AND(R1689="",S1689&lt;&gt;"Yes",L1689&gt;0,B1689&lt;&gt;"TXO"),L1689,"")</f>
        <v/>
      </c>
      <c r="W1689" s="61">
        <f>IF(AND(R1689="",S1689&lt;&gt;"Yes",L1689&lt;0,B1689&lt;&gt;"TXO"),L1689,"")</f>
        <v/>
      </c>
      <c r="X1689" s="226">
        <f>IF(AND(R1689="Yes",S1689="Yes",L1689&gt;0,B1689&lt;&gt;"TXO"),L1689,"")</f>
        <v/>
      </c>
      <c r="Y1689" s="226">
        <f>IF(AND(R1689="Yes",S1689="Yes",L1689&lt;0,B1689&lt;&gt;"TXO"),L1689,"")</f>
        <v/>
      </c>
      <c r="Z1689" s="226">
        <f>IF(AND(R1689="",S1689="Yes",L1689&gt;0,B1689&lt;&gt;"TXO"),L1689,"")</f>
        <v/>
      </c>
      <c r="AA1689" s="226">
        <f>IF(AND(R1689="",S1689="Yes",L1689&lt;0,B1689&lt;&gt;"TXO"),L1689,"")</f>
        <v/>
      </c>
    </row>
    <row r="1690" hidden="1" outlineLevel="2" collapsed="1" ht="17.25" customHeight="1" thickBot="1">
      <c r="A1690" s="740" t="n">
        <v>43427</v>
      </c>
      <c r="B1690" s="299" t="inlineStr">
        <is>
          <t>FIMTX</t>
        </is>
      </c>
      <c r="C1690" s="300" t="inlineStr">
        <is>
          <t>小指12</t>
        </is>
      </c>
      <c r="D1690" s="300" t="inlineStr">
        <is>
          <t>平倉</t>
        </is>
      </c>
      <c r="E1690" s="301" t="inlineStr">
        <is>
          <t>買</t>
        </is>
      </c>
      <c r="F1690" s="300" t="inlineStr">
        <is>
          <t>-</t>
        </is>
      </c>
      <c r="G1690" s="741" t="n">
        <v>1</v>
      </c>
      <c r="H1690" s="741" t="n">
        <v>9695</v>
      </c>
      <c r="I1690" s="741" t="n">
        <v>0</v>
      </c>
      <c r="J1690" s="742" t="n">
        <v>23</v>
      </c>
      <c r="K1690" s="742" t="n">
        <v>10</v>
      </c>
      <c r="L1690" s="742">
        <f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/>
      </c>
      <c r="M1690" s="743">
        <f>L1690</f>
        <v/>
      </c>
      <c r="N1690" s="686">
        <f>IF(B1690="TXO","",IF(D1690="新倉","",IF(E1690="賣",(H1690-H1689)*G1690,(H1689-H1690)*G1690)))</f>
        <v/>
      </c>
      <c r="O1690" s="226" t="n">
        <v>0</v>
      </c>
      <c r="P1690" s="667" t="n"/>
      <c r="Q1690" s="249" t="inlineStr">
        <is>
          <t>技法: 刺補</t>
        </is>
      </c>
      <c r="R1690" s="249" t="inlineStr">
        <is>
          <t>Yes</t>
        </is>
      </c>
      <c r="S1690" s="249" t="n"/>
      <c r="T1690" s="61">
        <f>IF(AND(R1690="Yes",S1690&lt;&gt;"Yes",L1690&gt;0,B1690&lt;&gt;"TXO"),L1690,"")</f>
        <v/>
      </c>
      <c r="U1690" s="61">
        <f>IF(AND(R1690="Yes",S1690&lt;&gt;"Yes",L1690&lt;0,B1690&lt;&gt;"TXO"),L1690,"")</f>
        <v/>
      </c>
      <c r="V1690" s="61">
        <f>IF(AND(R1690="",S1690&lt;&gt;"Yes",L1690&gt;0,B1690&lt;&gt;"TXO"),L1690,"")</f>
        <v/>
      </c>
      <c r="W1690" s="61">
        <f>IF(AND(R1690="",S1690&lt;&gt;"Yes",L1690&lt;0,B1690&lt;&gt;"TXO"),L1690,"")</f>
        <v/>
      </c>
      <c r="X1690" s="226">
        <f>IF(AND(R1690="Yes",S1690="Yes",L1690&gt;0,B1690&lt;&gt;"TXO"),L1690,"")</f>
        <v/>
      </c>
      <c r="Y1690" s="226">
        <f>IF(AND(R1690="Yes",S1690="Yes",L1690&lt;0,B1690&lt;&gt;"TXO"),L1690,"")</f>
        <v/>
      </c>
      <c r="Z1690" s="226">
        <f>IF(AND(R1690="",S1690="Yes",L1690&gt;0,B1690&lt;&gt;"TXO"),L1690,"")</f>
        <v/>
      </c>
      <c r="AA1690" s="226">
        <f>IF(AND(R1690="",S1690="Yes",L1690&lt;0,B1690&lt;&gt;"TXO"),L1690,"")</f>
        <v/>
      </c>
    </row>
    <row r="1691" hidden="1" outlineLevel="2" collapsed="1" ht="17.25" customHeight="1" thickBot="1">
      <c r="A1691" s="740" t="n">
        <v>43427</v>
      </c>
      <c r="B1691" s="299" t="inlineStr">
        <is>
          <t>FIMTX</t>
        </is>
      </c>
      <c r="C1691" s="300" t="inlineStr">
        <is>
          <t>小指12</t>
        </is>
      </c>
      <c r="D1691" s="300" t="inlineStr">
        <is>
          <t>新倉</t>
        </is>
      </c>
      <c r="E1691" s="301" t="inlineStr">
        <is>
          <t>賣</t>
        </is>
      </c>
      <c r="F1691" s="300" t="inlineStr">
        <is>
          <t>-</t>
        </is>
      </c>
      <c r="G1691" s="741" t="n">
        <v>1</v>
      </c>
      <c r="H1691" s="741" t="n">
        <v>9702</v>
      </c>
      <c r="I1691" s="741" t="n">
        <v>0</v>
      </c>
      <c r="J1691" s="742" t="n">
        <v>23</v>
      </c>
      <c r="K1691" s="742" t="n">
        <v>10</v>
      </c>
      <c r="L1691" s="742">
        <f>IF(B1691="TXO",I1691-SUM(J1691:K1691),IF(B1691="FITX",IF(D1691="新倉",-SUM(J1691:K1691),IF(E1691="賣",(H1691-H1690)*G1691*200-SUM(J1691:K1691),(H1690-H1691)*G1691*200-SUM(J1691:K1691))),IF(D1691="新倉",-SUM(J1691:K1691),IF(E1691="賣",(H1691-H1690)*G1691*50-SUM(J1691:K1691),(H1690-H1691)*G1691*50-SUM(J1691:K1691)))))</f>
        <v/>
      </c>
      <c r="M1691" s="743">
        <f>L1691</f>
        <v/>
      </c>
      <c r="N1691" s="686">
        <f>IF(B1691="TXO","",IF(D1691="新倉","",IF(E1691="賣",(H1691-H1690)*G1691,(H1690-H1691)*G1691)))</f>
        <v/>
      </c>
      <c r="O1691" s="226" t="n">
        <v>0</v>
      </c>
      <c r="P1691" s="667" t="n"/>
      <c r="Q1691" s="297" t="n"/>
      <c r="R1691" s="249" t="inlineStr">
        <is>
          <t>Yes</t>
        </is>
      </c>
      <c r="S1691" s="249" t="n"/>
      <c r="T1691" s="61">
        <f>IF(AND(R1691="Yes",S1691&lt;&gt;"Yes",L1691&gt;0,B1691&lt;&gt;"TXO"),L1691,"")</f>
        <v/>
      </c>
      <c r="U1691" s="61">
        <f>IF(AND(R1691="Yes",S1691&lt;&gt;"Yes",L1691&lt;0,B1691&lt;&gt;"TXO"),L1691,"")</f>
        <v/>
      </c>
      <c r="V1691" s="61">
        <f>IF(AND(R1691="",S1691&lt;&gt;"Yes",L1691&gt;0,B1691&lt;&gt;"TXO"),L1691,"")</f>
        <v/>
      </c>
      <c r="W1691" s="61">
        <f>IF(AND(R1691="",S1691&lt;&gt;"Yes",L1691&lt;0,B1691&lt;&gt;"TXO"),L1691,"")</f>
        <v/>
      </c>
      <c r="X1691" s="226">
        <f>IF(AND(R1691="Yes",S1691="Yes",L1691&gt;0,B1691&lt;&gt;"TXO"),L1691,"")</f>
        <v/>
      </c>
      <c r="Y1691" s="226">
        <f>IF(AND(R1691="Yes",S1691="Yes",L1691&lt;0,B1691&lt;&gt;"TXO"),L1691,"")</f>
        <v/>
      </c>
      <c r="Z1691" s="226">
        <f>IF(AND(R1691="",S1691="Yes",L1691&gt;0,B1691&lt;&gt;"TXO"),L1691,"")</f>
        <v/>
      </c>
      <c r="AA1691" s="226">
        <f>IF(AND(R1691="",S1691="Yes",L1691&lt;0,B1691&lt;&gt;"TXO"),L1691,"")</f>
        <v/>
      </c>
    </row>
    <row r="1692" hidden="1" outlineLevel="2" collapsed="1" ht="17.25" customHeight="1" thickBot="1">
      <c r="A1692" s="740" t="n">
        <v>43427</v>
      </c>
      <c r="B1692" s="299" t="inlineStr">
        <is>
          <t>FIMTX</t>
        </is>
      </c>
      <c r="C1692" s="300" t="inlineStr">
        <is>
          <t>小指12</t>
        </is>
      </c>
      <c r="D1692" s="300" t="inlineStr">
        <is>
          <t>平倉</t>
        </is>
      </c>
      <c r="E1692" s="301" t="inlineStr">
        <is>
          <t>買</t>
        </is>
      </c>
      <c r="F1692" s="300" t="inlineStr">
        <is>
          <t>-</t>
        </is>
      </c>
      <c r="G1692" s="741" t="n">
        <v>1</v>
      </c>
      <c r="H1692" s="741" t="n">
        <v>9683</v>
      </c>
      <c r="I1692" s="741" t="n">
        <v>0</v>
      </c>
      <c r="J1692" s="742" t="n">
        <v>23</v>
      </c>
      <c r="K1692" s="742" t="n">
        <v>10</v>
      </c>
      <c r="L1692" s="742">
        <f>IF(B1692="TXO",I1692-SUM(J1692:K1692),IF(B1692="FITX",IF(D1692="新倉",-SUM(J1692:K1692),IF(E1692="賣",(H1692-H1691)*G1692*200-SUM(J1692:K1692),(H1691-H1692)*G1692*200-SUM(J1692:K1692))),IF(D1692="新倉",-SUM(J1692:K1692),IF(E1692="賣",(H1692-H1691)*G1692*50-SUM(J1692:K1692),(H1691-H1692)*G1692*50-SUM(J1692:K1692)))))</f>
        <v/>
      </c>
      <c r="M1692" s="743">
        <f>L1692</f>
        <v/>
      </c>
      <c r="N1692" s="686">
        <f>IF(B1692="TXO","",IF(D1692="新倉","",IF(E1692="賣",(H1692-H1691)*G1692,(H1691-H1692)*G1692)))</f>
        <v/>
      </c>
      <c r="O1692" s="226" t="n">
        <v>0</v>
      </c>
      <c r="P1692" s="667" t="n"/>
      <c r="Q1692" s="249" t="inlineStr">
        <is>
          <t>技法: 刺補</t>
        </is>
      </c>
      <c r="R1692" s="249" t="inlineStr">
        <is>
          <t>Yes</t>
        </is>
      </c>
      <c r="S1692" s="249" t="n"/>
      <c r="T1692" s="61">
        <f>IF(AND(R1692="Yes",S1692&lt;&gt;"Yes",L1692&gt;0,B1692&lt;&gt;"TXO"),L1692,"")</f>
        <v/>
      </c>
      <c r="U1692" s="61">
        <f>IF(AND(R1692="Yes",S1692&lt;&gt;"Yes",L1692&lt;0,B1692&lt;&gt;"TXO"),L1692,"")</f>
        <v/>
      </c>
      <c r="V1692" s="61">
        <f>IF(AND(R1692="",S1692&lt;&gt;"Yes",L1692&gt;0,B1692&lt;&gt;"TXO"),L1692,"")</f>
        <v/>
      </c>
      <c r="W1692" s="61">
        <f>IF(AND(R1692="",S1692&lt;&gt;"Yes",L1692&lt;0,B1692&lt;&gt;"TXO"),L1692,"")</f>
        <v/>
      </c>
      <c r="X1692" s="226">
        <f>IF(AND(R1692="Yes",S1692="Yes",L1692&gt;0,B1692&lt;&gt;"TXO"),L1692,"")</f>
        <v/>
      </c>
      <c r="Y1692" s="226">
        <f>IF(AND(R1692="Yes",S1692="Yes",L1692&lt;0,B1692&lt;&gt;"TXO"),L1692,"")</f>
        <v/>
      </c>
      <c r="Z1692" s="226">
        <f>IF(AND(R1692="",S1692="Yes",L1692&gt;0,B1692&lt;&gt;"TXO"),L1692,"")</f>
        <v/>
      </c>
      <c r="AA1692" s="226">
        <f>IF(AND(R1692="",S1692="Yes",L1692&lt;0,B1692&lt;&gt;"TXO"),L1692,"")</f>
        <v/>
      </c>
    </row>
    <row r="1693" hidden="1" outlineLevel="2" collapsed="1" ht="17.25" customHeight="1" thickBot="1">
      <c r="A1693" s="740" t="n">
        <v>43427</v>
      </c>
      <c r="B1693" s="299" t="inlineStr">
        <is>
          <t>FIMTX</t>
        </is>
      </c>
      <c r="C1693" s="300" t="inlineStr">
        <is>
          <t>小指12</t>
        </is>
      </c>
      <c r="D1693" s="300" t="inlineStr">
        <is>
          <t>新倉</t>
        </is>
      </c>
      <c r="E1693" s="301" t="inlineStr">
        <is>
          <t>賣</t>
        </is>
      </c>
      <c r="F1693" s="300" t="inlineStr">
        <is>
          <t>-</t>
        </is>
      </c>
      <c r="G1693" s="741" t="n">
        <v>1</v>
      </c>
      <c r="H1693" s="741" t="n">
        <v>9702</v>
      </c>
      <c r="I1693" s="741" t="n">
        <v>0</v>
      </c>
      <c r="J1693" s="742" t="n">
        <v>23</v>
      </c>
      <c r="K1693" s="742" t="n">
        <v>10</v>
      </c>
      <c r="L1693" s="742">
        <f>IF(B1693="TXO",I1693-SUM(J1693:K1693),IF(B1693="FITX",IF(D1693="新倉",-SUM(J1693:K1693),IF(E1693="賣",(H1693-H1692)*G1693*200-SUM(J1693:K1693),(H1692-H1693)*G1693*200-SUM(J1693:K1693))),IF(D1693="新倉",-SUM(J1693:K1693),IF(E1693="賣",(H1693-H1692)*G1693*50-SUM(J1693:K1693),(H1692-H1693)*G1693*50-SUM(J1693:K1693)))))</f>
        <v/>
      </c>
      <c r="M1693" s="743">
        <f>L1693</f>
        <v/>
      </c>
      <c r="N1693" s="686">
        <f>IF(B1693="TXO","",IF(D1693="新倉","",IF(E1693="賣",(H1693-H1692)*G1693,(H1692-H1693)*G1693)))</f>
        <v/>
      </c>
      <c r="O1693" s="226" t="n">
        <v>0</v>
      </c>
      <c r="P1693" s="667" t="n"/>
      <c r="R1693" s="249" t="inlineStr">
        <is>
          <t>Yes</t>
        </is>
      </c>
      <c r="S1693" s="249" t="n"/>
      <c r="T1693" s="61">
        <f>IF(AND(R1693="Yes",S1693&lt;&gt;"Yes",L1693&gt;0,B1693&lt;&gt;"TXO"),L1693,"")</f>
        <v/>
      </c>
      <c r="U1693" s="61">
        <f>IF(AND(R1693="Yes",S1693&lt;&gt;"Yes",L1693&lt;0,B1693&lt;&gt;"TXO"),L1693,"")</f>
        <v/>
      </c>
      <c r="V1693" s="61">
        <f>IF(AND(R1693="",S1693&lt;&gt;"Yes",L1693&gt;0,B1693&lt;&gt;"TXO"),L1693,"")</f>
        <v/>
      </c>
      <c r="W1693" s="61">
        <f>IF(AND(R1693="",S1693&lt;&gt;"Yes",L1693&lt;0,B1693&lt;&gt;"TXO"),L1693,"")</f>
        <v/>
      </c>
      <c r="X1693" s="226">
        <f>IF(AND(R1693="Yes",S1693="Yes",L1693&gt;0,B1693&lt;&gt;"TXO"),L1693,"")</f>
        <v/>
      </c>
      <c r="Y1693" s="226">
        <f>IF(AND(R1693="Yes",S1693="Yes",L1693&lt;0,B1693&lt;&gt;"TXO"),L1693,"")</f>
        <v/>
      </c>
      <c r="Z1693" s="226">
        <f>IF(AND(R1693="",S1693="Yes",L1693&gt;0,B1693&lt;&gt;"TXO"),L1693,"")</f>
        <v/>
      </c>
      <c r="AA1693" s="226">
        <f>IF(AND(R1693="",S1693="Yes",L1693&lt;0,B1693&lt;&gt;"TXO"),L1693,"")</f>
        <v/>
      </c>
    </row>
    <row r="1694" hidden="1" outlineLevel="2" collapsed="1" ht="17.25" customHeight="1" thickBot="1">
      <c r="A1694" s="740" t="n">
        <v>43427</v>
      </c>
      <c r="B1694" s="299" t="inlineStr">
        <is>
          <t>FIMTX</t>
        </is>
      </c>
      <c r="C1694" s="300" t="inlineStr">
        <is>
          <t>小指12</t>
        </is>
      </c>
      <c r="D1694" s="300" t="inlineStr">
        <is>
          <t>平倉</t>
        </is>
      </c>
      <c r="E1694" s="301" t="inlineStr">
        <is>
          <t>買</t>
        </is>
      </c>
      <c r="F1694" s="300" t="inlineStr">
        <is>
          <t>-</t>
        </is>
      </c>
      <c r="G1694" s="741" t="n">
        <v>1</v>
      </c>
      <c r="H1694" s="741" t="n">
        <v>9629</v>
      </c>
      <c r="I1694" s="741" t="n">
        <v>0</v>
      </c>
      <c r="J1694" s="742" t="n">
        <v>23</v>
      </c>
      <c r="K1694" s="742" t="n">
        <v>10</v>
      </c>
      <c r="L1694" s="742">
        <f>IF(B1694="TXO",I1694-SUM(J1694:K1694),IF(B1694="FITX",IF(D1694="新倉",-SUM(J1694:K1694),IF(E1694="賣",(H1694-H1693)*G1694*200-SUM(J1694:K1694),(H1693-H1694)*G1694*200-SUM(J1694:K1694))),IF(D1694="新倉",-SUM(J1694:K1694),IF(E1694="賣",(H1694-H1693)*G1694*50-SUM(J1694:K1694),(H1693-H1694)*G1694*50-SUM(J1694:K1694)))))</f>
        <v/>
      </c>
      <c r="M1694" s="743">
        <f>L1694</f>
        <v/>
      </c>
      <c r="N1694" s="686">
        <f>IF(B1694="TXO","",IF(D1694="新倉","",IF(E1694="賣",(H1694-H1693)*G1694,(H1693-H1694)*G1694)))</f>
        <v/>
      </c>
      <c r="O1694" s="226" t="n">
        <v>0</v>
      </c>
      <c r="P1694" s="667" t="n"/>
      <c r="Q1694" s="249" t="inlineStr">
        <is>
          <t>技法: 移動式停利</t>
        </is>
      </c>
      <c r="R1694" s="249" t="inlineStr">
        <is>
          <t>Yes</t>
        </is>
      </c>
      <c r="S1694" s="249" t="n"/>
      <c r="T1694" s="61">
        <f>IF(AND(R1694="Yes",S1694&lt;&gt;"Yes",L1694&gt;0,B1694&lt;&gt;"TXO"),L1694,"")</f>
        <v/>
      </c>
      <c r="U1694" s="61">
        <f>IF(AND(R1694="Yes",S1694&lt;&gt;"Yes",L1694&lt;0,B1694&lt;&gt;"TXO"),L1694,"")</f>
        <v/>
      </c>
      <c r="V1694" s="61">
        <f>IF(AND(R1694="",S1694&lt;&gt;"Yes",L1694&gt;0,B1694&lt;&gt;"TXO"),L1694,"")</f>
        <v/>
      </c>
      <c r="W1694" s="61">
        <f>IF(AND(R1694="",S1694&lt;&gt;"Yes",L1694&lt;0,B1694&lt;&gt;"TXO"),L1694,"")</f>
        <v/>
      </c>
      <c r="X1694" s="226">
        <f>IF(AND(R1694="Yes",S1694="Yes",L1694&gt;0,B1694&lt;&gt;"TXO"),L1694,"")</f>
        <v/>
      </c>
      <c r="Y1694" s="226">
        <f>IF(AND(R1694="Yes",S1694="Yes",L1694&lt;0,B1694&lt;&gt;"TXO"),L1694,"")</f>
        <v/>
      </c>
      <c r="Z1694" s="226">
        <f>IF(AND(R1694="",S1694="Yes",L1694&gt;0,B1694&lt;&gt;"TXO"),L1694,"")</f>
        <v/>
      </c>
      <c r="AA1694" s="226">
        <f>IF(AND(R1694="",S1694="Yes",L1694&lt;0,B1694&lt;&gt;"TXO"),L1694,"")</f>
        <v/>
      </c>
    </row>
    <row r="1695" hidden="1" outlineLevel="2" collapsed="1" ht="17.25" customHeight="1" thickBot="1">
      <c r="A1695" s="740" t="n">
        <v>43427</v>
      </c>
      <c r="B1695" s="299" t="inlineStr">
        <is>
          <t>TXO</t>
        </is>
      </c>
      <c r="C1695" s="300" t="inlineStr">
        <is>
          <t>台選W4 11 9450 P</t>
        </is>
      </c>
      <c r="D1695" s="300" t="inlineStr">
        <is>
          <t>新倉</t>
        </is>
      </c>
      <c r="E1695" s="301" t="inlineStr">
        <is>
          <t>買</t>
        </is>
      </c>
      <c r="F1695" s="300" t="inlineStr">
        <is>
          <t>-</t>
        </is>
      </c>
      <c r="G1695" s="741" t="n">
        <v>1</v>
      </c>
      <c r="H1695" s="741" t="n">
        <v>25</v>
      </c>
      <c r="I1695" s="741" t="n">
        <v>-1250</v>
      </c>
      <c r="J1695" s="742" t="n">
        <v>18</v>
      </c>
      <c r="K1695" s="742" t="n">
        <v>1</v>
      </c>
      <c r="L1695" s="742">
        <f>IF(B1695="TXO",I1695-SUM(J1695:K1695),IF(B1695="FITX",IF(D1695="新倉",-SUM(J1695:K1695),IF(E1695="賣",(H1695-H1694)*G1695*200-SUM(J1695:K1695),(H1694-H1695)*G1695*200-SUM(J1695:K1695))),IF(D1695="新倉",-SUM(J1695:K1695),IF(E1695="賣",(H1695-H1694)*G1695*50-SUM(J1695:K1695),(H1694-H1695)*G1695*50-SUM(J1695:K1695)))))</f>
        <v/>
      </c>
      <c r="M1695" s="743">
        <f>L1695</f>
        <v/>
      </c>
      <c r="N1695" s="686">
        <f>IF(B1695="TXO","",IF(D1695="新倉","",IF(E1695="賣",(H1695-H1694)*G1695,(H1694-H1695)*G1695)))</f>
        <v/>
      </c>
      <c r="O1695" s="226" t="n">
        <v>0</v>
      </c>
      <c r="P1695" s="667">
        <f>SUM(L1695:L1703)</f>
        <v/>
      </c>
      <c r="Q1695" s="315" t="n"/>
      <c r="S1695" s="249" t="n"/>
      <c r="T1695" s="61">
        <f>IF(AND(R1695="Yes",S1695&lt;&gt;"Yes",L1695&gt;0,B1695&lt;&gt;"TXO"),L1695,"")</f>
        <v/>
      </c>
      <c r="U1695" s="61">
        <f>IF(AND(R1695="Yes",S1695&lt;&gt;"Yes",L1695&lt;0,B1695&lt;&gt;"TXO"),L1695,"")</f>
        <v/>
      </c>
      <c r="V1695" s="61">
        <f>IF(AND(R1695="",S1695&lt;&gt;"Yes",L1695&gt;0,B1695&lt;&gt;"TXO"),L1695,"")</f>
        <v/>
      </c>
      <c r="W1695" s="61">
        <f>IF(AND(R1695="",S1695&lt;&gt;"Yes",L1695&lt;0,B1695&lt;&gt;"TXO"),L1695,"")</f>
        <v/>
      </c>
      <c r="X1695" s="226">
        <f>IF(AND(R1695="Yes",S1695="Yes",L1695&gt;0,B1695&lt;&gt;"TXO"),L1695,"")</f>
        <v/>
      </c>
      <c r="Y1695" s="226">
        <f>IF(AND(R1695="Yes",S1695="Yes",L1695&lt;0,B1695&lt;&gt;"TXO"),L1695,"")</f>
        <v/>
      </c>
      <c r="Z1695" s="226">
        <f>IF(AND(R1695="",S1695="Yes",L1695&gt;0,B1695&lt;&gt;"TXO"),L1695,"")</f>
        <v/>
      </c>
      <c r="AA1695" s="226">
        <f>IF(AND(R1695="",S1695="Yes",L1695&lt;0,B1695&lt;&gt;"TXO"),L1695,"")</f>
        <v/>
      </c>
    </row>
    <row r="1696" hidden="1" outlineLevel="2" collapsed="1" ht="17.25" customHeight="1" thickBot="1">
      <c r="A1696" s="740" t="n">
        <v>43427</v>
      </c>
      <c r="B1696" s="299" t="inlineStr">
        <is>
          <t>TXO</t>
        </is>
      </c>
      <c r="C1696" s="300" t="inlineStr">
        <is>
          <t>台選W4 11 9400 P</t>
        </is>
      </c>
      <c r="D1696" s="300" t="inlineStr">
        <is>
          <t>新倉</t>
        </is>
      </c>
      <c r="E1696" s="301" t="inlineStr">
        <is>
          <t>買</t>
        </is>
      </c>
      <c r="F1696" s="300" t="inlineStr">
        <is>
          <t>-</t>
        </is>
      </c>
      <c r="G1696" s="741" t="n">
        <v>1</v>
      </c>
      <c r="H1696" s="741" t="n">
        <v>28.5</v>
      </c>
      <c r="I1696" s="741" t="n">
        <v>-1425</v>
      </c>
      <c r="J1696" s="742" t="n">
        <v>18</v>
      </c>
      <c r="K1696" s="742" t="n">
        <v>1</v>
      </c>
      <c r="L1696" s="742">
        <f>IF(B1696="TXO",I1696-SUM(J1696:K1696),IF(B1696="FITX",IF(D1696="新倉",-SUM(J1696:K1696),IF(E1696="賣",(H1696-H1695)*G1696*200-SUM(J1696:K1696),(H1695-H1696)*G1696*200-SUM(J1696:K1696))),IF(D1696="新倉",-SUM(J1696:K1696),IF(E1696="賣",(H1696-H1695)*G1696*50-SUM(J1696:K1696),(H1695-H1696)*G1696*50-SUM(J1696:K1696)))))</f>
        <v/>
      </c>
      <c r="M1696" s="743">
        <f>L1696</f>
        <v/>
      </c>
      <c r="N1696" s="686">
        <f>IF(B1696="TXO","",IF(D1696="新倉","",IF(E1696="賣",(H1696-H1695)*G1696,(H1695-H1696)*G1696)))</f>
        <v/>
      </c>
      <c r="O1696" s="226" t="n">
        <v>0</v>
      </c>
      <c r="P1696" s="667" t="n"/>
      <c r="Q1696" s="297" t="n"/>
      <c r="S1696" s="249" t="n"/>
      <c r="T1696" s="61">
        <f>IF(AND(R1696="Yes",S1696&lt;&gt;"Yes",L1696&gt;0,B1696&lt;&gt;"TXO"),L1696,"")</f>
        <v/>
      </c>
      <c r="U1696" s="61">
        <f>IF(AND(R1696="Yes",S1696&lt;&gt;"Yes",L1696&lt;0,B1696&lt;&gt;"TXO"),L1696,"")</f>
        <v/>
      </c>
      <c r="V1696" s="61">
        <f>IF(AND(R1696="",S1696&lt;&gt;"Yes",L1696&gt;0,B1696&lt;&gt;"TXO"),L1696,"")</f>
        <v/>
      </c>
      <c r="W1696" s="61">
        <f>IF(AND(R1696="",S1696&lt;&gt;"Yes",L1696&lt;0,B1696&lt;&gt;"TXO"),L1696,"")</f>
        <v/>
      </c>
      <c r="X1696" s="226">
        <f>IF(AND(R1696="Yes",S1696="Yes",L1696&gt;0,B1696&lt;&gt;"TXO"),L1696,"")</f>
        <v/>
      </c>
      <c r="Y1696" s="226">
        <f>IF(AND(R1696="Yes",S1696="Yes",L1696&lt;0,B1696&lt;&gt;"TXO"),L1696,"")</f>
        <v/>
      </c>
      <c r="Z1696" s="226">
        <f>IF(AND(R1696="",S1696="Yes",L1696&gt;0,B1696&lt;&gt;"TXO"),L1696,"")</f>
        <v/>
      </c>
      <c r="AA1696" s="226">
        <f>IF(AND(R1696="",S1696="Yes",L1696&lt;0,B1696&lt;&gt;"TXO"),L1696,"")</f>
        <v/>
      </c>
    </row>
    <row r="1697" hidden="1" outlineLevel="2" collapsed="1" ht="17.25" customHeight="1" thickBot="1">
      <c r="A1697" s="740" t="n">
        <v>43427</v>
      </c>
      <c r="B1697" s="299" t="inlineStr">
        <is>
          <t>TXO</t>
        </is>
      </c>
      <c r="C1697" s="300" t="inlineStr">
        <is>
          <t>台選W4 11 9450 P</t>
        </is>
      </c>
      <c r="D1697" s="300" t="inlineStr">
        <is>
          <t>新倉</t>
        </is>
      </c>
      <c r="E1697" s="301" t="inlineStr">
        <is>
          <t>買</t>
        </is>
      </c>
      <c r="F1697" s="300" t="inlineStr">
        <is>
          <t>-</t>
        </is>
      </c>
      <c r="G1697" s="741" t="n">
        <v>1</v>
      </c>
      <c r="H1697" s="741" t="n">
        <v>36</v>
      </c>
      <c r="I1697" s="741" t="n">
        <v>-1800</v>
      </c>
      <c r="J1697" s="742" t="n">
        <v>18</v>
      </c>
      <c r="K1697" s="742" t="n">
        <v>2</v>
      </c>
      <c r="L1697" s="742">
        <f>IF(B1697="TXO",I1697-SUM(J1697:K1697),IF(B1697="FITX",IF(D1697="新倉",-SUM(J1697:K1697),IF(E1697="賣",(H1697-H1696)*G1697*200-SUM(J1697:K1697),(H1696-H1697)*G1697*200-SUM(J1697:K1697))),IF(D1697="新倉",-SUM(J1697:K1697),IF(E1697="賣",(H1697-H1696)*G1697*50-SUM(J1697:K1697),(H1696-H1697)*G1697*50-SUM(J1697:K1697)))))</f>
        <v/>
      </c>
      <c r="M1697" s="743">
        <f>L1697</f>
        <v/>
      </c>
      <c r="N1697" s="686">
        <f>IF(B1697="TXO","",IF(D1697="新倉","",IF(E1697="賣",(H1697-H1696)*G1697,(H1696-H1697)*G1697)))</f>
        <v/>
      </c>
      <c r="O1697" s="226" t="n">
        <v>0</v>
      </c>
      <c r="P1697" s="667" t="n"/>
      <c r="S1697" s="249" t="n"/>
      <c r="T1697" s="61">
        <f>IF(AND(R1697="Yes",S1697&lt;&gt;"Yes",L1697&gt;0,B1697&lt;&gt;"TXO"),L1697,"")</f>
        <v/>
      </c>
      <c r="U1697" s="61">
        <f>IF(AND(R1697="Yes",S1697&lt;&gt;"Yes",L1697&lt;0,B1697&lt;&gt;"TXO"),L1697,"")</f>
        <v/>
      </c>
      <c r="V1697" s="61">
        <f>IF(AND(R1697="",S1697&lt;&gt;"Yes",L1697&gt;0,B1697&lt;&gt;"TXO"),L1697,"")</f>
        <v/>
      </c>
      <c r="W1697" s="61">
        <f>IF(AND(R1697="",S1697&lt;&gt;"Yes",L1697&lt;0,B1697&lt;&gt;"TXO"),L1697,"")</f>
        <v/>
      </c>
      <c r="X1697" s="226">
        <f>IF(AND(R1697="Yes",S1697="Yes",L1697&gt;0,B1697&lt;&gt;"TXO"),L1697,"")</f>
        <v/>
      </c>
      <c r="Y1697" s="226">
        <f>IF(AND(R1697="Yes",S1697="Yes",L1697&lt;0,B1697&lt;&gt;"TXO"),L1697,"")</f>
        <v/>
      </c>
      <c r="Z1697" s="226">
        <f>IF(AND(R1697="",S1697="Yes",L1697&gt;0,B1697&lt;&gt;"TXO"),L1697,"")</f>
        <v/>
      </c>
      <c r="AA1697" s="226">
        <f>IF(AND(R1697="",S1697="Yes",L1697&lt;0,B1697&lt;&gt;"TXO"),L1697,"")</f>
        <v/>
      </c>
    </row>
    <row r="1698" hidden="1" outlineLevel="2" collapsed="1" ht="17.25" customHeight="1" thickBot="1">
      <c r="A1698" s="740" t="n">
        <v>43427</v>
      </c>
      <c r="B1698" s="299" t="inlineStr">
        <is>
          <t>TXO</t>
        </is>
      </c>
      <c r="C1698" s="300" t="inlineStr">
        <is>
          <t>台選W4 11 9500 P</t>
        </is>
      </c>
      <c r="D1698" s="300" t="inlineStr">
        <is>
          <t>新倉</t>
        </is>
      </c>
      <c r="E1698" s="301" t="inlineStr">
        <is>
          <t>買</t>
        </is>
      </c>
      <c r="F1698" s="300" t="inlineStr">
        <is>
          <t>-</t>
        </is>
      </c>
      <c r="G1698" s="741" t="n">
        <v>1</v>
      </c>
      <c r="H1698" s="741" t="n">
        <v>44.5</v>
      </c>
      <c r="I1698" s="741" t="n">
        <v>-2225</v>
      </c>
      <c r="J1698" s="742" t="n">
        <v>18</v>
      </c>
      <c r="K1698" s="742" t="n">
        <v>2</v>
      </c>
      <c r="L1698" s="742">
        <f>IF(B1698="TXO",I1698-SUM(J1698:K1698),IF(B1698="FITX",IF(D1698="新倉",-SUM(J1698:K1698),IF(E1698="賣",(H1698-H1697)*G1698*200-SUM(J1698:K1698),(H1697-H1698)*G1698*200-SUM(J1698:K1698))),IF(D1698="新倉",-SUM(J1698:K1698),IF(E1698="賣",(H1698-H1697)*G1698*50-SUM(J1698:K1698),(H1697-H1698)*G1698*50-SUM(J1698:K1698)))))</f>
        <v/>
      </c>
      <c r="M1698" s="743">
        <f>L1698</f>
        <v/>
      </c>
      <c r="N1698" s="686">
        <f>IF(B1698="TXO","",IF(D1698="新倉","",IF(E1698="賣",(H1698-H1697)*G1698,(H1697-H1698)*G1698)))</f>
        <v/>
      </c>
      <c r="O1698" s="226" t="n">
        <v>0</v>
      </c>
      <c r="P1698" s="667" t="n"/>
      <c r="Q1698" s="315" t="n"/>
      <c r="S1698" s="249" t="n"/>
      <c r="T1698" s="61">
        <f>IF(AND(R1698="Yes",S1698&lt;&gt;"Yes",L1698&gt;0,B1698&lt;&gt;"TXO"),L1698,"")</f>
        <v/>
      </c>
      <c r="U1698" s="61">
        <f>IF(AND(R1698="Yes",S1698&lt;&gt;"Yes",L1698&lt;0,B1698&lt;&gt;"TXO"),L1698,"")</f>
        <v/>
      </c>
      <c r="V1698" s="61">
        <f>IF(AND(R1698="",S1698&lt;&gt;"Yes",L1698&gt;0,B1698&lt;&gt;"TXO"),L1698,"")</f>
        <v/>
      </c>
      <c r="W1698" s="61">
        <f>IF(AND(R1698="",S1698&lt;&gt;"Yes",L1698&lt;0,B1698&lt;&gt;"TXO"),L1698,"")</f>
        <v/>
      </c>
      <c r="X1698" s="226">
        <f>IF(AND(R1698="Yes",S1698="Yes",L1698&gt;0,B1698&lt;&gt;"TXO"),L1698,"")</f>
        <v/>
      </c>
      <c r="Y1698" s="226">
        <f>IF(AND(R1698="Yes",S1698="Yes",L1698&lt;0,B1698&lt;&gt;"TXO"),L1698,"")</f>
        <v/>
      </c>
      <c r="Z1698" s="226">
        <f>IF(AND(R1698="",S1698="Yes",L1698&gt;0,B1698&lt;&gt;"TXO"),L1698,"")</f>
        <v/>
      </c>
      <c r="AA1698" s="226">
        <f>IF(AND(R1698="",S1698="Yes",L1698&lt;0,B1698&lt;&gt;"TXO"),L1698,"")</f>
        <v/>
      </c>
    </row>
    <row r="1699" hidden="1" outlineLevel="2" collapsed="1" ht="17.25" customHeight="1" thickBot="1">
      <c r="A1699" s="740" t="n">
        <v>43427</v>
      </c>
      <c r="B1699" s="299" t="inlineStr">
        <is>
          <t>TXO</t>
        </is>
      </c>
      <c r="C1699" s="300" t="inlineStr">
        <is>
          <t>台選W4 11 9300 P</t>
        </is>
      </c>
      <c r="D1699" s="300" t="inlineStr">
        <is>
          <t>新倉</t>
        </is>
      </c>
      <c r="E1699" s="301" t="inlineStr">
        <is>
          <t>買</t>
        </is>
      </c>
      <c r="F1699" s="300" t="inlineStr">
        <is>
          <t>-</t>
        </is>
      </c>
      <c r="G1699" s="741" t="n">
        <v>1</v>
      </c>
      <c r="H1699" s="741" t="n">
        <v>18.5</v>
      </c>
      <c r="I1699" s="741" t="n">
        <v>-925</v>
      </c>
      <c r="J1699" s="742" t="n">
        <v>18</v>
      </c>
      <c r="K1699" s="742" t="n">
        <v>1</v>
      </c>
      <c r="L1699" s="742">
        <f>IF(B1699="TXO",I1699-SUM(J1699:K1699),IF(B1699="FITX",IF(D1699="新倉",-SUM(J1699:K1699),IF(E1699="賣",(H1699-H1698)*G1699*200-SUM(J1699:K1699),(H1698-H1699)*G1699*200-SUM(J1699:K1699))),IF(D1699="新倉",-SUM(J1699:K1699),IF(E1699="賣",(H1699-H1698)*G1699*50-SUM(J1699:K1699),(H1698-H1699)*G1699*50-SUM(J1699:K1699)))))</f>
        <v/>
      </c>
      <c r="M1699" s="743">
        <f>L1699</f>
        <v/>
      </c>
      <c r="N1699" s="686">
        <f>IF(B1699="TXO","",IF(D1699="新倉","",IF(E1699="賣",(H1699-H1698)*G1699,(H1698-H1699)*G1699)))</f>
        <v/>
      </c>
      <c r="O1699" s="226" t="n">
        <v>0</v>
      </c>
      <c r="P1699" s="667" t="n"/>
      <c r="Q1699" s="315" t="n"/>
      <c r="S1699" s="249" t="n"/>
      <c r="T1699" s="61">
        <f>IF(AND(R1699="Yes",S1699&lt;&gt;"Yes",L1699&gt;0,B1699&lt;&gt;"TXO"),L1699,"")</f>
        <v/>
      </c>
      <c r="U1699" s="61">
        <f>IF(AND(R1699="Yes",S1699&lt;&gt;"Yes",L1699&lt;0,B1699&lt;&gt;"TXO"),L1699,"")</f>
        <v/>
      </c>
      <c r="V1699" s="61">
        <f>IF(AND(R1699="",S1699&lt;&gt;"Yes",L1699&gt;0,B1699&lt;&gt;"TXO"),L1699,"")</f>
        <v/>
      </c>
      <c r="W1699" s="61">
        <f>IF(AND(R1699="",S1699&lt;&gt;"Yes",L1699&lt;0,B1699&lt;&gt;"TXO"),L1699,"")</f>
        <v/>
      </c>
      <c r="X1699" s="226">
        <f>IF(AND(R1699="Yes",S1699="Yes",L1699&gt;0,B1699&lt;&gt;"TXO"),L1699,"")</f>
        <v/>
      </c>
      <c r="Y1699" s="226">
        <f>IF(AND(R1699="Yes",S1699="Yes",L1699&lt;0,B1699&lt;&gt;"TXO"),L1699,"")</f>
        <v/>
      </c>
      <c r="Z1699" s="226">
        <f>IF(AND(R1699="",S1699="Yes",L1699&gt;0,B1699&lt;&gt;"TXO"),L1699,"")</f>
        <v/>
      </c>
      <c r="AA1699" s="226">
        <f>IF(AND(R1699="",S1699="Yes",L1699&lt;0,B1699&lt;&gt;"TXO"),L1699,"")</f>
        <v/>
      </c>
    </row>
    <row r="1700" hidden="1" outlineLevel="2" collapsed="1" ht="17.25" customHeight="1" thickBot="1">
      <c r="A1700" s="740" t="n">
        <v>43427</v>
      </c>
      <c r="B1700" s="299" t="inlineStr">
        <is>
          <t>TXO</t>
        </is>
      </c>
      <c r="C1700" s="300" t="inlineStr">
        <is>
          <t>台選W4 11 9550 P</t>
        </is>
      </c>
      <c r="D1700" s="300" t="inlineStr">
        <is>
          <t>新倉</t>
        </is>
      </c>
      <c r="E1700" s="301" t="inlineStr">
        <is>
          <t>買</t>
        </is>
      </c>
      <c r="F1700" s="300" t="inlineStr">
        <is>
          <t>-</t>
        </is>
      </c>
      <c r="G1700" s="741" t="n">
        <v>1</v>
      </c>
      <c r="H1700" s="741" t="n">
        <v>58</v>
      </c>
      <c r="I1700" s="741" t="n">
        <v>-2900</v>
      </c>
      <c r="J1700" s="742" t="n">
        <v>18</v>
      </c>
      <c r="K1700" s="742" t="n">
        <v>3</v>
      </c>
      <c r="L1700" s="742">
        <f>IF(B1700="TXO",I1700-SUM(J1700:K1700),IF(B1700="FITX",IF(D1700="新倉",-SUM(J1700:K1700),IF(E1700="賣",(H1700-H1699)*G1700*200-SUM(J1700:K1700),(H1699-H1700)*G1700*200-SUM(J1700:K1700))),IF(D1700="新倉",-SUM(J1700:K1700),IF(E1700="賣",(H1700-H1699)*G1700*50-SUM(J1700:K1700),(H1699-H1700)*G1700*50-SUM(J1700:K1700)))))</f>
        <v/>
      </c>
      <c r="M1700" s="743">
        <f>L1700</f>
        <v/>
      </c>
      <c r="N1700" s="686">
        <f>IF(B1700="TXO","",IF(D1700="新倉","",IF(E1700="賣",(H1700-H1699)*G1700,(H1699-H1700)*G1700)))</f>
        <v/>
      </c>
      <c r="O1700" s="226" t="n">
        <v>0</v>
      </c>
      <c r="P1700" s="667" t="n"/>
      <c r="Q1700" s="297" t="n"/>
      <c r="S1700" s="249" t="n"/>
      <c r="T1700" s="61">
        <f>IF(AND(R1700="Yes",S1700&lt;&gt;"Yes",L1700&gt;0,B1700&lt;&gt;"TXO"),L1700,"")</f>
        <v/>
      </c>
      <c r="U1700" s="61">
        <f>IF(AND(R1700="Yes",S1700&lt;&gt;"Yes",L1700&lt;0,B1700&lt;&gt;"TXO"),L1700,"")</f>
        <v/>
      </c>
      <c r="V1700" s="61">
        <f>IF(AND(R1700="",S1700&lt;&gt;"Yes",L1700&gt;0,B1700&lt;&gt;"TXO"),L1700,"")</f>
        <v/>
      </c>
      <c r="W1700" s="61">
        <f>IF(AND(R1700="",S1700&lt;&gt;"Yes",L1700&lt;0,B1700&lt;&gt;"TXO"),L1700,"")</f>
        <v/>
      </c>
      <c r="X1700" s="226">
        <f>IF(AND(R1700="Yes",S1700="Yes",L1700&gt;0,B1700&lt;&gt;"TXO"),L1700,"")</f>
        <v/>
      </c>
      <c r="Y1700" s="226">
        <f>IF(AND(R1700="Yes",S1700="Yes",L1700&lt;0,B1700&lt;&gt;"TXO"),L1700,"")</f>
        <v/>
      </c>
      <c r="Z1700" s="226">
        <f>IF(AND(R1700="",S1700="Yes",L1700&gt;0,B1700&lt;&gt;"TXO"),L1700,"")</f>
        <v/>
      </c>
      <c r="AA1700" s="226">
        <f>IF(AND(R1700="",S1700="Yes",L1700&lt;0,B1700&lt;&gt;"TXO"),L1700,"")</f>
        <v/>
      </c>
    </row>
    <row r="1701" hidden="1" outlineLevel="2" collapsed="1" ht="17.25" customHeight="1" thickBot="1">
      <c r="A1701" s="740" t="n">
        <v>43427</v>
      </c>
      <c r="B1701" s="299" t="inlineStr">
        <is>
          <t>TXO</t>
        </is>
      </c>
      <c r="C1701" s="300" t="inlineStr">
        <is>
          <t>台選W4 11 9600 P</t>
        </is>
      </c>
      <c r="D1701" s="300" t="inlineStr">
        <is>
          <t>新倉</t>
        </is>
      </c>
      <c r="E1701" s="301" t="inlineStr">
        <is>
          <t>買</t>
        </is>
      </c>
      <c r="F1701" s="300" t="inlineStr">
        <is>
          <t>-</t>
        </is>
      </c>
      <c r="G1701" s="741" t="n">
        <v>1</v>
      </c>
      <c r="H1701" s="741" t="n">
        <v>60</v>
      </c>
      <c r="I1701" s="741" t="n">
        <v>-3000</v>
      </c>
      <c r="J1701" s="742" t="n">
        <v>18</v>
      </c>
      <c r="K1701" s="742" t="n">
        <v>3</v>
      </c>
      <c r="L1701" s="742">
        <f>IF(B1701="TXO",I1701-SUM(J1701:K1701),IF(B1701="FITX",IF(D1701="新倉",-SUM(J1701:K1701),IF(E1701="賣",(H1701-H1700)*G1701*200-SUM(J1701:K1701),(H1700-H1701)*G1701*200-SUM(J1701:K1701))),IF(D1701="新倉",-SUM(J1701:K1701),IF(E1701="賣",(H1701-H1700)*G1701*50-SUM(J1701:K1701),(H1700-H1701)*G1701*50-SUM(J1701:K1701)))))</f>
        <v/>
      </c>
      <c r="M1701" s="743">
        <f>L1701</f>
        <v/>
      </c>
      <c r="N1701" s="686">
        <f>IF(B1701="TXO","",IF(D1701="新倉","",IF(E1701="賣",(H1701-H1700)*G1701,(H1700-H1701)*G1701)))</f>
        <v/>
      </c>
      <c r="O1701" s="226" t="n">
        <v>0</v>
      </c>
      <c r="P1701" s="667" t="n"/>
      <c r="Q1701" s="315" t="n"/>
      <c r="S1701" s="249" t="n"/>
      <c r="T1701" s="61">
        <f>IF(AND(R1701="Yes",S1701&lt;&gt;"Yes",L1701&gt;0,B1701&lt;&gt;"TXO"),L1701,"")</f>
        <v/>
      </c>
      <c r="U1701" s="61">
        <f>IF(AND(R1701="Yes",S1701&lt;&gt;"Yes",L1701&lt;0,B1701&lt;&gt;"TXO"),L1701,"")</f>
        <v/>
      </c>
      <c r="V1701" s="61">
        <f>IF(AND(R1701="",S1701&lt;&gt;"Yes",L1701&gt;0,B1701&lt;&gt;"TXO"),L1701,"")</f>
        <v/>
      </c>
      <c r="W1701" s="61">
        <f>IF(AND(R1701="",S1701&lt;&gt;"Yes",L1701&lt;0,B1701&lt;&gt;"TXO"),L1701,"")</f>
        <v/>
      </c>
      <c r="X1701" s="226">
        <f>IF(AND(R1701="Yes",S1701="Yes",L1701&gt;0,B1701&lt;&gt;"TXO"),L1701,"")</f>
        <v/>
      </c>
      <c r="Y1701" s="226">
        <f>IF(AND(R1701="Yes",S1701="Yes",L1701&lt;0,B1701&lt;&gt;"TXO"),L1701,"")</f>
        <v/>
      </c>
      <c r="Z1701" s="226">
        <f>IF(AND(R1701="",S1701="Yes",L1701&gt;0,B1701&lt;&gt;"TXO"),L1701,"")</f>
        <v/>
      </c>
      <c r="AA1701" s="226">
        <f>IF(AND(R1701="",S1701="Yes",L1701&lt;0,B1701&lt;&gt;"TXO"),L1701,"")</f>
        <v/>
      </c>
    </row>
    <row r="1702" hidden="1" outlineLevel="2" collapsed="1" ht="17.25" customHeight="1" thickBot="1">
      <c r="A1702" s="740" t="n">
        <v>43427</v>
      </c>
      <c r="B1702" s="299" t="inlineStr">
        <is>
          <t>TXO</t>
        </is>
      </c>
      <c r="C1702" s="300" t="inlineStr">
        <is>
          <t>台選W4 11 9500 P</t>
        </is>
      </c>
      <c r="D1702" s="300" t="inlineStr">
        <is>
          <t>新倉</t>
        </is>
      </c>
      <c r="E1702" s="301" t="inlineStr">
        <is>
          <t>買</t>
        </is>
      </c>
      <c r="F1702" s="300" t="inlineStr">
        <is>
          <t>-</t>
        </is>
      </c>
      <c r="G1702" s="741" t="n">
        <v>1</v>
      </c>
      <c r="H1702" s="741" t="n">
        <v>36</v>
      </c>
      <c r="I1702" s="741" t="n">
        <v>-1800</v>
      </c>
      <c r="J1702" s="742" t="n">
        <v>18</v>
      </c>
      <c r="K1702" s="742" t="n">
        <v>2</v>
      </c>
      <c r="L1702" s="742">
        <f>IF(B1702="TXO",I1702-SUM(J1702:K1702),IF(B1702="FITX",IF(D1702="新倉",-SUM(J1702:K1702),IF(E1702="賣",(H1702-H1701)*G1702*200-SUM(J1702:K1702),(H1701-H1702)*G1702*200-SUM(J1702:K1702))),IF(D1702="新倉",-SUM(J1702:K1702),IF(E1702="賣",(H1702-H1701)*G1702*50-SUM(J1702:K1702),(H1701-H1702)*G1702*50-SUM(J1702:K1702)))))</f>
        <v/>
      </c>
      <c r="M1702" s="743">
        <f>L1702</f>
        <v/>
      </c>
      <c r="N1702" s="686">
        <f>IF(B1702="TXO","",IF(D1702="新倉","",IF(E1702="賣",(H1702-H1701)*G1702,(H1701-H1702)*G1702)))</f>
        <v/>
      </c>
      <c r="O1702" s="226" t="n">
        <v>0</v>
      </c>
      <c r="P1702" s="667" t="n"/>
      <c r="Q1702" s="315" t="n"/>
      <c r="S1702" s="249" t="n"/>
      <c r="T1702" s="61">
        <f>IF(AND(R1702="Yes",S1702&lt;&gt;"Yes",L1702&gt;0,B1702&lt;&gt;"TXO"),L1702,"")</f>
        <v/>
      </c>
      <c r="U1702" s="61">
        <f>IF(AND(R1702="Yes",S1702&lt;&gt;"Yes",L1702&lt;0,B1702&lt;&gt;"TXO"),L1702,"")</f>
        <v/>
      </c>
      <c r="V1702" s="61">
        <f>IF(AND(R1702="",S1702&lt;&gt;"Yes",L1702&gt;0,B1702&lt;&gt;"TXO"),L1702,"")</f>
        <v/>
      </c>
      <c r="W1702" s="61">
        <f>IF(AND(R1702="",S1702&lt;&gt;"Yes",L1702&lt;0,B1702&lt;&gt;"TXO"),L1702,"")</f>
        <v/>
      </c>
      <c r="X1702" s="226">
        <f>IF(AND(R1702="Yes",S1702="Yes",L1702&gt;0,B1702&lt;&gt;"TXO"),L1702,"")</f>
        <v/>
      </c>
      <c r="Y1702" s="226">
        <f>IF(AND(R1702="Yes",S1702="Yes",L1702&lt;0,B1702&lt;&gt;"TXO"),L1702,"")</f>
        <v/>
      </c>
      <c r="Z1702" s="226">
        <f>IF(AND(R1702="",S1702="Yes",L1702&gt;0,B1702&lt;&gt;"TXO"),L1702,"")</f>
        <v/>
      </c>
      <c r="AA1702" s="226">
        <f>IF(AND(R1702="",S1702="Yes",L1702&lt;0,B1702&lt;&gt;"TXO"),L1702,"")</f>
        <v/>
      </c>
    </row>
    <row r="1703" hidden="1" outlineLevel="2" collapsed="1" ht="17.25" customHeight="1" thickBot="1">
      <c r="A1703" s="740" t="n">
        <v>43427</v>
      </c>
      <c r="B1703" s="299" t="inlineStr">
        <is>
          <t>TXO</t>
        </is>
      </c>
      <c r="C1703" s="300" t="inlineStr">
        <is>
          <t>台選W4 11 9300 P</t>
        </is>
      </c>
      <c r="D1703" s="300" t="inlineStr">
        <is>
          <t>新倉</t>
        </is>
      </c>
      <c r="E1703" s="301" t="inlineStr">
        <is>
          <t>買</t>
        </is>
      </c>
      <c r="F1703" s="300" t="inlineStr">
        <is>
          <t>-</t>
        </is>
      </c>
      <c r="G1703" s="741" t="n">
        <v>1</v>
      </c>
      <c r="H1703" s="741" t="n">
        <v>14.5</v>
      </c>
      <c r="I1703" s="741" t="n">
        <v>-725</v>
      </c>
      <c r="J1703" s="742" t="n">
        <v>18</v>
      </c>
      <c r="K1703" s="742" t="n">
        <v>1</v>
      </c>
      <c r="L1703" s="742">
        <f>IF(B1703="TXO",I1703-SUM(J1703:K1703),IF(B1703="FITX",IF(D1703="新倉",-SUM(J1703:K1703),IF(E1703="賣",(H1703-H1702)*G1703*200-SUM(J1703:K1703),(H1702-H1703)*G1703*200-SUM(J1703:K1703))),IF(D1703="新倉",-SUM(J1703:K1703),IF(E1703="賣",(H1703-H1702)*G1703*50-SUM(J1703:K1703),(H1702-H1703)*G1703*50-SUM(J1703:K1703)))))</f>
        <v/>
      </c>
      <c r="M1703" s="743">
        <f>L1703</f>
        <v/>
      </c>
      <c r="N1703" s="686">
        <f>IF(B1703="TXO","",IF(D1703="新倉","",IF(E1703="賣",(H1703-H1702)*G1703,(H1702-H1703)*G1703)))</f>
        <v/>
      </c>
      <c r="O1703" s="226" t="n">
        <v>0</v>
      </c>
      <c r="P1703" s="667" t="n"/>
      <c r="Q1703" s="297" t="n"/>
      <c r="S1703" s="249" t="n"/>
      <c r="T1703" s="61">
        <f>IF(AND(R1703="Yes",S1703&lt;&gt;"Yes",L1703&gt;0,B1703&lt;&gt;"TXO"),L1703,"")</f>
        <v/>
      </c>
      <c r="U1703" s="61">
        <f>IF(AND(R1703="Yes",S1703&lt;&gt;"Yes",L1703&lt;0,B1703&lt;&gt;"TXO"),L1703,"")</f>
        <v/>
      </c>
      <c r="V1703" s="61">
        <f>IF(AND(R1703="",S1703&lt;&gt;"Yes",L1703&gt;0,B1703&lt;&gt;"TXO"),L1703,"")</f>
        <v/>
      </c>
      <c r="W1703" s="61">
        <f>IF(AND(R1703="",S1703&lt;&gt;"Yes",L1703&lt;0,B1703&lt;&gt;"TXO"),L1703,"")</f>
        <v/>
      </c>
      <c r="X1703" s="226">
        <f>IF(AND(R1703="Yes",S1703="Yes",L1703&gt;0,B1703&lt;&gt;"TXO"),L1703,"")</f>
        <v/>
      </c>
      <c r="Y1703" s="226">
        <f>IF(AND(R1703="Yes",S1703="Yes",L1703&lt;0,B1703&lt;&gt;"TXO"),L1703,"")</f>
        <v/>
      </c>
      <c r="Z1703" s="226">
        <f>IF(AND(R1703="",S1703="Yes",L1703&gt;0,B1703&lt;&gt;"TXO"),L1703,"")</f>
        <v/>
      </c>
      <c r="AA1703" s="226">
        <f>IF(AND(R1703="",S1703="Yes",L1703&lt;0,B1703&lt;&gt;"TXO"),L1703,"")</f>
        <v/>
      </c>
    </row>
    <row r="1704" hidden="1" outlineLevel="1" ht="17.25" customHeight="1" thickBot="1">
      <c r="A1704" s="696" t="n">
        <v>43431</v>
      </c>
      <c r="B1704" s="234" t="inlineStr">
        <is>
          <t>FIMTX</t>
        </is>
      </c>
      <c r="C1704" s="229" t="inlineStr">
        <is>
          <t>小指12</t>
        </is>
      </c>
      <c r="D1704" s="229" t="inlineStr">
        <is>
          <t>新倉</t>
        </is>
      </c>
      <c r="E1704" s="257" t="inlineStr">
        <is>
          <t>買</t>
        </is>
      </c>
      <c r="F1704" s="229" t="inlineStr">
        <is>
          <t>-</t>
        </is>
      </c>
      <c r="G1704" s="697" t="n">
        <v>1</v>
      </c>
      <c r="H1704" s="697" t="n">
        <v>9740</v>
      </c>
      <c r="I1704" s="697" t="n">
        <v>0</v>
      </c>
      <c r="J1704" s="585" t="n">
        <v>23</v>
      </c>
      <c r="K1704" s="585" t="n">
        <v>10</v>
      </c>
      <c r="L1704" s="585">
        <f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/>
      </c>
      <c r="M1704" s="699">
        <f>L1704</f>
        <v/>
      </c>
      <c r="N1704" s="686">
        <f>IF(B1704="TXO","",IF(D1704="新倉","",IF(E1704="賣",(H1704-H1703)*G1704,(H1703-H1704)*G1704)))</f>
        <v/>
      </c>
      <c r="O1704" s="226" t="n">
        <v>0</v>
      </c>
      <c r="P1704" s="667">
        <f>SUM(L1704:L1707)</f>
        <v/>
      </c>
      <c r="Q1704" s="297" t="inlineStr">
        <is>
          <t>技法: 3/3 買進一口</t>
        </is>
      </c>
      <c r="R1704" s="249" t="inlineStr">
        <is>
          <t>Yes</t>
        </is>
      </c>
      <c r="S1704" s="249" t="inlineStr">
        <is>
          <t>Yes</t>
        </is>
      </c>
      <c r="T1704" s="61">
        <f>IF(AND(R1704="Yes",S1704&lt;&gt;"Yes",L1704&gt;0,B1704&lt;&gt;"TXO"),L1704,"")</f>
        <v/>
      </c>
      <c r="U1704" s="61">
        <f>IF(AND(R1704="Yes",S1704&lt;&gt;"Yes",L1704&lt;0,B1704&lt;&gt;"TXO"),L1704,"")</f>
        <v/>
      </c>
      <c r="V1704" s="61">
        <f>IF(AND(R1704="",S1704&lt;&gt;"Yes",L1704&gt;0,B1704&lt;&gt;"TXO"),L1704,"")</f>
        <v/>
      </c>
      <c r="W1704" s="61">
        <f>IF(AND(R1704="",S1704&lt;&gt;"Yes",L1704&lt;0,B1704&lt;&gt;"TXO"),L1704,"")</f>
        <v/>
      </c>
      <c r="X1704" s="226">
        <f>IF(AND(R1704="Yes",S1704="Yes",L1704&gt;0,B1704&lt;&gt;"TXO"),L1704,"")</f>
        <v/>
      </c>
      <c r="Y1704" s="226">
        <f>IF(AND(R1704="Yes",S1704="Yes",L1704&lt;0,B1704&lt;&gt;"TXO"),L1704,"")</f>
        <v/>
      </c>
      <c r="Z1704" s="226">
        <f>IF(AND(R1704="",S1704="Yes",L1704&gt;0,B1704&lt;&gt;"TXO"),L1704,"")</f>
        <v/>
      </c>
      <c r="AA1704" s="226">
        <f>IF(AND(R1704="",S1704="Yes",L1704&lt;0,B1704&lt;&gt;"TXO"),L1704,"")</f>
        <v/>
      </c>
    </row>
    <row r="1705" hidden="1" outlineLevel="2" collapsed="1" ht="17.25" customHeight="1" thickBot="1">
      <c r="A1705" s="696" t="n">
        <v>43431</v>
      </c>
      <c r="B1705" s="234" t="inlineStr">
        <is>
          <t>FIMTX</t>
        </is>
      </c>
      <c r="C1705" s="229" t="inlineStr">
        <is>
          <t>小指12</t>
        </is>
      </c>
      <c r="D1705" s="229" t="inlineStr">
        <is>
          <t>平倉</t>
        </is>
      </c>
      <c r="E1705" s="257" t="inlineStr">
        <is>
          <t>賣</t>
        </is>
      </c>
      <c r="F1705" s="229" t="inlineStr">
        <is>
          <t>-</t>
        </is>
      </c>
      <c r="G1705" s="697" t="n">
        <v>1</v>
      </c>
      <c r="H1705" s="697" t="n">
        <v>9746</v>
      </c>
      <c r="I1705" s="697" t="n">
        <v>0</v>
      </c>
      <c r="J1705" s="585" t="n">
        <v>23</v>
      </c>
      <c r="K1705" s="585" t="n">
        <v>10</v>
      </c>
      <c r="L1705" s="585">
        <f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/>
      </c>
      <c r="M1705" s="699">
        <f>L1705</f>
        <v/>
      </c>
      <c r="N1705" s="686">
        <f>IF(B1705="TXO","",IF(D1705="新倉","",IF(E1705="賣",(H1705-H1704)*G1705,(H1704-H1705)*G1705)))</f>
        <v/>
      </c>
      <c r="O1705" s="226" t="n">
        <v>0</v>
      </c>
      <c r="P1705" s="667" t="n"/>
      <c r="Q1705" s="249" t="inlineStr">
        <is>
          <t>技法: 刺補</t>
        </is>
      </c>
      <c r="R1705" s="249" t="inlineStr">
        <is>
          <t>Yes</t>
        </is>
      </c>
      <c r="S1705" s="249" t="inlineStr">
        <is>
          <t>Yes</t>
        </is>
      </c>
      <c r="T1705" s="61">
        <f>IF(AND(R1705="Yes",S1705&lt;&gt;"Yes",L1705&gt;0,B1705&lt;&gt;"TXO"),L1705,"")</f>
        <v/>
      </c>
      <c r="U1705" s="61">
        <f>IF(AND(R1705="Yes",S1705&lt;&gt;"Yes",L1705&lt;0,B1705&lt;&gt;"TXO"),L1705,"")</f>
        <v/>
      </c>
      <c r="V1705" s="61">
        <f>IF(AND(R1705="",S1705&lt;&gt;"Yes",L1705&gt;0,B1705&lt;&gt;"TXO"),L1705,"")</f>
        <v/>
      </c>
      <c r="W1705" s="61">
        <f>IF(AND(R1705="",S1705&lt;&gt;"Yes",L1705&lt;0,B1705&lt;&gt;"TXO"),L1705,"")</f>
        <v/>
      </c>
      <c r="X1705" s="226">
        <f>IF(AND(R1705="Yes",S1705="Yes",L1705&gt;0,B1705&lt;&gt;"TXO"),L1705,"")</f>
        <v/>
      </c>
      <c r="Y1705" s="226">
        <f>IF(AND(R1705="Yes",S1705="Yes",L1705&lt;0,B1705&lt;&gt;"TXO"),L1705,"")</f>
        <v/>
      </c>
      <c r="Z1705" s="226">
        <f>IF(AND(R1705="",S1705="Yes",L1705&gt;0,B1705&lt;&gt;"TXO"),L1705,"")</f>
        <v/>
      </c>
      <c r="AA1705" s="226">
        <f>IF(AND(R1705="",S1705="Yes",L1705&lt;0,B1705&lt;&gt;"TXO"),L1705,"")</f>
        <v/>
      </c>
    </row>
    <row r="1706" hidden="1" outlineLevel="2" collapsed="1" ht="17.25" customHeight="1" thickBot="1">
      <c r="A1706" s="696" t="n">
        <v>43431</v>
      </c>
      <c r="B1706" s="234" t="inlineStr">
        <is>
          <t>FIMTX</t>
        </is>
      </c>
      <c r="C1706" s="229" t="inlineStr">
        <is>
          <t>小指12</t>
        </is>
      </c>
      <c r="D1706" s="229" t="inlineStr">
        <is>
          <t>新倉</t>
        </is>
      </c>
      <c r="E1706" s="257" t="inlineStr">
        <is>
          <t>買</t>
        </is>
      </c>
      <c r="F1706" s="229" t="inlineStr">
        <is>
          <t>-</t>
        </is>
      </c>
      <c r="G1706" s="697" t="n">
        <v>1</v>
      </c>
      <c r="H1706" s="697" t="n">
        <v>9742</v>
      </c>
      <c r="I1706" s="697" t="n">
        <v>0</v>
      </c>
      <c r="J1706" s="585" t="n">
        <v>23</v>
      </c>
      <c r="K1706" s="585" t="n">
        <v>10</v>
      </c>
      <c r="L1706" s="585">
        <f>IF(B1706="TXO",I1706-SUM(J1706:K1706),IF(B1706="FITX",IF(D1706="新倉",-SUM(J1706:K1706),IF(E1706="賣",(H1706-H1705)*G1706*200-SUM(J1706:K1706),(H1705-H1706)*G1706*200-SUM(J1706:K1706))),IF(D1706="新倉",-SUM(J1706:K1706),IF(E1706="賣",(H1706-H1705)*G1706*50-SUM(J1706:K1706),(H1705-H1706)*G1706*50-SUM(J1706:K1706)))))</f>
        <v/>
      </c>
      <c r="M1706" s="699">
        <f>L1706</f>
        <v/>
      </c>
      <c r="N1706" s="686">
        <f>IF(B1706="TXO","",IF(D1706="新倉","",IF(E1706="賣",(H1706-H1705)*G1706,(H1705-H1706)*G1706)))</f>
        <v/>
      </c>
      <c r="O1706" s="226" t="n">
        <v>0</v>
      </c>
      <c r="P1706" s="667" t="n"/>
      <c r="Q1706" s="297" t="inlineStr">
        <is>
          <t>技法: 3/3 買進一口</t>
        </is>
      </c>
      <c r="R1706" s="249" t="inlineStr">
        <is>
          <t>Yes</t>
        </is>
      </c>
      <c r="S1706" s="249" t="inlineStr">
        <is>
          <t>Yes</t>
        </is>
      </c>
      <c r="T1706" s="61">
        <f>IF(AND(R1706="Yes",S1706&lt;&gt;"Yes",L1706&gt;0,B1706&lt;&gt;"TXO"),L1706,"")</f>
        <v/>
      </c>
      <c r="U1706" s="61">
        <f>IF(AND(R1706="Yes",S1706&lt;&gt;"Yes",L1706&lt;0,B1706&lt;&gt;"TXO"),L1706,"")</f>
        <v/>
      </c>
      <c r="V1706" s="61">
        <f>IF(AND(R1706="",S1706&lt;&gt;"Yes",L1706&gt;0,B1706&lt;&gt;"TXO"),L1706,"")</f>
        <v/>
      </c>
      <c r="W1706" s="61">
        <f>IF(AND(R1706="",S1706&lt;&gt;"Yes",L1706&lt;0,B1706&lt;&gt;"TXO"),L1706,"")</f>
        <v/>
      </c>
      <c r="X1706" s="226">
        <f>IF(AND(R1706="Yes",S1706="Yes",L1706&gt;0,B1706&lt;&gt;"TXO"),L1706,"")</f>
        <v/>
      </c>
      <c r="Y1706" s="226">
        <f>IF(AND(R1706="Yes",S1706="Yes",L1706&lt;0,B1706&lt;&gt;"TXO"),L1706,"")</f>
        <v/>
      </c>
      <c r="Z1706" s="226">
        <f>IF(AND(R1706="",S1706="Yes",L1706&gt;0,B1706&lt;&gt;"TXO"),L1706,"")</f>
        <v/>
      </c>
      <c r="AA1706" s="226">
        <f>IF(AND(R1706="",S1706="Yes",L1706&lt;0,B1706&lt;&gt;"TXO"),L1706,"")</f>
        <v/>
      </c>
    </row>
    <row r="1707" hidden="1" outlineLevel="2" collapsed="1" ht="17.25" customHeight="1" thickBot="1">
      <c r="A1707" s="696" t="n">
        <v>43431</v>
      </c>
      <c r="B1707" s="234" t="inlineStr">
        <is>
          <t>FIMTX</t>
        </is>
      </c>
      <c r="C1707" s="229" t="inlineStr">
        <is>
          <t>小指12</t>
        </is>
      </c>
      <c r="D1707" s="229" t="inlineStr">
        <is>
          <t>平倉</t>
        </is>
      </c>
      <c r="E1707" s="257" t="inlineStr">
        <is>
          <t>賣</t>
        </is>
      </c>
      <c r="F1707" s="229" t="inlineStr">
        <is>
          <t>-</t>
        </is>
      </c>
      <c r="G1707" s="697" t="n">
        <v>1</v>
      </c>
      <c r="H1707" s="697" t="n">
        <v>9736</v>
      </c>
      <c r="I1707" s="697" t="n">
        <v>0</v>
      </c>
      <c r="J1707" s="585" t="n">
        <v>23</v>
      </c>
      <c r="K1707" s="585" t="n">
        <v>10</v>
      </c>
      <c r="L1707" s="585">
        <f>IF(B1707="TXO",I1707-SUM(J1707:K1707),IF(B1707="FITX",IF(D1707="新倉",-SUM(J1707:K1707),IF(E1707="賣",(H1707-H1706)*G1707*200-SUM(J1707:K1707),(H1706-H1707)*G1707*200-SUM(J1707:K1707))),IF(D1707="新倉",-SUM(J1707:K1707),IF(E1707="賣",(H1707-H1706)*G1707*50-SUM(J1707:K1707),(H1706-H1707)*G1707*50-SUM(J1707:K1707)))))</f>
        <v/>
      </c>
      <c r="M1707" s="699">
        <f>L1707</f>
        <v/>
      </c>
      <c r="N1707" s="686">
        <f>IF(B1707="TXO","",IF(D1707="新倉","",IF(E1707="賣",(H1707-H1706)*G1707,(H1706-H1707)*G1707)))</f>
        <v/>
      </c>
      <c r="O1707" s="226" t="n">
        <v>0</v>
      </c>
      <c r="P1707" s="667" t="n"/>
      <c r="Q1707" s="249" t="inlineStr">
        <is>
          <t>技法: 碰10MA出場</t>
        </is>
      </c>
      <c r="R1707" s="249" t="inlineStr">
        <is>
          <t>Yes</t>
        </is>
      </c>
      <c r="S1707" s="249" t="inlineStr">
        <is>
          <t>Yes</t>
        </is>
      </c>
      <c r="T1707" s="61">
        <f>IF(AND(R1707="Yes",S1707&lt;&gt;"Yes",L1707&gt;0,B1707&lt;&gt;"TXO"),L1707,"")</f>
        <v/>
      </c>
      <c r="U1707" s="61">
        <f>IF(AND(R1707="Yes",S1707&lt;&gt;"Yes",L1707&lt;0,B1707&lt;&gt;"TXO"),L1707,"")</f>
        <v/>
      </c>
      <c r="V1707" s="61">
        <f>IF(AND(R1707="",S1707&lt;&gt;"Yes",L1707&gt;0,B1707&lt;&gt;"TXO"),L1707,"")</f>
        <v/>
      </c>
      <c r="W1707" s="61">
        <f>IF(AND(R1707="",S1707&lt;&gt;"Yes",L1707&lt;0,B1707&lt;&gt;"TXO"),L1707,"")</f>
        <v/>
      </c>
      <c r="X1707" s="226">
        <f>IF(AND(R1707="Yes",S1707="Yes",L1707&gt;0,B1707&lt;&gt;"TXO"),L1707,"")</f>
        <v/>
      </c>
      <c r="Y1707" s="226">
        <f>IF(AND(R1707="Yes",S1707="Yes",L1707&lt;0,B1707&lt;&gt;"TXO"),L1707,"")</f>
        <v/>
      </c>
      <c r="Z1707" s="226">
        <f>IF(AND(R1707="",S1707="Yes",L1707&gt;0,B1707&lt;&gt;"TXO"),L1707,"")</f>
        <v/>
      </c>
      <c r="AA1707" s="226">
        <f>IF(AND(R1707="",S1707="Yes",L1707&lt;0,B1707&lt;&gt;"TXO"),L1707,"")</f>
        <v/>
      </c>
    </row>
    <row r="1708" hidden="1" outlineLevel="1" ht="17.25" customHeight="1" thickBot="1">
      <c r="A1708" s="740" t="n">
        <v>43432</v>
      </c>
      <c r="B1708" s="299" t="inlineStr">
        <is>
          <t>FIMTX</t>
        </is>
      </c>
      <c r="C1708" s="300" t="inlineStr">
        <is>
          <t>小指12</t>
        </is>
      </c>
      <c r="D1708" s="300" t="inlineStr">
        <is>
          <t>新倉</t>
        </is>
      </c>
      <c r="E1708" s="301" t="inlineStr">
        <is>
          <t>買</t>
        </is>
      </c>
      <c r="F1708" s="300" t="inlineStr">
        <is>
          <t>-</t>
        </is>
      </c>
      <c r="G1708" s="741" t="n">
        <v>1</v>
      </c>
      <c r="H1708" s="741" t="n">
        <v>9887</v>
      </c>
      <c r="I1708" s="741" t="n">
        <v>0</v>
      </c>
      <c r="J1708" s="742" t="n">
        <v>23</v>
      </c>
      <c r="K1708" s="742" t="n">
        <v>10</v>
      </c>
      <c r="L1708" s="742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/>
      </c>
      <c r="M1708" s="743">
        <f>L1708</f>
        <v/>
      </c>
      <c r="N1708" s="686">
        <f>IF(B1708="TXO","",IF(D1708="新倉","",IF(E1708="賣",(H1708-H1707)*G1708,(H1707-H1708)*G1708)))</f>
        <v/>
      </c>
      <c r="O1708" s="226" t="n">
        <v>0</v>
      </c>
      <c r="P1708" s="667">
        <f>SUM(L1708:L1709)</f>
        <v/>
      </c>
      <c r="Q1708" s="297" t="inlineStr">
        <is>
          <t>技法: 3/3 買進3口</t>
        </is>
      </c>
      <c r="R1708" s="249" t="inlineStr">
        <is>
          <t>Yes</t>
        </is>
      </c>
      <c r="S1708" s="249" t="inlineStr">
        <is>
          <t>Yes</t>
        </is>
      </c>
      <c r="T1708" s="61">
        <f>IF(AND(R1708="Yes",S1708&lt;&gt;"Yes",L1708&gt;0,B1708&lt;&gt;"TXO"),L1708,"")</f>
        <v/>
      </c>
      <c r="U1708" s="61">
        <f>IF(AND(R1708="Yes",S1708&lt;&gt;"Yes",L1708&lt;0,B1708&lt;&gt;"TXO"),L1708,"")</f>
        <v/>
      </c>
      <c r="V1708" s="61">
        <f>IF(AND(R1708="",S1708&lt;&gt;"Yes",L1708&gt;0,B1708&lt;&gt;"TXO"),L1708,"")</f>
        <v/>
      </c>
      <c r="W1708" s="61">
        <f>IF(AND(R1708="",S1708&lt;&gt;"Yes",L1708&lt;0,B1708&lt;&gt;"TXO"),L1708,"")</f>
        <v/>
      </c>
      <c r="X1708" s="226">
        <f>IF(AND(R1708="Yes",S1708="Yes",L1708&gt;0,B1708&lt;&gt;"TXO"),L1708,"")</f>
        <v/>
      </c>
      <c r="Y1708" s="226">
        <f>IF(AND(R1708="Yes",S1708="Yes",L1708&lt;0,B1708&lt;&gt;"TXO"),L1708,"")</f>
        <v/>
      </c>
      <c r="Z1708" s="226">
        <f>IF(AND(R1708="",S1708="Yes",L1708&gt;0,B1708&lt;&gt;"TXO"),L1708,"")</f>
        <v/>
      </c>
      <c r="AA1708" s="226">
        <f>IF(AND(R1708="",S1708="Yes",L1708&lt;0,B1708&lt;&gt;"TXO"),L1708,"")</f>
        <v/>
      </c>
    </row>
    <row r="1709" hidden="1" outlineLevel="1" collapsed="1" ht="17.25" customHeight="1" thickBot="1">
      <c r="A1709" s="740" t="n">
        <v>43432</v>
      </c>
      <c r="B1709" s="299" t="inlineStr">
        <is>
          <t>FIMTX</t>
        </is>
      </c>
      <c r="C1709" s="300" t="inlineStr">
        <is>
          <t>小指12</t>
        </is>
      </c>
      <c r="D1709" s="300" t="inlineStr">
        <is>
          <t>平倉</t>
        </is>
      </c>
      <c r="E1709" s="301" t="inlineStr">
        <is>
          <t>賣</t>
        </is>
      </c>
      <c r="F1709" s="300" t="inlineStr">
        <is>
          <t>-</t>
        </is>
      </c>
      <c r="G1709" s="741" t="n">
        <v>1</v>
      </c>
      <c r="H1709" s="741" t="n">
        <v>9919</v>
      </c>
      <c r="I1709" s="741" t="n">
        <v>0</v>
      </c>
      <c r="J1709" s="742" t="n">
        <v>23</v>
      </c>
      <c r="K1709" s="742" t="n">
        <v>10</v>
      </c>
      <c r="L1709" s="742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/>
      </c>
      <c r="M1709" s="743">
        <f>L1709</f>
        <v/>
      </c>
      <c r="N1709" s="686">
        <f>IF(B1709="TXO","",IF(D1709="新倉","",IF(E1709="賣",(H1709-H1708)*G1709,(H1708-H1709)*G1709)))</f>
        <v/>
      </c>
      <c r="O1709" s="226" t="n">
        <v>0</v>
      </c>
      <c r="P1709" s="667" t="n"/>
      <c r="Q1709" s="249" t="inlineStr">
        <is>
          <t>元大移動式停利</t>
        </is>
      </c>
      <c r="R1709" s="249" t="inlineStr">
        <is>
          <t>Yes</t>
        </is>
      </c>
      <c r="S1709" s="249" t="inlineStr">
        <is>
          <t>Yes</t>
        </is>
      </c>
      <c r="T1709" s="61">
        <f>IF(AND(R1709="Yes",S1709&lt;&gt;"Yes",L1709&gt;0,B1709&lt;&gt;"TXO"),L1709,"")</f>
        <v/>
      </c>
      <c r="U1709" s="61">
        <f>IF(AND(R1709="Yes",S1709&lt;&gt;"Yes",L1709&lt;0,B1709&lt;&gt;"TXO"),L1709,"")</f>
        <v/>
      </c>
      <c r="V1709" s="61">
        <f>IF(AND(R1709="",S1709&lt;&gt;"Yes",L1709&gt;0,B1709&lt;&gt;"TXO"),L1709,"")</f>
        <v/>
      </c>
      <c r="W1709" s="61">
        <f>IF(AND(R1709="",S1709&lt;&gt;"Yes",L1709&lt;0,B1709&lt;&gt;"TXO"),L1709,"")</f>
        <v/>
      </c>
      <c r="X1709" s="226">
        <f>IF(AND(R1709="Yes",S1709="Yes",L1709&gt;0,B1709&lt;&gt;"TXO"),L1709,"")</f>
        <v/>
      </c>
      <c r="Y1709" s="226">
        <f>IF(AND(R1709="Yes",S1709="Yes",L1709&lt;0,B1709&lt;&gt;"TXO"),L1709,"")</f>
        <v/>
      </c>
      <c r="Z1709" s="226">
        <f>IF(AND(R1709="",S1709="Yes",L1709&gt;0,B1709&lt;&gt;"TXO"),L1709,"")</f>
        <v/>
      </c>
      <c r="AA1709" s="226">
        <f>IF(AND(R1709="",S1709="Yes",L1709&lt;0,B1709&lt;&gt;"TXO"),L1709,"")</f>
        <v/>
      </c>
    </row>
    <row r="1710" hidden="1" outlineLevel="1" ht="17.25" customHeight="1" thickBot="1">
      <c r="A1710" s="696" t="n">
        <v>43434</v>
      </c>
      <c r="B1710" s="234" t="inlineStr">
        <is>
          <t>FIMTX</t>
        </is>
      </c>
      <c r="C1710" s="229" t="inlineStr">
        <is>
          <t>小指12</t>
        </is>
      </c>
      <c r="D1710" s="229" t="inlineStr">
        <is>
          <t>新倉</t>
        </is>
      </c>
      <c r="E1710" s="257" t="inlineStr">
        <is>
          <t>賣</t>
        </is>
      </c>
      <c r="F1710" s="229" t="inlineStr">
        <is>
          <t>-</t>
        </is>
      </c>
      <c r="G1710" s="697" t="n">
        <v>1</v>
      </c>
      <c r="H1710" s="697" t="n">
        <v>9845</v>
      </c>
      <c r="I1710" s="697" t="n">
        <v>0</v>
      </c>
      <c r="J1710" s="585" t="n">
        <v>23</v>
      </c>
      <c r="K1710" s="585" t="n">
        <v>10</v>
      </c>
      <c r="L1710" s="585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/>
      </c>
      <c r="M1710" s="699">
        <f>L1710</f>
        <v/>
      </c>
      <c r="N1710" s="686">
        <f>IF(B1710="TXO","",IF(D1710="新倉","",IF(E1710="賣",(H1710-H1709)*G1710,(H1709-H1710)*G1710)))</f>
        <v/>
      </c>
      <c r="O1710" s="226" t="n">
        <v>0</v>
      </c>
      <c r="P1710" s="667">
        <f>SUM(L1710:L1714)</f>
        <v/>
      </c>
      <c r="Q1710" s="297" t="inlineStr">
        <is>
          <t>技法: 3/3 買進一口</t>
        </is>
      </c>
      <c r="R1710" s="249" t="inlineStr">
        <is>
          <t>Yes</t>
        </is>
      </c>
      <c r="S1710" s="249" t="inlineStr">
        <is>
          <t>Yes</t>
        </is>
      </c>
      <c r="T1710" s="61">
        <f>IF(AND(R1710="Yes",S1710&lt;&gt;"Yes",L1710&gt;0,B1710&lt;&gt;"TXO"),L1710,"")</f>
        <v/>
      </c>
      <c r="U1710" s="61">
        <f>IF(AND(R1710="Yes",S1710&lt;&gt;"Yes",L1710&lt;0,B1710&lt;&gt;"TXO"),L1710,"")</f>
        <v/>
      </c>
      <c r="V1710" s="61">
        <f>IF(AND(R1710="",S1710&lt;&gt;"Yes",L1710&gt;0,B1710&lt;&gt;"TXO"),L1710,"")</f>
        <v/>
      </c>
      <c r="W1710" s="61">
        <f>IF(AND(R1710="",S1710&lt;&gt;"Yes",L1710&lt;0,B1710&lt;&gt;"TXO"),L1710,"")</f>
        <v/>
      </c>
      <c r="X1710" s="226">
        <f>IF(AND(R1710="Yes",S1710="Yes",L1710&gt;0,B1710&lt;&gt;"TXO"),L1710,"")</f>
        <v/>
      </c>
      <c r="Y1710" s="226">
        <f>IF(AND(R1710="Yes",S1710="Yes",L1710&lt;0,B1710&lt;&gt;"TXO"),L1710,"")</f>
        <v/>
      </c>
      <c r="Z1710" s="226">
        <f>IF(AND(R1710="",S1710="Yes",L1710&gt;0,B1710&lt;&gt;"TXO"),L1710,"")</f>
        <v/>
      </c>
      <c r="AA1710" s="226">
        <f>IF(AND(R1710="",S1710="Yes",L1710&lt;0,B1710&lt;&gt;"TXO"),L1710,"")</f>
        <v/>
      </c>
    </row>
    <row r="1711" hidden="1" outlineLevel="2" collapsed="1" ht="17.25" customHeight="1" thickBot="1">
      <c r="A1711" s="696" t="n">
        <v>43434</v>
      </c>
      <c r="B1711" s="234" t="inlineStr">
        <is>
          <t>FIMTX</t>
        </is>
      </c>
      <c r="C1711" s="229" t="inlineStr">
        <is>
          <t>小指12</t>
        </is>
      </c>
      <c r="D1711" s="229" t="inlineStr">
        <is>
          <t>平倉</t>
        </is>
      </c>
      <c r="E1711" s="257" t="inlineStr">
        <is>
          <t>買</t>
        </is>
      </c>
      <c r="F1711" s="229" t="inlineStr">
        <is>
          <t>-</t>
        </is>
      </c>
      <c r="G1711" s="697" t="n">
        <v>1</v>
      </c>
      <c r="H1711" s="697" t="n">
        <v>9841</v>
      </c>
      <c r="I1711" s="697" t="n">
        <v>0</v>
      </c>
      <c r="J1711" s="585" t="n">
        <v>23</v>
      </c>
      <c r="K1711" s="585" t="n">
        <v>10</v>
      </c>
      <c r="L1711" s="585">
        <f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/>
      </c>
      <c r="M1711" s="699">
        <f>L1711</f>
        <v/>
      </c>
      <c r="N1711" s="686">
        <f>IF(B1711="TXO","",IF(D1711="新倉","",IF(E1711="賣",(H1711-H1710)*G1711,(H1710-H1711)*G1711)))</f>
        <v/>
      </c>
      <c r="O1711" s="226" t="n">
        <v>0</v>
      </c>
      <c r="P1711" s="667" t="n"/>
      <c r="Q1711" s="249" t="inlineStr">
        <is>
          <t>技法: 刺補</t>
        </is>
      </c>
      <c r="R1711" s="249" t="inlineStr">
        <is>
          <t>Yes</t>
        </is>
      </c>
      <c r="S1711" s="249" t="inlineStr">
        <is>
          <t>Yes</t>
        </is>
      </c>
      <c r="T1711" s="61">
        <f>IF(AND(R1711="Yes",S1711&lt;&gt;"Yes",L1711&gt;0,B1711&lt;&gt;"TXO"),L1711,"")</f>
        <v/>
      </c>
      <c r="U1711" s="61">
        <f>IF(AND(R1711="Yes",S1711&lt;&gt;"Yes",L1711&lt;0,B1711&lt;&gt;"TXO"),L1711,"")</f>
        <v/>
      </c>
      <c r="V1711" s="61">
        <f>IF(AND(R1711="",S1711&lt;&gt;"Yes",L1711&gt;0,B1711&lt;&gt;"TXO"),L1711,"")</f>
        <v/>
      </c>
      <c r="W1711" s="61">
        <f>IF(AND(R1711="",S1711&lt;&gt;"Yes",L1711&lt;0,B1711&lt;&gt;"TXO"),L1711,"")</f>
        <v/>
      </c>
      <c r="X1711" s="226">
        <f>IF(AND(R1711="Yes",S1711="Yes",L1711&gt;0,B1711&lt;&gt;"TXO"),L1711,"")</f>
        <v/>
      </c>
      <c r="Y1711" s="226">
        <f>IF(AND(R1711="Yes",S1711="Yes",L1711&lt;0,B1711&lt;&gt;"TXO"),L1711,"")</f>
        <v/>
      </c>
      <c r="Z1711" s="226">
        <f>IF(AND(R1711="",S1711="Yes",L1711&gt;0,B1711&lt;&gt;"TXO"),L1711,"")</f>
        <v/>
      </c>
      <c r="AA1711" s="226">
        <f>IF(AND(R1711="",S1711="Yes",L1711&lt;0,B1711&lt;&gt;"TXO"),L1711,"")</f>
        <v/>
      </c>
    </row>
    <row r="1712" hidden="1" outlineLevel="2" collapsed="1" ht="17.25" customHeight="1" thickBot="1">
      <c r="A1712" s="696" t="n">
        <v>43434</v>
      </c>
      <c r="B1712" s="234" t="inlineStr">
        <is>
          <t>FIMTX</t>
        </is>
      </c>
      <c r="C1712" s="229" t="inlineStr">
        <is>
          <t>小指12</t>
        </is>
      </c>
      <c r="D1712" s="229" t="inlineStr">
        <is>
          <t>新倉</t>
        </is>
      </c>
      <c r="E1712" s="257" t="inlineStr">
        <is>
          <t>買</t>
        </is>
      </c>
      <c r="F1712" s="229" t="inlineStr">
        <is>
          <t>-</t>
        </is>
      </c>
      <c r="G1712" s="697" t="n">
        <v>1</v>
      </c>
      <c r="H1712" s="697" t="n">
        <v>9851</v>
      </c>
      <c r="I1712" s="697" t="n">
        <v>0</v>
      </c>
      <c r="J1712" s="585" t="n">
        <v>23</v>
      </c>
      <c r="K1712" s="585" t="n">
        <v>10</v>
      </c>
      <c r="L1712" s="585">
        <f>IF(B1712="TXO",I1712-SUM(J1712:K1712),IF(B1712="FITX",IF(D1712="新倉",-SUM(J1712:K1712),IF(E1712="賣",(H1712-H1711)*G1712*200-SUM(J1712:K1712),(H1711-H1712)*G1712*200-SUM(J1712:K1712))),IF(D1712="新倉",-SUM(J1712:K1712),IF(E1712="賣",(H1712-H1711)*G1712*50-SUM(J1712:K1712),(H1711-H1712)*G1712*50-SUM(J1712:K1712)))))</f>
        <v/>
      </c>
      <c r="M1712" s="699">
        <f>L1712</f>
        <v/>
      </c>
      <c r="N1712" s="686">
        <f>IF(B1712="TXO","",IF(D1712="新倉","",IF(E1712="賣",(H1712-H1711)*G1712,(H1711-H1712)*G1712)))</f>
        <v/>
      </c>
      <c r="O1712" s="226" t="n">
        <v>0</v>
      </c>
      <c r="P1712" s="667" t="n"/>
      <c r="Q1712" s="297" t="inlineStr">
        <is>
          <t>技法: 3/3 買進一口</t>
        </is>
      </c>
      <c r="R1712" s="249" t="inlineStr">
        <is>
          <t>Yes</t>
        </is>
      </c>
      <c r="S1712" s="249" t="inlineStr">
        <is>
          <t>Yes</t>
        </is>
      </c>
      <c r="T1712" s="61">
        <f>IF(AND(R1712="Yes",S1712&lt;&gt;"Yes",L1712&gt;0,B1712&lt;&gt;"TXO"),L1712,"")</f>
        <v/>
      </c>
      <c r="U1712" s="61">
        <f>IF(AND(R1712="Yes",S1712&lt;&gt;"Yes",L1712&lt;0,B1712&lt;&gt;"TXO"),L1712,"")</f>
        <v/>
      </c>
      <c r="V1712" s="61">
        <f>IF(AND(R1712="",S1712&lt;&gt;"Yes",L1712&gt;0,B1712&lt;&gt;"TXO"),L1712,"")</f>
        <v/>
      </c>
      <c r="W1712" s="61">
        <f>IF(AND(R1712="",S1712&lt;&gt;"Yes",L1712&lt;0,B1712&lt;&gt;"TXO"),L1712,"")</f>
        <v/>
      </c>
      <c r="X1712" s="226">
        <f>IF(AND(R1712="Yes",S1712="Yes",L1712&gt;0,B1712&lt;&gt;"TXO"),L1712,"")</f>
        <v/>
      </c>
      <c r="Y1712" s="226">
        <f>IF(AND(R1712="Yes",S1712="Yes",L1712&lt;0,B1712&lt;&gt;"TXO"),L1712,"")</f>
        <v/>
      </c>
      <c r="Z1712" s="226">
        <f>IF(AND(R1712="",S1712="Yes",L1712&gt;0,B1712&lt;&gt;"TXO"),L1712,"")</f>
        <v/>
      </c>
      <c r="AA1712" s="226">
        <f>IF(AND(R1712="",S1712="Yes",L1712&lt;0,B1712&lt;&gt;"TXO"),L1712,"")</f>
        <v/>
      </c>
    </row>
    <row r="1713" hidden="1" outlineLevel="2" collapsed="1" ht="17.25" customHeight="1" thickBot="1">
      <c r="A1713" s="696" t="n">
        <v>43434</v>
      </c>
      <c r="B1713" s="234" t="inlineStr">
        <is>
          <t>FIMTX</t>
        </is>
      </c>
      <c r="C1713" s="229" t="inlineStr">
        <is>
          <t>小指12</t>
        </is>
      </c>
      <c r="D1713" s="229" t="inlineStr">
        <is>
          <t>平倉</t>
        </is>
      </c>
      <c r="E1713" s="257" t="inlineStr">
        <is>
          <t>賣</t>
        </is>
      </c>
      <c r="F1713" s="229" t="inlineStr">
        <is>
          <t>-</t>
        </is>
      </c>
      <c r="G1713" s="697" t="n">
        <v>1</v>
      </c>
      <c r="H1713" s="697" t="n">
        <v>9848</v>
      </c>
      <c r="I1713" s="697" t="n">
        <v>0</v>
      </c>
      <c r="J1713" s="585" t="n">
        <v>23</v>
      </c>
      <c r="K1713" s="585" t="n">
        <v>10</v>
      </c>
      <c r="L1713" s="585">
        <f>IF(B1713="TXO",I1713-SUM(J1713:K1713),IF(B1713="FITX",IF(D1713="新倉",-SUM(J1713:K1713),IF(E1713="賣",(H1713-H1712)*G1713*200-SUM(J1713:K1713),(H1712-H1713)*G1713*200-SUM(J1713:K1713))),IF(D1713="新倉",-SUM(J1713:K1713),IF(E1713="賣",(H1713-H1712)*G1713*50-SUM(J1713:K1713),(H1712-H1713)*G1713*50-SUM(J1713:K1713)))))</f>
        <v/>
      </c>
      <c r="M1713" s="699">
        <f>L1713</f>
        <v/>
      </c>
      <c r="N1713" s="686">
        <f>IF(B1713="TXO","",IF(D1713="新倉","",IF(E1713="賣",(H1713-H1712)*G1713,(H1712-H1713)*G1713)))</f>
        <v/>
      </c>
      <c r="O1713" s="226" t="n">
        <v>0</v>
      </c>
      <c r="P1713" s="667" t="n"/>
      <c r="Q1713" s="249" t="inlineStr">
        <is>
          <t>技法: 碰10MA出場</t>
        </is>
      </c>
      <c r="R1713" s="249" t="inlineStr">
        <is>
          <t>Yes</t>
        </is>
      </c>
      <c r="S1713" s="249" t="inlineStr">
        <is>
          <t>Yes</t>
        </is>
      </c>
      <c r="T1713" s="61">
        <f>IF(AND(R1713="Yes",S1713&lt;&gt;"Yes",L1713&gt;0,B1713&lt;&gt;"TXO"),L1713,"")</f>
        <v/>
      </c>
      <c r="U1713" s="61">
        <f>IF(AND(R1713="Yes",S1713&lt;&gt;"Yes",L1713&lt;0,B1713&lt;&gt;"TXO"),L1713,"")</f>
        <v/>
      </c>
      <c r="V1713" s="61">
        <f>IF(AND(R1713="",S1713&lt;&gt;"Yes",L1713&gt;0,B1713&lt;&gt;"TXO"),L1713,"")</f>
        <v/>
      </c>
      <c r="W1713" s="61">
        <f>IF(AND(R1713="",S1713&lt;&gt;"Yes",L1713&lt;0,B1713&lt;&gt;"TXO"),L1713,"")</f>
        <v/>
      </c>
      <c r="X1713" s="226">
        <f>IF(AND(R1713="Yes",S1713="Yes",L1713&gt;0,B1713&lt;&gt;"TXO"),L1713,"")</f>
        <v/>
      </c>
      <c r="Y1713" s="226">
        <f>IF(AND(R1713="Yes",S1713="Yes",L1713&lt;0,B1713&lt;&gt;"TXO"),L1713,"")</f>
        <v/>
      </c>
      <c r="Z1713" s="226">
        <f>IF(AND(R1713="",S1713="Yes",L1713&gt;0,B1713&lt;&gt;"TXO"),L1713,"")</f>
        <v/>
      </c>
      <c r="AA1713" s="226">
        <f>IF(AND(R1713="",S1713="Yes",L1713&lt;0,B1713&lt;&gt;"TXO"),L1713,"")</f>
        <v/>
      </c>
    </row>
    <row r="1714" hidden="1" outlineLevel="2" collapsed="1" ht="17.25" customHeight="1" thickBot="1">
      <c r="A1714" s="696" t="n">
        <v>43434</v>
      </c>
      <c r="B1714" s="234" t="inlineStr">
        <is>
          <t>TXO</t>
        </is>
      </c>
      <c r="C1714" s="229" t="inlineStr">
        <is>
          <t>台選W1 12 9600 P</t>
        </is>
      </c>
      <c r="D1714" s="229" t="inlineStr">
        <is>
          <t>新倉</t>
        </is>
      </c>
      <c r="E1714" s="257" t="inlineStr">
        <is>
          <t>買</t>
        </is>
      </c>
      <c r="F1714" s="229" t="inlineStr">
        <is>
          <t>-</t>
        </is>
      </c>
      <c r="G1714" s="697" t="n">
        <v>1</v>
      </c>
      <c r="H1714" s="697" t="n">
        <v>20.5</v>
      </c>
      <c r="I1714" s="697" t="n">
        <v>-1025</v>
      </c>
      <c r="J1714" s="585" t="n">
        <v>18</v>
      </c>
      <c r="K1714" s="585" t="n">
        <v>1</v>
      </c>
      <c r="L1714" s="585">
        <f>IF(B1714="TXO",I1714-SUM(J1714:K1714),IF(B1714="FITX",IF(D1714="新倉",-SUM(J1714:K1714),IF(E1714="賣",(H1714-H1713)*G1714*200-SUM(J1714:K1714),(H1713-H1714)*G1714*200-SUM(J1714:K1714))),IF(D1714="新倉",-SUM(J1714:K1714),IF(E1714="賣",(H1714-H1713)*G1714*50-SUM(J1714:K1714),(H1713-H1714)*G1714*50-SUM(J1714:K1714)))))</f>
        <v/>
      </c>
      <c r="M1714" s="699">
        <f>L1714</f>
        <v/>
      </c>
      <c r="N1714" s="686">
        <f>IF(B1714="TXO","",IF(D1714="新倉","",IF(E1714="賣",(H1714-H1713)*G1714,(H1713-H1714)*G1714)))</f>
        <v/>
      </c>
      <c r="O1714" s="226" t="n">
        <v>0</v>
      </c>
      <c r="P1714" s="667" t="n"/>
      <c r="S1714" s="249" t="n"/>
      <c r="T1714" s="61">
        <f>IF(AND(R1714="Yes",S1714&lt;&gt;"Yes",L1714&gt;0,B1714&lt;&gt;"TXO"),L1714,"")</f>
        <v/>
      </c>
      <c r="U1714" s="61">
        <f>IF(AND(R1714="Yes",S1714&lt;&gt;"Yes",L1714&lt;0,B1714&lt;&gt;"TXO"),L1714,"")</f>
        <v/>
      </c>
      <c r="V1714" s="61">
        <f>IF(AND(R1714="",S1714&lt;&gt;"Yes",L1714&gt;0,B1714&lt;&gt;"TXO"),L1714,"")</f>
        <v/>
      </c>
      <c r="W1714" s="61">
        <f>IF(AND(R1714="",S1714&lt;&gt;"Yes",L1714&lt;0,B1714&lt;&gt;"TXO"),L1714,"")</f>
        <v/>
      </c>
      <c r="X1714" s="226">
        <f>IF(AND(R1714="Yes",S1714="Yes",L1714&gt;0,B1714&lt;&gt;"TXO"),L1714,"")</f>
        <v/>
      </c>
      <c r="Y1714" s="226">
        <f>IF(AND(R1714="Yes",S1714="Yes",L1714&lt;0,B1714&lt;&gt;"TXO"),L1714,"")</f>
        <v/>
      </c>
      <c r="Z1714" s="226">
        <f>IF(AND(R1714="",S1714="Yes",L1714&gt;0,B1714&lt;&gt;"TXO"),L1714,"")</f>
        <v/>
      </c>
      <c r="AA1714" s="226">
        <f>IF(AND(R1714="",S1714="Yes",L1714&lt;0,B1714&lt;&gt;"TXO"),L1714,"")</f>
        <v/>
      </c>
    </row>
    <row r="1715" collapsed="1" ht="17.25" customHeight="1" thickBot="1">
      <c r="A1715" s="273" t="inlineStr">
        <is>
          <t>11月總計</t>
        </is>
      </c>
      <c r="B1715" s="274" t="n"/>
      <c r="C1715" s="274" t="n"/>
      <c r="D1715" s="274" t="n"/>
      <c r="E1715" s="274" t="n"/>
      <c r="F1715" s="274" t="n"/>
      <c r="G1715" s="715" t="n"/>
      <c r="H1715" s="715" t="n"/>
      <c r="I1715" s="715" t="n"/>
      <c r="J1715" s="716" t="n"/>
      <c r="K1715" s="715" t="n"/>
      <c r="L1715" s="717">
        <f>SUM(L1643:L1714)</f>
        <v/>
      </c>
      <c r="M1715" s="751">
        <f>SUM(M1643:M1714)</f>
        <v/>
      </c>
      <c r="N1715" s="666" t="n"/>
      <c r="P1715" s="744" t="n"/>
      <c r="R1715" s="717">
        <f>SUMIF(R1643:R1714,"Yes",L1643:L1714)</f>
        <v/>
      </c>
      <c r="S1715" s="739" t="n"/>
      <c r="T1715" s="226">
        <f>SUM(T1643:T1714)</f>
        <v/>
      </c>
      <c r="U1715" s="226">
        <f>SUM(U1643:U1714)</f>
        <v/>
      </c>
      <c r="V1715" s="226">
        <f>SUM(V1643:V1714)</f>
        <v/>
      </c>
      <c r="W1715" s="226">
        <f>SUM(W1643:W1714)</f>
        <v/>
      </c>
      <c r="X1715" s="226">
        <f>SUM(X1643:X1714)</f>
        <v/>
      </c>
      <c r="Y1715" s="226">
        <f>SUM(Y1643:Y1714)</f>
        <v/>
      </c>
      <c r="Z1715" s="226">
        <f>SUM(Z1643:Z1714)</f>
        <v/>
      </c>
      <c r="AA1715" s="226">
        <f>SUM(AA1643:AA1714)</f>
        <v/>
      </c>
    </row>
    <row r="1716" ht="17.25" customHeight="1" thickBot="1">
      <c r="A1716" s="718" t="n">
        <v>43448</v>
      </c>
      <c r="B1716" s="292" t="n"/>
      <c r="C1716" s="292" t="inlineStr">
        <is>
          <t>XQ 學院版</t>
        </is>
      </c>
      <c r="D1716" s="292" t="n"/>
      <c r="E1716" s="292" t="n"/>
      <c r="F1716" s="292" t="n"/>
      <c r="G1716" s="719" t="n"/>
      <c r="H1716" s="719" t="n"/>
      <c r="I1716" s="719" t="n"/>
      <c r="J1716" s="720" t="n"/>
      <c r="K1716" s="719" t="n"/>
      <c r="L1716" s="720" t="n"/>
      <c r="M1716" s="721">
        <f>-4457*0.965</f>
        <v/>
      </c>
      <c r="N1716" s="666" t="n"/>
      <c r="P1716" s="722" t="n"/>
      <c r="Q1716" s="249" t="inlineStr">
        <is>
          <t>49888分12期, 每期4457</t>
        </is>
      </c>
      <c r="R1716" s="226" t="n"/>
    </row>
    <row r="1717" ht="17.25" customHeight="1" thickBot="1">
      <c r="A1717" s="718" t="n">
        <v>43449</v>
      </c>
      <c r="B1717" s="292" t="n"/>
      <c r="C1717" s="292" t="inlineStr">
        <is>
          <t>台新個人信貸</t>
        </is>
      </c>
      <c r="D1717" s="292" t="n"/>
      <c r="E1717" s="292" t="n"/>
      <c r="F1717" s="292" t="n"/>
      <c r="G1717" s="719" t="n"/>
      <c r="H1717" s="719" t="n"/>
      <c r="I1717" s="719" t="n"/>
      <c r="J1717" s="720" t="n"/>
      <c r="K1717" s="719" t="n"/>
      <c r="L1717" s="720" t="n"/>
      <c r="M1717" s="721" t="n">
        <v>-3038</v>
      </c>
      <c r="N1717" s="666" t="n"/>
      <c r="P1717" s="722" t="n"/>
      <c r="Q1717" s="249" t="inlineStr">
        <is>
          <t>利息</t>
        </is>
      </c>
      <c r="S1717" s="739" t="n"/>
      <c r="T1717" s="61">
        <f>IF(AND(R1717="Yes",S1717&lt;&gt;"Yes",L1717&gt;0,B1717&lt;&gt;"TXO"),L1717,"")</f>
        <v/>
      </c>
      <c r="U1717" s="61">
        <f>IF(AND(R1717="Yes",S1717&lt;&gt;"Yes",L1717&lt;0,B1717&lt;&gt;"TXO"),L1717,"")</f>
        <v/>
      </c>
      <c r="V1717" s="61">
        <f>IF(AND(R1717="",S1717&lt;&gt;"Yes",L1717&gt;0,B1717&lt;&gt;"TXO"),L1717,"")</f>
        <v/>
      </c>
      <c r="W1717" s="61">
        <f>IF(AND(R1717="",S1717&lt;&gt;"Yes",L1717&lt;0,B1717&lt;&gt;"TXO"),L1717,"")</f>
        <v/>
      </c>
      <c r="X1717" s="226">
        <f>IF(AND(R1717="Yes",S1717="Yes",L1717&gt;0,B1717&lt;&gt;"TXO"),L1717,"")</f>
        <v/>
      </c>
      <c r="Y1717" s="226">
        <f>IF(AND(R1717="Yes",S1717="Yes",L1717&lt;0,B1717&lt;&gt;"TXO"),L1717,"")</f>
        <v/>
      </c>
      <c r="Z1717" s="226">
        <f>IF(AND(R1717="",S1717="Yes",L1717&gt;0,B1717&lt;&gt;"TXO"),L1717,"")</f>
        <v/>
      </c>
      <c r="AA1717" s="226">
        <f>IF(AND(R1717="",S1717="Yes",L1717&lt;0,B1717&lt;&gt;"TXO"),L1717,"")</f>
        <v/>
      </c>
    </row>
    <row r="1718" collapsed="1" ht="17.25" customHeight="1" thickBot="1">
      <c r="A1718" s="718" t="n">
        <v>43462</v>
      </c>
      <c r="B1718" s="292" t="n"/>
      <c r="C1718" s="292" t="inlineStr">
        <is>
          <t>阿水財經四班</t>
        </is>
      </c>
      <c r="D1718" s="292" t="n"/>
      <c r="E1718" s="292" t="n"/>
      <c r="F1718" s="292" t="n"/>
      <c r="G1718" s="719" t="n"/>
      <c r="H1718" s="719" t="n"/>
      <c r="I1718" s="719" t="n"/>
      <c r="J1718" s="720" t="n"/>
      <c r="K1718" s="719" t="n"/>
      <c r="L1718" s="720" t="n"/>
      <c r="M1718" s="721">
        <f>-5000*0.965</f>
        <v/>
      </c>
      <c r="N1718" s="666" t="n"/>
      <c r="P1718" s="722" t="n"/>
      <c r="Q1718" s="249" t="inlineStr">
        <is>
          <t>60000分12期, 每期5000</t>
        </is>
      </c>
      <c r="S1718" s="739" t="n"/>
    </row>
    <row r="1719" hidden="1" outlineLevel="1" ht="17.25" customHeight="1" thickBot="1">
      <c r="A1719" s="696" t="n">
        <v>43437</v>
      </c>
      <c r="B1719" s="234" t="inlineStr">
        <is>
          <t>FIMTX</t>
        </is>
      </c>
      <c r="C1719" s="229" t="inlineStr">
        <is>
          <t>小指12</t>
        </is>
      </c>
      <c r="D1719" s="229" t="inlineStr">
        <is>
          <t>新倉</t>
        </is>
      </c>
      <c r="E1719" s="257" t="inlineStr">
        <is>
          <t>賣</t>
        </is>
      </c>
      <c r="F1719" s="229" t="inlineStr">
        <is>
          <t>-</t>
        </is>
      </c>
      <c r="G1719" s="697" t="n">
        <v>1</v>
      </c>
      <c r="H1719" s="697" t="n">
        <v>10097</v>
      </c>
      <c r="I1719" s="697" t="n">
        <v>0</v>
      </c>
      <c r="J1719" s="585" t="n">
        <v>23</v>
      </c>
      <c r="K1719" s="585" t="n">
        <v>10</v>
      </c>
      <c r="L1719" s="585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/>
      </c>
      <c r="M1719" s="699">
        <f>L1719</f>
        <v/>
      </c>
      <c r="N1719" s="686">
        <f>IF(B1719="TXO","",IF(D1719="新倉","",IF(E1719="賣",(H1719-H1715)*G1719,(H1715-H1719)*G1719)))</f>
        <v/>
      </c>
      <c r="O1719" s="226" t="n">
        <v>0</v>
      </c>
      <c r="P1719" s="667">
        <f>SUM(L1719:L1726)</f>
        <v/>
      </c>
      <c r="Q1719" s="297" t="inlineStr">
        <is>
          <t>技法: 3/3 買進一口</t>
        </is>
      </c>
      <c r="R1719" s="249" t="inlineStr">
        <is>
          <t>Yes</t>
        </is>
      </c>
      <c r="S1719" s="249" t="inlineStr">
        <is>
          <t>Yes</t>
        </is>
      </c>
      <c r="T1719" s="61">
        <f>IF(AND(R1719="Yes",S1719&lt;&gt;"Yes",L1719&gt;0,B1719&lt;&gt;"TXO"),L1719,"")</f>
        <v/>
      </c>
      <c r="U1719" s="61">
        <f>IF(AND(R1719="Yes",S1719&lt;&gt;"Yes",L1719&lt;0,B1719&lt;&gt;"TXO"),L1719,"")</f>
        <v/>
      </c>
      <c r="V1719" s="61">
        <f>IF(AND(R1719="",S1719&lt;&gt;"Yes",L1719&gt;0,B1719&lt;&gt;"TXO"),L1719,"")</f>
        <v/>
      </c>
      <c r="W1719" s="61">
        <f>IF(AND(R1719="",S1719&lt;&gt;"Yes",L1719&lt;0,B1719&lt;&gt;"TXO"),L1719,"")</f>
        <v/>
      </c>
      <c r="X1719" s="226">
        <f>IF(AND(R1719="Yes",S1719="Yes",L1719&gt;0,B1719&lt;&gt;"TXO"),L1719,"")</f>
        <v/>
      </c>
      <c r="Y1719" s="226">
        <f>IF(AND(R1719="Yes",S1719="Yes",L1719&lt;0,B1719&lt;&gt;"TXO"),L1719,"")</f>
        <v/>
      </c>
      <c r="Z1719" s="226">
        <f>IF(AND(R1719="",S1719="Yes",L1719&gt;0,B1719&lt;&gt;"TXO"),L1719,"")</f>
        <v/>
      </c>
      <c r="AA1719" s="226">
        <f>IF(AND(R1719="",S1719="Yes",L1719&lt;0,B1719&lt;&gt;"TXO"),L1719,"")</f>
        <v/>
      </c>
    </row>
    <row r="1720" hidden="1" outlineLevel="2" collapsed="1" ht="17.25" customHeight="1" thickBot="1">
      <c r="A1720" s="696" t="n">
        <v>43437</v>
      </c>
      <c r="B1720" s="234" t="inlineStr">
        <is>
          <t>FIMTX</t>
        </is>
      </c>
      <c r="C1720" s="229" t="inlineStr">
        <is>
          <t>小指12</t>
        </is>
      </c>
      <c r="D1720" s="229" t="inlineStr">
        <is>
          <t>平倉</t>
        </is>
      </c>
      <c r="E1720" s="257" t="inlineStr">
        <is>
          <t>買</t>
        </is>
      </c>
      <c r="F1720" s="229" t="inlineStr">
        <is>
          <t>-</t>
        </is>
      </c>
      <c r="G1720" s="697" t="n">
        <v>1</v>
      </c>
      <c r="H1720" s="697" t="n">
        <v>10105</v>
      </c>
      <c r="I1720" s="697" t="n">
        <v>0</v>
      </c>
      <c r="J1720" s="585" t="n">
        <v>23</v>
      </c>
      <c r="K1720" s="585" t="n">
        <v>10</v>
      </c>
      <c r="L1720" s="585">
        <f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/>
      </c>
      <c r="M1720" s="699">
        <f>L1720</f>
        <v/>
      </c>
      <c r="N1720" s="686">
        <f>IF(B1720="TXO","",IF(D1720="新倉","",IF(E1720="賣",(H1720-H1719)*G1720,(H1719-H1720)*G1720)))</f>
        <v/>
      </c>
      <c r="O1720" s="226" t="n">
        <v>0</v>
      </c>
      <c r="P1720" s="667" t="n"/>
      <c r="Q1720" s="249" t="inlineStr">
        <is>
          <t>技法: 碰10MA出場</t>
        </is>
      </c>
      <c r="R1720" s="249" t="inlineStr">
        <is>
          <t>Yes</t>
        </is>
      </c>
      <c r="S1720" s="249" t="inlineStr">
        <is>
          <t>Yes</t>
        </is>
      </c>
      <c r="T1720" s="61">
        <f>IF(AND(R1720="Yes",S1720&lt;&gt;"Yes",L1720&gt;0,B1720&lt;&gt;"TXO"),L1720,"")</f>
        <v/>
      </c>
      <c r="U1720" s="61">
        <f>IF(AND(R1720="Yes",S1720&lt;&gt;"Yes",L1720&lt;0,B1720&lt;&gt;"TXO"),L1720,"")</f>
        <v/>
      </c>
      <c r="V1720" s="61">
        <f>IF(AND(R1720="",S1720&lt;&gt;"Yes",L1720&gt;0,B1720&lt;&gt;"TXO"),L1720,"")</f>
        <v/>
      </c>
      <c r="W1720" s="61">
        <f>IF(AND(R1720="",S1720&lt;&gt;"Yes",L1720&lt;0,B1720&lt;&gt;"TXO"),L1720,"")</f>
        <v/>
      </c>
      <c r="X1720" s="226">
        <f>IF(AND(R1720="Yes",S1720="Yes",L1720&gt;0,B1720&lt;&gt;"TXO"),L1720,"")</f>
        <v/>
      </c>
      <c r="Y1720" s="226">
        <f>IF(AND(R1720="Yes",S1720="Yes",L1720&lt;0,B1720&lt;&gt;"TXO"),L1720,"")</f>
        <v/>
      </c>
      <c r="Z1720" s="226">
        <f>IF(AND(R1720="",S1720="Yes",L1720&gt;0,B1720&lt;&gt;"TXO"),L1720,"")</f>
        <v/>
      </c>
      <c r="AA1720" s="226">
        <f>IF(AND(R1720="",S1720="Yes",L1720&lt;0,B1720&lt;&gt;"TXO"),L1720,"")</f>
        <v/>
      </c>
    </row>
    <row r="1721" hidden="1" outlineLevel="2" collapsed="1" ht="17.25" customHeight="1" thickBot="1">
      <c r="A1721" s="696" t="n">
        <v>43437</v>
      </c>
      <c r="B1721" s="234" t="inlineStr">
        <is>
          <t>FIMTX</t>
        </is>
      </c>
      <c r="C1721" s="229" t="inlineStr">
        <is>
          <t>小指12</t>
        </is>
      </c>
      <c r="D1721" s="229" t="inlineStr">
        <is>
          <t>新倉</t>
        </is>
      </c>
      <c r="E1721" s="257" t="inlineStr">
        <is>
          <t>買</t>
        </is>
      </c>
      <c r="F1721" s="229" t="inlineStr">
        <is>
          <t>-</t>
        </is>
      </c>
      <c r="G1721" s="697" t="n">
        <v>1</v>
      </c>
      <c r="H1721" s="697" t="n">
        <v>10089</v>
      </c>
      <c r="I1721" s="697" t="n">
        <v>0</v>
      </c>
      <c r="J1721" s="585" t="n">
        <v>23</v>
      </c>
      <c r="K1721" s="585" t="n">
        <v>10</v>
      </c>
      <c r="L1721" s="585">
        <f>IF(B1721="TXO",I1721-SUM(J1721:K1721),IF(B1721="FITX",IF(D1721="新倉",-SUM(J1721:K1721),IF(E1721="賣",(H1721-H1720)*G1721*200-SUM(J1721:K1721),(H1720-H1721)*G1721*200-SUM(J1721:K1721))),IF(D1721="新倉",-SUM(J1721:K1721),IF(E1721="賣",(H1721-H1720)*G1721*50-SUM(J1721:K1721),(H1720-H1721)*G1721*50-SUM(J1721:K1721)))))</f>
        <v/>
      </c>
      <c r="M1721" s="699">
        <f>L1721</f>
        <v/>
      </c>
      <c r="N1721" s="686">
        <f>IF(B1721="TXO","",IF(D1721="新倉","",IF(E1721="賣",(H1721-H1720)*G1721,(H1720-H1721)*G1721)))</f>
        <v/>
      </c>
      <c r="O1721" s="226" t="n">
        <v>0</v>
      </c>
      <c r="P1721" s="667" t="n"/>
      <c r="Q1721" s="297" t="inlineStr">
        <is>
          <t>技法: 3/3 買進一口</t>
        </is>
      </c>
      <c r="R1721" s="249" t="inlineStr">
        <is>
          <t>Yes</t>
        </is>
      </c>
      <c r="S1721" s="249" t="inlineStr">
        <is>
          <t>Yes</t>
        </is>
      </c>
      <c r="T1721" s="61">
        <f>IF(AND(R1721="Yes",S1721&lt;&gt;"Yes",L1721&gt;0,B1721&lt;&gt;"TXO"),L1721,"")</f>
        <v/>
      </c>
      <c r="U1721" s="61">
        <f>IF(AND(R1721="Yes",S1721&lt;&gt;"Yes",L1721&lt;0,B1721&lt;&gt;"TXO"),L1721,"")</f>
        <v/>
      </c>
      <c r="V1721" s="61">
        <f>IF(AND(R1721="",S1721&lt;&gt;"Yes",L1721&gt;0,B1721&lt;&gt;"TXO"),L1721,"")</f>
        <v/>
      </c>
      <c r="W1721" s="61">
        <f>IF(AND(R1721="",S1721&lt;&gt;"Yes",L1721&lt;0,B1721&lt;&gt;"TXO"),L1721,"")</f>
        <v/>
      </c>
      <c r="X1721" s="226">
        <f>IF(AND(R1721="Yes",S1721="Yes",L1721&gt;0,B1721&lt;&gt;"TXO"),L1721,"")</f>
        <v/>
      </c>
      <c r="Y1721" s="226">
        <f>IF(AND(R1721="Yes",S1721="Yes",L1721&lt;0,B1721&lt;&gt;"TXO"),L1721,"")</f>
        <v/>
      </c>
      <c r="Z1721" s="226">
        <f>IF(AND(R1721="",S1721="Yes",L1721&gt;0,B1721&lt;&gt;"TXO"),L1721,"")</f>
        <v/>
      </c>
      <c r="AA1721" s="226">
        <f>IF(AND(R1721="",S1721="Yes",L1721&lt;0,B1721&lt;&gt;"TXO"),L1721,"")</f>
        <v/>
      </c>
    </row>
    <row r="1722" hidden="1" outlineLevel="2" collapsed="1" ht="17.25" customHeight="1" thickBot="1">
      <c r="A1722" s="696" t="n">
        <v>43437</v>
      </c>
      <c r="B1722" s="234" t="inlineStr">
        <is>
          <t>FIMTX</t>
        </is>
      </c>
      <c r="C1722" s="229" t="inlineStr">
        <is>
          <t>小指12</t>
        </is>
      </c>
      <c r="D1722" s="229" t="inlineStr">
        <is>
          <t>平倉</t>
        </is>
      </c>
      <c r="E1722" s="257" t="inlineStr">
        <is>
          <t>賣</t>
        </is>
      </c>
      <c r="F1722" s="229" t="inlineStr">
        <is>
          <t>-</t>
        </is>
      </c>
      <c r="G1722" s="697" t="n">
        <v>1</v>
      </c>
      <c r="H1722" s="697" t="n">
        <v>10085</v>
      </c>
      <c r="I1722" s="697" t="n">
        <v>0</v>
      </c>
      <c r="J1722" s="585" t="n">
        <v>23</v>
      </c>
      <c r="K1722" s="585" t="n">
        <v>10</v>
      </c>
      <c r="L1722" s="585">
        <f>IF(B1722="TXO",I1722-SUM(J1722:K1722),IF(B1722="FITX",IF(D1722="新倉",-SUM(J1722:K1722),IF(E1722="賣",(H1722-H1721)*G1722*200-SUM(J1722:K1722),(H1721-H1722)*G1722*200-SUM(J1722:K1722))),IF(D1722="新倉",-SUM(J1722:K1722),IF(E1722="賣",(H1722-H1721)*G1722*50-SUM(J1722:K1722),(H1721-H1722)*G1722*50-SUM(J1722:K1722)))))</f>
        <v/>
      </c>
      <c r="M1722" s="699">
        <f>L1722</f>
        <v/>
      </c>
      <c r="N1722" s="686">
        <f>IF(B1722="TXO","",IF(D1722="新倉","",IF(E1722="賣",(H1722-H1721)*G1722,(H1721-H1722)*G1722)))</f>
        <v/>
      </c>
      <c r="O1722" s="226" t="n">
        <v>0</v>
      </c>
      <c r="P1722" s="667" t="n"/>
      <c r="Q1722" s="249" t="inlineStr">
        <is>
          <t>技法: 碰10MA出場</t>
        </is>
      </c>
      <c r="R1722" s="249" t="inlineStr">
        <is>
          <t>Yes</t>
        </is>
      </c>
      <c r="S1722" s="249" t="inlineStr">
        <is>
          <t>Yes</t>
        </is>
      </c>
      <c r="T1722" s="61">
        <f>IF(AND(R1722="Yes",S1722&lt;&gt;"Yes",L1722&gt;0,B1722&lt;&gt;"TXO"),L1722,"")</f>
        <v/>
      </c>
      <c r="U1722" s="61">
        <f>IF(AND(R1722="Yes",S1722&lt;&gt;"Yes",L1722&lt;0,B1722&lt;&gt;"TXO"),L1722,"")</f>
        <v/>
      </c>
      <c r="V1722" s="61">
        <f>IF(AND(R1722="",S1722&lt;&gt;"Yes",L1722&gt;0,B1722&lt;&gt;"TXO"),L1722,"")</f>
        <v/>
      </c>
      <c r="W1722" s="61">
        <f>IF(AND(R1722="",S1722&lt;&gt;"Yes",L1722&lt;0,B1722&lt;&gt;"TXO"),L1722,"")</f>
        <v/>
      </c>
      <c r="X1722" s="226">
        <f>IF(AND(R1722="Yes",S1722="Yes",L1722&gt;0,B1722&lt;&gt;"TXO"),L1722,"")</f>
        <v/>
      </c>
      <c r="Y1722" s="226">
        <f>IF(AND(R1722="Yes",S1722="Yes",L1722&lt;0,B1722&lt;&gt;"TXO"),L1722,"")</f>
        <v/>
      </c>
      <c r="Z1722" s="226">
        <f>IF(AND(R1722="",S1722="Yes",L1722&gt;0,B1722&lt;&gt;"TXO"),L1722,"")</f>
        <v/>
      </c>
      <c r="AA1722" s="226">
        <f>IF(AND(R1722="",S1722="Yes",L1722&lt;0,B1722&lt;&gt;"TXO"),L1722,"")</f>
        <v/>
      </c>
    </row>
    <row r="1723" hidden="1" outlineLevel="2" collapsed="1" ht="17.25" customHeight="1" thickBot="1">
      <c r="A1723" s="696" t="n">
        <v>43437</v>
      </c>
      <c r="B1723" s="234" t="inlineStr">
        <is>
          <t>FIMTX</t>
        </is>
      </c>
      <c r="C1723" s="229" t="inlineStr">
        <is>
          <t>小指12</t>
        </is>
      </c>
      <c r="D1723" s="229" t="inlineStr">
        <is>
          <t>新倉</t>
        </is>
      </c>
      <c r="E1723" s="257" t="inlineStr">
        <is>
          <t>賣</t>
        </is>
      </c>
      <c r="F1723" s="229" t="inlineStr">
        <is>
          <t>-</t>
        </is>
      </c>
      <c r="G1723" s="697" t="n">
        <v>1</v>
      </c>
      <c r="H1723" s="697" t="n">
        <v>10085</v>
      </c>
      <c r="I1723" s="697" t="n">
        <v>0</v>
      </c>
      <c r="J1723" s="585" t="n">
        <v>23</v>
      </c>
      <c r="K1723" s="585" t="n">
        <v>10</v>
      </c>
      <c r="L1723" s="585">
        <f>IF(B1723="TXO",I1723-SUM(J1723:K1723),IF(B1723="FITX",IF(D1723="新倉",-SUM(J1723:K1723),IF(E1723="賣",(H1723-H1722)*G1723*200-SUM(J1723:K1723),(H1722-H1723)*G1723*200-SUM(J1723:K1723))),IF(D1723="新倉",-SUM(J1723:K1723),IF(E1723="賣",(H1723-H1722)*G1723*50-SUM(J1723:K1723),(H1722-H1723)*G1723*50-SUM(J1723:K1723)))))</f>
        <v/>
      </c>
      <c r="M1723" s="699">
        <f>L1723</f>
        <v/>
      </c>
      <c r="N1723" s="686">
        <f>IF(B1723="TXO","",IF(D1723="新倉","",IF(E1723="賣",(H1723-H1722)*G1723,(H1722-H1723)*G1723)))</f>
        <v/>
      </c>
      <c r="O1723" s="226" t="n">
        <v>0</v>
      </c>
      <c r="P1723" s="667" t="n"/>
      <c r="Q1723" s="297" t="inlineStr">
        <is>
          <t>技法: 3/3 買進一口</t>
        </is>
      </c>
      <c r="R1723" s="249" t="inlineStr">
        <is>
          <t>Yes</t>
        </is>
      </c>
      <c r="S1723" s="249" t="inlineStr">
        <is>
          <t>Yes</t>
        </is>
      </c>
      <c r="T1723" s="61">
        <f>IF(AND(R1723="Yes",S1723&lt;&gt;"Yes",L1723&gt;0,B1723&lt;&gt;"TXO"),L1723,"")</f>
        <v/>
      </c>
      <c r="U1723" s="61">
        <f>IF(AND(R1723="Yes",S1723&lt;&gt;"Yes",L1723&lt;0,B1723&lt;&gt;"TXO"),L1723,"")</f>
        <v/>
      </c>
      <c r="V1723" s="61">
        <f>IF(AND(R1723="",S1723&lt;&gt;"Yes",L1723&gt;0,B1723&lt;&gt;"TXO"),L1723,"")</f>
        <v/>
      </c>
      <c r="W1723" s="61">
        <f>IF(AND(R1723="",S1723&lt;&gt;"Yes",L1723&lt;0,B1723&lt;&gt;"TXO"),L1723,"")</f>
        <v/>
      </c>
      <c r="X1723" s="226">
        <f>IF(AND(R1723="Yes",S1723="Yes",L1723&gt;0,B1723&lt;&gt;"TXO"),L1723,"")</f>
        <v/>
      </c>
      <c r="Y1723" s="226">
        <f>IF(AND(R1723="Yes",S1723="Yes",L1723&lt;0,B1723&lt;&gt;"TXO"),L1723,"")</f>
        <v/>
      </c>
      <c r="Z1723" s="226">
        <f>IF(AND(R1723="",S1723="Yes",L1723&gt;0,B1723&lt;&gt;"TXO"),L1723,"")</f>
        <v/>
      </c>
      <c r="AA1723" s="226">
        <f>IF(AND(R1723="",S1723="Yes",L1723&lt;0,B1723&lt;&gt;"TXO"),L1723,"")</f>
        <v/>
      </c>
    </row>
    <row r="1724" hidden="1" outlineLevel="2" collapsed="1" ht="17.25" customHeight="1" thickBot="1">
      <c r="A1724" s="696" t="n">
        <v>43437</v>
      </c>
      <c r="B1724" s="234" t="inlineStr">
        <is>
          <t>FIMTX</t>
        </is>
      </c>
      <c r="C1724" s="229" t="inlineStr">
        <is>
          <t>小指12</t>
        </is>
      </c>
      <c r="D1724" s="229" t="inlineStr">
        <is>
          <t>平倉</t>
        </is>
      </c>
      <c r="E1724" s="257" t="inlineStr">
        <is>
          <t>買</t>
        </is>
      </c>
      <c r="F1724" s="229" t="inlineStr">
        <is>
          <t>-</t>
        </is>
      </c>
      <c r="G1724" s="697" t="n">
        <v>1</v>
      </c>
      <c r="H1724" s="697" t="n">
        <v>10098</v>
      </c>
      <c r="I1724" s="697" t="n">
        <v>0</v>
      </c>
      <c r="J1724" s="585" t="n">
        <v>23</v>
      </c>
      <c r="K1724" s="585" t="n">
        <v>10</v>
      </c>
      <c r="L1724" s="585">
        <f>IF(B1724="TXO",I1724-SUM(J1724:K1724),IF(B1724="FITX",IF(D1724="新倉",-SUM(J1724:K1724),IF(E1724="賣",(H1724-H1723)*G1724*200-SUM(J1724:K1724),(H1723-H1724)*G1724*200-SUM(J1724:K1724))),IF(D1724="新倉",-SUM(J1724:K1724),IF(E1724="賣",(H1724-H1723)*G1724*50-SUM(J1724:K1724),(H1723-H1724)*G1724*50-SUM(J1724:K1724)))))</f>
        <v/>
      </c>
      <c r="M1724" s="699">
        <f>L1724</f>
        <v/>
      </c>
      <c r="N1724" s="686">
        <f>IF(B1724="TXO","",IF(D1724="新倉","",IF(E1724="賣",(H1724-H1723)*G1724,(H1723-H1724)*G1724)))</f>
        <v/>
      </c>
      <c r="O1724" s="226" t="n">
        <v>0</v>
      </c>
      <c r="P1724" s="667" t="n"/>
      <c r="Q1724" s="249" t="inlineStr">
        <is>
          <t>技法: 15點停損</t>
        </is>
      </c>
      <c r="R1724" s="249" t="inlineStr">
        <is>
          <t>Yes</t>
        </is>
      </c>
      <c r="S1724" s="249" t="inlineStr">
        <is>
          <t>Yes</t>
        </is>
      </c>
      <c r="T1724" s="61">
        <f>IF(AND(R1724="Yes",S1724&lt;&gt;"Yes",L1724&gt;0,B1724&lt;&gt;"TXO"),L1724,"")</f>
        <v/>
      </c>
      <c r="U1724" s="61">
        <f>IF(AND(R1724="Yes",S1724&lt;&gt;"Yes",L1724&lt;0,B1724&lt;&gt;"TXO"),L1724,"")</f>
        <v/>
      </c>
      <c r="V1724" s="61">
        <f>IF(AND(R1724="",S1724&lt;&gt;"Yes",L1724&gt;0,B1724&lt;&gt;"TXO"),L1724,"")</f>
        <v/>
      </c>
      <c r="W1724" s="61">
        <f>IF(AND(R1724="",S1724&lt;&gt;"Yes",L1724&lt;0,B1724&lt;&gt;"TXO"),L1724,"")</f>
        <v/>
      </c>
      <c r="X1724" s="226">
        <f>IF(AND(R1724="Yes",S1724="Yes",L1724&gt;0,B1724&lt;&gt;"TXO"),L1724,"")</f>
        <v/>
      </c>
      <c r="Y1724" s="226">
        <f>IF(AND(R1724="Yes",S1724="Yes",L1724&lt;0,B1724&lt;&gt;"TXO"),L1724,"")</f>
        <v/>
      </c>
      <c r="Z1724" s="226">
        <f>IF(AND(R1724="",S1724="Yes",L1724&gt;0,B1724&lt;&gt;"TXO"),L1724,"")</f>
        <v/>
      </c>
      <c r="AA1724" s="226">
        <f>IF(AND(R1724="",S1724="Yes",L1724&lt;0,B1724&lt;&gt;"TXO"),L1724,"")</f>
        <v/>
      </c>
    </row>
    <row r="1725" hidden="1" outlineLevel="2" collapsed="1" ht="17.25" customHeight="1" thickBot="1">
      <c r="A1725" s="696" t="n">
        <v>43437</v>
      </c>
      <c r="B1725" s="234" t="inlineStr">
        <is>
          <t>FIMTX</t>
        </is>
      </c>
      <c r="C1725" s="229" t="inlineStr">
        <is>
          <t>小指12</t>
        </is>
      </c>
      <c r="D1725" s="229" t="inlineStr">
        <is>
          <t>新倉</t>
        </is>
      </c>
      <c r="E1725" s="257" t="inlineStr">
        <is>
          <t>買</t>
        </is>
      </c>
      <c r="F1725" s="229" t="inlineStr">
        <is>
          <t>-</t>
        </is>
      </c>
      <c r="G1725" s="697" t="n">
        <v>1</v>
      </c>
      <c r="H1725" s="697" t="n">
        <v>10097</v>
      </c>
      <c r="I1725" s="697" t="n">
        <v>0</v>
      </c>
      <c r="J1725" s="585" t="n">
        <v>23</v>
      </c>
      <c r="K1725" s="585" t="n">
        <v>10</v>
      </c>
      <c r="L1725" s="585">
        <f>IF(B1725="TXO",I1725-SUM(J1725:K1725),IF(B1725="FITX",IF(D1725="新倉",-SUM(J1725:K1725),IF(E1725="賣",(H1725-H1724)*G1725*200-SUM(J1725:K1725),(H1724-H1725)*G1725*200-SUM(J1725:K1725))),IF(D1725="新倉",-SUM(J1725:K1725),IF(E1725="賣",(H1725-H1724)*G1725*50-SUM(J1725:K1725),(H1724-H1725)*G1725*50-SUM(J1725:K1725)))))</f>
        <v/>
      </c>
      <c r="M1725" s="699">
        <f>L1725</f>
        <v/>
      </c>
      <c r="N1725" s="686">
        <f>IF(B1725="TXO","",IF(D1725="新倉","",IF(E1725="賣",(H1725-H1724)*G1725,(H1724-H1725)*G1725)))</f>
        <v/>
      </c>
      <c r="O1725" s="226" t="n">
        <v>0</v>
      </c>
      <c r="P1725" s="667" t="n"/>
      <c r="Q1725" s="297" t="inlineStr">
        <is>
          <t>技法: 3/3 買進一口</t>
        </is>
      </c>
      <c r="R1725" s="249" t="inlineStr">
        <is>
          <t>Yes</t>
        </is>
      </c>
      <c r="S1725" s="249" t="inlineStr">
        <is>
          <t>Yes</t>
        </is>
      </c>
      <c r="T1725" s="61">
        <f>IF(AND(R1725="Yes",S1725&lt;&gt;"Yes",L1725&gt;0,B1725&lt;&gt;"TXO"),L1725,"")</f>
        <v/>
      </c>
      <c r="U1725" s="61">
        <f>IF(AND(R1725="Yes",S1725&lt;&gt;"Yes",L1725&lt;0,B1725&lt;&gt;"TXO"),L1725,"")</f>
        <v/>
      </c>
      <c r="V1725" s="61">
        <f>IF(AND(R1725="",S1725&lt;&gt;"Yes",L1725&gt;0,B1725&lt;&gt;"TXO"),L1725,"")</f>
        <v/>
      </c>
      <c r="W1725" s="61">
        <f>IF(AND(R1725="",S1725&lt;&gt;"Yes",L1725&lt;0,B1725&lt;&gt;"TXO"),L1725,"")</f>
        <v/>
      </c>
      <c r="X1725" s="226">
        <f>IF(AND(R1725="Yes",S1725="Yes",L1725&gt;0,B1725&lt;&gt;"TXO"),L1725,"")</f>
        <v/>
      </c>
      <c r="Y1725" s="226">
        <f>IF(AND(R1725="Yes",S1725="Yes",L1725&lt;0,B1725&lt;&gt;"TXO"),L1725,"")</f>
        <v/>
      </c>
      <c r="Z1725" s="226">
        <f>IF(AND(R1725="",S1725="Yes",L1725&gt;0,B1725&lt;&gt;"TXO"),L1725,"")</f>
        <v/>
      </c>
      <c r="AA1725" s="226">
        <f>IF(AND(R1725="",S1725="Yes",L1725&lt;0,B1725&lt;&gt;"TXO"),L1725,"")</f>
        <v/>
      </c>
    </row>
    <row r="1726" hidden="1" outlineLevel="2" ht="17.25" customHeight="1" thickBot="1">
      <c r="A1726" s="696" t="n">
        <v>43437</v>
      </c>
      <c r="B1726" s="234" t="inlineStr">
        <is>
          <t>FIMTX</t>
        </is>
      </c>
      <c r="C1726" s="229" t="inlineStr">
        <is>
          <t>小指12</t>
        </is>
      </c>
      <c r="D1726" s="229" t="inlineStr">
        <is>
          <t>平倉</t>
        </is>
      </c>
      <c r="E1726" s="257" t="inlineStr">
        <is>
          <t>賣</t>
        </is>
      </c>
      <c r="F1726" s="229" t="inlineStr">
        <is>
          <t>-</t>
        </is>
      </c>
      <c r="G1726" s="697" t="n">
        <v>1</v>
      </c>
      <c r="H1726" s="697" t="n">
        <v>10107</v>
      </c>
      <c r="I1726" s="697" t="n">
        <v>0</v>
      </c>
      <c r="J1726" s="585" t="n">
        <v>23</v>
      </c>
      <c r="K1726" s="585" t="n">
        <v>10</v>
      </c>
      <c r="L1726" s="585">
        <f>IF(B1726="TXO",I1726-SUM(J1726:K1726),IF(B1726="FITX",IF(D1726="新倉",-SUM(J1726:K1726),IF(E1726="賣",(H1726-H1725)*G1726*200-SUM(J1726:K1726),(H1725-H1726)*G1726*200-SUM(J1726:K1726))),IF(D1726="新倉",-SUM(J1726:K1726),IF(E1726="賣",(H1726-H1725)*G1726*50-SUM(J1726:K1726),(H1725-H1726)*G1726*50-SUM(J1726:K1726)))))</f>
        <v/>
      </c>
      <c r="M1726" s="699">
        <f>L1726</f>
        <v/>
      </c>
      <c r="N1726" s="686">
        <f>IF(B1726="TXO","",IF(D1726="新倉","",IF(E1726="賣",(H1726-H1725)*G1726,(H1725-H1726)*G1726)))</f>
        <v/>
      </c>
      <c r="O1726" s="226" t="n">
        <v>0</v>
      </c>
      <c r="P1726" s="667" t="n"/>
      <c r="Q1726" s="249" t="inlineStr">
        <is>
          <t>技法: 刺補</t>
        </is>
      </c>
      <c r="R1726" s="249" t="inlineStr">
        <is>
          <t>Yes</t>
        </is>
      </c>
      <c r="S1726" s="249" t="inlineStr">
        <is>
          <t>Yes</t>
        </is>
      </c>
      <c r="T1726" s="61">
        <f>IF(AND(R1726="Yes",S1726&lt;&gt;"Yes",L1726&gt;0,B1726&lt;&gt;"TXO"),L1726,"")</f>
        <v/>
      </c>
      <c r="U1726" s="61">
        <f>IF(AND(R1726="Yes",S1726&lt;&gt;"Yes",L1726&lt;0,B1726&lt;&gt;"TXO"),L1726,"")</f>
        <v/>
      </c>
      <c r="V1726" s="61">
        <f>IF(AND(R1726="",S1726&lt;&gt;"Yes",L1726&gt;0,B1726&lt;&gt;"TXO"),L1726,"")</f>
        <v/>
      </c>
      <c r="W1726" s="61">
        <f>IF(AND(R1726="",S1726&lt;&gt;"Yes",L1726&lt;0,B1726&lt;&gt;"TXO"),L1726,"")</f>
        <v/>
      </c>
      <c r="X1726" s="226">
        <f>IF(AND(R1726="Yes",S1726="Yes",L1726&gt;0,B1726&lt;&gt;"TXO"),L1726,"")</f>
        <v/>
      </c>
      <c r="Y1726" s="226">
        <f>IF(AND(R1726="Yes",S1726="Yes",L1726&lt;0,B1726&lt;&gt;"TXO"),L1726,"")</f>
        <v/>
      </c>
      <c r="Z1726" s="226">
        <f>IF(AND(R1726="",S1726="Yes",L1726&gt;0,B1726&lt;&gt;"TXO"),L1726,"")</f>
        <v/>
      </c>
      <c r="AA1726" s="226">
        <f>IF(AND(R1726="",S1726="Yes",L1726&lt;0,B1726&lt;&gt;"TXO"),L1726,"")</f>
        <v/>
      </c>
    </row>
    <row r="1727" hidden="1" outlineLevel="1" ht="17.25" customHeight="1" thickBot="1">
      <c r="A1727" s="696" t="n">
        <v>43437</v>
      </c>
      <c r="B1727" s="234" t="inlineStr">
        <is>
          <t>TXO</t>
        </is>
      </c>
      <c r="C1727" s="229" t="inlineStr">
        <is>
          <t>台選W1 12 10400 C</t>
        </is>
      </c>
      <c r="D1727" s="229" t="inlineStr">
        <is>
          <t>新倉</t>
        </is>
      </c>
      <c r="E1727" s="257" t="inlineStr">
        <is>
          <t>買</t>
        </is>
      </c>
      <c r="F1727" s="229" t="inlineStr">
        <is>
          <t>-</t>
        </is>
      </c>
      <c r="G1727" s="697" t="n">
        <v>10</v>
      </c>
      <c r="H1727" s="697" t="n">
        <v>2.5</v>
      </c>
      <c r="I1727" s="697" t="n">
        <v>-1250</v>
      </c>
      <c r="J1727" s="585" t="n">
        <v>180</v>
      </c>
      <c r="K1727" s="585" t="n">
        <v>0</v>
      </c>
      <c r="L1727" s="585">
        <f>IF(B1727="TXO",I1727-SUM(J1727:K1727),IF(B1727="FITX",IF(D1727="新倉",-SUM(J1727:K1727),IF(E1727="賣",(H1727-H1726)*G1727*200-SUM(J1727:K1727),(H1726-H1727)*G1727*200-SUM(J1727:K1727))),IF(D1727="新倉",-SUM(J1727:K1727),IF(E1727="賣",(H1727-H1726)*G1727*50-SUM(J1727:K1727),(H1726-H1727)*G1727*50-SUM(J1727:K1727)))))</f>
        <v/>
      </c>
      <c r="M1727" s="699">
        <f>L1727</f>
        <v/>
      </c>
      <c r="N1727" s="686">
        <f>IF(B1727="TXO","",IF(D1727="新倉","",IF(E1727="賣",(H1727-H1726)*G1727,(H1726-H1727)*G1727)))</f>
        <v/>
      </c>
      <c r="O1727" s="226" t="n">
        <v>0</v>
      </c>
      <c r="P1727" s="667">
        <f>SUM(L1727:L1729)</f>
        <v/>
      </c>
      <c r="Q1727" s="315" t="n"/>
      <c r="S1727" s="61" t="n"/>
      <c r="T1727" s="61">
        <f>IF(AND(R1727="Yes",S1727&lt;&gt;"Yes",L1727&gt;0,B1727&lt;&gt;"TXO"),L1727,"")</f>
        <v/>
      </c>
      <c r="U1727" s="61">
        <f>IF(AND(R1727="Yes",S1727&lt;&gt;"Yes",L1727&lt;0,B1727&lt;&gt;"TXO"),L1727,"")</f>
        <v/>
      </c>
      <c r="V1727" s="61">
        <f>IF(AND(R1727="",S1727&lt;&gt;"Yes",L1727&gt;0,B1727&lt;&gt;"TXO"),L1727,"")</f>
        <v/>
      </c>
      <c r="W1727" s="61">
        <f>IF(AND(R1727="",S1727&lt;&gt;"Yes",L1727&lt;0,B1727&lt;&gt;"TXO"),L1727,"")</f>
        <v/>
      </c>
      <c r="X1727" s="226">
        <f>IF(AND(R1727="Yes",S1727="Yes",L1727&gt;0,B1727&lt;&gt;"TXO"),L1727,"")</f>
        <v/>
      </c>
      <c r="Y1727" s="226">
        <f>IF(AND(R1727="Yes",S1727="Yes",L1727&lt;0,B1727&lt;&gt;"TXO"),L1727,"")</f>
        <v/>
      </c>
      <c r="Z1727" s="226">
        <f>IF(AND(R1727="",S1727="Yes",L1727&gt;0,B1727&lt;&gt;"TXO"),L1727,"")</f>
        <v/>
      </c>
      <c r="AA1727" s="226">
        <f>IF(AND(R1727="",S1727="Yes",L1727&lt;0,B1727&lt;&gt;"TXO"),L1727,"")</f>
        <v/>
      </c>
    </row>
    <row r="1728" hidden="1" outlineLevel="2" collapsed="1" ht="17.25" customHeight="1" thickBot="1">
      <c r="A1728" s="696" t="n">
        <v>43437</v>
      </c>
      <c r="B1728" s="234" t="inlineStr">
        <is>
          <t>TXO</t>
        </is>
      </c>
      <c r="C1728" s="229" t="inlineStr">
        <is>
          <t>台選W1 12 10300 C</t>
        </is>
      </c>
      <c r="D1728" s="229" t="inlineStr">
        <is>
          <t>新倉</t>
        </is>
      </c>
      <c r="E1728" s="257" t="inlineStr">
        <is>
          <t>買</t>
        </is>
      </c>
      <c r="F1728" s="229" t="inlineStr">
        <is>
          <t>-</t>
        </is>
      </c>
      <c r="G1728" s="697" t="n">
        <v>5</v>
      </c>
      <c r="H1728" s="697" t="n">
        <v>9</v>
      </c>
      <c r="I1728" s="697" t="n">
        <v>-2250</v>
      </c>
      <c r="J1728" s="585" t="n">
        <v>90</v>
      </c>
      <c r="K1728" s="585" t="n">
        <v>0</v>
      </c>
      <c r="L1728" s="585">
        <f>IF(B1728="TXO",I1728-SUM(J1728:K1728),IF(B1728="FITX",IF(D1728="新倉",-SUM(J1728:K1728),IF(E1728="賣",(H1728-H1727)*G1728*200-SUM(J1728:K1728),(H1727-H1728)*G1728*200-SUM(J1728:K1728))),IF(D1728="新倉",-SUM(J1728:K1728),IF(E1728="賣",(H1728-H1727)*G1728*50-SUM(J1728:K1728),(H1727-H1728)*G1728*50-SUM(J1728:K1728)))))</f>
        <v/>
      </c>
      <c r="M1728" s="699">
        <f>L1728</f>
        <v/>
      </c>
      <c r="N1728" s="686">
        <f>IF(B1728="TXO","",IF(D1728="新倉","",IF(E1728="賣",(H1728-H1727)*G1728,(H1727-H1728)*G1728)))</f>
        <v/>
      </c>
      <c r="O1728" s="226" t="n">
        <v>0</v>
      </c>
      <c r="P1728" s="667" t="n"/>
      <c r="Q1728" s="297" t="n"/>
      <c r="S1728" s="249" t="n"/>
      <c r="T1728" s="61">
        <f>IF(AND(R1728="Yes",S1728&lt;&gt;"Yes",L1728&gt;0,B1728&lt;&gt;"TXO"),L1728,"")</f>
        <v/>
      </c>
      <c r="U1728" s="61">
        <f>IF(AND(R1728="Yes",S1728&lt;&gt;"Yes",L1728&lt;0,B1728&lt;&gt;"TXO"),L1728,"")</f>
        <v/>
      </c>
      <c r="V1728" s="61">
        <f>IF(AND(R1728="",S1728&lt;&gt;"Yes",L1728&gt;0,B1728&lt;&gt;"TXO"),L1728,"")</f>
        <v/>
      </c>
      <c r="W1728" s="61">
        <f>IF(AND(R1728="",S1728&lt;&gt;"Yes",L1728&lt;0,B1728&lt;&gt;"TXO"),L1728,"")</f>
        <v/>
      </c>
      <c r="X1728" s="226">
        <f>IF(AND(R1728="Yes",S1728="Yes",L1728&gt;0,B1728&lt;&gt;"TXO"),L1728,"")</f>
        <v/>
      </c>
      <c r="Y1728" s="226">
        <f>IF(AND(R1728="Yes",S1728="Yes",L1728&lt;0,B1728&lt;&gt;"TXO"),L1728,"")</f>
        <v/>
      </c>
      <c r="Z1728" s="226">
        <f>IF(AND(R1728="",S1728="Yes",L1728&gt;0,B1728&lt;&gt;"TXO"),L1728,"")</f>
        <v/>
      </c>
      <c r="AA1728" s="226">
        <f>IF(AND(R1728="",S1728="Yes",L1728&lt;0,B1728&lt;&gt;"TXO"),L1728,"")</f>
        <v/>
      </c>
    </row>
    <row r="1729" hidden="1" outlineLevel="2" ht="17.25" customHeight="1" thickBot="1">
      <c r="A1729" s="696" t="n">
        <v>43437</v>
      </c>
      <c r="B1729" s="234" t="inlineStr">
        <is>
          <t>TXO</t>
        </is>
      </c>
      <c r="C1729" s="229" t="inlineStr">
        <is>
          <t>台選W1 12 10200 C</t>
        </is>
      </c>
      <c r="D1729" s="229" t="inlineStr">
        <is>
          <t>新倉</t>
        </is>
      </c>
      <c r="E1729" s="257" t="inlineStr">
        <is>
          <t>買</t>
        </is>
      </c>
      <c r="F1729" s="229" t="inlineStr">
        <is>
          <t>-</t>
        </is>
      </c>
      <c r="G1729" s="697" t="n">
        <v>1</v>
      </c>
      <c r="H1729" s="697" t="n">
        <v>30</v>
      </c>
      <c r="I1729" s="697" t="n">
        <v>-1500</v>
      </c>
      <c r="J1729" s="585" t="n">
        <v>18</v>
      </c>
      <c r="K1729" s="585" t="n">
        <v>2</v>
      </c>
      <c r="L1729" s="585">
        <f>IF(B1729="TXO",I1729-SUM(J1729:K1729),IF(B1729="FITX",IF(D1729="新倉",-SUM(J1729:K1729),IF(E1729="賣",(H1729-H1728)*G1729*200-SUM(J1729:K1729),(H1728-H1729)*G1729*200-SUM(J1729:K1729))),IF(D1729="新倉",-SUM(J1729:K1729),IF(E1729="賣",(H1729-H1728)*G1729*50-SUM(J1729:K1729),(H1728-H1729)*G1729*50-SUM(J1729:K1729)))))</f>
        <v/>
      </c>
      <c r="M1729" s="699">
        <f>L1729</f>
        <v/>
      </c>
      <c r="N1729" s="686">
        <f>IF(B1729="TXO","",IF(D1729="新倉","",IF(E1729="賣",(H1729-H1728)*G1729,(H1728-H1729)*G1729)))</f>
        <v/>
      </c>
      <c r="O1729" s="226" t="n">
        <v>0</v>
      </c>
      <c r="P1729" s="667" t="n"/>
      <c r="S1729" s="249" t="n"/>
      <c r="T1729" s="61">
        <f>IF(AND(R1729="Yes",S1729&lt;&gt;"Yes",L1729&gt;0,B1729&lt;&gt;"TXO"),L1729,"")</f>
        <v/>
      </c>
      <c r="U1729" s="61">
        <f>IF(AND(R1729="Yes",S1729&lt;&gt;"Yes",L1729&lt;0,B1729&lt;&gt;"TXO"),L1729,"")</f>
        <v/>
      </c>
      <c r="V1729" s="61">
        <f>IF(AND(R1729="",S1729&lt;&gt;"Yes",L1729&gt;0,B1729&lt;&gt;"TXO"),L1729,"")</f>
        <v/>
      </c>
      <c r="W1729" s="61">
        <f>IF(AND(R1729="",S1729&lt;&gt;"Yes",L1729&lt;0,B1729&lt;&gt;"TXO"),L1729,"")</f>
        <v/>
      </c>
      <c r="X1729" s="226">
        <f>IF(AND(R1729="Yes",S1729="Yes",L1729&gt;0,B1729&lt;&gt;"TXO"),L1729,"")</f>
        <v/>
      </c>
      <c r="Y1729" s="226">
        <f>IF(AND(R1729="Yes",S1729="Yes",L1729&lt;0,B1729&lt;&gt;"TXO"),L1729,"")</f>
        <v/>
      </c>
      <c r="Z1729" s="226">
        <f>IF(AND(R1729="",S1729="Yes",L1729&gt;0,B1729&lt;&gt;"TXO"),L1729,"")</f>
        <v/>
      </c>
      <c r="AA1729" s="226">
        <f>IF(AND(R1729="",S1729="Yes",L1729&lt;0,B1729&lt;&gt;"TXO"),L1729,"")</f>
        <v/>
      </c>
    </row>
    <row r="1730" hidden="1" outlineLevel="1" ht="17.25" customHeight="1" thickBot="1">
      <c r="A1730" s="740" t="n">
        <v>43438</v>
      </c>
      <c r="B1730" s="299" t="inlineStr">
        <is>
          <t>FIMTX</t>
        </is>
      </c>
      <c r="C1730" s="300" t="inlineStr">
        <is>
          <t>小指12</t>
        </is>
      </c>
      <c r="D1730" s="300" t="inlineStr">
        <is>
          <t>新倉</t>
        </is>
      </c>
      <c r="E1730" s="301" t="inlineStr">
        <is>
          <t>買</t>
        </is>
      </c>
      <c r="F1730" s="300" t="inlineStr">
        <is>
          <t>-</t>
        </is>
      </c>
      <c r="G1730" s="741" t="n">
        <v>1</v>
      </c>
      <c r="H1730" s="741" t="n">
        <v>10071</v>
      </c>
      <c r="I1730" s="741" t="n">
        <v>0</v>
      </c>
      <c r="J1730" s="742" t="n">
        <v>23</v>
      </c>
      <c r="K1730" s="742" t="n">
        <v>10</v>
      </c>
      <c r="L1730" s="742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/>
      </c>
      <c r="M1730" s="743">
        <f>L1730</f>
        <v/>
      </c>
      <c r="N1730" s="686">
        <f>IF(B1730="TXO","",IF(D1730="新倉","",IF(E1730="賣",(H1730-H1729)*G1730,(H1729-H1730)*G1730)))</f>
        <v/>
      </c>
      <c r="O1730" s="226" t="n">
        <v>0</v>
      </c>
      <c r="P1730" s="667">
        <f>SUM(L1730:L1737)</f>
        <v/>
      </c>
      <c r="Q1730" s="297" t="inlineStr">
        <is>
          <t>技法: 3/3 買進一口</t>
        </is>
      </c>
      <c r="R1730" s="249" t="inlineStr">
        <is>
          <t>Yes</t>
        </is>
      </c>
      <c r="S1730" s="249" t="n"/>
      <c r="T1730" s="61">
        <f>IF(AND(R1730="Yes",S1730&lt;&gt;"Yes",L1730&gt;0,B1730&lt;&gt;"TXO"),L1730,"")</f>
        <v/>
      </c>
      <c r="U1730" s="61">
        <f>IF(AND(R1730="Yes",S1730&lt;&gt;"Yes",L1730&lt;0,B1730&lt;&gt;"TXO"),L1730,"")</f>
        <v/>
      </c>
      <c r="V1730" s="61">
        <f>IF(AND(R1730="",S1730&lt;&gt;"Yes",L1730&gt;0,B1730&lt;&gt;"TXO"),L1730,"")</f>
        <v/>
      </c>
      <c r="W1730" s="61">
        <f>IF(AND(R1730="",S1730&lt;&gt;"Yes",L1730&lt;0,B1730&lt;&gt;"TXO"),L1730,"")</f>
        <v/>
      </c>
      <c r="X1730" s="226">
        <f>IF(AND(R1730="Yes",S1730="Yes",L1730&gt;0,B1730&lt;&gt;"TXO"),L1730,"")</f>
        <v/>
      </c>
      <c r="Y1730" s="226">
        <f>IF(AND(R1730="Yes",S1730="Yes",L1730&lt;0,B1730&lt;&gt;"TXO"),L1730,"")</f>
        <v/>
      </c>
      <c r="Z1730" s="226">
        <f>IF(AND(R1730="",S1730="Yes",L1730&gt;0,B1730&lt;&gt;"TXO"),L1730,"")</f>
        <v/>
      </c>
      <c r="AA1730" s="226">
        <f>IF(AND(R1730="",S1730="Yes",L1730&lt;0,B1730&lt;&gt;"TXO"),L1730,"")</f>
        <v/>
      </c>
    </row>
    <row r="1731" hidden="1" outlineLevel="2" collapsed="1" ht="17.25" customHeight="1" thickBot="1">
      <c r="A1731" s="740" t="n">
        <v>43438</v>
      </c>
      <c r="B1731" s="299" t="inlineStr">
        <is>
          <t>FIMTX</t>
        </is>
      </c>
      <c r="C1731" s="300" t="inlineStr">
        <is>
          <t>小指12</t>
        </is>
      </c>
      <c r="D1731" s="300" t="inlineStr">
        <is>
          <t>平倉</t>
        </is>
      </c>
      <c r="E1731" s="301" t="inlineStr">
        <is>
          <t>賣</t>
        </is>
      </c>
      <c r="F1731" s="300" t="inlineStr">
        <is>
          <t>-</t>
        </is>
      </c>
      <c r="G1731" s="741" t="n">
        <v>1</v>
      </c>
      <c r="H1731" s="741" t="n">
        <v>10072</v>
      </c>
      <c r="I1731" s="741" t="n">
        <v>0</v>
      </c>
      <c r="J1731" s="742" t="n">
        <v>23</v>
      </c>
      <c r="K1731" s="742" t="n">
        <v>10</v>
      </c>
      <c r="L1731" s="742">
        <f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/>
      </c>
      <c r="M1731" s="743">
        <f>L1731</f>
        <v/>
      </c>
      <c r="N1731" s="686">
        <f>IF(B1731="TXO","",IF(D1731="新倉","",IF(E1731="賣",(H1731-H1730)*G1731,(H1730-H1731)*G1731)))</f>
        <v/>
      </c>
      <c r="O1731" s="226" t="n">
        <v>0</v>
      </c>
      <c r="P1731" s="667" t="n"/>
      <c r="Q1731" s="249" t="inlineStr">
        <is>
          <t>技法: 刺補</t>
        </is>
      </c>
      <c r="R1731" s="249" t="inlineStr">
        <is>
          <t>Yes</t>
        </is>
      </c>
      <c r="S1731" s="249" t="n"/>
      <c r="T1731" s="61">
        <f>IF(AND(R1731="Yes",S1731&lt;&gt;"Yes",L1731&gt;0,B1731&lt;&gt;"TXO"),L1731,"")</f>
        <v/>
      </c>
      <c r="U1731" s="61">
        <f>IF(AND(R1731="Yes",S1731&lt;&gt;"Yes",L1731&lt;0,B1731&lt;&gt;"TXO"),L1731,"")</f>
        <v/>
      </c>
      <c r="V1731" s="61">
        <f>IF(AND(R1731="",S1731&lt;&gt;"Yes",L1731&gt;0,B1731&lt;&gt;"TXO"),L1731,"")</f>
        <v/>
      </c>
      <c r="W1731" s="61">
        <f>IF(AND(R1731="",S1731&lt;&gt;"Yes",L1731&lt;0,B1731&lt;&gt;"TXO"),L1731,"")</f>
        <v/>
      </c>
      <c r="X1731" s="226">
        <f>IF(AND(R1731="Yes",S1731="Yes",L1731&gt;0,B1731&lt;&gt;"TXO"),L1731,"")</f>
        <v/>
      </c>
      <c r="Y1731" s="226">
        <f>IF(AND(R1731="Yes",S1731="Yes",L1731&lt;0,B1731&lt;&gt;"TXO"),L1731,"")</f>
        <v/>
      </c>
      <c r="Z1731" s="226">
        <f>IF(AND(R1731="",S1731="Yes",L1731&gt;0,B1731&lt;&gt;"TXO"),L1731,"")</f>
        <v/>
      </c>
      <c r="AA1731" s="226">
        <f>IF(AND(R1731="",S1731="Yes",L1731&lt;0,B1731&lt;&gt;"TXO"),L1731,"")</f>
        <v/>
      </c>
    </row>
    <row r="1732" hidden="1" outlineLevel="2" collapsed="1" ht="17.25" customHeight="1" thickBot="1">
      <c r="A1732" s="740" t="n">
        <v>43438</v>
      </c>
      <c r="B1732" s="299" t="inlineStr">
        <is>
          <t>FIMTX</t>
        </is>
      </c>
      <c r="C1732" s="300" t="inlineStr">
        <is>
          <t>小指12</t>
        </is>
      </c>
      <c r="D1732" s="300" t="inlineStr">
        <is>
          <t>新倉</t>
        </is>
      </c>
      <c r="E1732" s="301" t="inlineStr">
        <is>
          <t>買</t>
        </is>
      </c>
      <c r="F1732" s="300" t="inlineStr">
        <is>
          <t>-</t>
        </is>
      </c>
      <c r="G1732" s="741" t="n">
        <v>1</v>
      </c>
      <c r="H1732" s="741" t="n">
        <v>10071</v>
      </c>
      <c r="I1732" s="741" t="n">
        <v>0</v>
      </c>
      <c r="J1732" s="742" t="n">
        <v>23</v>
      </c>
      <c r="K1732" s="742" t="n">
        <v>10</v>
      </c>
      <c r="L1732" s="742">
        <f>IF(B1732="TXO",I1732-SUM(J1732:K1732),IF(B1732="FITX",IF(D1732="新倉",-SUM(J1732:K1732),IF(E1732="賣",(H1732-H1731)*G1732*200-SUM(J1732:K1732),(H1731-H1732)*G1732*200-SUM(J1732:K1732))),IF(D1732="新倉",-SUM(J1732:K1732),IF(E1732="賣",(H1732-H1731)*G1732*50-SUM(J1732:K1732),(H1731-H1732)*G1732*50-SUM(J1732:K1732)))))</f>
        <v/>
      </c>
      <c r="M1732" s="743">
        <f>L1732</f>
        <v/>
      </c>
      <c r="N1732" s="686">
        <f>IF(B1732="TXO","",IF(D1732="新倉","",IF(E1732="賣",(H1732-H1731)*G1732,(H1731-H1732)*G1732)))</f>
        <v/>
      </c>
      <c r="O1732" s="226" t="n">
        <v>0</v>
      </c>
      <c r="P1732" s="667" t="n"/>
      <c r="Q1732" s="297" t="inlineStr">
        <is>
          <t>技法: 3/3 買進一口</t>
        </is>
      </c>
      <c r="R1732" s="249" t="inlineStr">
        <is>
          <t>Yes</t>
        </is>
      </c>
      <c r="S1732" s="249" t="n"/>
      <c r="T1732" s="61">
        <f>IF(AND(R1732="Yes",S1732&lt;&gt;"Yes",L1732&gt;0,B1732&lt;&gt;"TXO"),L1732,"")</f>
        <v/>
      </c>
      <c r="U1732" s="61">
        <f>IF(AND(R1732="Yes",S1732&lt;&gt;"Yes",L1732&lt;0,B1732&lt;&gt;"TXO"),L1732,"")</f>
        <v/>
      </c>
      <c r="V1732" s="61">
        <f>IF(AND(R1732="",S1732&lt;&gt;"Yes",L1732&gt;0,B1732&lt;&gt;"TXO"),L1732,"")</f>
        <v/>
      </c>
      <c r="W1732" s="61">
        <f>IF(AND(R1732="",S1732&lt;&gt;"Yes",L1732&lt;0,B1732&lt;&gt;"TXO"),L1732,"")</f>
        <v/>
      </c>
      <c r="X1732" s="226">
        <f>IF(AND(R1732="Yes",S1732="Yes",L1732&gt;0,B1732&lt;&gt;"TXO"),L1732,"")</f>
        <v/>
      </c>
      <c r="Y1732" s="226">
        <f>IF(AND(R1732="Yes",S1732="Yes",L1732&lt;0,B1732&lt;&gt;"TXO"),L1732,"")</f>
        <v/>
      </c>
      <c r="Z1732" s="226">
        <f>IF(AND(R1732="",S1732="Yes",L1732&gt;0,B1732&lt;&gt;"TXO"),L1732,"")</f>
        <v/>
      </c>
      <c r="AA1732" s="226">
        <f>IF(AND(R1732="",S1732="Yes",L1732&lt;0,B1732&lt;&gt;"TXO"),L1732,"")</f>
        <v/>
      </c>
    </row>
    <row r="1733" hidden="1" outlineLevel="2" collapsed="1" ht="17.25" customHeight="1" thickBot="1">
      <c r="A1733" s="740" t="n">
        <v>43438</v>
      </c>
      <c r="B1733" s="299" t="inlineStr">
        <is>
          <t>FIMTX</t>
        </is>
      </c>
      <c r="C1733" s="300" t="inlineStr">
        <is>
          <t>小指12</t>
        </is>
      </c>
      <c r="D1733" s="300" t="inlineStr">
        <is>
          <t>平倉</t>
        </is>
      </c>
      <c r="E1733" s="301" t="inlineStr">
        <is>
          <t>賣</t>
        </is>
      </c>
      <c r="F1733" s="300" t="inlineStr">
        <is>
          <t>-</t>
        </is>
      </c>
      <c r="G1733" s="741" t="n">
        <v>1</v>
      </c>
      <c r="H1733" s="741" t="n">
        <v>10059</v>
      </c>
      <c r="I1733" s="741" t="n">
        <v>0</v>
      </c>
      <c r="J1733" s="742" t="n">
        <v>23</v>
      </c>
      <c r="K1733" s="742" t="n">
        <v>10</v>
      </c>
      <c r="L1733" s="742">
        <f>IF(B1733="TXO",I1733-SUM(J1733:K1733),IF(B1733="FITX",IF(D1733="新倉",-SUM(J1733:K1733),IF(E1733="賣",(H1733-H1732)*G1733*200-SUM(J1733:K1733),(H1732-H1733)*G1733*200-SUM(J1733:K1733))),IF(D1733="新倉",-SUM(J1733:K1733),IF(E1733="賣",(H1733-H1732)*G1733*50-SUM(J1733:K1733),(H1732-H1733)*G1733*50-SUM(J1733:K1733)))))</f>
        <v/>
      </c>
      <c r="M1733" s="743">
        <f>L1733</f>
        <v/>
      </c>
      <c r="N1733" s="686">
        <f>IF(B1733="TXO","",IF(D1733="新倉","",IF(E1733="賣",(H1733-H1732)*G1733,(H1732-H1733)*G1733)))</f>
        <v/>
      </c>
      <c r="O1733" s="226" t="n">
        <v>0</v>
      </c>
      <c r="P1733" s="667" t="n"/>
      <c r="Q1733" s="249" t="inlineStr">
        <is>
          <t>技法: 碰10MA出場</t>
        </is>
      </c>
      <c r="R1733" s="249" t="inlineStr">
        <is>
          <t>Yes</t>
        </is>
      </c>
      <c r="S1733" s="249" t="n"/>
      <c r="T1733" s="61">
        <f>IF(AND(R1733="Yes",S1733&lt;&gt;"Yes",L1733&gt;0,B1733&lt;&gt;"TXO"),L1733,"")</f>
        <v/>
      </c>
      <c r="U1733" s="61">
        <f>IF(AND(R1733="Yes",S1733&lt;&gt;"Yes",L1733&lt;0,B1733&lt;&gt;"TXO"),L1733,"")</f>
        <v/>
      </c>
      <c r="V1733" s="61">
        <f>IF(AND(R1733="",S1733&lt;&gt;"Yes",L1733&gt;0,B1733&lt;&gt;"TXO"),L1733,"")</f>
        <v/>
      </c>
      <c r="W1733" s="61">
        <f>IF(AND(R1733="",S1733&lt;&gt;"Yes",L1733&lt;0,B1733&lt;&gt;"TXO"),L1733,"")</f>
        <v/>
      </c>
      <c r="X1733" s="226">
        <f>IF(AND(R1733="Yes",S1733="Yes",L1733&gt;0,B1733&lt;&gt;"TXO"),L1733,"")</f>
        <v/>
      </c>
      <c r="Y1733" s="226">
        <f>IF(AND(R1733="Yes",S1733="Yes",L1733&lt;0,B1733&lt;&gt;"TXO"),L1733,"")</f>
        <v/>
      </c>
      <c r="Z1733" s="226">
        <f>IF(AND(R1733="",S1733="Yes",L1733&gt;0,B1733&lt;&gt;"TXO"),L1733,"")</f>
        <v/>
      </c>
      <c r="AA1733" s="226">
        <f>IF(AND(R1733="",S1733="Yes",L1733&lt;0,B1733&lt;&gt;"TXO"),L1733,"")</f>
        <v/>
      </c>
    </row>
    <row r="1734" hidden="1" outlineLevel="2" collapsed="1" ht="17.25" customHeight="1" thickBot="1">
      <c r="A1734" s="740" t="n">
        <v>43438</v>
      </c>
      <c r="B1734" s="299" t="inlineStr">
        <is>
          <t>FIMTX</t>
        </is>
      </c>
      <c r="C1734" s="300" t="inlineStr">
        <is>
          <t>小指12</t>
        </is>
      </c>
      <c r="D1734" s="300" t="inlineStr">
        <is>
          <t>新倉</t>
        </is>
      </c>
      <c r="E1734" s="301" t="inlineStr">
        <is>
          <t>買</t>
        </is>
      </c>
      <c r="F1734" s="300" t="inlineStr">
        <is>
          <t>-</t>
        </is>
      </c>
      <c r="G1734" s="741" t="n">
        <v>1</v>
      </c>
      <c r="H1734" s="741" t="n">
        <v>10070</v>
      </c>
      <c r="I1734" s="741" t="n">
        <v>0</v>
      </c>
      <c r="J1734" s="742" t="n">
        <v>23</v>
      </c>
      <c r="K1734" s="742" t="n">
        <v>10</v>
      </c>
      <c r="L1734" s="742">
        <f>IF(B1734="TXO",I1734-SUM(J1734:K1734),IF(B1734="FITX",IF(D1734="新倉",-SUM(J1734:K1734),IF(E1734="賣",(H1734-H1733)*G1734*200-SUM(J1734:K1734),(H1733-H1734)*G1734*200-SUM(J1734:K1734))),IF(D1734="新倉",-SUM(J1734:K1734),IF(E1734="賣",(H1734-H1733)*G1734*50-SUM(J1734:K1734),(H1733-H1734)*G1734*50-SUM(J1734:K1734)))))</f>
        <v/>
      </c>
      <c r="M1734" s="743">
        <f>L1734</f>
        <v/>
      </c>
      <c r="N1734" s="686">
        <f>IF(B1734="TXO","",IF(D1734="新倉","",IF(E1734="賣",(H1734-H1733)*G1734,(H1733-H1734)*G1734)))</f>
        <v/>
      </c>
      <c r="O1734" s="226" t="n">
        <v>0</v>
      </c>
      <c r="P1734" s="667" t="n"/>
      <c r="Q1734" s="297" t="inlineStr">
        <is>
          <t>技法: 3/3 買進一口</t>
        </is>
      </c>
      <c r="R1734" s="249" t="inlineStr">
        <is>
          <t>Yes</t>
        </is>
      </c>
      <c r="S1734" s="249" t="n"/>
      <c r="T1734" s="61">
        <f>IF(AND(R1734="Yes",S1734&lt;&gt;"Yes",L1734&gt;0,B1734&lt;&gt;"TXO"),L1734,"")</f>
        <v/>
      </c>
      <c r="U1734" s="61">
        <f>IF(AND(R1734="Yes",S1734&lt;&gt;"Yes",L1734&lt;0,B1734&lt;&gt;"TXO"),L1734,"")</f>
        <v/>
      </c>
      <c r="V1734" s="61">
        <f>IF(AND(R1734="",S1734&lt;&gt;"Yes",L1734&gt;0,B1734&lt;&gt;"TXO"),L1734,"")</f>
        <v/>
      </c>
      <c r="W1734" s="61">
        <f>IF(AND(R1734="",S1734&lt;&gt;"Yes",L1734&lt;0,B1734&lt;&gt;"TXO"),L1734,"")</f>
        <v/>
      </c>
      <c r="X1734" s="226">
        <f>IF(AND(R1734="Yes",S1734="Yes",L1734&gt;0,B1734&lt;&gt;"TXO"),L1734,"")</f>
        <v/>
      </c>
      <c r="Y1734" s="226">
        <f>IF(AND(R1734="Yes",S1734="Yes",L1734&lt;0,B1734&lt;&gt;"TXO"),L1734,"")</f>
        <v/>
      </c>
      <c r="Z1734" s="226">
        <f>IF(AND(R1734="",S1734="Yes",L1734&gt;0,B1734&lt;&gt;"TXO"),L1734,"")</f>
        <v/>
      </c>
      <c r="AA1734" s="226">
        <f>IF(AND(R1734="",S1734="Yes",L1734&lt;0,B1734&lt;&gt;"TXO"),L1734,"")</f>
        <v/>
      </c>
    </row>
    <row r="1735" hidden="1" outlineLevel="2" collapsed="1" ht="17.25" customHeight="1" thickBot="1">
      <c r="A1735" s="740" t="n">
        <v>43438</v>
      </c>
      <c r="B1735" s="299" t="inlineStr">
        <is>
          <t>FIMTX</t>
        </is>
      </c>
      <c r="C1735" s="300" t="inlineStr">
        <is>
          <t>小指12</t>
        </is>
      </c>
      <c r="D1735" s="300" t="inlineStr">
        <is>
          <t>平倉</t>
        </is>
      </c>
      <c r="E1735" s="301" t="inlineStr">
        <is>
          <t>賣</t>
        </is>
      </c>
      <c r="F1735" s="300" t="inlineStr">
        <is>
          <t>-</t>
        </is>
      </c>
      <c r="G1735" s="741" t="n">
        <v>1</v>
      </c>
      <c r="H1735" s="741" t="n">
        <v>10059</v>
      </c>
      <c r="I1735" s="741" t="n">
        <v>0</v>
      </c>
      <c r="J1735" s="742" t="n">
        <v>23</v>
      </c>
      <c r="K1735" s="742" t="n">
        <v>10</v>
      </c>
      <c r="L1735" s="742">
        <f>IF(B1735="TXO",I1735-SUM(J1735:K1735),IF(B1735="FITX",IF(D1735="新倉",-SUM(J1735:K1735),IF(E1735="賣",(H1735-H1734)*G1735*200-SUM(J1735:K1735),(H1734-H1735)*G1735*200-SUM(J1735:K1735))),IF(D1735="新倉",-SUM(J1735:K1735),IF(E1735="賣",(H1735-H1734)*G1735*50-SUM(J1735:K1735),(H1734-H1735)*G1735*50-SUM(J1735:K1735)))))</f>
        <v/>
      </c>
      <c r="M1735" s="743">
        <f>L1735</f>
        <v/>
      </c>
      <c r="N1735" s="686">
        <f>IF(B1735="TXO","",IF(D1735="新倉","",IF(E1735="賣",(H1735-H1734)*G1735,(H1734-H1735)*G1735)))</f>
        <v/>
      </c>
      <c r="O1735" s="226" t="n">
        <v>0</v>
      </c>
      <c r="P1735" s="667" t="n"/>
      <c r="Q1735" s="249" t="inlineStr">
        <is>
          <t>技法: 碰10MA出場</t>
        </is>
      </c>
      <c r="R1735" s="249" t="inlineStr">
        <is>
          <t>Yes</t>
        </is>
      </c>
      <c r="S1735" s="249" t="n"/>
      <c r="T1735" s="61">
        <f>IF(AND(R1735="Yes",S1735&lt;&gt;"Yes",L1735&gt;0,B1735&lt;&gt;"TXO"),L1735,"")</f>
        <v/>
      </c>
      <c r="U1735" s="61">
        <f>IF(AND(R1735="Yes",S1735&lt;&gt;"Yes",L1735&lt;0,B1735&lt;&gt;"TXO"),L1735,"")</f>
        <v/>
      </c>
      <c r="V1735" s="61">
        <f>IF(AND(R1735="",S1735&lt;&gt;"Yes",L1735&gt;0,B1735&lt;&gt;"TXO"),L1735,"")</f>
        <v/>
      </c>
      <c r="W1735" s="61">
        <f>IF(AND(R1735="",S1735&lt;&gt;"Yes",L1735&lt;0,B1735&lt;&gt;"TXO"),L1735,"")</f>
        <v/>
      </c>
      <c r="X1735" s="226">
        <f>IF(AND(R1735="Yes",S1735="Yes",L1735&gt;0,B1735&lt;&gt;"TXO"),L1735,"")</f>
        <v/>
      </c>
      <c r="Y1735" s="226">
        <f>IF(AND(R1735="Yes",S1735="Yes",L1735&lt;0,B1735&lt;&gt;"TXO"),L1735,"")</f>
        <v/>
      </c>
      <c r="Z1735" s="226">
        <f>IF(AND(R1735="",S1735="Yes",L1735&gt;0,B1735&lt;&gt;"TXO"),L1735,"")</f>
        <v/>
      </c>
      <c r="AA1735" s="226">
        <f>IF(AND(R1735="",S1735="Yes",L1735&lt;0,B1735&lt;&gt;"TXO"),L1735,"")</f>
        <v/>
      </c>
    </row>
    <row r="1736" hidden="1" outlineLevel="2" collapsed="1" ht="17.25" customHeight="1" thickBot="1">
      <c r="A1736" s="740" t="n">
        <v>43438</v>
      </c>
      <c r="B1736" s="299" t="inlineStr">
        <is>
          <t>FIMTX</t>
        </is>
      </c>
      <c r="C1736" s="300" t="inlineStr">
        <is>
          <t>小指12</t>
        </is>
      </c>
      <c r="D1736" s="300" t="inlineStr">
        <is>
          <t>新倉</t>
        </is>
      </c>
      <c r="E1736" s="301" t="inlineStr">
        <is>
          <t>賣</t>
        </is>
      </c>
      <c r="F1736" s="300" t="inlineStr">
        <is>
          <t>-</t>
        </is>
      </c>
      <c r="G1736" s="741" t="n">
        <v>1</v>
      </c>
      <c r="H1736" s="741" t="n">
        <v>10051</v>
      </c>
      <c r="I1736" s="741" t="n">
        <v>0</v>
      </c>
      <c r="J1736" s="742" t="n">
        <v>23</v>
      </c>
      <c r="K1736" s="742" t="n">
        <v>10</v>
      </c>
      <c r="L1736" s="742">
        <f>IF(B1736="TXO",I1736-SUM(J1736:K1736),IF(B1736="FITX",IF(D1736="新倉",-SUM(J1736:K1736),IF(E1736="賣",(H1736-H1735)*G1736*200-SUM(J1736:K1736),(H1735-H1736)*G1736*200-SUM(J1736:K1736))),IF(D1736="新倉",-SUM(J1736:K1736),IF(E1736="賣",(H1736-H1735)*G1736*50-SUM(J1736:K1736),(H1735-H1736)*G1736*50-SUM(J1736:K1736)))))</f>
        <v/>
      </c>
      <c r="M1736" s="743">
        <f>L1736</f>
        <v/>
      </c>
      <c r="N1736" s="686">
        <f>IF(B1736="TXO","",IF(D1736="新倉","",IF(E1736="賣",(H1736-H1735)*G1736,(H1735-H1736)*G1736)))</f>
        <v/>
      </c>
      <c r="O1736" s="226" t="n">
        <v>0</v>
      </c>
      <c r="P1736" s="667" t="n"/>
      <c r="Q1736" s="297" t="inlineStr">
        <is>
          <t>技法: 3/3 買進一口</t>
        </is>
      </c>
      <c r="R1736" s="249" t="inlineStr">
        <is>
          <t>Yes</t>
        </is>
      </c>
      <c r="S1736" s="249" t="inlineStr">
        <is>
          <t>Yes</t>
        </is>
      </c>
      <c r="T1736" s="61">
        <f>IF(AND(R1736="Yes",S1736&lt;&gt;"Yes",L1736&gt;0,B1736&lt;&gt;"TXO"),L1736,"")</f>
        <v/>
      </c>
      <c r="U1736" s="61">
        <f>IF(AND(R1736="Yes",S1736&lt;&gt;"Yes",L1736&lt;0,B1736&lt;&gt;"TXO"),L1736,"")</f>
        <v/>
      </c>
      <c r="V1736" s="61">
        <f>IF(AND(R1736="",S1736&lt;&gt;"Yes",L1736&gt;0,B1736&lt;&gt;"TXO"),L1736,"")</f>
        <v/>
      </c>
      <c r="W1736" s="61">
        <f>IF(AND(R1736="",S1736&lt;&gt;"Yes",L1736&lt;0,B1736&lt;&gt;"TXO"),L1736,"")</f>
        <v/>
      </c>
      <c r="X1736" s="226">
        <f>IF(AND(R1736="Yes",S1736="Yes",L1736&gt;0,B1736&lt;&gt;"TXO"),L1736,"")</f>
        <v/>
      </c>
      <c r="Y1736" s="226">
        <f>IF(AND(R1736="Yes",S1736="Yes",L1736&lt;0,B1736&lt;&gt;"TXO"),L1736,"")</f>
        <v/>
      </c>
      <c r="Z1736" s="226">
        <f>IF(AND(R1736="",S1736="Yes",L1736&gt;0,B1736&lt;&gt;"TXO"),L1736,"")</f>
        <v/>
      </c>
      <c r="AA1736" s="226">
        <f>IF(AND(R1736="",S1736="Yes",L1736&lt;0,B1736&lt;&gt;"TXO"),L1736,"")</f>
        <v/>
      </c>
    </row>
    <row r="1737" hidden="1" outlineLevel="2" collapsed="1" ht="17.25" customHeight="1" thickBot="1">
      <c r="A1737" s="740" t="n">
        <v>43438</v>
      </c>
      <c r="B1737" s="299" t="inlineStr">
        <is>
          <t>FIMTX</t>
        </is>
      </c>
      <c r="C1737" s="300" t="inlineStr">
        <is>
          <t>小指12</t>
        </is>
      </c>
      <c r="D1737" s="300" t="inlineStr">
        <is>
          <t>平倉</t>
        </is>
      </c>
      <c r="E1737" s="301" t="inlineStr">
        <is>
          <t>買</t>
        </is>
      </c>
      <c r="F1737" s="300" t="inlineStr">
        <is>
          <t>-</t>
        </is>
      </c>
      <c r="G1737" s="741" t="n">
        <v>1</v>
      </c>
      <c r="H1737" s="741" t="n">
        <v>10052</v>
      </c>
      <c r="I1737" s="741" t="n">
        <v>0</v>
      </c>
      <c r="J1737" s="742" t="n">
        <v>23</v>
      </c>
      <c r="K1737" s="742" t="n">
        <v>10</v>
      </c>
      <c r="L1737" s="742">
        <f>IF(B1737="TXO",I1737-SUM(J1737:K1737),IF(B1737="FITX",IF(D1737="新倉",-SUM(J1737:K1737),IF(E1737="賣",(H1737-H1736)*G1737*200-SUM(J1737:K1737),(H1736-H1737)*G1737*200-SUM(J1737:K1737))),IF(D1737="新倉",-SUM(J1737:K1737),IF(E1737="賣",(H1737-H1736)*G1737*50-SUM(J1737:K1737),(H1736-H1737)*G1737*50-SUM(J1737:K1737)))))</f>
        <v/>
      </c>
      <c r="M1737" s="743">
        <f>L1737</f>
        <v/>
      </c>
      <c r="N1737" s="686">
        <f>IF(B1737="TXO","",IF(D1737="新倉","",IF(E1737="賣",(H1737-H1736)*G1737,(H1736-H1737)*G1737)))</f>
        <v/>
      </c>
      <c r="O1737" s="226" t="n">
        <v>0</v>
      </c>
      <c r="P1737" s="667" t="n"/>
      <c r="Q1737" s="249" t="inlineStr">
        <is>
          <t>技法: 碰10MA出場</t>
        </is>
      </c>
      <c r="R1737" s="249" t="inlineStr">
        <is>
          <t>Yes</t>
        </is>
      </c>
      <c r="S1737" s="249" t="inlineStr">
        <is>
          <t>Yes</t>
        </is>
      </c>
      <c r="T1737" s="61">
        <f>IF(AND(R1737="Yes",S1737&lt;&gt;"Yes",L1737&gt;0,B1737&lt;&gt;"TXO"),L1737,"")</f>
        <v/>
      </c>
      <c r="U1737" s="61">
        <f>IF(AND(R1737="Yes",S1737&lt;&gt;"Yes",L1737&lt;0,B1737&lt;&gt;"TXO"),L1737,"")</f>
        <v/>
      </c>
      <c r="V1737" s="61">
        <f>IF(AND(R1737="",S1737&lt;&gt;"Yes",L1737&gt;0,B1737&lt;&gt;"TXO"),L1737,"")</f>
        <v/>
      </c>
      <c r="W1737" s="61">
        <f>IF(AND(R1737="",S1737&lt;&gt;"Yes",L1737&lt;0,B1737&lt;&gt;"TXO"),L1737,"")</f>
        <v/>
      </c>
      <c r="X1737" s="226">
        <f>IF(AND(R1737="Yes",S1737="Yes",L1737&gt;0,B1737&lt;&gt;"TXO"),L1737,"")</f>
        <v/>
      </c>
      <c r="Y1737" s="226">
        <f>IF(AND(R1737="Yes",S1737="Yes",L1737&lt;0,B1737&lt;&gt;"TXO"),L1737,"")</f>
        <v/>
      </c>
      <c r="Z1737" s="226">
        <f>IF(AND(R1737="",S1737="Yes",L1737&gt;0,B1737&lt;&gt;"TXO"),L1737,"")</f>
        <v/>
      </c>
      <c r="AA1737" s="226">
        <f>IF(AND(R1737="",S1737="Yes",L1737&lt;0,B1737&lt;&gt;"TXO"),L1737,"")</f>
        <v/>
      </c>
    </row>
    <row r="1738" hidden="1" outlineLevel="1" ht="17.25" customHeight="1" thickBot="1">
      <c r="A1738" s="696" t="n">
        <v>43439</v>
      </c>
      <c r="B1738" s="234" t="inlineStr">
        <is>
          <t>FIMTX</t>
        </is>
      </c>
      <c r="C1738" s="229" t="inlineStr">
        <is>
          <t>小指12</t>
        </is>
      </c>
      <c r="D1738" s="229" t="inlineStr">
        <is>
          <t>新倉</t>
        </is>
      </c>
      <c r="E1738" s="257" t="inlineStr">
        <is>
          <t>賣</t>
        </is>
      </c>
      <c r="F1738" s="229" t="inlineStr">
        <is>
          <t>-</t>
        </is>
      </c>
      <c r="G1738" s="697" t="n">
        <v>1</v>
      </c>
      <c r="H1738" s="697" t="n">
        <v>9916</v>
      </c>
      <c r="I1738" s="697" t="n">
        <v>0</v>
      </c>
      <c r="J1738" s="585" t="n">
        <v>23</v>
      </c>
      <c r="K1738" s="585" t="n">
        <v>10</v>
      </c>
      <c r="L1738" s="585">
        <f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/>
      </c>
      <c r="M1738" s="699">
        <f>L1738</f>
        <v/>
      </c>
      <c r="N1738" s="686">
        <f>IF(B1738="TXO","",IF(D1738="新倉","",IF(E1738="賣",(H1738-H1737)*G1738,(H1737-H1738)*G1738)))</f>
        <v/>
      </c>
      <c r="O1738" s="226" t="n">
        <v>0</v>
      </c>
      <c r="P1738" s="667">
        <f>SUM(L1738:L1749)</f>
        <v/>
      </c>
      <c r="Q1738" s="297" t="inlineStr">
        <is>
          <t>技法: 3/3 買進一口</t>
        </is>
      </c>
      <c r="R1738" s="249" t="inlineStr">
        <is>
          <t>Yes</t>
        </is>
      </c>
      <c r="S1738" s="249" t="n"/>
      <c r="T1738" s="61">
        <f>IF(AND(R1738="Yes",S1738&lt;&gt;"Yes",L1738&gt;0,B1738&lt;&gt;"TXO"),L1738,"")</f>
        <v/>
      </c>
      <c r="U1738" s="61">
        <f>IF(AND(R1738="Yes",S1738&lt;&gt;"Yes",L1738&lt;0,B1738&lt;&gt;"TXO"),L1738,"")</f>
        <v/>
      </c>
      <c r="V1738" s="61">
        <f>IF(AND(R1738="",S1738&lt;&gt;"Yes",L1738&gt;0,B1738&lt;&gt;"TXO"),L1738,"")</f>
        <v/>
      </c>
      <c r="W1738" s="61">
        <f>IF(AND(R1738="",S1738&lt;&gt;"Yes",L1738&lt;0,B1738&lt;&gt;"TXO"),L1738,"")</f>
        <v/>
      </c>
      <c r="X1738" s="226">
        <f>IF(AND(R1738="Yes",S1738="Yes",L1738&gt;0,B1738&lt;&gt;"TXO"),L1738,"")</f>
        <v/>
      </c>
      <c r="Y1738" s="226">
        <f>IF(AND(R1738="Yes",S1738="Yes",L1738&lt;0,B1738&lt;&gt;"TXO"),L1738,"")</f>
        <v/>
      </c>
      <c r="Z1738" s="226">
        <f>IF(AND(R1738="",S1738="Yes",L1738&gt;0,B1738&lt;&gt;"TXO"),L1738,"")</f>
        <v/>
      </c>
      <c r="AA1738" s="226">
        <f>IF(AND(R1738="",S1738="Yes",L1738&lt;0,B1738&lt;&gt;"TXO"),L1738,"")</f>
        <v/>
      </c>
    </row>
    <row r="1739" hidden="1" outlineLevel="2" ht="17.25" customHeight="1" thickBot="1">
      <c r="A1739" s="696" t="n">
        <v>43439</v>
      </c>
      <c r="B1739" s="234" t="inlineStr">
        <is>
          <t>FIMTX</t>
        </is>
      </c>
      <c r="C1739" s="229" t="inlineStr">
        <is>
          <t>小指12</t>
        </is>
      </c>
      <c r="D1739" s="229" t="inlineStr">
        <is>
          <t>平倉</t>
        </is>
      </c>
      <c r="E1739" s="257" t="inlineStr">
        <is>
          <t>買</t>
        </is>
      </c>
      <c r="F1739" s="229" t="inlineStr">
        <is>
          <t>-</t>
        </is>
      </c>
      <c r="G1739" s="697" t="n">
        <v>1</v>
      </c>
      <c r="H1739" s="697" t="n">
        <v>9911</v>
      </c>
      <c r="I1739" s="697" t="n">
        <v>0</v>
      </c>
      <c r="J1739" s="585" t="n">
        <v>23</v>
      </c>
      <c r="K1739" s="585" t="n">
        <v>10</v>
      </c>
      <c r="L1739" s="585">
        <f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/>
      </c>
      <c r="M1739" s="699">
        <f>L1739</f>
        <v/>
      </c>
      <c r="N1739" s="686">
        <f>IF(B1739="TXO","",IF(D1739="新倉","",IF(E1739="賣",(H1739-H1738)*G1739,(H1738-H1739)*G1739)))</f>
        <v/>
      </c>
      <c r="O1739" s="226" t="n">
        <v>0</v>
      </c>
      <c r="P1739" s="667" t="n"/>
      <c r="Q1739" s="249" t="inlineStr">
        <is>
          <t>技法: 刺補</t>
        </is>
      </c>
      <c r="R1739" s="249" t="inlineStr">
        <is>
          <t>Yes</t>
        </is>
      </c>
      <c r="S1739" s="249" t="n"/>
      <c r="T1739" s="61">
        <f>IF(AND(R1739="Yes",S1739&lt;&gt;"Yes",L1739&gt;0,B1739&lt;&gt;"TXO"),L1739,"")</f>
        <v/>
      </c>
      <c r="U1739" s="61">
        <f>IF(AND(R1739="Yes",S1739&lt;&gt;"Yes",L1739&lt;0,B1739&lt;&gt;"TXO"),L1739,"")</f>
        <v/>
      </c>
      <c r="V1739" s="61">
        <f>IF(AND(R1739="",S1739&lt;&gt;"Yes",L1739&gt;0,B1739&lt;&gt;"TXO"),L1739,"")</f>
        <v/>
      </c>
      <c r="W1739" s="61">
        <f>IF(AND(R1739="",S1739&lt;&gt;"Yes",L1739&lt;0,B1739&lt;&gt;"TXO"),L1739,"")</f>
        <v/>
      </c>
      <c r="X1739" s="226">
        <f>IF(AND(R1739="Yes",S1739="Yes",L1739&gt;0,B1739&lt;&gt;"TXO"),L1739,"")</f>
        <v/>
      </c>
      <c r="Y1739" s="226">
        <f>IF(AND(R1739="Yes",S1739="Yes",L1739&lt;0,B1739&lt;&gt;"TXO"),L1739,"")</f>
        <v/>
      </c>
      <c r="Z1739" s="226">
        <f>IF(AND(R1739="",S1739="Yes",L1739&gt;0,B1739&lt;&gt;"TXO"),L1739,"")</f>
        <v/>
      </c>
      <c r="AA1739" s="226">
        <f>IF(AND(R1739="",S1739="Yes",L1739&lt;0,B1739&lt;&gt;"TXO"),L1739,"")</f>
        <v/>
      </c>
    </row>
    <row r="1740" hidden="1" outlineLevel="2" collapsed="1" ht="17.25" customHeight="1" thickBot="1">
      <c r="A1740" s="696" t="n">
        <v>43439</v>
      </c>
      <c r="B1740" s="234" t="inlineStr">
        <is>
          <t>FIMTX</t>
        </is>
      </c>
      <c r="C1740" s="229" t="inlineStr">
        <is>
          <t>小指12</t>
        </is>
      </c>
      <c r="D1740" s="229" t="inlineStr">
        <is>
          <t>新倉</t>
        </is>
      </c>
      <c r="E1740" s="257" t="inlineStr">
        <is>
          <t>賣</t>
        </is>
      </c>
      <c r="F1740" s="229" t="inlineStr">
        <is>
          <t>-</t>
        </is>
      </c>
      <c r="G1740" s="697" t="n">
        <v>1</v>
      </c>
      <c r="H1740" s="697" t="n">
        <v>9916</v>
      </c>
      <c r="I1740" s="697" t="n">
        <v>0</v>
      </c>
      <c r="J1740" s="585" t="n">
        <v>23</v>
      </c>
      <c r="K1740" s="585" t="n">
        <v>10</v>
      </c>
      <c r="L1740" s="585">
        <f>IF(B1740="TXO",I1740-SUM(J1740:K1740),IF(B1740="FITX",IF(D1740="新倉",-SUM(J1740:K1740),IF(E1740="賣",(H1740-H1739)*G1740*200-SUM(J1740:K1740),(H1739-H1740)*G1740*200-SUM(J1740:K1740))),IF(D1740="新倉",-SUM(J1740:K1740),IF(E1740="賣",(H1740-H1739)*G1740*50-SUM(J1740:K1740),(H1739-H1740)*G1740*50-SUM(J1740:K1740)))))</f>
        <v/>
      </c>
      <c r="M1740" s="699">
        <f>L1740</f>
        <v/>
      </c>
      <c r="N1740" s="686">
        <f>IF(B1740="TXO","",IF(D1740="新倉","",IF(E1740="賣",(H1740-H1739)*G1740,(H1739-H1740)*G1740)))</f>
        <v/>
      </c>
      <c r="O1740" s="226" t="n">
        <v>0</v>
      </c>
      <c r="P1740" s="667" t="n"/>
      <c r="Q1740" s="297" t="inlineStr">
        <is>
          <t>技法: 3/3 買進一口</t>
        </is>
      </c>
      <c r="R1740" s="249" t="inlineStr">
        <is>
          <t>Yes</t>
        </is>
      </c>
      <c r="S1740" s="249" t="n"/>
      <c r="T1740" s="61">
        <f>IF(AND(R1740="Yes",S1740&lt;&gt;"Yes",L1740&gt;0,B1740&lt;&gt;"TXO"),L1740,"")</f>
        <v/>
      </c>
      <c r="U1740" s="61">
        <f>IF(AND(R1740="Yes",S1740&lt;&gt;"Yes",L1740&lt;0,B1740&lt;&gt;"TXO"),L1740,"")</f>
        <v/>
      </c>
      <c r="V1740" s="61">
        <f>IF(AND(R1740="",S1740&lt;&gt;"Yes",L1740&gt;0,B1740&lt;&gt;"TXO"),L1740,"")</f>
        <v/>
      </c>
      <c r="W1740" s="61">
        <f>IF(AND(R1740="",S1740&lt;&gt;"Yes",L1740&lt;0,B1740&lt;&gt;"TXO"),L1740,"")</f>
        <v/>
      </c>
      <c r="X1740" s="226">
        <f>IF(AND(R1740="Yes",S1740="Yes",L1740&gt;0,B1740&lt;&gt;"TXO"),L1740,"")</f>
        <v/>
      </c>
      <c r="Y1740" s="226">
        <f>IF(AND(R1740="Yes",S1740="Yes",L1740&lt;0,B1740&lt;&gt;"TXO"),L1740,"")</f>
        <v/>
      </c>
      <c r="Z1740" s="226">
        <f>IF(AND(R1740="",S1740="Yes",L1740&gt;0,B1740&lt;&gt;"TXO"),L1740,"")</f>
        <v/>
      </c>
      <c r="AA1740" s="226">
        <f>IF(AND(R1740="",S1740="Yes",L1740&lt;0,B1740&lt;&gt;"TXO"),L1740,"")</f>
        <v/>
      </c>
    </row>
    <row r="1741" hidden="1" outlineLevel="2" collapsed="1" ht="17.25" customHeight="1" thickBot="1">
      <c r="A1741" s="696" t="n">
        <v>43439</v>
      </c>
      <c r="B1741" s="234" t="inlineStr">
        <is>
          <t>FIMTX</t>
        </is>
      </c>
      <c r="C1741" s="229" t="inlineStr">
        <is>
          <t>小指12</t>
        </is>
      </c>
      <c r="D1741" s="229" t="inlineStr">
        <is>
          <t>平倉</t>
        </is>
      </c>
      <c r="E1741" s="257" t="inlineStr">
        <is>
          <t>買</t>
        </is>
      </c>
      <c r="F1741" s="229" t="inlineStr">
        <is>
          <t>-</t>
        </is>
      </c>
      <c r="G1741" s="697" t="n">
        <v>1</v>
      </c>
      <c r="H1741" s="697" t="n">
        <v>9908</v>
      </c>
      <c r="I1741" s="697" t="n">
        <v>0</v>
      </c>
      <c r="J1741" s="585" t="n">
        <v>23</v>
      </c>
      <c r="K1741" s="585" t="n">
        <v>10</v>
      </c>
      <c r="L1741" s="585">
        <f>IF(B1741="TXO",I1741-SUM(J1741:K1741),IF(B1741="FITX",IF(D1741="新倉",-SUM(J1741:K1741),IF(E1741="賣",(H1741-H1740)*G1741*200-SUM(J1741:K1741),(H1740-H1741)*G1741*200-SUM(J1741:K1741))),IF(D1741="新倉",-SUM(J1741:K1741),IF(E1741="賣",(H1741-H1740)*G1741*50-SUM(J1741:K1741),(H1740-H1741)*G1741*50-SUM(J1741:K1741)))))</f>
        <v/>
      </c>
      <c r="M1741" s="699">
        <f>L1741</f>
        <v/>
      </c>
      <c r="N1741" s="686">
        <f>IF(B1741="TXO","",IF(D1741="新倉","",IF(E1741="賣",(H1741-H1740)*G1741,(H1740-H1741)*G1741)))</f>
        <v/>
      </c>
      <c r="O1741" s="226" t="n">
        <v>0</v>
      </c>
      <c r="P1741" s="667" t="n"/>
      <c r="Q1741" s="249" t="inlineStr">
        <is>
          <t>技法: 刺補</t>
        </is>
      </c>
      <c r="R1741" s="249" t="inlineStr">
        <is>
          <t>Yes</t>
        </is>
      </c>
      <c r="S1741" s="249" t="n"/>
      <c r="T1741" s="61">
        <f>IF(AND(R1741="Yes",S1741&lt;&gt;"Yes",L1741&gt;0,B1741&lt;&gt;"TXO"),L1741,"")</f>
        <v/>
      </c>
      <c r="U1741" s="61">
        <f>IF(AND(R1741="Yes",S1741&lt;&gt;"Yes",L1741&lt;0,B1741&lt;&gt;"TXO"),L1741,"")</f>
        <v/>
      </c>
      <c r="V1741" s="61">
        <f>IF(AND(R1741="",S1741&lt;&gt;"Yes",L1741&gt;0,B1741&lt;&gt;"TXO"),L1741,"")</f>
        <v/>
      </c>
      <c r="W1741" s="61">
        <f>IF(AND(R1741="",S1741&lt;&gt;"Yes",L1741&lt;0,B1741&lt;&gt;"TXO"),L1741,"")</f>
        <v/>
      </c>
      <c r="X1741" s="226">
        <f>IF(AND(R1741="Yes",S1741="Yes",L1741&gt;0,B1741&lt;&gt;"TXO"),L1741,"")</f>
        <v/>
      </c>
      <c r="Y1741" s="226">
        <f>IF(AND(R1741="Yes",S1741="Yes",L1741&lt;0,B1741&lt;&gt;"TXO"),L1741,"")</f>
        <v/>
      </c>
      <c r="Z1741" s="226">
        <f>IF(AND(R1741="",S1741="Yes",L1741&gt;0,B1741&lt;&gt;"TXO"),L1741,"")</f>
        <v/>
      </c>
      <c r="AA1741" s="226">
        <f>IF(AND(R1741="",S1741="Yes",L1741&lt;0,B1741&lt;&gt;"TXO"),L1741,"")</f>
        <v/>
      </c>
    </row>
    <row r="1742" hidden="1" outlineLevel="2" collapsed="1" ht="17.25" customHeight="1" thickBot="1">
      <c r="A1742" s="696" t="n">
        <v>43439</v>
      </c>
      <c r="B1742" s="234" t="inlineStr">
        <is>
          <t>FIMTX</t>
        </is>
      </c>
      <c r="C1742" s="229" t="inlineStr">
        <is>
          <t>小指12</t>
        </is>
      </c>
      <c r="D1742" s="229" t="inlineStr">
        <is>
          <t>新倉</t>
        </is>
      </c>
      <c r="E1742" s="257" t="inlineStr">
        <is>
          <t>賣</t>
        </is>
      </c>
      <c r="F1742" s="229" t="inlineStr">
        <is>
          <t>-</t>
        </is>
      </c>
      <c r="G1742" s="697" t="n">
        <v>1</v>
      </c>
      <c r="H1742" s="697" t="n">
        <v>9902</v>
      </c>
      <c r="I1742" s="697" t="n">
        <v>0</v>
      </c>
      <c r="J1742" s="585" t="n">
        <v>23</v>
      </c>
      <c r="K1742" s="585" t="n">
        <v>10</v>
      </c>
      <c r="L1742" s="585">
        <f>IF(B1742="TXO",I1742-SUM(J1742:K1742),IF(B1742="FITX",IF(D1742="新倉",-SUM(J1742:K1742),IF(E1742="賣",(H1742-H1741)*G1742*200-SUM(J1742:K1742),(H1741-H1742)*G1742*200-SUM(J1742:K1742))),IF(D1742="新倉",-SUM(J1742:K1742),IF(E1742="賣",(H1742-H1741)*G1742*50-SUM(J1742:K1742),(H1741-H1742)*G1742*50-SUM(J1742:K1742)))))</f>
        <v/>
      </c>
      <c r="M1742" s="699">
        <f>L1742</f>
        <v/>
      </c>
      <c r="N1742" s="686">
        <f>IF(B1742="TXO","",IF(D1742="新倉","",IF(E1742="賣",(H1742-H1741)*G1742,(H1741-H1742)*G1742)))</f>
        <v/>
      </c>
      <c r="O1742" s="226" t="n">
        <v>0</v>
      </c>
      <c r="P1742" s="667" t="n"/>
      <c r="Q1742" s="297" t="inlineStr">
        <is>
          <t>技法: 3/3 買進一口</t>
        </is>
      </c>
      <c r="R1742" s="249" t="inlineStr">
        <is>
          <t>Yes</t>
        </is>
      </c>
      <c r="S1742" s="249" t="n"/>
      <c r="T1742" s="61">
        <f>IF(AND(R1742="Yes",S1742&lt;&gt;"Yes",L1742&gt;0,B1742&lt;&gt;"TXO"),L1742,"")</f>
        <v/>
      </c>
      <c r="U1742" s="61">
        <f>IF(AND(R1742="Yes",S1742&lt;&gt;"Yes",L1742&lt;0,B1742&lt;&gt;"TXO"),L1742,"")</f>
        <v/>
      </c>
      <c r="V1742" s="61">
        <f>IF(AND(R1742="",S1742&lt;&gt;"Yes",L1742&gt;0,B1742&lt;&gt;"TXO"),L1742,"")</f>
        <v/>
      </c>
      <c r="W1742" s="61">
        <f>IF(AND(R1742="",S1742&lt;&gt;"Yes",L1742&lt;0,B1742&lt;&gt;"TXO"),L1742,"")</f>
        <v/>
      </c>
      <c r="X1742" s="226">
        <f>IF(AND(R1742="Yes",S1742="Yes",L1742&gt;0,B1742&lt;&gt;"TXO"),L1742,"")</f>
        <v/>
      </c>
      <c r="Y1742" s="226">
        <f>IF(AND(R1742="Yes",S1742="Yes",L1742&lt;0,B1742&lt;&gt;"TXO"),L1742,"")</f>
        <v/>
      </c>
      <c r="Z1742" s="226">
        <f>IF(AND(R1742="",S1742="Yes",L1742&gt;0,B1742&lt;&gt;"TXO"),L1742,"")</f>
        <v/>
      </c>
      <c r="AA1742" s="226">
        <f>IF(AND(R1742="",S1742="Yes",L1742&lt;0,B1742&lt;&gt;"TXO"),L1742,"")</f>
        <v/>
      </c>
    </row>
    <row r="1743" hidden="1" outlineLevel="2" collapsed="1" ht="17.25" customHeight="1" thickBot="1">
      <c r="A1743" s="696" t="n">
        <v>43439</v>
      </c>
      <c r="B1743" s="234" t="inlineStr">
        <is>
          <t>FIMTX</t>
        </is>
      </c>
      <c r="C1743" s="229" t="inlineStr">
        <is>
          <t>小指12</t>
        </is>
      </c>
      <c r="D1743" s="229" t="inlineStr">
        <is>
          <t>平倉</t>
        </is>
      </c>
      <c r="E1743" s="257" t="inlineStr">
        <is>
          <t>買</t>
        </is>
      </c>
      <c r="F1743" s="229" t="inlineStr">
        <is>
          <t>-</t>
        </is>
      </c>
      <c r="G1743" s="697" t="n">
        <v>1</v>
      </c>
      <c r="H1743" s="697" t="n">
        <v>9894</v>
      </c>
      <c r="I1743" s="697" t="n">
        <v>0</v>
      </c>
      <c r="J1743" s="585" t="n">
        <v>23</v>
      </c>
      <c r="K1743" s="585" t="n">
        <v>10</v>
      </c>
      <c r="L1743" s="585">
        <f>IF(B1743="TXO",I1743-SUM(J1743:K1743),IF(B1743="FITX",IF(D1743="新倉",-SUM(J1743:K1743),IF(E1743="賣",(H1743-H1742)*G1743*200-SUM(J1743:K1743),(H1742-H1743)*G1743*200-SUM(J1743:K1743))),IF(D1743="新倉",-SUM(J1743:K1743),IF(E1743="賣",(H1743-H1742)*G1743*50-SUM(J1743:K1743),(H1742-H1743)*G1743*50-SUM(J1743:K1743)))))</f>
        <v/>
      </c>
      <c r="M1743" s="699">
        <f>L1743</f>
        <v/>
      </c>
      <c r="N1743" s="686">
        <f>IF(B1743="TXO","",IF(D1743="新倉","",IF(E1743="賣",(H1743-H1742)*G1743,(H1742-H1743)*G1743)))</f>
        <v/>
      </c>
      <c r="O1743" s="226" t="n">
        <v>0</v>
      </c>
      <c r="P1743" s="667" t="n"/>
      <c r="Q1743" s="249" t="inlineStr">
        <is>
          <t>技法: 刺補</t>
        </is>
      </c>
      <c r="R1743" s="249" t="inlineStr">
        <is>
          <t>Yes</t>
        </is>
      </c>
      <c r="S1743" s="249" t="n"/>
      <c r="T1743" s="61">
        <f>IF(AND(R1743="Yes",S1743&lt;&gt;"Yes",L1743&gt;0,B1743&lt;&gt;"TXO"),L1743,"")</f>
        <v/>
      </c>
      <c r="U1743" s="61">
        <f>IF(AND(R1743="Yes",S1743&lt;&gt;"Yes",L1743&lt;0,B1743&lt;&gt;"TXO"),L1743,"")</f>
        <v/>
      </c>
      <c r="V1743" s="61">
        <f>IF(AND(R1743="",S1743&lt;&gt;"Yes",L1743&gt;0,B1743&lt;&gt;"TXO"),L1743,"")</f>
        <v/>
      </c>
      <c r="W1743" s="61">
        <f>IF(AND(R1743="",S1743&lt;&gt;"Yes",L1743&lt;0,B1743&lt;&gt;"TXO"),L1743,"")</f>
        <v/>
      </c>
      <c r="X1743" s="226">
        <f>IF(AND(R1743="Yes",S1743="Yes",L1743&gt;0,B1743&lt;&gt;"TXO"),L1743,"")</f>
        <v/>
      </c>
      <c r="Y1743" s="226">
        <f>IF(AND(R1743="Yes",S1743="Yes",L1743&lt;0,B1743&lt;&gt;"TXO"),L1743,"")</f>
        <v/>
      </c>
      <c r="Z1743" s="226">
        <f>IF(AND(R1743="",S1743="Yes",L1743&gt;0,B1743&lt;&gt;"TXO"),L1743,"")</f>
        <v/>
      </c>
      <c r="AA1743" s="226">
        <f>IF(AND(R1743="",S1743="Yes",L1743&lt;0,B1743&lt;&gt;"TXO"),L1743,"")</f>
        <v/>
      </c>
    </row>
    <row r="1744" hidden="1" outlineLevel="2" collapsed="1" ht="17.25" customHeight="1" thickBot="1">
      <c r="A1744" s="696" t="n">
        <v>43439</v>
      </c>
      <c r="B1744" s="234" t="inlineStr">
        <is>
          <t>FIMTX</t>
        </is>
      </c>
      <c r="C1744" s="229" t="inlineStr">
        <is>
          <t>小指12</t>
        </is>
      </c>
      <c r="D1744" s="229" t="inlineStr">
        <is>
          <t>新倉</t>
        </is>
      </c>
      <c r="E1744" s="257" t="inlineStr">
        <is>
          <t>賣</t>
        </is>
      </c>
      <c r="F1744" s="229" t="inlineStr">
        <is>
          <t>-</t>
        </is>
      </c>
      <c r="G1744" s="697" t="n">
        <v>1</v>
      </c>
      <c r="H1744" s="697" t="n">
        <v>9902</v>
      </c>
      <c r="I1744" s="697" t="n">
        <v>0</v>
      </c>
      <c r="J1744" s="585" t="n">
        <v>23</v>
      </c>
      <c r="K1744" s="585" t="n">
        <v>10</v>
      </c>
      <c r="L1744" s="585">
        <f>IF(B1744="TXO",I1744-SUM(J1744:K1744),IF(B1744="FITX",IF(D1744="新倉",-SUM(J1744:K1744),IF(E1744="賣",(H1744-H1743)*G1744*200-SUM(J1744:K1744),(H1743-H1744)*G1744*200-SUM(J1744:K1744))),IF(D1744="新倉",-SUM(J1744:K1744),IF(E1744="賣",(H1744-H1743)*G1744*50-SUM(J1744:K1744),(H1743-H1744)*G1744*50-SUM(J1744:K1744)))))</f>
        <v/>
      </c>
      <c r="M1744" s="699">
        <f>L1744</f>
        <v/>
      </c>
      <c r="N1744" s="686">
        <f>IF(B1744="TXO","",IF(D1744="新倉","",IF(E1744="賣",(H1744-H1743)*G1744,(H1743-H1744)*G1744)))</f>
        <v/>
      </c>
      <c r="O1744" s="226" t="n">
        <v>0</v>
      </c>
      <c r="P1744" s="667" t="n"/>
      <c r="Q1744" s="297" t="inlineStr">
        <is>
          <t>技法: 3/3 買進一口</t>
        </is>
      </c>
      <c r="R1744" s="249" t="inlineStr">
        <is>
          <t>Yes</t>
        </is>
      </c>
      <c r="S1744" s="249" t="n"/>
      <c r="T1744" s="61">
        <f>IF(AND(R1744="Yes",S1744&lt;&gt;"Yes",L1744&gt;0,B1744&lt;&gt;"TXO"),L1744,"")</f>
        <v/>
      </c>
      <c r="U1744" s="61">
        <f>IF(AND(R1744="Yes",S1744&lt;&gt;"Yes",L1744&lt;0,B1744&lt;&gt;"TXO"),L1744,"")</f>
        <v/>
      </c>
      <c r="V1744" s="61">
        <f>IF(AND(R1744="",S1744&lt;&gt;"Yes",L1744&gt;0,B1744&lt;&gt;"TXO"),L1744,"")</f>
        <v/>
      </c>
      <c r="W1744" s="61">
        <f>IF(AND(R1744="",S1744&lt;&gt;"Yes",L1744&lt;0,B1744&lt;&gt;"TXO"),L1744,"")</f>
        <v/>
      </c>
      <c r="X1744" s="226">
        <f>IF(AND(R1744="Yes",S1744="Yes",L1744&gt;0,B1744&lt;&gt;"TXO"),L1744,"")</f>
        <v/>
      </c>
      <c r="Y1744" s="226">
        <f>IF(AND(R1744="Yes",S1744="Yes",L1744&lt;0,B1744&lt;&gt;"TXO"),L1744,"")</f>
        <v/>
      </c>
      <c r="Z1744" s="226">
        <f>IF(AND(R1744="",S1744="Yes",L1744&gt;0,B1744&lt;&gt;"TXO"),L1744,"")</f>
        <v/>
      </c>
      <c r="AA1744" s="226">
        <f>IF(AND(R1744="",S1744="Yes",L1744&lt;0,B1744&lt;&gt;"TXO"),L1744,"")</f>
        <v/>
      </c>
    </row>
    <row r="1745" hidden="1" outlineLevel="2" ht="17.25" customHeight="1" thickBot="1">
      <c r="A1745" s="696" t="n">
        <v>43439</v>
      </c>
      <c r="B1745" s="234" t="inlineStr">
        <is>
          <t>FIMTX</t>
        </is>
      </c>
      <c r="C1745" s="229" t="inlineStr">
        <is>
          <t>小指12</t>
        </is>
      </c>
      <c r="D1745" s="229" t="inlineStr">
        <is>
          <t>平倉</t>
        </is>
      </c>
      <c r="E1745" s="257" t="inlineStr">
        <is>
          <t>買</t>
        </is>
      </c>
      <c r="F1745" s="229" t="inlineStr">
        <is>
          <t>-</t>
        </is>
      </c>
      <c r="G1745" s="697" t="n">
        <v>1</v>
      </c>
      <c r="H1745" s="697" t="n">
        <v>9892</v>
      </c>
      <c r="I1745" s="697" t="n">
        <v>0</v>
      </c>
      <c r="J1745" s="585" t="n">
        <v>23</v>
      </c>
      <c r="K1745" s="585" t="n">
        <v>10</v>
      </c>
      <c r="L1745" s="585">
        <f>IF(B1745="TXO",I1745-SUM(J1745:K1745),IF(B1745="FITX",IF(D1745="新倉",-SUM(J1745:K1745),IF(E1745="賣",(H1745-H1744)*G1745*200-SUM(J1745:K1745),(H1744-H1745)*G1745*200-SUM(J1745:K1745))),IF(D1745="新倉",-SUM(J1745:K1745),IF(E1745="賣",(H1745-H1744)*G1745*50-SUM(J1745:K1745),(H1744-H1745)*G1745*50-SUM(J1745:K1745)))))</f>
        <v/>
      </c>
      <c r="M1745" s="699">
        <f>L1745</f>
        <v/>
      </c>
      <c r="N1745" s="686">
        <f>IF(B1745="TXO","",IF(D1745="新倉","",IF(E1745="賣",(H1745-H1744)*G1745,(H1744-H1745)*G1745)))</f>
        <v/>
      </c>
      <c r="O1745" s="226" t="n">
        <v>0</v>
      </c>
      <c r="P1745" s="667" t="n"/>
      <c r="Q1745" s="249" t="inlineStr">
        <is>
          <t>技法: 刺補</t>
        </is>
      </c>
      <c r="R1745" s="249" t="inlineStr">
        <is>
          <t>Yes</t>
        </is>
      </c>
      <c r="S1745" s="249" t="n"/>
      <c r="T1745" s="61">
        <f>IF(AND(R1745="Yes",S1745&lt;&gt;"Yes",L1745&gt;0,B1745&lt;&gt;"TXO"),L1745,"")</f>
        <v/>
      </c>
      <c r="U1745" s="61">
        <f>IF(AND(R1745="Yes",S1745&lt;&gt;"Yes",L1745&lt;0,B1745&lt;&gt;"TXO"),L1745,"")</f>
        <v/>
      </c>
      <c r="V1745" s="61">
        <f>IF(AND(R1745="",S1745&lt;&gt;"Yes",L1745&gt;0,B1745&lt;&gt;"TXO"),L1745,"")</f>
        <v/>
      </c>
      <c r="W1745" s="61">
        <f>IF(AND(R1745="",S1745&lt;&gt;"Yes",L1745&lt;0,B1745&lt;&gt;"TXO"),L1745,"")</f>
        <v/>
      </c>
      <c r="X1745" s="226">
        <f>IF(AND(R1745="Yes",S1745="Yes",L1745&gt;0,B1745&lt;&gt;"TXO"),L1745,"")</f>
        <v/>
      </c>
      <c r="Y1745" s="226">
        <f>IF(AND(R1745="Yes",S1745="Yes",L1745&lt;0,B1745&lt;&gt;"TXO"),L1745,"")</f>
        <v/>
      </c>
      <c r="Z1745" s="226">
        <f>IF(AND(R1745="",S1745="Yes",L1745&gt;0,B1745&lt;&gt;"TXO"),L1745,"")</f>
        <v/>
      </c>
      <c r="AA1745" s="226">
        <f>IF(AND(R1745="",S1745="Yes",L1745&lt;0,B1745&lt;&gt;"TXO"),L1745,"")</f>
        <v/>
      </c>
    </row>
    <row r="1746" hidden="1" outlineLevel="2" collapsed="1" ht="17.25" customHeight="1" thickBot="1">
      <c r="A1746" s="696" t="n">
        <v>43439</v>
      </c>
      <c r="B1746" s="234" t="inlineStr">
        <is>
          <t>FIMTX</t>
        </is>
      </c>
      <c r="C1746" s="229" t="inlineStr">
        <is>
          <t>小指12</t>
        </is>
      </c>
      <c r="D1746" s="229" t="inlineStr">
        <is>
          <t>新倉</t>
        </is>
      </c>
      <c r="E1746" s="257" t="inlineStr">
        <is>
          <t>買</t>
        </is>
      </c>
      <c r="F1746" s="229" t="inlineStr">
        <is>
          <t>-</t>
        </is>
      </c>
      <c r="G1746" s="697" t="n">
        <v>1</v>
      </c>
      <c r="H1746" s="697" t="n">
        <v>9897</v>
      </c>
      <c r="I1746" s="697" t="n">
        <v>0</v>
      </c>
      <c r="J1746" s="585" t="n">
        <v>23</v>
      </c>
      <c r="K1746" s="585" t="n">
        <v>10</v>
      </c>
      <c r="L1746" s="585">
        <f>IF(B1746="TXO",I1746-SUM(J1746:K1746),IF(B1746="FITX",IF(D1746="新倉",-SUM(J1746:K1746),IF(E1746="賣",(H1746-H1745)*G1746*200-SUM(J1746:K1746),(H1745-H1746)*G1746*200-SUM(J1746:K1746))),IF(D1746="新倉",-SUM(J1746:K1746),IF(E1746="賣",(H1746-H1745)*G1746*50-SUM(J1746:K1746),(H1745-H1746)*G1746*50-SUM(J1746:K1746)))))</f>
        <v/>
      </c>
      <c r="M1746" s="699">
        <f>L1746</f>
        <v/>
      </c>
      <c r="N1746" s="686">
        <f>IF(B1746="TXO","",IF(D1746="新倉","",IF(E1746="賣",(H1746-H1745)*G1746,(H1745-H1746)*G1746)))</f>
        <v/>
      </c>
      <c r="O1746" s="226" t="n">
        <v>0</v>
      </c>
      <c r="P1746" s="667" t="n"/>
      <c r="Q1746" s="297" t="inlineStr">
        <is>
          <t>技法: 3/3 買進一口</t>
        </is>
      </c>
      <c r="R1746" s="249" t="inlineStr">
        <is>
          <t>Yes</t>
        </is>
      </c>
      <c r="S1746" s="249" t="n"/>
      <c r="T1746" s="61">
        <f>IF(AND(R1746="Yes",S1746&lt;&gt;"Yes",L1746&gt;0,B1746&lt;&gt;"TXO"),L1746,"")</f>
        <v/>
      </c>
      <c r="U1746" s="61">
        <f>IF(AND(R1746="Yes",S1746&lt;&gt;"Yes",L1746&lt;0,B1746&lt;&gt;"TXO"),L1746,"")</f>
        <v/>
      </c>
      <c r="V1746" s="61">
        <f>IF(AND(R1746="",S1746&lt;&gt;"Yes",L1746&gt;0,B1746&lt;&gt;"TXO"),L1746,"")</f>
        <v/>
      </c>
      <c r="W1746" s="61">
        <f>IF(AND(R1746="",S1746&lt;&gt;"Yes",L1746&lt;0,B1746&lt;&gt;"TXO"),L1746,"")</f>
        <v/>
      </c>
      <c r="X1746" s="226">
        <f>IF(AND(R1746="Yes",S1746="Yes",L1746&gt;0,B1746&lt;&gt;"TXO"),L1746,"")</f>
        <v/>
      </c>
      <c r="Y1746" s="226">
        <f>IF(AND(R1746="Yes",S1746="Yes",L1746&lt;0,B1746&lt;&gt;"TXO"),L1746,"")</f>
        <v/>
      </c>
      <c r="Z1746" s="226">
        <f>IF(AND(R1746="",S1746="Yes",L1746&gt;0,B1746&lt;&gt;"TXO"),L1746,"")</f>
        <v/>
      </c>
      <c r="AA1746" s="226">
        <f>IF(AND(R1746="",S1746="Yes",L1746&lt;0,B1746&lt;&gt;"TXO"),L1746,"")</f>
        <v/>
      </c>
    </row>
    <row r="1747" hidden="1" outlineLevel="2" collapsed="1" ht="17.25" customHeight="1" thickBot="1">
      <c r="A1747" s="696" t="n">
        <v>43439</v>
      </c>
      <c r="B1747" s="234" t="inlineStr">
        <is>
          <t>FIMTX</t>
        </is>
      </c>
      <c r="C1747" s="229" t="inlineStr">
        <is>
          <t>小指12</t>
        </is>
      </c>
      <c r="D1747" s="229" t="inlineStr">
        <is>
          <t>平倉</t>
        </is>
      </c>
      <c r="E1747" s="257" t="inlineStr">
        <is>
          <t>賣</t>
        </is>
      </c>
      <c r="F1747" s="229" t="inlineStr">
        <is>
          <t>-</t>
        </is>
      </c>
      <c r="G1747" s="697" t="n">
        <v>1</v>
      </c>
      <c r="H1747" s="697" t="n">
        <v>9893</v>
      </c>
      <c r="I1747" s="697" t="n">
        <v>0</v>
      </c>
      <c r="J1747" s="585" t="n">
        <v>23</v>
      </c>
      <c r="K1747" s="585" t="n">
        <v>10</v>
      </c>
      <c r="L1747" s="585">
        <f>IF(B1747="TXO",I1747-SUM(J1747:K1747),IF(B1747="FITX",IF(D1747="新倉",-SUM(J1747:K1747),IF(E1747="賣",(H1747-H1746)*G1747*200-SUM(J1747:K1747),(H1746-H1747)*G1747*200-SUM(J1747:K1747))),IF(D1747="新倉",-SUM(J1747:K1747),IF(E1747="賣",(H1747-H1746)*G1747*50-SUM(J1747:K1747),(H1746-H1747)*G1747*50-SUM(J1747:K1747)))))</f>
        <v/>
      </c>
      <c r="M1747" s="699">
        <f>L1747</f>
        <v/>
      </c>
      <c r="N1747" s="686">
        <f>IF(B1747="TXO","",IF(D1747="新倉","",IF(E1747="賣",(H1747-H1746)*G1747,(H1746-H1747)*G1747)))</f>
        <v/>
      </c>
      <c r="O1747" s="226" t="n">
        <v>0</v>
      </c>
      <c r="P1747" s="667" t="n"/>
      <c r="Q1747" s="249" t="inlineStr">
        <is>
          <t>技法: 碰10MA出場</t>
        </is>
      </c>
      <c r="R1747" s="249" t="inlineStr">
        <is>
          <t>Yes</t>
        </is>
      </c>
      <c r="S1747" s="249" t="n"/>
      <c r="T1747" s="61">
        <f>IF(AND(R1747="Yes",S1747&lt;&gt;"Yes",L1747&gt;0,B1747&lt;&gt;"TXO"),L1747,"")</f>
        <v/>
      </c>
      <c r="U1747" s="61">
        <f>IF(AND(R1747="Yes",S1747&lt;&gt;"Yes",L1747&lt;0,B1747&lt;&gt;"TXO"),L1747,"")</f>
        <v/>
      </c>
      <c r="V1747" s="61">
        <f>IF(AND(R1747="",S1747&lt;&gt;"Yes",L1747&gt;0,B1747&lt;&gt;"TXO"),L1747,"")</f>
        <v/>
      </c>
      <c r="W1747" s="61">
        <f>IF(AND(R1747="",S1747&lt;&gt;"Yes",L1747&lt;0,B1747&lt;&gt;"TXO"),L1747,"")</f>
        <v/>
      </c>
      <c r="X1747" s="226">
        <f>IF(AND(R1747="Yes",S1747="Yes",L1747&gt;0,B1747&lt;&gt;"TXO"),L1747,"")</f>
        <v/>
      </c>
      <c r="Y1747" s="226">
        <f>IF(AND(R1747="Yes",S1747="Yes",L1747&lt;0,B1747&lt;&gt;"TXO"),L1747,"")</f>
        <v/>
      </c>
      <c r="Z1747" s="226">
        <f>IF(AND(R1747="",S1747="Yes",L1747&gt;0,B1747&lt;&gt;"TXO"),L1747,"")</f>
        <v/>
      </c>
      <c r="AA1747" s="226">
        <f>IF(AND(R1747="",S1747="Yes",L1747&lt;0,B1747&lt;&gt;"TXO"),L1747,"")</f>
        <v/>
      </c>
    </row>
    <row r="1748" hidden="1" outlineLevel="2" ht="17.25" customHeight="1" thickBot="1">
      <c r="A1748" s="696" t="n">
        <v>43439</v>
      </c>
      <c r="B1748" s="234" t="inlineStr">
        <is>
          <t>FIMTX</t>
        </is>
      </c>
      <c r="C1748" s="229" t="inlineStr">
        <is>
          <t>小指12</t>
        </is>
      </c>
      <c r="D1748" s="229" t="inlineStr">
        <is>
          <t>新倉</t>
        </is>
      </c>
      <c r="E1748" s="257" t="inlineStr">
        <is>
          <t>賣</t>
        </is>
      </c>
      <c r="F1748" s="229" t="inlineStr">
        <is>
          <t>-</t>
        </is>
      </c>
      <c r="G1748" s="697" t="n">
        <v>1</v>
      </c>
      <c r="H1748" s="697" t="n">
        <v>9890</v>
      </c>
      <c r="I1748" s="697" t="n">
        <v>0</v>
      </c>
      <c r="J1748" s="585" t="n">
        <v>23</v>
      </c>
      <c r="K1748" s="585" t="n">
        <v>10</v>
      </c>
      <c r="L1748" s="585">
        <f>IF(B1748="TXO",I1748-SUM(J1748:K1748),IF(B1748="FITX",IF(D1748="新倉",-SUM(J1748:K1748),IF(E1748="賣",(H1748-H1747)*G1748*200-SUM(J1748:K1748),(H1747-H1748)*G1748*200-SUM(J1748:K1748))),IF(D1748="新倉",-SUM(J1748:K1748),IF(E1748="賣",(H1748-H1747)*G1748*50-SUM(J1748:K1748),(H1747-H1748)*G1748*50-SUM(J1748:K1748)))))</f>
        <v/>
      </c>
      <c r="M1748" s="699">
        <f>L1748</f>
        <v/>
      </c>
      <c r="N1748" s="686">
        <f>IF(B1748="TXO","",IF(D1748="新倉","",IF(E1748="賣",(H1748-H1747)*G1748,(H1747-H1748)*G1748)))</f>
        <v/>
      </c>
      <c r="O1748" s="226" t="n">
        <v>0</v>
      </c>
      <c r="P1748" s="667" t="n"/>
      <c r="Q1748" s="297" t="inlineStr">
        <is>
          <t>技法: 3/3 買進一口</t>
        </is>
      </c>
      <c r="R1748" s="249" t="inlineStr">
        <is>
          <t>Yes</t>
        </is>
      </c>
      <c r="S1748" s="249" t="n"/>
      <c r="T1748" s="61">
        <f>IF(AND(R1748="Yes",S1748&lt;&gt;"Yes",L1748&gt;0,B1748&lt;&gt;"TXO"),L1748,"")</f>
        <v/>
      </c>
      <c r="U1748" s="61">
        <f>IF(AND(R1748="Yes",S1748&lt;&gt;"Yes",L1748&lt;0,B1748&lt;&gt;"TXO"),L1748,"")</f>
        <v/>
      </c>
      <c r="V1748" s="61">
        <f>IF(AND(R1748="",S1748&lt;&gt;"Yes",L1748&gt;0,B1748&lt;&gt;"TXO"),L1748,"")</f>
        <v/>
      </c>
      <c r="W1748" s="61">
        <f>IF(AND(R1748="",S1748&lt;&gt;"Yes",L1748&lt;0,B1748&lt;&gt;"TXO"),L1748,"")</f>
        <v/>
      </c>
      <c r="X1748" s="226">
        <f>IF(AND(R1748="Yes",S1748="Yes",L1748&gt;0,B1748&lt;&gt;"TXO"),L1748,"")</f>
        <v/>
      </c>
      <c r="Y1748" s="226">
        <f>IF(AND(R1748="Yes",S1748="Yes",L1748&lt;0,B1748&lt;&gt;"TXO"),L1748,"")</f>
        <v/>
      </c>
      <c r="Z1748" s="226">
        <f>IF(AND(R1748="",S1748="Yes",L1748&gt;0,B1748&lt;&gt;"TXO"),L1748,"")</f>
        <v/>
      </c>
      <c r="AA1748" s="226">
        <f>IF(AND(R1748="",S1748="Yes",L1748&lt;0,B1748&lt;&gt;"TXO"),L1748,"")</f>
        <v/>
      </c>
    </row>
    <row r="1749" hidden="1" outlineLevel="2" collapsed="1" ht="17.25" customHeight="1" thickBot="1">
      <c r="A1749" s="696" t="n">
        <v>43439</v>
      </c>
      <c r="B1749" s="234" t="inlineStr">
        <is>
          <t>FIMTX</t>
        </is>
      </c>
      <c r="C1749" s="229" t="inlineStr">
        <is>
          <t>小指12</t>
        </is>
      </c>
      <c r="D1749" s="229" t="inlineStr">
        <is>
          <t>平倉</t>
        </is>
      </c>
      <c r="E1749" s="257" t="inlineStr">
        <is>
          <t>買</t>
        </is>
      </c>
      <c r="F1749" s="229" t="inlineStr">
        <is>
          <t>-</t>
        </is>
      </c>
      <c r="G1749" s="697" t="n">
        <v>1</v>
      </c>
      <c r="H1749" s="697" t="n">
        <v>9894</v>
      </c>
      <c r="I1749" s="697" t="n">
        <v>0</v>
      </c>
      <c r="J1749" s="585" t="n">
        <v>23</v>
      </c>
      <c r="K1749" s="585" t="n">
        <v>10</v>
      </c>
      <c r="L1749" s="585">
        <f>IF(B1749="TXO",I1749-SUM(J1749:K1749),IF(B1749="FITX",IF(D1749="新倉",-SUM(J1749:K1749),IF(E1749="賣",(H1749-H1748)*G1749*200-SUM(J1749:K1749),(H1748-H1749)*G1749*200-SUM(J1749:K1749))),IF(D1749="新倉",-SUM(J1749:K1749),IF(E1749="賣",(H1749-H1748)*G1749*50-SUM(J1749:K1749),(H1748-H1749)*G1749*50-SUM(J1749:K1749)))))</f>
        <v/>
      </c>
      <c r="M1749" s="699">
        <f>L1749</f>
        <v/>
      </c>
      <c r="N1749" s="686">
        <f>IF(B1749="TXO","",IF(D1749="新倉","",IF(E1749="賣",(H1749-H1748)*G1749,(H1748-H1749)*G1749)))</f>
        <v/>
      </c>
      <c r="O1749" s="226" t="n">
        <v>0</v>
      </c>
      <c r="P1749" s="667" t="n"/>
      <c r="Q1749" s="249" t="inlineStr">
        <is>
          <t>技法: 碰10MA出場</t>
        </is>
      </c>
      <c r="R1749" s="249" t="inlineStr">
        <is>
          <t>Yes</t>
        </is>
      </c>
      <c r="S1749" s="249" t="n"/>
      <c r="T1749" s="61">
        <f>IF(AND(R1749="Yes",S1749&lt;&gt;"Yes",L1749&gt;0,B1749&lt;&gt;"TXO"),L1749,"")</f>
        <v/>
      </c>
      <c r="U1749" s="61">
        <f>IF(AND(R1749="Yes",S1749&lt;&gt;"Yes",L1749&lt;0,B1749&lt;&gt;"TXO"),L1749,"")</f>
        <v/>
      </c>
      <c r="V1749" s="61">
        <f>IF(AND(R1749="",S1749&lt;&gt;"Yes",L1749&gt;0,B1749&lt;&gt;"TXO"),L1749,"")</f>
        <v/>
      </c>
      <c r="W1749" s="61">
        <f>IF(AND(R1749="",S1749&lt;&gt;"Yes",L1749&lt;0,B1749&lt;&gt;"TXO"),L1749,"")</f>
        <v/>
      </c>
      <c r="X1749" s="226">
        <f>IF(AND(R1749="Yes",S1749="Yes",L1749&gt;0,B1749&lt;&gt;"TXO"),L1749,"")</f>
        <v/>
      </c>
      <c r="Y1749" s="226">
        <f>IF(AND(R1749="Yes",S1749="Yes",L1749&lt;0,B1749&lt;&gt;"TXO"),L1749,"")</f>
        <v/>
      </c>
      <c r="Z1749" s="226">
        <f>IF(AND(R1749="",S1749="Yes",L1749&gt;0,B1749&lt;&gt;"TXO"),L1749,"")</f>
        <v/>
      </c>
      <c r="AA1749" s="226">
        <f>IF(AND(R1749="",S1749="Yes",L1749&lt;0,B1749&lt;&gt;"TXO"),L1749,"")</f>
        <v/>
      </c>
    </row>
    <row r="1750" hidden="1" outlineLevel="1" collapsed="1" ht="17.25" customHeight="1" thickBot="1">
      <c r="A1750" s="696" t="n">
        <v>43439</v>
      </c>
      <c r="B1750" s="234" t="inlineStr">
        <is>
          <t>TXO</t>
        </is>
      </c>
      <c r="C1750" s="229" t="inlineStr">
        <is>
          <t>台選W1 12 9800 P</t>
        </is>
      </c>
      <c r="D1750" s="229" t="inlineStr">
        <is>
          <t>新倉</t>
        </is>
      </c>
      <c r="E1750" s="257" t="inlineStr">
        <is>
          <t>買</t>
        </is>
      </c>
      <c r="F1750" s="229" t="inlineStr">
        <is>
          <t>-</t>
        </is>
      </c>
      <c r="G1750" s="697" t="n">
        <v>1</v>
      </c>
      <c r="H1750" s="697" t="n">
        <v>2.8</v>
      </c>
      <c r="I1750" s="697" t="n">
        <v>-140</v>
      </c>
      <c r="J1750" s="585" t="n">
        <v>18</v>
      </c>
      <c r="K1750" s="585" t="n">
        <v>0</v>
      </c>
      <c r="L1750" s="585">
        <f>IF(B1750="TXO",I1750-SUM(J1750:K1750),IF(B1750="FITX",IF(D1750="新倉",-SUM(J1750:K1750),IF(E1750="賣",(H1750-H1749)*G1750*200-SUM(J1750:K1750),(H1749-H1750)*G1750*200-SUM(J1750:K1750))),IF(D1750="新倉",-SUM(J1750:K1750),IF(E1750="賣",(H1750-H1749)*G1750*50-SUM(J1750:K1750),(H1749-H1750)*G1750*50-SUM(J1750:K1750)))))</f>
        <v/>
      </c>
      <c r="M1750" s="699">
        <f>L1750</f>
        <v/>
      </c>
      <c r="N1750" s="686">
        <f>IF(B1750="TXO","",IF(D1750="新倉","",IF(E1750="賣",(H1750-H1749)*G1750,(H1749-H1750)*G1750)))</f>
        <v/>
      </c>
      <c r="O1750" s="226" t="n">
        <v>0</v>
      </c>
      <c r="P1750" s="667">
        <f>SUM(L1750:L1751)</f>
        <v/>
      </c>
      <c r="Q1750" s="297" t="n"/>
      <c r="S1750" s="249" t="n"/>
      <c r="T1750" s="61">
        <f>IF(AND(R1750="Yes",S1750&lt;&gt;"Yes",L1750&gt;0,B1750&lt;&gt;"TXO"),L1750,"")</f>
        <v/>
      </c>
      <c r="U1750" s="61">
        <f>IF(AND(R1750="Yes",S1750&lt;&gt;"Yes",L1750&lt;0,B1750&lt;&gt;"TXO"),L1750,"")</f>
        <v/>
      </c>
      <c r="V1750" s="61">
        <f>IF(AND(R1750="",S1750&lt;&gt;"Yes",L1750&gt;0,B1750&lt;&gt;"TXO"),L1750,"")</f>
        <v/>
      </c>
      <c r="W1750" s="61">
        <f>IF(AND(R1750="",S1750&lt;&gt;"Yes",L1750&lt;0,B1750&lt;&gt;"TXO"),L1750,"")</f>
        <v/>
      </c>
      <c r="X1750" s="226">
        <f>IF(AND(R1750="Yes",S1750="Yes",L1750&gt;0,B1750&lt;&gt;"TXO"),L1750,"")</f>
        <v/>
      </c>
      <c r="Y1750" s="226">
        <f>IF(AND(R1750="Yes",S1750="Yes",L1750&lt;0,B1750&lt;&gt;"TXO"),L1750,"")</f>
        <v/>
      </c>
      <c r="Z1750" s="226">
        <f>IF(AND(R1750="",S1750="Yes",L1750&gt;0,B1750&lt;&gt;"TXO"),L1750,"")</f>
        <v/>
      </c>
      <c r="AA1750" s="226">
        <f>IF(AND(R1750="",S1750="Yes",L1750&lt;0,B1750&lt;&gt;"TXO"),L1750,"")</f>
        <v/>
      </c>
    </row>
    <row r="1751" hidden="1" outlineLevel="1" ht="17.25" customHeight="1" thickBot="1">
      <c r="A1751" s="696" t="n">
        <v>43439</v>
      </c>
      <c r="B1751" s="234" t="inlineStr">
        <is>
          <t>TXO</t>
        </is>
      </c>
      <c r="C1751" s="229" t="inlineStr">
        <is>
          <t>台選W1 12 9800 P</t>
        </is>
      </c>
      <c r="D1751" s="229" t="inlineStr">
        <is>
          <t>新倉</t>
        </is>
      </c>
      <c r="E1751" s="257" t="inlineStr">
        <is>
          <t>買</t>
        </is>
      </c>
      <c r="F1751" s="229" t="inlineStr">
        <is>
          <t>-</t>
        </is>
      </c>
      <c r="G1751" s="697" t="n">
        <v>4</v>
      </c>
      <c r="H1751" s="697" t="n">
        <v>2.8</v>
      </c>
      <c r="I1751" s="697" t="n">
        <v>-560</v>
      </c>
      <c r="J1751" s="585" t="n">
        <v>72</v>
      </c>
      <c r="K1751" s="585" t="n">
        <v>0</v>
      </c>
      <c r="L1751" s="585">
        <f>IF(B1751="TXO",I1751-SUM(J1751:K1751),IF(B1751="FITX",IF(D1751="新倉",-SUM(J1751:K1751),IF(E1751="賣",(H1751-H1750)*G1751*200-SUM(J1751:K1751),(H1750-H1751)*G1751*200-SUM(J1751:K1751))),IF(D1751="新倉",-SUM(J1751:K1751),IF(E1751="賣",(H1751-H1750)*G1751*50-SUM(J1751:K1751),(H1750-H1751)*G1751*50-SUM(J1751:K1751)))))</f>
        <v/>
      </c>
      <c r="M1751" s="699">
        <f>L1751</f>
        <v/>
      </c>
      <c r="N1751" s="686">
        <f>IF(B1751="TXO","",IF(D1751="新倉","",IF(E1751="賣",(H1751-H1750)*G1751,(H1750-H1751)*G1751)))</f>
        <v/>
      </c>
      <c r="O1751" s="226" t="n">
        <v>0</v>
      </c>
      <c r="P1751" s="667" t="n"/>
      <c r="S1751" s="249" t="n"/>
      <c r="T1751" s="61">
        <f>IF(AND(R1751="Yes",S1751&lt;&gt;"Yes",L1751&gt;0,B1751&lt;&gt;"TXO"),L1751,"")</f>
        <v/>
      </c>
      <c r="U1751" s="61">
        <f>IF(AND(R1751="Yes",S1751&lt;&gt;"Yes",L1751&lt;0,B1751&lt;&gt;"TXO"),L1751,"")</f>
        <v/>
      </c>
      <c r="V1751" s="61">
        <f>IF(AND(R1751="",S1751&lt;&gt;"Yes",L1751&gt;0,B1751&lt;&gt;"TXO"),L1751,"")</f>
        <v/>
      </c>
      <c r="W1751" s="61">
        <f>IF(AND(R1751="",S1751&lt;&gt;"Yes",L1751&lt;0,B1751&lt;&gt;"TXO"),L1751,"")</f>
        <v/>
      </c>
      <c r="X1751" s="226">
        <f>IF(AND(R1751="Yes",S1751="Yes",L1751&gt;0,B1751&lt;&gt;"TXO"),L1751,"")</f>
        <v/>
      </c>
      <c r="Y1751" s="226">
        <f>IF(AND(R1751="Yes",S1751="Yes",L1751&lt;0,B1751&lt;&gt;"TXO"),L1751,"")</f>
        <v/>
      </c>
      <c r="Z1751" s="226">
        <f>IF(AND(R1751="",S1751="Yes",L1751&gt;0,B1751&lt;&gt;"TXO"),L1751,"")</f>
        <v/>
      </c>
      <c r="AA1751" s="226">
        <f>IF(AND(R1751="",S1751="Yes",L1751&lt;0,B1751&lt;&gt;"TXO"),L1751,"")</f>
        <v/>
      </c>
    </row>
    <row r="1752" hidden="1" outlineLevel="1" ht="33.75" customHeight="1" thickBot="1">
      <c r="A1752" s="740" t="n">
        <v>43440</v>
      </c>
      <c r="B1752" s="299" t="inlineStr">
        <is>
          <t>FIMTX</t>
        </is>
      </c>
      <c r="C1752" s="300" t="inlineStr">
        <is>
          <t>小指12</t>
        </is>
      </c>
      <c r="D1752" s="300" t="inlineStr">
        <is>
          <t>新倉</t>
        </is>
      </c>
      <c r="E1752" s="301" t="inlineStr">
        <is>
          <t>賣</t>
        </is>
      </c>
      <c r="F1752" s="300" t="inlineStr">
        <is>
          <t>-</t>
        </is>
      </c>
      <c r="G1752" s="741" t="n">
        <v>1</v>
      </c>
      <c r="H1752" s="741" t="n">
        <v>9776</v>
      </c>
      <c r="I1752" s="741" t="n">
        <v>0</v>
      </c>
      <c r="J1752" s="742" t="n">
        <v>23</v>
      </c>
      <c r="K1752" s="742" t="n">
        <v>10</v>
      </c>
      <c r="L1752" s="742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/>
      </c>
      <c r="M1752" s="743">
        <f>L1752</f>
        <v/>
      </c>
      <c r="N1752" s="686">
        <f>IF(B1752="TXO","",IF(D1752="新倉","",IF(E1752="賣",(H1752-H1751)*G1752,(H1751-H1752)*G1752)))</f>
        <v/>
      </c>
      <c r="O1752" s="226" t="n">
        <v>0</v>
      </c>
      <c r="P1752" s="667">
        <f>SUM(L1752:L1783)</f>
        <v/>
      </c>
      <c r="Q1752" s="249" t="inlineStr">
        <is>
          <t>技法: 籌碼三弱，跌破開盤低點下空單</t>
        </is>
      </c>
      <c r="R1752" s="249" t="inlineStr">
        <is>
          <t>Yes</t>
        </is>
      </c>
      <c r="S1752" s="249" t="n"/>
      <c r="T1752" s="61">
        <f>IF(AND(R1752="Yes",S1752&lt;&gt;"Yes",L1752&gt;0,B1752&lt;&gt;"TXO"),L1752,"")</f>
        <v/>
      </c>
      <c r="U1752" s="61">
        <f>IF(AND(R1752="Yes",S1752&lt;&gt;"Yes",L1752&lt;0,B1752&lt;&gt;"TXO"),L1752,"")</f>
        <v/>
      </c>
      <c r="V1752" s="61">
        <f>IF(AND(R1752="",S1752&lt;&gt;"Yes",L1752&gt;0,B1752&lt;&gt;"TXO"),L1752,"")</f>
        <v/>
      </c>
      <c r="W1752" s="61">
        <f>IF(AND(R1752="",S1752&lt;&gt;"Yes",L1752&lt;0,B1752&lt;&gt;"TXO"),L1752,"")</f>
        <v/>
      </c>
      <c r="X1752" s="226">
        <f>IF(AND(R1752="Yes",S1752="Yes",L1752&gt;0,B1752&lt;&gt;"TXO"),L1752,"")</f>
        <v/>
      </c>
      <c r="Y1752" s="226">
        <f>IF(AND(R1752="Yes",S1752="Yes",L1752&lt;0,B1752&lt;&gt;"TXO"),L1752,"")</f>
        <v/>
      </c>
      <c r="Z1752" s="226">
        <f>IF(AND(R1752="",S1752="Yes",L1752&gt;0,B1752&lt;&gt;"TXO"),L1752,"")</f>
        <v/>
      </c>
      <c r="AA1752" s="226">
        <f>IF(AND(R1752="",S1752="Yes",L1752&lt;0,B1752&lt;&gt;"TXO"),L1752,"")</f>
        <v/>
      </c>
    </row>
    <row r="1753" hidden="1" outlineLevel="2" collapsed="1" ht="17.25" customHeight="1" thickBot="1">
      <c r="A1753" s="740" t="n">
        <v>43440</v>
      </c>
      <c r="B1753" s="299" t="inlineStr">
        <is>
          <t>FIMTX</t>
        </is>
      </c>
      <c r="C1753" s="300" t="inlineStr">
        <is>
          <t>小指12</t>
        </is>
      </c>
      <c r="D1753" s="300" t="inlineStr">
        <is>
          <t>平倉</t>
        </is>
      </c>
      <c r="E1753" s="301" t="inlineStr">
        <is>
          <t>買</t>
        </is>
      </c>
      <c r="F1753" s="300" t="inlineStr">
        <is>
          <t>-</t>
        </is>
      </c>
      <c r="G1753" s="741" t="n">
        <v>1</v>
      </c>
      <c r="H1753" s="741" t="n">
        <v>9794</v>
      </c>
      <c r="I1753" s="741" t="n">
        <v>0</v>
      </c>
      <c r="J1753" s="742" t="n">
        <v>23</v>
      </c>
      <c r="K1753" s="742" t="n">
        <v>10</v>
      </c>
      <c r="L1753" s="742">
        <f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/>
      </c>
      <c r="M1753" s="743">
        <f>L1753</f>
        <v/>
      </c>
      <c r="N1753" s="686">
        <f>IF(B1753="TXO","",IF(D1753="新倉","",IF(E1753="賣",(H1753-H1752)*G1753,(H1752-H1753)*G1753)))</f>
        <v/>
      </c>
      <c r="O1753" s="226" t="n">
        <v>0</v>
      </c>
      <c r="P1753" s="667" t="n"/>
      <c r="Q1753" s="249" t="inlineStr">
        <is>
          <t>技法: 15點停損(被洗出場)</t>
        </is>
      </c>
      <c r="R1753" s="249" t="inlineStr">
        <is>
          <t>Yes</t>
        </is>
      </c>
      <c r="S1753" s="249" t="n"/>
      <c r="T1753" s="61">
        <f>IF(AND(R1753="Yes",S1753&lt;&gt;"Yes",L1753&gt;0,B1753&lt;&gt;"TXO"),L1753,"")</f>
        <v/>
      </c>
      <c r="U1753" s="61">
        <f>IF(AND(R1753="Yes",S1753&lt;&gt;"Yes",L1753&lt;0,B1753&lt;&gt;"TXO"),L1753,"")</f>
        <v/>
      </c>
      <c r="V1753" s="61">
        <f>IF(AND(R1753="",S1753&lt;&gt;"Yes",L1753&gt;0,B1753&lt;&gt;"TXO"),L1753,"")</f>
        <v/>
      </c>
      <c r="W1753" s="61">
        <f>IF(AND(R1753="",S1753&lt;&gt;"Yes",L1753&lt;0,B1753&lt;&gt;"TXO"),L1753,"")</f>
        <v/>
      </c>
      <c r="X1753" s="226">
        <f>IF(AND(R1753="Yes",S1753="Yes",L1753&gt;0,B1753&lt;&gt;"TXO"),L1753,"")</f>
        <v/>
      </c>
      <c r="Y1753" s="226">
        <f>IF(AND(R1753="Yes",S1753="Yes",L1753&lt;0,B1753&lt;&gt;"TXO"),L1753,"")</f>
        <v/>
      </c>
      <c r="Z1753" s="226">
        <f>IF(AND(R1753="",S1753="Yes",L1753&gt;0,B1753&lt;&gt;"TXO"),L1753,"")</f>
        <v/>
      </c>
      <c r="AA1753" s="226">
        <f>IF(AND(R1753="",S1753="Yes",L1753&lt;0,B1753&lt;&gt;"TXO"),L1753,"")</f>
        <v/>
      </c>
    </row>
    <row r="1754" hidden="1" outlineLevel="2" collapsed="1" ht="33.75" customHeight="1" thickBot="1">
      <c r="A1754" s="740" t="n">
        <v>43440</v>
      </c>
      <c r="B1754" s="299" t="inlineStr">
        <is>
          <t>FIMTX</t>
        </is>
      </c>
      <c r="C1754" s="300" t="inlineStr">
        <is>
          <t>小指12</t>
        </is>
      </c>
      <c r="D1754" s="300" t="inlineStr">
        <is>
          <t>新倉</t>
        </is>
      </c>
      <c r="E1754" s="301" t="inlineStr">
        <is>
          <t>賣</t>
        </is>
      </c>
      <c r="F1754" s="300" t="inlineStr">
        <is>
          <t>-</t>
        </is>
      </c>
      <c r="G1754" s="741" t="n">
        <v>1</v>
      </c>
      <c r="H1754" s="741" t="n">
        <v>9777</v>
      </c>
      <c r="I1754" s="741" t="n">
        <v>0</v>
      </c>
      <c r="J1754" s="742" t="n">
        <v>23</v>
      </c>
      <c r="K1754" s="742" t="n">
        <v>10</v>
      </c>
      <c r="L1754" s="742">
        <f>IF(B1754="TXO",I1754-SUM(J1754:K1754),IF(B1754="FITX",IF(D1754="新倉",-SUM(J1754:K1754),IF(E1754="賣",(H1754-H1753)*G1754*200-SUM(J1754:K1754),(H1753-H1754)*G1754*200-SUM(J1754:K1754))),IF(D1754="新倉",-SUM(J1754:K1754),IF(E1754="賣",(H1754-H1753)*G1754*50-SUM(J1754:K1754),(H1753-H1754)*G1754*50-SUM(J1754:K1754)))))</f>
        <v/>
      </c>
      <c r="M1754" s="743">
        <f>L1754</f>
        <v/>
      </c>
      <c r="N1754" s="686">
        <f>IF(B1754="TXO","",IF(D1754="新倉","",IF(E1754="賣",(H1754-H1753)*G1754,(H1753-H1754)*G1754)))</f>
        <v/>
      </c>
      <c r="O1754" s="226" t="n">
        <v>0</v>
      </c>
      <c r="P1754" s="667" t="n"/>
      <c r="Q1754" s="249" t="inlineStr">
        <is>
          <t>技法: 籌碼三弱，跌破開盤低點下空單</t>
        </is>
      </c>
      <c r="R1754" s="249" t="inlineStr">
        <is>
          <t>Yes</t>
        </is>
      </c>
      <c r="S1754" s="249" t="n"/>
      <c r="T1754" s="61">
        <f>IF(AND(R1754="Yes",S1754&lt;&gt;"Yes",L1754&gt;0,B1754&lt;&gt;"TXO"),L1754,"")</f>
        <v/>
      </c>
      <c r="U1754" s="61">
        <f>IF(AND(R1754="Yes",S1754&lt;&gt;"Yes",L1754&lt;0,B1754&lt;&gt;"TXO"),L1754,"")</f>
        <v/>
      </c>
      <c r="V1754" s="61">
        <f>IF(AND(R1754="",S1754&lt;&gt;"Yes",L1754&gt;0,B1754&lt;&gt;"TXO"),L1754,"")</f>
        <v/>
      </c>
      <c r="W1754" s="61">
        <f>IF(AND(R1754="",S1754&lt;&gt;"Yes",L1754&lt;0,B1754&lt;&gt;"TXO"),L1754,"")</f>
        <v/>
      </c>
      <c r="X1754" s="226">
        <f>IF(AND(R1754="Yes",S1754="Yes",L1754&gt;0,B1754&lt;&gt;"TXO"),L1754,"")</f>
        <v/>
      </c>
      <c r="Y1754" s="226">
        <f>IF(AND(R1754="Yes",S1754="Yes",L1754&lt;0,B1754&lt;&gt;"TXO"),L1754,"")</f>
        <v/>
      </c>
      <c r="Z1754" s="226">
        <f>IF(AND(R1754="",S1754="Yes",L1754&gt;0,B1754&lt;&gt;"TXO"),L1754,"")</f>
        <v/>
      </c>
      <c r="AA1754" s="226">
        <f>IF(AND(R1754="",S1754="Yes",L1754&lt;0,B1754&lt;&gt;"TXO"),L1754,"")</f>
        <v/>
      </c>
    </row>
    <row r="1755" hidden="1" outlineLevel="2" collapsed="1" ht="17.25" customHeight="1" thickBot="1">
      <c r="A1755" s="740" t="n">
        <v>43440</v>
      </c>
      <c r="B1755" s="299" t="inlineStr">
        <is>
          <t>FIMTX</t>
        </is>
      </c>
      <c r="C1755" s="300" t="inlineStr">
        <is>
          <t>小指12</t>
        </is>
      </c>
      <c r="D1755" s="300" t="inlineStr">
        <is>
          <t>平倉</t>
        </is>
      </c>
      <c r="E1755" s="301" t="inlineStr">
        <is>
          <t>買</t>
        </is>
      </c>
      <c r="F1755" s="300" t="inlineStr">
        <is>
          <t>-</t>
        </is>
      </c>
      <c r="G1755" s="741" t="n">
        <v>1</v>
      </c>
      <c r="H1755" s="741" t="n">
        <v>9794</v>
      </c>
      <c r="I1755" s="741" t="n">
        <v>0</v>
      </c>
      <c r="J1755" s="742" t="n">
        <v>23</v>
      </c>
      <c r="K1755" s="742" t="n">
        <v>10</v>
      </c>
      <c r="L1755" s="742">
        <f>IF(B1755="TXO",I1755-SUM(J1755:K1755),IF(B1755="FITX",IF(D1755="新倉",-SUM(J1755:K1755),IF(E1755="賣",(H1755-H1754)*G1755*200-SUM(J1755:K1755),(H1754-H1755)*G1755*200-SUM(J1755:K1755))),IF(D1755="新倉",-SUM(J1755:K1755),IF(E1755="賣",(H1755-H1754)*G1755*50-SUM(J1755:K1755),(H1754-H1755)*G1755*50-SUM(J1755:K1755)))))</f>
        <v/>
      </c>
      <c r="M1755" s="743">
        <f>L1755</f>
        <v/>
      </c>
      <c r="N1755" s="686">
        <f>IF(B1755="TXO","",IF(D1755="新倉","",IF(E1755="賣",(H1755-H1754)*G1755,(H1754-H1755)*G1755)))</f>
        <v/>
      </c>
      <c r="O1755" s="226" t="n">
        <v>0</v>
      </c>
      <c r="P1755" s="667" t="n"/>
      <c r="Q1755" s="249" t="inlineStr">
        <is>
          <t>技法: 15點停損(被洗出場)</t>
        </is>
      </c>
      <c r="R1755" s="249" t="inlineStr">
        <is>
          <t>Yes</t>
        </is>
      </c>
      <c r="S1755" s="249" t="n"/>
      <c r="T1755" s="61">
        <f>IF(AND(R1755="Yes",S1755&lt;&gt;"Yes",L1755&gt;0,B1755&lt;&gt;"TXO"),L1755,"")</f>
        <v/>
      </c>
      <c r="U1755" s="61">
        <f>IF(AND(R1755="Yes",S1755&lt;&gt;"Yes",L1755&lt;0,B1755&lt;&gt;"TXO"),L1755,"")</f>
        <v/>
      </c>
      <c r="V1755" s="61">
        <f>IF(AND(R1755="",S1755&lt;&gt;"Yes",L1755&gt;0,B1755&lt;&gt;"TXO"),L1755,"")</f>
        <v/>
      </c>
      <c r="W1755" s="61">
        <f>IF(AND(R1755="",S1755&lt;&gt;"Yes",L1755&lt;0,B1755&lt;&gt;"TXO"),L1755,"")</f>
        <v/>
      </c>
      <c r="X1755" s="226">
        <f>IF(AND(R1755="Yes",S1755="Yes",L1755&gt;0,B1755&lt;&gt;"TXO"),L1755,"")</f>
        <v/>
      </c>
      <c r="Y1755" s="226">
        <f>IF(AND(R1755="Yes",S1755="Yes",L1755&lt;0,B1755&lt;&gt;"TXO"),L1755,"")</f>
        <v/>
      </c>
      <c r="Z1755" s="226">
        <f>IF(AND(R1755="",S1755="Yes",L1755&gt;0,B1755&lt;&gt;"TXO"),L1755,"")</f>
        <v/>
      </c>
      <c r="AA1755" s="226">
        <f>IF(AND(R1755="",S1755="Yes",L1755&lt;0,B1755&lt;&gt;"TXO"),L1755,"")</f>
        <v/>
      </c>
    </row>
    <row r="1756" hidden="1" outlineLevel="2" collapsed="1" ht="33.75" customHeight="1" thickBot="1">
      <c r="A1756" s="740" t="n">
        <v>43440</v>
      </c>
      <c r="B1756" s="299" t="inlineStr">
        <is>
          <t>FIMTX</t>
        </is>
      </c>
      <c r="C1756" s="300" t="inlineStr">
        <is>
          <t>小指12</t>
        </is>
      </c>
      <c r="D1756" s="300" t="inlineStr">
        <is>
          <t>新倉</t>
        </is>
      </c>
      <c r="E1756" s="301" t="inlineStr">
        <is>
          <t>賣</t>
        </is>
      </c>
      <c r="F1756" s="300" t="inlineStr">
        <is>
          <t>-</t>
        </is>
      </c>
      <c r="G1756" s="741" t="n">
        <v>2</v>
      </c>
      <c r="H1756" s="741" t="n">
        <v>9775</v>
      </c>
      <c r="I1756" s="741" t="n">
        <v>0</v>
      </c>
      <c r="J1756" s="742" t="n">
        <v>46</v>
      </c>
      <c r="K1756" s="742" t="n">
        <v>20</v>
      </c>
      <c r="L1756" s="742">
        <f>IF(B1756="TXO",I1756-SUM(J1756:K1756),IF(B1756="FITX",IF(D1756="新倉",-SUM(J1756:K1756),IF(E1756="賣",(H1756-H1755)*G1756*200-SUM(J1756:K1756),(H1755-H1756)*G1756*200-SUM(J1756:K1756))),IF(D1756="新倉",-SUM(J1756:K1756),IF(E1756="賣",(H1756-H1755)*G1756*50-SUM(J1756:K1756),(H1755-H1756)*G1756*50-SUM(J1756:K1756)))))</f>
        <v/>
      </c>
      <c r="M1756" s="743">
        <f>L1756</f>
        <v/>
      </c>
      <c r="N1756" s="686">
        <f>IF(B1756="TXO","",IF(D1756="新倉","",IF(E1756="賣",(H1756-H1755)*G1756,(H1755-H1756)*G1756)))</f>
        <v/>
      </c>
      <c r="O1756" s="226" t="n">
        <v>0</v>
      </c>
      <c r="P1756" s="667" t="n"/>
      <c r="Q1756" s="249" t="inlineStr">
        <is>
          <t>技法: 籌碼三弱，跌破開盤低點下空單</t>
        </is>
      </c>
      <c r="R1756" s="249" t="inlineStr">
        <is>
          <t>Yes</t>
        </is>
      </c>
      <c r="S1756" s="249" t="n"/>
      <c r="T1756" s="61">
        <f>IF(AND(R1756="Yes",S1756&lt;&gt;"Yes",L1756&gt;0,B1756&lt;&gt;"TXO"),L1756,"")</f>
        <v/>
      </c>
      <c r="U1756" s="61">
        <f>IF(AND(R1756="Yes",S1756&lt;&gt;"Yes",L1756&lt;0,B1756&lt;&gt;"TXO"),L1756,"")</f>
        <v/>
      </c>
      <c r="V1756" s="61">
        <f>IF(AND(R1756="",S1756&lt;&gt;"Yes",L1756&gt;0,B1756&lt;&gt;"TXO"),L1756,"")</f>
        <v/>
      </c>
      <c r="W1756" s="61">
        <f>IF(AND(R1756="",S1756&lt;&gt;"Yes",L1756&lt;0,B1756&lt;&gt;"TXO"),L1756,"")</f>
        <v/>
      </c>
      <c r="X1756" s="226">
        <f>IF(AND(R1756="Yes",S1756="Yes",L1756&gt;0,B1756&lt;&gt;"TXO"),L1756,"")</f>
        <v/>
      </c>
      <c r="Y1756" s="226">
        <f>IF(AND(R1756="Yes",S1756="Yes",L1756&lt;0,B1756&lt;&gt;"TXO"),L1756,"")</f>
        <v/>
      </c>
      <c r="Z1756" s="226">
        <f>IF(AND(R1756="",S1756="Yes",L1756&gt;0,B1756&lt;&gt;"TXO"),L1756,"")</f>
        <v/>
      </c>
      <c r="AA1756" s="226">
        <f>IF(AND(R1756="",S1756="Yes",L1756&lt;0,B1756&lt;&gt;"TXO"),L1756,"")</f>
        <v/>
      </c>
    </row>
    <row r="1757" hidden="1" outlineLevel="2" collapsed="1" ht="17.25" customHeight="1" thickBot="1">
      <c r="A1757" s="740" t="n">
        <v>43440</v>
      </c>
      <c r="B1757" s="299" t="inlineStr">
        <is>
          <t>FIMTX</t>
        </is>
      </c>
      <c r="C1757" s="300" t="inlineStr">
        <is>
          <t>小指12</t>
        </is>
      </c>
      <c r="D1757" s="300" t="inlineStr">
        <is>
          <t>平倉</t>
        </is>
      </c>
      <c r="E1757" s="301" t="inlineStr">
        <is>
          <t>買</t>
        </is>
      </c>
      <c r="F1757" s="300" t="inlineStr">
        <is>
          <t>-</t>
        </is>
      </c>
      <c r="G1757" s="741" t="n">
        <v>2</v>
      </c>
      <c r="H1757" s="741" t="n">
        <v>9790</v>
      </c>
      <c r="I1757" s="741" t="n">
        <v>0</v>
      </c>
      <c r="J1757" s="742" t="n">
        <v>46</v>
      </c>
      <c r="K1757" s="742" t="n">
        <v>20</v>
      </c>
      <c r="L1757" s="742">
        <f>IF(B1757="TXO",I1757-SUM(J1757:K1757),IF(B1757="FITX",IF(D1757="新倉",-SUM(J1757:K1757),IF(E1757="賣",(H1757-H1756)*G1757*200-SUM(J1757:K1757),(H1756-H1757)*G1757*200-SUM(J1757:K1757))),IF(D1757="新倉",-SUM(J1757:K1757),IF(E1757="賣",(H1757-H1756)*G1757*50-SUM(J1757:K1757),(H1756-H1757)*G1757*50-SUM(J1757:K1757)))))</f>
        <v/>
      </c>
      <c r="M1757" s="743">
        <f>L1757</f>
        <v/>
      </c>
      <c r="N1757" s="686">
        <f>IF(B1757="TXO","",IF(D1757="新倉","",IF(E1757="賣",(H1757-H1756)*G1757,(H1756-H1757)*G1757)))</f>
        <v/>
      </c>
      <c r="O1757" s="226" t="n">
        <v>0</v>
      </c>
      <c r="P1757" s="667" t="n"/>
      <c r="Q1757" s="249" t="inlineStr">
        <is>
          <t>技法: 15點停損(被洗出場)</t>
        </is>
      </c>
      <c r="R1757" s="249" t="inlineStr">
        <is>
          <t>Yes</t>
        </is>
      </c>
      <c r="S1757" s="249" t="n"/>
      <c r="T1757" s="61">
        <f>IF(AND(R1757="Yes",S1757&lt;&gt;"Yes",L1757&gt;0,B1757&lt;&gt;"TXO"),L1757,"")</f>
        <v/>
      </c>
      <c r="U1757" s="61">
        <f>IF(AND(R1757="Yes",S1757&lt;&gt;"Yes",L1757&lt;0,B1757&lt;&gt;"TXO"),L1757,"")</f>
        <v/>
      </c>
      <c r="V1757" s="61">
        <f>IF(AND(R1757="",S1757&lt;&gt;"Yes",L1757&gt;0,B1757&lt;&gt;"TXO"),L1757,"")</f>
        <v/>
      </c>
      <c r="W1757" s="61">
        <f>IF(AND(R1757="",S1757&lt;&gt;"Yes",L1757&lt;0,B1757&lt;&gt;"TXO"),L1757,"")</f>
        <v/>
      </c>
      <c r="X1757" s="226">
        <f>IF(AND(R1757="Yes",S1757="Yes",L1757&gt;0,B1757&lt;&gt;"TXO"),L1757,"")</f>
        <v/>
      </c>
      <c r="Y1757" s="226">
        <f>IF(AND(R1757="Yes",S1757="Yes",L1757&lt;0,B1757&lt;&gt;"TXO"),L1757,"")</f>
        <v/>
      </c>
      <c r="Z1757" s="226">
        <f>IF(AND(R1757="",S1757="Yes",L1757&gt;0,B1757&lt;&gt;"TXO"),L1757,"")</f>
        <v/>
      </c>
      <c r="AA1757" s="226">
        <f>IF(AND(R1757="",S1757="Yes",L1757&lt;0,B1757&lt;&gt;"TXO"),L1757,"")</f>
        <v/>
      </c>
    </row>
    <row r="1758" hidden="1" outlineLevel="2" collapsed="1" ht="33.75" customHeight="1" thickBot="1">
      <c r="A1758" s="740" t="n">
        <v>43440</v>
      </c>
      <c r="B1758" s="299" t="inlineStr">
        <is>
          <t>FIMTX</t>
        </is>
      </c>
      <c r="C1758" s="300" t="inlineStr">
        <is>
          <t>小指12</t>
        </is>
      </c>
      <c r="D1758" s="300" t="inlineStr">
        <is>
          <t>新倉</t>
        </is>
      </c>
      <c r="E1758" s="301" t="inlineStr">
        <is>
          <t>賣</t>
        </is>
      </c>
      <c r="F1758" s="300" t="inlineStr">
        <is>
          <t>-</t>
        </is>
      </c>
      <c r="G1758" s="741" t="n">
        <v>1</v>
      </c>
      <c r="H1758" s="741" t="n">
        <v>9763</v>
      </c>
      <c r="I1758" s="741" t="n">
        <v>0</v>
      </c>
      <c r="J1758" s="742" t="n">
        <v>23</v>
      </c>
      <c r="K1758" s="742" t="n">
        <v>10</v>
      </c>
      <c r="L1758" s="742">
        <f>IF(B1758="TXO",I1758-SUM(J1758:K1758),IF(B1758="FITX",IF(D1758="新倉",-SUM(J1758:K1758),IF(E1758="賣",(H1758-H1757)*G1758*200-SUM(J1758:K1758),(H1757-H1758)*G1758*200-SUM(J1758:K1758))),IF(D1758="新倉",-SUM(J1758:K1758),IF(E1758="賣",(H1758-H1757)*G1758*50-SUM(J1758:K1758),(H1757-H1758)*G1758*50-SUM(J1758:K1758)))))</f>
        <v/>
      </c>
      <c r="M1758" s="743">
        <f>L1758</f>
        <v/>
      </c>
      <c r="N1758" s="686">
        <f>IF(B1758="TXO","",IF(D1758="新倉","",IF(E1758="賣",(H1758-H1757)*G1758,(H1757-H1758)*G1758)))</f>
        <v/>
      </c>
      <c r="O1758" s="226" t="n">
        <v>0</v>
      </c>
      <c r="P1758" s="667" t="n"/>
      <c r="Q1758" s="249" t="inlineStr">
        <is>
          <t>技法: 籌碼三弱，跌破開盤低點下空單</t>
        </is>
      </c>
      <c r="R1758" s="249" t="inlineStr">
        <is>
          <t>Yes</t>
        </is>
      </c>
      <c r="S1758" s="249" t="n"/>
      <c r="T1758" s="61">
        <f>IF(AND(R1758="Yes",S1758&lt;&gt;"Yes",L1758&gt;0,B1758&lt;&gt;"TXO"),L1758,"")</f>
        <v/>
      </c>
      <c r="U1758" s="61">
        <f>IF(AND(R1758="Yes",S1758&lt;&gt;"Yes",L1758&lt;0,B1758&lt;&gt;"TXO"),L1758,"")</f>
        <v/>
      </c>
      <c r="V1758" s="61">
        <f>IF(AND(R1758="",S1758&lt;&gt;"Yes",L1758&gt;0,B1758&lt;&gt;"TXO"),L1758,"")</f>
        <v/>
      </c>
      <c r="W1758" s="61">
        <f>IF(AND(R1758="",S1758&lt;&gt;"Yes",L1758&lt;0,B1758&lt;&gt;"TXO"),L1758,"")</f>
        <v/>
      </c>
      <c r="X1758" s="226">
        <f>IF(AND(R1758="Yes",S1758="Yes",L1758&gt;0,B1758&lt;&gt;"TXO"),L1758,"")</f>
        <v/>
      </c>
      <c r="Y1758" s="226">
        <f>IF(AND(R1758="Yes",S1758="Yes",L1758&lt;0,B1758&lt;&gt;"TXO"),L1758,"")</f>
        <v/>
      </c>
      <c r="Z1758" s="226">
        <f>IF(AND(R1758="",S1758="Yes",L1758&gt;0,B1758&lt;&gt;"TXO"),L1758,"")</f>
        <v/>
      </c>
      <c r="AA1758" s="226">
        <f>IF(AND(R1758="",S1758="Yes",L1758&lt;0,B1758&lt;&gt;"TXO"),L1758,"")</f>
        <v/>
      </c>
    </row>
    <row r="1759" hidden="1" outlineLevel="2" collapsed="1" ht="17.25" customHeight="1" thickBot="1">
      <c r="A1759" s="740" t="n">
        <v>43440</v>
      </c>
      <c r="B1759" s="299" t="inlineStr">
        <is>
          <t>FIMTX</t>
        </is>
      </c>
      <c r="C1759" s="300" t="inlineStr">
        <is>
          <t>小指12</t>
        </is>
      </c>
      <c r="D1759" s="300" t="inlineStr">
        <is>
          <t>平倉</t>
        </is>
      </c>
      <c r="E1759" s="301" t="inlineStr">
        <is>
          <t>買</t>
        </is>
      </c>
      <c r="F1759" s="300" t="inlineStr">
        <is>
          <t>-</t>
        </is>
      </c>
      <c r="G1759" s="741" t="n">
        <v>1</v>
      </c>
      <c r="H1759" s="741" t="n">
        <v>9753</v>
      </c>
      <c r="I1759" s="741" t="n">
        <v>0</v>
      </c>
      <c r="J1759" s="742" t="n">
        <v>23</v>
      </c>
      <c r="K1759" s="742" t="n">
        <v>10</v>
      </c>
      <c r="L1759" s="742">
        <f>IF(B1759="TXO",I1759-SUM(J1759:K1759),IF(B1759="FITX",IF(D1759="新倉",-SUM(J1759:K1759),IF(E1759="賣",(H1759-H1758)*G1759*200-SUM(J1759:K1759),(H1758-H1759)*G1759*200-SUM(J1759:K1759))),IF(D1759="新倉",-SUM(J1759:K1759),IF(E1759="賣",(H1759-H1758)*G1759*50-SUM(J1759:K1759),(H1758-H1759)*G1759*50-SUM(J1759:K1759)))))</f>
        <v/>
      </c>
      <c r="M1759" s="743">
        <f>L1759</f>
        <v/>
      </c>
      <c r="N1759" s="686">
        <f>IF(B1759="TXO","",IF(D1759="新倉","",IF(E1759="賣",(H1759-H1758)*G1759,(H1758-H1759)*G1759)))</f>
        <v/>
      </c>
      <c r="O1759" s="226" t="n">
        <v>0</v>
      </c>
      <c r="P1759" s="667" t="n"/>
      <c r="Q1759" s="249" t="inlineStr">
        <is>
          <t>元大移動式停利</t>
        </is>
      </c>
      <c r="R1759" s="249" t="inlineStr">
        <is>
          <t>Yes</t>
        </is>
      </c>
      <c r="S1759" s="249" t="n"/>
      <c r="T1759" s="61">
        <f>IF(AND(R1759="Yes",S1759&lt;&gt;"Yes",L1759&gt;0,B1759&lt;&gt;"TXO"),L1759,"")</f>
        <v/>
      </c>
      <c r="U1759" s="61">
        <f>IF(AND(R1759="Yes",S1759&lt;&gt;"Yes",L1759&lt;0,B1759&lt;&gt;"TXO"),L1759,"")</f>
        <v/>
      </c>
      <c r="V1759" s="61">
        <f>IF(AND(R1759="",S1759&lt;&gt;"Yes",L1759&gt;0,B1759&lt;&gt;"TXO"),L1759,"")</f>
        <v/>
      </c>
      <c r="W1759" s="61">
        <f>IF(AND(R1759="",S1759&lt;&gt;"Yes",L1759&lt;0,B1759&lt;&gt;"TXO"),L1759,"")</f>
        <v/>
      </c>
      <c r="X1759" s="226">
        <f>IF(AND(R1759="Yes",S1759="Yes",L1759&gt;0,B1759&lt;&gt;"TXO"),L1759,"")</f>
        <v/>
      </c>
      <c r="Y1759" s="226">
        <f>IF(AND(R1759="Yes",S1759="Yes",L1759&lt;0,B1759&lt;&gt;"TXO"),L1759,"")</f>
        <v/>
      </c>
      <c r="Z1759" s="226">
        <f>IF(AND(R1759="",S1759="Yes",L1759&gt;0,B1759&lt;&gt;"TXO"),L1759,"")</f>
        <v/>
      </c>
      <c r="AA1759" s="226">
        <f>IF(AND(R1759="",S1759="Yes",L1759&lt;0,B1759&lt;&gt;"TXO"),L1759,"")</f>
        <v/>
      </c>
    </row>
    <row r="1760" hidden="1" outlineLevel="2" ht="33.75" customHeight="1" thickBot="1">
      <c r="A1760" s="740" t="n">
        <v>43440</v>
      </c>
      <c r="B1760" s="299" t="inlineStr">
        <is>
          <t>FIMTX</t>
        </is>
      </c>
      <c r="C1760" s="300" t="inlineStr">
        <is>
          <t>小指12</t>
        </is>
      </c>
      <c r="D1760" s="300" t="inlineStr">
        <is>
          <t>新倉</t>
        </is>
      </c>
      <c r="E1760" s="301" t="inlineStr">
        <is>
          <t>賣</t>
        </is>
      </c>
      <c r="F1760" s="300" t="inlineStr">
        <is>
          <t>-</t>
        </is>
      </c>
      <c r="G1760" s="741" t="n">
        <v>1</v>
      </c>
      <c r="H1760" s="741" t="n">
        <v>9763</v>
      </c>
      <c r="I1760" s="741" t="n">
        <v>0</v>
      </c>
      <c r="J1760" s="742" t="n">
        <v>23</v>
      </c>
      <c r="K1760" s="742" t="n">
        <v>10</v>
      </c>
      <c r="L1760" s="742">
        <f>IF(B1760="TXO",I1760-SUM(J1760:K1760),IF(B1760="FITX",IF(D1760="新倉",-SUM(J1760:K1760),IF(E1760="賣",(H1760-H1759)*G1760*200-SUM(J1760:K1760),(H1759-H1760)*G1760*200-SUM(J1760:K1760))),IF(D1760="新倉",-SUM(J1760:K1760),IF(E1760="賣",(H1760-H1759)*G1760*50-SUM(J1760:K1760),(H1759-H1760)*G1760*50-SUM(J1760:K1760)))))</f>
        <v/>
      </c>
      <c r="M1760" s="743">
        <f>L1760</f>
        <v/>
      </c>
      <c r="N1760" s="686">
        <f>IF(B1760="TXO","",IF(D1760="新倉","",IF(E1760="賣",(H1760-H1759)*G1760,(H1759-H1760)*G1760)))</f>
        <v/>
      </c>
      <c r="O1760" s="226" t="n">
        <v>0</v>
      </c>
      <c r="P1760" s="667" t="n"/>
      <c r="Q1760" s="249" t="inlineStr">
        <is>
          <t>技法: 籌碼三弱，跌破開盤低點下空單</t>
        </is>
      </c>
      <c r="R1760" s="249" t="inlineStr">
        <is>
          <t>Yes</t>
        </is>
      </c>
      <c r="S1760" s="249" t="n"/>
      <c r="T1760" s="61">
        <f>IF(AND(R1760="Yes",S1760&lt;&gt;"Yes",L1760&gt;0,B1760&lt;&gt;"TXO"),L1760,"")</f>
        <v/>
      </c>
      <c r="U1760" s="61">
        <f>IF(AND(R1760="Yes",S1760&lt;&gt;"Yes",L1760&lt;0,B1760&lt;&gt;"TXO"),L1760,"")</f>
        <v/>
      </c>
      <c r="V1760" s="61">
        <f>IF(AND(R1760="",S1760&lt;&gt;"Yes",L1760&gt;0,B1760&lt;&gt;"TXO"),L1760,"")</f>
        <v/>
      </c>
      <c r="W1760" s="61">
        <f>IF(AND(R1760="",S1760&lt;&gt;"Yes",L1760&lt;0,B1760&lt;&gt;"TXO"),L1760,"")</f>
        <v/>
      </c>
      <c r="X1760" s="226">
        <f>IF(AND(R1760="Yes",S1760="Yes",L1760&gt;0,B1760&lt;&gt;"TXO"),L1760,"")</f>
        <v/>
      </c>
      <c r="Y1760" s="226">
        <f>IF(AND(R1760="Yes",S1760="Yes",L1760&lt;0,B1760&lt;&gt;"TXO"),L1760,"")</f>
        <v/>
      </c>
      <c r="Z1760" s="226">
        <f>IF(AND(R1760="",S1760="Yes",L1760&gt;0,B1760&lt;&gt;"TXO"),L1760,"")</f>
        <v/>
      </c>
      <c r="AA1760" s="226">
        <f>IF(AND(R1760="",S1760="Yes",L1760&lt;0,B1760&lt;&gt;"TXO"),L1760,"")</f>
        <v/>
      </c>
    </row>
    <row r="1761" hidden="1" outlineLevel="2" collapsed="1" ht="17.25" customHeight="1" thickBot="1">
      <c r="A1761" s="740" t="n">
        <v>43440</v>
      </c>
      <c r="B1761" s="299" t="inlineStr">
        <is>
          <t>FIMTX</t>
        </is>
      </c>
      <c r="C1761" s="300" t="inlineStr">
        <is>
          <t>小指12</t>
        </is>
      </c>
      <c r="D1761" s="300" t="inlineStr">
        <is>
          <t>平倉</t>
        </is>
      </c>
      <c r="E1761" s="301" t="inlineStr">
        <is>
          <t>買</t>
        </is>
      </c>
      <c r="F1761" s="300" t="inlineStr">
        <is>
          <t>-</t>
        </is>
      </c>
      <c r="G1761" s="741" t="n">
        <v>1</v>
      </c>
      <c r="H1761" s="741" t="n">
        <v>9757</v>
      </c>
      <c r="I1761" s="741" t="n">
        <v>0</v>
      </c>
      <c r="J1761" s="742" t="n">
        <v>23</v>
      </c>
      <c r="K1761" s="742" t="n">
        <v>10</v>
      </c>
      <c r="L1761" s="742">
        <f>IF(B1761="TXO",I1761-SUM(J1761:K1761),IF(B1761="FITX",IF(D1761="新倉",-SUM(J1761:K1761),IF(E1761="賣",(H1761-H1760)*G1761*200-SUM(J1761:K1761),(H1760-H1761)*G1761*200-SUM(J1761:K1761))),IF(D1761="新倉",-SUM(J1761:K1761),IF(E1761="賣",(H1761-H1760)*G1761*50-SUM(J1761:K1761),(H1760-H1761)*G1761*50-SUM(J1761:K1761)))))</f>
        <v/>
      </c>
      <c r="M1761" s="743">
        <f>L1761</f>
        <v/>
      </c>
      <c r="N1761" s="686">
        <f>IF(B1761="TXO","",IF(D1761="新倉","",IF(E1761="賣",(H1761-H1760)*G1761,(H1760-H1761)*G1761)))</f>
        <v/>
      </c>
      <c r="O1761" s="226" t="n">
        <v>0</v>
      </c>
      <c r="P1761" s="667" t="n"/>
      <c r="Q1761" s="249" t="inlineStr">
        <is>
          <t>元大移動式停利</t>
        </is>
      </c>
      <c r="R1761" s="249" t="inlineStr">
        <is>
          <t>Yes</t>
        </is>
      </c>
      <c r="S1761" s="249" t="n"/>
      <c r="T1761" s="61">
        <f>IF(AND(R1761="Yes",S1761&lt;&gt;"Yes",L1761&gt;0,B1761&lt;&gt;"TXO"),L1761,"")</f>
        <v/>
      </c>
      <c r="U1761" s="61">
        <f>IF(AND(R1761="Yes",S1761&lt;&gt;"Yes",L1761&lt;0,B1761&lt;&gt;"TXO"),L1761,"")</f>
        <v/>
      </c>
      <c r="V1761" s="61">
        <f>IF(AND(R1761="",S1761&lt;&gt;"Yes",L1761&gt;0,B1761&lt;&gt;"TXO"),L1761,"")</f>
        <v/>
      </c>
      <c r="W1761" s="61">
        <f>IF(AND(R1761="",S1761&lt;&gt;"Yes",L1761&lt;0,B1761&lt;&gt;"TXO"),L1761,"")</f>
        <v/>
      </c>
      <c r="X1761" s="226">
        <f>IF(AND(R1761="Yes",S1761="Yes",L1761&gt;0,B1761&lt;&gt;"TXO"),L1761,"")</f>
        <v/>
      </c>
      <c r="Y1761" s="226">
        <f>IF(AND(R1761="Yes",S1761="Yes",L1761&lt;0,B1761&lt;&gt;"TXO"),L1761,"")</f>
        <v/>
      </c>
      <c r="Z1761" s="226">
        <f>IF(AND(R1761="",S1761="Yes",L1761&gt;0,B1761&lt;&gt;"TXO"),L1761,"")</f>
        <v/>
      </c>
      <c r="AA1761" s="226">
        <f>IF(AND(R1761="",S1761="Yes",L1761&lt;0,B1761&lt;&gt;"TXO"),L1761,"")</f>
        <v/>
      </c>
    </row>
    <row r="1762" hidden="1" outlineLevel="2" collapsed="1" ht="17.25" customHeight="1" thickBot="1">
      <c r="A1762" s="740" t="n">
        <v>43440</v>
      </c>
      <c r="B1762" s="299" t="inlineStr">
        <is>
          <t>FIMTX</t>
        </is>
      </c>
      <c r="C1762" s="300" t="inlineStr">
        <is>
          <t>小指12</t>
        </is>
      </c>
      <c r="D1762" s="300" t="inlineStr">
        <is>
          <t>新倉</t>
        </is>
      </c>
      <c r="E1762" s="301" t="inlineStr">
        <is>
          <t>賣</t>
        </is>
      </c>
      <c r="F1762" s="300" t="inlineStr">
        <is>
          <t>-</t>
        </is>
      </c>
      <c r="G1762" s="741" t="n">
        <v>1</v>
      </c>
      <c r="H1762" s="741" t="n">
        <v>9763</v>
      </c>
      <c r="I1762" s="741" t="n">
        <v>0</v>
      </c>
      <c r="J1762" s="742" t="n">
        <v>23</v>
      </c>
      <c r="K1762" s="742" t="n">
        <v>10</v>
      </c>
      <c r="L1762" s="742">
        <f>IF(B1762="TXO",I1762-SUM(J1762:K1762),IF(B1762="FITX",IF(D1762="新倉",-SUM(J1762:K1762),IF(E1762="賣",(H1762-H1761)*G1762*200-SUM(J1762:K1762),(H1761-H1762)*G1762*200-SUM(J1762:K1762))),IF(D1762="新倉",-SUM(J1762:K1762),IF(E1762="賣",(H1762-H1761)*G1762*50-SUM(J1762:K1762),(H1761-H1762)*G1762*50-SUM(J1762:K1762)))))</f>
        <v/>
      </c>
      <c r="M1762" s="743">
        <f>L1762</f>
        <v/>
      </c>
      <c r="N1762" s="686">
        <f>IF(B1762="TXO","",IF(D1762="新倉","",IF(E1762="賣",(H1762-H1761)*G1762,(H1761-H1762)*G1762)))</f>
        <v/>
      </c>
      <c r="O1762" s="226" t="n">
        <v>0</v>
      </c>
      <c r="P1762" s="667" t="n"/>
      <c r="Q1762" s="310" t="inlineStr">
        <is>
          <t>追跌</t>
        </is>
      </c>
      <c r="S1762" s="249" t="n"/>
      <c r="T1762" s="61">
        <f>IF(AND(R1762="Yes",S1762&lt;&gt;"Yes",L1762&gt;0,B1762&lt;&gt;"TXO"),L1762,"")</f>
        <v/>
      </c>
      <c r="U1762" s="61">
        <f>IF(AND(R1762="Yes",S1762&lt;&gt;"Yes",L1762&lt;0,B1762&lt;&gt;"TXO"),L1762,"")</f>
        <v/>
      </c>
      <c r="V1762" s="61">
        <f>IF(AND(R1762="",S1762&lt;&gt;"Yes",L1762&gt;0,B1762&lt;&gt;"TXO"),L1762,"")</f>
        <v/>
      </c>
      <c r="W1762" s="61">
        <f>IF(AND(R1762="",S1762&lt;&gt;"Yes",L1762&lt;0,B1762&lt;&gt;"TXO"),L1762,"")</f>
        <v/>
      </c>
      <c r="X1762" s="226">
        <f>IF(AND(R1762="Yes",S1762="Yes",L1762&gt;0,B1762&lt;&gt;"TXO"),L1762,"")</f>
        <v/>
      </c>
      <c r="Y1762" s="226">
        <f>IF(AND(R1762="Yes",S1762="Yes",L1762&lt;0,B1762&lt;&gt;"TXO"),L1762,"")</f>
        <v/>
      </c>
      <c r="Z1762" s="226">
        <f>IF(AND(R1762="",S1762="Yes",L1762&gt;0,B1762&lt;&gt;"TXO"),L1762,"")</f>
        <v/>
      </c>
      <c r="AA1762" s="226">
        <f>IF(AND(R1762="",S1762="Yes",L1762&lt;0,B1762&lt;&gt;"TXO"),L1762,"")</f>
        <v/>
      </c>
    </row>
    <row r="1763" hidden="1" outlineLevel="2" collapsed="1" ht="17.25" customHeight="1" thickBot="1">
      <c r="A1763" s="740" t="n">
        <v>43440</v>
      </c>
      <c r="B1763" s="299" t="inlineStr">
        <is>
          <t>FIMTX</t>
        </is>
      </c>
      <c r="C1763" s="300" t="inlineStr">
        <is>
          <t>小指12</t>
        </is>
      </c>
      <c r="D1763" s="300" t="inlineStr">
        <is>
          <t>平倉</t>
        </is>
      </c>
      <c r="E1763" s="301" t="inlineStr">
        <is>
          <t>買</t>
        </is>
      </c>
      <c r="F1763" s="300" t="inlineStr">
        <is>
          <t>-</t>
        </is>
      </c>
      <c r="G1763" s="741" t="n">
        <v>1</v>
      </c>
      <c r="H1763" s="741" t="n">
        <v>9726</v>
      </c>
      <c r="I1763" s="741" t="n">
        <v>0</v>
      </c>
      <c r="J1763" s="742" t="n">
        <v>23</v>
      </c>
      <c r="K1763" s="742" t="n">
        <v>10</v>
      </c>
      <c r="L1763" s="742">
        <f>IF(B1763="TXO",I1763-SUM(J1763:K1763),IF(B1763="FITX",IF(D1763="新倉",-SUM(J1763:K1763),IF(E1763="賣",(H1763-H1762)*G1763*200-SUM(J1763:K1763),(H1762-H1763)*G1763*200-SUM(J1763:K1763))),IF(D1763="新倉",-SUM(J1763:K1763),IF(E1763="賣",(H1763-H1762)*G1763*50-SUM(J1763:K1763),(H1762-H1763)*G1763*50-SUM(J1763:K1763)))))</f>
        <v/>
      </c>
      <c r="M1763" s="743">
        <f>L1763</f>
        <v/>
      </c>
      <c r="N1763" s="686">
        <f>IF(B1763="TXO","",IF(D1763="新倉","",IF(E1763="賣",(H1763-H1762)*G1763,(H1762-H1763)*G1763)))</f>
        <v/>
      </c>
      <c r="O1763" s="226" t="n">
        <v>0</v>
      </c>
      <c r="P1763" s="667" t="n"/>
      <c r="Q1763" s="249" t="inlineStr">
        <is>
          <t>元大移動式停利</t>
        </is>
      </c>
      <c r="S1763" s="249" t="n"/>
      <c r="T1763" s="61">
        <f>IF(AND(R1763="Yes",S1763&lt;&gt;"Yes",L1763&gt;0,B1763&lt;&gt;"TXO"),L1763,"")</f>
        <v/>
      </c>
      <c r="U1763" s="61">
        <f>IF(AND(R1763="Yes",S1763&lt;&gt;"Yes",L1763&lt;0,B1763&lt;&gt;"TXO"),L1763,"")</f>
        <v/>
      </c>
      <c r="V1763" s="61">
        <f>IF(AND(R1763="",S1763&lt;&gt;"Yes",L1763&gt;0,B1763&lt;&gt;"TXO"),L1763,"")</f>
        <v/>
      </c>
      <c r="W1763" s="61">
        <f>IF(AND(R1763="",S1763&lt;&gt;"Yes",L1763&lt;0,B1763&lt;&gt;"TXO"),L1763,"")</f>
        <v/>
      </c>
      <c r="X1763" s="226">
        <f>IF(AND(R1763="Yes",S1763="Yes",L1763&gt;0,B1763&lt;&gt;"TXO"),L1763,"")</f>
        <v/>
      </c>
      <c r="Y1763" s="226">
        <f>IF(AND(R1763="Yes",S1763="Yes",L1763&lt;0,B1763&lt;&gt;"TXO"),L1763,"")</f>
        <v/>
      </c>
      <c r="Z1763" s="226">
        <f>IF(AND(R1763="",S1763="Yes",L1763&gt;0,B1763&lt;&gt;"TXO"),L1763,"")</f>
        <v/>
      </c>
      <c r="AA1763" s="226">
        <f>IF(AND(R1763="",S1763="Yes",L1763&lt;0,B1763&lt;&gt;"TXO"),L1763,"")</f>
        <v/>
      </c>
    </row>
    <row r="1764" hidden="1" outlineLevel="2" collapsed="1" ht="17.25" customHeight="1" thickBot="1">
      <c r="A1764" s="740" t="n">
        <v>43440</v>
      </c>
      <c r="B1764" s="299" t="inlineStr">
        <is>
          <t>FIMTX</t>
        </is>
      </c>
      <c r="C1764" s="300" t="inlineStr">
        <is>
          <t>小指12</t>
        </is>
      </c>
      <c r="D1764" s="300" t="inlineStr">
        <is>
          <t>新倉</t>
        </is>
      </c>
      <c r="E1764" s="301" t="inlineStr">
        <is>
          <t>賣</t>
        </is>
      </c>
      <c r="F1764" s="300" t="inlineStr">
        <is>
          <t>-</t>
        </is>
      </c>
      <c r="G1764" s="741" t="n">
        <v>2</v>
      </c>
      <c r="H1764" s="741" t="n">
        <v>9726</v>
      </c>
      <c r="I1764" s="741" t="n">
        <v>0</v>
      </c>
      <c r="J1764" s="742" t="n">
        <v>46</v>
      </c>
      <c r="K1764" s="742" t="n">
        <v>20</v>
      </c>
      <c r="L1764" s="742">
        <f>IF(B1764="TXO",I1764-SUM(J1764:K1764),IF(B1764="FITX",IF(D1764="新倉",-SUM(J1764:K1764),IF(E1764="賣",(H1764-H1763)*G1764*200-SUM(J1764:K1764),(H1763-H1764)*G1764*200-SUM(J1764:K1764))),IF(D1764="新倉",-SUM(J1764:K1764),IF(E1764="賣",(H1764-H1763)*G1764*50-SUM(J1764:K1764),(H1763-H1764)*G1764*50-SUM(J1764:K1764)))))</f>
        <v/>
      </c>
      <c r="M1764" s="743">
        <f>L1764</f>
        <v/>
      </c>
      <c r="N1764" s="686">
        <f>IF(B1764="TXO","",IF(D1764="新倉","",IF(E1764="賣",(H1764-H1763)*G1764,(H1763-H1764)*G1764)))</f>
        <v/>
      </c>
      <c r="O1764" s="226" t="n">
        <v>0</v>
      </c>
      <c r="P1764" s="667" t="n"/>
      <c r="Q1764" s="310" t="inlineStr">
        <is>
          <t>追跌</t>
        </is>
      </c>
      <c r="S1764" s="249" t="n"/>
      <c r="T1764" s="61">
        <f>IF(AND(R1764="Yes",S1764&lt;&gt;"Yes",L1764&gt;0,B1764&lt;&gt;"TXO"),L1764,"")</f>
        <v/>
      </c>
      <c r="U1764" s="61">
        <f>IF(AND(R1764="Yes",S1764&lt;&gt;"Yes",L1764&lt;0,B1764&lt;&gt;"TXO"),L1764,"")</f>
        <v/>
      </c>
      <c r="V1764" s="61">
        <f>IF(AND(R1764="",S1764&lt;&gt;"Yes",L1764&gt;0,B1764&lt;&gt;"TXO"),L1764,"")</f>
        <v/>
      </c>
      <c r="W1764" s="61">
        <f>IF(AND(R1764="",S1764&lt;&gt;"Yes",L1764&lt;0,B1764&lt;&gt;"TXO"),L1764,"")</f>
        <v/>
      </c>
      <c r="X1764" s="226">
        <f>IF(AND(R1764="Yes",S1764="Yes",L1764&gt;0,B1764&lt;&gt;"TXO"),L1764,"")</f>
        <v/>
      </c>
      <c r="Y1764" s="226">
        <f>IF(AND(R1764="Yes",S1764="Yes",L1764&lt;0,B1764&lt;&gt;"TXO"),L1764,"")</f>
        <v/>
      </c>
      <c r="Z1764" s="226">
        <f>IF(AND(R1764="",S1764="Yes",L1764&gt;0,B1764&lt;&gt;"TXO"),L1764,"")</f>
        <v/>
      </c>
      <c r="AA1764" s="226">
        <f>IF(AND(R1764="",S1764="Yes",L1764&lt;0,B1764&lt;&gt;"TXO"),L1764,"")</f>
        <v/>
      </c>
    </row>
    <row r="1765" hidden="1" outlineLevel="2" collapsed="1" ht="17.25" customHeight="1" thickBot="1">
      <c r="A1765" s="740" t="n">
        <v>43440</v>
      </c>
      <c r="B1765" s="299" t="inlineStr">
        <is>
          <t>FIMTX</t>
        </is>
      </c>
      <c r="C1765" s="300" t="inlineStr">
        <is>
          <t>小指12</t>
        </is>
      </c>
      <c r="D1765" s="300" t="inlineStr">
        <is>
          <t>平倉</t>
        </is>
      </c>
      <c r="E1765" s="301" t="inlineStr">
        <is>
          <t>買</t>
        </is>
      </c>
      <c r="F1765" s="300" t="inlineStr">
        <is>
          <t>-</t>
        </is>
      </c>
      <c r="G1765" s="741" t="n">
        <v>2</v>
      </c>
      <c r="H1765" s="741" t="n">
        <v>9719</v>
      </c>
      <c r="I1765" s="741" t="n">
        <v>0</v>
      </c>
      <c r="J1765" s="742" t="n">
        <v>46</v>
      </c>
      <c r="K1765" s="742" t="n">
        <v>20</v>
      </c>
      <c r="L1765" s="742">
        <f>IF(B1765="TXO",I1765-SUM(J1765:K1765),IF(B1765="FITX",IF(D1765="新倉",-SUM(J1765:K1765),IF(E1765="賣",(H1765-H1764)*G1765*200-SUM(J1765:K1765),(H1764-H1765)*G1765*200-SUM(J1765:K1765))),IF(D1765="新倉",-SUM(J1765:K1765),IF(E1765="賣",(H1765-H1764)*G1765*50-SUM(J1765:K1765),(H1764-H1765)*G1765*50-SUM(J1765:K1765)))))</f>
        <v/>
      </c>
      <c r="M1765" s="743">
        <f>L1765</f>
        <v/>
      </c>
      <c r="N1765" s="686">
        <f>IF(B1765="TXO","",IF(D1765="新倉","",IF(E1765="賣",(H1765-H1764)*G1765,(H1764-H1765)*G1765)))</f>
        <v/>
      </c>
      <c r="O1765" s="226" t="n">
        <v>0</v>
      </c>
      <c r="P1765" s="667" t="n"/>
      <c r="Q1765" s="249" t="inlineStr">
        <is>
          <t>元大移動式停利</t>
        </is>
      </c>
      <c r="S1765" s="249" t="n"/>
      <c r="T1765" s="61">
        <f>IF(AND(R1765="Yes",S1765&lt;&gt;"Yes",L1765&gt;0,B1765&lt;&gt;"TXO"),L1765,"")</f>
        <v/>
      </c>
      <c r="U1765" s="61">
        <f>IF(AND(R1765="Yes",S1765&lt;&gt;"Yes",L1765&lt;0,B1765&lt;&gt;"TXO"),L1765,"")</f>
        <v/>
      </c>
      <c r="V1765" s="61">
        <f>IF(AND(R1765="",S1765&lt;&gt;"Yes",L1765&gt;0,B1765&lt;&gt;"TXO"),L1765,"")</f>
        <v/>
      </c>
      <c r="W1765" s="61">
        <f>IF(AND(R1765="",S1765&lt;&gt;"Yes",L1765&lt;0,B1765&lt;&gt;"TXO"),L1765,"")</f>
        <v/>
      </c>
      <c r="X1765" s="226">
        <f>IF(AND(R1765="Yes",S1765="Yes",L1765&gt;0,B1765&lt;&gt;"TXO"),L1765,"")</f>
        <v/>
      </c>
      <c r="Y1765" s="226">
        <f>IF(AND(R1765="Yes",S1765="Yes",L1765&lt;0,B1765&lt;&gt;"TXO"),L1765,"")</f>
        <v/>
      </c>
      <c r="Z1765" s="226">
        <f>IF(AND(R1765="",S1765="Yes",L1765&gt;0,B1765&lt;&gt;"TXO"),L1765,"")</f>
        <v/>
      </c>
      <c r="AA1765" s="226">
        <f>IF(AND(R1765="",S1765="Yes",L1765&lt;0,B1765&lt;&gt;"TXO"),L1765,"")</f>
        <v/>
      </c>
    </row>
    <row r="1766" hidden="1" outlineLevel="2" collapsed="1" ht="17.25" customHeight="1" thickBot="1">
      <c r="A1766" s="740" t="n">
        <v>43440</v>
      </c>
      <c r="B1766" s="299" t="inlineStr">
        <is>
          <t>FIMTX</t>
        </is>
      </c>
      <c r="C1766" s="300" t="inlineStr">
        <is>
          <t>小指12</t>
        </is>
      </c>
      <c r="D1766" s="300" t="inlineStr">
        <is>
          <t>新倉</t>
        </is>
      </c>
      <c r="E1766" s="301" t="inlineStr">
        <is>
          <t>賣</t>
        </is>
      </c>
      <c r="F1766" s="300" t="inlineStr">
        <is>
          <t>-</t>
        </is>
      </c>
      <c r="G1766" s="741" t="n">
        <v>1</v>
      </c>
      <c r="H1766" s="741" t="n">
        <v>9708</v>
      </c>
      <c r="I1766" s="741" t="n">
        <v>0</v>
      </c>
      <c r="J1766" s="742" t="n">
        <v>23</v>
      </c>
      <c r="K1766" s="742" t="n">
        <v>10</v>
      </c>
      <c r="L1766" s="742">
        <f>IF(B1766="TXO",I1766-SUM(J1766:K1766),IF(B1766="FITX",IF(D1766="新倉",-SUM(J1766:K1766),IF(E1766="賣",(H1766-H1765)*G1766*200-SUM(J1766:K1766),(H1765-H1766)*G1766*200-SUM(J1766:K1766))),IF(D1766="新倉",-SUM(J1766:K1766),IF(E1766="賣",(H1766-H1765)*G1766*50-SUM(J1766:K1766),(H1765-H1766)*G1766*50-SUM(J1766:K1766)))))</f>
        <v/>
      </c>
      <c r="M1766" s="743">
        <f>L1766</f>
        <v/>
      </c>
      <c r="N1766" s="686">
        <f>IF(B1766="TXO","",IF(D1766="新倉","",IF(E1766="賣",(H1766-H1765)*G1766,(H1765-H1766)*G1766)))</f>
        <v/>
      </c>
      <c r="O1766" s="226" t="n">
        <v>0</v>
      </c>
      <c r="P1766" s="667" t="n"/>
      <c r="Q1766" s="310" t="inlineStr">
        <is>
          <t>追跌</t>
        </is>
      </c>
      <c r="S1766" s="249" t="n"/>
      <c r="T1766" s="61">
        <f>IF(AND(R1766="Yes",S1766&lt;&gt;"Yes",L1766&gt;0,B1766&lt;&gt;"TXO"),L1766,"")</f>
        <v/>
      </c>
      <c r="U1766" s="61">
        <f>IF(AND(R1766="Yes",S1766&lt;&gt;"Yes",L1766&lt;0,B1766&lt;&gt;"TXO"),L1766,"")</f>
        <v/>
      </c>
      <c r="V1766" s="61">
        <f>IF(AND(R1766="",S1766&lt;&gt;"Yes",L1766&gt;0,B1766&lt;&gt;"TXO"),L1766,"")</f>
        <v/>
      </c>
      <c r="W1766" s="61">
        <f>IF(AND(R1766="",S1766&lt;&gt;"Yes",L1766&lt;0,B1766&lt;&gt;"TXO"),L1766,"")</f>
        <v/>
      </c>
      <c r="X1766" s="226">
        <f>IF(AND(R1766="Yes",S1766="Yes",L1766&gt;0,B1766&lt;&gt;"TXO"),L1766,"")</f>
        <v/>
      </c>
      <c r="Y1766" s="226">
        <f>IF(AND(R1766="Yes",S1766="Yes",L1766&lt;0,B1766&lt;&gt;"TXO"),L1766,"")</f>
        <v/>
      </c>
      <c r="Z1766" s="226">
        <f>IF(AND(R1766="",S1766="Yes",L1766&gt;0,B1766&lt;&gt;"TXO"),L1766,"")</f>
        <v/>
      </c>
      <c r="AA1766" s="226">
        <f>IF(AND(R1766="",S1766="Yes",L1766&lt;0,B1766&lt;&gt;"TXO"),L1766,"")</f>
        <v/>
      </c>
    </row>
    <row r="1767" hidden="1" outlineLevel="2" collapsed="1" ht="17.25" customHeight="1" thickBot="1">
      <c r="A1767" s="740" t="n">
        <v>43440</v>
      </c>
      <c r="B1767" s="299" t="inlineStr">
        <is>
          <t>FIMTX</t>
        </is>
      </c>
      <c r="C1767" s="300" t="inlineStr">
        <is>
          <t>小指12</t>
        </is>
      </c>
      <c r="D1767" s="300" t="inlineStr">
        <is>
          <t>平倉</t>
        </is>
      </c>
      <c r="E1767" s="301" t="inlineStr">
        <is>
          <t>買</t>
        </is>
      </c>
      <c r="F1767" s="300" t="inlineStr">
        <is>
          <t>-</t>
        </is>
      </c>
      <c r="G1767" s="741" t="n">
        <v>1</v>
      </c>
      <c r="H1767" s="741" t="n">
        <v>9722</v>
      </c>
      <c r="I1767" s="741" t="n">
        <v>0</v>
      </c>
      <c r="J1767" s="742" t="n">
        <v>23</v>
      </c>
      <c r="K1767" s="742" t="n">
        <v>10</v>
      </c>
      <c r="L1767" s="742">
        <f>IF(B1767="TXO",I1767-SUM(J1767:K1767),IF(B1767="FITX",IF(D1767="新倉",-SUM(J1767:K1767),IF(E1767="賣",(H1767-H1766)*G1767*200-SUM(J1767:K1767),(H1766-H1767)*G1767*200-SUM(J1767:K1767))),IF(D1767="新倉",-SUM(J1767:K1767),IF(E1767="賣",(H1767-H1766)*G1767*50-SUM(J1767:K1767),(H1766-H1767)*G1767*50-SUM(J1767:K1767)))))</f>
        <v/>
      </c>
      <c r="M1767" s="743">
        <f>L1767</f>
        <v/>
      </c>
      <c r="N1767" s="686">
        <f>IF(B1767="TXO","",IF(D1767="新倉","",IF(E1767="賣",(H1767-H1766)*G1767,(H1766-H1767)*G1767)))</f>
        <v/>
      </c>
      <c r="O1767" s="226" t="n">
        <v>0</v>
      </c>
      <c r="P1767" s="667" t="n"/>
      <c r="Q1767" s="249" t="inlineStr">
        <is>
          <t>15點停損(被洗出場)</t>
        </is>
      </c>
      <c r="S1767" s="249" t="n"/>
      <c r="T1767" s="61">
        <f>IF(AND(R1767="Yes",S1767&lt;&gt;"Yes",L1767&gt;0,B1767&lt;&gt;"TXO"),L1767,"")</f>
        <v/>
      </c>
      <c r="U1767" s="61">
        <f>IF(AND(R1767="Yes",S1767&lt;&gt;"Yes",L1767&lt;0,B1767&lt;&gt;"TXO"),L1767,"")</f>
        <v/>
      </c>
      <c r="V1767" s="61">
        <f>IF(AND(R1767="",S1767&lt;&gt;"Yes",L1767&gt;0,B1767&lt;&gt;"TXO"),L1767,"")</f>
        <v/>
      </c>
      <c r="W1767" s="61">
        <f>IF(AND(R1767="",S1767&lt;&gt;"Yes",L1767&lt;0,B1767&lt;&gt;"TXO"),L1767,"")</f>
        <v/>
      </c>
      <c r="X1767" s="226">
        <f>IF(AND(R1767="Yes",S1767="Yes",L1767&gt;0,B1767&lt;&gt;"TXO"),L1767,"")</f>
        <v/>
      </c>
      <c r="Y1767" s="226">
        <f>IF(AND(R1767="Yes",S1767="Yes",L1767&lt;0,B1767&lt;&gt;"TXO"),L1767,"")</f>
        <v/>
      </c>
      <c r="Z1767" s="226">
        <f>IF(AND(R1767="",S1767="Yes",L1767&gt;0,B1767&lt;&gt;"TXO"),L1767,"")</f>
        <v/>
      </c>
      <c r="AA1767" s="226">
        <f>IF(AND(R1767="",S1767="Yes",L1767&lt;0,B1767&lt;&gt;"TXO"),L1767,"")</f>
        <v/>
      </c>
    </row>
    <row r="1768" hidden="1" outlineLevel="2" collapsed="1" ht="17.25" customHeight="1" thickBot="1">
      <c r="A1768" s="740" t="n">
        <v>43440</v>
      </c>
      <c r="B1768" s="299" t="inlineStr">
        <is>
          <t>FIMTX</t>
        </is>
      </c>
      <c r="C1768" s="300" t="inlineStr">
        <is>
          <t>小指12</t>
        </is>
      </c>
      <c r="D1768" s="300" t="inlineStr">
        <is>
          <t>新倉</t>
        </is>
      </c>
      <c r="E1768" s="301" t="inlineStr">
        <is>
          <t>賣</t>
        </is>
      </c>
      <c r="F1768" s="300" t="inlineStr">
        <is>
          <t>-</t>
        </is>
      </c>
      <c r="G1768" s="741" t="n">
        <v>1</v>
      </c>
      <c r="H1768" s="741" t="n">
        <v>9707</v>
      </c>
      <c r="I1768" s="741" t="n">
        <v>0</v>
      </c>
      <c r="J1768" s="742" t="n">
        <v>23</v>
      </c>
      <c r="K1768" s="742" t="n">
        <v>10</v>
      </c>
      <c r="L1768" s="742">
        <f>IF(B1768="TXO",I1768-SUM(J1768:K1768),IF(B1768="FITX",IF(D1768="新倉",-SUM(J1768:K1768),IF(E1768="賣",(H1768-H1767)*G1768*200-SUM(J1768:K1768),(H1767-H1768)*G1768*200-SUM(J1768:K1768))),IF(D1768="新倉",-SUM(J1768:K1768),IF(E1768="賣",(H1768-H1767)*G1768*50-SUM(J1768:K1768),(H1767-H1768)*G1768*50-SUM(J1768:K1768)))))</f>
        <v/>
      </c>
      <c r="M1768" s="743">
        <f>L1768</f>
        <v/>
      </c>
      <c r="N1768" s="686">
        <f>IF(B1768="TXO","",IF(D1768="新倉","",IF(E1768="賣",(H1768-H1767)*G1768,(H1767-H1768)*G1768)))</f>
        <v/>
      </c>
      <c r="O1768" s="226" t="n">
        <v>0</v>
      </c>
      <c r="P1768" s="667" t="n"/>
      <c r="Q1768" s="310" t="inlineStr">
        <is>
          <t>追跌</t>
        </is>
      </c>
      <c r="S1768" s="249" t="n"/>
      <c r="T1768" s="61">
        <f>IF(AND(R1768="Yes",S1768&lt;&gt;"Yes",L1768&gt;0,B1768&lt;&gt;"TXO"),L1768,"")</f>
        <v/>
      </c>
      <c r="U1768" s="61">
        <f>IF(AND(R1768="Yes",S1768&lt;&gt;"Yes",L1768&lt;0,B1768&lt;&gt;"TXO"),L1768,"")</f>
        <v/>
      </c>
      <c r="V1768" s="61">
        <f>IF(AND(R1768="",S1768&lt;&gt;"Yes",L1768&gt;0,B1768&lt;&gt;"TXO"),L1768,"")</f>
        <v/>
      </c>
      <c r="W1768" s="61">
        <f>IF(AND(R1768="",S1768&lt;&gt;"Yes",L1768&lt;0,B1768&lt;&gt;"TXO"),L1768,"")</f>
        <v/>
      </c>
      <c r="X1768" s="226">
        <f>IF(AND(R1768="Yes",S1768="Yes",L1768&gt;0,B1768&lt;&gt;"TXO"),L1768,"")</f>
        <v/>
      </c>
      <c r="Y1768" s="226">
        <f>IF(AND(R1768="Yes",S1768="Yes",L1768&lt;0,B1768&lt;&gt;"TXO"),L1768,"")</f>
        <v/>
      </c>
      <c r="Z1768" s="226">
        <f>IF(AND(R1768="",S1768="Yes",L1768&gt;0,B1768&lt;&gt;"TXO"),L1768,"")</f>
        <v/>
      </c>
      <c r="AA1768" s="226">
        <f>IF(AND(R1768="",S1768="Yes",L1768&lt;0,B1768&lt;&gt;"TXO"),L1768,"")</f>
        <v/>
      </c>
    </row>
    <row r="1769" hidden="1" outlineLevel="2" collapsed="1" ht="17.25" customHeight="1" thickBot="1">
      <c r="A1769" s="740" t="n">
        <v>43440</v>
      </c>
      <c r="B1769" s="299" t="inlineStr">
        <is>
          <t>FIMTX</t>
        </is>
      </c>
      <c r="C1769" s="300" t="inlineStr">
        <is>
          <t>小指12</t>
        </is>
      </c>
      <c r="D1769" s="300" t="inlineStr">
        <is>
          <t>平倉</t>
        </is>
      </c>
      <c r="E1769" s="301" t="inlineStr">
        <is>
          <t>買</t>
        </is>
      </c>
      <c r="F1769" s="300" t="inlineStr">
        <is>
          <t>-</t>
        </is>
      </c>
      <c r="G1769" s="741" t="n">
        <v>1</v>
      </c>
      <c r="H1769" s="741" t="n">
        <v>9727</v>
      </c>
      <c r="I1769" s="741" t="n">
        <v>0</v>
      </c>
      <c r="J1769" s="742" t="n">
        <v>23</v>
      </c>
      <c r="K1769" s="742" t="n">
        <v>10</v>
      </c>
      <c r="L1769" s="742">
        <f>IF(B1769="TXO",I1769-SUM(J1769:K1769),IF(B1769="FITX",IF(D1769="新倉",-SUM(J1769:K1769),IF(E1769="賣",(H1769-H1768)*G1769*200-SUM(J1769:K1769),(H1768-H1769)*G1769*200-SUM(J1769:K1769))),IF(D1769="新倉",-SUM(J1769:K1769),IF(E1769="賣",(H1769-H1768)*G1769*50-SUM(J1769:K1769),(H1768-H1769)*G1769*50-SUM(J1769:K1769)))))</f>
        <v/>
      </c>
      <c r="M1769" s="743">
        <f>L1769</f>
        <v/>
      </c>
      <c r="N1769" s="686">
        <f>IF(B1769="TXO","",IF(D1769="新倉","",IF(E1769="賣",(H1769-H1768)*G1769,(H1768-H1769)*G1769)))</f>
        <v/>
      </c>
      <c r="O1769" s="226" t="n">
        <v>0</v>
      </c>
      <c r="P1769" s="667" t="n"/>
      <c r="Q1769" s="249" t="inlineStr">
        <is>
          <t>停損-Willy來問問題(被洗出場)</t>
        </is>
      </c>
      <c r="S1769" s="249" t="n"/>
      <c r="T1769" s="61">
        <f>IF(AND(R1769="Yes",S1769&lt;&gt;"Yes",L1769&gt;0,B1769&lt;&gt;"TXO"),L1769,"")</f>
        <v/>
      </c>
      <c r="U1769" s="61">
        <f>IF(AND(R1769="Yes",S1769&lt;&gt;"Yes",L1769&lt;0,B1769&lt;&gt;"TXO"),L1769,"")</f>
        <v/>
      </c>
      <c r="V1769" s="61">
        <f>IF(AND(R1769="",S1769&lt;&gt;"Yes",L1769&gt;0,B1769&lt;&gt;"TXO"),L1769,"")</f>
        <v/>
      </c>
      <c r="W1769" s="61">
        <f>IF(AND(R1769="",S1769&lt;&gt;"Yes",L1769&lt;0,B1769&lt;&gt;"TXO"),L1769,"")</f>
        <v/>
      </c>
      <c r="X1769" s="226">
        <f>IF(AND(R1769="Yes",S1769="Yes",L1769&gt;0,B1769&lt;&gt;"TXO"),L1769,"")</f>
        <v/>
      </c>
      <c r="Y1769" s="226">
        <f>IF(AND(R1769="Yes",S1769="Yes",L1769&lt;0,B1769&lt;&gt;"TXO"),L1769,"")</f>
        <v/>
      </c>
      <c r="Z1769" s="226">
        <f>IF(AND(R1769="",S1769="Yes",L1769&gt;0,B1769&lt;&gt;"TXO"),L1769,"")</f>
        <v/>
      </c>
      <c r="AA1769" s="226">
        <f>IF(AND(R1769="",S1769="Yes",L1769&lt;0,B1769&lt;&gt;"TXO"),L1769,"")</f>
        <v/>
      </c>
    </row>
    <row r="1770" hidden="1" outlineLevel="2" ht="17.25" customHeight="1" thickBot="1">
      <c r="A1770" s="740" t="n">
        <v>43440</v>
      </c>
      <c r="B1770" s="299" t="inlineStr">
        <is>
          <t>FIMTX</t>
        </is>
      </c>
      <c r="C1770" s="300" t="inlineStr">
        <is>
          <t>小指12</t>
        </is>
      </c>
      <c r="D1770" s="300" t="inlineStr">
        <is>
          <t>新倉</t>
        </is>
      </c>
      <c r="E1770" s="301" t="inlineStr">
        <is>
          <t>賣</t>
        </is>
      </c>
      <c r="F1770" s="300" t="inlineStr">
        <is>
          <t>-</t>
        </is>
      </c>
      <c r="G1770" s="741" t="n">
        <v>1</v>
      </c>
      <c r="H1770" s="741" t="n">
        <v>9711</v>
      </c>
      <c r="I1770" s="741" t="n">
        <v>0</v>
      </c>
      <c r="J1770" s="742" t="n">
        <v>23</v>
      </c>
      <c r="K1770" s="742" t="n">
        <v>10</v>
      </c>
      <c r="L1770" s="742">
        <f>IF(B1770="TXO",I1770-SUM(J1770:K1770),IF(B1770="FITX",IF(D1770="新倉",-SUM(J1770:K1770),IF(E1770="賣",(H1770-H1769)*G1770*200-SUM(J1770:K1770),(H1769-H1770)*G1770*200-SUM(J1770:K1770))),IF(D1770="新倉",-SUM(J1770:K1770),IF(E1770="賣",(H1770-H1769)*G1770*50-SUM(J1770:K1770),(H1769-H1770)*G1770*50-SUM(J1770:K1770)))))</f>
        <v/>
      </c>
      <c r="M1770" s="743">
        <f>L1770</f>
        <v/>
      </c>
      <c r="N1770" s="686">
        <f>IF(B1770="TXO","",IF(D1770="新倉","",IF(E1770="賣",(H1770-H1769)*G1770,(H1769-H1770)*G1770)))</f>
        <v/>
      </c>
      <c r="O1770" s="226" t="n">
        <v>0</v>
      </c>
      <c r="P1770" s="667" t="n"/>
      <c r="Q1770" s="310" t="inlineStr">
        <is>
          <t>追跌</t>
        </is>
      </c>
      <c r="S1770" s="249" t="n"/>
      <c r="T1770" s="61">
        <f>IF(AND(R1770="Yes",S1770&lt;&gt;"Yes",L1770&gt;0,B1770&lt;&gt;"TXO"),L1770,"")</f>
        <v/>
      </c>
      <c r="U1770" s="61">
        <f>IF(AND(R1770="Yes",S1770&lt;&gt;"Yes",L1770&lt;0,B1770&lt;&gt;"TXO"),L1770,"")</f>
        <v/>
      </c>
      <c r="V1770" s="61">
        <f>IF(AND(R1770="",S1770&lt;&gt;"Yes",L1770&gt;0,B1770&lt;&gt;"TXO"),L1770,"")</f>
        <v/>
      </c>
      <c r="W1770" s="61">
        <f>IF(AND(R1770="",S1770&lt;&gt;"Yes",L1770&lt;0,B1770&lt;&gt;"TXO"),L1770,"")</f>
        <v/>
      </c>
      <c r="X1770" s="226">
        <f>IF(AND(R1770="Yes",S1770="Yes",L1770&gt;0,B1770&lt;&gt;"TXO"),L1770,"")</f>
        <v/>
      </c>
      <c r="Y1770" s="226">
        <f>IF(AND(R1770="Yes",S1770="Yes",L1770&lt;0,B1770&lt;&gt;"TXO"),L1770,"")</f>
        <v/>
      </c>
      <c r="Z1770" s="226">
        <f>IF(AND(R1770="",S1770="Yes",L1770&gt;0,B1770&lt;&gt;"TXO"),L1770,"")</f>
        <v/>
      </c>
      <c r="AA1770" s="226">
        <f>IF(AND(R1770="",S1770="Yes",L1770&lt;0,B1770&lt;&gt;"TXO"),L1770,"")</f>
        <v/>
      </c>
    </row>
    <row r="1771" hidden="1" outlineLevel="2" collapsed="1" ht="17.25" customHeight="1" thickBot="1">
      <c r="A1771" s="740" t="n">
        <v>43440</v>
      </c>
      <c r="B1771" s="299" t="inlineStr">
        <is>
          <t>FIMTX</t>
        </is>
      </c>
      <c r="C1771" s="300" t="inlineStr">
        <is>
          <t>小指12</t>
        </is>
      </c>
      <c r="D1771" s="300" t="inlineStr">
        <is>
          <t>平倉</t>
        </is>
      </c>
      <c r="E1771" s="301" t="inlineStr">
        <is>
          <t>買</t>
        </is>
      </c>
      <c r="F1771" s="300" t="inlineStr">
        <is>
          <t>-</t>
        </is>
      </c>
      <c r="G1771" s="741" t="n">
        <v>1</v>
      </c>
      <c r="H1771" s="741" t="n">
        <v>9727</v>
      </c>
      <c r="I1771" s="741" t="n">
        <v>0</v>
      </c>
      <c r="J1771" s="742" t="n">
        <v>23</v>
      </c>
      <c r="K1771" s="742" t="n">
        <v>10</v>
      </c>
      <c r="L1771" s="742">
        <f>IF(B1771="TXO",I1771-SUM(J1771:K1771),IF(B1771="FITX",IF(D1771="新倉",-SUM(J1771:K1771),IF(E1771="賣",(H1771-H1770)*G1771*200-SUM(J1771:K1771),(H1770-H1771)*G1771*200-SUM(J1771:K1771))),IF(D1771="新倉",-SUM(J1771:K1771),IF(E1771="賣",(H1771-H1770)*G1771*50-SUM(J1771:K1771),(H1770-H1771)*G1771*50-SUM(J1771:K1771)))))</f>
        <v/>
      </c>
      <c r="M1771" s="743">
        <f>L1771</f>
        <v/>
      </c>
      <c r="N1771" s="686">
        <f>IF(B1771="TXO","",IF(D1771="新倉","",IF(E1771="賣",(H1771-H1770)*G1771,(H1770-H1771)*G1771)))</f>
        <v/>
      </c>
      <c r="O1771" s="226" t="n">
        <v>0</v>
      </c>
      <c r="P1771" s="667" t="n"/>
      <c r="Q1771" s="249" t="inlineStr">
        <is>
          <t>停損-Willy來問問題(被洗出場)</t>
        </is>
      </c>
      <c r="S1771" s="249" t="n"/>
      <c r="T1771" s="61">
        <f>IF(AND(R1771="Yes",S1771&lt;&gt;"Yes",L1771&gt;0,B1771&lt;&gt;"TXO"),L1771,"")</f>
        <v/>
      </c>
      <c r="U1771" s="61">
        <f>IF(AND(R1771="Yes",S1771&lt;&gt;"Yes",L1771&lt;0,B1771&lt;&gt;"TXO"),L1771,"")</f>
        <v/>
      </c>
      <c r="V1771" s="61">
        <f>IF(AND(R1771="",S1771&lt;&gt;"Yes",L1771&gt;0,B1771&lt;&gt;"TXO"),L1771,"")</f>
        <v/>
      </c>
      <c r="W1771" s="61">
        <f>IF(AND(R1771="",S1771&lt;&gt;"Yes",L1771&lt;0,B1771&lt;&gt;"TXO"),L1771,"")</f>
        <v/>
      </c>
      <c r="X1771" s="226">
        <f>IF(AND(R1771="Yes",S1771="Yes",L1771&gt;0,B1771&lt;&gt;"TXO"),L1771,"")</f>
        <v/>
      </c>
      <c r="Y1771" s="226">
        <f>IF(AND(R1771="Yes",S1771="Yes",L1771&lt;0,B1771&lt;&gt;"TXO"),L1771,"")</f>
        <v/>
      </c>
      <c r="Z1771" s="226">
        <f>IF(AND(R1771="",S1771="Yes",L1771&gt;0,B1771&lt;&gt;"TXO"),L1771,"")</f>
        <v/>
      </c>
      <c r="AA1771" s="226">
        <f>IF(AND(R1771="",S1771="Yes",L1771&lt;0,B1771&lt;&gt;"TXO"),L1771,"")</f>
        <v/>
      </c>
    </row>
    <row r="1772" hidden="1" outlineLevel="2" collapsed="1" ht="17.25" customHeight="1" thickBot="1">
      <c r="A1772" s="740" t="n">
        <v>43440</v>
      </c>
      <c r="B1772" s="299" t="inlineStr">
        <is>
          <t>FIMTX</t>
        </is>
      </c>
      <c r="C1772" s="300" t="inlineStr">
        <is>
          <t>小指12</t>
        </is>
      </c>
      <c r="D1772" s="300" t="inlineStr">
        <is>
          <t>新倉</t>
        </is>
      </c>
      <c r="E1772" s="301" t="inlineStr">
        <is>
          <t>賣</t>
        </is>
      </c>
      <c r="F1772" s="300" t="inlineStr">
        <is>
          <t>-</t>
        </is>
      </c>
      <c r="G1772" s="741" t="n">
        <v>1</v>
      </c>
      <c r="H1772" s="741" t="n">
        <v>9704</v>
      </c>
      <c r="I1772" s="741" t="n">
        <v>0</v>
      </c>
      <c r="J1772" s="742" t="n">
        <v>23</v>
      </c>
      <c r="K1772" s="742" t="n">
        <v>10</v>
      </c>
      <c r="L1772" s="742">
        <f>IF(B1772="TXO",I1772-SUM(J1772:K1772),IF(B1772="FITX",IF(D1772="新倉",-SUM(J1772:K1772),IF(E1772="賣",(H1772-H1771)*G1772*200-SUM(J1772:K1772),(H1771-H1772)*G1772*200-SUM(J1772:K1772))),IF(D1772="新倉",-SUM(J1772:K1772),IF(E1772="賣",(H1772-H1771)*G1772*50-SUM(J1772:K1772),(H1771-H1772)*G1772*50-SUM(J1772:K1772)))))</f>
        <v/>
      </c>
      <c r="M1772" s="743">
        <f>L1772</f>
        <v/>
      </c>
      <c r="N1772" s="686">
        <f>IF(B1772="TXO","",IF(D1772="新倉","",IF(E1772="賣",(H1772-H1771)*G1772,(H1771-H1772)*G1772)))</f>
        <v/>
      </c>
      <c r="O1772" s="226" t="n">
        <v>0</v>
      </c>
      <c r="P1772" s="667" t="n"/>
      <c r="Q1772" s="310" t="inlineStr">
        <is>
          <t>追跌</t>
        </is>
      </c>
      <c r="S1772" s="249" t="n"/>
      <c r="T1772" s="61">
        <f>IF(AND(R1772="Yes",S1772&lt;&gt;"Yes",L1772&gt;0,B1772&lt;&gt;"TXO"),L1772,"")</f>
        <v/>
      </c>
      <c r="U1772" s="61">
        <f>IF(AND(R1772="Yes",S1772&lt;&gt;"Yes",L1772&lt;0,B1772&lt;&gt;"TXO"),L1772,"")</f>
        <v/>
      </c>
      <c r="V1772" s="61">
        <f>IF(AND(R1772="",S1772&lt;&gt;"Yes",L1772&gt;0,B1772&lt;&gt;"TXO"),L1772,"")</f>
        <v/>
      </c>
      <c r="W1772" s="61">
        <f>IF(AND(R1772="",S1772&lt;&gt;"Yes",L1772&lt;0,B1772&lt;&gt;"TXO"),L1772,"")</f>
        <v/>
      </c>
      <c r="X1772" s="226">
        <f>IF(AND(R1772="Yes",S1772="Yes",L1772&gt;0,B1772&lt;&gt;"TXO"),L1772,"")</f>
        <v/>
      </c>
      <c r="Y1772" s="226">
        <f>IF(AND(R1772="Yes",S1772="Yes",L1772&lt;0,B1772&lt;&gt;"TXO"),L1772,"")</f>
        <v/>
      </c>
      <c r="Z1772" s="226">
        <f>IF(AND(R1772="",S1772="Yes",L1772&gt;0,B1772&lt;&gt;"TXO"),L1772,"")</f>
        <v/>
      </c>
      <c r="AA1772" s="226">
        <f>IF(AND(R1772="",S1772="Yes",L1772&lt;0,B1772&lt;&gt;"TXO"),L1772,"")</f>
        <v/>
      </c>
    </row>
    <row r="1773" hidden="1" outlineLevel="2" collapsed="1" ht="17.25" customHeight="1" thickBot="1">
      <c r="A1773" s="740" t="n">
        <v>43440</v>
      </c>
      <c r="B1773" s="299" t="inlineStr">
        <is>
          <t>FIMTX</t>
        </is>
      </c>
      <c r="C1773" s="300" t="inlineStr">
        <is>
          <t>小指12</t>
        </is>
      </c>
      <c r="D1773" s="300" t="inlineStr">
        <is>
          <t>平倉</t>
        </is>
      </c>
      <c r="E1773" s="301" t="inlineStr">
        <is>
          <t>買</t>
        </is>
      </c>
      <c r="F1773" s="300" t="inlineStr">
        <is>
          <t>-</t>
        </is>
      </c>
      <c r="G1773" s="741" t="n">
        <v>1</v>
      </c>
      <c r="H1773" s="741" t="n">
        <v>9699</v>
      </c>
      <c r="I1773" s="741" t="n">
        <v>0</v>
      </c>
      <c r="J1773" s="742" t="n">
        <v>23</v>
      </c>
      <c r="K1773" s="742" t="n">
        <v>10</v>
      </c>
      <c r="L1773" s="742">
        <f>IF(B1773="TXO",I1773-SUM(J1773:K1773),IF(B1773="FITX",IF(D1773="新倉",-SUM(J1773:K1773),IF(E1773="賣",(H1773-H1772)*G1773*200-SUM(J1773:K1773),(H1772-H1773)*G1773*200-SUM(J1773:K1773))),IF(D1773="新倉",-SUM(J1773:K1773),IF(E1773="賣",(H1773-H1772)*G1773*50-SUM(J1773:K1773),(H1772-H1773)*G1773*50-SUM(J1773:K1773)))))</f>
        <v/>
      </c>
      <c r="M1773" s="743">
        <f>L1773</f>
        <v/>
      </c>
      <c r="N1773" s="686">
        <f>IF(B1773="TXO","",IF(D1773="新倉","",IF(E1773="賣",(H1773-H1772)*G1773,(H1772-H1773)*G1773)))</f>
        <v/>
      </c>
      <c r="O1773" s="226" t="n">
        <v>0</v>
      </c>
      <c r="P1773" s="667" t="n"/>
      <c r="Q1773" s="249" t="inlineStr">
        <is>
          <t>元大移動式停利</t>
        </is>
      </c>
      <c r="S1773" s="249" t="n"/>
      <c r="T1773" s="61">
        <f>IF(AND(R1773="Yes",S1773&lt;&gt;"Yes",L1773&gt;0,B1773&lt;&gt;"TXO"),L1773,"")</f>
        <v/>
      </c>
      <c r="U1773" s="61">
        <f>IF(AND(R1773="Yes",S1773&lt;&gt;"Yes",L1773&lt;0,B1773&lt;&gt;"TXO"),L1773,"")</f>
        <v/>
      </c>
      <c r="V1773" s="61">
        <f>IF(AND(R1773="",S1773&lt;&gt;"Yes",L1773&gt;0,B1773&lt;&gt;"TXO"),L1773,"")</f>
        <v/>
      </c>
      <c r="W1773" s="61">
        <f>IF(AND(R1773="",S1773&lt;&gt;"Yes",L1773&lt;0,B1773&lt;&gt;"TXO"),L1773,"")</f>
        <v/>
      </c>
      <c r="X1773" s="226">
        <f>IF(AND(R1773="Yes",S1773="Yes",L1773&gt;0,B1773&lt;&gt;"TXO"),L1773,"")</f>
        <v/>
      </c>
      <c r="Y1773" s="226">
        <f>IF(AND(R1773="Yes",S1773="Yes",L1773&lt;0,B1773&lt;&gt;"TXO"),L1773,"")</f>
        <v/>
      </c>
      <c r="Z1773" s="226">
        <f>IF(AND(R1773="",S1773="Yes",L1773&gt;0,B1773&lt;&gt;"TXO"),L1773,"")</f>
        <v/>
      </c>
      <c r="AA1773" s="226">
        <f>IF(AND(R1773="",S1773="Yes",L1773&lt;0,B1773&lt;&gt;"TXO"),L1773,"")</f>
        <v/>
      </c>
    </row>
    <row r="1774" hidden="1" outlineLevel="2" collapsed="1" ht="17.25" customHeight="1" thickBot="1">
      <c r="A1774" s="740" t="n">
        <v>43440</v>
      </c>
      <c r="B1774" s="299" t="inlineStr">
        <is>
          <t>FIMTX</t>
        </is>
      </c>
      <c r="C1774" s="300" t="inlineStr">
        <is>
          <t>小指12</t>
        </is>
      </c>
      <c r="D1774" s="300" t="inlineStr">
        <is>
          <t>新倉</t>
        </is>
      </c>
      <c r="E1774" s="301" t="inlineStr">
        <is>
          <t>賣</t>
        </is>
      </c>
      <c r="F1774" s="300" t="inlineStr">
        <is>
          <t>-</t>
        </is>
      </c>
      <c r="G1774" s="741" t="n">
        <v>1</v>
      </c>
      <c r="H1774" s="741" t="n">
        <v>9705</v>
      </c>
      <c r="I1774" s="741" t="n">
        <v>0</v>
      </c>
      <c r="J1774" s="742" t="n">
        <v>23</v>
      </c>
      <c r="K1774" s="742" t="n">
        <v>10</v>
      </c>
      <c r="L1774" s="742">
        <f>IF(B1774="TXO",I1774-SUM(J1774:K1774),IF(B1774="FITX",IF(D1774="新倉",-SUM(J1774:K1774),IF(E1774="賣",(H1774-H1773)*G1774*200-SUM(J1774:K1774),(H1773-H1774)*G1774*200-SUM(J1774:K1774))),IF(D1774="新倉",-SUM(J1774:K1774),IF(E1774="賣",(H1774-H1773)*G1774*50-SUM(J1774:K1774),(H1773-H1774)*G1774*50-SUM(J1774:K1774)))))</f>
        <v/>
      </c>
      <c r="M1774" s="743">
        <f>L1774</f>
        <v/>
      </c>
      <c r="N1774" s="686">
        <f>IF(B1774="TXO","",IF(D1774="新倉","",IF(E1774="賣",(H1774-H1773)*G1774,(H1773-H1774)*G1774)))</f>
        <v/>
      </c>
      <c r="O1774" s="226" t="n">
        <v>0</v>
      </c>
      <c r="P1774" s="667" t="n"/>
      <c r="Q1774" s="310" t="inlineStr">
        <is>
          <t>追跌</t>
        </is>
      </c>
      <c r="S1774" s="249" t="n"/>
      <c r="T1774" s="61">
        <f>IF(AND(R1774="Yes",S1774&lt;&gt;"Yes",L1774&gt;0,B1774&lt;&gt;"TXO"),L1774,"")</f>
        <v/>
      </c>
      <c r="U1774" s="61">
        <f>IF(AND(R1774="Yes",S1774&lt;&gt;"Yes",L1774&lt;0,B1774&lt;&gt;"TXO"),L1774,"")</f>
        <v/>
      </c>
      <c r="V1774" s="61">
        <f>IF(AND(R1774="",S1774&lt;&gt;"Yes",L1774&gt;0,B1774&lt;&gt;"TXO"),L1774,"")</f>
        <v/>
      </c>
      <c r="W1774" s="61">
        <f>IF(AND(R1774="",S1774&lt;&gt;"Yes",L1774&lt;0,B1774&lt;&gt;"TXO"),L1774,"")</f>
        <v/>
      </c>
      <c r="X1774" s="226">
        <f>IF(AND(R1774="Yes",S1774="Yes",L1774&gt;0,B1774&lt;&gt;"TXO"),L1774,"")</f>
        <v/>
      </c>
      <c r="Y1774" s="226">
        <f>IF(AND(R1774="Yes",S1774="Yes",L1774&lt;0,B1774&lt;&gt;"TXO"),L1774,"")</f>
        <v/>
      </c>
      <c r="Z1774" s="226">
        <f>IF(AND(R1774="",S1774="Yes",L1774&gt;0,B1774&lt;&gt;"TXO"),L1774,"")</f>
        <v/>
      </c>
      <c r="AA1774" s="226">
        <f>IF(AND(R1774="",S1774="Yes",L1774&lt;0,B1774&lt;&gt;"TXO"),L1774,"")</f>
        <v/>
      </c>
    </row>
    <row r="1775" hidden="1" outlineLevel="2" collapsed="1" ht="17.25" customHeight="1" thickBot="1">
      <c r="A1775" s="740" t="n">
        <v>43440</v>
      </c>
      <c r="B1775" s="299" t="inlineStr">
        <is>
          <t>FIMTX</t>
        </is>
      </c>
      <c r="C1775" s="300" t="inlineStr">
        <is>
          <t>小指12</t>
        </is>
      </c>
      <c r="D1775" s="300" t="inlineStr">
        <is>
          <t>平倉</t>
        </is>
      </c>
      <c r="E1775" s="301" t="inlineStr">
        <is>
          <t>買</t>
        </is>
      </c>
      <c r="F1775" s="300" t="inlineStr">
        <is>
          <t>-</t>
        </is>
      </c>
      <c r="G1775" s="741" t="n">
        <v>1</v>
      </c>
      <c r="H1775" s="741" t="n">
        <v>9699</v>
      </c>
      <c r="I1775" s="741" t="n">
        <v>0</v>
      </c>
      <c r="J1775" s="742" t="n">
        <v>23</v>
      </c>
      <c r="K1775" s="742" t="n">
        <v>10</v>
      </c>
      <c r="L1775" s="742">
        <f>IF(B1775="TXO",I1775-SUM(J1775:K1775),IF(B1775="FITX",IF(D1775="新倉",-SUM(J1775:K1775),IF(E1775="賣",(H1775-H1774)*G1775*200-SUM(J1775:K1775),(H1774-H1775)*G1775*200-SUM(J1775:K1775))),IF(D1775="新倉",-SUM(J1775:K1775),IF(E1775="賣",(H1775-H1774)*G1775*50-SUM(J1775:K1775),(H1774-H1775)*G1775*50-SUM(J1775:K1775)))))</f>
        <v/>
      </c>
      <c r="M1775" s="743">
        <f>L1775</f>
        <v/>
      </c>
      <c r="N1775" s="686">
        <f>IF(B1775="TXO","",IF(D1775="新倉","",IF(E1775="賣",(H1775-H1774)*G1775,(H1774-H1775)*G1775)))</f>
        <v/>
      </c>
      <c r="O1775" s="226" t="n">
        <v>0</v>
      </c>
      <c r="P1775" s="667" t="n"/>
      <c r="Q1775" s="249" t="inlineStr">
        <is>
          <t>元大移動式停利</t>
        </is>
      </c>
      <c r="S1775" s="249" t="n"/>
      <c r="T1775" s="61">
        <f>IF(AND(R1775="Yes",S1775&lt;&gt;"Yes",L1775&gt;0,B1775&lt;&gt;"TXO"),L1775,"")</f>
        <v/>
      </c>
      <c r="U1775" s="61">
        <f>IF(AND(R1775="Yes",S1775&lt;&gt;"Yes",L1775&lt;0,B1775&lt;&gt;"TXO"),L1775,"")</f>
        <v/>
      </c>
      <c r="V1775" s="61">
        <f>IF(AND(R1775="",S1775&lt;&gt;"Yes",L1775&gt;0,B1775&lt;&gt;"TXO"),L1775,"")</f>
        <v/>
      </c>
      <c r="W1775" s="61">
        <f>IF(AND(R1775="",S1775&lt;&gt;"Yes",L1775&lt;0,B1775&lt;&gt;"TXO"),L1775,"")</f>
        <v/>
      </c>
      <c r="X1775" s="226">
        <f>IF(AND(R1775="Yes",S1775="Yes",L1775&gt;0,B1775&lt;&gt;"TXO"),L1775,"")</f>
        <v/>
      </c>
      <c r="Y1775" s="226">
        <f>IF(AND(R1775="Yes",S1775="Yes",L1775&lt;0,B1775&lt;&gt;"TXO"),L1775,"")</f>
        <v/>
      </c>
      <c r="Z1775" s="226">
        <f>IF(AND(R1775="",S1775="Yes",L1775&gt;0,B1775&lt;&gt;"TXO"),L1775,"")</f>
        <v/>
      </c>
      <c r="AA1775" s="226">
        <f>IF(AND(R1775="",S1775="Yes",L1775&lt;0,B1775&lt;&gt;"TXO"),L1775,"")</f>
        <v/>
      </c>
    </row>
    <row r="1776" hidden="1" outlineLevel="2" collapsed="1" ht="17.25" customHeight="1" thickBot="1">
      <c r="A1776" s="740" t="n">
        <v>43440</v>
      </c>
      <c r="B1776" s="299" t="inlineStr">
        <is>
          <t>FIMTX</t>
        </is>
      </c>
      <c r="C1776" s="300" t="inlineStr">
        <is>
          <t>小指12</t>
        </is>
      </c>
      <c r="D1776" s="300" t="inlineStr">
        <is>
          <t>新倉</t>
        </is>
      </c>
      <c r="E1776" s="301" t="inlineStr">
        <is>
          <t>賣</t>
        </is>
      </c>
      <c r="F1776" s="300" t="inlineStr">
        <is>
          <t>-</t>
        </is>
      </c>
      <c r="G1776" s="741" t="n">
        <v>1</v>
      </c>
      <c r="H1776" s="741" t="n">
        <v>9710</v>
      </c>
      <c r="I1776" s="741" t="n">
        <v>0</v>
      </c>
      <c r="J1776" s="742" t="n">
        <v>23</v>
      </c>
      <c r="K1776" s="742" t="n">
        <v>10</v>
      </c>
      <c r="L1776" s="742">
        <f>IF(B1776="TXO",I1776-SUM(J1776:K1776),IF(B1776="FITX",IF(D1776="新倉",-SUM(J1776:K1776),IF(E1776="賣",(H1776-H1775)*G1776*200-SUM(J1776:K1776),(H1775-H1776)*G1776*200-SUM(J1776:K1776))),IF(D1776="新倉",-SUM(J1776:K1776),IF(E1776="賣",(H1776-H1775)*G1776*50-SUM(J1776:K1776),(H1775-H1776)*G1776*50-SUM(J1776:K1776)))))</f>
        <v/>
      </c>
      <c r="M1776" s="743">
        <f>L1776</f>
        <v/>
      </c>
      <c r="N1776" s="686">
        <f>IF(B1776="TXO","",IF(D1776="新倉","",IF(E1776="賣",(H1776-H1775)*G1776,(H1775-H1776)*G1776)))</f>
        <v/>
      </c>
      <c r="O1776" s="226" t="n">
        <v>0</v>
      </c>
      <c r="P1776" s="667" t="n"/>
      <c r="Q1776" s="310" t="inlineStr">
        <is>
          <t>追跌</t>
        </is>
      </c>
      <c r="S1776" s="249" t="n"/>
      <c r="T1776" s="61">
        <f>IF(AND(R1776="Yes",S1776&lt;&gt;"Yes",L1776&gt;0,B1776&lt;&gt;"TXO"),L1776,"")</f>
        <v/>
      </c>
      <c r="U1776" s="61">
        <f>IF(AND(R1776="Yes",S1776&lt;&gt;"Yes",L1776&lt;0,B1776&lt;&gt;"TXO"),L1776,"")</f>
        <v/>
      </c>
      <c r="V1776" s="61">
        <f>IF(AND(R1776="",S1776&lt;&gt;"Yes",L1776&gt;0,B1776&lt;&gt;"TXO"),L1776,"")</f>
        <v/>
      </c>
      <c r="W1776" s="61">
        <f>IF(AND(R1776="",S1776&lt;&gt;"Yes",L1776&lt;0,B1776&lt;&gt;"TXO"),L1776,"")</f>
        <v/>
      </c>
      <c r="X1776" s="226">
        <f>IF(AND(R1776="Yes",S1776="Yes",L1776&gt;0,B1776&lt;&gt;"TXO"),L1776,"")</f>
        <v/>
      </c>
      <c r="Y1776" s="226">
        <f>IF(AND(R1776="Yes",S1776="Yes",L1776&lt;0,B1776&lt;&gt;"TXO"),L1776,"")</f>
        <v/>
      </c>
      <c r="Z1776" s="226">
        <f>IF(AND(R1776="",S1776="Yes",L1776&gt;0,B1776&lt;&gt;"TXO"),L1776,"")</f>
        <v/>
      </c>
      <c r="AA1776" s="226">
        <f>IF(AND(R1776="",S1776="Yes",L1776&lt;0,B1776&lt;&gt;"TXO"),L1776,"")</f>
        <v/>
      </c>
    </row>
    <row r="1777" hidden="1" outlineLevel="2" collapsed="1" ht="17.25" customHeight="1" thickBot="1">
      <c r="A1777" s="740" t="n">
        <v>43440</v>
      </c>
      <c r="B1777" s="299" t="inlineStr">
        <is>
          <t>FIMTX</t>
        </is>
      </c>
      <c r="C1777" s="300" t="inlineStr">
        <is>
          <t>小指12</t>
        </is>
      </c>
      <c r="D1777" s="300" t="inlineStr">
        <is>
          <t>平倉</t>
        </is>
      </c>
      <c r="E1777" s="301" t="inlineStr">
        <is>
          <t>買</t>
        </is>
      </c>
      <c r="F1777" s="300" t="inlineStr">
        <is>
          <t>-</t>
        </is>
      </c>
      <c r="G1777" s="741" t="n">
        <v>1</v>
      </c>
      <c r="H1777" s="741" t="n">
        <v>9699</v>
      </c>
      <c r="I1777" s="741" t="n">
        <v>0</v>
      </c>
      <c r="J1777" s="742" t="n">
        <v>23</v>
      </c>
      <c r="K1777" s="742" t="n">
        <v>10</v>
      </c>
      <c r="L1777" s="742">
        <f>IF(B1777="TXO",I1777-SUM(J1777:K1777),IF(B1777="FITX",IF(D1777="新倉",-SUM(J1777:K1777),IF(E1777="賣",(H1777-H1776)*G1777*200-SUM(J1777:K1777),(H1776-H1777)*G1777*200-SUM(J1777:K1777))),IF(D1777="新倉",-SUM(J1777:K1777),IF(E1777="賣",(H1777-H1776)*G1777*50-SUM(J1777:K1777),(H1776-H1777)*G1777*50-SUM(J1777:K1777)))))</f>
        <v/>
      </c>
      <c r="M1777" s="743">
        <f>L1777</f>
        <v/>
      </c>
      <c r="N1777" s="686">
        <f>IF(B1777="TXO","",IF(D1777="新倉","",IF(E1777="賣",(H1777-H1776)*G1777,(H1776-H1777)*G1777)))</f>
        <v/>
      </c>
      <c r="O1777" s="226" t="n">
        <v>0</v>
      </c>
      <c r="P1777" s="667" t="n"/>
      <c r="Q1777" s="249" t="inlineStr">
        <is>
          <t>元大移動式停利</t>
        </is>
      </c>
      <c r="S1777" s="249" t="n"/>
      <c r="T1777" s="61">
        <f>IF(AND(R1777="Yes",S1777&lt;&gt;"Yes",L1777&gt;0,B1777&lt;&gt;"TXO"),L1777,"")</f>
        <v/>
      </c>
      <c r="U1777" s="61">
        <f>IF(AND(R1777="Yes",S1777&lt;&gt;"Yes",L1777&lt;0,B1777&lt;&gt;"TXO"),L1777,"")</f>
        <v/>
      </c>
      <c r="V1777" s="61">
        <f>IF(AND(R1777="",S1777&lt;&gt;"Yes",L1777&gt;0,B1777&lt;&gt;"TXO"),L1777,"")</f>
        <v/>
      </c>
      <c r="W1777" s="61">
        <f>IF(AND(R1777="",S1777&lt;&gt;"Yes",L1777&lt;0,B1777&lt;&gt;"TXO"),L1777,"")</f>
        <v/>
      </c>
      <c r="X1777" s="226">
        <f>IF(AND(R1777="Yes",S1777="Yes",L1777&gt;0,B1777&lt;&gt;"TXO"),L1777,"")</f>
        <v/>
      </c>
      <c r="Y1777" s="226">
        <f>IF(AND(R1777="Yes",S1777="Yes",L1777&lt;0,B1777&lt;&gt;"TXO"),L1777,"")</f>
        <v/>
      </c>
      <c r="Z1777" s="226">
        <f>IF(AND(R1777="",S1777="Yes",L1777&gt;0,B1777&lt;&gt;"TXO"),L1777,"")</f>
        <v/>
      </c>
      <c r="AA1777" s="226">
        <f>IF(AND(R1777="",S1777="Yes",L1777&lt;0,B1777&lt;&gt;"TXO"),L1777,"")</f>
        <v/>
      </c>
    </row>
    <row r="1778" hidden="1" outlineLevel="2" collapsed="1" ht="17.25" customHeight="1" thickBot="1">
      <c r="A1778" s="740" t="n">
        <v>43440</v>
      </c>
      <c r="B1778" s="299" t="inlineStr">
        <is>
          <t>FIMTX</t>
        </is>
      </c>
      <c r="C1778" s="300" t="inlineStr">
        <is>
          <t>小指12</t>
        </is>
      </c>
      <c r="D1778" s="300" t="inlineStr">
        <is>
          <t>新倉</t>
        </is>
      </c>
      <c r="E1778" s="301" t="inlineStr">
        <is>
          <t>賣</t>
        </is>
      </c>
      <c r="F1778" s="300" t="inlineStr">
        <is>
          <t>-</t>
        </is>
      </c>
      <c r="G1778" s="741" t="n">
        <v>1</v>
      </c>
      <c r="H1778" s="741" t="n">
        <v>9633</v>
      </c>
      <c r="I1778" s="741" t="n">
        <v>0</v>
      </c>
      <c r="J1778" s="742" t="n">
        <v>23</v>
      </c>
      <c r="K1778" s="742" t="n">
        <v>10</v>
      </c>
      <c r="L1778" s="742">
        <f>IF(B1778="TXO",I1778-SUM(J1778:K1778),IF(B1778="FITX",IF(D1778="新倉",-SUM(J1778:K1778),IF(E1778="賣",(H1778-H1777)*G1778*200-SUM(J1778:K1778),(H1777-H1778)*G1778*200-SUM(J1778:K1778))),IF(D1778="新倉",-SUM(J1778:K1778),IF(E1778="賣",(H1778-H1777)*G1778*50-SUM(J1778:K1778),(H1777-H1778)*G1778*50-SUM(J1778:K1778)))))</f>
        <v/>
      </c>
      <c r="M1778" s="743">
        <f>L1778</f>
        <v/>
      </c>
      <c r="N1778" s="686">
        <f>IF(B1778="TXO","",IF(D1778="新倉","",IF(E1778="賣",(H1778-H1777)*G1778,(H1777-H1778)*G1778)))</f>
        <v/>
      </c>
      <c r="O1778" s="226" t="n">
        <v>0</v>
      </c>
      <c r="P1778" s="667" t="n"/>
      <c r="Q1778" s="297" t="inlineStr">
        <is>
          <t>技法: 3/3 買進一口</t>
        </is>
      </c>
      <c r="R1778" s="249" t="inlineStr">
        <is>
          <t>Yes</t>
        </is>
      </c>
      <c r="S1778" s="249" t="inlineStr">
        <is>
          <t>Yes</t>
        </is>
      </c>
      <c r="T1778" s="61">
        <f>IF(AND(R1778="Yes",S1778&lt;&gt;"Yes",L1778&gt;0,B1778&lt;&gt;"TXO"),L1778,"")</f>
        <v/>
      </c>
      <c r="U1778" s="61">
        <f>IF(AND(R1778="Yes",S1778&lt;&gt;"Yes",L1778&lt;0,B1778&lt;&gt;"TXO"),L1778,"")</f>
        <v/>
      </c>
      <c r="V1778" s="61">
        <f>IF(AND(R1778="",S1778&lt;&gt;"Yes",L1778&gt;0,B1778&lt;&gt;"TXO"),L1778,"")</f>
        <v/>
      </c>
      <c r="W1778" s="61">
        <f>IF(AND(R1778="",S1778&lt;&gt;"Yes",L1778&lt;0,B1778&lt;&gt;"TXO"),L1778,"")</f>
        <v/>
      </c>
      <c r="X1778" s="226">
        <f>IF(AND(R1778="Yes",S1778="Yes",L1778&gt;0,B1778&lt;&gt;"TXO"),L1778,"")</f>
        <v/>
      </c>
      <c r="Y1778" s="226">
        <f>IF(AND(R1778="Yes",S1778="Yes",L1778&lt;0,B1778&lt;&gt;"TXO"),L1778,"")</f>
        <v/>
      </c>
      <c r="Z1778" s="226">
        <f>IF(AND(R1778="",S1778="Yes",L1778&gt;0,B1778&lt;&gt;"TXO"),L1778,"")</f>
        <v/>
      </c>
      <c r="AA1778" s="226">
        <f>IF(AND(R1778="",S1778="Yes",L1778&lt;0,B1778&lt;&gt;"TXO"),L1778,"")</f>
        <v/>
      </c>
    </row>
    <row r="1779" hidden="1" outlineLevel="2" collapsed="1" ht="17.25" customHeight="1" thickBot="1">
      <c r="A1779" s="740" t="n">
        <v>43440</v>
      </c>
      <c r="B1779" s="299" t="inlineStr">
        <is>
          <t>FIMTX</t>
        </is>
      </c>
      <c r="C1779" s="300" t="inlineStr">
        <is>
          <t>小指12</t>
        </is>
      </c>
      <c r="D1779" s="300" t="inlineStr">
        <is>
          <t>平倉</t>
        </is>
      </c>
      <c r="E1779" s="301" t="inlineStr">
        <is>
          <t>買</t>
        </is>
      </c>
      <c r="F1779" s="300" t="inlineStr">
        <is>
          <t>-</t>
        </is>
      </c>
      <c r="G1779" s="741" t="n">
        <v>1</v>
      </c>
      <c r="H1779" s="741" t="n">
        <v>9626</v>
      </c>
      <c r="I1779" s="741" t="n">
        <v>0</v>
      </c>
      <c r="J1779" s="742" t="n">
        <v>23</v>
      </c>
      <c r="K1779" s="742" t="n">
        <v>10</v>
      </c>
      <c r="L1779" s="742">
        <f>IF(B1779="TXO",I1779-SUM(J1779:K1779),IF(B1779="FITX",IF(D1779="新倉",-SUM(J1779:K1779),IF(E1779="賣",(H1779-H1778)*G1779*200-SUM(J1779:K1779),(H1778-H1779)*G1779*200-SUM(J1779:K1779))),IF(D1779="新倉",-SUM(J1779:K1779),IF(E1779="賣",(H1779-H1778)*G1779*50-SUM(J1779:K1779),(H1778-H1779)*G1779*50-SUM(J1779:K1779)))))</f>
        <v/>
      </c>
      <c r="M1779" s="743">
        <f>L1779</f>
        <v/>
      </c>
      <c r="N1779" s="686">
        <f>IF(B1779="TXO","",IF(D1779="新倉","",IF(E1779="賣",(H1779-H1778)*G1779,(H1778-H1779)*G1779)))</f>
        <v/>
      </c>
      <c r="O1779" s="226" t="n">
        <v>0</v>
      </c>
      <c r="P1779" s="667" t="n"/>
      <c r="Q1779" s="249" t="inlineStr">
        <is>
          <t>技法: 刺補</t>
        </is>
      </c>
      <c r="R1779" s="249" t="inlineStr">
        <is>
          <t>Yes</t>
        </is>
      </c>
      <c r="S1779" s="249" t="inlineStr">
        <is>
          <t>Yes</t>
        </is>
      </c>
      <c r="T1779" s="61">
        <f>IF(AND(R1779="Yes",S1779&lt;&gt;"Yes",L1779&gt;0,B1779&lt;&gt;"TXO"),L1779,"")</f>
        <v/>
      </c>
      <c r="U1779" s="61">
        <f>IF(AND(R1779="Yes",S1779&lt;&gt;"Yes",L1779&lt;0,B1779&lt;&gt;"TXO"),L1779,"")</f>
        <v/>
      </c>
      <c r="V1779" s="61">
        <f>IF(AND(R1779="",S1779&lt;&gt;"Yes",L1779&gt;0,B1779&lt;&gt;"TXO"),L1779,"")</f>
        <v/>
      </c>
      <c r="W1779" s="61">
        <f>IF(AND(R1779="",S1779&lt;&gt;"Yes",L1779&lt;0,B1779&lt;&gt;"TXO"),L1779,"")</f>
        <v/>
      </c>
      <c r="X1779" s="226">
        <f>IF(AND(R1779="Yes",S1779="Yes",L1779&gt;0,B1779&lt;&gt;"TXO"),L1779,"")</f>
        <v/>
      </c>
      <c r="Y1779" s="226">
        <f>IF(AND(R1779="Yes",S1779="Yes",L1779&lt;0,B1779&lt;&gt;"TXO"),L1779,"")</f>
        <v/>
      </c>
      <c r="Z1779" s="226">
        <f>IF(AND(R1779="",S1779="Yes",L1779&gt;0,B1779&lt;&gt;"TXO"),L1779,"")</f>
        <v/>
      </c>
      <c r="AA1779" s="226">
        <f>IF(AND(R1779="",S1779="Yes",L1779&lt;0,B1779&lt;&gt;"TXO"),L1779,"")</f>
        <v/>
      </c>
    </row>
    <row r="1780" hidden="1" outlineLevel="2" collapsed="1" ht="17.25" customHeight="1" thickBot="1">
      <c r="A1780" s="740" t="n">
        <v>43440</v>
      </c>
      <c r="B1780" s="299" t="inlineStr">
        <is>
          <t>FIMTX</t>
        </is>
      </c>
      <c r="C1780" s="300" t="inlineStr">
        <is>
          <t>小指12</t>
        </is>
      </c>
      <c r="D1780" s="300" t="inlineStr">
        <is>
          <t>新倉</t>
        </is>
      </c>
      <c r="E1780" s="301" t="inlineStr">
        <is>
          <t>賣</t>
        </is>
      </c>
      <c r="F1780" s="300" t="inlineStr">
        <is>
          <t>-</t>
        </is>
      </c>
      <c r="G1780" s="741" t="n">
        <v>1</v>
      </c>
      <c r="H1780" s="741" t="n">
        <v>9633</v>
      </c>
      <c r="I1780" s="741" t="n">
        <v>0</v>
      </c>
      <c r="J1780" s="742" t="n">
        <v>23</v>
      </c>
      <c r="K1780" s="742" t="n">
        <v>10</v>
      </c>
      <c r="L1780" s="742">
        <f>IF(B1780="TXO",I1780-SUM(J1780:K1780),IF(B1780="FITX",IF(D1780="新倉",-SUM(J1780:K1780),IF(E1780="賣",(H1780-H1779)*G1780*200-SUM(J1780:K1780),(H1779-H1780)*G1780*200-SUM(J1780:K1780))),IF(D1780="新倉",-SUM(J1780:K1780),IF(E1780="賣",(H1780-H1779)*G1780*50-SUM(J1780:K1780),(H1779-H1780)*G1780*50-SUM(J1780:K1780)))))</f>
        <v/>
      </c>
      <c r="M1780" s="743">
        <f>L1780</f>
        <v/>
      </c>
      <c r="N1780" s="686">
        <f>IF(B1780="TXO","",IF(D1780="新倉","",IF(E1780="賣",(H1780-H1779)*G1780,(H1779-H1780)*G1780)))</f>
        <v/>
      </c>
      <c r="O1780" s="226" t="n">
        <v>0</v>
      </c>
      <c r="P1780" s="667" t="n"/>
      <c r="Q1780" s="297" t="inlineStr">
        <is>
          <t>技法: 3/3 買進一口</t>
        </is>
      </c>
      <c r="R1780" s="249" t="inlineStr">
        <is>
          <t>Yes</t>
        </is>
      </c>
      <c r="S1780" s="249" t="inlineStr">
        <is>
          <t>Yes</t>
        </is>
      </c>
      <c r="T1780" s="61">
        <f>IF(AND(R1780="Yes",S1780&lt;&gt;"Yes",L1780&gt;0,B1780&lt;&gt;"TXO"),L1780,"")</f>
        <v/>
      </c>
      <c r="U1780" s="61">
        <f>IF(AND(R1780="Yes",S1780&lt;&gt;"Yes",L1780&lt;0,B1780&lt;&gt;"TXO"),L1780,"")</f>
        <v/>
      </c>
      <c r="V1780" s="61">
        <f>IF(AND(R1780="",S1780&lt;&gt;"Yes",L1780&gt;0,B1780&lt;&gt;"TXO"),L1780,"")</f>
        <v/>
      </c>
      <c r="W1780" s="61">
        <f>IF(AND(R1780="",S1780&lt;&gt;"Yes",L1780&lt;0,B1780&lt;&gt;"TXO"),L1780,"")</f>
        <v/>
      </c>
      <c r="X1780" s="226">
        <f>IF(AND(R1780="Yes",S1780="Yes",L1780&gt;0,B1780&lt;&gt;"TXO"),L1780,"")</f>
        <v/>
      </c>
      <c r="Y1780" s="226">
        <f>IF(AND(R1780="Yes",S1780="Yes",L1780&lt;0,B1780&lt;&gt;"TXO"),L1780,"")</f>
        <v/>
      </c>
      <c r="Z1780" s="226">
        <f>IF(AND(R1780="",S1780="Yes",L1780&gt;0,B1780&lt;&gt;"TXO"),L1780,"")</f>
        <v/>
      </c>
      <c r="AA1780" s="226">
        <f>IF(AND(R1780="",S1780="Yes",L1780&lt;0,B1780&lt;&gt;"TXO"),L1780,"")</f>
        <v/>
      </c>
    </row>
    <row r="1781" hidden="1" outlineLevel="2" collapsed="1" ht="17.25" customHeight="1" thickBot="1">
      <c r="A1781" s="740" t="n">
        <v>43440</v>
      </c>
      <c r="B1781" s="299" t="inlineStr">
        <is>
          <t>FIMTX</t>
        </is>
      </c>
      <c r="C1781" s="300" t="inlineStr">
        <is>
          <t>小指12</t>
        </is>
      </c>
      <c r="D1781" s="300" t="inlineStr">
        <is>
          <t>平倉</t>
        </is>
      </c>
      <c r="E1781" s="301" t="inlineStr">
        <is>
          <t>買</t>
        </is>
      </c>
      <c r="F1781" s="300" t="inlineStr">
        <is>
          <t>-</t>
        </is>
      </c>
      <c r="G1781" s="741" t="n">
        <v>1</v>
      </c>
      <c r="H1781" s="741" t="n">
        <v>9614</v>
      </c>
      <c r="I1781" s="741" t="n">
        <v>0</v>
      </c>
      <c r="J1781" s="742" t="n">
        <v>23</v>
      </c>
      <c r="K1781" s="742" t="n">
        <v>10</v>
      </c>
      <c r="L1781" s="742">
        <f>IF(B1781="TXO",I1781-SUM(J1781:K1781),IF(B1781="FITX",IF(D1781="新倉",-SUM(J1781:K1781),IF(E1781="賣",(H1781-H1780)*G1781*200-SUM(J1781:K1781),(H1780-H1781)*G1781*200-SUM(J1781:K1781))),IF(D1781="新倉",-SUM(J1781:K1781),IF(E1781="賣",(H1781-H1780)*G1781*50-SUM(J1781:K1781),(H1780-H1781)*G1781*50-SUM(J1781:K1781)))))</f>
        <v/>
      </c>
      <c r="M1781" s="743">
        <f>L1781</f>
        <v/>
      </c>
      <c r="N1781" s="686">
        <f>IF(B1781="TXO","",IF(D1781="新倉","",IF(E1781="賣",(H1781-H1780)*G1781,(H1780-H1781)*G1781)))</f>
        <v/>
      </c>
      <c r="O1781" s="226" t="n">
        <v>0</v>
      </c>
      <c r="P1781" s="667" t="n"/>
      <c r="Q1781" s="249" t="inlineStr">
        <is>
          <t>技法: 刺補</t>
        </is>
      </c>
      <c r="R1781" s="249" t="inlineStr">
        <is>
          <t>Yes</t>
        </is>
      </c>
      <c r="S1781" s="249" t="inlineStr">
        <is>
          <t>Yes</t>
        </is>
      </c>
      <c r="T1781" s="61">
        <f>IF(AND(R1781="Yes",S1781&lt;&gt;"Yes",L1781&gt;0,B1781&lt;&gt;"TXO"),L1781,"")</f>
        <v/>
      </c>
      <c r="U1781" s="61">
        <f>IF(AND(R1781="Yes",S1781&lt;&gt;"Yes",L1781&lt;0,B1781&lt;&gt;"TXO"),L1781,"")</f>
        <v/>
      </c>
      <c r="V1781" s="61">
        <f>IF(AND(R1781="",S1781&lt;&gt;"Yes",L1781&gt;0,B1781&lt;&gt;"TXO"),L1781,"")</f>
        <v/>
      </c>
      <c r="W1781" s="61">
        <f>IF(AND(R1781="",S1781&lt;&gt;"Yes",L1781&lt;0,B1781&lt;&gt;"TXO"),L1781,"")</f>
        <v/>
      </c>
      <c r="X1781" s="226">
        <f>IF(AND(R1781="Yes",S1781="Yes",L1781&gt;0,B1781&lt;&gt;"TXO"),L1781,"")</f>
        <v/>
      </c>
      <c r="Y1781" s="226">
        <f>IF(AND(R1781="Yes",S1781="Yes",L1781&lt;0,B1781&lt;&gt;"TXO"),L1781,"")</f>
        <v/>
      </c>
      <c r="Z1781" s="226">
        <f>IF(AND(R1781="",S1781="Yes",L1781&gt;0,B1781&lt;&gt;"TXO"),L1781,"")</f>
        <v/>
      </c>
      <c r="AA1781" s="226">
        <f>IF(AND(R1781="",S1781="Yes",L1781&lt;0,B1781&lt;&gt;"TXO"),L1781,"")</f>
        <v/>
      </c>
    </row>
    <row r="1782" hidden="1" outlineLevel="2" collapsed="1" ht="17.25" customHeight="1" thickBot="1">
      <c r="A1782" s="740" t="n">
        <v>43440</v>
      </c>
      <c r="B1782" s="299" t="inlineStr">
        <is>
          <t>FIMTX</t>
        </is>
      </c>
      <c r="C1782" s="300" t="inlineStr">
        <is>
          <t>小指12</t>
        </is>
      </c>
      <c r="D1782" s="300" t="inlineStr">
        <is>
          <t>新倉</t>
        </is>
      </c>
      <c r="E1782" s="301" t="inlineStr">
        <is>
          <t>賣</t>
        </is>
      </c>
      <c r="F1782" s="300" t="inlineStr">
        <is>
          <t>-</t>
        </is>
      </c>
      <c r="G1782" s="741" t="n">
        <v>1</v>
      </c>
      <c r="H1782" s="741" t="n">
        <v>9645</v>
      </c>
      <c r="I1782" s="741" t="n">
        <v>0</v>
      </c>
      <c r="J1782" s="742" t="n">
        <v>23</v>
      </c>
      <c r="K1782" s="742" t="n">
        <v>10</v>
      </c>
      <c r="L1782" s="742">
        <f>IF(B1782="TXO",I1782-SUM(J1782:K1782),IF(B1782="FITX",IF(D1782="新倉",-SUM(J1782:K1782),IF(E1782="賣",(H1782-H1781)*G1782*200-SUM(J1782:K1782),(H1781-H1782)*G1782*200-SUM(J1782:K1782))),IF(D1782="新倉",-SUM(J1782:K1782),IF(E1782="賣",(H1782-H1781)*G1782*50-SUM(J1782:K1782),(H1781-H1782)*G1782*50-SUM(J1782:K1782)))))</f>
        <v/>
      </c>
      <c r="M1782" s="743">
        <f>L1782</f>
        <v/>
      </c>
      <c r="N1782" s="686">
        <f>IF(B1782="TXO","",IF(D1782="新倉","",IF(E1782="賣",(H1782-H1781)*G1782,(H1781-H1782)*G1782)))</f>
        <v/>
      </c>
      <c r="O1782" s="226" t="n">
        <v>0</v>
      </c>
      <c r="P1782" s="667" t="n"/>
      <c r="Q1782" s="297" t="inlineStr">
        <is>
          <t>技法: 3/3 買進一口</t>
        </is>
      </c>
      <c r="R1782" s="249" t="inlineStr">
        <is>
          <t>Yes</t>
        </is>
      </c>
      <c r="S1782" s="249" t="inlineStr">
        <is>
          <t>Yes</t>
        </is>
      </c>
      <c r="T1782" s="61">
        <f>IF(AND(R1782="Yes",S1782&lt;&gt;"Yes",L1782&gt;0,B1782&lt;&gt;"TXO"),L1782,"")</f>
        <v/>
      </c>
      <c r="U1782" s="61">
        <f>IF(AND(R1782="Yes",S1782&lt;&gt;"Yes",L1782&lt;0,B1782&lt;&gt;"TXO"),L1782,"")</f>
        <v/>
      </c>
      <c r="V1782" s="61">
        <f>IF(AND(R1782="",S1782&lt;&gt;"Yes",L1782&gt;0,B1782&lt;&gt;"TXO"),L1782,"")</f>
        <v/>
      </c>
      <c r="W1782" s="61">
        <f>IF(AND(R1782="",S1782&lt;&gt;"Yes",L1782&lt;0,B1782&lt;&gt;"TXO"),L1782,"")</f>
        <v/>
      </c>
      <c r="X1782" s="226">
        <f>IF(AND(R1782="Yes",S1782="Yes",L1782&gt;0,B1782&lt;&gt;"TXO"),L1782,"")</f>
        <v/>
      </c>
      <c r="Y1782" s="226">
        <f>IF(AND(R1782="Yes",S1782="Yes",L1782&lt;0,B1782&lt;&gt;"TXO"),L1782,"")</f>
        <v/>
      </c>
      <c r="Z1782" s="226">
        <f>IF(AND(R1782="",S1782="Yes",L1782&gt;0,B1782&lt;&gt;"TXO"),L1782,"")</f>
        <v/>
      </c>
      <c r="AA1782" s="226">
        <f>IF(AND(R1782="",S1782="Yes",L1782&lt;0,B1782&lt;&gt;"TXO"),L1782,"")</f>
        <v/>
      </c>
    </row>
    <row r="1783" hidden="1" outlineLevel="2" collapsed="1" ht="17.25" customHeight="1" thickBot="1">
      <c r="A1783" s="740" t="n">
        <v>43440</v>
      </c>
      <c r="B1783" s="299" t="inlineStr">
        <is>
          <t>FIMTX</t>
        </is>
      </c>
      <c r="C1783" s="300" t="inlineStr">
        <is>
          <t>小指12</t>
        </is>
      </c>
      <c r="D1783" s="300" t="inlineStr">
        <is>
          <t>平倉</t>
        </is>
      </c>
      <c r="E1783" s="301" t="inlineStr">
        <is>
          <t>買</t>
        </is>
      </c>
      <c r="F1783" s="300" t="inlineStr">
        <is>
          <t>-</t>
        </is>
      </c>
      <c r="G1783" s="741" t="n">
        <v>1</v>
      </c>
      <c r="H1783" s="741" t="n">
        <v>9602</v>
      </c>
      <c r="I1783" s="741" t="n">
        <v>0</v>
      </c>
      <c r="J1783" s="742" t="n">
        <v>23</v>
      </c>
      <c r="K1783" s="742" t="n">
        <v>10</v>
      </c>
      <c r="L1783" s="742">
        <f>IF(B1783="TXO",I1783-SUM(J1783:K1783),IF(B1783="FITX",IF(D1783="新倉",-SUM(J1783:K1783),IF(E1783="賣",(H1783-H1782)*G1783*200-SUM(J1783:K1783),(H1782-H1783)*G1783*200-SUM(J1783:K1783))),IF(D1783="新倉",-SUM(J1783:K1783),IF(E1783="賣",(H1783-H1782)*G1783*50-SUM(J1783:K1783),(H1782-H1783)*G1783*50-SUM(J1783:K1783)))))</f>
        <v/>
      </c>
      <c r="M1783" s="743">
        <f>L1783</f>
        <v/>
      </c>
      <c r="N1783" s="686">
        <f>IF(B1783="TXO","",IF(D1783="新倉","",IF(E1783="賣",(H1783-H1782)*G1783,(H1782-H1783)*G1783)))</f>
        <v/>
      </c>
      <c r="O1783" s="226" t="n">
        <v>0</v>
      </c>
      <c r="P1783" s="667" t="n"/>
      <c r="Q1783" s="249" t="inlineStr">
        <is>
          <t>技法: 刺補</t>
        </is>
      </c>
      <c r="R1783" s="249" t="inlineStr">
        <is>
          <t>Yes</t>
        </is>
      </c>
      <c r="S1783" s="249" t="inlineStr">
        <is>
          <t>Yes</t>
        </is>
      </c>
      <c r="T1783" s="61">
        <f>IF(AND(R1783="Yes",S1783&lt;&gt;"Yes",L1783&gt;0,B1783&lt;&gt;"TXO"),L1783,"")</f>
        <v/>
      </c>
      <c r="U1783" s="61">
        <f>IF(AND(R1783="Yes",S1783&lt;&gt;"Yes",L1783&lt;0,B1783&lt;&gt;"TXO"),L1783,"")</f>
        <v/>
      </c>
      <c r="V1783" s="61">
        <f>IF(AND(R1783="",S1783&lt;&gt;"Yes",L1783&gt;0,B1783&lt;&gt;"TXO"),L1783,"")</f>
        <v/>
      </c>
      <c r="W1783" s="61">
        <f>IF(AND(R1783="",S1783&lt;&gt;"Yes",L1783&lt;0,B1783&lt;&gt;"TXO"),L1783,"")</f>
        <v/>
      </c>
      <c r="X1783" s="226">
        <f>IF(AND(R1783="Yes",S1783="Yes",L1783&gt;0,B1783&lt;&gt;"TXO"),L1783,"")</f>
        <v/>
      </c>
      <c r="Y1783" s="226">
        <f>IF(AND(R1783="Yes",S1783="Yes",L1783&lt;0,B1783&lt;&gt;"TXO"),L1783,"")</f>
        <v/>
      </c>
      <c r="Z1783" s="226">
        <f>IF(AND(R1783="",S1783="Yes",L1783&gt;0,B1783&lt;&gt;"TXO"),L1783,"")</f>
        <v/>
      </c>
      <c r="AA1783" s="226">
        <f>IF(AND(R1783="",S1783="Yes",L1783&lt;0,B1783&lt;&gt;"TXO"),L1783,"")</f>
        <v/>
      </c>
    </row>
    <row r="1784" hidden="1" outlineLevel="2" collapsed="1" ht="17.25" customHeight="1" thickBot="1">
      <c r="A1784" s="740" t="n">
        <v>43440</v>
      </c>
      <c r="B1784" s="299" t="inlineStr">
        <is>
          <t>TXO</t>
        </is>
      </c>
      <c r="C1784" s="300" t="inlineStr">
        <is>
          <t>TXOW2 12 9300  P</t>
        </is>
      </c>
      <c r="D1784" s="300" t="inlineStr">
        <is>
          <t>新倉</t>
        </is>
      </c>
      <c r="E1784" s="301" t="inlineStr">
        <is>
          <t>買</t>
        </is>
      </c>
      <c r="F1784" s="300" t="inlineStr">
        <is>
          <t>-</t>
        </is>
      </c>
      <c r="G1784" s="741" t="n">
        <v>1</v>
      </c>
      <c r="H1784" s="741" t="n">
        <v>28</v>
      </c>
      <c r="I1784" s="741" t="n">
        <v>-1400</v>
      </c>
      <c r="J1784" s="742" t="n">
        <v>18</v>
      </c>
      <c r="K1784" s="742" t="n">
        <v>1</v>
      </c>
      <c r="L1784" s="742">
        <f>IF(B1784="TXO",I1784-SUM(J1784:K1784),IF(B1784="FITX",IF(D1784="新倉",-SUM(J1784:K1784),IF(E1784="賣",(H1784-H1783)*G1784*200-SUM(J1784:K1784),(H1783-H1784)*G1784*200-SUM(J1784:K1784))),IF(D1784="新倉",-SUM(J1784:K1784),IF(E1784="賣",(H1784-H1783)*G1784*50-SUM(J1784:K1784),(H1783-H1784)*G1784*50-SUM(J1784:K1784)))))</f>
        <v/>
      </c>
      <c r="M1784" s="743">
        <f>L1784</f>
        <v/>
      </c>
      <c r="N1784" s="686">
        <f>IF(B1784="TXO","",IF(D1784="新倉","",IF(E1784="賣",(H1784-H1783)*G1784,(H1783-H1784)*G1784)))</f>
        <v/>
      </c>
      <c r="O1784" s="226" t="n">
        <v>0</v>
      </c>
      <c r="P1784" s="667">
        <f>SUM(L1784)</f>
        <v/>
      </c>
      <c r="Q1784" s="249" t="inlineStr">
        <is>
          <t>技法: 刺補</t>
        </is>
      </c>
      <c r="R1784" s="249" t="inlineStr">
        <is>
          <t>Yes</t>
        </is>
      </c>
      <c r="S1784" s="249" t="inlineStr">
        <is>
          <t>Yes</t>
        </is>
      </c>
      <c r="T1784" s="61">
        <f>IF(AND(R1784="Yes",S1784&lt;&gt;"Yes",L1784&gt;0,B1784&lt;&gt;"TXO"),L1784,"")</f>
        <v/>
      </c>
      <c r="U1784" s="61">
        <f>IF(AND(R1784="Yes",S1784&lt;&gt;"Yes",L1784&lt;0,B1784&lt;&gt;"TXO"),L1784,"")</f>
        <v/>
      </c>
      <c r="V1784" s="61">
        <f>IF(AND(R1784="",S1784&lt;&gt;"Yes",L1784&gt;0,B1784&lt;&gt;"TXO"),L1784,"")</f>
        <v/>
      </c>
      <c r="W1784" s="61">
        <f>IF(AND(R1784="",S1784&lt;&gt;"Yes",L1784&lt;0,B1784&lt;&gt;"TXO"),L1784,"")</f>
        <v/>
      </c>
      <c r="X1784" s="226">
        <f>IF(AND(R1784="Yes",S1784="Yes",L1784&gt;0,B1784&lt;&gt;"TXO"),L1784,"")</f>
        <v/>
      </c>
      <c r="Y1784" s="226">
        <f>IF(AND(R1784="Yes",S1784="Yes",L1784&lt;0,B1784&lt;&gt;"TXO"),L1784,"")</f>
        <v/>
      </c>
      <c r="Z1784" s="226">
        <f>IF(AND(R1784="",S1784="Yes",L1784&gt;0,B1784&lt;&gt;"TXO"),L1784,"")</f>
        <v/>
      </c>
      <c r="AA1784" s="226">
        <f>IF(AND(R1784="",S1784="Yes",L1784&lt;0,B1784&lt;&gt;"TXO"),L1784,"")</f>
        <v/>
      </c>
    </row>
    <row r="1785" hidden="1" outlineLevel="1" ht="33.75" customHeight="1" thickBot="1">
      <c r="A1785" s="696" t="n">
        <v>43441</v>
      </c>
      <c r="B1785" s="234" t="inlineStr">
        <is>
          <t>FIMTX</t>
        </is>
      </c>
      <c r="C1785" s="229" t="inlineStr">
        <is>
          <t>小指12</t>
        </is>
      </c>
      <c r="D1785" s="229" t="inlineStr">
        <is>
          <t>新倉</t>
        </is>
      </c>
      <c r="E1785" s="257" t="inlineStr">
        <is>
          <t>賣</t>
        </is>
      </c>
      <c r="F1785" s="229" t="inlineStr">
        <is>
          <t>-</t>
        </is>
      </c>
      <c r="G1785" s="697" t="n">
        <v>2</v>
      </c>
      <c r="H1785" s="697" t="n">
        <v>9715</v>
      </c>
      <c r="I1785" s="697" t="n">
        <v>0</v>
      </c>
      <c r="J1785" s="585" t="n">
        <v>46</v>
      </c>
      <c r="K1785" s="585" t="n">
        <v>20</v>
      </c>
      <c r="L1785" s="585">
        <f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/>
      </c>
      <c r="M1785" s="699">
        <f>L1785</f>
        <v/>
      </c>
      <c r="N1785" s="686">
        <f>IF(B1785="TXO","",IF(D1785="新倉","",IF(E1785="賣",(H1785-H1784)*G1785,(H1784-H1785)*G1785)))</f>
        <v/>
      </c>
      <c r="O1785" s="226" t="n">
        <v>0</v>
      </c>
      <c r="P1785" s="667">
        <f>SUM(L1785:L1792)</f>
        <v/>
      </c>
      <c r="Q1785" s="249" t="inlineStr">
        <is>
          <t>技法: 籌碼三弱，跌破開盤低點下空單</t>
        </is>
      </c>
      <c r="R1785" s="249" t="inlineStr">
        <is>
          <t>Yes</t>
        </is>
      </c>
      <c r="S1785" s="249" t="n"/>
      <c r="T1785" s="61">
        <f>IF(AND(R1785="Yes",S1785&lt;&gt;"Yes",L1785&gt;0,B1785&lt;&gt;"TXO"),L1785,"")</f>
        <v/>
      </c>
      <c r="U1785" s="61">
        <f>IF(AND(R1785="Yes",S1785&lt;&gt;"Yes",L1785&lt;0,B1785&lt;&gt;"TXO"),L1785,"")</f>
        <v/>
      </c>
      <c r="V1785" s="61">
        <f>IF(AND(R1785="",S1785&lt;&gt;"Yes",L1785&gt;0,B1785&lt;&gt;"TXO"),L1785,"")</f>
        <v/>
      </c>
      <c r="W1785" s="61">
        <f>IF(AND(R1785="",S1785&lt;&gt;"Yes",L1785&lt;0,B1785&lt;&gt;"TXO"),L1785,"")</f>
        <v/>
      </c>
      <c r="X1785" s="226">
        <f>IF(AND(R1785="Yes",S1785="Yes",L1785&gt;0,B1785&lt;&gt;"TXO"),L1785,"")</f>
        <v/>
      </c>
      <c r="Y1785" s="226">
        <f>IF(AND(R1785="Yes",S1785="Yes",L1785&lt;0,B1785&lt;&gt;"TXO"),L1785,"")</f>
        <v/>
      </c>
      <c r="Z1785" s="226">
        <f>IF(AND(R1785="",S1785="Yes",L1785&gt;0,B1785&lt;&gt;"TXO"),L1785,"")</f>
        <v/>
      </c>
      <c r="AA1785" s="226">
        <f>IF(AND(R1785="",S1785="Yes",L1785&lt;0,B1785&lt;&gt;"TXO"),L1785,"")</f>
        <v/>
      </c>
    </row>
    <row r="1786" hidden="1" outlineLevel="2" collapsed="1" ht="17.25" customHeight="1" thickBot="1">
      <c r="A1786" s="696" t="n">
        <v>43441</v>
      </c>
      <c r="B1786" s="234" t="inlineStr">
        <is>
          <t>FIMTX</t>
        </is>
      </c>
      <c r="C1786" s="229" t="inlineStr">
        <is>
          <t>小指12</t>
        </is>
      </c>
      <c r="D1786" s="229" t="inlineStr">
        <is>
          <t>平倉</t>
        </is>
      </c>
      <c r="E1786" s="257" t="inlineStr">
        <is>
          <t>買</t>
        </is>
      </c>
      <c r="F1786" s="229" t="inlineStr">
        <is>
          <t>-</t>
        </is>
      </c>
      <c r="G1786" s="697" t="n">
        <v>2</v>
      </c>
      <c r="H1786" s="697" t="n">
        <v>9730</v>
      </c>
      <c r="I1786" s="697" t="n">
        <v>0</v>
      </c>
      <c r="J1786" s="585" t="n">
        <v>46</v>
      </c>
      <c r="K1786" s="585" t="n">
        <v>20</v>
      </c>
      <c r="L1786" s="585">
        <f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/>
      </c>
      <c r="M1786" s="699">
        <f>L1786</f>
        <v/>
      </c>
      <c r="N1786" s="686">
        <f>IF(B1786="TXO","",IF(D1786="新倉","",IF(E1786="賣",(H1786-H1785)*G1786,(H1785-H1786)*G1786)))</f>
        <v/>
      </c>
      <c r="O1786" s="226" t="n">
        <v>0</v>
      </c>
      <c r="P1786" s="667" t="n"/>
      <c r="Q1786" s="249" t="inlineStr">
        <is>
          <t>15點停損</t>
        </is>
      </c>
      <c r="R1786" s="249" t="inlineStr">
        <is>
          <t>Yes</t>
        </is>
      </c>
      <c r="S1786" s="249" t="n"/>
      <c r="T1786" s="61">
        <f>IF(AND(R1786="Yes",S1786&lt;&gt;"Yes",L1786&gt;0,B1786&lt;&gt;"TXO"),L1786,"")</f>
        <v/>
      </c>
      <c r="U1786" s="61">
        <f>IF(AND(R1786="Yes",S1786&lt;&gt;"Yes",L1786&lt;0,B1786&lt;&gt;"TXO"),L1786,"")</f>
        <v/>
      </c>
      <c r="V1786" s="61">
        <f>IF(AND(R1786="",S1786&lt;&gt;"Yes",L1786&gt;0,B1786&lt;&gt;"TXO"),L1786,"")</f>
        <v/>
      </c>
      <c r="W1786" s="61">
        <f>IF(AND(R1786="",S1786&lt;&gt;"Yes",L1786&lt;0,B1786&lt;&gt;"TXO"),L1786,"")</f>
        <v/>
      </c>
      <c r="X1786" s="226">
        <f>IF(AND(R1786="Yes",S1786="Yes",L1786&gt;0,B1786&lt;&gt;"TXO"),L1786,"")</f>
        <v/>
      </c>
      <c r="Y1786" s="226">
        <f>IF(AND(R1786="Yes",S1786="Yes",L1786&lt;0,B1786&lt;&gt;"TXO"),L1786,"")</f>
        <v/>
      </c>
      <c r="Z1786" s="226">
        <f>IF(AND(R1786="",S1786="Yes",L1786&gt;0,B1786&lt;&gt;"TXO"),L1786,"")</f>
        <v/>
      </c>
      <c r="AA1786" s="226">
        <f>IF(AND(R1786="",S1786="Yes",L1786&lt;0,B1786&lt;&gt;"TXO"),L1786,"")</f>
        <v/>
      </c>
    </row>
    <row r="1787" hidden="1" outlineLevel="2" collapsed="1" ht="17.25" customHeight="1" thickBot="1">
      <c r="A1787" s="696" t="n">
        <v>43441</v>
      </c>
      <c r="B1787" s="234" t="inlineStr">
        <is>
          <t>FIMTX</t>
        </is>
      </c>
      <c r="C1787" s="229" t="inlineStr">
        <is>
          <t>小指12</t>
        </is>
      </c>
      <c r="D1787" s="229" t="inlineStr">
        <is>
          <t>新倉</t>
        </is>
      </c>
      <c r="E1787" s="257" t="inlineStr">
        <is>
          <t>賣</t>
        </is>
      </c>
      <c r="F1787" s="229" t="inlineStr">
        <is>
          <t>-</t>
        </is>
      </c>
      <c r="G1787" s="697" t="n">
        <v>1</v>
      </c>
      <c r="H1787" s="697" t="n">
        <v>9722</v>
      </c>
      <c r="I1787" s="697" t="n">
        <v>0</v>
      </c>
      <c r="J1787" s="585" t="n">
        <v>23</v>
      </c>
      <c r="K1787" s="585" t="n">
        <v>10</v>
      </c>
      <c r="L1787" s="585">
        <f>IF(B1787="TXO",I1787-SUM(J1787:K1787),IF(B1787="FITX",IF(D1787="新倉",-SUM(J1787:K1787),IF(E1787="賣",(H1787-H1786)*G1787*200-SUM(J1787:K1787),(H1786-H1787)*G1787*200-SUM(J1787:K1787))),IF(D1787="新倉",-SUM(J1787:K1787),IF(E1787="賣",(H1787-H1786)*G1787*50-SUM(J1787:K1787),(H1786-H1787)*G1787*50-SUM(J1787:K1787)))))</f>
        <v/>
      </c>
      <c r="M1787" s="699">
        <f>L1787</f>
        <v/>
      </c>
      <c r="N1787" s="686">
        <f>IF(B1787="TXO","",IF(D1787="新倉","",IF(E1787="賣",(H1787-H1786)*G1787,(H1786-H1787)*G1787)))</f>
        <v/>
      </c>
      <c r="O1787" s="226" t="n">
        <v>0</v>
      </c>
      <c r="P1787" s="667" t="n"/>
      <c r="Q1787" s="297" t="inlineStr">
        <is>
          <t>技法: 3/3 買進一口</t>
        </is>
      </c>
      <c r="R1787" s="249" t="inlineStr">
        <is>
          <t>Yes</t>
        </is>
      </c>
      <c r="S1787" s="249" t="n"/>
      <c r="T1787" s="61">
        <f>IF(AND(R1787="Yes",S1787&lt;&gt;"Yes",L1787&gt;0,B1787&lt;&gt;"TXO"),L1787,"")</f>
        <v/>
      </c>
      <c r="U1787" s="61">
        <f>IF(AND(R1787="Yes",S1787&lt;&gt;"Yes",L1787&lt;0,B1787&lt;&gt;"TXO"),L1787,"")</f>
        <v/>
      </c>
      <c r="V1787" s="61">
        <f>IF(AND(R1787="",S1787&lt;&gt;"Yes",L1787&gt;0,B1787&lt;&gt;"TXO"),L1787,"")</f>
        <v/>
      </c>
      <c r="W1787" s="61">
        <f>IF(AND(R1787="",S1787&lt;&gt;"Yes",L1787&lt;0,B1787&lt;&gt;"TXO"),L1787,"")</f>
        <v/>
      </c>
      <c r="X1787" s="226">
        <f>IF(AND(R1787="Yes",S1787="Yes",L1787&gt;0,B1787&lt;&gt;"TXO"),L1787,"")</f>
        <v/>
      </c>
      <c r="Y1787" s="226">
        <f>IF(AND(R1787="Yes",S1787="Yes",L1787&lt;0,B1787&lt;&gt;"TXO"),L1787,"")</f>
        <v/>
      </c>
      <c r="Z1787" s="226">
        <f>IF(AND(R1787="",S1787="Yes",L1787&gt;0,B1787&lt;&gt;"TXO"),L1787,"")</f>
        <v/>
      </c>
      <c r="AA1787" s="226">
        <f>IF(AND(R1787="",S1787="Yes",L1787&lt;0,B1787&lt;&gt;"TXO"),L1787,"")</f>
        <v/>
      </c>
    </row>
    <row r="1788" hidden="1" outlineLevel="2" collapsed="1" ht="17.25" customHeight="1" thickBot="1">
      <c r="A1788" s="696" t="n">
        <v>43441</v>
      </c>
      <c r="B1788" s="234" t="inlineStr">
        <is>
          <t>FIMTX</t>
        </is>
      </c>
      <c r="C1788" s="229" t="inlineStr">
        <is>
          <t>小指12</t>
        </is>
      </c>
      <c r="D1788" s="229" t="inlineStr">
        <is>
          <t>平倉</t>
        </is>
      </c>
      <c r="E1788" s="257" t="inlineStr">
        <is>
          <t>買</t>
        </is>
      </c>
      <c r="F1788" s="229" t="inlineStr">
        <is>
          <t>-</t>
        </is>
      </c>
      <c r="G1788" s="697" t="n">
        <v>1</v>
      </c>
      <c r="H1788" s="697" t="n">
        <v>9691</v>
      </c>
      <c r="I1788" s="697" t="n">
        <v>0</v>
      </c>
      <c r="J1788" s="585" t="n">
        <v>23</v>
      </c>
      <c r="K1788" s="585" t="n">
        <v>10</v>
      </c>
      <c r="L1788" s="585">
        <f>IF(B1788="TXO",I1788-SUM(J1788:K1788),IF(B1788="FITX",IF(D1788="新倉",-SUM(J1788:K1788),IF(E1788="賣",(H1788-H1787)*G1788*200-SUM(J1788:K1788),(H1787-H1788)*G1788*200-SUM(J1788:K1788))),IF(D1788="新倉",-SUM(J1788:K1788),IF(E1788="賣",(H1788-H1787)*G1788*50-SUM(J1788:K1788),(H1787-H1788)*G1788*50-SUM(J1788:K1788)))))</f>
        <v/>
      </c>
      <c r="M1788" s="699">
        <f>L1788</f>
        <v/>
      </c>
      <c r="N1788" s="686">
        <f>IF(B1788="TXO","",IF(D1788="新倉","",IF(E1788="賣",(H1788-H1787)*G1788,(H1787-H1788)*G1788)))</f>
        <v/>
      </c>
      <c r="O1788" s="226" t="n">
        <v>0</v>
      </c>
      <c r="P1788" s="667" t="n"/>
      <c r="Q1788" s="249" t="inlineStr">
        <is>
          <t>技法: 刺補</t>
        </is>
      </c>
      <c r="R1788" s="249" t="inlineStr">
        <is>
          <t>Yes</t>
        </is>
      </c>
      <c r="S1788" s="249" t="n"/>
      <c r="T1788" s="61">
        <f>IF(AND(R1788="Yes",S1788&lt;&gt;"Yes",L1788&gt;0,B1788&lt;&gt;"TXO"),L1788,"")</f>
        <v/>
      </c>
      <c r="U1788" s="61">
        <f>IF(AND(R1788="Yes",S1788&lt;&gt;"Yes",L1788&lt;0,B1788&lt;&gt;"TXO"),L1788,"")</f>
        <v/>
      </c>
      <c r="V1788" s="61">
        <f>IF(AND(R1788="",S1788&lt;&gt;"Yes",L1788&gt;0,B1788&lt;&gt;"TXO"),L1788,"")</f>
        <v/>
      </c>
      <c r="W1788" s="61">
        <f>IF(AND(R1788="",S1788&lt;&gt;"Yes",L1788&lt;0,B1788&lt;&gt;"TXO"),L1788,"")</f>
        <v/>
      </c>
      <c r="X1788" s="226">
        <f>IF(AND(R1788="Yes",S1788="Yes",L1788&gt;0,B1788&lt;&gt;"TXO"),L1788,"")</f>
        <v/>
      </c>
      <c r="Y1788" s="226">
        <f>IF(AND(R1788="Yes",S1788="Yes",L1788&lt;0,B1788&lt;&gt;"TXO"),L1788,"")</f>
        <v/>
      </c>
      <c r="Z1788" s="226">
        <f>IF(AND(R1788="",S1788="Yes",L1788&gt;0,B1788&lt;&gt;"TXO"),L1788,"")</f>
        <v/>
      </c>
      <c r="AA1788" s="226">
        <f>IF(AND(R1788="",S1788="Yes",L1788&lt;0,B1788&lt;&gt;"TXO"),L1788,"")</f>
        <v/>
      </c>
    </row>
    <row r="1789" hidden="1" outlineLevel="2" collapsed="1" ht="17.25" customHeight="1" thickBot="1">
      <c r="A1789" s="696" t="n">
        <v>43441</v>
      </c>
      <c r="B1789" s="234" t="inlineStr">
        <is>
          <t>FIMTX</t>
        </is>
      </c>
      <c r="C1789" s="229" t="inlineStr">
        <is>
          <t>小指12</t>
        </is>
      </c>
      <c r="D1789" s="229" t="inlineStr">
        <is>
          <t>新倉</t>
        </is>
      </c>
      <c r="E1789" s="257" t="inlineStr">
        <is>
          <t>賣</t>
        </is>
      </c>
      <c r="F1789" s="229" t="inlineStr">
        <is>
          <t>-</t>
        </is>
      </c>
      <c r="G1789" s="697" t="n">
        <v>1</v>
      </c>
      <c r="H1789" s="697" t="n">
        <v>9722</v>
      </c>
      <c r="I1789" s="697" t="n">
        <v>0</v>
      </c>
      <c r="J1789" s="585" t="n">
        <v>23</v>
      </c>
      <c r="K1789" s="585" t="n">
        <v>10</v>
      </c>
      <c r="L1789" s="585">
        <f>IF(B1789="TXO",I1789-SUM(J1789:K1789),IF(B1789="FITX",IF(D1789="新倉",-SUM(J1789:K1789),IF(E1789="賣",(H1789-H1788)*G1789*200-SUM(J1789:K1789),(H1788-H1789)*G1789*200-SUM(J1789:K1789))),IF(D1789="新倉",-SUM(J1789:K1789),IF(E1789="賣",(H1789-H1788)*G1789*50-SUM(J1789:K1789),(H1788-H1789)*G1789*50-SUM(J1789:K1789)))))</f>
        <v/>
      </c>
      <c r="M1789" s="699">
        <f>L1789</f>
        <v/>
      </c>
      <c r="N1789" s="686">
        <f>IF(B1789="TXO","",IF(D1789="新倉","",IF(E1789="賣",(H1789-H1788)*G1789,(H1788-H1789)*G1789)))</f>
        <v/>
      </c>
      <c r="O1789" s="226" t="n">
        <v>0</v>
      </c>
      <c r="P1789" s="667" t="n"/>
      <c r="Q1789" s="297" t="inlineStr">
        <is>
          <t>技法: 3/3 買進一口</t>
        </is>
      </c>
      <c r="R1789" s="249" t="inlineStr">
        <is>
          <t>Yes</t>
        </is>
      </c>
      <c r="S1789" s="249" t="n"/>
      <c r="T1789" s="61">
        <f>IF(AND(R1789="Yes",S1789&lt;&gt;"Yes",L1789&gt;0,B1789&lt;&gt;"TXO"),L1789,"")</f>
        <v/>
      </c>
      <c r="U1789" s="61">
        <f>IF(AND(R1789="Yes",S1789&lt;&gt;"Yes",L1789&lt;0,B1789&lt;&gt;"TXO"),L1789,"")</f>
        <v/>
      </c>
      <c r="V1789" s="61">
        <f>IF(AND(R1789="",S1789&lt;&gt;"Yes",L1789&gt;0,B1789&lt;&gt;"TXO"),L1789,"")</f>
        <v/>
      </c>
      <c r="W1789" s="61">
        <f>IF(AND(R1789="",S1789&lt;&gt;"Yes",L1789&lt;0,B1789&lt;&gt;"TXO"),L1789,"")</f>
        <v/>
      </c>
      <c r="X1789" s="226">
        <f>IF(AND(R1789="Yes",S1789="Yes",L1789&gt;0,B1789&lt;&gt;"TXO"),L1789,"")</f>
        <v/>
      </c>
      <c r="Y1789" s="226">
        <f>IF(AND(R1789="Yes",S1789="Yes",L1789&lt;0,B1789&lt;&gt;"TXO"),L1789,"")</f>
        <v/>
      </c>
      <c r="Z1789" s="226">
        <f>IF(AND(R1789="",S1789="Yes",L1789&gt;0,B1789&lt;&gt;"TXO"),L1789,"")</f>
        <v/>
      </c>
      <c r="AA1789" s="226">
        <f>IF(AND(R1789="",S1789="Yes",L1789&lt;0,B1789&lt;&gt;"TXO"),L1789,"")</f>
        <v/>
      </c>
    </row>
    <row r="1790" hidden="1" outlineLevel="2" collapsed="1" ht="17.25" customHeight="1" thickBot="1">
      <c r="A1790" s="696" t="n">
        <v>43441</v>
      </c>
      <c r="B1790" s="234" t="inlineStr">
        <is>
          <t>FIMTX</t>
        </is>
      </c>
      <c r="C1790" s="229" t="inlineStr">
        <is>
          <t>小指12</t>
        </is>
      </c>
      <c r="D1790" s="229" t="inlineStr">
        <is>
          <t>平倉</t>
        </is>
      </c>
      <c r="E1790" s="257" t="inlineStr">
        <is>
          <t>買</t>
        </is>
      </c>
      <c r="F1790" s="229" t="inlineStr">
        <is>
          <t>-</t>
        </is>
      </c>
      <c r="G1790" s="697" t="n">
        <v>1</v>
      </c>
      <c r="H1790" s="697" t="n">
        <v>9706</v>
      </c>
      <c r="I1790" s="697" t="n">
        <v>0</v>
      </c>
      <c r="J1790" s="585" t="n">
        <v>23</v>
      </c>
      <c r="K1790" s="585" t="n">
        <v>10</v>
      </c>
      <c r="L1790" s="585">
        <f>IF(B1790="TXO",I1790-SUM(J1790:K1790),IF(B1790="FITX",IF(D1790="新倉",-SUM(J1790:K1790),IF(E1790="賣",(H1790-H1789)*G1790*200-SUM(J1790:K1790),(H1789-H1790)*G1790*200-SUM(J1790:K1790))),IF(D1790="新倉",-SUM(J1790:K1790),IF(E1790="賣",(H1790-H1789)*G1790*50-SUM(J1790:K1790),(H1789-H1790)*G1790*50-SUM(J1790:K1790)))))</f>
        <v/>
      </c>
      <c r="M1790" s="699">
        <f>L1790</f>
        <v/>
      </c>
      <c r="N1790" s="686">
        <f>IF(B1790="TXO","",IF(D1790="新倉","",IF(E1790="賣",(H1790-H1789)*G1790,(H1789-H1790)*G1790)))</f>
        <v/>
      </c>
      <c r="O1790" s="226" t="n">
        <v>0</v>
      </c>
      <c r="P1790" s="667" t="n"/>
      <c r="Q1790" s="249" t="inlineStr">
        <is>
          <t>技法: 刺補</t>
        </is>
      </c>
      <c r="R1790" s="249" t="inlineStr">
        <is>
          <t>Yes</t>
        </is>
      </c>
      <c r="S1790" s="249" t="n"/>
      <c r="T1790" s="61">
        <f>IF(AND(R1790="Yes",S1790&lt;&gt;"Yes",L1790&gt;0,B1790&lt;&gt;"TXO"),L1790,"")</f>
        <v/>
      </c>
      <c r="U1790" s="61">
        <f>IF(AND(R1790="Yes",S1790&lt;&gt;"Yes",L1790&lt;0,B1790&lt;&gt;"TXO"),L1790,"")</f>
        <v/>
      </c>
      <c r="V1790" s="61">
        <f>IF(AND(R1790="",S1790&lt;&gt;"Yes",L1790&gt;0,B1790&lt;&gt;"TXO"),L1790,"")</f>
        <v/>
      </c>
      <c r="W1790" s="61">
        <f>IF(AND(R1790="",S1790&lt;&gt;"Yes",L1790&lt;0,B1790&lt;&gt;"TXO"),L1790,"")</f>
        <v/>
      </c>
      <c r="X1790" s="226">
        <f>IF(AND(R1790="Yes",S1790="Yes",L1790&gt;0,B1790&lt;&gt;"TXO"),L1790,"")</f>
        <v/>
      </c>
      <c r="Y1790" s="226">
        <f>IF(AND(R1790="Yes",S1790="Yes",L1790&lt;0,B1790&lt;&gt;"TXO"),L1790,"")</f>
        <v/>
      </c>
      <c r="Z1790" s="226">
        <f>IF(AND(R1790="",S1790="Yes",L1790&gt;0,B1790&lt;&gt;"TXO"),L1790,"")</f>
        <v/>
      </c>
      <c r="AA1790" s="226">
        <f>IF(AND(R1790="",S1790="Yes",L1790&lt;0,B1790&lt;&gt;"TXO"),L1790,"")</f>
        <v/>
      </c>
    </row>
    <row r="1791" hidden="1" outlineLevel="2" collapsed="1" ht="17.25" customHeight="1" thickBot="1">
      <c r="A1791" s="696" t="n">
        <v>43441</v>
      </c>
      <c r="B1791" s="234" t="inlineStr">
        <is>
          <t>FIMTX</t>
        </is>
      </c>
      <c r="C1791" s="229" t="inlineStr">
        <is>
          <t>小指12</t>
        </is>
      </c>
      <c r="D1791" s="229" t="inlineStr">
        <is>
          <t>新倉</t>
        </is>
      </c>
      <c r="E1791" s="257" t="inlineStr">
        <is>
          <t>賣</t>
        </is>
      </c>
      <c r="F1791" s="229" t="inlineStr">
        <is>
          <t>-</t>
        </is>
      </c>
      <c r="G1791" s="697" t="n">
        <v>1</v>
      </c>
      <c r="H1791" s="697" t="n">
        <v>9722</v>
      </c>
      <c r="I1791" s="697" t="n">
        <v>0</v>
      </c>
      <c r="J1791" s="585" t="n">
        <v>23</v>
      </c>
      <c r="K1791" s="585" t="n">
        <v>10</v>
      </c>
      <c r="L1791" s="585">
        <f>IF(B1791="TXO",I1791-SUM(J1791:K1791),IF(B1791="FITX",IF(D1791="新倉",-SUM(J1791:K1791),IF(E1791="賣",(H1791-H1790)*G1791*200-SUM(J1791:K1791),(H1790-H1791)*G1791*200-SUM(J1791:K1791))),IF(D1791="新倉",-SUM(J1791:K1791),IF(E1791="賣",(H1791-H1790)*G1791*50-SUM(J1791:K1791),(H1790-H1791)*G1791*50-SUM(J1791:K1791)))))</f>
        <v/>
      </c>
      <c r="M1791" s="699">
        <f>L1791</f>
        <v/>
      </c>
      <c r="N1791" s="686">
        <f>IF(B1791="TXO","",IF(D1791="新倉","",IF(E1791="賣",(H1791-H1790)*G1791,(H1790-H1791)*G1791)))</f>
        <v/>
      </c>
      <c r="O1791" s="226" t="n">
        <v>0</v>
      </c>
      <c r="P1791" s="667" t="n"/>
      <c r="Q1791" s="297" t="inlineStr">
        <is>
          <t>技法: 3/3 買進一口</t>
        </is>
      </c>
      <c r="R1791" s="249" t="inlineStr">
        <is>
          <t>Yes</t>
        </is>
      </c>
      <c r="S1791" s="249" t="n"/>
      <c r="T1791" s="61">
        <f>IF(AND(R1791="Yes",S1791&lt;&gt;"Yes",L1791&gt;0,B1791&lt;&gt;"TXO"),L1791,"")</f>
        <v/>
      </c>
      <c r="U1791" s="61">
        <f>IF(AND(R1791="Yes",S1791&lt;&gt;"Yes",L1791&lt;0,B1791&lt;&gt;"TXO"),L1791,"")</f>
        <v/>
      </c>
      <c r="V1791" s="61">
        <f>IF(AND(R1791="",S1791&lt;&gt;"Yes",L1791&gt;0,B1791&lt;&gt;"TXO"),L1791,"")</f>
        <v/>
      </c>
      <c r="W1791" s="61">
        <f>IF(AND(R1791="",S1791&lt;&gt;"Yes",L1791&lt;0,B1791&lt;&gt;"TXO"),L1791,"")</f>
        <v/>
      </c>
      <c r="X1791" s="226">
        <f>IF(AND(R1791="Yes",S1791="Yes",L1791&gt;0,B1791&lt;&gt;"TXO"),L1791,"")</f>
        <v/>
      </c>
      <c r="Y1791" s="226">
        <f>IF(AND(R1791="Yes",S1791="Yes",L1791&lt;0,B1791&lt;&gt;"TXO"),L1791,"")</f>
        <v/>
      </c>
      <c r="Z1791" s="226">
        <f>IF(AND(R1791="",S1791="Yes",L1791&gt;0,B1791&lt;&gt;"TXO"),L1791,"")</f>
        <v/>
      </c>
      <c r="AA1791" s="226">
        <f>IF(AND(R1791="",S1791="Yes",L1791&lt;0,B1791&lt;&gt;"TXO"),L1791,"")</f>
        <v/>
      </c>
    </row>
    <row r="1792" hidden="1" outlineLevel="2" ht="17.25" customHeight="1" thickBot="1">
      <c r="A1792" s="696" t="n">
        <v>43441</v>
      </c>
      <c r="B1792" s="234" t="inlineStr">
        <is>
          <t>FIMTX</t>
        </is>
      </c>
      <c r="C1792" s="229" t="inlineStr">
        <is>
          <t>小指12</t>
        </is>
      </c>
      <c r="D1792" s="229" t="inlineStr">
        <is>
          <t>平倉</t>
        </is>
      </c>
      <c r="E1792" s="257" t="inlineStr">
        <is>
          <t>買</t>
        </is>
      </c>
      <c r="F1792" s="229" t="inlineStr">
        <is>
          <t>-</t>
        </is>
      </c>
      <c r="G1792" s="697" t="n">
        <v>1</v>
      </c>
      <c r="H1792" s="697" t="n">
        <v>9712</v>
      </c>
      <c r="I1792" s="697" t="n">
        <v>0</v>
      </c>
      <c r="J1792" s="585" t="n">
        <v>23</v>
      </c>
      <c r="K1792" s="585" t="n">
        <v>10</v>
      </c>
      <c r="L1792" s="585">
        <f>IF(B1792="TXO",I1792-SUM(J1792:K1792),IF(B1792="FITX",IF(D1792="新倉",-SUM(J1792:K1792),IF(E1792="賣",(H1792-H1791)*G1792*200-SUM(J1792:K1792),(H1791-H1792)*G1792*200-SUM(J1792:K1792))),IF(D1792="新倉",-SUM(J1792:K1792),IF(E1792="賣",(H1792-H1791)*G1792*50-SUM(J1792:K1792),(H1791-H1792)*G1792*50-SUM(J1792:K1792)))))</f>
        <v/>
      </c>
      <c r="M1792" s="699">
        <f>L1792</f>
        <v/>
      </c>
      <c r="N1792" s="686">
        <f>IF(B1792="TXO","",IF(D1792="新倉","",IF(E1792="賣",(H1792-H1791)*G1792,(H1791-H1792)*G1792)))</f>
        <v/>
      </c>
      <c r="O1792" s="226" t="n">
        <v>0</v>
      </c>
      <c r="P1792" s="667" t="n"/>
      <c r="Q1792" s="249" t="inlineStr">
        <is>
          <t>技法: 移動式停利</t>
        </is>
      </c>
      <c r="R1792" s="249" t="inlineStr">
        <is>
          <t>Yes</t>
        </is>
      </c>
      <c r="S1792" s="249" t="n"/>
      <c r="T1792" s="61">
        <f>IF(AND(R1792="Yes",S1792&lt;&gt;"Yes",L1792&gt;0,B1792&lt;&gt;"TXO"),L1792,"")</f>
        <v/>
      </c>
      <c r="U1792" s="61">
        <f>IF(AND(R1792="Yes",S1792&lt;&gt;"Yes",L1792&lt;0,B1792&lt;&gt;"TXO"),L1792,"")</f>
        <v/>
      </c>
      <c r="V1792" s="61">
        <f>IF(AND(R1792="",S1792&lt;&gt;"Yes",L1792&gt;0,B1792&lt;&gt;"TXO"),L1792,"")</f>
        <v/>
      </c>
      <c r="W1792" s="61">
        <f>IF(AND(R1792="",S1792&lt;&gt;"Yes",L1792&lt;0,B1792&lt;&gt;"TXO"),L1792,"")</f>
        <v/>
      </c>
      <c r="X1792" s="226">
        <f>IF(AND(R1792="Yes",S1792="Yes",L1792&gt;0,B1792&lt;&gt;"TXO"),L1792,"")</f>
        <v/>
      </c>
      <c r="Y1792" s="226">
        <f>IF(AND(R1792="Yes",S1792="Yes",L1792&lt;0,B1792&lt;&gt;"TXO"),L1792,"")</f>
        <v/>
      </c>
      <c r="Z1792" s="226">
        <f>IF(AND(R1792="",S1792="Yes",L1792&gt;0,B1792&lt;&gt;"TXO"),L1792,"")</f>
        <v/>
      </c>
      <c r="AA1792" s="226">
        <f>IF(AND(R1792="",S1792="Yes",L1792&lt;0,B1792&lt;&gt;"TXO"),L1792,"")</f>
        <v/>
      </c>
    </row>
    <row r="1793" hidden="1" outlineLevel="1" ht="17.25" customHeight="1" thickBot="1">
      <c r="A1793" s="740" t="n">
        <v>43447</v>
      </c>
      <c r="B1793" s="299" t="inlineStr">
        <is>
          <t>FIMTX</t>
        </is>
      </c>
      <c r="C1793" s="300" t="inlineStr">
        <is>
          <t>小指12</t>
        </is>
      </c>
      <c r="D1793" s="300" t="inlineStr">
        <is>
          <t>新倉</t>
        </is>
      </c>
      <c r="E1793" s="301" t="inlineStr">
        <is>
          <t>賣</t>
        </is>
      </c>
      <c r="F1793" s="300" t="inlineStr">
        <is>
          <t>-</t>
        </is>
      </c>
      <c r="G1793" s="741" t="n">
        <v>1</v>
      </c>
      <c r="H1793" s="741" t="n">
        <v>9860</v>
      </c>
      <c r="I1793" s="741" t="n">
        <v>0</v>
      </c>
      <c r="J1793" s="742" t="n">
        <v>23</v>
      </c>
      <c r="K1793" s="742" t="n">
        <v>10</v>
      </c>
      <c r="L1793" s="742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/>
      </c>
      <c r="M1793" s="743">
        <f>L1793</f>
        <v/>
      </c>
      <c r="N1793" s="686">
        <f>IF(B1793="TXO","",IF(D1793="新倉","",IF(E1793="賣",(H1793-H1792)*G1793,(H1792-H1793)*G1793)))</f>
        <v/>
      </c>
      <c r="O1793" s="226" t="n">
        <v>0</v>
      </c>
      <c r="P1793" s="667">
        <f>SUM(L1793:L1794)</f>
        <v/>
      </c>
      <c r="S1793" s="249" t="inlineStr">
        <is>
          <t>Yes</t>
        </is>
      </c>
      <c r="T1793" s="61">
        <f>IF(AND(R1793="Yes",S1793&lt;&gt;"Yes",L1793&gt;0,B1793&lt;&gt;"TXO"),L1793,"")</f>
        <v/>
      </c>
      <c r="U1793" s="61">
        <f>IF(AND(R1793="Yes",S1793&lt;&gt;"Yes",L1793&lt;0,B1793&lt;&gt;"TXO"),L1793,"")</f>
        <v/>
      </c>
      <c r="V1793" s="61">
        <f>IF(AND(R1793="",S1793&lt;&gt;"Yes",L1793&gt;0,B1793&lt;&gt;"TXO"),L1793,"")</f>
        <v/>
      </c>
      <c r="W1793" s="61">
        <f>IF(AND(R1793="",S1793&lt;&gt;"Yes",L1793&lt;0,B1793&lt;&gt;"TXO"),L1793,"")</f>
        <v/>
      </c>
      <c r="X1793" s="226">
        <f>IF(AND(R1793="Yes",S1793="Yes",L1793&gt;0,B1793&lt;&gt;"TXO"),L1793,"")</f>
        <v/>
      </c>
      <c r="Y1793" s="226">
        <f>IF(AND(R1793="Yes",S1793="Yes",L1793&lt;0,B1793&lt;&gt;"TXO"),L1793,"")</f>
        <v/>
      </c>
      <c r="Z1793" s="226">
        <f>IF(AND(R1793="",S1793="Yes",L1793&gt;0,B1793&lt;&gt;"TXO"),L1793,"")</f>
        <v/>
      </c>
      <c r="AA1793" s="226">
        <f>IF(AND(R1793="",S1793="Yes",L1793&lt;0,B1793&lt;&gt;"TXO"),L1793,"")</f>
        <v/>
      </c>
    </row>
    <row r="1794" hidden="1" outlineLevel="2" collapsed="1" ht="17.25" customHeight="1" thickBot="1">
      <c r="A1794" s="740" t="n">
        <v>43447</v>
      </c>
      <c r="B1794" s="299" t="inlineStr">
        <is>
          <t>FIMTX</t>
        </is>
      </c>
      <c r="C1794" s="300" t="inlineStr">
        <is>
          <t>小指12</t>
        </is>
      </c>
      <c r="D1794" s="300" t="inlineStr">
        <is>
          <t>平倉</t>
        </is>
      </c>
      <c r="E1794" s="301" t="inlineStr">
        <is>
          <t>買</t>
        </is>
      </c>
      <c r="F1794" s="300" t="inlineStr">
        <is>
          <t>-</t>
        </is>
      </c>
      <c r="G1794" s="741" t="n">
        <v>1</v>
      </c>
      <c r="H1794" s="741" t="n">
        <v>9850</v>
      </c>
      <c r="I1794" s="741" t="n">
        <v>0</v>
      </c>
      <c r="J1794" s="742" t="n">
        <v>23</v>
      </c>
      <c r="K1794" s="742" t="n">
        <v>10</v>
      </c>
      <c r="L1794" s="742">
        <f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/>
      </c>
      <c r="M1794" s="743">
        <f>L1794</f>
        <v/>
      </c>
      <c r="N1794" s="686">
        <f>IF(B1794="TXO","",IF(D1794="新倉","",IF(E1794="賣",(H1794-H1793)*G1794,(H1793-H1794)*G1794)))</f>
        <v/>
      </c>
      <c r="O1794" s="226" t="n">
        <v>0</v>
      </c>
      <c r="P1794" s="667" t="n"/>
      <c r="S1794" s="249" t="inlineStr">
        <is>
          <t>Yes</t>
        </is>
      </c>
      <c r="T1794" s="61">
        <f>IF(AND(R1794="Yes",S1794&lt;&gt;"Yes",L1794&gt;0,B1794&lt;&gt;"TXO"),L1794,"")</f>
        <v/>
      </c>
      <c r="U1794" s="61">
        <f>IF(AND(R1794="Yes",S1794&lt;&gt;"Yes",L1794&lt;0,B1794&lt;&gt;"TXO"),L1794,"")</f>
        <v/>
      </c>
      <c r="V1794" s="61">
        <f>IF(AND(R1794="",S1794&lt;&gt;"Yes",L1794&gt;0,B1794&lt;&gt;"TXO"),L1794,"")</f>
        <v/>
      </c>
      <c r="W1794" s="61">
        <f>IF(AND(R1794="",S1794&lt;&gt;"Yes",L1794&lt;0,B1794&lt;&gt;"TXO"),L1794,"")</f>
        <v/>
      </c>
      <c r="X1794" s="226">
        <f>IF(AND(R1794="Yes",S1794="Yes",L1794&gt;0,B1794&lt;&gt;"TXO"),L1794,"")</f>
        <v/>
      </c>
      <c r="Y1794" s="226">
        <f>IF(AND(R1794="Yes",S1794="Yes",L1794&lt;0,B1794&lt;&gt;"TXO"),L1794,"")</f>
        <v/>
      </c>
      <c r="Z1794" s="226">
        <f>IF(AND(R1794="",S1794="Yes",L1794&gt;0,B1794&lt;&gt;"TXO"),L1794,"")</f>
        <v/>
      </c>
      <c r="AA1794" s="226">
        <f>IF(AND(R1794="",S1794="Yes",L1794&lt;0,B1794&lt;&gt;"TXO"),L1794,"")</f>
        <v/>
      </c>
    </row>
    <row r="1795" hidden="1" outlineLevel="1" ht="17.25" customHeight="1" thickBot="1">
      <c r="A1795" s="696" t="n">
        <v>43448</v>
      </c>
      <c r="B1795" s="234" t="inlineStr">
        <is>
          <t>FIMTX</t>
        </is>
      </c>
      <c r="C1795" s="229" t="inlineStr">
        <is>
          <t>小指12</t>
        </is>
      </c>
      <c r="D1795" s="229" t="inlineStr">
        <is>
          <t>新倉</t>
        </is>
      </c>
      <c r="E1795" s="257" t="inlineStr">
        <is>
          <t>買</t>
        </is>
      </c>
      <c r="F1795" s="229" t="inlineStr">
        <is>
          <t>-</t>
        </is>
      </c>
      <c r="G1795" s="697" t="n">
        <v>1</v>
      </c>
      <c r="H1795" s="697" t="n">
        <v>9764</v>
      </c>
      <c r="I1795" s="697" t="n">
        <v>0</v>
      </c>
      <c r="J1795" s="585" t="n">
        <v>23</v>
      </c>
      <c r="K1795" s="585" t="n">
        <v>10</v>
      </c>
      <c r="L1795" s="585">
        <f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/>
      </c>
      <c r="M1795" s="699">
        <f>L1795</f>
        <v/>
      </c>
      <c r="N1795" s="686">
        <f>IF(B1795="TXO","",IF(D1795="新倉","",IF(E1795="賣",(H1795-H1794)*G1795,(H1794-H1795)*G1795)))</f>
        <v/>
      </c>
      <c r="O1795" s="226" t="n">
        <v>0</v>
      </c>
      <c r="P1795" s="667">
        <f>SUM(L1795:L1800)</f>
        <v/>
      </c>
      <c r="S1795" s="249" t="inlineStr">
        <is>
          <t>Yes</t>
        </is>
      </c>
      <c r="T1795" s="61">
        <f>IF(AND(R1795="Yes",S1795&lt;&gt;"Yes",L1795&gt;0,B1795&lt;&gt;"TXO"),L1795,"")</f>
        <v/>
      </c>
      <c r="U1795" s="61">
        <f>IF(AND(R1795="Yes",S1795&lt;&gt;"Yes",L1795&lt;0,B1795&lt;&gt;"TXO"),L1795,"")</f>
        <v/>
      </c>
      <c r="V1795" s="61">
        <f>IF(AND(R1795="",S1795&lt;&gt;"Yes",L1795&gt;0,B1795&lt;&gt;"TXO"),L1795,"")</f>
        <v/>
      </c>
      <c r="W1795" s="61">
        <f>IF(AND(R1795="",S1795&lt;&gt;"Yes",L1795&lt;0,B1795&lt;&gt;"TXO"),L1795,"")</f>
        <v/>
      </c>
      <c r="X1795" s="226">
        <f>IF(AND(R1795="Yes",S1795="Yes",L1795&gt;0,B1795&lt;&gt;"TXO"),L1795,"")</f>
        <v/>
      </c>
      <c r="Y1795" s="226">
        <f>IF(AND(R1795="Yes",S1795="Yes",L1795&lt;0,B1795&lt;&gt;"TXO"),L1795,"")</f>
        <v/>
      </c>
      <c r="Z1795" s="226">
        <f>IF(AND(R1795="",S1795="Yes",L1795&gt;0,B1795&lt;&gt;"TXO"),L1795,"")</f>
        <v/>
      </c>
      <c r="AA1795" s="226">
        <f>IF(AND(R1795="",S1795="Yes",L1795&lt;0,B1795&lt;&gt;"TXO"),L1795,"")</f>
        <v/>
      </c>
    </row>
    <row r="1796" hidden="1" outlineLevel="2" collapsed="1" ht="17.25" customHeight="1" thickBot="1">
      <c r="A1796" s="696" t="n">
        <v>43448</v>
      </c>
      <c r="B1796" s="234" t="inlineStr">
        <is>
          <t>FIMTX</t>
        </is>
      </c>
      <c r="C1796" s="229" t="inlineStr">
        <is>
          <t>小指12</t>
        </is>
      </c>
      <c r="D1796" s="229" t="inlineStr">
        <is>
          <t>平倉</t>
        </is>
      </c>
      <c r="E1796" s="257" t="inlineStr">
        <is>
          <t>賣</t>
        </is>
      </c>
      <c r="F1796" s="229" t="inlineStr">
        <is>
          <t>-</t>
        </is>
      </c>
      <c r="G1796" s="697" t="n">
        <v>1</v>
      </c>
      <c r="H1796" s="697" t="n">
        <v>9750</v>
      </c>
      <c r="I1796" s="697" t="n">
        <v>0</v>
      </c>
      <c r="J1796" s="585" t="n">
        <v>23</v>
      </c>
      <c r="K1796" s="585" t="n">
        <v>10</v>
      </c>
      <c r="L1796" s="585">
        <f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/>
      </c>
      <c r="M1796" s="699">
        <f>L1796</f>
        <v/>
      </c>
      <c r="N1796" s="686">
        <f>IF(B1796="TXO","",IF(D1796="新倉","",IF(E1796="賣",(H1796-H1795)*G1796,(H1795-H1796)*G1796)))</f>
        <v/>
      </c>
      <c r="O1796" s="226" t="n">
        <v>0</v>
      </c>
      <c r="P1796" s="667" t="n"/>
      <c r="S1796" s="249" t="inlineStr">
        <is>
          <t>Yes</t>
        </is>
      </c>
      <c r="T1796" s="61">
        <f>IF(AND(R1796="Yes",S1796&lt;&gt;"Yes",L1796&gt;0,B1796&lt;&gt;"TXO"),L1796,"")</f>
        <v/>
      </c>
      <c r="U1796" s="61">
        <f>IF(AND(R1796="Yes",S1796&lt;&gt;"Yes",L1796&lt;0,B1796&lt;&gt;"TXO"),L1796,"")</f>
        <v/>
      </c>
      <c r="V1796" s="61">
        <f>IF(AND(R1796="",S1796&lt;&gt;"Yes",L1796&gt;0,B1796&lt;&gt;"TXO"),L1796,"")</f>
        <v/>
      </c>
      <c r="W1796" s="61">
        <f>IF(AND(R1796="",S1796&lt;&gt;"Yes",L1796&lt;0,B1796&lt;&gt;"TXO"),L1796,"")</f>
        <v/>
      </c>
      <c r="X1796" s="226">
        <f>IF(AND(R1796="Yes",S1796="Yes",L1796&gt;0,B1796&lt;&gt;"TXO"),L1796,"")</f>
        <v/>
      </c>
      <c r="Y1796" s="226">
        <f>IF(AND(R1796="Yes",S1796="Yes",L1796&lt;0,B1796&lt;&gt;"TXO"),L1796,"")</f>
        <v/>
      </c>
      <c r="Z1796" s="226">
        <f>IF(AND(R1796="",S1796="Yes",L1796&gt;0,B1796&lt;&gt;"TXO"),L1796,"")</f>
        <v/>
      </c>
      <c r="AA1796" s="226">
        <f>IF(AND(R1796="",S1796="Yes",L1796&lt;0,B1796&lt;&gt;"TXO"),L1796,"")</f>
        <v/>
      </c>
    </row>
    <row r="1797" hidden="1" outlineLevel="2" collapsed="1" ht="17.25" customHeight="1" thickBot="1">
      <c r="A1797" s="696" t="n">
        <v>43448</v>
      </c>
      <c r="B1797" s="234" t="inlineStr">
        <is>
          <t>FIMTX</t>
        </is>
      </c>
      <c r="C1797" s="229" t="inlineStr">
        <is>
          <t>小指12</t>
        </is>
      </c>
      <c r="D1797" s="229" t="inlineStr">
        <is>
          <t>新倉</t>
        </is>
      </c>
      <c r="E1797" s="257" t="inlineStr">
        <is>
          <t>賣</t>
        </is>
      </c>
      <c r="F1797" s="229" t="inlineStr">
        <is>
          <t>-</t>
        </is>
      </c>
      <c r="G1797" s="697" t="n">
        <v>1</v>
      </c>
      <c r="H1797" s="697" t="n">
        <v>9741</v>
      </c>
      <c r="I1797" s="697" t="n">
        <v>0</v>
      </c>
      <c r="J1797" s="585" t="n">
        <v>23</v>
      </c>
      <c r="K1797" s="585" t="n">
        <v>10</v>
      </c>
      <c r="L1797" s="585">
        <f>IF(B1797="TXO",I1797-SUM(J1797:K1797),IF(B1797="FITX",IF(D1797="新倉",-SUM(J1797:K1797),IF(E1797="賣",(H1797-H1796)*G1797*200-SUM(J1797:K1797),(H1796-H1797)*G1797*200-SUM(J1797:K1797))),IF(D1797="新倉",-SUM(J1797:K1797),IF(E1797="賣",(H1797-H1796)*G1797*50-SUM(J1797:K1797),(H1796-H1797)*G1797*50-SUM(J1797:K1797)))))</f>
        <v/>
      </c>
      <c r="M1797" s="699">
        <f>L1797</f>
        <v/>
      </c>
      <c r="N1797" s="686">
        <f>IF(B1797="TXO","",IF(D1797="新倉","",IF(E1797="賣",(H1797-H1796)*G1797,(H1796-H1797)*G1797)))</f>
        <v/>
      </c>
      <c r="O1797" s="226" t="n">
        <v>0</v>
      </c>
      <c r="P1797" s="667" t="n"/>
      <c r="Q1797" s="297" t="n"/>
      <c r="S1797" s="249" t="inlineStr">
        <is>
          <t>Yes</t>
        </is>
      </c>
      <c r="T1797" s="61">
        <f>IF(AND(R1797="Yes",S1797&lt;&gt;"Yes",L1797&gt;0,B1797&lt;&gt;"TXO"),L1797,"")</f>
        <v/>
      </c>
      <c r="U1797" s="61">
        <f>IF(AND(R1797="Yes",S1797&lt;&gt;"Yes",L1797&lt;0,B1797&lt;&gt;"TXO"),L1797,"")</f>
        <v/>
      </c>
      <c r="V1797" s="61">
        <f>IF(AND(R1797="",S1797&lt;&gt;"Yes",L1797&gt;0,B1797&lt;&gt;"TXO"),L1797,"")</f>
        <v/>
      </c>
      <c r="W1797" s="61">
        <f>IF(AND(R1797="",S1797&lt;&gt;"Yes",L1797&lt;0,B1797&lt;&gt;"TXO"),L1797,"")</f>
        <v/>
      </c>
      <c r="X1797" s="226">
        <f>IF(AND(R1797="Yes",S1797="Yes",L1797&gt;0,B1797&lt;&gt;"TXO"),L1797,"")</f>
        <v/>
      </c>
      <c r="Y1797" s="226">
        <f>IF(AND(R1797="Yes",S1797="Yes",L1797&lt;0,B1797&lt;&gt;"TXO"),L1797,"")</f>
        <v/>
      </c>
      <c r="Z1797" s="226">
        <f>IF(AND(R1797="",S1797="Yes",L1797&gt;0,B1797&lt;&gt;"TXO"),L1797,"")</f>
        <v/>
      </c>
      <c r="AA1797" s="226">
        <f>IF(AND(R1797="",S1797="Yes",L1797&lt;0,B1797&lt;&gt;"TXO"),L1797,"")</f>
        <v/>
      </c>
    </row>
    <row r="1798" hidden="1" outlineLevel="2" collapsed="1" ht="17.25" customHeight="1" thickBot="1">
      <c r="A1798" s="696" t="n">
        <v>43448</v>
      </c>
      <c r="B1798" s="234" t="inlineStr">
        <is>
          <t>FIMTX</t>
        </is>
      </c>
      <c r="C1798" s="229" t="inlineStr">
        <is>
          <t>小指12</t>
        </is>
      </c>
      <c r="D1798" s="229" t="inlineStr">
        <is>
          <t>平倉</t>
        </is>
      </c>
      <c r="E1798" s="257" t="inlineStr">
        <is>
          <t>買</t>
        </is>
      </c>
      <c r="F1798" s="229" t="inlineStr">
        <is>
          <t>-</t>
        </is>
      </c>
      <c r="G1798" s="697" t="n">
        <v>1</v>
      </c>
      <c r="H1798" s="697" t="n">
        <v>9733</v>
      </c>
      <c r="I1798" s="697" t="n">
        <v>0</v>
      </c>
      <c r="J1798" s="585" t="n">
        <v>23</v>
      </c>
      <c r="K1798" s="585" t="n">
        <v>10</v>
      </c>
      <c r="L1798" s="585">
        <f>IF(B1798="TXO",I1798-SUM(J1798:K1798),IF(B1798="FITX",IF(D1798="新倉",-SUM(J1798:K1798),IF(E1798="賣",(H1798-H1797)*G1798*200-SUM(J1798:K1798),(H1797-H1798)*G1798*200-SUM(J1798:K1798))),IF(D1798="新倉",-SUM(J1798:K1798),IF(E1798="賣",(H1798-H1797)*G1798*50-SUM(J1798:K1798),(H1797-H1798)*G1798*50-SUM(J1798:K1798)))))</f>
        <v/>
      </c>
      <c r="M1798" s="699">
        <f>L1798</f>
        <v/>
      </c>
      <c r="N1798" s="686">
        <f>IF(B1798="TXO","",IF(D1798="新倉","",IF(E1798="賣",(H1798-H1797)*G1798,(H1797-H1798)*G1798)))</f>
        <v/>
      </c>
      <c r="O1798" s="226" t="n">
        <v>0</v>
      </c>
      <c r="P1798" s="667" t="n"/>
      <c r="S1798" s="249" t="inlineStr">
        <is>
          <t>Yes</t>
        </is>
      </c>
      <c r="T1798" s="61">
        <f>IF(AND(R1798="Yes",S1798&lt;&gt;"Yes",L1798&gt;0,B1798&lt;&gt;"TXO"),L1798,"")</f>
        <v/>
      </c>
      <c r="U1798" s="61">
        <f>IF(AND(R1798="Yes",S1798&lt;&gt;"Yes",L1798&lt;0,B1798&lt;&gt;"TXO"),L1798,"")</f>
        <v/>
      </c>
      <c r="V1798" s="61">
        <f>IF(AND(R1798="",S1798&lt;&gt;"Yes",L1798&gt;0,B1798&lt;&gt;"TXO"),L1798,"")</f>
        <v/>
      </c>
      <c r="W1798" s="61">
        <f>IF(AND(R1798="",S1798&lt;&gt;"Yes",L1798&lt;0,B1798&lt;&gt;"TXO"),L1798,"")</f>
        <v/>
      </c>
      <c r="X1798" s="226">
        <f>IF(AND(R1798="Yes",S1798="Yes",L1798&gt;0,B1798&lt;&gt;"TXO"),L1798,"")</f>
        <v/>
      </c>
      <c r="Y1798" s="226">
        <f>IF(AND(R1798="Yes",S1798="Yes",L1798&lt;0,B1798&lt;&gt;"TXO"),L1798,"")</f>
        <v/>
      </c>
      <c r="Z1798" s="226">
        <f>IF(AND(R1798="",S1798="Yes",L1798&gt;0,B1798&lt;&gt;"TXO"),L1798,"")</f>
        <v/>
      </c>
      <c r="AA1798" s="226">
        <f>IF(AND(R1798="",S1798="Yes",L1798&lt;0,B1798&lt;&gt;"TXO"),L1798,"")</f>
        <v/>
      </c>
    </row>
    <row r="1799" hidden="1" outlineLevel="2" collapsed="1" ht="17.25" customHeight="1" thickBot="1">
      <c r="A1799" s="696" t="n">
        <v>43448</v>
      </c>
      <c r="B1799" s="234" t="inlineStr">
        <is>
          <t>FIMTX</t>
        </is>
      </c>
      <c r="C1799" s="229" t="inlineStr">
        <is>
          <t>小指12</t>
        </is>
      </c>
      <c r="D1799" s="229" t="inlineStr">
        <is>
          <t>新倉</t>
        </is>
      </c>
      <c r="E1799" s="257" t="inlineStr">
        <is>
          <t>賣</t>
        </is>
      </c>
      <c r="F1799" s="229" t="inlineStr">
        <is>
          <t>-</t>
        </is>
      </c>
      <c r="G1799" s="697" t="n">
        <v>1</v>
      </c>
      <c r="H1799" s="697" t="n">
        <v>9751</v>
      </c>
      <c r="I1799" s="697" t="n">
        <v>0</v>
      </c>
      <c r="J1799" s="585" t="n">
        <v>23</v>
      </c>
      <c r="K1799" s="585" t="n">
        <v>10</v>
      </c>
      <c r="L1799" s="585">
        <f>IF(B1799="TXO",I1799-SUM(J1799:K1799),IF(B1799="FITX",IF(D1799="新倉",-SUM(J1799:K1799),IF(E1799="賣",(H1799-H1798)*G1799*200-SUM(J1799:K1799),(H1798-H1799)*G1799*200-SUM(J1799:K1799))),IF(D1799="新倉",-SUM(J1799:K1799),IF(E1799="賣",(H1799-H1798)*G1799*50-SUM(J1799:K1799),(H1798-H1799)*G1799*50-SUM(J1799:K1799)))))</f>
        <v/>
      </c>
      <c r="M1799" s="699">
        <f>L1799</f>
        <v/>
      </c>
      <c r="N1799" s="686">
        <f>IF(B1799="TXO","",IF(D1799="新倉","",IF(E1799="賣",(H1799-H1798)*G1799,(H1798-H1799)*G1799)))</f>
        <v/>
      </c>
      <c r="O1799" s="226" t="n">
        <v>0</v>
      </c>
      <c r="P1799" s="667" t="n"/>
      <c r="Q1799" s="297" t="n"/>
      <c r="S1799" s="249" t="inlineStr">
        <is>
          <t>Yes</t>
        </is>
      </c>
      <c r="T1799" s="61">
        <f>IF(AND(R1799="Yes",S1799&lt;&gt;"Yes",L1799&gt;0,B1799&lt;&gt;"TXO"),L1799,"")</f>
        <v/>
      </c>
      <c r="U1799" s="61">
        <f>IF(AND(R1799="Yes",S1799&lt;&gt;"Yes",L1799&lt;0,B1799&lt;&gt;"TXO"),L1799,"")</f>
        <v/>
      </c>
      <c r="V1799" s="61">
        <f>IF(AND(R1799="",S1799&lt;&gt;"Yes",L1799&gt;0,B1799&lt;&gt;"TXO"),L1799,"")</f>
        <v/>
      </c>
      <c r="W1799" s="61">
        <f>IF(AND(R1799="",S1799&lt;&gt;"Yes",L1799&lt;0,B1799&lt;&gt;"TXO"),L1799,"")</f>
        <v/>
      </c>
      <c r="X1799" s="226">
        <f>IF(AND(R1799="Yes",S1799="Yes",L1799&gt;0,B1799&lt;&gt;"TXO"),L1799,"")</f>
        <v/>
      </c>
      <c r="Y1799" s="226">
        <f>IF(AND(R1799="Yes",S1799="Yes",L1799&lt;0,B1799&lt;&gt;"TXO"),L1799,"")</f>
        <v/>
      </c>
      <c r="Z1799" s="226">
        <f>IF(AND(R1799="",S1799="Yes",L1799&gt;0,B1799&lt;&gt;"TXO"),L1799,"")</f>
        <v/>
      </c>
      <c r="AA1799" s="226">
        <f>IF(AND(R1799="",S1799="Yes",L1799&lt;0,B1799&lt;&gt;"TXO"),L1799,"")</f>
        <v/>
      </c>
    </row>
    <row r="1800" hidden="1" outlineLevel="2" collapsed="1" ht="17.25" customHeight="1" thickBot="1">
      <c r="A1800" s="696" t="n">
        <v>43448</v>
      </c>
      <c r="B1800" s="234" t="inlineStr">
        <is>
          <t>FIMTX</t>
        </is>
      </c>
      <c r="C1800" s="229" t="inlineStr">
        <is>
          <t>小指12</t>
        </is>
      </c>
      <c r="D1800" s="229" t="inlineStr">
        <is>
          <t>平倉</t>
        </is>
      </c>
      <c r="E1800" s="257" t="inlineStr">
        <is>
          <t>買</t>
        </is>
      </c>
      <c r="F1800" s="229" t="inlineStr">
        <is>
          <t>-</t>
        </is>
      </c>
      <c r="G1800" s="697" t="n">
        <v>1</v>
      </c>
      <c r="H1800" s="697" t="n">
        <v>9742</v>
      </c>
      <c r="I1800" s="697" t="n">
        <v>0</v>
      </c>
      <c r="J1800" s="585" t="n">
        <v>23</v>
      </c>
      <c r="K1800" s="585" t="n">
        <v>10</v>
      </c>
      <c r="L1800" s="585">
        <f>IF(B1800="TXO",I1800-SUM(J1800:K1800),IF(B1800="FITX",IF(D1800="新倉",-SUM(J1800:K1800),IF(E1800="賣",(H1800-H1799)*G1800*200-SUM(J1800:K1800),(H1799-H1800)*G1800*200-SUM(J1800:K1800))),IF(D1800="新倉",-SUM(J1800:K1800),IF(E1800="賣",(H1800-H1799)*G1800*50-SUM(J1800:K1800),(H1799-H1800)*G1800*50-SUM(J1800:K1800)))))</f>
        <v/>
      </c>
      <c r="M1800" s="699">
        <f>L1800</f>
        <v/>
      </c>
      <c r="N1800" s="686">
        <f>IF(B1800="TXO","",IF(D1800="新倉","",IF(E1800="賣",(H1800-H1799)*G1800,(H1799-H1800)*G1800)))</f>
        <v/>
      </c>
      <c r="O1800" s="226" t="n">
        <v>0</v>
      </c>
      <c r="P1800" s="667" t="n"/>
      <c r="S1800" s="249" t="inlineStr">
        <is>
          <t>Yes</t>
        </is>
      </c>
      <c r="T1800" s="61">
        <f>IF(AND(R1800="Yes",S1800&lt;&gt;"Yes",L1800&gt;0,B1800&lt;&gt;"TXO"),L1800,"")</f>
        <v/>
      </c>
      <c r="U1800" s="61">
        <f>IF(AND(R1800="Yes",S1800&lt;&gt;"Yes",L1800&lt;0,B1800&lt;&gt;"TXO"),L1800,"")</f>
        <v/>
      </c>
      <c r="V1800" s="61">
        <f>IF(AND(R1800="",S1800&lt;&gt;"Yes",L1800&gt;0,B1800&lt;&gt;"TXO"),L1800,"")</f>
        <v/>
      </c>
      <c r="W1800" s="61">
        <f>IF(AND(R1800="",S1800&lt;&gt;"Yes",L1800&lt;0,B1800&lt;&gt;"TXO"),L1800,"")</f>
        <v/>
      </c>
      <c r="X1800" s="226">
        <f>IF(AND(R1800="Yes",S1800="Yes",L1800&gt;0,B1800&lt;&gt;"TXO"),L1800,"")</f>
        <v/>
      </c>
      <c r="Y1800" s="226">
        <f>IF(AND(R1800="Yes",S1800="Yes",L1800&lt;0,B1800&lt;&gt;"TXO"),L1800,"")</f>
        <v/>
      </c>
      <c r="Z1800" s="226">
        <f>IF(AND(R1800="",S1800="Yes",L1800&gt;0,B1800&lt;&gt;"TXO"),L1800,"")</f>
        <v/>
      </c>
      <c r="AA1800" s="226">
        <f>IF(AND(R1800="",S1800="Yes",L1800&lt;0,B1800&lt;&gt;"TXO"),L1800,"")</f>
        <v/>
      </c>
    </row>
    <row r="1801" hidden="1" outlineLevel="1" ht="17.25" customHeight="1" thickBot="1">
      <c r="A1801" s="740" t="n">
        <v>43453</v>
      </c>
      <c r="B1801" s="299" t="inlineStr">
        <is>
          <t>FIMTX</t>
        </is>
      </c>
      <c r="C1801" s="300" t="inlineStr">
        <is>
          <t>小指01</t>
        </is>
      </c>
      <c r="D1801" s="300" t="inlineStr">
        <is>
          <t>新倉</t>
        </is>
      </c>
      <c r="E1801" s="301" t="inlineStr">
        <is>
          <t>買</t>
        </is>
      </c>
      <c r="F1801" s="300" t="inlineStr">
        <is>
          <t>-</t>
        </is>
      </c>
      <c r="G1801" s="741" t="n">
        <v>1</v>
      </c>
      <c r="H1801" s="741" t="n">
        <v>9775</v>
      </c>
      <c r="I1801" s="741" t="n">
        <v>0</v>
      </c>
      <c r="J1801" s="742" t="n">
        <v>23</v>
      </c>
      <c r="K1801" s="742" t="n">
        <v>10</v>
      </c>
      <c r="L1801" s="742">
        <f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/>
      </c>
      <c r="M1801" s="743">
        <f>L1801</f>
        <v/>
      </c>
      <c r="N1801" s="686">
        <f>IF(B1801="TXO","",IF(D1801="新倉","",IF(E1801="賣",(H1801-H1800)*G1801,(H1800-H1801)*G1801)))</f>
        <v/>
      </c>
      <c r="O1801" s="226" t="n">
        <v>0</v>
      </c>
      <c r="P1801" s="667">
        <f>SUM(L1801:L1804)</f>
        <v/>
      </c>
      <c r="Q1801" s="297" t="inlineStr">
        <is>
          <t>技法: 3/3 買進2口</t>
        </is>
      </c>
      <c r="R1801" s="249" t="inlineStr">
        <is>
          <t>Yes</t>
        </is>
      </c>
      <c r="S1801" s="249" t="inlineStr">
        <is>
          <t>Yes</t>
        </is>
      </c>
      <c r="T1801" s="61">
        <f>IF(AND(R1801="Yes",S1801&lt;&gt;"Yes",L1801&gt;0,B1801&lt;&gt;"TXO"),L1801,"")</f>
        <v/>
      </c>
      <c r="U1801" s="61">
        <f>IF(AND(R1801="Yes",S1801&lt;&gt;"Yes",L1801&lt;0,B1801&lt;&gt;"TXO"),L1801,"")</f>
        <v/>
      </c>
      <c r="V1801" s="61">
        <f>IF(AND(R1801="",S1801&lt;&gt;"Yes",L1801&gt;0,B1801&lt;&gt;"TXO"),L1801,"")</f>
        <v/>
      </c>
      <c r="W1801" s="61">
        <f>IF(AND(R1801="",S1801&lt;&gt;"Yes",L1801&lt;0,B1801&lt;&gt;"TXO"),L1801,"")</f>
        <v/>
      </c>
      <c r="X1801" s="226">
        <f>IF(AND(R1801="Yes",S1801="Yes",L1801&gt;0,B1801&lt;&gt;"TXO"),L1801,"")</f>
        <v/>
      </c>
      <c r="Y1801" s="226">
        <f>IF(AND(R1801="Yes",S1801="Yes",L1801&lt;0,B1801&lt;&gt;"TXO"),L1801,"")</f>
        <v/>
      </c>
      <c r="Z1801" s="226">
        <f>IF(AND(R1801="",S1801="Yes",L1801&gt;0,B1801&lt;&gt;"TXO"),L1801,"")</f>
        <v/>
      </c>
      <c r="AA1801" s="226">
        <f>IF(AND(R1801="",S1801="Yes",L1801&lt;0,B1801&lt;&gt;"TXO"),L1801,"")</f>
        <v/>
      </c>
    </row>
    <row r="1802" hidden="1" outlineLevel="1" ht="17.25" customHeight="1" thickBot="1">
      <c r="A1802" s="740" t="n">
        <v>43453</v>
      </c>
      <c r="B1802" s="299" t="inlineStr">
        <is>
          <t>FIMTX</t>
        </is>
      </c>
      <c r="C1802" s="300" t="inlineStr">
        <is>
          <t>小指01</t>
        </is>
      </c>
      <c r="D1802" s="300" t="inlineStr">
        <is>
          <t>平倉</t>
        </is>
      </c>
      <c r="E1802" s="301" t="inlineStr">
        <is>
          <t>賣</t>
        </is>
      </c>
      <c r="F1802" s="300" t="inlineStr">
        <is>
          <t>-</t>
        </is>
      </c>
      <c r="G1802" s="741" t="n">
        <v>1</v>
      </c>
      <c r="H1802" s="741" t="n">
        <v>9781</v>
      </c>
      <c r="I1802" s="741" t="n">
        <v>0</v>
      </c>
      <c r="J1802" s="742" t="n">
        <v>23</v>
      </c>
      <c r="K1802" s="742" t="n">
        <v>10</v>
      </c>
      <c r="L1802" s="742">
        <f>IF(B1802="TXO",I1802-SUM(J1802:K1802),IF(B1802="FITX",IF(D1802="新倉",-SUM(J1802:K1802),IF(E1802="賣",(H1802-H1801)*G1802*200-SUM(J1802:K1802),(H1801-H1802)*G1802*200-SUM(J1802:K1802))),IF(D1802="新倉",-SUM(J1802:K1802),IF(E1802="賣",(H1802-H1801)*G1802*50-SUM(J1802:K1802),(H1801-H1802)*G1802*50-SUM(J1802:K1802)))))</f>
        <v/>
      </c>
      <c r="M1802" s="743">
        <f>L1802</f>
        <v/>
      </c>
      <c r="N1802" s="686">
        <f>IF(B1802="TXO","",IF(D1802="新倉","",IF(E1802="賣",(H1802-H1801)*G1802,(H1801-H1802)*G1802)))</f>
        <v/>
      </c>
      <c r="O1802" s="226" t="n">
        <v>0</v>
      </c>
      <c r="P1802" s="667" t="n"/>
      <c r="Q1802" s="249" t="inlineStr">
        <is>
          <t>技法: 刺補</t>
        </is>
      </c>
      <c r="R1802" s="249" t="inlineStr">
        <is>
          <t>Yes</t>
        </is>
      </c>
      <c r="S1802" s="249" t="inlineStr">
        <is>
          <t>Yes</t>
        </is>
      </c>
      <c r="T1802" s="61">
        <f>IF(AND(R1802="Yes",S1802&lt;&gt;"Yes",L1802&gt;0,B1802&lt;&gt;"TXO"),L1802,"")</f>
        <v/>
      </c>
      <c r="U1802" s="61">
        <f>IF(AND(R1802="Yes",S1802&lt;&gt;"Yes",L1802&lt;0,B1802&lt;&gt;"TXO"),L1802,"")</f>
        <v/>
      </c>
      <c r="V1802" s="61">
        <f>IF(AND(R1802="",S1802&lt;&gt;"Yes",L1802&gt;0,B1802&lt;&gt;"TXO"),L1802,"")</f>
        <v/>
      </c>
      <c r="W1802" s="61">
        <f>IF(AND(R1802="",S1802&lt;&gt;"Yes",L1802&lt;0,B1802&lt;&gt;"TXO"),L1802,"")</f>
        <v/>
      </c>
      <c r="X1802" s="226">
        <f>IF(AND(R1802="Yes",S1802="Yes",L1802&gt;0,B1802&lt;&gt;"TXO"),L1802,"")</f>
        <v/>
      </c>
      <c r="Y1802" s="226">
        <f>IF(AND(R1802="Yes",S1802="Yes",L1802&lt;0,B1802&lt;&gt;"TXO"),L1802,"")</f>
        <v/>
      </c>
      <c r="Z1802" s="226">
        <f>IF(AND(R1802="",S1802="Yes",L1802&gt;0,B1802&lt;&gt;"TXO"),L1802,"")</f>
        <v/>
      </c>
      <c r="AA1802" s="226">
        <f>IF(AND(R1802="",S1802="Yes",L1802&lt;0,B1802&lt;&gt;"TXO"),L1802,"")</f>
        <v/>
      </c>
    </row>
    <row r="1803" hidden="1" outlineLevel="1" ht="17.25" customHeight="1" thickBot="1">
      <c r="A1803" s="740" t="n">
        <v>43453</v>
      </c>
      <c r="B1803" s="299" t="inlineStr">
        <is>
          <t>FIMTX</t>
        </is>
      </c>
      <c r="C1803" s="300" t="inlineStr">
        <is>
          <t>小指01</t>
        </is>
      </c>
      <c r="D1803" s="300" t="inlineStr">
        <is>
          <t>新倉</t>
        </is>
      </c>
      <c r="E1803" s="301" t="inlineStr">
        <is>
          <t>買</t>
        </is>
      </c>
      <c r="F1803" s="300" t="inlineStr">
        <is>
          <t>-</t>
        </is>
      </c>
      <c r="G1803" s="741" t="n">
        <v>1</v>
      </c>
      <c r="H1803" s="741" t="n">
        <v>9773</v>
      </c>
      <c r="I1803" s="741" t="n">
        <v>0</v>
      </c>
      <c r="J1803" s="742" t="n">
        <v>23</v>
      </c>
      <c r="K1803" s="742" t="n">
        <v>10</v>
      </c>
      <c r="L1803" s="742">
        <f>IF(B1803="TXO",I1803-SUM(J1803:K1803),IF(B1803="FITX",IF(D1803="新倉",-SUM(J1803:K1803),IF(E1803="賣",(H1803-H1802)*G1803*200-SUM(J1803:K1803),(H1802-H1803)*G1803*200-SUM(J1803:K1803))),IF(D1803="新倉",-SUM(J1803:K1803),IF(E1803="賣",(H1803-H1802)*G1803*50-SUM(J1803:K1803),(H1802-H1803)*G1803*50-SUM(J1803:K1803)))))</f>
        <v/>
      </c>
      <c r="M1803" s="743">
        <f>L1803</f>
        <v/>
      </c>
      <c r="N1803" s="686">
        <f>IF(B1803="TXO","",IF(D1803="新倉","",IF(E1803="賣",(H1803-H1802)*G1803,(H1802-H1803)*G1803)))</f>
        <v/>
      </c>
      <c r="O1803" s="226" t="n">
        <v>0</v>
      </c>
      <c r="P1803" s="667" t="n"/>
      <c r="R1803" s="249" t="inlineStr">
        <is>
          <t>Yes</t>
        </is>
      </c>
      <c r="S1803" s="249" t="inlineStr">
        <is>
          <t>Yes</t>
        </is>
      </c>
      <c r="T1803" s="61">
        <f>IF(AND(R1803="Yes",S1803&lt;&gt;"Yes",L1803&gt;0,B1803&lt;&gt;"TXO"),L1803,"")</f>
        <v/>
      </c>
      <c r="U1803" s="61">
        <f>IF(AND(R1803="Yes",S1803&lt;&gt;"Yes",L1803&lt;0,B1803&lt;&gt;"TXO"),L1803,"")</f>
        <v/>
      </c>
      <c r="V1803" s="61">
        <f>IF(AND(R1803="",S1803&lt;&gt;"Yes",L1803&gt;0,B1803&lt;&gt;"TXO"),L1803,"")</f>
        <v/>
      </c>
      <c r="W1803" s="61">
        <f>IF(AND(R1803="",S1803&lt;&gt;"Yes",L1803&lt;0,B1803&lt;&gt;"TXO"),L1803,"")</f>
        <v/>
      </c>
      <c r="X1803" s="226">
        <f>IF(AND(R1803="Yes",S1803="Yes",L1803&gt;0,B1803&lt;&gt;"TXO"),L1803,"")</f>
        <v/>
      </c>
      <c r="Y1803" s="226">
        <f>IF(AND(R1803="Yes",S1803="Yes",L1803&lt;0,B1803&lt;&gt;"TXO"),L1803,"")</f>
        <v/>
      </c>
      <c r="Z1803" s="226">
        <f>IF(AND(R1803="",S1803="Yes",L1803&gt;0,B1803&lt;&gt;"TXO"),L1803,"")</f>
        <v/>
      </c>
      <c r="AA1803" s="226">
        <f>IF(AND(R1803="",S1803="Yes",L1803&lt;0,B1803&lt;&gt;"TXO"),L1803,"")</f>
        <v/>
      </c>
    </row>
    <row r="1804" hidden="1" outlineLevel="1" ht="17.25" customHeight="1" thickBot="1">
      <c r="A1804" s="740" t="n">
        <v>43453</v>
      </c>
      <c r="B1804" s="299" t="inlineStr">
        <is>
          <t>FIMTX</t>
        </is>
      </c>
      <c r="C1804" s="300" t="inlineStr">
        <is>
          <t>小指01</t>
        </is>
      </c>
      <c r="D1804" s="300" t="inlineStr">
        <is>
          <t>平倉</t>
        </is>
      </c>
      <c r="E1804" s="301" t="inlineStr">
        <is>
          <t>賣</t>
        </is>
      </c>
      <c r="F1804" s="300" t="inlineStr">
        <is>
          <t>-</t>
        </is>
      </c>
      <c r="G1804" s="741" t="n">
        <v>1</v>
      </c>
      <c r="H1804" s="741" t="n">
        <v>9780</v>
      </c>
      <c r="I1804" s="741" t="n">
        <v>0</v>
      </c>
      <c r="J1804" s="742" t="n">
        <v>23</v>
      </c>
      <c r="K1804" s="742" t="n">
        <v>10</v>
      </c>
      <c r="L1804" s="742">
        <f>IF(B1804="TXO",I1804-SUM(J1804:K1804),IF(B1804="FITX",IF(D1804="新倉",-SUM(J1804:K1804),IF(E1804="賣",(H1804-H1803)*G1804*200-SUM(J1804:K1804),(H1803-H1804)*G1804*200-SUM(J1804:K1804))),IF(D1804="新倉",-SUM(J1804:K1804),IF(E1804="賣",(H1804-H1803)*G1804*50-SUM(J1804:K1804),(H1803-H1804)*G1804*50-SUM(J1804:K1804)))))</f>
        <v/>
      </c>
      <c r="M1804" s="743">
        <f>L1804</f>
        <v/>
      </c>
      <c r="N1804" s="686">
        <f>IF(B1804="TXO","",IF(D1804="新倉","",IF(E1804="賣",(H1804-H1803)*G1804,(H1803-H1804)*G1804)))</f>
        <v/>
      </c>
      <c r="O1804" s="226" t="n">
        <v>0</v>
      </c>
      <c r="P1804" s="667" t="n"/>
      <c r="Q1804" s="249" t="inlineStr">
        <is>
          <t>技法: 移動式停利</t>
        </is>
      </c>
      <c r="R1804" s="249" t="inlineStr">
        <is>
          <t>Yes</t>
        </is>
      </c>
      <c r="S1804" s="249" t="inlineStr">
        <is>
          <t>Yes</t>
        </is>
      </c>
      <c r="T1804" s="61">
        <f>IF(AND(R1804="Yes",S1804&lt;&gt;"Yes",L1804&gt;0,B1804&lt;&gt;"TXO"),L1804,"")</f>
        <v/>
      </c>
      <c r="U1804" s="61">
        <f>IF(AND(R1804="Yes",S1804&lt;&gt;"Yes",L1804&lt;0,B1804&lt;&gt;"TXO"),L1804,"")</f>
        <v/>
      </c>
      <c r="V1804" s="61">
        <f>IF(AND(R1804="",S1804&lt;&gt;"Yes",L1804&gt;0,B1804&lt;&gt;"TXO"),L1804,"")</f>
        <v/>
      </c>
      <c r="W1804" s="61">
        <f>IF(AND(R1804="",S1804&lt;&gt;"Yes",L1804&lt;0,B1804&lt;&gt;"TXO"),L1804,"")</f>
        <v/>
      </c>
      <c r="X1804" s="226">
        <f>IF(AND(R1804="Yes",S1804="Yes",L1804&gt;0,B1804&lt;&gt;"TXO"),L1804,"")</f>
        <v/>
      </c>
      <c r="Y1804" s="226">
        <f>IF(AND(R1804="Yes",S1804="Yes",L1804&lt;0,B1804&lt;&gt;"TXO"),L1804,"")</f>
        <v/>
      </c>
      <c r="Z1804" s="226">
        <f>IF(AND(R1804="",S1804="Yes",L1804&gt;0,B1804&lt;&gt;"TXO"),L1804,"")</f>
        <v/>
      </c>
      <c r="AA1804" s="226">
        <f>IF(AND(R1804="",S1804="Yes",L1804&lt;0,B1804&lt;&gt;"TXO"),L1804,"")</f>
        <v/>
      </c>
    </row>
    <row r="1805" hidden="1" outlineLevel="1" ht="17.25" customHeight="1" thickBot="1">
      <c r="A1805" s="696" t="n">
        <v>43455</v>
      </c>
      <c r="B1805" s="234" t="inlineStr">
        <is>
          <t>FIMTX</t>
        </is>
      </c>
      <c r="C1805" s="229" t="inlineStr">
        <is>
          <t>小指01</t>
        </is>
      </c>
      <c r="D1805" s="229" t="inlineStr">
        <is>
          <t>新倉</t>
        </is>
      </c>
      <c r="E1805" s="257" t="inlineStr">
        <is>
          <t>買</t>
        </is>
      </c>
      <c r="F1805" s="229" t="inlineStr">
        <is>
          <t>-</t>
        </is>
      </c>
      <c r="G1805" s="697" t="n">
        <v>3</v>
      </c>
      <c r="H1805" s="697" t="n">
        <v>9642</v>
      </c>
      <c r="I1805" s="697" t="n">
        <v>0</v>
      </c>
      <c r="J1805" s="585" t="n">
        <v>69</v>
      </c>
      <c r="K1805" s="585" t="n">
        <v>30</v>
      </c>
      <c r="L1805" s="585">
        <f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/>
      </c>
      <c r="M1805" s="699">
        <f>L1805</f>
        <v/>
      </c>
      <c r="N1805" s="686">
        <f>IF(B1805="TXO","",IF(D1805="新倉","",IF(E1805="賣",(H1805-H1804)*G1805,(H1804-H1805)*G1805)))</f>
        <v/>
      </c>
      <c r="O1805" s="226" t="n">
        <v>0</v>
      </c>
      <c r="P1805" s="667">
        <f>SUM(L1805:L1810)</f>
        <v/>
      </c>
      <c r="Q1805" s="297" t="inlineStr">
        <is>
          <t>技法: 3/3 買進3口</t>
        </is>
      </c>
      <c r="R1805" s="249" t="inlineStr">
        <is>
          <t>Yes</t>
        </is>
      </c>
      <c r="S1805" s="249" t="n"/>
      <c r="T1805" s="61">
        <f>IF(AND(R1805="Yes",S1805&lt;&gt;"Yes",L1805&gt;0,B1805&lt;&gt;"TXO"),L1805,"")</f>
        <v/>
      </c>
      <c r="U1805" s="61">
        <f>IF(AND(R1805="Yes",S1805&lt;&gt;"Yes",L1805&lt;0,B1805&lt;&gt;"TXO"),L1805,"")</f>
        <v/>
      </c>
      <c r="V1805" s="61">
        <f>IF(AND(R1805="",S1805&lt;&gt;"Yes",L1805&gt;0,B1805&lt;&gt;"TXO"),L1805,"")</f>
        <v/>
      </c>
      <c r="W1805" s="61">
        <f>IF(AND(R1805="",S1805&lt;&gt;"Yes",L1805&lt;0,B1805&lt;&gt;"TXO"),L1805,"")</f>
        <v/>
      </c>
      <c r="X1805" s="226">
        <f>IF(AND(R1805="Yes",S1805="Yes",L1805&gt;0,B1805&lt;&gt;"TXO"),L1805,"")</f>
        <v/>
      </c>
      <c r="Y1805" s="226">
        <f>IF(AND(R1805="Yes",S1805="Yes",L1805&lt;0,B1805&lt;&gt;"TXO"),L1805,"")</f>
        <v/>
      </c>
      <c r="Z1805" s="226">
        <f>IF(AND(R1805="",S1805="Yes",L1805&gt;0,B1805&lt;&gt;"TXO"),L1805,"")</f>
        <v/>
      </c>
      <c r="AA1805" s="226">
        <f>IF(AND(R1805="",S1805="Yes",L1805&lt;0,B1805&lt;&gt;"TXO"),L1805,"")</f>
        <v/>
      </c>
    </row>
    <row r="1806" hidden="1" outlineLevel="2" collapsed="1" ht="17.25" customHeight="1" thickBot="1">
      <c r="A1806" s="696" t="n">
        <v>43455</v>
      </c>
      <c r="B1806" s="234" t="inlineStr">
        <is>
          <t>FIMTX</t>
        </is>
      </c>
      <c r="C1806" s="229" t="inlineStr">
        <is>
          <t>小指01</t>
        </is>
      </c>
      <c r="D1806" s="229" t="inlineStr">
        <is>
          <t>平倉</t>
        </is>
      </c>
      <c r="E1806" s="257" t="inlineStr">
        <is>
          <t>賣</t>
        </is>
      </c>
      <c r="F1806" s="229" t="inlineStr">
        <is>
          <t>-</t>
        </is>
      </c>
      <c r="G1806" s="697" t="n">
        <v>3</v>
      </c>
      <c r="H1806" s="697" t="n">
        <v>9627</v>
      </c>
      <c r="I1806" s="697" t="n">
        <v>0</v>
      </c>
      <c r="J1806" s="585" t="n">
        <v>69</v>
      </c>
      <c r="K1806" s="585" t="n">
        <v>30</v>
      </c>
      <c r="L1806" s="585">
        <f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/>
      </c>
      <c r="M1806" s="699">
        <f>L1806</f>
        <v/>
      </c>
      <c r="N1806" s="686">
        <f>IF(B1806="TXO","",IF(D1806="新倉","",IF(E1806="賣",(H1806-H1805)*G1806,(H1805-H1806)*G1806)))</f>
        <v/>
      </c>
      <c r="O1806" s="226" t="n">
        <v>0</v>
      </c>
      <c r="P1806" s="667" t="n"/>
      <c r="Q1806" s="249" t="inlineStr">
        <is>
          <t>技法: 15點停損</t>
        </is>
      </c>
      <c r="R1806" s="249" t="inlineStr">
        <is>
          <t>Yes</t>
        </is>
      </c>
      <c r="S1806" s="249" t="n"/>
      <c r="T1806" s="61">
        <f>IF(AND(R1806="Yes",S1806&lt;&gt;"Yes",L1806&gt;0,B1806&lt;&gt;"TXO"),L1806,"")</f>
        <v/>
      </c>
      <c r="U1806" s="61">
        <f>IF(AND(R1806="Yes",S1806&lt;&gt;"Yes",L1806&lt;0,B1806&lt;&gt;"TXO"),L1806,"")</f>
        <v/>
      </c>
      <c r="V1806" s="61">
        <f>IF(AND(R1806="",S1806&lt;&gt;"Yes",L1806&gt;0,B1806&lt;&gt;"TXO"),L1806,"")</f>
        <v/>
      </c>
      <c r="W1806" s="61">
        <f>IF(AND(R1806="",S1806&lt;&gt;"Yes",L1806&lt;0,B1806&lt;&gt;"TXO"),L1806,"")</f>
        <v/>
      </c>
      <c r="X1806" s="226">
        <f>IF(AND(R1806="Yes",S1806="Yes",L1806&gt;0,B1806&lt;&gt;"TXO"),L1806,"")</f>
        <v/>
      </c>
      <c r="Y1806" s="226">
        <f>IF(AND(R1806="Yes",S1806="Yes",L1806&lt;0,B1806&lt;&gt;"TXO"),L1806,"")</f>
        <v/>
      </c>
      <c r="Z1806" s="226">
        <f>IF(AND(R1806="",S1806="Yes",L1806&gt;0,B1806&lt;&gt;"TXO"),L1806,"")</f>
        <v/>
      </c>
      <c r="AA1806" s="226">
        <f>IF(AND(R1806="",S1806="Yes",L1806&lt;0,B1806&lt;&gt;"TXO"),L1806,"")</f>
        <v/>
      </c>
    </row>
    <row r="1807" hidden="1" outlineLevel="2" collapsed="1" ht="17.25" customHeight="1" thickBot="1">
      <c r="A1807" s="696" t="n">
        <v>43455</v>
      </c>
      <c r="B1807" s="234" t="inlineStr">
        <is>
          <t>FIMTX</t>
        </is>
      </c>
      <c r="C1807" s="229" t="inlineStr">
        <is>
          <t>小指01</t>
        </is>
      </c>
      <c r="D1807" s="229" t="inlineStr">
        <is>
          <t>新倉</t>
        </is>
      </c>
      <c r="E1807" s="257" t="inlineStr">
        <is>
          <t>賣</t>
        </is>
      </c>
      <c r="F1807" s="229" t="inlineStr">
        <is>
          <t>-</t>
        </is>
      </c>
      <c r="G1807" s="697" t="n">
        <v>1</v>
      </c>
      <c r="H1807" s="697" t="n">
        <v>9625</v>
      </c>
      <c r="I1807" s="697" t="n">
        <v>0</v>
      </c>
      <c r="J1807" s="585" t="n">
        <v>23</v>
      </c>
      <c r="K1807" s="585" t="n">
        <v>10</v>
      </c>
      <c r="L1807" s="585">
        <f>IF(B1807="TXO",I1807-SUM(J1807:K1807),IF(B1807="FITX",IF(D1807="新倉",-SUM(J1807:K1807),IF(E1807="賣",(H1807-H1806)*G1807*200-SUM(J1807:K1807),(H1806-H1807)*G1807*200-SUM(J1807:K1807))),IF(D1807="新倉",-SUM(J1807:K1807),IF(E1807="賣",(H1807-H1806)*G1807*50-SUM(J1807:K1807),(H1806-H1807)*G1807*50-SUM(J1807:K1807)))))</f>
        <v/>
      </c>
      <c r="M1807" s="699">
        <f>L1807</f>
        <v/>
      </c>
      <c r="N1807" s="686">
        <f>IF(B1807="TXO","",IF(D1807="新倉","",IF(E1807="賣",(H1807-H1806)*G1807,(H1806-H1807)*G1807)))</f>
        <v/>
      </c>
      <c r="O1807" s="226" t="n">
        <v>0</v>
      </c>
      <c r="P1807" s="667" t="n"/>
      <c r="Q1807" s="297" t="n"/>
      <c r="S1807" s="249" t="n"/>
      <c r="T1807" s="61">
        <f>IF(AND(R1807="Yes",S1807&lt;&gt;"Yes",L1807&gt;0,B1807&lt;&gt;"TXO"),L1807,"")</f>
        <v/>
      </c>
      <c r="U1807" s="61">
        <f>IF(AND(R1807="Yes",S1807&lt;&gt;"Yes",L1807&lt;0,B1807&lt;&gt;"TXO"),L1807,"")</f>
        <v/>
      </c>
      <c r="V1807" s="61">
        <f>IF(AND(R1807="",S1807&lt;&gt;"Yes",L1807&gt;0,B1807&lt;&gt;"TXO"),L1807,"")</f>
        <v/>
      </c>
      <c r="W1807" s="61">
        <f>IF(AND(R1807="",S1807&lt;&gt;"Yes",L1807&lt;0,B1807&lt;&gt;"TXO"),L1807,"")</f>
        <v/>
      </c>
      <c r="X1807" s="226">
        <f>IF(AND(R1807="Yes",S1807="Yes",L1807&gt;0,B1807&lt;&gt;"TXO"),L1807,"")</f>
        <v/>
      </c>
      <c r="Y1807" s="226">
        <f>IF(AND(R1807="Yes",S1807="Yes",L1807&lt;0,B1807&lt;&gt;"TXO"),L1807,"")</f>
        <v/>
      </c>
      <c r="Z1807" s="226">
        <f>IF(AND(R1807="",S1807="Yes",L1807&gt;0,B1807&lt;&gt;"TXO"),L1807,"")</f>
        <v/>
      </c>
      <c r="AA1807" s="226">
        <f>IF(AND(R1807="",S1807="Yes",L1807&lt;0,B1807&lt;&gt;"TXO"),L1807,"")</f>
        <v/>
      </c>
    </row>
    <row r="1808" hidden="1" outlineLevel="2" collapsed="1" ht="17.25" customHeight="1" thickBot="1">
      <c r="A1808" s="696" t="n">
        <v>43455</v>
      </c>
      <c r="B1808" s="234" t="inlineStr">
        <is>
          <t>FIMTX</t>
        </is>
      </c>
      <c r="C1808" s="229" t="inlineStr">
        <is>
          <t>小指01</t>
        </is>
      </c>
      <c r="D1808" s="229" t="inlineStr">
        <is>
          <t>平倉</t>
        </is>
      </c>
      <c r="E1808" s="257" t="inlineStr">
        <is>
          <t>買</t>
        </is>
      </c>
      <c r="F1808" s="229" t="inlineStr">
        <is>
          <t>-</t>
        </is>
      </c>
      <c r="G1808" s="697" t="n">
        <v>1</v>
      </c>
      <c r="H1808" s="697" t="n">
        <v>9600</v>
      </c>
      <c r="I1808" s="697" t="n">
        <v>0</v>
      </c>
      <c r="J1808" s="585" t="n">
        <v>23</v>
      </c>
      <c r="K1808" s="585" t="n">
        <v>10</v>
      </c>
      <c r="L1808" s="585">
        <f>IF(B1808="TXO",I1808-SUM(J1808:K1808),IF(B1808="FITX",IF(D1808="新倉",-SUM(J1808:K1808),IF(E1808="賣",(H1808-H1807)*G1808*200-SUM(J1808:K1808),(H1807-H1808)*G1808*200-SUM(J1808:K1808))),IF(D1808="新倉",-SUM(J1808:K1808),IF(E1808="賣",(H1808-H1807)*G1808*50-SUM(J1808:K1808),(H1807-H1808)*G1808*50-SUM(J1808:K1808)))))</f>
        <v/>
      </c>
      <c r="M1808" s="699">
        <f>L1808</f>
        <v/>
      </c>
      <c r="N1808" s="686">
        <f>IF(B1808="TXO","",IF(D1808="新倉","",IF(E1808="賣",(H1808-H1807)*G1808,(H1807-H1808)*G1808)))</f>
        <v/>
      </c>
      <c r="O1808" s="226" t="n">
        <v>0</v>
      </c>
      <c r="P1808" s="667" t="n"/>
      <c r="S1808" s="249" t="n"/>
      <c r="T1808" s="61">
        <f>IF(AND(R1808="Yes",S1808&lt;&gt;"Yes",L1808&gt;0,B1808&lt;&gt;"TXO"),L1808,"")</f>
        <v/>
      </c>
      <c r="U1808" s="61">
        <f>IF(AND(R1808="Yes",S1808&lt;&gt;"Yes",L1808&lt;0,B1808&lt;&gt;"TXO"),L1808,"")</f>
        <v/>
      </c>
      <c r="V1808" s="61">
        <f>IF(AND(R1808="",S1808&lt;&gt;"Yes",L1808&gt;0,B1808&lt;&gt;"TXO"),L1808,"")</f>
        <v/>
      </c>
      <c r="W1808" s="61">
        <f>IF(AND(R1808="",S1808&lt;&gt;"Yes",L1808&lt;0,B1808&lt;&gt;"TXO"),L1808,"")</f>
        <v/>
      </c>
      <c r="X1808" s="226">
        <f>IF(AND(R1808="Yes",S1808="Yes",L1808&gt;0,B1808&lt;&gt;"TXO"),L1808,"")</f>
        <v/>
      </c>
      <c r="Y1808" s="226">
        <f>IF(AND(R1808="Yes",S1808="Yes",L1808&lt;0,B1808&lt;&gt;"TXO"),L1808,"")</f>
        <v/>
      </c>
      <c r="Z1808" s="226">
        <f>IF(AND(R1808="",S1808="Yes",L1808&gt;0,B1808&lt;&gt;"TXO"),L1808,"")</f>
        <v/>
      </c>
      <c r="AA1808" s="226">
        <f>IF(AND(R1808="",S1808="Yes",L1808&lt;0,B1808&lt;&gt;"TXO"),L1808,"")</f>
        <v/>
      </c>
    </row>
    <row r="1809" hidden="1" outlineLevel="2" collapsed="1" ht="17.25" customHeight="1" thickBot="1">
      <c r="A1809" s="696" t="n">
        <v>43455</v>
      </c>
      <c r="B1809" s="234" t="inlineStr">
        <is>
          <t>FIMTX</t>
        </is>
      </c>
      <c r="C1809" s="229" t="inlineStr">
        <is>
          <t>小指01</t>
        </is>
      </c>
      <c r="D1809" s="229" t="inlineStr">
        <is>
          <t>新倉</t>
        </is>
      </c>
      <c r="E1809" s="257" t="inlineStr">
        <is>
          <t>賣</t>
        </is>
      </c>
      <c r="F1809" s="229" t="inlineStr">
        <is>
          <t>-</t>
        </is>
      </c>
      <c r="G1809" s="697" t="n">
        <v>2</v>
      </c>
      <c r="H1809" s="697" t="n">
        <v>9625</v>
      </c>
      <c r="I1809" s="697" t="n">
        <v>0</v>
      </c>
      <c r="J1809" s="585" t="n">
        <v>46</v>
      </c>
      <c r="K1809" s="585" t="n">
        <v>20</v>
      </c>
      <c r="L1809" s="585">
        <f>IF(B1809="TXO",I1809-SUM(J1809:K1809),IF(B1809="FITX",IF(D1809="新倉",-SUM(J1809:K1809),IF(E1809="賣",(H1809-H1808)*G1809*200-SUM(J1809:K1809),(H1808-H1809)*G1809*200-SUM(J1809:K1809))),IF(D1809="新倉",-SUM(J1809:K1809),IF(E1809="賣",(H1809-H1808)*G1809*50-SUM(J1809:K1809),(H1808-H1809)*G1809*50-SUM(J1809:K1809)))))</f>
        <v/>
      </c>
      <c r="M1809" s="699">
        <f>L1809</f>
        <v/>
      </c>
      <c r="N1809" s="686">
        <f>IF(B1809="TXO","",IF(D1809="新倉","",IF(E1809="賣",(H1809-H1808)*G1809,(H1808-H1809)*G1809)))</f>
        <v/>
      </c>
      <c r="O1809" s="226" t="n">
        <v>0</v>
      </c>
      <c r="P1809" s="667" t="n"/>
      <c r="Q1809" s="297" t="n"/>
      <c r="S1809" s="249" t="n"/>
      <c r="T1809" s="61">
        <f>IF(AND(R1809="Yes",S1809&lt;&gt;"Yes",L1809&gt;0,B1809&lt;&gt;"TXO"),L1809,"")</f>
        <v/>
      </c>
      <c r="U1809" s="61">
        <f>IF(AND(R1809="Yes",S1809&lt;&gt;"Yes",L1809&lt;0,B1809&lt;&gt;"TXO"),L1809,"")</f>
        <v/>
      </c>
      <c r="V1809" s="61">
        <f>IF(AND(R1809="",S1809&lt;&gt;"Yes",L1809&gt;0,B1809&lt;&gt;"TXO"),L1809,"")</f>
        <v/>
      </c>
      <c r="W1809" s="61">
        <f>IF(AND(R1809="",S1809&lt;&gt;"Yes",L1809&lt;0,B1809&lt;&gt;"TXO"),L1809,"")</f>
        <v/>
      </c>
      <c r="X1809" s="226">
        <f>IF(AND(R1809="Yes",S1809="Yes",L1809&gt;0,B1809&lt;&gt;"TXO"),L1809,"")</f>
        <v/>
      </c>
      <c r="Y1809" s="226">
        <f>IF(AND(R1809="Yes",S1809="Yes",L1809&lt;0,B1809&lt;&gt;"TXO"),L1809,"")</f>
        <v/>
      </c>
      <c r="Z1809" s="226">
        <f>IF(AND(R1809="",S1809="Yes",L1809&gt;0,B1809&lt;&gt;"TXO"),L1809,"")</f>
        <v/>
      </c>
      <c r="AA1809" s="226">
        <f>IF(AND(R1809="",S1809="Yes",L1809&lt;0,B1809&lt;&gt;"TXO"),L1809,"")</f>
        <v/>
      </c>
    </row>
    <row r="1810" hidden="1" outlineLevel="2" collapsed="1" ht="17.25" customHeight="1" thickBot="1">
      <c r="A1810" s="696" t="n">
        <v>43455</v>
      </c>
      <c r="B1810" s="234" t="inlineStr">
        <is>
          <t>FIMTX</t>
        </is>
      </c>
      <c r="C1810" s="229" t="inlineStr">
        <is>
          <t>小指01</t>
        </is>
      </c>
      <c r="D1810" s="229" t="inlineStr">
        <is>
          <t>平倉</t>
        </is>
      </c>
      <c r="E1810" s="257" t="inlineStr">
        <is>
          <t>買</t>
        </is>
      </c>
      <c r="F1810" s="229" t="inlineStr">
        <is>
          <t>-</t>
        </is>
      </c>
      <c r="G1810" s="697" t="n">
        <v>2</v>
      </c>
      <c r="H1810" s="697" t="n">
        <v>9602</v>
      </c>
      <c r="I1810" s="697" t="n">
        <v>0</v>
      </c>
      <c r="J1810" s="585" t="n">
        <v>46</v>
      </c>
      <c r="K1810" s="585" t="n">
        <v>20</v>
      </c>
      <c r="L1810" s="585">
        <f>IF(B1810="TXO",I1810-SUM(J1810:K1810),IF(B1810="FITX",IF(D1810="新倉",-SUM(J1810:K1810),IF(E1810="賣",(H1810-H1809)*G1810*200-SUM(J1810:K1810),(H1809-H1810)*G1810*200-SUM(J1810:K1810))),IF(D1810="新倉",-SUM(J1810:K1810),IF(E1810="賣",(H1810-H1809)*G1810*50-SUM(J1810:K1810),(H1809-H1810)*G1810*50-SUM(J1810:K1810)))))</f>
        <v/>
      </c>
      <c r="M1810" s="699">
        <f>L1810</f>
        <v/>
      </c>
      <c r="N1810" s="686">
        <f>IF(B1810="TXO","",IF(D1810="新倉","",IF(E1810="賣",(H1810-H1809)*G1810,(H1809-H1810)*G1810)))</f>
        <v/>
      </c>
      <c r="O1810" s="226" t="n">
        <v>0</v>
      </c>
      <c r="P1810" s="667" t="n"/>
      <c r="S1810" s="249" t="n"/>
      <c r="T1810" s="61">
        <f>IF(AND(R1810="Yes",S1810&lt;&gt;"Yes",L1810&gt;0,B1810&lt;&gt;"TXO"),L1810,"")</f>
        <v/>
      </c>
      <c r="U1810" s="61">
        <f>IF(AND(R1810="Yes",S1810&lt;&gt;"Yes",L1810&lt;0,B1810&lt;&gt;"TXO"),L1810,"")</f>
        <v/>
      </c>
      <c r="V1810" s="61">
        <f>IF(AND(R1810="",S1810&lt;&gt;"Yes",L1810&gt;0,B1810&lt;&gt;"TXO"),L1810,"")</f>
        <v/>
      </c>
      <c r="W1810" s="61">
        <f>IF(AND(R1810="",S1810&lt;&gt;"Yes",L1810&lt;0,B1810&lt;&gt;"TXO"),L1810,"")</f>
        <v/>
      </c>
      <c r="X1810" s="226">
        <f>IF(AND(R1810="Yes",S1810="Yes",L1810&gt;0,B1810&lt;&gt;"TXO"),L1810,"")</f>
        <v/>
      </c>
      <c r="Y1810" s="226">
        <f>IF(AND(R1810="Yes",S1810="Yes",L1810&lt;0,B1810&lt;&gt;"TXO"),L1810,"")</f>
        <v/>
      </c>
      <c r="Z1810" s="226">
        <f>IF(AND(R1810="",S1810="Yes",L1810&gt;0,B1810&lt;&gt;"TXO"),L1810,"")</f>
        <v/>
      </c>
      <c r="AA1810" s="226">
        <f>IF(AND(R1810="",S1810="Yes",L1810&lt;0,B1810&lt;&gt;"TXO"),L1810,"")</f>
        <v/>
      </c>
    </row>
    <row r="1811" hidden="1" outlineLevel="1" ht="17.25" customHeight="1" thickBot="1">
      <c r="A1811" s="740" t="n">
        <v>43458</v>
      </c>
      <c r="B1811" s="299" t="inlineStr">
        <is>
          <t>FIMTX</t>
        </is>
      </c>
      <c r="C1811" s="300" t="inlineStr">
        <is>
          <t>小指01</t>
        </is>
      </c>
      <c r="D1811" s="300" t="inlineStr">
        <is>
          <t>新倉</t>
        </is>
      </c>
      <c r="E1811" s="301" t="inlineStr">
        <is>
          <t>賣</t>
        </is>
      </c>
      <c r="F1811" s="300" t="inlineStr">
        <is>
          <t>-</t>
        </is>
      </c>
      <c r="G1811" s="741" t="n">
        <v>1</v>
      </c>
      <c r="H1811" s="741" t="n">
        <v>9572</v>
      </c>
      <c r="I1811" s="741" t="n">
        <v>0</v>
      </c>
      <c r="J1811" s="742" t="n">
        <v>23</v>
      </c>
      <c r="K1811" s="742" t="n">
        <v>10</v>
      </c>
      <c r="L1811" s="742">
        <f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/>
      </c>
      <c r="M1811" s="743">
        <f>L1811</f>
        <v/>
      </c>
      <c r="N1811" s="686">
        <f>IF(B1811="TXO","",IF(D1811="新倉","",IF(E1811="賣",(H1811-H1810)*G1811,(H1810-H1811)*G1811)))</f>
        <v/>
      </c>
      <c r="O1811" s="226" t="n">
        <v>0</v>
      </c>
      <c r="P1811" s="667">
        <f>SUM(L1811:L1816)</f>
        <v/>
      </c>
      <c r="Q1811" s="297" t="inlineStr">
        <is>
          <t>技法: 3/3 買進一口</t>
        </is>
      </c>
      <c r="R1811" s="249" t="inlineStr">
        <is>
          <t>Yes</t>
        </is>
      </c>
      <c r="S1811" s="249" t="inlineStr">
        <is>
          <t>Yes</t>
        </is>
      </c>
      <c r="T1811" s="61">
        <f>IF(AND(R1811="Yes",S1811&lt;&gt;"Yes",L1811&gt;0,B1811&lt;&gt;"TXO"),L1811,"")</f>
        <v/>
      </c>
      <c r="U1811" s="61">
        <f>IF(AND(R1811="Yes",S1811&lt;&gt;"Yes",L1811&lt;0,B1811&lt;&gt;"TXO"),L1811,"")</f>
        <v/>
      </c>
      <c r="V1811" s="61">
        <f>IF(AND(R1811="",S1811&lt;&gt;"Yes",L1811&gt;0,B1811&lt;&gt;"TXO"),L1811,"")</f>
        <v/>
      </c>
      <c r="W1811" s="61">
        <f>IF(AND(R1811="",S1811&lt;&gt;"Yes",L1811&lt;0,B1811&lt;&gt;"TXO"),L1811,"")</f>
        <v/>
      </c>
      <c r="X1811" s="226">
        <f>IF(AND(R1811="Yes",S1811="Yes",L1811&gt;0,B1811&lt;&gt;"TXO"),L1811,"")</f>
        <v/>
      </c>
      <c r="Y1811" s="226">
        <f>IF(AND(R1811="Yes",S1811="Yes",L1811&lt;0,B1811&lt;&gt;"TXO"),L1811,"")</f>
        <v/>
      </c>
      <c r="Z1811" s="226">
        <f>IF(AND(R1811="",S1811="Yes",L1811&gt;0,B1811&lt;&gt;"TXO"),L1811,"")</f>
        <v/>
      </c>
      <c r="AA1811" s="226">
        <f>IF(AND(R1811="",S1811="Yes",L1811&lt;0,B1811&lt;&gt;"TXO"),L1811,"")</f>
        <v/>
      </c>
    </row>
    <row r="1812" hidden="1" outlineLevel="2" ht="17.25" customHeight="1" thickBot="1">
      <c r="A1812" s="740" t="n">
        <v>43458</v>
      </c>
      <c r="B1812" s="299" t="inlineStr">
        <is>
          <t>FIMTX</t>
        </is>
      </c>
      <c r="C1812" s="300" t="inlineStr">
        <is>
          <t>小指01</t>
        </is>
      </c>
      <c r="D1812" s="300" t="inlineStr">
        <is>
          <t>平倉</t>
        </is>
      </c>
      <c r="E1812" s="301" t="inlineStr">
        <is>
          <t>買</t>
        </is>
      </c>
      <c r="F1812" s="300" t="inlineStr">
        <is>
          <t>-</t>
        </is>
      </c>
      <c r="G1812" s="741" t="n">
        <v>1</v>
      </c>
      <c r="H1812" s="741" t="n">
        <v>9564</v>
      </c>
      <c r="I1812" s="741" t="n">
        <v>0</v>
      </c>
      <c r="J1812" s="742" t="n">
        <v>23</v>
      </c>
      <c r="K1812" s="742" t="n">
        <v>10</v>
      </c>
      <c r="L1812" s="742">
        <f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/>
      </c>
      <c r="M1812" s="743">
        <f>L1812</f>
        <v/>
      </c>
      <c r="N1812" s="686">
        <f>IF(B1812="TXO","",IF(D1812="新倉","",IF(E1812="賣",(H1812-H1811)*G1812,(H1811-H1812)*G1812)))</f>
        <v/>
      </c>
      <c r="O1812" s="226" t="n">
        <v>0</v>
      </c>
      <c r="P1812" s="667" t="n"/>
      <c r="R1812" s="249" t="inlineStr">
        <is>
          <t>Yes</t>
        </is>
      </c>
      <c r="S1812" s="249" t="inlineStr">
        <is>
          <t>Yes</t>
        </is>
      </c>
      <c r="T1812" s="61">
        <f>IF(AND(R1812="Yes",S1812&lt;&gt;"Yes",L1812&gt;0,B1812&lt;&gt;"TXO"),L1812,"")</f>
        <v/>
      </c>
      <c r="U1812" s="61">
        <f>IF(AND(R1812="Yes",S1812&lt;&gt;"Yes",L1812&lt;0,B1812&lt;&gt;"TXO"),L1812,"")</f>
        <v/>
      </c>
      <c r="V1812" s="61">
        <f>IF(AND(R1812="",S1812&lt;&gt;"Yes",L1812&gt;0,B1812&lt;&gt;"TXO"),L1812,"")</f>
        <v/>
      </c>
      <c r="W1812" s="61">
        <f>IF(AND(R1812="",S1812&lt;&gt;"Yes",L1812&lt;0,B1812&lt;&gt;"TXO"),L1812,"")</f>
        <v/>
      </c>
      <c r="X1812" s="226">
        <f>IF(AND(R1812="Yes",S1812="Yes",L1812&gt;0,B1812&lt;&gt;"TXO"),L1812,"")</f>
        <v/>
      </c>
      <c r="Y1812" s="226">
        <f>IF(AND(R1812="Yes",S1812="Yes",L1812&lt;0,B1812&lt;&gt;"TXO"),L1812,"")</f>
        <v/>
      </c>
      <c r="Z1812" s="226">
        <f>IF(AND(R1812="",S1812="Yes",L1812&gt;0,B1812&lt;&gt;"TXO"),L1812,"")</f>
        <v/>
      </c>
      <c r="AA1812" s="226">
        <f>IF(AND(R1812="",S1812="Yes",L1812&lt;0,B1812&lt;&gt;"TXO"),L1812,"")</f>
        <v/>
      </c>
    </row>
    <row r="1813" hidden="1" outlineLevel="2" ht="17.25" customHeight="1" thickBot="1">
      <c r="A1813" s="740" t="n">
        <v>43458</v>
      </c>
      <c r="B1813" s="299" t="inlineStr">
        <is>
          <t>FIMTX</t>
        </is>
      </c>
      <c r="C1813" s="300" t="inlineStr">
        <is>
          <t>小指01</t>
        </is>
      </c>
      <c r="D1813" s="300" t="inlineStr">
        <is>
          <t>新倉</t>
        </is>
      </c>
      <c r="E1813" s="301" t="inlineStr">
        <is>
          <t>賣</t>
        </is>
      </c>
      <c r="F1813" s="300" t="inlineStr">
        <is>
          <t>-</t>
        </is>
      </c>
      <c r="G1813" s="741" t="n">
        <v>1</v>
      </c>
      <c r="H1813" s="741" t="n">
        <v>9572</v>
      </c>
      <c r="I1813" s="741" t="n">
        <v>0</v>
      </c>
      <c r="J1813" s="742" t="n">
        <v>23</v>
      </c>
      <c r="K1813" s="742" t="n">
        <v>10</v>
      </c>
      <c r="L1813" s="742">
        <f>IF(B1813="TXO",I1813-SUM(J1813:K1813),IF(B1813="FITX",IF(D1813="新倉",-SUM(J1813:K1813),IF(E1813="賣",(H1813-H1812)*G1813*200-SUM(J1813:K1813),(H1812-H1813)*G1813*200-SUM(J1813:K1813))),IF(D1813="新倉",-SUM(J1813:K1813),IF(E1813="賣",(H1813-H1812)*G1813*50-SUM(J1813:K1813),(H1812-H1813)*G1813*50-SUM(J1813:K1813)))))</f>
        <v/>
      </c>
      <c r="M1813" s="743">
        <f>L1813</f>
        <v/>
      </c>
      <c r="N1813" s="686">
        <f>IF(B1813="TXO","",IF(D1813="新倉","",IF(E1813="賣",(H1813-H1812)*G1813,(H1812-H1813)*G1813)))</f>
        <v/>
      </c>
      <c r="O1813" s="226" t="n">
        <v>0</v>
      </c>
      <c r="P1813" s="667" t="n"/>
      <c r="Q1813" s="297" t="inlineStr">
        <is>
          <t>技法: 3/3 買進一口</t>
        </is>
      </c>
      <c r="R1813" s="249" t="inlineStr">
        <is>
          <t>Yes</t>
        </is>
      </c>
      <c r="S1813" s="249" t="inlineStr">
        <is>
          <t>Yes</t>
        </is>
      </c>
      <c r="T1813" s="61">
        <f>IF(AND(R1813="Yes",S1813&lt;&gt;"Yes",L1813&gt;0,B1813&lt;&gt;"TXO"),L1813,"")</f>
        <v/>
      </c>
      <c r="U1813" s="61">
        <f>IF(AND(R1813="Yes",S1813&lt;&gt;"Yes",L1813&lt;0,B1813&lt;&gt;"TXO"),L1813,"")</f>
        <v/>
      </c>
      <c r="V1813" s="61">
        <f>IF(AND(R1813="",S1813&lt;&gt;"Yes",L1813&gt;0,B1813&lt;&gt;"TXO"),L1813,"")</f>
        <v/>
      </c>
      <c r="W1813" s="61">
        <f>IF(AND(R1813="",S1813&lt;&gt;"Yes",L1813&lt;0,B1813&lt;&gt;"TXO"),L1813,"")</f>
        <v/>
      </c>
      <c r="X1813" s="226">
        <f>IF(AND(R1813="Yes",S1813="Yes",L1813&gt;0,B1813&lt;&gt;"TXO"),L1813,"")</f>
        <v/>
      </c>
      <c r="Y1813" s="226">
        <f>IF(AND(R1813="Yes",S1813="Yes",L1813&lt;0,B1813&lt;&gt;"TXO"),L1813,"")</f>
        <v/>
      </c>
      <c r="Z1813" s="226">
        <f>IF(AND(R1813="",S1813="Yes",L1813&gt;0,B1813&lt;&gt;"TXO"),L1813,"")</f>
        <v/>
      </c>
      <c r="AA1813" s="226">
        <f>IF(AND(R1813="",S1813="Yes",L1813&lt;0,B1813&lt;&gt;"TXO"),L1813,"")</f>
        <v/>
      </c>
    </row>
    <row r="1814" hidden="1" outlineLevel="2" ht="17.25" customHeight="1" thickBot="1">
      <c r="A1814" s="740" t="n">
        <v>43458</v>
      </c>
      <c r="B1814" s="299" t="inlineStr">
        <is>
          <t>FIMTX</t>
        </is>
      </c>
      <c r="C1814" s="300" t="inlineStr">
        <is>
          <t>小指01</t>
        </is>
      </c>
      <c r="D1814" s="300" t="inlineStr">
        <is>
          <t>平倉</t>
        </is>
      </c>
      <c r="E1814" s="301" t="inlineStr">
        <is>
          <t>買</t>
        </is>
      </c>
      <c r="F1814" s="300" t="inlineStr">
        <is>
          <t>-</t>
        </is>
      </c>
      <c r="G1814" s="741" t="n">
        <v>1</v>
      </c>
      <c r="H1814" s="741" t="n">
        <v>9561</v>
      </c>
      <c r="I1814" s="741" t="n">
        <v>0</v>
      </c>
      <c r="J1814" s="742" t="n">
        <v>23</v>
      </c>
      <c r="K1814" s="742" t="n">
        <v>10</v>
      </c>
      <c r="L1814" s="742">
        <f>IF(B1814="TXO",I1814-SUM(J1814:K1814),IF(B1814="FITX",IF(D1814="新倉",-SUM(J1814:K1814),IF(E1814="賣",(H1814-H1813)*G1814*200-SUM(J1814:K1814),(H1813-H1814)*G1814*200-SUM(J1814:K1814))),IF(D1814="新倉",-SUM(J1814:K1814),IF(E1814="賣",(H1814-H1813)*G1814*50-SUM(J1814:K1814),(H1813-H1814)*G1814*50-SUM(J1814:K1814)))))</f>
        <v/>
      </c>
      <c r="M1814" s="743">
        <f>L1814</f>
        <v/>
      </c>
      <c r="N1814" s="686">
        <f>IF(B1814="TXO","",IF(D1814="新倉","",IF(E1814="賣",(H1814-H1813)*G1814,(H1813-H1814)*G1814)))</f>
        <v/>
      </c>
      <c r="O1814" s="226" t="n">
        <v>0</v>
      </c>
      <c r="P1814" s="667" t="n"/>
      <c r="R1814" s="249" t="inlineStr">
        <is>
          <t>Yes</t>
        </is>
      </c>
      <c r="S1814" s="249" t="inlineStr">
        <is>
          <t>Yes</t>
        </is>
      </c>
      <c r="T1814" s="61">
        <f>IF(AND(R1814="Yes",S1814&lt;&gt;"Yes",L1814&gt;0,B1814&lt;&gt;"TXO"),L1814,"")</f>
        <v/>
      </c>
      <c r="U1814" s="61">
        <f>IF(AND(R1814="Yes",S1814&lt;&gt;"Yes",L1814&lt;0,B1814&lt;&gt;"TXO"),L1814,"")</f>
        <v/>
      </c>
      <c r="V1814" s="61">
        <f>IF(AND(R1814="",S1814&lt;&gt;"Yes",L1814&gt;0,B1814&lt;&gt;"TXO"),L1814,"")</f>
        <v/>
      </c>
      <c r="W1814" s="61">
        <f>IF(AND(R1814="",S1814&lt;&gt;"Yes",L1814&lt;0,B1814&lt;&gt;"TXO"),L1814,"")</f>
        <v/>
      </c>
      <c r="X1814" s="226">
        <f>IF(AND(R1814="Yes",S1814="Yes",L1814&gt;0,B1814&lt;&gt;"TXO"),L1814,"")</f>
        <v/>
      </c>
      <c r="Y1814" s="226">
        <f>IF(AND(R1814="Yes",S1814="Yes",L1814&lt;0,B1814&lt;&gt;"TXO"),L1814,"")</f>
        <v/>
      </c>
      <c r="Z1814" s="226">
        <f>IF(AND(R1814="",S1814="Yes",L1814&gt;0,B1814&lt;&gt;"TXO"),L1814,"")</f>
        <v/>
      </c>
      <c r="AA1814" s="226">
        <f>IF(AND(R1814="",S1814="Yes",L1814&lt;0,B1814&lt;&gt;"TXO"),L1814,"")</f>
        <v/>
      </c>
    </row>
    <row r="1815" hidden="1" outlineLevel="2" ht="17.25" customHeight="1" thickBot="1">
      <c r="A1815" s="740" t="n">
        <v>43458</v>
      </c>
      <c r="B1815" s="299" t="inlineStr">
        <is>
          <t>FIMTX</t>
        </is>
      </c>
      <c r="C1815" s="300" t="inlineStr">
        <is>
          <t>小指01</t>
        </is>
      </c>
      <c r="D1815" s="300" t="inlineStr">
        <is>
          <t>新倉</t>
        </is>
      </c>
      <c r="E1815" s="301" t="inlineStr">
        <is>
          <t>賣</t>
        </is>
      </c>
      <c r="F1815" s="300" t="inlineStr">
        <is>
          <t>-</t>
        </is>
      </c>
      <c r="G1815" s="741" t="n">
        <v>1</v>
      </c>
      <c r="H1815" s="741" t="n">
        <v>9578</v>
      </c>
      <c r="I1815" s="741" t="n">
        <v>0</v>
      </c>
      <c r="J1815" s="742" t="n">
        <v>23</v>
      </c>
      <c r="K1815" s="742" t="n">
        <v>10</v>
      </c>
      <c r="L1815" s="742">
        <f>IF(B1815="TXO",I1815-SUM(J1815:K1815),IF(B1815="FITX",IF(D1815="新倉",-SUM(J1815:K1815),IF(E1815="賣",(H1815-H1814)*G1815*200-SUM(J1815:K1815),(H1814-H1815)*G1815*200-SUM(J1815:K1815))),IF(D1815="新倉",-SUM(J1815:K1815),IF(E1815="賣",(H1815-H1814)*G1815*50-SUM(J1815:K1815),(H1814-H1815)*G1815*50-SUM(J1815:K1815)))))</f>
        <v/>
      </c>
      <c r="M1815" s="743">
        <f>L1815</f>
        <v/>
      </c>
      <c r="N1815" s="686">
        <f>IF(B1815="TXO","",IF(D1815="新倉","",IF(E1815="賣",(H1815-H1814)*G1815,(H1814-H1815)*G1815)))</f>
        <v/>
      </c>
      <c r="O1815" s="226" t="n">
        <v>0</v>
      </c>
      <c r="P1815" s="667" t="n"/>
      <c r="S1815" s="249" t="inlineStr">
        <is>
          <t>Yes</t>
        </is>
      </c>
      <c r="T1815" s="61">
        <f>IF(AND(R1815="Yes",S1815&lt;&gt;"Yes",L1815&gt;0,B1815&lt;&gt;"TXO"),L1815,"")</f>
        <v/>
      </c>
      <c r="U1815" s="61">
        <f>IF(AND(R1815="Yes",S1815&lt;&gt;"Yes",L1815&lt;0,B1815&lt;&gt;"TXO"),L1815,"")</f>
        <v/>
      </c>
      <c r="V1815" s="61">
        <f>IF(AND(R1815="",S1815&lt;&gt;"Yes",L1815&gt;0,B1815&lt;&gt;"TXO"),L1815,"")</f>
        <v/>
      </c>
      <c r="W1815" s="61">
        <f>IF(AND(R1815="",S1815&lt;&gt;"Yes",L1815&lt;0,B1815&lt;&gt;"TXO"),L1815,"")</f>
        <v/>
      </c>
      <c r="X1815" s="226">
        <f>IF(AND(R1815="Yes",S1815="Yes",L1815&gt;0,B1815&lt;&gt;"TXO"),L1815,"")</f>
        <v/>
      </c>
      <c r="Y1815" s="226">
        <f>IF(AND(R1815="Yes",S1815="Yes",L1815&lt;0,B1815&lt;&gt;"TXO"),L1815,"")</f>
        <v/>
      </c>
      <c r="Z1815" s="226">
        <f>IF(AND(R1815="",S1815="Yes",L1815&gt;0,B1815&lt;&gt;"TXO"),L1815,"")</f>
        <v/>
      </c>
      <c r="AA1815" s="226">
        <f>IF(AND(R1815="",S1815="Yes",L1815&lt;0,B1815&lt;&gt;"TXO"),L1815,"")</f>
        <v/>
      </c>
    </row>
    <row r="1816" hidden="1" outlineLevel="2" ht="17.25" customHeight="1" thickBot="1">
      <c r="A1816" s="740" t="n">
        <v>43458</v>
      </c>
      <c r="B1816" s="299" t="inlineStr">
        <is>
          <t>FIMTX</t>
        </is>
      </c>
      <c r="C1816" s="300" t="inlineStr">
        <is>
          <t>小指01</t>
        </is>
      </c>
      <c r="D1816" s="300" t="inlineStr">
        <is>
          <t>平倉</t>
        </is>
      </c>
      <c r="E1816" s="301" t="inlineStr">
        <is>
          <t>買</t>
        </is>
      </c>
      <c r="F1816" s="300" t="inlineStr">
        <is>
          <t>-</t>
        </is>
      </c>
      <c r="G1816" s="741" t="n">
        <v>1</v>
      </c>
      <c r="H1816" s="741" t="n">
        <v>9560</v>
      </c>
      <c r="I1816" s="741" t="n">
        <v>0</v>
      </c>
      <c r="J1816" s="742" t="n">
        <v>23</v>
      </c>
      <c r="K1816" s="742" t="n">
        <v>10</v>
      </c>
      <c r="L1816" s="742">
        <f>IF(B1816="TXO",I1816-SUM(J1816:K1816),IF(B1816="FITX",IF(D1816="新倉",-SUM(J1816:K1816),IF(E1816="賣",(H1816-H1815)*G1816*200-SUM(J1816:K1816),(H1815-H1816)*G1816*200-SUM(J1816:K1816))),IF(D1816="新倉",-SUM(J1816:K1816),IF(E1816="賣",(H1816-H1815)*G1816*50-SUM(J1816:K1816),(H1815-H1816)*G1816*50-SUM(J1816:K1816)))))</f>
        <v/>
      </c>
      <c r="M1816" s="743">
        <f>L1816</f>
        <v/>
      </c>
      <c r="N1816" s="686">
        <f>IF(B1816="TXO","",IF(D1816="新倉","",IF(E1816="賣",(H1816-H1815)*G1816,(H1815-H1816)*G1816)))</f>
        <v/>
      </c>
      <c r="O1816" s="226" t="n">
        <v>0</v>
      </c>
      <c r="P1816" s="667" t="n"/>
      <c r="Q1816" s="249" t="inlineStr">
        <is>
          <t>技法: 移動式停利</t>
        </is>
      </c>
      <c r="S1816" s="249" t="inlineStr">
        <is>
          <t>Yes</t>
        </is>
      </c>
      <c r="T1816" s="61">
        <f>IF(AND(R1816="Yes",S1816&lt;&gt;"Yes",L1816&gt;0,B1816&lt;&gt;"TXO"),L1816,"")</f>
        <v/>
      </c>
      <c r="U1816" s="61">
        <f>IF(AND(R1816="Yes",S1816&lt;&gt;"Yes",L1816&lt;0,B1816&lt;&gt;"TXO"),L1816,"")</f>
        <v/>
      </c>
      <c r="V1816" s="61">
        <f>IF(AND(R1816="",S1816&lt;&gt;"Yes",L1816&gt;0,B1816&lt;&gt;"TXO"),L1816,"")</f>
        <v/>
      </c>
      <c r="W1816" s="61">
        <f>IF(AND(R1816="",S1816&lt;&gt;"Yes",L1816&lt;0,B1816&lt;&gt;"TXO"),L1816,"")</f>
        <v/>
      </c>
      <c r="X1816" s="226">
        <f>IF(AND(R1816="Yes",S1816="Yes",L1816&gt;0,B1816&lt;&gt;"TXO"),L1816,"")</f>
        <v/>
      </c>
      <c r="Y1816" s="226">
        <f>IF(AND(R1816="Yes",S1816="Yes",L1816&lt;0,B1816&lt;&gt;"TXO"),L1816,"")</f>
        <v/>
      </c>
      <c r="Z1816" s="226">
        <f>IF(AND(R1816="",S1816="Yes",L1816&gt;0,B1816&lt;&gt;"TXO"),L1816,"")</f>
        <v/>
      </c>
      <c r="AA1816" s="226">
        <f>IF(AND(R1816="",S1816="Yes",L1816&lt;0,B1816&lt;&gt;"TXO"),L1816,"")</f>
        <v/>
      </c>
    </row>
    <row r="1817" hidden="1" outlineLevel="1" ht="17.25" customHeight="1" thickBot="1">
      <c r="A1817" s="696" t="n">
        <v>43459</v>
      </c>
      <c r="B1817" s="234" t="inlineStr">
        <is>
          <t>FIMTX</t>
        </is>
      </c>
      <c r="C1817" s="229" t="inlineStr">
        <is>
          <t>小指01</t>
        </is>
      </c>
      <c r="D1817" s="229" t="inlineStr">
        <is>
          <t>新倉</t>
        </is>
      </c>
      <c r="E1817" s="257" t="inlineStr">
        <is>
          <t>買</t>
        </is>
      </c>
      <c r="F1817" s="229" t="inlineStr">
        <is>
          <t>-</t>
        </is>
      </c>
      <c r="G1817" s="697" t="n">
        <v>2</v>
      </c>
      <c r="H1817" s="697" t="n">
        <v>9457</v>
      </c>
      <c r="I1817" s="697" t="n">
        <v>0</v>
      </c>
      <c r="J1817" s="585" t="n">
        <v>46</v>
      </c>
      <c r="K1817" s="585" t="n">
        <v>18</v>
      </c>
      <c r="L1817" s="585">
        <f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/>
      </c>
      <c r="M1817" s="699">
        <f>L1817</f>
        <v/>
      </c>
      <c r="N1817" s="686">
        <f>IF(B1817="TXO","",IF(D1817="新倉","",IF(E1817="賣",(H1817-H1816)*G1817,(H1816-H1817)*G1817)))</f>
        <v/>
      </c>
      <c r="O1817" s="226" t="n">
        <v>0</v>
      </c>
      <c r="P1817" s="667">
        <f>SUM(L1817:L1820)</f>
        <v/>
      </c>
      <c r="Q1817" s="297" t="inlineStr">
        <is>
          <t>技法: 3/3 買進3口</t>
        </is>
      </c>
      <c r="R1817" s="249" t="inlineStr">
        <is>
          <t>Yes</t>
        </is>
      </c>
      <c r="S1817" s="249" t="n"/>
      <c r="T1817" s="61">
        <f>IF(AND(R1817="Yes",S1817&lt;&gt;"Yes",L1817&gt;0,B1817&lt;&gt;"TXO"),L1817,"")</f>
        <v/>
      </c>
      <c r="U1817" s="61">
        <f>IF(AND(R1817="Yes",S1817&lt;&gt;"Yes",L1817&lt;0,B1817&lt;&gt;"TXO"),L1817,"")</f>
        <v/>
      </c>
      <c r="V1817" s="61">
        <f>IF(AND(R1817="",S1817&lt;&gt;"Yes",L1817&gt;0,B1817&lt;&gt;"TXO"),L1817,"")</f>
        <v/>
      </c>
      <c r="W1817" s="61">
        <f>IF(AND(R1817="",S1817&lt;&gt;"Yes",L1817&lt;0,B1817&lt;&gt;"TXO"),L1817,"")</f>
        <v/>
      </c>
      <c r="X1817" s="226">
        <f>IF(AND(R1817="Yes",S1817="Yes",L1817&gt;0,B1817&lt;&gt;"TXO"),L1817,"")</f>
        <v/>
      </c>
      <c r="Y1817" s="226">
        <f>IF(AND(R1817="Yes",S1817="Yes",L1817&lt;0,B1817&lt;&gt;"TXO"),L1817,"")</f>
        <v/>
      </c>
      <c r="Z1817" s="226">
        <f>IF(AND(R1817="",S1817="Yes",L1817&gt;0,B1817&lt;&gt;"TXO"),L1817,"")</f>
        <v/>
      </c>
      <c r="AA1817" s="226">
        <f>IF(AND(R1817="",S1817="Yes",L1817&lt;0,B1817&lt;&gt;"TXO"),L1817,"")</f>
        <v/>
      </c>
    </row>
    <row r="1818" hidden="1" outlineLevel="2" collapsed="1" ht="17.25" customHeight="1" thickBot="1">
      <c r="A1818" s="696" t="n">
        <v>43459</v>
      </c>
      <c r="B1818" s="234" t="inlineStr">
        <is>
          <t>FIMTX</t>
        </is>
      </c>
      <c r="C1818" s="229" t="inlineStr">
        <is>
          <t>小指01</t>
        </is>
      </c>
      <c r="D1818" s="229" t="inlineStr">
        <is>
          <t>平倉</t>
        </is>
      </c>
      <c r="E1818" s="257" t="inlineStr">
        <is>
          <t>賣</t>
        </is>
      </c>
      <c r="F1818" s="229" t="inlineStr">
        <is>
          <t>-</t>
        </is>
      </c>
      <c r="G1818" s="697" t="n">
        <v>2</v>
      </c>
      <c r="H1818" s="697" t="n">
        <v>9446</v>
      </c>
      <c r="I1818" s="697" t="n">
        <v>0</v>
      </c>
      <c r="J1818" s="585" t="n">
        <v>46</v>
      </c>
      <c r="K1818" s="585" t="n">
        <v>18</v>
      </c>
      <c r="L1818" s="585">
        <f>IF(B1818="TXO",I1818-SUM(J1818:K1818),IF(B1818="FITX",IF(D1818="新倉",-SUM(J1818:K1818),IF(E1818="賣",(H1818-H1817)*G1818*200-SUM(J1818:K1818),(H1817-H1818)*G1818*200-SUM(J1818:K1818))),IF(D1818="新倉",-SUM(J1818:K1818),IF(E1818="賣",(H1818-H1817)*G1818*50-SUM(J1818:K1818),(H1817-H1818)*G1818*50-SUM(J1818:K1818)))))</f>
        <v/>
      </c>
      <c r="M1818" s="699">
        <f>L1818</f>
        <v/>
      </c>
      <c r="N1818" s="686">
        <f>IF(B1818="TXO","",IF(D1818="新倉","",IF(E1818="賣",(H1818-H1817)*G1818,(H1817-H1818)*G1818)))</f>
        <v/>
      </c>
      <c r="O1818" s="226" t="n">
        <v>0</v>
      </c>
      <c r="P1818" s="667" t="n"/>
      <c r="Q1818" s="297" t="inlineStr">
        <is>
          <t>技法: 跌破20MA全出(停損)</t>
        </is>
      </c>
      <c r="R1818" s="249" t="inlineStr">
        <is>
          <t>Yes</t>
        </is>
      </c>
      <c r="S1818" s="249" t="n"/>
      <c r="T1818" s="61">
        <f>IF(AND(R1818="Yes",S1818&lt;&gt;"Yes",L1818&gt;0,B1818&lt;&gt;"TXO"),L1818,"")</f>
        <v/>
      </c>
      <c r="U1818" s="61">
        <f>IF(AND(R1818="Yes",S1818&lt;&gt;"Yes",L1818&lt;0,B1818&lt;&gt;"TXO"),L1818,"")</f>
        <v/>
      </c>
      <c r="V1818" s="61">
        <f>IF(AND(R1818="",S1818&lt;&gt;"Yes",L1818&gt;0,B1818&lt;&gt;"TXO"),L1818,"")</f>
        <v/>
      </c>
      <c r="W1818" s="61">
        <f>IF(AND(R1818="",S1818&lt;&gt;"Yes",L1818&lt;0,B1818&lt;&gt;"TXO"),L1818,"")</f>
        <v/>
      </c>
      <c r="X1818" s="226">
        <f>IF(AND(R1818="Yes",S1818="Yes",L1818&gt;0,B1818&lt;&gt;"TXO"),L1818,"")</f>
        <v/>
      </c>
      <c r="Y1818" s="226">
        <f>IF(AND(R1818="Yes",S1818="Yes",L1818&lt;0,B1818&lt;&gt;"TXO"),L1818,"")</f>
        <v/>
      </c>
      <c r="Z1818" s="226">
        <f>IF(AND(R1818="",S1818="Yes",L1818&gt;0,B1818&lt;&gt;"TXO"),L1818,"")</f>
        <v/>
      </c>
      <c r="AA1818" s="226">
        <f>IF(AND(R1818="",S1818="Yes",L1818&lt;0,B1818&lt;&gt;"TXO"),L1818,"")</f>
        <v/>
      </c>
    </row>
    <row r="1819" hidden="1" outlineLevel="2" collapsed="1" ht="17.25" customHeight="1" thickBot="1">
      <c r="A1819" s="696" t="n">
        <v>43459</v>
      </c>
      <c r="B1819" s="234" t="inlineStr">
        <is>
          <t>FIMTX</t>
        </is>
      </c>
      <c r="C1819" s="229" t="inlineStr">
        <is>
          <t>小指01</t>
        </is>
      </c>
      <c r="D1819" s="229" t="inlineStr">
        <is>
          <t>新倉</t>
        </is>
      </c>
      <c r="E1819" s="257" t="inlineStr">
        <is>
          <t>買</t>
        </is>
      </c>
      <c r="F1819" s="229" t="inlineStr">
        <is>
          <t>-</t>
        </is>
      </c>
      <c r="G1819" s="697" t="n">
        <v>1</v>
      </c>
      <c r="H1819" s="697" t="n">
        <v>9456</v>
      </c>
      <c r="I1819" s="697" t="n">
        <v>0</v>
      </c>
      <c r="J1819" s="585" t="n">
        <v>23</v>
      </c>
      <c r="K1819" s="585" t="n">
        <v>9</v>
      </c>
      <c r="L1819" s="585">
        <f>IF(B1819="TXO",I1819-SUM(J1819:K1819),IF(B1819="FITX",IF(D1819="新倉",-SUM(J1819:K1819),IF(E1819="賣",(H1819-H1818)*G1819*200-SUM(J1819:K1819),(H1818-H1819)*G1819*200-SUM(J1819:K1819))),IF(D1819="新倉",-SUM(J1819:K1819),IF(E1819="賣",(H1819-H1818)*G1819*50-SUM(J1819:K1819),(H1818-H1819)*G1819*50-SUM(J1819:K1819)))))</f>
        <v/>
      </c>
      <c r="M1819" s="699">
        <f>L1819</f>
        <v/>
      </c>
      <c r="N1819" s="686">
        <f>IF(B1819="TXO","",IF(D1819="新倉","",IF(E1819="賣",(H1819-H1818)*G1819,(H1818-H1819)*G1819)))</f>
        <v/>
      </c>
      <c r="O1819" s="226" t="n">
        <v>0</v>
      </c>
      <c r="P1819" s="667" t="n"/>
      <c r="Q1819" s="297" t="n"/>
      <c r="R1819" s="249" t="inlineStr">
        <is>
          <t>Yes</t>
        </is>
      </c>
      <c r="S1819" s="249" t="n"/>
      <c r="T1819" s="61">
        <f>IF(AND(R1819="Yes",S1819&lt;&gt;"Yes",L1819&gt;0,B1819&lt;&gt;"TXO"),L1819,"")</f>
        <v/>
      </c>
      <c r="U1819" s="61">
        <f>IF(AND(R1819="Yes",S1819&lt;&gt;"Yes",L1819&lt;0,B1819&lt;&gt;"TXO"),L1819,"")</f>
        <v/>
      </c>
      <c r="V1819" s="61">
        <f>IF(AND(R1819="",S1819&lt;&gt;"Yes",L1819&gt;0,B1819&lt;&gt;"TXO"),L1819,"")</f>
        <v/>
      </c>
      <c r="W1819" s="61">
        <f>IF(AND(R1819="",S1819&lt;&gt;"Yes",L1819&lt;0,B1819&lt;&gt;"TXO"),L1819,"")</f>
        <v/>
      </c>
      <c r="X1819" s="226">
        <f>IF(AND(R1819="Yes",S1819="Yes",L1819&gt;0,B1819&lt;&gt;"TXO"),L1819,"")</f>
        <v/>
      </c>
      <c r="Y1819" s="226">
        <f>IF(AND(R1819="Yes",S1819="Yes",L1819&lt;0,B1819&lt;&gt;"TXO"),L1819,"")</f>
        <v/>
      </c>
      <c r="Z1819" s="226">
        <f>IF(AND(R1819="",S1819="Yes",L1819&gt;0,B1819&lt;&gt;"TXO"),L1819,"")</f>
        <v/>
      </c>
      <c r="AA1819" s="226">
        <f>IF(AND(R1819="",S1819="Yes",L1819&lt;0,B1819&lt;&gt;"TXO"),L1819,"")</f>
        <v/>
      </c>
    </row>
    <row r="1820" hidden="1" outlineLevel="2" collapsed="1" ht="17.25" customHeight="1" thickBot="1">
      <c r="A1820" s="696" t="n">
        <v>43459</v>
      </c>
      <c r="B1820" s="234" t="inlineStr">
        <is>
          <t>FIMTX</t>
        </is>
      </c>
      <c r="C1820" s="229" t="inlineStr">
        <is>
          <t>小指01</t>
        </is>
      </c>
      <c r="D1820" s="229" t="inlineStr">
        <is>
          <t>平倉</t>
        </is>
      </c>
      <c r="E1820" s="257" t="inlineStr">
        <is>
          <t>賣</t>
        </is>
      </c>
      <c r="F1820" s="229" t="inlineStr">
        <is>
          <t>-</t>
        </is>
      </c>
      <c r="G1820" s="697" t="n">
        <v>1</v>
      </c>
      <c r="H1820" s="697" t="n">
        <v>9446</v>
      </c>
      <c r="I1820" s="697" t="n">
        <v>0</v>
      </c>
      <c r="J1820" s="585" t="n">
        <v>23</v>
      </c>
      <c r="K1820" s="585" t="n">
        <v>9</v>
      </c>
      <c r="L1820" s="585">
        <f>IF(B1820="TXO",I1820-SUM(J1820:K1820),IF(B1820="FITX",IF(D1820="新倉",-SUM(J1820:K1820),IF(E1820="賣",(H1820-H1819)*G1820*200-SUM(J1820:K1820),(H1819-H1820)*G1820*200-SUM(J1820:K1820))),IF(D1820="新倉",-SUM(J1820:K1820),IF(E1820="賣",(H1820-H1819)*G1820*50-SUM(J1820:K1820),(H1819-H1820)*G1820*50-SUM(J1820:K1820)))))</f>
        <v/>
      </c>
      <c r="M1820" s="699">
        <f>L1820</f>
        <v/>
      </c>
      <c r="N1820" s="686">
        <f>IF(B1820="TXO","",IF(D1820="新倉","",IF(E1820="賣",(H1820-H1819)*G1820,(H1819-H1820)*G1820)))</f>
        <v/>
      </c>
      <c r="O1820" s="226" t="n">
        <v>0</v>
      </c>
      <c r="P1820" s="667" t="n"/>
      <c r="Q1820" s="297" t="inlineStr">
        <is>
          <t>技法: 跌破20MA全出(停損)</t>
        </is>
      </c>
      <c r="R1820" s="249" t="inlineStr">
        <is>
          <t>Yes</t>
        </is>
      </c>
      <c r="S1820" s="249" t="n"/>
      <c r="T1820" s="61">
        <f>IF(AND(R1820="Yes",S1820&lt;&gt;"Yes",L1820&gt;0,B1820&lt;&gt;"TXO"),L1820,"")</f>
        <v/>
      </c>
      <c r="U1820" s="61">
        <f>IF(AND(R1820="Yes",S1820&lt;&gt;"Yes",L1820&lt;0,B1820&lt;&gt;"TXO"),L1820,"")</f>
        <v/>
      </c>
      <c r="V1820" s="61">
        <f>IF(AND(R1820="",S1820&lt;&gt;"Yes",L1820&gt;0,B1820&lt;&gt;"TXO"),L1820,"")</f>
        <v/>
      </c>
      <c r="W1820" s="61">
        <f>IF(AND(R1820="",S1820&lt;&gt;"Yes",L1820&lt;0,B1820&lt;&gt;"TXO"),L1820,"")</f>
        <v/>
      </c>
      <c r="X1820" s="226">
        <f>IF(AND(R1820="Yes",S1820="Yes",L1820&gt;0,B1820&lt;&gt;"TXO"),L1820,"")</f>
        <v/>
      </c>
      <c r="Y1820" s="226">
        <f>IF(AND(R1820="Yes",S1820="Yes",L1820&lt;0,B1820&lt;&gt;"TXO"),L1820,"")</f>
        <v/>
      </c>
      <c r="Z1820" s="226">
        <f>IF(AND(R1820="",S1820="Yes",L1820&gt;0,B1820&lt;&gt;"TXO"),L1820,"")</f>
        <v/>
      </c>
      <c r="AA1820" s="226">
        <f>IF(AND(R1820="",S1820="Yes",L1820&lt;0,B1820&lt;&gt;"TXO"),L1820,"")</f>
        <v/>
      </c>
    </row>
    <row r="1821" hidden="1" outlineLevel="1" ht="17.25" customHeight="1" thickBot="1">
      <c r="A1821" s="696" t="n">
        <v>43459</v>
      </c>
      <c r="B1821" s="234" t="inlineStr">
        <is>
          <t>TXO</t>
        </is>
      </c>
      <c r="C1821" s="229" t="inlineStr">
        <is>
          <t>台選W4 12 9450 P</t>
        </is>
      </c>
      <c r="D1821" s="229" t="inlineStr">
        <is>
          <t>新倉</t>
        </is>
      </c>
      <c r="E1821" s="257" t="inlineStr">
        <is>
          <t>買</t>
        </is>
      </c>
      <c r="F1821" s="229" t="inlineStr">
        <is>
          <t>-</t>
        </is>
      </c>
      <c r="G1821" s="697" t="n">
        <v>1</v>
      </c>
      <c r="H1821" s="697" t="n">
        <v>19</v>
      </c>
      <c r="I1821" s="697" t="n">
        <v>-950</v>
      </c>
      <c r="J1821" s="585" t="n">
        <v>18</v>
      </c>
      <c r="K1821" s="585" t="n">
        <v>1</v>
      </c>
      <c r="L1821" s="585">
        <f>IF(B1821="TXO",I1821-SUM(J1821:K1821),IF(B1821="FITX",IF(D1821="新倉",-SUM(J1821:K1821),IF(E1821="賣",(H1821-H1820)*G1821*200-SUM(J1821:K1821),(H1820-H1821)*G1821*200-SUM(J1821:K1821))),IF(D1821="新倉",-SUM(J1821:K1821),IF(E1821="賣",(H1821-H1820)*G1821*50-SUM(J1821:K1821),(H1820-H1821)*G1821*50-SUM(J1821:K1821)))))</f>
        <v/>
      </c>
      <c r="M1821" s="699">
        <f>L1821</f>
        <v/>
      </c>
      <c r="N1821" s="686">
        <f>IF(B1821="TXO","",IF(D1821="新倉","",IF(E1821="賣",(H1821-H1820)*G1821,(H1820-H1821)*G1821)))</f>
        <v/>
      </c>
      <c r="O1821" s="226" t="n">
        <v>0</v>
      </c>
      <c r="P1821" s="667">
        <f>SUM(L1821:L1826)</f>
        <v/>
      </c>
      <c r="Q1821" s="297" t="inlineStr">
        <is>
          <t>技法: 破箱</t>
        </is>
      </c>
      <c r="R1821" s="249" t="inlineStr">
        <is>
          <t>Yes</t>
        </is>
      </c>
      <c r="S1821" s="249" t="n"/>
      <c r="T1821" s="61">
        <f>IF(AND(R1821="Yes",S1821&lt;&gt;"Yes",L1821&gt;0,B1821&lt;&gt;"TXO"),L1821,"")</f>
        <v/>
      </c>
      <c r="U1821" s="61">
        <f>IF(AND(R1821="Yes",S1821&lt;&gt;"Yes",L1821&lt;0,B1821&lt;&gt;"TXO"),L1821,"")</f>
        <v/>
      </c>
      <c r="V1821" s="61">
        <f>IF(AND(R1821="",S1821&lt;&gt;"Yes",L1821&gt;0,B1821&lt;&gt;"TXO"),L1821,"")</f>
        <v/>
      </c>
      <c r="W1821" s="61">
        <f>IF(AND(R1821="",S1821&lt;&gt;"Yes",L1821&lt;0,B1821&lt;&gt;"TXO"),L1821,"")</f>
        <v/>
      </c>
      <c r="X1821" s="226">
        <f>IF(AND(R1821="Yes",S1821="Yes",L1821&gt;0,B1821&lt;&gt;"TXO"),L1821,"")</f>
        <v/>
      </c>
      <c r="Y1821" s="226">
        <f>IF(AND(R1821="Yes",S1821="Yes",L1821&lt;0,B1821&lt;&gt;"TXO"),L1821,"")</f>
        <v/>
      </c>
      <c r="Z1821" s="226">
        <f>IF(AND(R1821="",S1821="Yes",L1821&gt;0,B1821&lt;&gt;"TXO"),L1821,"")</f>
        <v/>
      </c>
      <c r="AA1821" s="226">
        <f>IF(AND(R1821="",S1821="Yes",L1821&lt;0,B1821&lt;&gt;"TXO"),L1821,"")</f>
        <v/>
      </c>
    </row>
    <row r="1822" hidden="1" outlineLevel="2" collapsed="1" ht="17.25" customHeight="1" thickBot="1">
      <c r="A1822" s="696" t="n">
        <v>43459</v>
      </c>
      <c r="B1822" s="234" t="inlineStr">
        <is>
          <t>TXO</t>
        </is>
      </c>
      <c r="C1822" s="229" t="inlineStr">
        <is>
          <t>台選W4 12 9450 P</t>
        </is>
      </c>
      <c r="D1822" s="229" t="inlineStr">
        <is>
          <t>新倉</t>
        </is>
      </c>
      <c r="E1822" s="257" t="inlineStr">
        <is>
          <t>買</t>
        </is>
      </c>
      <c r="F1822" s="229" t="inlineStr">
        <is>
          <t>-</t>
        </is>
      </c>
      <c r="G1822" s="697" t="n">
        <v>1</v>
      </c>
      <c r="H1822" s="697" t="n">
        <v>17</v>
      </c>
      <c r="I1822" s="697" t="n">
        <v>-850</v>
      </c>
      <c r="J1822" s="585" t="n">
        <v>18</v>
      </c>
      <c r="K1822" s="585" t="n">
        <v>1</v>
      </c>
      <c r="L1822" s="585">
        <f>IF(B1822="TXO",I1822-SUM(J1822:K1822),IF(B1822="FITX",IF(D1822="新倉",-SUM(J1822:K1822),IF(E1822="賣",(H1822-H1821)*G1822*200-SUM(J1822:K1822),(H1821-H1822)*G1822*200-SUM(J1822:K1822))),IF(D1822="新倉",-SUM(J1822:K1822),IF(E1822="賣",(H1822-H1821)*G1822*50-SUM(J1822:K1822),(H1821-H1822)*G1822*50-SUM(J1822:K1822)))))</f>
        <v/>
      </c>
      <c r="M1822" s="699">
        <f>L1822</f>
        <v/>
      </c>
      <c r="N1822" s="686">
        <f>IF(B1822="TXO","",IF(D1822="新倉","",IF(E1822="賣",(H1822-H1821)*G1822,(H1821-H1822)*G1822)))</f>
        <v/>
      </c>
      <c r="O1822" s="226" t="n">
        <v>0</v>
      </c>
      <c r="P1822" s="667" t="n"/>
      <c r="Q1822" s="297" t="n"/>
      <c r="R1822" s="249" t="inlineStr">
        <is>
          <t>Yes</t>
        </is>
      </c>
      <c r="S1822" s="249" t="n"/>
      <c r="T1822" s="61">
        <f>IF(AND(R1822="Yes",S1822&lt;&gt;"Yes",L1822&gt;0,B1822&lt;&gt;"TXO"),L1822,"")</f>
        <v/>
      </c>
      <c r="U1822" s="61">
        <f>IF(AND(R1822="Yes",S1822&lt;&gt;"Yes",L1822&lt;0,B1822&lt;&gt;"TXO"),L1822,"")</f>
        <v/>
      </c>
      <c r="V1822" s="61">
        <f>IF(AND(R1822="",S1822&lt;&gt;"Yes",L1822&gt;0,B1822&lt;&gt;"TXO"),L1822,"")</f>
        <v/>
      </c>
      <c r="W1822" s="61">
        <f>IF(AND(R1822="",S1822&lt;&gt;"Yes",L1822&lt;0,B1822&lt;&gt;"TXO"),L1822,"")</f>
        <v/>
      </c>
      <c r="X1822" s="226">
        <f>IF(AND(R1822="Yes",S1822="Yes",L1822&gt;0,B1822&lt;&gt;"TXO"),L1822,"")</f>
        <v/>
      </c>
      <c r="Y1822" s="226">
        <f>IF(AND(R1822="Yes",S1822="Yes",L1822&lt;0,B1822&lt;&gt;"TXO"),L1822,"")</f>
        <v/>
      </c>
      <c r="Z1822" s="226">
        <f>IF(AND(R1822="",S1822="Yes",L1822&gt;0,B1822&lt;&gt;"TXO"),L1822,"")</f>
        <v/>
      </c>
      <c r="AA1822" s="226">
        <f>IF(AND(R1822="",S1822="Yes",L1822&lt;0,B1822&lt;&gt;"TXO"),L1822,"")</f>
        <v/>
      </c>
    </row>
    <row r="1823" hidden="1" outlineLevel="2" collapsed="1" ht="17.25" customHeight="1" thickBot="1">
      <c r="A1823" s="696" t="n">
        <v>43459</v>
      </c>
      <c r="B1823" s="234" t="inlineStr">
        <is>
          <t>TXO</t>
        </is>
      </c>
      <c r="C1823" s="229" t="inlineStr">
        <is>
          <t>台選W4 12 9400 P</t>
        </is>
      </c>
      <c r="D1823" s="229" t="inlineStr">
        <is>
          <t>新倉</t>
        </is>
      </c>
      <c r="E1823" s="257" t="inlineStr">
        <is>
          <t>買</t>
        </is>
      </c>
      <c r="F1823" s="229" t="inlineStr">
        <is>
          <t>-</t>
        </is>
      </c>
      <c r="G1823" s="697" t="n">
        <v>1</v>
      </c>
      <c r="H1823" s="697" t="n">
        <v>9</v>
      </c>
      <c r="I1823" s="697" t="n">
        <v>-450</v>
      </c>
      <c r="J1823" s="585" t="n">
        <v>18</v>
      </c>
      <c r="K1823" s="585" t="n">
        <v>0</v>
      </c>
      <c r="L1823" s="585">
        <f>IF(B1823="TXO",I1823-SUM(J1823:K1823),IF(B1823="FITX",IF(D1823="新倉",-SUM(J1823:K1823),IF(E1823="賣",(H1823-H1822)*G1823*200-SUM(J1823:K1823),(H1822-H1823)*G1823*200-SUM(J1823:K1823))),IF(D1823="新倉",-SUM(J1823:K1823),IF(E1823="賣",(H1823-H1822)*G1823*50-SUM(J1823:K1823),(H1822-H1823)*G1823*50-SUM(J1823:K1823)))))</f>
        <v/>
      </c>
      <c r="M1823" s="699">
        <f>L1823</f>
        <v/>
      </c>
      <c r="N1823" s="686">
        <f>IF(B1823="TXO","",IF(D1823="新倉","",IF(E1823="賣",(H1823-H1822)*G1823,(H1822-H1823)*G1823)))</f>
        <v/>
      </c>
      <c r="O1823" s="226" t="n">
        <v>0</v>
      </c>
      <c r="P1823" s="667" t="n"/>
      <c r="Q1823" s="297" t="n"/>
      <c r="R1823" s="249" t="inlineStr">
        <is>
          <t>Yes</t>
        </is>
      </c>
      <c r="S1823" s="249" t="n"/>
      <c r="T1823" s="61">
        <f>IF(AND(R1823="Yes",S1823&lt;&gt;"Yes",L1823&gt;0,B1823&lt;&gt;"TXO"),L1823,"")</f>
        <v/>
      </c>
      <c r="U1823" s="61">
        <f>IF(AND(R1823="Yes",S1823&lt;&gt;"Yes",L1823&lt;0,B1823&lt;&gt;"TXO"),L1823,"")</f>
        <v/>
      </c>
      <c r="V1823" s="61">
        <f>IF(AND(R1823="",S1823&lt;&gt;"Yes",L1823&gt;0,B1823&lt;&gt;"TXO"),L1823,"")</f>
        <v/>
      </c>
      <c r="W1823" s="61">
        <f>IF(AND(R1823="",S1823&lt;&gt;"Yes",L1823&lt;0,B1823&lt;&gt;"TXO"),L1823,"")</f>
        <v/>
      </c>
      <c r="X1823" s="226">
        <f>IF(AND(R1823="Yes",S1823="Yes",L1823&gt;0,B1823&lt;&gt;"TXO"),L1823,"")</f>
        <v/>
      </c>
      <c r="Y1823" s="226">
        <f>IF(AND(R1823="Yes",S1823="Yes",L1823&lt;0,B1823&lt;&gt;"TXO"),L1823,"")</f>
        <v/>
      </c>
      <c r="Z1823" s="226">
        <f>IF(AND(R1823="",S1823="Yes",L1823&gt;0,B1823&lt;&gt;"TXO"),L1823,"")</f>
        <v/>
      </c>
      <c r="AA1823" s="226">
        <f>IF(AND(R1823="",S1823="Yes",L1823&lt;0,B1823&lt;&gt;"TXO"),L1823,"")</f>
        <v/>
      </c>
    </row>
    <row r="1824" hidden="1" outlineLevel="2" collapsed="1" ht="17.25" customHeight="1" thickBot="1">
      <c r="A1824" s="696" t="n">
        <v>43459</v>
      </c>
      <c r="B1824" s="234" t="inlineStr">
        <is>
          <t>TXO</t>
        </is>
      </c>
      <c r="C1824" s="229" t="inlineStr">
        <is>
          <t>台選W4 12 9300 P</t>
        </is>
      </c>
      <c r="D1824" s="229" t="inlineStr">
        <is>
          <t>新倉</t>
        </is>
      </c>
      <c r="E1824" s="257" t="inlineStr">
        <is>
          <t>買</t>
        </is>
      </c>
      <c r="F1824" s="229" t="inlineStr">
        <is>
          <t>-</t>
        </is>
      </c>
      <c r="G1824" s="697" t="n">
        <v>1</v>
      </c>
      <c r="H1824" s="697" t="n">
        <v>3</v>
      </c>
      <c r="I1824" s="697" t="n">
        <v>-150</v>
      </c>
      <c r="J1824" s="585" t="n">
        <v>18</v>
      </c>
      <c r="K1824" s="585" t="n">
        <v>0</v>
      </c>
      <c r="L1824" s="585">
        <f>IF(B1824="TXO",I1824-SUM(J1824:K1824),IF(B1824="FITX",IF(D1824="新倉",-SUM(J1824:K1824),IF(E1824="賣",(H1824-H1823)*G1824*200-SUM(J1824:K1824),(H1823-H1824)*G1824*200-SUM(J1824:K1824))),IF(D1824="新倉",-SUM(J1824:K1824),IF(E1824="賣",(H1824-H1823)*G1824*50-SUM(J1824:K1824),(H1823-H1824)*G1824*50-SUM(J1824:K1824)))))</f>
        <v/>
      </c>
      <c r="M1824" s="699">
        <f>L1824</f>
        <v/>
      </c>
      <c r="N1824" s="686">
        <f>IF(B1824="TXO","",IF(D1824="新倉","",IF(E1824="賣",(H1824-H1823)*G1824,(H1823-H1824)*G1824)))</f>
        <v/>
      </c>
      <c r="O1824" s="226" t="n">
        <v>0</v>
      </c>
      <c r="P1824" s="667" t="n"/>
      <c r="Q1824" s="297" t="n"/>
      <c r="R1824" s="249" t="inlineStr">
        <is>
          <t>Yes</t>
        </is>
      </c>
      <c r="S1824" s="249" t="n"/>
      <c r="T1824" s="61">
        <f>IF(AND(R1824="Yes",S1824&lt;&gt;"Yes",L1824&gt;0,B1824&lt;&gt;"TXO"),L1824,"")</f>
        <v/>
      </c>
      <c r="U1824" s="61">
        <f>IF(AND(R1824="Yes",S1824&lt;&gt;"Yes",L1824&lt;0,B1824&lt;&gt;"TXO"),L1824,"")</f>
        <v/>
      </c>
      <c r="V1824" s="61">
        <f>IF(AND(R1824="",S1824&lt;&gt;"Yes",L1824&gt;0,B1824&lt;&gt;"TXO"),L1824,"")</f>
        <v/>
      </c>
      <c r="W1824" s="61">
        <f>IF(AND(R1824="",S1824&lt;&gt;"Yes",L1824&lt;0,B1824&lt;&gt;"TXO"),L1824,"")</f>
        <v/>
      </c>
      <c r="X1824" s="226">
        <f>IF(AND(R1824="Yes",S1824="Yes",L1824&gt;0,B1824&lt;&gt;"TXO"),L1824,"")</f>
        <v/>
      </c>
      <c r="Y1824" s="226">
        <f>IF(AND(R1824="Yes",S1824="Yes",L1824&lt;0,B1824&lt;&gt;"TXO"),L1824,"")</f>
        <v/>
      </c>
      <c r="Z1824" s="226">
        <f>IF(AND(R1824="",S1824="Yes",L1824&gt;0,B1824&lt;&gt;"TXO"),L1824,"")</f>
        <v/>
      </c>
      <c r="AA1824" s="226">
        <f>IF(AND(R1824="",S1824="Yes",L1824&lt;0,B1824&lt;&gt;"TXO"),L1824,"")</f>
        <v/>
      </c>
    </row>
    <row r="1825" hidden="1" outlineLevel="2" collapsed="1" ht="17.25" customHeight="1" thickBot="1">
      <c r="A1825" s="696" t="n">
        <v>43459</v>
      </c>
      <c r="B1825" s="234" t="inlineStr">
        <is>
          <t>TXO</t>
        </is>
      </c>
      <c r="C1825" s="229" t="inlineStr">
        <is>
          <t>台選W4 12 9300 P</t>
        </is>
      </c>
      <c r="D1825" s="229" t="inlineStr">
        <is>
          <t>新倉</t>
        </is>
      </c>
      <c r="E1825" s="257" t="inlineStr">
        <is>
          <t>買</t>
        </is>
      </c>
      <c r="F1825" s="229" t="inlineStr">
        <is>
          <t>-</t>
        </is>
      </c>
      <c r="G1825" s="697" t="n">
        <v>1</v>
      </c>
      <c r="H1825" s="697" t="n">
        <v>2.8</v>
      </c>
      <c r="I1825" s="697" t="n">
        <v>-140</v>
      </c>
      <c r="J1825" s="585" t="n">
        <v>18</v>
      </c>
      <c r="K1825" s="585" t="n">
        <v>0</v>
      </c>
      <c r="L1825" s="585">
        <f>IF(B1825="TXO",I1825-SUM(J1825:K1825),IF(B1825="FITX",IF(D1825="新倉",-SUM(J1825:K1825),IF(E1825="賣",(H1825-H1824)*G1825*200-SUM(J1825:K1825),(H1824-H1825)*G1825*200-SUM(J1825:K1825))),IF(D1825="新倉",-SUM(J1825:K1825),IF(E1825="賣",(H1825-H1824)*G1825*50-SUM(J1825:K1825),(H1824-H1825)*G1825*50-SUM(J1825:K1825)))))</f>
        <v/>
      </c>
      <c r="M1825" s="699">
        <f>L1825</f>
        <v/>
      </c>
      <c r="N1825" s="686">
        <f>IF(B1825="TXO","",IF(D1825="新倉","",IF(E1825="賣",(H1825-H1824)*G1825,(H1824-H1825)*G1825)))</f>
        <v/>
      </c>
      <c r="O1825" s="226" t="n">
        <v>0</v>
      </c>
      <c r="P1825" s="667" t="n"/>
      <c r="Q1825" s="297" t="n"/>
      <c r="R1825" s="249" t="inlineStr">
        <is>
          <t>Yes</t>
        </is>
      </c>
      <c r="S1825" s="249" t="n"/>
      <c r="T1825" s="61">
        <f>IF(AND(R1825="Yes",S1825&lt;&gt;"Yes",L1825&gt;0,B1825&lt;&gt;"TXO"),L1825,"")</f>
        <v/>
      </c>
      <c r="U1825" s="61">
        <f>IF(AND(R1825="Yes",S1825&lt;&gt;"Yes",L1825&lt;0,B1825&lt;&gt;"TXO"),L1825,"")</f>
        <v/>
      </c>
      <c r="V1825" s="61">
        <f>IF(AND(R1825="",S1825&lt;&gt;"Yes",L1825&gt;0,B1825&lt;&gt;"TXO"),L1825,"")</f>
        <v/>
      </c>
      <c r="W1825" s="61">
        <f>IF(AND(R1825="",S1825&lt;&gt;"Yes",L1825&lt;0,B1825&lt;&gt;"TXO"),L1825,"")</f>
        <v/>
      </c>
      <c r="X1825" s="226">
        <f>IF(AND(R1825="Yes",S1825="Yes",L1825&gt;0,B1825&lt;&gt;"TXO"),L1825,"")</f>
        <v/>
      </c>
      <c r="Y1825" s="226">
        <f>IF(AND(R1825="Yes",S1825="Yes",L1825&lt;0,B1825&lt;&gt;"TXO"),L1825,"")</f>
        <v/>
      </c>
      <c r="Z1825" s="226">
        <f>IF(AND(R1825="",S1825="Yes",L1825&gt;0,B1825&lt;&gt;"TXO"),L1825,"")</f>
        <v/>
      </c>
      <c r="AA1825" s="226">
        <f>IF(AND(R1825="",S1825="Yes",L1825&lt;0,B1825&lt;&gt;"TXO"),L1825,"")</f>
        <v/>
      </c>
    </row>
    <row r="1826" hidden="1" outlineLevel="2" collapsed="1" ht="17.25" customHeight="1" thickBot="1">
      <c r="A1826" s="696" t="n">
        <v>43459</v>
      </c>
      <c r="B1826" s="234" t="inlineStr">
        <is>
          <t>TXO</t>
        </is>
      </c>
      <c r="C1826" s="229" t="inlineStr">
        <is>
          <t>台選W4 12 9300 P</t>
        </is>
      </c>
      <c r="D1826" s="229" t="inlineStr">
        <is>
          <t>新倉</t>
        </is>
      </c>
      <c r="E1826" s="257" t="inlineStr">
        <is>
          <t>買</t>
        </is>
      </c>
      <c r="F1826" s="229" t="inlineStr">
        <is>
          <t>-</t>
        </is>
      </c>
      <c r="G1826" s="697" t="n">
        <v>1</v>
      </c>
      <c r="H1826" s="697" t="n">
        <v>2.8</v>
      </c>
      <c r="I1826" s="697" t="n">
        <v>-140</v>
      </c>
      <c r="J1826" s="585" t="n">
        <v>18</v>
      </c>
      <c r="K1826" s="585" t="n">
        <v>0</v>
      </c>
      <c r="L1826" s="585">
        <f>IF(B1826="TXO",I1826-SUM(J1826:K1826),IF(B1826="FITX",IF(D1826="新倉",-SUM(J1826:K1826),IF(E1826="賣",(H1826-H1825)*G1826*200-SUM(J1826:K1826),(H1825-H1826)*G1826*200-SUM(J1826:K1826))),IF(D1826="新倉",-SUM(J1826:K1826),IF(E1826="賣",(H1826-H1825)*G1826*50-SUM(J1826:K1826),(H1825-H1826)*G1826*50-SUM(J1826:K1826)))))</f>
        <v/>
      </c>
      <c r="M1826" s="699">
        <f>L1826</f>
        <v/>
      </c>
      <c r="N1826" s="686">
        <f>IF(B1826="TXO","",IF(D1826="新倉","",IF(E1826="賣",(H1826-H1825)*G1826,(H1825-H1826)*G1826)))</f>
        <v/>
      </c>
      <c r="O1826" s="226" t="n">
        <v>0</v>
      </c>
      <c r="P1826" s="667" t="n"/>
      <c r="Q1826" s="297" t="n"/>
      <c r="R1826" s="249" t="inlineStr">
        <is>
          <t>Yes</t>
        </is>
      </c>
      <c r="S1826" s="249" t="n"/>
      <c r="T1826" s="61">
        <f>IF(AND(R1826="Yes",S1826&lt;&gt;"Yes",L1826&gt;0,B1826&lt;&gt;"TXO"),L1826,"")</f>
        <v/>
      </c>
      <c r="U1826" s="61">
        <f>IF(AND(R1826="Yes",S1826&lt;&gt;"Yes",L1826&lt;0,B1826&lt;&gt;"TXO"),L1826,"")</f>
        <v/>
      </c>
      <c r="V1826" s="61">
        <f>IF(AND(R1826="",S1826&lt;&gt;"Yes",L1826&gt;0,B1826&lt;&gt;"TXO"),L1826,"")</f>
        <v/>
      </c>
      <c r="W1826" s="61">
        <f>IF(AND(R1826="",S1826&lt;&gt;"Yes",L1826&lt;0,B1826&lt;&gt;"TXO"),L1826,"")</f>
        <v/>
      </c>
      <c r="X1826" s="226">
        <f>IF(AND(R1826="Yes",S1826="Yes",L1826&gt;0,B1826&lt;&gt;"TXO"),L1826,"")</f>
        <v/>
      </c>
      <c r="Y1826" s="226">
        <f>IF(AND(R1826="Yes",S1826="Yes",L1826&lt;0,B1826&lt;&gt;"TXO"),L1826,"")</f>
        <v/>
      </c>
      <c r="Z1826" s="226">
        <f>IF(AND(R1826="",S1826="Yes",L1826&gt;0,B1826&lt;&gt;"TXO"),L1826,"")</f>
        <v/>
      </c>
      <c r="AA1826" s="226">
        <f>IF(AND(R1826="",S1826="Yes",L1826&lt;0,B1826&lt;&gt;"TXO"),L1826,"")</f>
        <v/>
      </c>
    </row>
    <row r="1827" hidden="1" outlineLevel="1" ht="17.25" customHeight="1" thickBot="1">
      <c r="A1827" s="740" t="n">
        <v>43461</v>
      </c>
      <c r="B1827" s="299" t="inlineStr">
        <is>
          <t>FIMTX</t>
        </is>
      </c>
      <c r="C1827" s="300" t="inlineStr">
        <is>
          <t>小指01</t>
        </is>
      </c>
      <c r="D1827" s="300" t="inlineStr">
        <is>
          <t>新倉</t>
        </is>
      </c>
      <c r="E1827" s="301" t="inlineStr">
        <is>
          <t>賣</t>
        </is>
      </c>
      <c r="F1827" s="300" t="inlineStr">
        <is>
          <t>-</t>
        </is>
      </c>
      <c r="G1827" s="741" t="n">
        <v>1</v>
      </c>
      <c r="H1827" s="741" t="n">
        <v>9579</v>
      </c>
      <c r="I1827" s="741" t="n">
        <v>0</v>
      </c>
      <c r="J1827" s="742" t="n">
        <v>23</v>
      </c>
      <c r="K1827" s="742" t="n">
        <v>10</v>
      </c>
      <c r="L1827" s="742">
        <f>IF(B1827="TXO",I1827-SUM(J1827:K1827),IF(B1827="FITX",IF(D1827="新倉",-SUM(J1827:K1827),IF(E1827="賣",(H1827-H1826)*G1827*200-SUM(J1827:K1827),(H1826-H1827)*G1827*200-SUM(J1827:K1827))),IF(D1827="新倉",-SUM(J1827:K1827),IF(E1827="賣",(H1827-H1826)*G1827*50-SUM(J1827:K1827),(H1826-H1827)*G1827*50-SUM(J1827:K1827)))))</f>
        <v/>
      </c>
      <c r="M1827" s="743">
        <f>L1827</f>
        <v/>
      </c>
      <c r="N1827" s="686">
        <f>IF(B1827="TXO","",IF(D1827="新倉","",IF(E1827="賣",(H1827-H1826)*G1827,(H1826-H1827)*G1827)))</f>
        <v/>
      </c>
      <c r="O1827" s="226" t="n">
        <v>0</v>
      </c>
      <c r="P1827" s="667">
        <f>SUM(L1827:L1834)</f>
        <v/>
      </c>
      <c r="Q1827" s="249" t="inlineStr">
        <is>
          <t>技法: 3/3 買進3口</t>
        </is>
      </c>
      <c r="R1827" s="249" t="inlineStr">
        <is>
          <t>Yes</t>
        </is>
      </c>
      <c r="S1827" s="249" t="inlineStr">
        <is>
          <t>Yes</t>
        </is>
      </c>
      <c r="T1827" s="61">
        <f>IF(AND(R1827="Yes",S1827&lt;&gt;"Yes",L1827&gt;0,B1827&lt;&gt;"TXO"),L1827,"")</f>
        <v/>
      </c>
      <c r="U1827" s="61">
        <f>IF(AND(R1827="Yes",S1827&lt;&gt;"Yes",L1827&lt;0,B1827&lt;&gt;"TXO"),L1827,"")</f>
        <v/>
      </c>
      <c r="V1827" s="61">
        <f>IF(AND(R1827="",S1827&lt;&gt;"Yes",L1827&gt;0,B1827&lt;&gt;"TXO"),L1827,"")</f>
        <v/>
      </c>
      <c r="W1827" s="61">
        <f>IF(AND(R1827="",S1827&lt;&gt;"Yes",L1827&lt;0,B1827&lt;&gt;"TXO"),L1827,"")</f>
        <v/>
      </c>
      <c r="X1827" s="226">
        <f>IF(AND(R1827="Yes",S1827="Yes",L1827&gt;0,B1827&lt;&gt;"TXO"),L1827,"")</f>
        <v/>
      </c>
      <c r="Y1827" s="226">
        <f>IF(AND(R1827="Yes",S1827="Yes",L1827&lt;0,B1827&lt;&gt;"TXO"),L1827,"")</f>
        <v/>
      </c>
      <c r="Z1827" s="226">
        <f>IF(AND(R1827="",S1827="Yes",L1827&gt;0,B1827&lt;&gt;"TXO"),L1827,"")</f>
        <v/>
      </c>
      <c r="AA1827" s="226">
        <f>IF(AND(R1827="",S1827="Yes",L1827&lt;0,B1827&lt;&gt;"TXO"),L1827,"")</f>
        <v/>
      </c>
    </row>
    <row r="1828" hidden="1" outlineLevel="1" ht="17.25" customHeight="1" thickBot="1">
      <c r="A1828" s="740" t="n">
        <v>43461</v>
      </c>
      <c r="B1828" s="299" t="inlineStr">
        <is>
          <t>FIMTX</t>
        </is>
      </c>
      <c r="C1828" s="300" t="inlineStr">
        <is>
          <t>小指01</t>
        </is>
      </c>
      <c r="D1828" s="300" t="inlineStr">
        <is>
          <t>平倉</t>
        </is>
      </c>
      <c r="E1828" s="301" t="inlineStr">
        <is>
          <t>買</t>
        </is>
      </c>
      <c r="F1828" s="300" t="inlineStr">
        <is>
          <t>-</t>
        </is>
      </c>
      <c r="G1828" s="741" t="n">
        <v>1</v>
      </c>
      <c r="H1828" s="741" t="n">
        <v>9573</v>
      </c>
      <c r="I1828" s="741" t="n">
        <v>0</v>
      </c>
      <c r="J1828" s="742" t="n">
        <v>23</v>
      </c>
      <c r="K1828" s="742" t="n">
        <v>10</v>
      </c>
      <c r="L1828" s="742">
        <f>IF(B1828="TXO",I1828-SUM(J1828:K1828),IF(B1828="FITX",IF(D1828="新倉",-SUM(J1828:K1828),IF(E1828="賣",(H1828-H1827)*G1828*200-SUM(J1828:K1828),(H1827-H1828)*G1828*200-SUM(J1828:K1828))),IF(D1828="新倉",-SUM(J1828:K1828),IF(E1828="賣",(H1828-H1827)*G1828*50-SUM(J1828:K1828),(H1827-H1828)*G1828*50-SUM(J1828:K1828)))))</f>
        <v/>
      </c>
      <c r="M1828" s="743">
        <f>L1828</f>
        <v/>
      </c>
      <c r="N1828" s="686">
        <f>IF(B1828="TXO","",IF(D1828="新倉","",IF(E1828="賣",(H1828-H1827)*G1828,(H1827-H1828)*G1828)))</f>
        <v/>
      </c>
      <c r="O1828" s="226" t="n">
        <v>0</v>
      </c>
      <c r="P1828" s="667" t="n"/>
      <c r="Q1828" s="249" t="inlineStr">
        <is>
          <t>技法: 刺補</t>
        </is>
      </c>
      <c r="R1828" s="249" t="inlineStr">
        <is>
          <t>Yes</t>
        </is>
      </c>
      <c r="S1828" s="249" t="inlineStr">
        <is>
          <t>Yes</t>
        </is>
      </c>
      <c r="T1828" s="61">
        <f>IF(AND(R1828="Yes",S1828&lt;&gt;"Yes",L1828&gt;0,B1828&lt;&gt;"TXO"),L1828,"")</f>
        <v/>
      </c>
      <c r="U1828" s="61">
        <f>IF(AND(R1828="Yes",S1828&lt;&gt;"Yes",L1828&lt;0,B1828&lt;&gt;"TXO"),L1828,"")</f>
        <v/>
      </c>
      <c r="V1828" s="61">
        <f>IF(AND(R1828="",S1828&lt;&gt;"Yes",L1828&gt;0,B1828&lt;&gt;"TXO"),L1828,"")</f>
        <v/>
      </c>
      <c r="W1828" s="61">
        <f>IF(AND(R1828="",S1828&lt;&gt;"Yes",L1828&lt;0,B1828&lt;&gt;"TXO"),L1828,"")</f>
        <v/>
      </c>
      <c r="X1828" s="226">
        <f>IF(AND(R1828="Yes",S1828="Yes",L1828&gt;0,B1828&lt;&gt;"TXO"),L1828,"")</f>
        <v/>
      </c>
      <c r="Y1828" s="226">
        <f>IF(AND(R1828="Yes",S1828="Yes",L1828&lt;0,B1828&lt;&gt;"TXO"),L1828,"")</f>
        <v/>
      </c>
      <c r="Z1828" s="226">
        <f>IF(AND(R1828="",S1828="Yes",L1828&gt;0,B1828&lt;&gt;"TXO"),L1828,"")</f>
        <v/>
      </c>
      <c r="AA1828" s="226">
        <f>IF(AND(R1828="",S1828="Yes",L1828&lt;0,B1828&lt;&gt;"TXO"),L1828,"")</f>
        <v/>
      </c>
    </row>
    <row r="1829" hidden="1" outlineLevel="1" ht="17.25" customHeight="1" thickBot="1">
      <c r="A1829" s="740" t="n">
        <v>43461</v>
      </c>
      <c r="B1829" s="299" t="inlineStr">
        <is>
          <t>FIMTX</t>
        </is>
      </c>
      <c r="C1829" s="300" t="inlineStr">
        <is>
          <t>小指01</t>
        </is>
      </c>
      <c r="D1829" s="300" t="inlineStr">
        <is>
          <t>新倉</t>
        </is>
      </c>
      <c r="E1829" s="301" t="inlineStr">
        <is>
          <t>賣</t>
        </is>
      </c>
      <c r="F1829" s="300" t="inlineStr">
        <is>
          <t>-</t>
        </is>
      </c>
      <c r="G1829" s="741" t="n">
        <v>1</v>
      </c>
      <c r="H1829" s="741" t="n">
        <v>9579</v>
      </c>
      <c r="I1829" s="741" t="n">
        <v>0</v>
      </c>
      <c r="J1829" s="742" t="n">
        <v>23</v>
      </c>
      <c r="K1829" s="742" t="n">
        <v>10</v>
      </c>
      <c r="L1829" s="742">
        <f>IF(B1829="TXO",I1829-SUM(J1829:K1829),IF(B1829="FITX",IF(D1829="新倉",-SUM(J1829:K1829),IF(E1829="賣",(H1829-H1828)*G1829*200-SUM(J1829:K1829),(H1828-H1829)*G1829*200-SUM(J1829:K1829))),IF(D1829="新倉",-SUM(J1829:K1829),IF(E1829="賣",(H1829-H1828)*G1829*50-SUM(J1829:K1829),(H1828-H1829)*G1829*50-SUM(J1829:K1829)))))</f>
        <v/>
      </c>
      <c r="M1829" s="743">
        <f>L1829</f>
        <v/>
      </c>
      <c r="N1829" s="686">
        <f>IF(B1829="TXO","",IF(D1829="新倉","",IF(E1829="賣",(H1829-H1828)*G1829,(H1828-H1829)*G1829)))</f>
        <v/>
      </c>
      <c r="O1829" s="226" t="n">
        <v>0</v>
      </c>
      <c r="P1829" s="667" t="n"/>
      <c r="R1829" s="249" t="inlineStr">
        <is>
          <t>Yes</t>
        </is>
      </c>
      <c r="S1829" s="249" t="inlineStr">
        <is>
          <t>Yes</t>
        </is>
      </c>
      <c r="T1829" s="61">
        <f>IF(AND(R1829="Yes",S1829&lt;&gt;"Yes",L1829&gt;0,B1829&lt;&gt;"TXO"),L1829,"")</f>
        <v/>
      </c>
      <c r="U1829" s="61">
        <f>IF(AND(R1829="Yes",S1829&lt;&gt;"Yes",L1829&lt;0,B1829&lt;&gt;"TXO"),L1829,"")</f>
        <v/>
      </c>
      <c r="V1829" s="61">
        <f>IF(AND(R1829="",S1829&lt;&gt;"Yes",L1829&gt;0,B1829&lt;&gt;"TXO"),L1829,"")</f>
        <v/>
      </c>
      <c r="W1829" s="61">
        <f>IF(AND(R1829="",S1829&lt;&gt;"Yes",L1829&lt;0,B1829&lt;&gt;"TXO"),L1829,"")</f>
        <v/>
      </c>
      <c r="X1829" s="226">
        <f>IF(AND(R1829="Yes",S1829="Yes",L1829&gt;0,B1829&lt;&gt;"TXO"),L1829,"")</f>
        <v/>
      </c>
      <c r="Y1829" s="226">
        <f>IF(AND(R1829="Yes",S1829="Yes",L1829&lt;0,B1829&lt;&gt;"TXO"),L1829,"")</f>
        <v/>
      </c>
      <c r="Z1829" s="226">
        <f>IF(AND(R1829="",S1829="Yes",L1829&gt;0,B1829&lt;&gt;"TXO"),L1829,"")</f>
        <v/>
      </c>
      <c r="AA1829" s="226">
        <f>IF(AND(R1829="",S1829="Yes",L1829&lt;0,B1829&lt;&gt;"TXO"),L1829,"")</f>
        <v/>
      </c>
    </row>
    <row r="1830" hidden="1" outlineLevel="1" ht="17.25" customHeight="1" thickBot="1">
      <c r="A1830" s="740" t="n">
        <v>43461</v>
      </c>
      <c r="B1830" s="299" t="inlineStr">
        <is>
          <t>FIMTX</t>
        </is>
      </c>
      <c r="C1830" s="300" t="inlineStr">
        <is>
          <t>小指01</t>
        </is>
      </c>
      <c r="D1830" s="300" t="inlineStr">
        <is>
          <t>平倉</t>
        </is>
      </c>
      <c r="E1830" s="301" t="inlineStr">
        <is>
          <t>買</t>
        </is>
      </c>
      <c r="F1830" s="300" t="inlineStr">
        <is>
          <t>-</t>
        </is>
      </c>
      <c r="G1830" s="741" t="n">
        <v>1</v>
      </c>
      <c r="H1830" s="741" t="n">
        <v>9570</v>
      </c>
      <c r="I1830" s="741" t="n">
        <v>0</v>
      </c>
      <c r="J1830" s="742" t="n">
        <v>23</v>
      </c>
      <c r="K1830" s="742" t="n">
        <v>10</v>
      </c>
      <c r="L1830" s="742">
        <f>IF(B1830="TXO",I1830-SUM(J1830:K1830),IF(B1830="FITX",IF(D1830="新倉",-SUM(J1830:K1830),IF(E1830="賣",(H1830-H1829)*G1830*200-SUM(J1830:K1830),(H1829-H1830)*G1830*200-SUM(J1830:K1830))),IF(D1830="新倉",-SUM(J1830:K1830),IF(E1830="賣",(H1830-H1829)*G1830*50-SUM(J1830:K1830),(H1829-H1830)*G1830*50-SUM(J1830:K1830)))))</f>
        <v/>
      </c>
      <c r="M1830" s="743">
        <f>L1830</f>
        <v/>
      </c>
      <c r="N1830" s="686">
        <f>IF(B1830="TXO","",IF(D1830="新倉","",IF(E1830="賣",(H1830-H1829)*G1830,(H1829-H1830)*G1830)))</f>
        <v/>
      </c>
      <c r="O1830" s="226" t="n">
        <v>0</v>
      </c>
      <c r="P1830" s="667" t="n"/>
      <c r="Q1830" s="249" t="inlineStr">
        <is>
          <t>技法: 移動式停利</t>
        </is>
      </c>
      <c r="R1830" s="249" t="inlineStr">
        <is>
          <t>Yes</t>
        </is>
      </c>
      <c r="S1830" s="249" t="inlineStr">
        <is>
          <t>Yes</t>
        </is>
      </c>
      <c r="T1830" s="61">
        <f>IF(AND(R1830="Yes",S1830&lt;&gt;"Yes",L1830&gt;0,B1830&lt;&gt;"TXO"),L1830,"")</f>
        <v/>
      </c>
      <c r="U1830" s="61">
        <f>IF(AND(R1830="Yes",S1830&lt;&gt;"Yes",L1830&lt;0,B1830&lt;&gt;"TXO"),L1830,"")</f>
        <v/>
      </c>
      <c r="V1830" s="61">
        <f>IF(AND(R1830="",S1830&lt;&gt;"Yes",L1830&gt;0,B1830&lt;&gt;"TXO"),L1830,"")</f>
        <v/>
      </c>
      <c r="W1830" s="61">
        <f>IF(AND(R1830="",S1830&lt;&gt;"Yes",L1830&lt;0,B1830&lt;&gt;"TXO"),L1830,"")</f>
        <v/>
      </c>
      <c r="X1830" s="226">
        <f>IF(AND(R1830="Yes",S1830="Yes",L1830&gt;0,B1830&lt;&gt;"TXO"),L1830,"")</f>
        <v/>
      </c>
      <c r="Y1830" s="226">
        <f>IF(AND(R1830="Yes",S1830="Yes",L1830&lt;0,B1830&lt;&gt;"TXO"),L1830,"")</f>
        <v/>
      </c>
      <c r="Z1830" s="226">
        <f>IF(AND(R1830="",S1830="Yes",L1830&gt;0,B1830&lt;&gt;"TXO"),L1830,"")</f>
        <v/>
      </c>
      <c r="AA1830" s="226">
        <f>IF(AND(R1830="",S1830="Yes",L1830&lt;0,B1830&lt;&gt;"TXO"),L1830,"")</f>
        <v/>
      </c>
    </row>
    <row r="1831" hidden="1" outlineLevel="1" ht="17.25" customHeight="1" thickBot="1">
      <c r="A1831" s="740" t="n">
        <v>43461</v>
      </c>
      <c r="B1831" s="299" t="inlineStr">
        <is>
          <t>FIMTX</t>
        </is>
      </c>
      <c r="C1831" s="300" t="inlineStr">
        <is>
          <t>小指01</t>
        </is>
      </c>
      <c r="D1831" s="300" t="inlineStr">
        <is>
          <t>新倉</t>
        </is>
      </c>
      <c r="E1831" s="301" t="inlineStr">
        <is>
          <t>賣</t>
        </is>
      </c>
      <c r="F1831" s="300" t="inlineStr">
        <is>
          <t>-</t>
        </is>
      </c>
      <c r="G1831" s="741" t="n">
        <v>1</v>
      </c>
      <c r="H1831" s="741" t="n">
        <v>9579</v>
      </c>
      <c r="I1831" s="741" t="n">
        <v>0</v>
      </c>
      <c r="J1831" s="742" t="n">
        <v>23</v>
      </c>
      <c r="K1831" s="742" t="n">
        <v>10</v>
      </c>
      <c r="L1831" s="742">
        <f>IF(B1831="TXO",I1831-SUM(J1831:K1831),IF(B1831="FITX",IF(D1831="新倉",-SUM(J1831:K1831),IF(E1831="賣",(H1831-H1830)*G1831*200-SUM(J1831:K1831),(H1830-H1831)*G1831*200-SUM(J1831:K1831))),IF(D1831="新倉",-SUM(J1831:K1831),IF(E1831="賣",(H1831-H1830)*G1831*50-SUM(J1831:K1831),(H1830-H1831)*G1831*50-SUM(J1831:K1831)))))</f>
        <v/>
      </c>
      <c r="M1831" s="743">
        <f>L1831</f>
        <v/>
      </c>
      <c r="N1831" s="686">
        <f>IF(B1831="TXO","",IF(D1831="新倉","",IF(E1831="賣",(H1831-H1830)*G1831,(H1830-H1831)*G1831)))</f>
        <v/>
      </c>
      <c r="O1831" s="226" t="n">
        <v>0</v>
      </c>
      <c r="P1831" s="667" t="n"/>
      <c r="R1831" s="249" t="inlineStr">
        <is>
          <t>Yes</t>
        </is>
      </c>
      <c r="S1831" s="249" t="inlineStr">
        <is>
          <t>Yes</t>
        </is>
      </c>
      <c r="T1831" s="61">
        <f>IF(AND(R1831="Yes",S1831&lt;&gt;"Yes",L1831&gt;0,B1831&lt;&gt;"TXO"),L1831,"")</f>
        <v/>
      </c>
      <c r="U1831" s="61">
        <f>IF(AND(R1831="Yes",S1831&lt;&gt;"Yes",L1831&lt;0,B1831&lt;&gt;"TXO"),L1831,"")</f>
        <v/>
      </c>
      <c r="V1831" s="61">
        <f>IF(AND(R1831="",S1831&lt;&gt;"Yes",L1831&gt;0,B1831&lt;&gt;"TXO"),L1831,"")</f>
        <v/>
      </c>
      <c r="W1831" s="61">
        <f>IF(AND(R1831="",S1831&lt;&gt;"Yes",L1831&lt;0,B1831&lt;&gt;"TXO"),L1831,"")</f>
        <v/>
      </c>
      <c r="X1831" s="226">
        <f>IF(AND(R1831="Yes",S1831="Yes",L1831&gt;0,B1831&lt;&gt;"TXO"),L1831,"")</f>
        <v/>
      </c>
      <c r="Y1831" s="226">
        <f>IF(AND(R1831="Yes",S1831="Yes",L1831&lt;0,B1831&lt;&gt;"TXO"),L1831,"")</f>
        <v/>
      </c>
      <c r="Z1831" s="226">
        <f>IF(AND(R1831="",S1831="Yes",L1831&gt;0,B1831&lt;&gt;"TXO"),L1831,"")</f>
        <v/>
      </c>
      <c r="AA1831" s="226">
        <f>IF(AND(R1831="",S1831="Yes",L1831&lt;0,B1831&lt;&gt;"TXO"),L1831,"")</f>
        <v/>
      </c>
    </row>
    <row r="1832" hidden="1" outlineLevel="1" ht="17.25" customHeight="1" thickBot="1">
      <c r="A1832" s="740" t="n">
        <v>43461</v>
      </c>
      <c r="B1832" s="299" t="inlineStr">
        <is>
          <t>FIMTX</t>
        </is>
      </c>
      <c r="C1832" s="300" t="inlineStr">
        <is>
          <t>小指01</t>
        </is>
      </c>
      <c r="D1832" s="300" t="inlineStr">
        <is>
          <t>平倉</t>
        </is>
      </c>
      <c r="E1832" s="301" t="inlineStr">
        <is>
          <t>買</t>
        </is>
      </c>
      <c r="F1832" s="300" t="inlineStr">
        <is>
          <t>-</t>
        </is>
      </c>
      <c r="G1832" s="741" t="n">
        <v>1</v>
      </c>
      <c r="H1832" s="741" t="n">
        <v>9570</v>
      </c>
      <c r="I1832" s="741" t="n">
        <v>0</v>
      </c>
      <c r="J1832" s="742" t="n">
        <v>23</v>
      </c>
      <c r="K1832" s="742" t="n">
        <v>10</v>
      </c>
      <c r="L1832" s="742">
        <f>IF(B1832="TXO",I1832-SUM(J1832:K1832),IF(B1832="FITX",IF(D1832="新倉",-SUM(J1832:K1832),IF(E1832="賣",(H1832-H1831)*G1832*200-SUM(J1832:K1832),(H1831-H1832)*G1832*200-SUM(J1832:K1832))),IF(D1832="新倉",-SUM(J1832:K1832),IF(E1832="賣",(H1832-H1831)*G1832*50-SUM(J1832:K1832),(H1831-H1832)*G1832*50-SUM(J1832:K1832)))))</f>
        <v/>
      </c>
      <c r="M1832" s="743">
        <f>L1832</f>
        <v/>
      </c>
      <c r="N1832" s="686">
        <f>IF(B1832="TXO","",IF(D1832="新倉","",IF(E1832="賣",(H1832-H1831)*G1832,(H1831-H1832)*G1832)))</f>
        <v/>
      </c>
      <c r="O1832" s="226" t="n">
        <v>0</v>
      </c>
      <c r="P1832" s="667" t="n"/>
      <c r="Q1832" s="249" t="inlineStr">
        <is>
          <t>技法: 移動式停利</t>
        </is>
      </c>
      <c r="R1832" s="249" t="inlineStr">
        <is>
          <t>Yes</t>
        </is>
      </c>
      <c r="S1832" s="249" t="inlineStr">
        <is>
          <t>Yes</t>
        </is>
      </c>
      <c r="T1832" s="61">
        <f>IF(AND(R1832="Yes",S1832&lt;&gt;"Yes",L1832&gt;0,B1832&lt;&gt;"TXO"),L1832,"")</f>
        <v/>
      </c>
      <c r="U1832" s="61">
        <f>IF(AND(R1832="Yes",S1832&lt;&gt;"Yes",L1832&lt;0,B1832&lt;&gt;"TXO"),L1832,"")</f>
        <v/>
      </c>
      <c r="V1832" s="61">
        <f>IF(AND(R1832="",S1832&lt;&gt;"Yes",L1832&gt;0,B1832&lt;&gt;"TXO"),L1832,"")</f>
        <v/>
      </c>
      <c r="W1832" s="61">
        <f>IF(AND(R1832="",S1832&lt;&gt;"Yes",L1832&lt;0,B1832&lt;&gt;"TXO"),L1832,"")</f>
        <v/>
      </c>
      <c r="X1832" s="226">
        <f>IF(AND(R1832="Yes",S1832="Yes",L1832&gt;0,B1832&lt;&gt;"TXO"),L1832,"")</f>
        <v/>
      </c>
      <c r="Y1832" s="226">
        <f>IF(AND(R1832="Yes",S1832="Yes",L1832&lt;0,B1832&lt;&gt;"TXO"),L1832,"")</f>
        <v/>
      </c>
      <c r="Z1832" s="226">
        <f>IF(AND(R1832="",S1832="Yes",L1832&gt;0,B1832&lt;&gt;"TXO"),L1832,"")</f>
        <v/>
      </c>
      <c r="AA1832" s="226">
        <f>IF(AND(R1832="",S1832="Yes",L1832&lt;0,B1832&lt;&gt;"TXO"),L1832,"")</f>
        <v/>
      </c>
    </row>
    <row r="1833" hidden="1" outlineLevel="1" ht="17.25" customHeight="1" thickBot="1">
      <c r="A1833" s="740" t="n">
        <v>43461</v>
      </c>
      <c r="B1833" s="299" t="inlineStr">
        <is>
          <t>FIMTX</t>
        </is>
      </c>
      <c r="C1833" s="300" t="inlineStr">
        <is>
          <t>小指01</t>
        </is>
      </c>
      <c r="D1833" s="300" t="inlineStr">
        <is>
          <t>新倉</t>
        </is>
      </c>
      <c r="E1833" s="301" t="inlineStr">
        <is>
          <t>賣</t>
        </is>
      </c>
      <c r="F1833" s="300" t="inlineStr">
        <is>
          <t>-</t>
        </is>
      </c>
      <c r="G1833" s="741" t="n">
        <v>3</v>
      </c>
      <c r="H1833" s="741" t="n">
        <v>9571</v>
      </c>
      <c r="I1833" s="741" t="n">
        <v>0</v>
      </c>
      <c r="J1833" s="742" t="n">
        <v>69</v>
      </c>
      <c r="K1833" s="742" t="n">
        <v>30</v>
      </c>
      <c r="L1833" s="742">
        <f>IF(B1833="TXO",I1833-SUM(J1833:K1833),IF(B1833="FITX",IF(D1833="新倉",-SUM(J1833:K1833),IF(E1833="賣",(H1833-H1832)*G1833*200-SUM(J1833:K1833),(H1832-H1833)*G1833*200-SUM(J1833:K1833))),IF(D1833="新倉",-SUM(J1833:K1833),IF(E1833="賣",(H1833-H1832)*G1833*50-SUM(J1833:K1833),(H1832-H1833)*G1833*50-SUM(J1833:K1833)))))</f>
        <v/>
      </c>
      <c r="M1833" s="743">
        <f>L1833</f>
        <v/>
      </c>
      <c r="N1833" s="686">
        <f>IF(B1833="TXO","",IF(D1833="新倉","",IF(E1833="賣",(H1833-H1832)*G1833,(H1832-H1833)*G1833)))</f>
        <v/>
      </c>
      <c r="O1833" s="226" t="n">
        <v>0</v>
      </c>
      <c r="P1833" s="667" t="n"/>
      <c r="Q1833" s="249" t="inlineStr">
        <is>
          <t>技法: 3/3 買進3口</t>
        </is>
      </c>
      <c r="R1833" s="249" t="inlineStr">
        <is>
          <t>Yes</t>
        </is>
      </c>
      <c r="S1833" s="249" t="inlineStr">
        <is>
          <t>Yes</t>
        </is>
      </c>
      <c r="T1833" s="61">
        <f>IF(AND(R1833="Yes",S1833&lt;&gt;"Yes",L1833&gt;0,B1833&lt;&gt;"TXO"),L1833,"")</f>
        <v/>
      </c>
      <c r="U1833" s="61">
        <f>IF(AND(R1833="Yes",S1833&lt;&gt;"Yes",L1833&lt;0,B1833&lt;&gt;"TXO"),L1833,"")</f>
        <v/>
      </c>
      <c r="V1833" s="61">
        <f>IF(AND(R1833="",S1833&lt;&gt;"Yes",L1833&gt;0,B1833&lt;&gt;"TXO"),L1833,"")</f>
        <v/>
      </c>
      <c r="W1833" s="61">
        <f>IF(AND(R1833="",S1833&lt;&gt;"Yes",L1833&lt;0,B1833&lt;&gt;"TXO"),L1833,"")</f>
        <v/>
      </c>
      <c r="X1833" s="226">
        <f>IF(AND(R1833="Yes",S1833="Yes",L1833&gt;0,B1833&lt;&gt;"TXO"),L1833,"")</f>
        <v/>
      </c>
      <c r="Y1833" s="226">
        <f>IF(AND(R1833="Yes",S1833="Yes",L1833&lt;0,B1833&lt;&gt;"TXO"),L1833,"")</f>
        <v/>
      </c>
      <c r="Z1833" s="226">
        <f>IF(AND(R1833="",S1833="Yes",L1833&gt;0,B1833&lt;&gt;"TXO"),L1833,"")</f>
        <v/>
      </c>
      <c r="AA1833" s="226">
        <f>IF(AND(R1833="",S1833="Yes",L1833&lt;0,B1833&lt;&gt;"TXO"),L1833,"")</f>
        <v/>
      </c>
    </row>
    <row r="1834" hidden="1" outlineLevel="1" ht="17.25" customHeight="1" thickBot="1">
      <c r="A1834" s="740" t="n">
        <v>43461</v>
      </c>
      <c r="B1834" s="299" t="inlineStr">
        <is>
          <t>FIMTX</t>
        </is>
      </c>
      <c r="C1834" s="300" t="inlineStr">
        <is>
          <t>小指01</t>
        </is>
      </c>
      <c r="D1834" s="300" t="inlineStr">
        <is>
          <t>平倉</t>
        </is>
      </c>
      <c r="E1834" s="301" t="inlineStr">
        <is>
          <t>買</t>
        </is>
      </c>
      <c r="F1834" s="300" t="inlineStr">
        <is>
          <t>-</t>
        </is>
      </c>
      <c r="G1834" s="741" t="n">
        <v>3</v>
      </c>
      <c r="H1834" s="741" t="n">
        <v>9586</v>
      </c>
      <c r="I1834" s="741" t="n">
        <v>0</v>
      </c>
      <c r="J1834" s="742" t="n">
        <v>69</v>
      </c>
      <c r="K1834" s="742" t="n">
        <v>30</v>
      </c>
      <c r="L1834" s="742">
        <f>IF(B1834="TXO",I1834-SUM(J1834:K1834),IF(B1834="FITX",IF(D1834="新倉",-SUM(J1834:K1834),IF(E1834="賣",(H1834-H1833)*G1834*200-SUM(J1834:K1834),(H1833-H1834)*G1834*200-SUM(J1834:K1834))),IF(D1834="新倉",-SUM(J1834:K1834),IF(E1834="賣",(H1834-H1833)*G1834*50-SUM(J1834:K1834),(H1833-H1834)*G1834*50-SUM(J1834:K1834)))))</f>
        <v/>
      </c>
      <c r="M1834" s="743">
        <f>L1834</f>
        <v/>
      </c>
      <c r="N1834" s="686">
        <f>IF(B1834="TXO","",IF(D1834="新倉","",IF(E1834="賣",(H1834-H1833)*G1834,(H1833-H1834)*G1834)))</f>
        <v/>
      </c>
      <c r="O1834" s="226" t="n">
        <v>0</v>
      </c>
      <c r="P1834" s="667" t="n"/>
      <c r="Q1834" s="249" t="inlineStr">
        <is>
          <t>技法: 15點停損</t>
        </is>
      </c>
      <c r="R1834" s="249" t="inlineStr">
        <is>
          <t>Yes</t>
        </is>
      </c>
      <c r="S1834" s="249" t="inlineStr">
        <is>
          <t>Yes</t>
        </is>
      </c>
      <c r="T1834" s="61">
        <f>IF(AND(R1834="Yes",S1834&lt;&gt;"Yes",L1834&gt;0,B1834&lt;&gt;"TXO"),L1834,"")</f>
        <v/>
      </c>
      <c r="U1834" s="61">
        <f>IF(AND(R1834="Yes",S1834&lt;&gt;"Yes",L1834&lt;0,B1834&lt;&gt;"TXO"),L1834,"")</f>
        <v/>
      </c>
      <c r="V1834" s="61">
        <f>IF(AND(R1834="",S1834&lt;&gt;"Yes",L1834&gt;0,B1834&lt;&gt;"TXO"),L1834,"")</f>
        <v/>
      </c>
      <c r="W1834" s="61">
        <f>IF(AND(R1834="",S1834&lt;&gt;"Yes",L1834&lt;0,B1834&lt;&gt;"TXO"),L1834,"")</f>
        <v/>
      </c>
      <c r="X1834" s="226">
        <f>IF(AND(R1834="Yes",S1834="Yes",L1834&gt;0,B1834&lt;&gt;"TXO"),L1834,"")</f>
        <v/>
      </c>
      <c r="Y1834" s="226">
        <f>IF(AND(R1834="Yes",S1834="Yes",L1834&lt;0,B1834&lt;&gt;"TXO"),L1834,"")</f>
        <v/>
      </c>
      <c r="Z1834" s="226">
        <f>IF(AND(R1834="",S1834="Yes",L1834&gt;0,B1834&lt;&gt;"TXO"),L1834,"")</f>
        <v/>
      </c>
      <c r="AA1834" s="226">
        <f>IF(AND(R1834="",S1834="Yes",L1834&lt;0,B1834&lt;&gt;"TXO"),L1834,"")</f>
        <v/>
      </c>
    </row>
    <row r="1835" hidden="1" outlineLevel="2" collapsed="1" ht="17.25" customHeight="1" thickBot="1">
      <c r="A1835" s="696" t="n">
        <v>43462</v>
      </c>
      <c r="B1835" s="234" t="inlineStr">
        <is>
          <t>FIMTX</t>
        </is>
      </c>
      <c r="C1835" s="229" t="inlineStr">
        <is>
          <t>小指01</t>
        </is>
      </c>
      <c r="D1835" s="229" t="inlineStr">
        <is>
          <t>新倉</t>
        </is>
      </c>
      <c r="E1835" s="257" t="inlineStr">
        <is>
          <t>買</t>
        </is>
      </c>
      <c r="F1835" s="229" t="inlineStr">
        <is>
          <t>-</t>
        </is>
      </c>
      <c r="G1835" s="697" t="n">
        <v>1</v>
      </c>
      <c r="H1835" s="697" t="n">
        <v>9648</v>
      </c>
      <c r="I1835" s="697" t="n">
        <v>0</v>
      </c>
      <c r="J1835" s="585" t="n">
        <v>23</v>
      </c>
      <c r="K1835" s="585" t="n">
        <v>10</v>
      </c>
      <c r="L1835" s="585">
        <f>IF(B1835="TXO",I1835-SUM(J1835:K1835),IF(B1835="FITX",IF(D1835="新倉",-SUM(J1835:K1835),IF(E1835="賣",(H1835-H1834)*G1835*200-SUM(J1835:K1835),(H1834-H1835)*G1835*200-SUM(J1835:K1835))),IF(D1835="新倉",-SUM(J1835:K1835),IF(E1835="賣",(H1835-H1834)*G1835*50-SUM(J1835:K1835),(H1834-H1835)*G1835*50-SUM(J1835:K1835)))))</f>
        <v/>
      </c>
      <c r="M1835" s="699">
        <f>L1835</f>
        <v/>
      </c>
      <c r="N1835" s="686">
        <f>IF(B1835="TXO","",IF(D1835="新倉","",IF(E1835="賣",(H1835-H1834)*G1835,(H1834-H1835)*G1835)))</f>
        <v/>
      </c>
      <c r="O1835" s="226" t="n">
        <v>0</v>
      </c>
      <c r="P1835" s="667">
        <f>SUM(L1835:L1844)</f>
        <v/>
      </c>
      <c r="Q1835" s="297" t="inlineStr">
        <is>
          <t>技法: 3/3 買進3口</t>
        </is>
      </c>
      <c r="R1835" s="249" t="inlineStr">
        <is>
          <t>Yes</t>
        </is>
      </c>
      <c r="S1835" s="249" t="n"/>
      <c r="T1835" s="61">
        <f>IF(AND(R1835="Yes",S1835&lt;&gt;"Yes",L1835&gt;0,B1835&lt;&gt;"TXO"),L1835,"")</f>
        <v/>
      </c>
      <c r="U1835" s="61">
        <f>IF(AND(R1835="Yes",S1835&lt;&gt;"Yes",L1835&lt;0,B1835&lt;&gt;"TXO"),L1835,"")</f>
        <v/>
      </c>
      <c r="V1835" s="61">
        <f>IF(AND(R1835="",S1835&lt;&gt;"Yes",L1835&gt;0,B1835&lt;&gt;"TXO"),L1835,"")</f>
        <v/>
      </c>
      <c r="W1835" s="61">
        <f>IF(AND(R1835="",S1835&lt;&gt;"Yes",L1835&lt;0,B1835&lt;&gt;"TXO"),L1835,"")</f>
        <v/>
      </c>
      <c r="X1835" s="226">
        <f>IF(AND(R1835="Yes",S1835="Yes",L1835&gt;0,B1835&lt;&gt;"TXO"),L1835,"")</f>
        <v/>
      </c>
      <c r="Y1835" s="226">
        <f>IF(AND(R1835="Yes",S1835="Yes",L1835&lt;0,B1835&lt;&gt;"TXO"),L1835,"")</f>
        <v/>
      </c>
      <c r="Z1835" s="226">
        <f>IF(AND(R1835="",S1835="Yes",L1835&gt;0,B1835&lt;&gt;"TXO"),L1835,"")</f>
        <v/>
      </c>
      <c r="AA1835" s="226">
        <f>IF(AND(R1835="",S1835="Yes",L1835&lt;0,B1835&lt;&gt;"TXO"),L1835,"")</f>
        <v/>
      </c>
    </row>
    <row r="1836" hidden="1" outlineLevel="2" collapsed="1" ht="17.25" customHeight="1" thickBot="1">
      <c r="A1836" s="696" t="n">
        <v>43462</v>
      </c>
      <c r="B1836" s="234" t="inlineStr">
        <is>
          <t>FIMTX</t>
        </is>
      </c>
      <c r="C1836" s="229" t="inlineStr">
        <is>
          <t>小指01</t>
        </is>
      </c>
      <c r="D1836" s="229" t="inlineStr">
        <is>
          <t>平倉</t>
        </is>
      </c>
      <c r="E1836" s="257" t="inlineStr">
        <is>
          <t>賣</t>
        </is>
      </c>
      <c r="F1836" s="229" t="inlineStr">
        <is>
          <t>-</t>
        </is>
      </c>
      <c r="G1836" s="697" t="n">
        <v>1</v>
      </c>
      <c r="H1836" s="697" t="n">
        <v>9637</v>
      </c>
      <c r="I1836" s="697" t="n">
        <v>0</v>
      </c>
      <c r="J1836" s="585" t="n">
        <v>23</v>
      </c>
      <c r="K1836" s="585" t="n">
        <v>10</v>
      </c>
      <c r="L1836" s="585">
        <f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/>
      </c>
      <c r="M1836" s="699">
        <f>L1836</f>
        <v/>
      </c>
      <c r="N1836" s="686">
        <f>IF(B1836="TXO","",IF(D1836="新倉","",IF(E1836="賣",(H1836-H1835)*G1836,(H1835-H1836)*G1836)))</f>
        <v/>
      </c>
      <c r="O1836" s="226" t="n">
        <v>0</v>
      </c>
      <c r="P1836" s="667" t="n"/>
      <c r="Q1836" s="249" t="inlineStr">
        <is>
          <t>技法: 跌破10MA停損</t>
        </is>
      </c>
      <c r="R1836" s="249" t="inlineStr">
        <is>
          <t>Yes</t>
        </is>
      </c>
      <c r="S1836" s="249" t="n"/>
      <c r="T1836" s="61">
        <f>IF(AND(R1836="Yes",S1836&lt;&gt;"Yes",L1836&gt;0,B1836&lt;&gt;"TXO"),L1836,"")</f>
        <v/>
      </c>
      <c r="U1836" s="61">
        <f>IF(AND(R1836="Yes",S1836&lt;&gt;"Yes",L1836&lt;0,B1836&lt;&gt;"TXO"),L1836,"")</f>
        <v/>
      </c>
      <c r="V1836" s="61">
        <f>IF(AND(R1836="",S1836&lt;&gt;"Yes",L1836&gt;0,B1836&lt;&gt;"TXO"),L1836,"")</f>
        <v/>
      </c>
      <c r="W1836" s="61">
        <f>IF(AND(R1836="",S1836&lt;&gt;"Yes",L1836&lt;0,B1836&lt;&gt;"TXO"),L1836,"")</f>
        <v/>
      </c>
      <c r="X1836" s="226">
        <f>IF(AND(R1836="Yes",S1836="Yes",L1836&gt;0,B1836&lt;&gt;"TXO"),L1836,"")</f>
        <v/>
      </c>
      <c r="Y1836" s="226">
        <f>IF(AND(R1836="Yes",S1836="Yes",L1836&lt;0,B1836&lt;&gt;"TXO"),L1836,"")</f>
        <v/>
      </c>
      <c r="Z1836" s="226">
        <f>IF(AND(R1836="",S1836="Yes",L1836&gt;0,B1836&lt;&gt;"TXO"),L1836,"")</f>
        <v/>
      </c>
      <c r="AA1836" s="226">
        <f>IF(AND(R1836="",S1836="Yes",L1836&lt;0,B1836&lt;&gt;"TXO"),L1836,"")</f>
        <v/>
      </c>
    </row>
    <row r="1837" hidden="1" outlineLevel="2" collapsed="1" ht="17.25" customHeight="1" thickBot="1">
      <c r="A1837" s="696" t="n">
        <v>43462</v>
      </c>
      <c r="B1837" s="234" t="inlineStr">
        <is>
          <t>FIMTX</t>
        </is>
      </c>
      <c r="C1837" s="229" t="inlineStr">
        <is>
          <t>小指01</t>
        </is>
      </c>
      <c r="D1837" s="229" t="inlineStr">
        <is>
          <t>新倉</t>
        </is>
      </c>
      <c r="E1837" s="257" t="inlineStr">
        <is>
          <t>買</t>
        </is>
      </c>
      <c r="F1837" s="229" t="inlineStr">
        <is>
          <t>-</t>
        </is>
      </c>
      <c r="G1837" s="697" t="n">
        <v>1</v>
      </c>
      <c r="H1837" s="697" t="n">
        <v>9648</v>
      </c>
      <c r="I1837" s="697" t="n">
        <v>0</v>
      </c>
      <c r="J1837" s="585" t="n">
        <v>23</v>
      </c>
      <c r="K1837" s="585" t="n">
        <v>10</v>
      </c>
      <c r="L1837" s="585">
        <f>IF(B1837="TXO",I1837-SUM(J1837:K1837),IF(B1837="FITX",IF(D1837="新倉",-SUM(J1837:K1837),IF(E1837="賣",(H1837-H1836)*G1837*200-SUM(J1837:K1837),(H1836-H1837)*G1837*200-SUM(J1837:K1837))),IF(D1837="新倉",-SUM(J1837:K1837),IF(E1837="賣",(H1837-H1836)*G1837*50-SUM(J1837:K1837),(H1836-H1837)*G1837*50-SUM(J1837:K1837)))))</f>
        <v/>
      </c>
      <c r="M1837" s="699">
        <f>L1837</f>
        <v/>
      </c>
      <c r="N1837" s="686">
        <f>IF(B1837="TXO","",IF(D1837="新倉","",IF(E1837="賣",(H1837-H1836)*G1837,(H1836-H1837)*G1837)))</f>
        <v/>
      </c>
      <c r="O1837" s="226" t="n">
        <v>0</v>
      </c>
      <c r="P1837" s="667" t="n"/>
      <c r="Q1837" s="297" t="n"/>
      <c r="R1837" s="249" t="inlineStr">
        <is>
          <t>Yes</t>
        </is>
      </c>
      <c r="S1837" s="249" t="n"/>
      <c r="T1837" s="61">
        <f>IF(AND(R1837="Yes",S1837&lt;&gt;"Yes",L1837&gt;0,B1837&lt;&gt;"TXO"),L1837,"")</f>
        <v/>
      </c>
      <c r="U1837" s="61">
        <f>IF(AND(R1837="Yes",S1837&lt;&gt;"Yes",L1837&lt;0,B1837&lt;&gt;"TXO"),L1837,"")</f>
        <v/>
      </c>
      <c r="V1837" s="61">
        <f>IF(AND(R1837="",S1837&lt;&gt;"Yes",L1837&gt;0,B1837&lt;&gt;"TXO"),L1837,"")</f>
        <v/>
      </c>
      <c r="W1837" s="61">
        <f>IF(AND(R1837="",S1837&lt;&gt;"Yes",L1837&lt;0,B1837&lt;&gt;"TXO"),L1837,"")</f>
        <v/>
      </c>
      <c r="X1837" s="226">
        <f>IF(AND(R1837="Yes",S1837="Yes",L1837&gt;0,B1837&lt;&gt;"TXO"),L1837,"")</f>
        <v/>
      </c>
      <c r="Y1837" s="226">
        <f>IF(AND(R1837="Yes",S1837="Yes",L1837&lt;0,B1837&lt;&gt;"TXO"),L1837,"")</f>
        <v/>
      </c>
      <c r="Z1837" s="226">
        <f>IF(AND(R1837="",S1837="Yes",L1837&gt;0,B1837&lt;&gt;"TXO"),L1837,"")</f>
        <v/>
      </c>
      <c r="AA1837" s="226">
        <f>IF(AND(R1837="",S1837="Yes",L1837&lt;0,B1837&lt;&gt;"TXO"),L1837,"")</f>
        <v/>
      </c>
    </row>
    <row r="1838" hidden="1" outlineLevel="2" collapsed="1" ht="17.25" customHeight="1" thickBot="1">
      <c r="A1838" s="696" t="n">
        <v>43462</v>
      </c>
      <c r="B1838" s="234" t="inlineStr">
        <is>
          <t>FIMTX</t>
        </is>
      </c>
      <c r="C1838" s="229" t="inlineStr">
        <is>
          <t>小指01</t>
        </is>
      </c>
      <c r="D1838" s="229" t="inlineStr">
        <is>
          <t>平倉</t>
        </is>
      </c>
      <c r="E1838" s="257" t="inlineStr">
        <is>
          <t>賣</t>
        </is>
      </c>
      <c r="F1838" s="229" t="inlineStr">
        <is>
          <t>-</t>
        </is>
      </c>
      <c r="G1838" s="697" t="n">
        <v>1</v>
      </c>
      <c r="H1838" s="697" t="n">
        <v>9637</v>
      </c>
      <c r="I1838" s="697" t="n">
        <v>0</v>
      </c>
      <c r="J1838" s="585" t="n">
        <v>23</v>
      </c>
      <c r="K1838" s="585" t="n">
        <v>10</v>
      </c>
      <c r="L1838" s="585">
        <f>IF(B1838="TXO",I1838-SUM(J1838:K1838),IF(B1838="FITX",IF(D1838="新倉",-SUM(J1838:K1838),IF(E1838="賣",(H1838-H1837)*G1838*200-SUM(J1838:K1838),(H1837-H1838)*G1838*200-SUM(J1838:K1838))),IF(D1838="新倉",-SUM(J1838:K1838),IF(E1838="賣",(H1838-H1837)*G1838*50-SUM(J1838:K1838),(H1837-H1838)*G1838*50-SUM(J1838:K1838)))))</f>
        <v/>
      </c>
      <c r="M1838" s="699">
        <f>L1838</f>
        <v/>
      </c>
      <c r="N1838" s="686">
        <f>IF(B1838="TXO","",IF(D1838="新倉","",IF(E1838="賣",(H1838-H1837)*G1838,(H1837-H1838)*G1838)))</f>
        <v/>
      </c>
      <c r="O1838" s="226" t="n">
        <v>0</v>
      </c>
      <c r="P1838" s="667" t="n"/>
      <c r="Q1838" s="249" t="inlineStr">
        <is>
          <t>技法: 跌破10MA停損</t>
        </is>
      </c>
      <c r="R1838" s="249" t="inlineStr">
        <is>
          <t>Yes</t>
        </is>
      </c>
      <c r="S1838" s="249" t="n"/>
      <c r="T1838" s="61">
        <f>IF(AND(R1838="Yes",S1838&lt;&gt;"Yes",L1838&gt;0,B1838&lt;&gt;"TXO"),L1838,"")</f>
        <v/>
      </c>
      <c r="U1838" s="61">
        <f>IF(AND(R1838="Yes",S1838&lt;&gt;"Yes",L1838&lt;0,B1838&lt;&gt;"TXO"),L1838,"")</f>
        <v/>
      </c>
      <c r="V1838" s="61">
        <f>IF(AND(R1838="",S1838&lt;&gt;"Yes",L1838&gt;0,B1838&lt;&gt;"TXO"),L1838,"")</f>
        <v/>
      </c>
      <c r="W1838" s="61">
        <f>IF(AND(R1838="",S1838&lt;&gt;"Yes",L1838&lt;0,B1838&lt;&gt;"TXO"),L1838,"")</f>
        <v/>
      </c>
      <c r="X1838" s="226">
        <f>IF(AND(R1838="Yes",S1838="Yes",L1838&gt;0,B1838&lt;&gt;"TXO"),L1838,"")</f>
        <v/>
      </c>
      <c r="Y1838" s="226">
        <f>IF(AND(R1838="Yes",S1838="Yes",L1838&lt;0,B1838&lt;&gt;"TXO"),L1838,"")</f>
        <v/>
      </c>
      <c r="Z1838" s="226">
        <f>IF(AND(R1838="",S1838="Yes",L1838&gt;0,B1838&lt;&gt;"TXO"),L1838,"")</f>
        <v/>
      </c>
      <c r="AA1838" s="226">
        <f>IF(AND(R1838="",S1838="Yes",L1838&lt;0,B1838&lt;&gt;"TXO"),L1838,"")</f>
        <v/>
      </c>
    </row>
    <row r="1839" hidden="1" outlineLevel="2" collapsed="1" ht="17.25" customHeight="1" thickBot="1">
      <c r="A1839" s="696" t="n">
        <v>43462</v>
      </c>
      <c r="B1839" s="234" t="inlineStr">
        <is>
          <t>FIMTX</t>
        </is>
      </c>
      <c r="C1839" s="229" t="inlineStr">
        <is>
          <t>小指01</t>
        </is>
      </c>
      <c r="D1839" s="229" t="inlineStr">
        <is>
          <t>新倉</t>
        </is>
      </c>
      <c r="E1839" s="257" t="inlineStr">
        <is>
          <t>買</t>
        </is>
      </c>
      <c r="F1839" s="229" t="inlineStr">
        <is>
          <t>-</t>
        </is>
      </c>
      <c r="G1839" s="697" t="n">
        <v>1</v>
      </c>
      <c r="H1839" s="697" t="n">
        <v>9647</v>
      </c>
      <c r="I1839" s="697" t="n">
        <v>0</v>
      </c>
      <c r="J1839" s="585" t="n">
        <v>23</v>
      </c>
      <c r="K1839" s="585" t="n">
        <v>10</v>
      </c>
      <c r="L1839" s="585">
        <f>IF(B1839="TXO",I1839-SUM(J1839:K1839),IF(B1839="FITX",IF(D1839="新倉",-SUM(J1839:K1839),IF(E1839="賣",(H1839-H1838)*G1839*200-SUM(J1839:K1839),(H1838-H1839)*G1839*200-SUM(J1839:K1839))),IF(D1839="新倉",-SUM(J1839:K1839),IF(E1839="賣",(H1839-H1838)*G1839*50-SUM(J1839:K1839),(H1838-H1839)*G1839*50-SUM(J1839:K1839)))))</f>
        <v/>
      </c>
      <c r="M1839" s="699">
        <f>L1839</f>
        <v/>
      </c>
      <c r="N1839" s="686">
        <f>IF(B1839="TXO","",IF(D1839="新倉","",IF(E1839="賣",(H1839-H1838)*G1839,(H1838-H1839)*G1839)))</f>
        <v/>
      </c>
      <c r="O1839" s="226" t="n">
        <v>0</v>
      </c>
      <c r="P1839" s="667" t="n"/>
      <c r="Q1839" s="297" t="n"/>
      <c r="R1839" s="249" t="inlineStr">
        <is>
          <t>Yes</t>
        </is>
      </c>
      <c r="S1839" s="249" t="n"/>
      <c r="T1839" s="61">
        <f>IF(AND(R1839="Yes",S1839&lt;&gt;"Yes",L1839&gt;0,B1839&lt;&gt;"TXO"),L1839,"")</f>
        <v/>
      </c>
      <c r="U1839" s="61">
        <f>IF(AND(R1839="Yes",S1839&lt;&gt;"Yes",L1839&lt;0,B1839&lt;&gt;"TXO"),L1839,"")</f>
        <v/>
      </c>
      <c r="V1839" s="61">
        <f>IF(AND(R1839="",S1839&lt;&gt;"Yes",L1839&gt;0,B1839&lt;&gt;"TXO"),L1839,"")</f>
        <v/>
      </c>
      <c r="W1839" s="61">
        <f>IF(AND(R1839="",S1839&lt;&gt;"Yes",L1839&lt;0,B1839&lt;&gt;"TXO"),L1839,"")</f>
        <v/>
      </c>
      <c r="X1839" s="226">
        <f>IF(AND(R1839="Yes",S1839="Yes",L1839&gt;0,B1839&lt;&gt;"TXO"),L1839,"")</f>
        <v/>
      </c>
      <c r="Y1839" s="226">
        <f>IF(AND(R1839="Yes",S1839="Yes",L1839&lt;0,B1839&lt;&gt;"TXO"),L1839,"")</f>
        <v/>
      </c>
      <c r="Z1839" s="226">
        <f>IF(AND(R1839="",S1839="Yes",L1839&gt;0,B1839&lt;&gt;"TXO"),L1839,"")</f>
        <v/>
      </c>
      <c r="AA1839" s="226">
        <f>IF(AND(R1839="",S1839="Yes",L1839&lt;0,B1839&lt;&gt;"TXO"),L1839,"")</f>
        <v/>
      </c>
    </row>
    <row r="1840" hidden="1" outlineLevel="2" collapsed="1" ht="17.25" customHeight="1" thickBot="1">
      <c r="A1840" s="696" t="n">
        <v>43462</v>
      </c>
      <c r="B1840" s="234" t="inlineStr">
        <is>
          <t>FIMTX</t>
        </is>
      </c>
      <c r="C1840" s="229" t="inlineStr">
        <is>
          <t>小指01</t>
        </is>
      </c>
      <c r="D1840" s="229" t="inlineStr">
        <is>
          <t>平倉</t>
        </is>
      </c>
      <c r="E1840" s="257" t="inlineStr">
        <is>
          <t>賣</t>
        </is>
      </c>
      <c r="F1840" s="229" t="inlineStr">
        <is>
          <t>-</t>
        </is>
      </c>
      <c r="G1840" s="697" t="n">
        <v>1</v>
      </c>
      <c r="H1840" s="697" t="n">
        <v>9637</v>
      </c>
      <c r="I1840" s="697" t="n">
        <v>0</v>
      </c>
      <c r="J1840" s="585" t="n">
        <v>23</v>
      </c>
      <c r="K1840" s="585" t="n">
        <v>10</v>
      </c>
      <c r="L1840" s="585">
        <f>IF(B1840="TXO",I1840-SUM(J1840:K1840),IF(B1840="FITX",IF(D1840="新倉",-SUM(J1840:K1840),IF(E1840="賣",(H1840-H1839)*G1840*200-SUM(J1840:K1840),(H1839-H1840)*G1840*200-SUM(J1840:K1840))),IF(D1840="新倉",-SUM(J1840:K1840),IF(E1840="賣",(H1840-H1839)*G1840*50-SUM(J1840:K1840),(H1839-H1840)*G1840*50-SUM(J1840:K1840)))))</f>
        <v/>
      </c>
      <c r="M1840" s="699">
        <f>L1840</f>
        <v/>
      </c>
      <c r="N1840" s="686">
        <f>IF(B1840="TXO","",IF(D1840="新倉","",IF(E1840="賣",(H1840-H1839)*G1840,(H1839-H1840)*G1840)))</f>
        <v/>
      </c>
      <c r="O1840" s="226" t="n">
        <v>0</v>
      </c>
      <c r="P1840" s="667" t="n"/>
      <c r="Q1840" s="249" t="inlineStr">
        <is>
          <t>技法: 跌破10MA停損</t>
        </is>
      </c>
      <c r="R1840" s="249" t="inlineStr">
        <is>
          <t>Yes</t>
        </is>
      </c>
      <c r="S1840" s="249" t="n"/>
      <c r="T1840" s="61">
        <f>IF(AND(R1840="Yes",S1840&lt;&gt;"Yes",L1840&gt;0,B1840&lt;&gt;"TXO"),L1840,"")</f>
        <v/>
      </c>
      <c r="U1840" s="61">
        <f>IF(AND(R1840="Yes",S1840&lt;&gt;"Yes",L1840&lt;0,B1840&lt;&gt;"TXO"),L1840,"")</f>
        <v/>
      </c>
      <c r="V1840" s="61">
        <f>IF(AND(R1840="",S1840&lt;&gt;"Yes",L1840&gt;0,B1840&lt;&gt;"TXO"),L1840,"")</f>
        <v/>
      </c>
      <c r="W1840" s="61">
        <f>IF(AND(R1840="",S1840&lt;&gt;"Yes",L1840&lt;0,B1840&lt;&gt;"TXO"),L1840,"")</f>
        <v/>
      </c>
      <c r="X1840" s="226">
        <f>IF(AND(R1840="Yes",S1840="Yes",L1840&gt;0,B1840&lt;&gt;"TXO"),L1840,"")</f>
        <v/>
      </c>
      <c r="Y1840" s="226">
        <f>IF(AND(R1840="Yes",S1840="Yes",L1840&lt;0,B1840&lt;&gt;"TXO"),L1840,"")</f>
        <v/>
      </c>
      <c r="Z1840" s="226">
        <f>IF(AND(R1840="",S1840="Yes",L1840&gt;0,B1840&lt;&gt;"TXO"),L1840,"")</f>
        <v/>
      </c>
      <c r="AA1840" s="226">
        <f>IF(AND(R1840="",S1840="Yes",L1840&lt;0,B1840&lt;&gt;"TXO"),L1840,"")</f>
        <v/>
      </c>
    </row>
    <row r="1841" hidden="1" outlineLevel="2" collapsed="1" ht="17.25" customHeight="1" thickBot="1">
      <c r="A1841" s="696" t="n">
        <v>43462</v>
      </c>
      <c r="B1841" s="234" t="inlineStr">
        <is>
          <t>FIMTX</t>
        </is>
      </c>
      <c r="C1841" s="229" t="inlineStr">
        <is>
          <t>小指01</t>
        </is>
      </c>
      <c r="D1841" s="229" t="inlineStr">
        <is>
          <t>新倉</t>
        </is>
      </c>
      <c r="E1841" s="257" t="inlineStr">
        <is>
          <t>賣</t>
        </is>
      </c>
      <c r="F1841" s="229" t="inlineStr">
        <is>
          <t>-</t>
        </is>
      </c>
      <c r="G1841" s="697" t="n">
        <v>1</v>
      </c>
      <c r="H1841" s="697" t="n">
        <v>9638</v>
      </c>
      <c r="I1841" s="697" t="n">
        <v>0</v>
      </c>
      <c r="J1841" s="585" t="n">
        <v>23</v>
      </c>
      <c r="K1841" s="585" t="n">
        <v>10</v>
      </c>
      <c r="L1841" s="585">
        <f>IF(B1841="TXO",I1841-SUM(J1841:K1841),IF(B1841="FITX",IF(D1841="新倉",-SUM(J1841:K1841),IF(E1841="賣",(H1841-H1840)*G1841*200-SUM(J1841:K1841),(H1840-H1841)*G1841*200-SUM(J1841:K1841))),IF(D1841="新倉",-SUM(J1841:K1841),IF(E1841="賣",(H1841-H1840)*G1841*50-SUM(J1841:K1841),(H1840-H1841)*G1841*50-SUM(J1841:K1841)))))</f>
        <v/>
      </c>
      <c r="M1841" s="699">
        <f>L1841</f>
        <v/>
      </c>
      <c r="N1841" s="686">
        <f>IF(B1841="TXO","",IF(D1841="新倉","",IF(E1841="賣",(H1841-H1840)*G1841,(H1840-H1841)*G1841)))</f>
        <v/>
      </c>
      <c r="O1841" s="226" t="n">
        <v>0</v>
      </c>
      <c r="P1841" s="667" t="n"/>
      <c r="Q1841" s="297" t="inlineStr">
        <is>
          <t>技法: 3/3 買進3口</t>
        </is>
      </c>
      <c r="R1841" s="249" t="inlineStr">
        <is>
          <t>Yes</t>
        </is>
      </c>
      <c r="S1841" s="249" t="n"/>
      <c r="T1841" s="61">
        <f>IF(AND(R1841="Yes",S1841&lt;&gt;"Yes",L1841&gt;0,B1841&lt;&gt;"TXO"),L1841,"")</f>
        <v/>
      </c>
      <c r="U1841" s="61">
        <f>IF(AND(R1841="Yes",S1841&lt;&gt;"Yes",L1841&lt;0,B1841&lt;&gt;"TXO"),L1841,"")</f>
        <v/>
      </c>
      <c r="V1841" s="61">
        <f>IF(AND(R1841="",S1841&lt;&gt;"Yes",L1841&gt;0,B1841&lt;&gt;"TXO"),L1841,"")</f>
        <v/>
      </c>
      <c r="W1841" s="61">
        <f>IF(AND(R1841="",S1841&lt;&gt;"Yes",L1841&lt;0,B1841&lt;&gt;"TXO"),L1841,"")</f>
        <v/>
      </c>
      <c r="X1841" s="226">
        <f>IF(AND(R1841="Yes",S1841="Yes",L1841&gt;0,B1841&lt;&gt;"TXO"),L1841,"")</f>
        <v/>
      </c>
      <c r="Y1841" s="226">
        <f>IF(AND(R1841="Yes",S1841="Yes",L1841&lt;0,B1841&lt;&gt;"TXO"),L1841,"")</f>
        <v/>
      </c>
      <c r="Z1841" s="226">
        <f>IF(AND(R1841="",S1841="Yes",L1841&gt;0,B1841&lt;&gt;"TXO"),L1841,"")</f>
        <v/>
      </c>
      <c r="AA1841" s="226">
        <f>IF(AND(R1841="",S1841="Yes",L1841&lt;0,B1841&lt;&gt;"TXO"),L1841,"")</f>
        <v/>
      </c>
    </row>
    <row r="1842" hidden="1" outlineLevel="2" collapsed="1" ht="17.25" customHeight="1" thickBot="1">
      <c r="A1842" s="696" t="n">
        <v>43462</v>
      </c>
      <c r="B1842" s="234" t="inlineStr">
        <is>
          <t>FIMTX</t>
        </is>
      </c>
      <c r="C1842" s="229" t="inlineStr">
        <is>
          <t>小指01</t>
        </is>
      </c>
      <c r="D1842" s="229" t="inlineStr">
        <is>
          <t>平倉</t>
        </is>
      </c>
      <c r="E1842" s="257" t="inlineStr">
        <is>
          <t>買</t>
        </is>
      </c>
      <c r="F1842" s="229" t="inlineStr">
        <is>
          <t>-</t>
        </is>
      </c>
      <c r="G1842" s="697" t="n">
        <v>1</v>
      </c>
      <c r="H1842" s="697" t="n">
        <v>9626</v>
      </c>
      <c r="I1842" s="697" t="n">
        <v>0</v>
      </c>
      <c r="J1842" s="585" t="n">
        <v>23</v>
      </c>
      <c r="K1842" s="585" t="n">
        <v>10</v>
      </c>
      <c r="L1842" s="585">
        <f>IF(B1842="TXO",I1842-SUM(J1842:K1842),IF(B1842="FITX",IF(D1842="新倉",-SUM(J1842:K1842),IF(E1842="賣",(H1842-H1841)*G1842*200-SUM(J1842:K1842),(H1841-H1842)*G1842*200-SUM(J1842:K1842))),IF(D1842="新倉",-SUM(J1842:K1842),IF(E1842="賣",(H1842-H1841)*G1842*50-SUM(J1842:K1842),(H1841-H1842)*G1842*50-SUM(J1842:K1842)))))</f>
        <v/>
      </c>
      <c r="M1842" s="699">
        <f>L1842</f>
        <v/>
      </c>
      <c r="N1842" s="686">
        <f>IF(B1842="TXO","",IF(D1842="新倉","",IF(E1842="賣",(H1842-H1841)*G1842,(H1841-H1842)*G1842)))</f>
        <v/>
      </c>
      <c r="O1842" s="226" t="n">
        <v>0</v>
      </c>
      <c r="P1842" s="667" t="n"/>
      <c r="Q1842" s="249" t="inlineStr">
        <is>
          <t>技法: 刺補</t>
        </is>
      </c>
      <c r="R1842" s="249" t="inlineStr">
        <is>
          <t>Yes</t>
        </is>
      </c>
      <c r="S1842" s="249" t="n"/>
      <c r="T1842" s="61">
        <f>IF(AND(R1842="Yes",S1842&lt;&gt;"Yes",L1842&gt;0,B1842&lt;&gt;"TXO"),L1842,"")</f>
        <v/>
      </c>
      <c r="U1842" s="61">
        <f>IF(AND(R1842="Yes",S1842&lt;&gt;"Yes",L1842&lt;0,B1842&lt;&gt;"TXO"),L1842,"")</f>
        <v/>
      </c>
      <c r="V1842" s="61">
        <f>IF(AND(R1842="",S1842&lt;&gt;"Yes",L1842&gt;0,B1842&lt;&gt;"TXO"),L1842,"")</f>
        <v/>
      </c>
      <c r="W1842" s="61">
        <f>IF(AND(R1842="",S1842&lt;&gt;"Yes",L1842&lt;0,B1842&lt;&gt;"TXO"),L1842,"")</f>
        <v/>
      </c>
      <c r="X1842" s="226">
        <f>IF(AND(R1842="Yes",S1842="Yes",L1842&gt;0,B1842&lt;&gt;"TXO"),L1842,"")</f>
        <v/>
      </c>
      <c r="Y1842" s="226">
        <f>IF(AND(R1842="Yes",S1842="Yes",L1842&lt;0,B1842&lt;&gt;"TXO"),L1842,"")</f>
        <v/>
      </c>
      <c r="Z1842" s="226">
        <f>IF(AND(R1842="",S1842="Yes",L1842&gt;0,B1842&lt;&gt;"TXO"),L1842,"")</f>
        <v/>
      </c>
      <c r="AA1842" s="226">
        <f>IF(AND(R1842="",S1842="Yes",L1842&lt;0,B1842&lt;&gt;"TXO"),L1842,"")</f>
        <v/>
      </c>
    </row>
    <row r="1843" hidden="1" outlineLevel="2" collapsed="1" ht="17.25" customHeight="1" thickBot="1">
      <c r="A1843" s="696" t="n">
        <v>43462</v>
      </c>
      <c r="B1843" s="234" t="inlineStr">
        <is>
          <t>FIMTX</t>
        </is>
      </c>
      <c r="C1843" s="229" t="inlineStr">
        <is>
          <t>小指01</t>
        </is>
      </c>
      <c r="D1843" s="229" t="inlineStr">
        <is>
          <t>新倉</t>
        </is>
      </c>
      <c r="E1843" s="257" t="inlineStr">
        <is>
          <t>賣</t>
        </is>
      </c>
      <c r="F1843" s="229" t="inlineStr">
        <is>
          <t>-</t>
        </is>
      </c>
      <c r="G1843" s="697" t="n">
        <v>2</v>
      </c>
      <c r="H1843" s="697" t="n">
        <v>9639</v>
      </c>
      <c r="I1843" s="697" t="n">
        <v>0</v>
      </c>
      <c r="J1843" s="585" t="n">
        <v>46</v>
      </c>
      <c r="K1843" s="585" t="n">
        <v>20</v>
      </c>
      <c r="L1843" s="585">
        <f>IF(B1843="TXO",I1843-SUM(J1843:K1843),IF(B1843="FITX",IF(D1843="新倉",-SUM(J1843:K1843),IF(E1843="賣",(H1843-H1842)*G1843*200-SUM(J1843:K1843),(H1842-H1843)*G1843*200-SUM(J1843:K1843))),IF(D1843="新倉",-SUM(J1843:K1843),IF(E1843="賣",(H1843-H1842)*G1843*50-SUM(J1843:K1843),(H1842-H1843)*G1843*50-SUM(J1843:K1843)))))</f>
        <v/>
      </c>
      <c r="M1843" s="699">
        <f>L1843</f>
        <v/>
      </c>
      <c r="N1843" s="686">
        <f>IF(B1843="TXO","",IF(D1843="新倉","",IF(E1843="賣",(H1843-H1842)*G1843,(H1842-H1843)*G1843)))</f>
        <v/>
      </c>
      <c r="O1843" s="226" t="n">
        <v>0</v>
      </c>
      <c r="P1843" s="667" t="n"/>
      <c r="Q1843" s="297" t="n"/>
      <c r="R1843" s="249" t="inlineStr">
        <is>
          <t>Yes</t>
        </is>
      </c>
      <c r="S1843" s="249" t="n"/>
      <c r="T1843" s="61">
        <f>IF(AND(R1843="Yes",S1843&lt;&gt;"Yes",L1843&gt;0,B1843&lt;&gt;"TXO"),L1843,"")</f>
        <v/>
      </c>
      <c r="U1843" s="61">
        <f>IF(AND(R1843="Yes",S1843&lt;&gt;"Yes",L1843&lt;0,B1843&lt;&gt;"TXO"),L1843,"")</f>
        <v/>
      </c>
      <c r="V1843" s="61">
        <f>IF(AND(R1843="",S1843&lt;&gt;"Yes",L1843&gt;0,B1843&lt;&gt;"TXO"),L1843,"")</f>
        <v/>
      </c>
      <c r="W1843" s="61">
        <f>IF(AND(R1843="",S1843&lt;&gt;"Yes",L1843&lt;0,B1843&lt;&gt;"TXO"),L1843,"")</f>
        <v/>
      </c>
      <c r="X1843" s="226">
        <f>IF(AND(R1843="Yes",S1843="Yes",L1843&gt;0,B1843&lt;&gt;"TXO"),L1843,"")</f>
        <v/>
      </c>
      <c r="Y1843" s="226">
        <f>IF(AND(R1843="Yes",S1843="Yes",L1843&lt;0,B1843&lt;&gt;"TXO"),L1843,"")</f>
        <v/>
      </c>
      <c r="Z1843" s="226">
        <f>IF(AND(R1843="",S1843="Yes",L1843&gt;0,B1843&lt;&gt;"TXO"),L1843,"")</f>
        <v/>
      </c>
      <c r="AA1843" s="226">
        <f>IF(AND(R1843="",S1843="Yes",L1843&lt;0,B1843&lt;&gt;"TXO"),L1843,"")</f>
        <v/>
      </c>
    </row>
    <row r="1844" hidden="1" outlineLevel="2" collapsed="1" ht="17.25" customHeight="1" thickBot="1">
      <c r="A1844" s="696" t="n">
        <v>43462</v>
      </c>
      <c r="B1844" s="234" t="inlineStr">
        <is>
          <t>FIMTX</t>
        </is>
      </c>
      <c r="C1844" s="229" t="inlineStr">
        <is>
          <t>小指01</t>
        </is>
      </c>
      <c r="D1844" s="229" t="inlineStr">
        <is>
          <t>平倉</t>
        </is>
      </c>
      <c r="E1844" s="257" t="inlineStr">
        <is>
          <t>買</t>
        </is>
      </c>
      <c r="F1844" s="229" t="inlineStr">
        <is>
          <t>-</t>
        </is>
      </c>
      <c r="G1844" s="697" t="n">
        <v>2</v>
      </c>
      <c r="H1844" s="697" t="n">
        <v>9643</v>
      </c>
      <c r="I1844" s="697" t="n">
        <v>0</v>
      </c>
      <c r="J1844" s="585" t="n">
        <v>46</v>
      </c>
      <c r="K1844" s="585" t="n">
        <v>20</v>
      </c>
      <c r="L1844" s="585">
        <f>IF(B1844="TXO",I1844-SUM(J1844:K1844),IF(B1844="FITX",IF(D1844="新倉",-SUM(J1844:K1844),IF(E1844="賣",(H1844-H1843)*G1844*200-SUM(J1844:K1844),(H1843-H1844)*G1844*200-SUM(J1844:K1844))),IF(D1844="新倉",-SUM(J1844:K1844),IF(E1844="賣",(H1844-H1843)*G1844*50-SUM(J1844:K1844),(H1843-H1844)*G1844*50-SUM(J1844:K1844)))))</f>
        <v/>
      </c>
      <c r="M1844" s="699">
        <f>L1844</f>
        <v/>
      </c>
      <c r="N1844" s="686">
        <f>IF(B1844="TXO","",IF(D1844="新倉","",IF(E1844="賣",(H1844-H1843)*G1844,(H1843-H1844)*G1844)))</f>
        <v/>
      </c>
      <c r="O1844" s="226" t="n">
        <v>0</v>
      </c>
      <c r="P1844" s="667" t="n"/>
      <c r="Q1844" s="297" t="n"/>
      <c r="R1844" s="249" t="inlineStr">
        <is>
          <t>Yes</t>
        </is>
      </c>
      <c r="S1844" s="249" t="n"/>
      <c r="T1844" s="61">
        <f>IF(AND(R1844="Yes",S1844&lt;&gt;"Yes",L1844&gt;0,B1844&lt;&gt;"TXO"),L1844,"")</f>
        <v/>
      </c>
      <c r="U1844" s="61">
        <f>IF(AND(R1844="Yes",S1844&lt;&gt;"Yes",L1844&lt;0,B1844&lt;&gt;"TXO"),L1844,"")</f>
        <v/>
      </c>
      <c r="V1844" s="61">
        <f>IF(AND(R1844="",S1844&lt;&gt;"Yes",L1844&gt;0,B1844&lt;&gt;"TXO"),L1844,"")</f>
        <v/>
      </c>
      <c r="W1844" s="61">
        <f>IF(AND(R1844="",S1844&lt;&gt;"Yes",L1844&lt;0,B1844&lt;&gt;"TXO"),L1844,"")</f>
        <v/>
      </c>
      <c r="X1844" s="226">
        <f>IF(AND(R1844="Yes",S1844="Yes",L1844&gt;0,B1844&lt;&gt;"TXO"),L1844,"")</f>
        <v/>
      </c>
      <c r="Y1844" s="226">
        <f>IF(AND(R1844="Yes",S1844="Yes",L1844&lt;0,B1844&lt;&gt;"TXO"),L1844,"")</f>
        <v/>
      </c>
      <c r="Z1844" s="226">
        <f>IF(AND(R1844="",S1844="Yes",L1844&gt;0,B1844&lt;&gt;"TXO"),L1844,"")</f>
        <v/>
      </c>
      <c r="AA1844" s="226">
        <f>IF(AND(R1844="",S1844="Yes",L1844&lt;0,B1844&lt;&gt;"TXO"),L1844,"")</f>
        <v/>
      </c>
    </row>
    <row r="1845" collapsed="1" ht="17.25" customHeight="1" thickBot="1">
      <c r="A1845" s="273" t="inlineStr">
        <is>
          <t>12月總計</t>
        </is>
      </c>
      <c r="B1845" s="274" t="n"/>
      <c r="C1845" s="274" t="n"/>
      <c r="D1845" s="274" t="n"/>
      <c r="E1845" s="274" t="n"/>
      <c r="F1845" s="274" t="n"/>
      <c r="G1845" s="715" t="n"/>
      <c r="H1845" s="715" t="n"/>
      <c r="I1845" s="715" t="n"/>
      <c r="J1845" s="716" t="n"/>
      <c r="K1845" s="715" t="n"/>
      <c r="L1845" s="717">
        <f>SUM(L1716:L1844)</f>
        <v/>
      </c>
      <c r="M1845" s="751">
        <f>SUM(M1716:M1844)</f>
        <v/>
      </c>
      <c r="N1845" s="666" t="n"/>
      <c r="P1845" s="744" t="n"/>
      <c r="R1845" s="717">
        <f>SUMIF(R1716:R1844,"Yes",L1716:L1844)</f>
        <v/>
      </c>
      <c r="S1845" s="739" t="n"/>
      <c r="T1845" s="226">
        <f>SUM(T1716:T1844)</f>
        <v/>
      </c>
      <c r="U1845" s="226">
        <f>SUM(U1716:U1844)</f>
        <v/>
      </c>
      <c r="V1845" s="226">
        <f>SUM(V1716:V1844)</f>
        <v/>
      </c>
      <c r="W1845" s="226">
        <f>SUM(W1716:W1844)</f>
        <v/>
      </c>
      <c r="X1845" s="226">
        <f>SUM(X1716:X1844)</f>
        <v/>
      </c>
      <c r="Y1845" s="226">
        <f>SUM(Y1716:Y1844)</f>
        <v/>
      </c>
      <c r="Z1845" s="226">
        <f>SUM(Z1716:Z1844)</f>
        <v/>
      </c>
      <c r="AA1845" s="226">
        <f>SUM(AA1716:AA1844)</f>
        <v/>
      </c>
    </row>
    <row r="1846" ht="17.25" customHeight="1" thickBot="1">
      <c r="A1846" s="241" t="n"/>
      <c r="B1846" s="241" t="n"/>
      <c r="E1846" s="226" t="n"/>
      <c r="J1846" s="30" t="n"/>
      <c r="K1846" s="31" t="n"/>
      <c r="L1846" s="667" t="n"/>
      <c r="M1846" s="667" t="n"/>
      <c r="P1846" s="667" t="n"/>
      <c r="S1846" s="739" t="n"/>
      <c r="T1846" s="61" t="n"/>
      <c r="U1846" s="61" t="n"/>
      <c r="V1846" s="61" t="n"/>
      <c r="W1846" s="61" t="n"/>
      <c r="X1846" s="61" t="n"/>
      <c r="Y1846" s="61" t="n"/>
      <c r="Z1846" s="61" t="n"/>
    </row>
    <row r="1847" collapsed="1" ht="17.25" customFormat="1" customHeight="1" s="244" thickBot="1">
      <c r="A1847" s="262" t="inlineStr">
        <is>
          <t>2018總計</t>
        </is>
      </c>
      <c r="B1847" s="263" t="n"/>
      <c r="C1847" s="263" t="n"/>
      <c r="D1847" s="263" t="n"/>
      <c r="E1847" s="263" t="n"/>
      <c r="F1847" s="263" t="n"/>
      <c r="G1847" s="702" t="n"/>
      <c r="H1847" s="702" t="n"/>
      <c r="I1847" s="702" t="n"/>
      <c r="J1847" s="703" t="n"/>
      <c r="K1847" s="702" t="n"/>
      <c r="L1847" s="704">
        <f>SUM(L24,L74,L118,L150,L291,L339,L372,L541,L864,L1642,L1715,L1845)</f>
        <v/>
      </c>
      <c r="M1847" s="705">
        <f>SUM(M24,M74,M118,M150,M291,M339,M541,M864,M1642,M1715,M1845)</f>
        <v/>
      </c>
      <c r="N1847" s="706" t="n"/>
      <c r="P1847" s="744" t="n"/>
      <c r="Q1847" s="255" t="n"/>
      <c r="R1847" s="255" t="n"/>
      <c r="S1847" s="745" t="n"/>
    </row>
    <row r="1848" ht="17.25" customHeight="1" thickBot="1">
      <c r="A1848" s="241" t="n"/>
      <c r="B1848" s="241" t="n"/>
      <c r="E1848" s="226" t="n"/>
      <c r="J1848" s="30" t="n"/>
      <c r="K1848" s="31" t="n"/>
      <c r="L1848" s="667" t="n"/>
      <c r="M1848" s="667" t="n"/>
      <c r="P1848" s="667" t="n"/>
      <c r="S1848" s="739" t="n"/>
      <c r="T1848" s="61" t="n"/>
      <c r="U1848" s="61" t="n"/>
      <c r="V1848" s="61" t="n"/>
      <c r="W1848" s="61" t="n"/>
      <c r="X1848" s="61" t="n"/>
      <c r="Y1848" s="61" t="n"/>
      <c r="Z1848" s="61" t="n"/>
    </row>
    <row r="1849" ht="17.25" customHeight="1" thickBot="1">
      <c r="E1849" s="704" t="inlineStr">
        <is>
          <t>權利金</t>
        </is>
      </c>
      <c r="F1849" s="723" t="inlineStr">
        <is>
          <t>手續費</t>
        </is>
      </c>
      <c r="G1849" s="723" t="inlineStr">
        <is>
          <t>交易稅</t>
        </is>
      </c>
      <c r="H1849" s="723" t="inlineStr">
        <is>
          <t>已實現損益</t>
        </is>
      </c>
      <c r="I1849" s="724" t="inlineStr">
        <is>
          <t>報酬率</t>
        </is>
      </c>
      <c r="J1849" s="724" t="inlineStr">
        <is>
          <t>淨報酬率</t>
        </is>
      </c>
      <c r="N1849" s="226" t="n"/>
      <c r="O1849" s="686" t="n"/>
      <c r="P1849" s="226" t="n"/>
      <c r="Q1849" s="725" t="n"/>
      <c r="R1849" s="725" t="n"/>
      <c r="S1849" s="230" t="n"/>
    </row>
    <row r="1850" ht="17.25" customHeight="1" thickBot="1">
      <c r="A1850" s="141" t="inlineStr">
        <is>
          <t>選擇權總計</t>
        </is>
      </c>
      <c r="B1850" s="579" t="n"/>
      <c r="C1850" s="143" t="n"/>
      <c r="D1850" s="144" t="n"/>
      <c r="E1850" s="705">
        <f>SUMIF($B7:$B1847,"TXO",I7:I1847)</f>
        <v/>
      </c>
      <c r="F1850" s="705">
        <f>SUMIF($B7:$B1847,"TXO",J7:J1847)</f>
        <v/>
      </c>
      <c r="G1850" s="705">
        <f>SUMIF($B7:$B1847,"TXO",K7:K1847)</f>
        <v/>
      </c>
      <c r="H1850" s="705">
        <f>SUMIF($B7:$B1847,"TXO",L7:L1847)</f>
        <v/>
      </c>
      <c r="I1850" s="319">
        <f>IF(H1850=0,0,H1850/C1856)</f>
        <v/>
      </c>
      <c r="J1850" s="147" t="n"/>
      <c r="K1850" s="570" t="inlineStr">
        <is>
          <t>年化報酬率</t>
        </is>
      </c>
      <c r="L1850" s="727">
        <f>IF(I1850&lt;0,-((1+ABS(I1850))^(1/((TODAY()-A7)/365.25))-1),(1+ABS(I1850))^(1/((TODAY()-A7)/365.25))-1)</f>
        <v/>
      </c>
      <c r="M1850" s="727" t="n"/>
      <c r="N1850" s="226" t="n"/>
      <c r="O1850" s="686" t="n"/>
      <c r="P1850" s="226" t="n"/>
      <c r="Q1850" s="725" t="n"/>
      <c r="R1850" s="725">
        <f>SUMIF(R871:R1600,"Yes",L871:L1600)</f>
        <v/>
      </c>
      <c r="S1850" s="230" t="n"/>
      <c r="T1850" s="61" t="n"/>
      <c r="U1850" s="61" t="n"/>
      <c r="V1850" s="61" t="n"/>
      <c r="W1850" s="61" t="n"/>
      <c r="X1850" s="61" t="n"/>
      <c r="Y1850" s="61" t="n"/>
      <c r="Z1850" s="61" t="n"/>
      <c r="AA1850" s="61" t="n"/>
    </row>
    <row r="1851" ht="17.25" customHeight="1" thickBot="1">
      <c r="A1851" s="141" t="inlineStr">
        <is>
          <t>期貨總計</t>
        </is>
      </c>
      <c r="B1851" s="579" t="n"/>
      <c r="C1851" s="143" t="n"/>
      <c r="D1851" s="144" t="n"/>
      <c r="E1851" s="705">
        <f>SUMIF($B7:$B1847,"FITX",I7:I1847)</f>
        <v/>
      </c>
      <c r="F1851" s="705">
        <f>SUMIF($B7:$B1847,"FITX",J7:J1847)</f>
        <v/>
      </c>
      <c r="G1851" s="705">
        <f>SUMIF($B7:$B1847,"FITX",K7:K1847)</f>
        <v/>
      </c>
      <c r="H1851" s="705">
        <f>SUMIF($B7:$B1847,"FITX",L7:L1847)+SUMIF($B7:$B1847,"FIMTX",L7:L1847)</f>
        <v/>
      </c>
      <c r="I1851" s="726">
        <f>IF(H1851=0,0,H1851/$C$1855)</f>
        <v/>
      </c>
      <c r="J1851" s="726" t="n"/>
      <c r="K1851" s="604" t="n"/>
      <c r="L1851" s="727">
        <f>IF(I1851&lt;0,-((1+ABS(I1851))^(1/((TODAY()-A8)/365.25))-1),(1+ABS(I1851))^(1/((TODAY()-A8)/365.25))-1)</f>
        <v/>
      </c>
      <c r="M1851" s="727" t="n"/>
      <c r="N1851" s="226" t="n"/>
      <c r="O1851" s="686" t="n"/>
      <c r="P1851" s="226" t="n"/>
      <c r="Q1851" s="725" t="n"/>
      <c r="R1851" s="725" t="n"/>
      <c r="S1851" s="230" t="n"/>
      <c r="T1851" s="61" t="n"/>
      <c r="U1851" s="61" t="n"/>
      <c r="V1851" s="61" t="n"/>
      <c r="W1851" s="61" t="n"/>
      <c r="X1851" s="61" t="n"/>
      <c r="Y1851" s="61" t="n"/>
      <c r="Z1851" s="61" t="n"/>
      <c r="AA1851" s="61" t="n"/>
    </row>
    <row r="1852" ht="17.25" customHeight="1" thickBot="1">
      <c r="A1852" s="141" t="inlineStr">
        <is>
          <t>2018總計</t>
        </is>
      </c>
      <c r="B1852" s="579" t="n"/>
      <c r="C1852" s="143" t="n"/>
      <c r="D1852" s="144" t="n"/>
      <c r="E1852" s="705">
        <f>SUM(E1850:E1851)</f>
        <v/>
      </c>
      <c r="F1852" s="705">
        <f>SUM(F1850:F1851)</f>
        <v/>
      </c>
      <c r="G1852" s="705">
        <f>SUM(G1850:G1851)</f>
        <v/>
      </c>
      <c r="H1852" s="705">
        <f>L1847</f>
        <v/>
      </c>
      <c r="I1852" s="726">
        <f>IF(H1852=0,0,H1852/$C$1855)</f>
        <v/>
      </c>
      <c r="J1852" s="726">
        <f>IF(M1847=0,0,M1847/$C$1855)</f>
        <v/>
      </c>
      <c r="K1852" s="604" t="n"/>
      <c r="L1852" s="727">
        <f>IF(I1852&lt;0,-((1+ABS(I1852))^(1/((TODAY()-A9)/365.25))-1),(1+ABS(I1852))^(1/((TODAY()-A9)/365.25))-1)</f>
        <v/>
      </c>
      <c r="M1852" s="727">
        <f>IF(J1852&lt;0,-((1+ABS(J1852))^(1/((TODAY()-A9)/365.25))-1),(1+ABS(J1852))^(1/((TODAY()-A9)/365.25))-1)</f>
        <v/>
      </c>
      <c r="N1852" s="226" t="n"/>
      <c r="O1852" s="686" t="n"/>
      <c r="P1852" s="226" t="n"/>
      <c r="Q1852" s="725" t="n"/>
      <c r="R1852" s="725" t="n"/>
      <c r="S1852" s="230" t="n"/>
    </row>
    <row r="1853" ht="17.25" customHeight="1" thickBot="1">
      <c r="A1853" s="141" t="inlineStr">
        <is>
          <t>16~17 總計</t>
        </is>
      </c>
      <c r="B1853" s="579" t="n"/>
      <c r="C1853" s="143" t="n"/>
      <c r="D1853" s="144" t="n"/>
      <c r="E1853" s="705">
        <f>'17期'!F380</f>
        <v/>
      </c>
      <c r="F1853" s="705">
        <f>'17期'!G380</f>
        <v/>
      </c>
      <c r="G1853" s="705">
        <f>'17期'!H380</f>
        <v/>
      </c>
      <c r="H1853" s="705">
        <f>'17期'!I380</f>
        <v/>
      </c>
      <c r="I1853" s="726">
        <f>'17期'!J380</f>
        <v/>
      </c>
      <c r="J1853" s="726">
        <f>I1853</f>
        <v/>
      </c>
      <c r="K1853" s="604" t="n"/>
      <c r="L1853" s="726">
        <f>'17期'!M378</f>
        <v/>
      </c>
      <c r="M1853" s="727" t="n"/>
      <c r="N1853" s="226" t="n"/>
      <c r="O1853" s="686" t="n"/>
      <c r="P1853" s="226" t="n"/>
      <c r="Q1853" s="725" t="n"/>
      <c r="R1853" s="725" t="n"/>
      <c r="S1853" s="230" t="n"/>
    </row>
    <row r="1854" ht="17.25" customHeight="1" thickBot="1">
      <c r="A1854" s="141" t="inlineStr">
        <is>
          <t>總計</t>
        </is>
      </c>
      <c r="B1854" s="579" t="n"/>
      <c r="C1854" s="143" t="n"/>
      <c r="D1854" s="144" t="n"/>
      <c r="E1854" s="705">
        <f>SUM(E1852:E1853)</f>
        <v/>
      </c>
      <c r="F1854" s="705">
        <f>SUM(F1852:F1853)</f>
        <v/>
      </c>
      <c r="G1854" s="705">
        <f>SUM(G1852:G1853)</f>
        <v/>
      </c>
      <c r="H1854" s="705">
        <f>SUM(H1852:H1853)</f>
        <v/>
      </c>
      <c r="I1854" s="726">
        <f>IF(H1854=0,0,H1854/$C$1855)</f>
        <v/>
      </c>
      <c r="J1854" s="726">
        <f>IF(H1854=0,0,(H1853+M1847)/$C$1855)</f>
        <v/>
      </c>
      <c r="K1854" s="613" t="n"/>
      <c r="L1854" s="746" t="n">
        <v>-1.472498406268928</v>
      </c>
      <c r="M1854" s="746" t="n">
        <v>-1.472498406268928</v>
      </c>
      <c r="N1854" s="226" t="n"/>
      <c r="O1854" s="686" t="n"/>
      <c r="P1854" s="226" t="n"/>
      <c r="Q1854" s="725" t="n"/>
      <c r="R1854" s="725" t="n"/>
      <c r="S1854" s="230" t="n"/>
    </row>
    <row r="1855" ht="17.25" customHeight="1" thickBot="1">
      <c r="A1855" s="149" t="inlineStr">
        <is>
          <t>帳戶餘額</t>
        </is>
      </c>
      <c r="B1855" s="141" t="n"/>
      <c r="C1855" s="747" t="n">
        <v>124550</v>
      </c>
      <c r="D1855" s="701" t="n"/>
    </row>
    <row r="1856" ht="17.25" customHeight="1" thickBot="1">
      <c r="A1856" s="149" t="inlineStr">
        <is>
          <t>平均餘額</t>
        </is>
      </c>
      <c r="B1856" s="141" t="n"/>
      <c r="C1856" s="748" t="n">
        <v>121098.7052362707</v>
      </c>
      <c r="D1856" s="701" t="n"/>
    </row>
    <row r="1857">
      <c r="A1857" s="62" t="n"/>
      <c r="B1857" s="62" t="n"/>
      <c r="D1857" s="61" t="n"/>
      <c r="E1857" s="226" t="n"/>
    </row>
    <row r="1858">
      <c r="A1858" s="62" t="n"/>
      <c r="B1858" s="62" t="n"/>
      <c r="D1858" s="61" t="n"/>
      <c r="E1858" s="226" t="n"/>
    </row>
    <row r="1859">
      <c r="A1859" s="62" t="n"/>
      <c r="B1859" s="62" t="n"/>
      <c r="D1859" s="61" t="n"/>
      <c r="E1859" s="226" t="n"/>
    </row>
    <row r="1860">
      <c r="A1860" s="62" t="n"/>
      <c r="B1860" s="62" t="n"/>
      <c r="D1860" s="61" t="n"/>
      <c r="E1860" s="226" t="n"/>
    </row>
    <row r="1861">
      <c r="A1861" s="62" t="n"/>
      <c r="B1861" s="62" t="n"/>
      <c r="D1861" s="61" t="n"/>
      <c r="E1861" s="226" t="n"/>
    </row>
    <row r="1862">
      <c r="A1862" s="62" t="n"/>
      <c r="B1862" s="62" t="n"/>
      <c r="D1862" s="61" t="n"/>
      <c r="E1862" s="226" t="n"/>
    </row>
    <row r="1863">
      <c r="C1863" s="245" t="n"/>
      <c r="D1863" s="288" t="n"/>
      <c r="E1863" s="226" t="n"/>
    </row>
    <row r="1864">
      <c r="C1864" s="245" t="n"/>
      <c r="D1864" s="288" t="n"/>
      <c r="E1864" s="226" t="n"/>
    </row>
    <row r="1865">
      <c r="C1865" s="245" t="n"/>
      <c r="D1865" s="288" t="n"/>
      <c r="E1865" s="226" t="n"/>
    </row>
    <row r="1866">
      <c r="C1866" s="245" t="n"/>
      <c r="D1866" s="288" t="n"/>
      <c r="E1866" s="226" t="n"/>
    </row>
    <row r="1867">
      <c r="C1867" s="245" t="n"/>
      <c r="D1867" s="288" t="n"/>
      <c r="E1867" s="226" t="n"/>
    </row>
    <row r="1868">
      <c r="C1868" s="245" t="n"/>
      <c r="D1868" s="288" t="n"/>
      <c r="E1868" s="226" t="n"/>
    </row>
    <row r="1869">
      <c r="C1869" s="245" t="n"/>
      <c r="D1869" s="245" t="n"/>
      <c r="E1869" s="226" t="n"/>
    </row>
    <row r="1870">
      <c r="C1870" s="245" t="n"/>
      <c r="D1870" s="245" t="n"/>
      <c r="E1870" s="226" t="n"/>
    </row>
    <row r="1871">
      <c r="C1871" s="245" t="n"/>
      <c r="D1871" s="245" t="n"/>
      <c r="E1871" s="226" t="n"/>
    </row>
    <row r="1872">
      <c r="C1872" s="245" t="n"/>
      <c r="D1872" s="245" t="n"/>
      <c r="E1872" s="226" t="n"/>
    </row>
    <row r="1873">
      <c r="C1873" s="245" t="n"/>
      <c r="D1873" s="245" t="n"/>
      <c r="E1873" s="226" t="n"/>
    </row>
    <row r="1874">
      <c r="C1874" s="245" t="n"/>
      <c r="D1874" s="245" t="n"/>
      <c r="E1874" s="226" t="n"/>
    </row>
    <row r="1875">
      <c r="A1875" s="245" t="n"/>
      <c r="B1875" s="245" t="n"/>
      <c r="C1875" s="245" t="n"/>
      <c r="D1875" s="245" t="n"/>
      <c r="E1875" s="226" t="n"/>
    </row>
    <row r="1876">
      <c r="A1876" s="245" t="n"/>
      <c r="B1876" s="245" t="n"/>
      <c r="C1876" s="245" t="n"/>
      <c r="D1876" s="245" t="n"/>
      <c r="E1876" s="226" t="n"/>
    </row>
    <row r="1877">
      <c r="A1877" s="245" t="n"/>
      <c r="B1877" s="245" t="n"/>
      <c r="C1877" s="245" t="n"/>
      <c r="D1877" s="245" t="n"/>
      <c r="E1877" s="226" t="n"/>
    </row>
    <row r="1878">
      <c r="A1878" s="245" t="n"/>
      <c r="B1878" s="245" t="n"/>
      <c r="C1878" s="245" t="n"/>
      <c r="D1878" s="245" t="n"/>
      <c r="E1878" s="226" t="n"/>
    </row>
    <row r="1879">
      <c r="A1879" s="245" t="n"/>
      <c r="B1879" s="245" t="n"/>
      <c r="C1879" s="245" t="n"/>
      <c r="D1879" s="245" t="n"/>
      <c r="E1879" s="226" t="n"/>
    </row>
    <row r="1880">
      <c r="A1880" s="245" t="n"/>
      <c r="B1880" s="245" t="n"/>
      <c r="C1880" s="245" t="n"/>
      <c r="D1880" s="245" t="n"/>
      <c r="E1880" s="226" t="n"/>
    </row>
    <row r="1881">
      <c r="A1881" s="245" t="n"/>
      <c r="B1881" s="245" t="n"/>
      <c r="C1881" s="245" t="n"/>
      <c r="D1881" s="245" t="n"/>
      <c r="E1881" s="226" t="n"/>
    </row>
    <row r="1882">
      <c r="A1882" s="245" t="n"/>
      <c r="B1882" s="245" t="n"/>
      <c r="C1882" s="245" t="n"/>
      <c r="D1882" s="245" t="n"/>
      <c r="E1882" s="226" t="n"/>
    </row>
  </sheetData>
  <mergeCells count="3">
    <mergeCell ref="C1856:D1856"/>
    <mergeCell ref="K1850:K1854"/>
    <mergeCell ref="C1855:D1855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 codeName="Sheet9">
    <outlinePr summaryBelow="0" summaryRight="0"/>
    <pageSetUpPr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2.62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8.5" bestFit="1" customWidth="1" style="226" min="18" max="18"/>
    <col hidden="1" outlineLevel="1" width="10.125" customWidth="1" style="226" min="19" max="19"/>
    <col hidden="1" outlineLevel="1" width="16.87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2.875" bestFit="1" customWidth="1" style="226" min="26" max="26"/>
    <col width="12.875" customWidth="1" style="226" min="27" max="27"/>
    <col width="25.125" customWidth="1" style="230" min="28" max="28"/>
    <col outlineLevel="1" width="17.625" customWidth="1" style="230" min="29" max="29"/>
    <col outlineLevel="1" width="12.125" customWidth="1" style="226" min="30" max="30"/>
    <col outlineLevel="1" width="6.875" customWidth="1" style="754" min="31" max="31"/>
    <col outlineLevel="1" width="12.125" customWidth="1" style="226" min="32" max="32"/>
    <col outlineLevel="1" width="12.125" customWidth="1" style="755" min="33" max="33"/>
    <col outlineLevel="1" width="50.625" customWidth="1" style="230" min="34" max="34"/>
    <col width="9" customWidth="1" style="226" min="35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226" t="inlineStr">
        <is>
          <t>買進理由</t>
        </is>
      </c>
      <c r="AC1" s="226" t="inlineStr">
        <is>
          <t>賣出理由</t>
        </is>
      </c>
      <c r="AD1" s="227" t="inlineStr">
        <is>
          <t>一週後價格</t>
        </is>
      </c>
      <c r="AE1" s="756" t="n"/>
      <c r="AF1" s="227" t="inlineStr">
        <is>
          <t>一月後價格</t>
        </is>
      </c>
      <c r="AG1" s="757" t="n"/>
      <c r="AH1" s="230" t="n"/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 t="n"/>
      <c r="G2" s="229">
        <f>'14股'!G63</f>
        <v/>
      </c>
      <c r="H2" s="229">
        <f>'14股'!H63</f>
        <v/>
      </c>
      <c r="I2" s="229" t="n"/>
      <c r="J2" s="229" t="n"/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697">
        <f>'14股'!P63</f>
        <v/>
      </c>
      <c r="Q2" s="229">
        <f>'14股'!Q63</f>
        <v/>
      </c>
      <c r="R2" s="229">
        <f>'14股'!R63</f>
        <v/>
      </c>
      <c r="S2" s="229">
        <f>'14股'!S63</f>
        <v/>
      </c>
      <c r="T2" s="229">
        <f>'14股'!T63</f>
        <v/>
      </c>
      <c r="U2" s="229">
        <f>'14股'!U63</f>
        <v/>
      </c>
      <c r="V2" s="229">
        <f>'14股'!V63</f>
        <v/>
      </c>
      <c r="W2" s="229">
        <f>'14股'!W63</f>
        <v/>
      </c>
      <c r="X2" s="229">
        <f>'14股'!X63</f>
        <v/>
      </c>
      <c r="Y2" s="229">
        <f>'14股'!Y63</f>
        <v/>
      </c>
      <c r="Z2" s="279" t="n"/>
      <c r="AA2" s="588" t="n"/>
    </row>
    <row r="3">
      <c r="A3" s="734" t="n">
        <v>42369</v>
      </c>
      <c r="B3" s="229" t="n"/>
      <c r="C3" s="229" t="n"/>
      <c r="D3" s="229">
        <f>'15股'!D144</f>
        <v/>
      </c>
      <c r="E3" s="229">
        <f>'15股'!E144</f>
        <v/>
      </c>
      <c r="F3" s="229" t="n"/>
      <c r="G3" s="280">
        <f>'15股'!G144</f>
        <v/>
      </c>
      <c r="H3" s="280">
        <f>'15股'!H144</f>
        <v/>
      </c>
      <c r="I3" s="234" t="n"/>
      <c r="J3" s="229" t="n"/>
      <c r="K3" s="280">
        <f>'15股'!K144</f>
        <v/>
      </c>
      <c r="L3" s="280">
        <f>'15股'!L144</f>
        <v/>
      </c>
      <c r="M3" s="280">
        <f>'15股'!M144</f>
        <v/>
      </c>
      <c r="N3" s="280">
        <f>'15股'!N144</f>
        <v/>
      </c>
      <c r="O3" s="280">
        <f>'15股'!O144</f>
        <v/>
      </c>
      <c r="P3" s="697">
        <f>'15股'!P144</f>
        <v/>
      </c>
      <c r="Q3" s="280">
        <f>'15股'!Q144</f>
        <v/>
      </c>
      <c r="R3" s="280">
        <f>'15股'!R144</f>
        <v/>
      </c>
      <c r="S3" s="280">
        <f>'15股'!S144</f>
        <v/>
      </c>
      <c r="T3" s="280">
        <f>'15股'!T144</f>
        <v/>
      </c>
      <c r="U3" s="280">
        <f>'15股'!U144</f>
        <v/>
      </c>
      <c r="V3" s="280">
        <f>'15股'!V144</f>
        <v/>
      </c>
      <c r="W3" s="280">
        <f>'15股'!W144</f>
        <v/>
      </c>
      <c r="X3" s="280">
        <f>'15股'!X144</f>
        <v/>
      </c>
      <c r="Y3" s="280">
        <f>'15股'!Y144</f>
        <v/>
      </c>
      <c r="Z3" s="281" t="n"/>
      <c r="AA3" s="588" t="n"/>
    </row>
    <row r="4">
      <c r="A4" s="734" t="n">
        <v>42735</v>
      </c>
      <c r="B4" s="229" t="n"/>
      <c r="C4" s="229" t="n"/>
      <c r="D4" s="229">
        <f>'16股'!D54</f>
        <v/>
      </c>
      <c r="E4" s="229">
        <f>'16股'!E142</f>
        <v/>
      </c>
      <c r="F4" s="229" t="n"/>
      <c r="G4" s="280">
        <f>'16股'!G54</f>
        <v/>
      </c>
      <c r="H4" s="280">
        <f>'16股'!H54</f>
        <v/>
      </c>
      <c r="I4" s="234" t="n"/>
      <c r="J4" s="229" t="n"/>
      <c r="K4" s="280">
        <f>'16股'!K54</f>
        <v/>
      </c>
      <c r="L4" s="280">
        <f>'16股'!L54</f>
        <v/>
      </c>
      <c r="M4" s="280">
        <f>'16股'!M54</f>
        <v/>
      </c>
      <c r="N4" s="280">
        <f>'16股'!N54</f>
        <v/>
      </c>
      <c r="O4" s="280">
        <f>'16股'!O54</f>
        <v/>
      </c>
      <c r="P4" s="697">
        <f>'16股'!P54</f>
        <v/>
      </c>
      <c r="Q4" s="280">
        <f>'16股'!Q54</f>
        <v/>
      </c>
      <c r="R4" s="280">
        <f>'16股'!R54</f>
        <v/>
      </c>
      <c r="S4" s="280">
        <f>'16股'!S142</f>
        <v/>
      </c>
      <c r="T4" s="280">
        <f>'16股'!T142</f>
        <v/>
      </c>
      <c r="U4" s="280">
        <f>'16股'!U54</f>
        <v/>
      </c>
      <c r="V4" s="280">
        <f>'16股'!V142</f>
        <v/>
      </c>
      <c r="W4" s="280">
        <f>'16股'!W142</f>
        <v/>
      </c>
      <c r="X4" s="280">
        <f>'16股'!X54</f>
        <v/>
      </c>
      <c r="Y4" s="280">
        <f>'16股'!Y54</f>
        <v/>
      </c>
      <c r="Z4" s="281" t="n"/>
      <c r="AA4" s="588" t="n"/>
    </row>
    <row r="5">
      <c r="A5" s="228" t="n">
        <v>42881</v>
      </c>
      <c r="B5" s="229" t="inlineStr">
        <is>
          <t>普通買進</t>
        </is>
      </c>
      <c r="C5" s="229" t="n">
        <v>2633</v>
      </c>
      <c r="D5" s="229">
        <f>VLOOKUP(C5,每日行情!A:B,2,FALSE)</f>
        <v/>
      </c>
      <c r="E5" s="229" t="n">
        <v>1000</v>
      </c>
      <c r="F5" s="229" t="n">
        <v>23.37</v>
      </c>
      <c r="G5" s="229">
        <f>E5*F5</f>
        <v/>
      </c>
      <c r="H5" s="229" t="n">
        <v>24</v>
      </c>
      <c r="I5" s="324" t="n">
        <v>42961</v>
      </c>
      <c r="J5" s="16" t="n">
        <v>25.15</v>
      </c>
      <c r="K5" s="229">
        <f>E5*J5</f>
        <v/>
      </c>
      <c r="L5" s="17" t="n">
        <v>21</v>
      </c>
      <c r="M5" s="229" t="n">
        <v>75</v>
      </c>
      <c r="N5" s="229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>
        <v>600</v>
      </c>
      <c r="S5" s="585" t="n">
        <v>10</v>
      </c>
      <c r="T5" s="585">
        <f>IF(ROUND(R5*(1+V5),0)&gt;5000,ROUND(ROUND(R5*(1+V5),0)*2%,0),0)</f>
        <v/>
      </c>
      <c r="U5" s="65">
        <f>(V5*50%)/(1+50%*V5)</f>
        <v/>
      </c>
      <c r="V5" s="65" t="n">
        <v>0.1171</v>
      </c>
      <c r="W5" s="66" t="n">
        <v>0.11</v>
      </c>
      <c r="X5" s="586">
        <f>(P5+Q5)/G5</f>
        <v/>
      </c>
      <c r="Y5" s="16">
        <f>VLOOKUP(C5,#REF!,3,FALSE)</f>
        <v/>
      </c>
      <c r="Z5" s="587" t="n"/>
      <c r="AA5" s="588">
        <f>IF(I5="",((TODAY()-A5)*G5)/365.24,((I5-A5)*G5)/365.24)</f>
        <v/>
      </c>
      <c r="AB5" s="230" t="inlineStr">
        <is>
          <t>學院介紹</t>
        </is>
      </c>
      <c r="AC5" s="230" t="inlineStr">
        <is>
          <t>跌破20MA</t>
        </is>
      </c>
      <c r="AE5" s="754">
        <f>IF(AD5="","",AD5-J5)</f>
        <v/>
      </c>
    </row>
    <row r="6">
      <c r="A6" s="228" t="n">
        <v>42898</v>
      </c>
      <c r="B6" s="229" t="inlineStr">
        <is>
          <t>普通買進</t>
        </is>
      </c>
      <c r="C6" s="229" t="n">
        <v>4129</v>
      </c>
      <c r="D6" s="229">
        <f>VLOOKUP(C6,每日行情!A:B,2,FALSE)</f>
        <v/>
      </c>
      <c r="E6" s="229" t="n">
        <v>1000</v>
      </c>
      <c r="F6" s="229" t="n">
        <v>72.3</v>
      </c>
      <c r="G6" s="229">
        <f>E6*F6</f>
        <v/>
      </c>
      <c r="H6" s="229" t="n">
        <v>24</v>
      </c>
      <c r="I6" s="324" t="n">
        <v>42923</v>
      </c>
      <c r="J6" s="16" t="n">
        <v>68.90000000000001</v>
      </c>
      <c r="K6" s="229">
        <f>E6*J6</f>
        <v/>
      </c>
      <c r="L6" s="17" t="n">
        <v>58</v>
      </c>
      <c r="M6" s="229" t="n">
        <v>206</v>
      </c>
      <c r="N6" s="229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/>
      <c r="T6" s="585">
        <f>IF(ROUND(R6*(1+V6),0)&gt;5000,ROUND(ROUND(R6*(1+V6),0)*2%,0),0)</f>
        <v/>
      </c>
      <c r="U6" s="65">
        <f>(V6*50%)/(1+50%*V6)</f>
        <v/>
      </c>
      <c r="V6" s="65" t="n"/>
      <c r="W6" s="66" t="n"/>
      <c r="X6" s="586">
        <f>(P6+Q6)/G6</f>
        <v/>
      </c>
      <c r="Y6" s="16">
        <f>VLOOKUP(C6,#REF!,3,FALSE)</f>
        <v/>
      </c>
      <c r="Z6" s="587" t="n"/>
      <c r="AA6" s="588">
        <f>IF(I6="",((TODAY()-A6)*G6)/365.24,((I6-A6)*G6)/365.24)</f>
        <v/>
      </c>
      <c r="AB6" s="230" t="inlineStr">
        <is>
          <t>阿水一式</t>
        </is>
      </c>
      <c r="AC6" s="230" t="inlineStr">
        <is>
          <t>跌破20MA</t>
        </is>
      </c>
      <c r="AE6" s="754">
        <f>IF(AD6="","",AD6-J6)</f>
        <v/>
      </c>
    </row>
    <row r="7">
      <c r="A7" s="228" t="n">
        <v>42913</v>
      </c>
      <c r="B7" s="229" t="inlineStr">
        <is>
          <t>普通買進</t>
        </is>
      </c>
      <c r="C7" s="229" t="n">
        <v>2908</v>
      </c>
      <c r="D7" s="229">
        <f>VLOOKUP(C7,每日行情!A:B,2,FALSE)</f>
        <v/>
      </c>
      <c r="E7" s="229" t="n">
        <v>1000</v>
      </c>
      <c r="F7" s="229" t="n">
        <v>22.5</v>
      </c>
      <c r="G7" s="229">
        <f>E7*F7</f>
        <v/>
      </c>
      <c r="H7" s="229" t="n">
        <v>24</v>
      </c>
      <c r="I7" s="324" t="n">
        <v>42936</v>
      </c>
      <c r="J7" s="16" t="n">
        <v>21.55</v>
      </c>
      <c r="K7" s="229">
        <f>E7*J7</f>
        <v/>
      </c>
      <c r="L7" s="17" t="n">
        <v>20</v>
      </c>
      <c r="M7" s="229" t="n">
        <v>64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>
        <v>1070</v>
      </c>
      <c r="S7" s="585" t="n">
        <v>10</v>
      </c>
      <c r="T7" s="585">
        <f>IF(ROUND(R7*(1+V7),0)&gt;5000,ROUND(ROUND(R7*(1+V7),0)*2%,0),0)</f>
        <v/>
      </c>
      <c r="U7" s="65">
        <f>(V7*50%)/(1+50%*V7)</f>
        <v/>
      </c>
      <c r="V7" s="65" t="n">
        <v>0.2048</v>
      </c>
      <c r="W7" s="66" t="n">
        <v>0.11</v>
      </c>
      <c r="X7" s="586">
        <f>(P7+Q7)/G7</f>
        <v/>
      </c>
      <c r="Y7" s="16">
        <f>VLOOKUP(C7,#REF!,3,FALSE)</f>
        <v/>
      </c>
      <c r="Z7" s="587" t="n"/>
      <c r="AA7" s="588">
        <f>IF(I7="",((TODAY()-A7)*G7)/365.24,((I7-A7)*G7)/365.24)</f>
        <v/>
      </c>
      <c r="AB7" s="230" t="inlineStr">
        <is>
          <t>阿水一式</t>
        </is>
      </c>
      <c r="AC7" s="230" t="inlineStr">
        <is>
          <t>跌破20MA</t>
        </is>
      </c>
      <c r="AE7" s="754">
        <f>IF(AD7="","",AD7-J7)</f>
        <v/>
      </c>
    </row>
    <row r="8">
      <c r="A8" s="228" t="n">
        <v>42936</v>
      </c>
      <c r="B8" s="229" t="inlineStr">
        <is>
          <t>普通買進</t>
        </is>
      </c>
      <c r="C8" s="229" t="n">
        <v>2421</v>
      </c>
      <c r="D8" s="229">
        <f>VLOOKUP(C8,每日行情!A:B,2,FALSE)</f>
        <v/>
      </c>
      <c r="E8" s="229" t="n">
        <v>1000</v>
      </c>
      <c r="F8" s="229" t="n">
        <v>45.8</v>
      </c>
      <c r="G8" s="229">
        <f>E8*F8</f>
        <v/>
      </c>
      <c r="H8" s="229" t="n">
        <v>39</v>
      </c>
      <c r="I8" s="324" t="n">
        <v>42940</v>
      </c>
      <c r="J8" s="16" t="n">
        <v>43.2</v>
      </c>
      <c r="K8" s="229">
        <f>E8*J8</f>
        <v/>
      </c>
      <c r="L8" s="17" t="n">
        <v>36</v>
      </c>
      <c r="M8" s="229" t="n">
        <v>129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/>
      <c r="T8" s="585">
        <f>IF(ROUND(R8*(1+V8),0)&gt;5000,ROUND(ROUND(R8*(1+V8),0)*2%,0),0)</f>
        <v/>
      </c>
      <c r="U8" s="65">
        <f>(V8*50%)/(1+50%*V8)</f>
        <v/>
      </c>
      <c r="V8" s="65" t="n"/>
      <c r="W8" s="66" t="n"/>
      <c r="X8" s="586">
        <f>(P8+Q8)/G8</f>
        <v/>
      </c>
      <c r="Y8" s="16">
        <f>VLOOKUP(C8,#REF!,3,FALSE)</f>
        <v/>
      </c>
      <c r="Z8" s="587" t="n"/>
      <c r="AA8" s="588">
        <f>IF(I8="",((TODAY()-A8)*G8)/365.24,((I8-A8)*G8)/365.24)</f>
        <v/>
      </c>
      <c r="AB8" s="230" t="inlineStr">
        <is>
          <t>阿水一式</t>
        </is>
      </c>
      <c r="AC8" s="230" t="inlineStr">
        <is>
          <t>跌破20MA</t>
        </is>
      </c>
      <c r="AE8" s="754">
        <f>IF(AD8="","",AD8-J8)</f>
        <v/>
      </c>
    </row>
    <row r="9">
      <c r="A9" s="228" t="n">
        <v>42936</v>
      </c>
      <c r="B9" s="229" t="inlineStr">
        <is>
          <t>普通買進</t>
        </is>
      </c>
      <c r="C9" s="229" t="n">
        <v>2616</v>
      </c>
      <c r="D9" s="229">
        <f>VLOOKUP(C9,每日行情!A:B,2,FALSE)</f>
        <v/>
      </c>
      <c r="E9" s="229" t="n">
        <v>1000</v>
      </c>
      <c r="F9" s="229" t="n">
        <v>34.2</v>
      </c>
      <c r="G9" s="229">
        <f>E9*F9</f>
        <v/>
      </c>
      <c r="H9" s="229" t="n">
        <v>29</v>
      </c>
      <c r="I9" s="324" t="n">
        <v>42951</v>
      </c>
      <c r="J9" s="16" t="n">
        <v>33.4</v>
      </c>
      <c r="K9" s="229">
        <f>E9*J9</f>
        <v/>
      </c>
      <c r="L9" s="17" t="n">
        <v>28</v>
      </c>
      <c r="M9" s="229" t="n">
        <v>100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/>
      <c r="T9" s="585">
        <f>IF(ROUND(R9*(1+V9),0)&gt;5000,ROUND(ROUND(R9*(1+V9),0)*2%,0),0)</f>
        <v/>
      </c>
      <c r="U9" s="65">
        <f>(V9*50%)/(1+50%*V9)</f>
        <v/>
      </c>
      <c r="V9" s="65" t="n"/>
      <c r="W9" s="66" t="n"/>
      <c r="X9" s="586">
        <f>(P9+Q9)/G9</f>
        <v/>
      </c>
      <c r="Y9" s="16">
        <f>VLOOKUP(C9,#REF!,3,FALSE)</f>
        <v/>
      </c>
      <c r="Z9" s="587" t="n"/>
      <c r="AA9" s="588">
        <f>IF(I9="",((TODAY()-A9)*G9)/365.24,((I9-A9)*G9)/365.24)</f>
        <v/>
      </c>
      <c r="AB9" s="230" t="inlineStr">
        <is>
          <t>阿水一式</t>
        </is>
      </c>
      <c r="AC9" s="230" t="inlineStr">
        <is>
          <t>跌破20MA</t>
        </is>
      </c>
      <c r="AE9" s="754">
        <f>IF(AD9="","",AD9-J9)</f>
        <v/>
      </c>
    </row>
    <row r="10">
      <c r="A10" s="228" t="n">
        <v>42936</v>
      </c>
      <c r="B10" s="229" t="inlineStr">
        <is>
          <t>普通買進</t>
        </is>
      </c>
      <c r="C10" s="229" t="n">
        <v>2836</v>
      </c>
      <c r="D10" s="229">
        <f>VLOOKUP(C10,每日行情!A:B,2,FALSE)</f>
        <v/>
      </c>
      <c r="E10" s="229" t="n">
        <v>1000</v>
      </c>
      <c r="F10" s="229" t="n">
        <v>10.3</v>
      </c>
      <c r="G10" s="229">
        <f>E10*F10</f>
        <v/>
      </c>
      <c r="H10" s="229" t="n">
        <v>20</v>
      </c>
      <c r="I10" s="324" t="n">
        <v>42961</v>
      </c>
      <c r="J10" s="16" t="n">
        <v>9.41</v>
      </c>
      <c r="K10" s="229">
        <f>E10*J10</f>
        <v/>
      </c>
      <c r="L10" s="17" t="n">
        <v>20</v>
      </c>
      <c r="M10" s="229" t="n">
        <v>28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>
        <v>600</v>
      </c>
      <c r="S10" s="585" t="n">
        <v>10</v>
      </c>
      <c r="T10" s="585">
        <f>IF(ROUND(R10*(1+V10),0)&gt;5000,ROUND(ROUND(R10*(1+V10),0)*2%,0),0)</f>
        <v/>
      </c>
      <c r="U10" s="65">
        <f>(V10*50%)/(1+50%*V10)</f>
        <v/>
      </c>
      <c r="V10" s="65" t="n">
        <v>0.2048</v>
      </c>
      <c r="W10" s="66" t="n">
        <v>0.11</v>
      </c>
      <c r="X10" s="586">
        <f>(P10+Q10)/G10</f>
        <v/>
      </c>
      <c r="Y10" s="16">
        <f>VLOOKUP(C10,#REF!,3,FALSE)</f>
        <v/>
      </c>
      <c r="Z10" s="587" t="n"/>
      <c r="AA10" s="588">
        <f>IF(I10="",((TODAY()-A10)*G10)/365.24,((I10-A10)*G10)/365.24)</f>
        <v/>
      </c>
      <c r="AB10" s="230" t="inlineStr">
        <is>
          <t>阿水一式</t>
        </is>
      </c>
      <c r="AC10" s="230" t="inlineStr">
        <is>
          <t>跌破20MA</t>
        </is>
      </c>
      <c r="AE10" s="754">
        <f>IF(AD10="","",AD10-J10)</f>
        <v/>
      </c>
    </row>
    <row r="11">
      <c r="A11" s="228" t="n">
        <v>42998</v>
      </c>
      <c r="B11" s="229" t="inlineStr">
        <is>
          <t>普通買進</t>
        </is>
      </c>
      <c r="C11" s="229" t="n">
        <v>6161</v>
      </c>
      <c r="D11" s="229">
        <f>VLOOKUP(C11,每日行情!A:B,2,FALSE)</f>
        <v/>
      </c>
      <c r="E11" s="229" t="n">
        <v>1000</v>
      </c>
      <c r="F11" s="229" t="n">
        <v>15.35</v>
      </c>
      <c r="G11" s="229">
        <f>E11*F11</f>
        <v/>
      </c>
      <c r="H11" s="229" t="n">
        <v>20</v>
      </c>
      <c r="I11" s="324" t="n">
        <v>43003</v>
      </c>
      <c r="J11" s="16" t="n">
        <v>14.65</v>
      </c>
      <c r="K11" s="229">
        <f>E11*J11</f>
        <v/>
      </c>
      <c r="L11" s="17" t="n">
        <v>20</v>
      </c>
      <c r="M11" s="229" t="n">
        <v>43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>
        <v>10</v>
      </c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>
        <v>0.11</v>
      </c>
      <c r="X11" s="586">
        <f>(P11+Q11)/G11</f>
        <v/>
      </c>
      <c r="Y11" s="16">
        <f>VLOOKUP(C11,#REF!,3,FALSE)</f>
        <v/>
      </c>
      <c r="Z11" s="587" t="n"/>
      <c r="AA11" s="588">
        <f>IF(I11="",((TODAY()-A11)*G11)/365.24,((I11-A11)*G11)/365.24)</f>
        <v/>
      </c>
      <c r="AB11" s="230" t="inlineStr">
        <is>
          <t>阿水一式</t>
        </is>
      </c>
      <c r="AE11" s="754">
        <f>IF(AD11="","",AD11-J11)</f>
        <v/>
      </c>
    </row>
    <row r="12">
      <c r="A12" s="228" t="n">
        <v>42998</v>
      </c>
      <c r="B12" s="229" t="inlineStr">
        <is>
          <t>普通買進</t>
        </is>
      </c>
      <c r="C12" s="229" t="n">
        <v>2022</v>
      </c>
      <c r="D12" s="229">
        <f>VLOOKUP(C12,每日行情!A:B,2,FALSE)</f>
        <v/>
      </c>
      <c r="E12" s="229" t="n">
        <v>1000</v>
      </c>
      <c r="F12" s="229" t="n">
        <v>6.32</v>
      </c>
      <c r="G12" s="229">
        <f>E12*F12</f>
        <v/>
      </c>
      <c r="H12" s="229" t="n">
        <v>20</v>
      </c>
      <c r="I12" s="324" t="n">
        <v>43003</v>
      </c>
      <c r="J12" s="16" t="n">
        <v>6.03</v>
      </c>
      <c r="K12" s="229">
        <f>E12*J12</f>
        <v/>
      </c>
      <c r="L12" s="17" t="n">
        <v>20</v>
      </c>
      <c r="M12" s="229" t="n">
        <v>18</v>
      </c>
      <c r="N12" s="229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>
        <v>10</v>
      </c>
      <c r="T12" s="585">
        <f>IF(ROUND(R12*(1+V12),0)&gt;5000,ROUND(ROUND(R12*(1+V12),0)*2%,0),0)</f>
        <v/>
      </c>
      <c r="U12" s="65">
        <f>(V12*50%)/(1+50%*V12)</f>
        <v/>
      </c>
      <c r="V12" s="65" t="n"/>
      <c r="W12" s="66" t="n">
        <v>0.11</v>
      </c>
      <c r="X12" s="586">
        <f>(P12+Q12)/G12</f>
        <v/>
      </c>
      <c r="Y12" s="16">
        <f>VLOOKUP(C12,#REF!,3,FALSE)</f>
        <v/>
      </c>
      <c r="Z12" s="587" t="n"/>
      <c r="AA12" s="588">
        <f>IF(I12="",((TODAY()-A12)*G12)/365.24,((I12-A12)*G12)/365.24)</f>
        <v/>
      </c>
      <c r="AB12" s="230" t="inlineStr">
        <is>
          <t>阿水一式</t>
        </is>
      </c>
      <c r="AE12" s="754">
        <f>IF(AD12="","",AD12-J12)</f>
        <v/>
      </c>
    </row>
    <row r="13">
      <c r="A13" s="228" t="n">
        <v>42997</v>
      </c>
      <c r="B13" s="229" t="inlineStr">
        <is>
          <t>普通買進</t>
        </is>
      </c>
      <c r="C13" s="229" t="n">
        <v>2409</v>
      </c>
      <c r="D13" s="229">
        <f>VLOOKUP(C13,每日行情!A:B,2,FALSE)</f>
        <v/>
      </c>
      <c r="E13" s="229" t="n">
        <v>1000</v>
      </c>
      <c r="F13" s="229" t="n">
        <v>12.8</v>
      </c>
      <c r="G13" s="229">
        <f>E13*F13</f>
        <v/>
      </c>
      <c r="H13" s="229" t="n">
        <v>20</v>
      </c>
      <c r="I13" s="324" t="n">
        <v>43003</v>
      </c>
      <c r="J13" s="16" t="n">
        <v>12.35</v>
      </c>
      <c r="K13" s="229">
        <f>E13*J13</f>
        <v/>
      </c>
      <c r="L13" s="17" t="n">
        <v>20</v>
      </c>
      <c r="M13" s="229" t="n">
        <v>37</v>
      </c>
      <c r="N13" s="229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>
        <v>10</v>
      </c>
      <c r="T13" s="585">
        <f>IF(ROUND(R13*(1+V13),0)&gt;5000,ROUND(ROUND(R13*(1+V13),0)*2%,0),0)</f>
        <v/>
      </c>
      <c r="U13" s="65">
        <f>(V13*50%)/(1+50%*V13)</f>
        <v/>
      </c>
      <c r="V13" s="65" t="n"/>
      <c r="W13" s="66" t="n">
        <v>0.11</v>
      </c>
      <c r="X13" s="586">
        <f>(P13+Q13)/G13</f>
        <v/>
      </c>
      <c r="Y13" s="16">
        <f>VLOOKUP(C13,#REF!,3,FALSE)</f>
        <v/>
      </c>
      <c r="Z13" s="587" t="n"/>
      <c r="AA13" s="588">
        <f>IF(I13="",((TODAY()-A13)*G13)/365.24,((I13-A13)*G13)/365.24)</f>
        <v/>
      </c>
      <c r="AB13" s="230" t="inlineStr">
        <is>
          <t>學院介紹</t>
        </is>
      </c>
      <c r="AE13" s="754">
        <f>IF(AD13="","",AD13-J13)</f>
        <v/>
      </c>
    </row>
    <row r="14">
      <c r="A14" s="228" t="n">
        <v>42998</v>
      </c>
      <c r="B14" s="229" t="inlineStr">
        <is>
          <t>普通買進</t>
        </is>
      </c>
      <c r="C14" s="229" t="n">
        <v>8176</v>
      </c>
      <c r="D14" s="229">
        <f>VLOOKUP(C14,每日行情!A:B,2,FALSE)</f>
        <v/>
      </c>
      <c r="E14" s="229" t="n">
        <v>1000</v>
      </c>
      <c r="F14" s="229" t="n">
        <v>11.6</v>
      </c>
      <c r="G14" s="229">
        <f>E14*F14</f>
        <v/>
      </c>
      <c r="H14" s="229" t="n">
        <v>20</v>
      </c>
      <c r="I14" s="325" t="n">
        <v>43020</v>
      </c>
      <c r="J14" s="16" t="n">
        <v>11.25</v>
      </c>
      <c r="K14" s="229">
        <f>E14*J14</f>
        <v/>
      </c>
      <c r="L14" s="17" t="n">
        <v>20</v>
      </c>
      <c r="M14" s="229" t="n">
        <v>33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>
        <v>10</v>
      </c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>
        <v>0.11</v>
      </c>
      <c r="X14" s="586">
        <f>(P14+Q14)/G14</f>
        <v/>
      </c>
      <c r="Y14" s="16">
        <f>VLOOKUP(C14,#REF!,3,FALSE)</f>
        <v/>
      </c>
      <c r="Z14" s="587" t="n"/>
      <c r="AA14" s="588">
        <f>IF(I14="",((TODAY()-A14)*G14)/365.24,((I14-A14)*G14)/365.24)</f>
        <v/>
      </c>
      <c r="AB14" s="230" t="inlineStr">
        <is>
          <t>阿水一式</t>
        </is>
      </c>
      <c r="AE14" s="754">
        <f>IF(AD14="","",AD14-J14)</f>
        <v/>
      </c>
    </row>
    <row r="15">
      <c r="A15" s="228" t="n">
        <v>43032</v>
      </c>
      <c r="B15" s="229" t="inlineStr">
        <is>
          <t>普通買進</t>
        </is>
      </c>
      <c r="C15" s="229" t="n">
        <v>3236</v>
      </c>
      <c r="D15" s="229">
        <f>VLOOKUP(C15,每日行情!A:B,2,FALSE)</f>
        <v/>
      </c>
      <c r="E15" s="229" t="n">
        <v>1000</v>
      </c>
      <c r="F15" s="229" t="n">
        <v>42.35</v>
      </c>
      <c r="G15" s="229">
        <f>E15*F15</f>
        <v/>
      </c>
      <c r="H15" s="229" t="n">
        <v>36</v>
      </c>
      <c r="I15" s="324" t="n">
        <v>43035</v>
      </c>
      <c r="J15" s="16" t="n">
        <v>41.95</v>
      </c>
      <c r="K15" s="229">
        <f>E15*J15</f>
        <v/>
      </c>
      <c r="L15" s="17" t="n">
        <v>35</v>
      </c>
      <c r="M15" s="229" t="n">
        <v>125</v>
      </c>
      <c r="N15" s="229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>
        <v>10</v>
      </c>
      <c r="T15" s="585">
        <f>IF(ROUND(R15*(1+V15),0)&gt;5000,ROUND(ROUND(R15*(1+V15),0)*2%,0),0)</f>
        <v/>
      </c>
      <c r="U15" s="65">
        <f>(V15*50%)/(1+50%*V15)</f>
        <v/>
      </c>
      <c r="V15" s="65" t="n"/>
      <c r="W15" s="66" t="n">
        <v>0.11</v>
      </c>
      <c r="X15" s="586">
        <f>(P15+Q15)/G15</f>
        <v/>
      </c>
      <c r="Y15" s="16">
        <f>VLOOKUP(C15,#REF!,3,FALSE)</f>
        <v/>
      </c>
      <c r="Z15" s="587" t="n"/>
      <c r="AA15" s="588">
        <f>IF(I15="",((TODAY()-A15)*G15)/365.24,((I15-A15)*G15)/365.24)</f>
        <v/>
      </c>
      <c r="AB15" s="230" t="inlineStr">
        <is>
          <t>阿水一式</t>
        </is>
      </c>
      <c r="AE15" s="754">
        <f>IF(AD15="","",AD15-J15)</f>
        <v/>
      </c>
    </row>
    <row r="16">
      <c r="A16" s="228" t="n">
        <v>42998</v>
      </c>
      <c r="B16" s="229" t="inlineStr">
        <is>
          <t>普通買進</t>
        </is>
      </c>
      <c r="C16" s="229" t="n">
        <v>1712</v>
      </c>
      <c r="D16" s="229">
        <f>VLOOKUP(C16,每日行情!A:B,2,FALSE)</f>
        <v/>
      </c>
      <c r="E16" s="229" t="n">
        <v>1000</v>
      </c>
      <c r="F16" s="229" t="n">
        <v>16.85</v>
      </c>
      <c r="G16" s="229">
        <f>E16*F16</f>
        <v/>
      </c>
      <c r="H16" s="229" t="n">
        <v>20</v>
      </c>
      <c r="I16" s="324" t="n">
        <v>43040</v>
      </c>
      <c r="J16" s="16" t="n">
        <v>17.7</v>
      </c>
      <c r="K16" s="229">
        <f>E16*J16</f>
        <v/>
      </c>
      <c r="L16" s="17" t="n">
        <v>20</v>
      </c>
      <c r="M16" s="229" t="n">
        <v>53</v>
      </c>
      <c r="N16" s="229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>
        <v>10</v>
      </c>
      <c r="T16" s="585">
        <f>IF(ROUND(R16*(1+V16),0)&gt;5000,ROUND(ROUND(R16*(1+V16),0)*2%,0),0)</f>
        <v/>
      </c>
      <c r="U16" s="65">
        <f>(V16*50%)/(1+50%*V16)</f>
        <v/>
      </c>
      <c r="V16" s="65" t="n"/>
      <c r="W16" s="66" t="n">
        <v>0.11</v>
      </c>
      <c r="X16" s="586">
        <f>(P16+Q16)/G16</f>
        <v/>
      </c>
      <c r="Y16" s="16">
        <f>VLOOKUP(C16,#REF!,3,FALSE)</f>
        <v/>
      </c>
      <c r="Z16" s="587" t="n"/>
      <c r="AA16" s="588">
        <f>IF(I16="",((TODAY()-A16)*G16)/365.24,((I16-A16)*G16)/365.24)</f>
        <v/>
      </c>
      <c r="AB16" s="230" t="inlineStr">
        <is>
          <t>阿水一式</t>
        </is>
      </c>
      <c r="AE16" s="754">
        <f>IF(AD16="","",AD16-J16)</f>
        <v/>
      </c>
    </row>
    <row r="17">
      <c r="A17" s="228" t="n">
        <v>43040</v>
      </c>
      <c r="B17" s="229" t="inlineStr">
        <is>
          <t>普通買進</t>
        </is>
      </c>
      <c r="C17" s="229" t="n">
        <v>3313</v>
      </c>
      <c r="D17" s="229">
        <f>VLOOKUP(C17,每日行情!A:B,2,FALSE)</f>
        <v/>
      </c>
      <c r="E17" s="229" t="n">
        <v>1000</v>
      </c>
      <c r="F17" s="229" t="n">
        <v>43.75</v>
      </c>
      <c r="G17" s="229">
        <f>E17*F17</f>
        <v/>
      </c>
      <c r="H17" s="229" t="n">
        <v>37</v>
      </c>
      <c r="I17" s="324" t="n">
        <v>43047</v>
      </c>
      <c r="J17" s="16" t="n">
        <v>41.35</v>
      </c>
      <c r="K17" s="229">
        <f>E17*J17</f>
        <v/>
      </c>
      <c r="L17" s="17" t="n">
        <v>35</v>
      </c>
      <c r="M17" s="229" t="n">
        <v>124</v>
      </c>
      <c r="N17" s="229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>
        <v>10</v>
      </c>
      <c r="T17" s="585">
        <f>IF(ROUND(R17*(1+V17),0)&gt;5000,ROUND(ROUND(R17*(1+V17),0)*2%,0),0)</f>
        <v/>
      </c>
      <c r="U17" s="65">
        <f>(V17*50%)/(1+50%*V17)</f>
        <v/>
      </c>
      <c r="V17" s="65" t="n"/>
      <c r="W17" s="66" t="n">
        <v>0.11</v>
      </c>
      <c r="X17" s="586">
        <f>(P17+Q17)/G17</f>
        <v/>
      </c>
      <c r="Y17" s="16">
        <f>VLOOKUP(C17,#REF!,3,FALSE)</f>
        <v/>
      </c>
      <c r="Z17" s="587" t="n"/>
      <c r="AA17" s="588">
        <f>IF(I17="",((TODAY()-A17)*G17)/365.24,((I17-A17)*G17)/365.24)</f>
        <v/>
      </c>
      <c r="AB17" s="230" t="inlineStr">
        <is>
          <t>阿水一式</t>
        </is>
      </c>
      <c r="AE17" s="754">
        <f>IF(AD17="","",AD17-J17)</f>
        <v/>
      </c>
    </row>
    <row r="18">
      <c r="A18" s="228" t="n">
        <v>42998</v>
      </c>
      <c r="B18" s="229" t="inlineStr">
        <is>
          <t>普通買進</t>
        </is>
      </c>
      <c r="C18" s="229" t="n">
        <v>2351</v>
      </c>
      <c r="D18" s="229">
        <f>VLOOKUP(C18,每日行情!A:B,2,FALSE)</f>
        <v/>
      </c>
      <c r="E18" s="229" t="n">
        <v>1000</v>
      </c>
      <c r="F18" s="229" t="n">
        <v>71.09999999999999</v>
      </c>
      <c r="G18" s="229">
        <f>E18*F18</f>
        <v/>
      </c>
      <c r="H18" s="229" t="n">
        <v>60</v>
      </c>
      <c r="I18" s="324" t="n">
        <v>43053</v>
      </c>
      <c r="J18" s="16" t="n">
        <v>86.09999999999999</v>
      </c>
      <c r="K18" s="229">
        <f>E18*J18</f>
        <v/>
      </c>
      <c r="L18" s="17" t="n">
        <v>73</v>
      </c>
      <c r="M18" s="229" t="n">
        <v>258</v>
      </c>
      <c r="N18" s="229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>
        <v>10</v>
      </c>
      <c r="T18" s="585">
        <f>IF(ROUND(R18*(1+V18),0)&gt;5000,ROUND(ROUND(R18*(1+V18),0)*2%,0),0)</f>
        <v/>
      </c>
      <c r="U18" s="65">
        <f>(V18*50%)/(1+50%*V18)</f>
        <v/>
      </c>
      <c r="V18" s="65" t="n"/>
      <c r="W18" s="66" t="n">
        <v>0.11</v>
      </c>
      <c r="X18" s="586">
        <f>(P18+Q18)/G18</f>
        <v/>
      </c>
      <c r="Y18" s="16">
        <f>VLOOKUP(C18,#REF!,3,FALSE)</f>
        <v/>
      </c>
      <c r="Z18" s="587" t="n"/>
      <c r="AA18" s="588">
        <f>IF(I18="",((TODAY()-A18)*G18)/365.24,((I18-A18)*G18)/365.24)</f>
        <v/>
      </c>
      <c r="AB18" s="230" t="inlineStr">
        <is>
          <t>阿水一式</t>
        </is>
      </c>
      <c r="AE18" s="754">
        <f>IF(AD18="","",AD18-J18)</f>
        <v/>
      </c>
    </row>
    <row r="19">
      <c r="A19" s="228" t="n">
        <v>43032</v>
      </c>
      <c r="B19" s="229" t="inlineStr">
        <is>
          <t>普通買進</t>
        </is>
      </c>
      <c r="C19" s="229" t="n">
        <v>2456</v>
      </c>
      <c r="D19" s="229">
        <f>VLOOKUP(C19,每日行情!A:B,2,FALSE)</f>
        <v/>
      </c>
      <c r="E19" s="229" t="n">
        <v>1000</v>
      </c>
      <c r="F19" s="229" t="n">
        <v>98.8</v>
      </c>
      <c r="G19" s="229">
        <f>E19*F19</f>
        <v/>
      </c>
      <c r="H19" s="229" t="n">
        <v>84</v>
      </c>
      <c r="I19" s="324" t="n">
        <v>43053</v>
      </c>
      <c r="J19" s="16" t="n">
        <v>99.5</v>
      </c>
      <c r="K19" s="229">
        <f>E19*J19</f>
        <v/>
      </c>
      <c r="L19" s="17" t="n">
        <v>85</v>
      </c>
      <c r="M19" s="229" t="n">
        <v>298</v>
      </c>
      <c r="N19" s="229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>
        <v>10</v>
      </c>
      <c r="T19" s="585">
        <f>IF(ROUND(R19*(1+V19),0)&gt;5000,ROUND(ROUND(R19*(1+V19),0)*2%,0),0)</f>
        <v/>
      </c>
      <c r="U19" s="65">
        <f>(V19*50%)/(1+50%*V19)</f>
        <v/>
      </c>
      <c r="V19" s="65" t="n"/>
      <c r="W19" s="66" t="n">
        <v>0.11</v>
      </c>
      <c r="X19" s="586">
        <f>(P19+Q19)/G19</f>
        <v/>
      </c>
      <c r="Y19" s="16">
        <f>VLOOKUP(C19,#REF!,3,FALSE)</f>
        <v/>
      </c>
      <c r="Z19" s="587" t="n"/>
      <c r="AA19" s="588">
        <f>IF(I19="",((TODAY()-A19)*G19)/365.24,((I19-A19)*G19)/365.24)</f>
        <v/>
      </c>
      <c r="AB19" s="230" t="inlineStr">
        <is>
          <t>阿水一式</t>
        </is>
      </c>
      <c r="AE19" s="754">
        <f>IF(AD19="","",AD19-J19)</f>
        <v/>
      </c>
    </row>
    <row r="20">
      <c r="A20" s="228" t="n">
        <v>43040</v>
      </c>
      <c r="B20" s="229" t="inlineStr">
        <is>
          <t>普通買進</t>
        </is>
      </c>
      <c r="C20" s="229" t="n">
        <v>2467</v>
      </c>
      <c r="D20" s="229">
        <f>VLOOKUP(C20,每日行情!A:B,2,FALSE)</f>
        <v/>
      </c>
      <c r="E20" s="229" t="n">
        <v>1000</v>
      </c>
      <c r="F20" s="229" t="n">
        <v>28.25</v>
      </c>
      <c r="G20" s="229">
        <f>E20*F20</f>
        <v/>
      </c>
      <c r="H20" s="229" t="n">
        <v>24</v>
      </c>
      <c r="I20" s="324" t="n">
        <v>43053</v>
      </c>
      <c r="J20" s="16" t="n">
        <v>27.4</v>
      </c>
      <c r="K20" s="229">
        <f>E20*J20</f>
        <v/>
      </c>
      <c r="L20" s="17" t="n">
        <v>23</v>
      </c>
      <c r="M20" s="229" t="n">
        <v>82</v>
      </c>
      <c r="N20" s="229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>
        <v>10</v>
      </c>
      <c r="T20" s="585">
        <f>IF(ROUND(R20*(1+V20),0)&gt;5000,ROUND(ROUND(R20*(1+V20),0)*2%,0),0)</f>
        <v/>
      </c>
      <c r="U20" s="65">
        <f>(V20*50%)/(1+50%*V20)</f>
        <v/>
      </c>
      <c r="V20" s="65" t="n"/>
      <c r="W20" s="66" t="n">
        <v>0.11</v>
      </c>
      <c r="X20" s="586">
        <f>(P20+Q20)/G20</f>
        <v/>
      </c>
      <c r="Y20" s="16">
        <f>VLOOKUP(C20,#REF!,3,FALSE)</f>
        <v/>
      </c>
      <c r="Z20" s="587" t="n"/>
      <c r="AA20" s="588">
        <f>IF(I20="",((TODAY()-A20)*G20)/365.24,((I20-A20)*G20)/365.24)</f>
        <v/>
      </c>
      <c r="AB20" s="230" t="inlineStr">
        <is>
          <t>阿水一式</t>
        </is>
      </c>
      <c r="AE20" s="754">
        <f>IF(AD20="","",AD20-J20)</f>
        <v/>
      </c>
    </row>
    <row r="21">
      <c r="A21" s="228" t="n">
        <v>43032</v>
      </c>
      <c r="B21" s="229" t="inlineStr">
        <is>
          <t>普通買進</t>
        </is>
      </c>
      <c r="C21" s="229" t="n">
        <v>6147</v>
      </c>
      <c r="D21" s="229">
        <f>VLOOKUP(C21,每日行情!A:B,2,FALSE)</f>
        <v/>
      </c>
      <c r="E21" s="229" t="n">
        <v>1000</v>
      </c>
      <c r="F21" s="229" t="n">
        <v>57.7</v>
      </c>
      <c r="G21" s="229">
        <f>E21*F21</f>
        <v/>
      </c>
      <c r="H21" s="229" t="n">
        <v>49</v>
      </c>
      <c r="I21" s="324" t="n">
        <v>43053</v>
      </c>
      <c r="J21" s="16" t="n">
        <v>57.1</v>
      </c>
      <c r="K21" s="229">
        <f>E21*J21</f>
        <v/>
      </c>
      <c r="L21" s="17" t="n">
        <v>48</v>
      </c>
      <c r="M21" s="229" t="n">
        <v>171</v>
      </c>
      <c r="N21" s="229" t="n">
        <v>0</v>
      </c>
      <c r="O21" s="584">
        <f>IF(I21="",E21*Y21,0)</f>
        <v/>
      </c>
      <c r="P21" s="585">
        <f>IF(I21="",R21-H21,(K21-H21-SUM(L21:N21)+R21-S21-T21)-G21)+(ROUND(R21*V21,0)-ROUND(R21*(1+V21),0)*W21)</f>
        <v/>
      </c>
      <c r="Q21" s="585">
        <f>IF(I21="",(O21-G21-(O21*0.1425%*0.65)-(O21*0.3%)-S21-T21),0)</f>
        <v/>
      </c>
      <c r="R21" s="585" t="n"/>
      <c r="S21" s="585" t="n">
        <v>10</v>
      </c>
      <c r="T21" s="585">
        <f>IF(ROUND(R21*(1+V21),0)&gt;5000,ROUND(ROUND(R21*(1+V21),0)*2%,0),0)</f>
        <v/>
      </c>
      <c r="U21" s="65">
        <f>(V21*50%)/(1+50%*V21)</f>
        <v/>
      </c>
      <c r="V21" s="65" t="n"/>
      <c r="W21" s="66" t="n">
        <v>0.11</v>
      </c>
      <c r="X21" s="586">
        <f>(P21+Q21)/G21</f>
        <v/>
      </c>
      <c r="Y21" s="16">
        <f>VLOOKUP(C21,#REF!,3,FALSE)</f>
        <v/>
      </c>
      <c r="Z21" s="587" t="n"/>
      <c r="AA21" s="588">
        <f>IF(I21="",((TODAY()-A21)*G21)/365.24,((I21-A21)*G21)/365.24)</f>
        <v/>
      </c>
      <c r="AB21" s="230" t="inlineStr">
        <is>
          <t>阿水一式</t>
        </is>
      </c>
      <c r="AE21" s="754">
        <f>IF(AD21="","",AD21-J21)</f>
        <v/>
      </c>
    </row>
    <row r="22">
      <c r="A22" s="228" t="n">
        <v>43056</v>
      </c>
      <c r="B22" s="229" t="inlineStr">
        <is>
          <t>普通買進</t>
        </is>
      </c>
      <c r="C22" s="229" t="n">
        <v>4984</v>
      </c>
      <c r="D22" s="229">
        <f>VLOOKUP(C22,每日行情!A:B,2,FALSE)</f>
        <v/>
      </c>
      <c r="E22" s="229" t="n">
        <v>1000</v>
      </c>
      <c r="F22" s="229" t="n">
        <v>39.2</v>
      </c>
      <c r="G22" s="229">
        <f>E22*F22</f>
        <v/>
      </c>
      <c r="H22" s="229" t="n">
        <v>33</v>
      </c>
      <c r="I22" s="324" t="n">
        <v>43070</v>
      </c>
      <c r="J22" s="16" t="n">
        <v>36.15</v>
      </c>
      <c r="K22" s="229">
        <f>E22*J22</f>
        <v/>
      </c>
      <c r="L22" s="17" t="n">
        <v>30</v>
      </c>
      <c r="M22" s="229" t="n">
        <v>108</v>
      </c>
      <c r="N22" s="229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>
        <v>10</v>
      </c>
      <c r="T22" s="585">
        <f>IF(ROUND(R22*(1+V22),0)&gt;5000,ROUND(ROUND(R22*(1+V22),0)*2%,0),0)</f>
        <v/>
      </c>
      <c r="U22" s="65">
        <f>(V22*50%)/(1+50%*V22)</f>
        <v/>
      </c>
      <c r="V22" s="65" t="n"/>
      <c r="W22" s="66" t="n">
        <v>0.11</v>
      </c>
      <c r="X22" s="586">
        <f>(P22+Q22)/G22</f>
        <v/>
      </c>
      <c r="Y22" s="16">
        <f>VLOOKUP(C22,#REF!,3,FALSE)</f>
        <v/>
      </c>
      <c r="Z22" s="587" t="n"/>
      <c r="AA22" s="588">
        <f>IF(I22="",((TODAY()-A22)*G22)/365.24,((I22-A22)*G22)/365.24)</f>
        <v/>
      </c>
      <c r="AB22" s="230" t="inlineStr">
        <is>
          <t>阿水一式</t>
        </is>
      </c>
      <c r="AE22" s="754">
        <f>IF(AD22="","",AD22-J22)</f>
        <v/>
      </c>
    </row>
    <row r="23">
      <c r="A23" s="228" t="n">
        <v>43056</v>
      </c>
      <c r="B23" s="229" t="inlineStr">
        <is>
          <t>普通買進</t>
        </is>
      </c>
      <c r="C23" s="229" t="n">
        <v>6125</v>
      </c>
      <c r="D23" s="229">
        <f>VLOOKUP(C23,每日行情!A:B,2,FALSE)</f>
        <v/>
      </c>
      <c r="E23" s="229" t="n">
        <v>2000</v>
      </c>
      <c r="F23" s="229" t="n">
        <v>11.05</v>
      </c>
      <c r="G23" s="229">
        <f>E23*F23</f>
        <v/>
      </c>
      <c r="H23" s="229" t="n">
        <v>20</v>
      </c>
      <c r="I23" s="324" t="n">
        <v>43070</v>
      </c>
      <c r="J23" s="16" t="n">
        <v>12</v>
      </c>
      <c r="K23" s="229">
        <f>E23*J23</f>
        <v/>
      </c>
      <c r="L23" s="17" t="n">
        <v>20</v>
      </c>
      <c r="M23" s="229" t="n">
        <v>72</v>
      </c>
      <c r="N23" s="229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>
        <v>10</v>
      </c>
      <c r="T23" s="585">
        <f>IF(ROUND(R23*(1+V23),0)&gt;5000,ROUND(ROUND(R23*(1+V23),0)*2%,0),0)</f>
        <v/>
      </c>
      <c r="U23" s="65">
        <f>(V23*50%)/(1+50%*V23)</f>
        <v/>
      </c>
      <c r="V23" s="65" t="n"/>
      <c r="W23" s="66" t="n">
        <v>0.11</v>
      </c>
      <c r="X23" s="586">
        <f>(P23+Q23)/G23</f>
        <v/>
      </c>
      <c r="Y23" s="16">
        <f>VLOOKUP(C23,#REF!,3,FALSE)</f>
        <v/>
      </c>
      <c r="Z23" s="587" t="n"/>
      <c r="AA23" s="588">
        <f>IF(I23="",((TODAY()-A23)*G23)/365.24,((I23-A23)*G23)/365.24)</f>
        <v/>
      </c>
      <c r="AB23" s="230" t="inlineStr">
        <is>
          <t>阿水一式</t>
        </is>
      </c>
      <c r="AE23" s="754">
        <f>IF(AD23="","",AD23-J23)</f>
        <v/>
      </c>
    </row>
    <row r="24">
      <c r="A24" s="228" t="n">
        <v>43056</v>
      </c>
      <c r="B24" s="229" t="inlineStr">
        <is>
          <t>普通買進</t>
        </is>
      </c>
      <c r="C24" s="229" t="n">
        <v>8069</v>
      </c>
      <c r="D24" s="229">
        <f>VLOOKUP(C24,每日行情!A:B,2,FALSE)</f>
        <v/>
      </c>
      <c r="E24" s="229" t="n">
        <v>1000</v>
      </c>
      <c r="F24" s="229" t="n">
        <v>52.2</v>
      </c>
      <c r="G24" s="229">
        <f>E24*F24</f>
        <v/>
      </c>
      <c r="H24" s="229" t="n">
        <v>44</v>
      </c>
      <c r="I24" s="324" t="n">
        <v>43070</v>
      </c>
      <c r="J24" s="16" t="n">
        <v>51</v>
      </c>
      <c r="K24" s="229">
        <f>E24*J24</f>
        <v/>
      </c>
      <c r="L24" s="17" t="n">
        <v>43</v>
      </c>
      <c r="M24" s="229" t="n">
        <v>153</v>
      </c>
      <c r="N24" s="229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>
        <v>10</v>
      </c>
      <c r="T24" s="585">
        <f>IF(ROUND(R24*(1+V24),0)&gt;5000,ROUND(ROUND(R24*(1+V24),0)*2%,0),0)</f>
        <v/>
      </c>
      <c r="U24" s="65">
        <f>(V24*50%)/(1+50%*V24)</f>
        <v/>
      </c>
      <c r="V24" s="65" t="n"/>
      <c r="W24" s="66" t="n">
        <v>0.11</v>
      </c>
      <c r="X24" s="586">
        <f>(P24+Q24)/G24</f>
        <v/>
      </c>
      <c r="Y24" s="16">
        <f>VLOOKUP(C24,#REF!,3,FALSE)</f>
        <v/>
      </c>
      <c r="Z24" s="587" t="n"/>
      <c r="AA24" s="588">
        <f>IF(I24="",((TODAY()-A24)*G24)/365.24,((I24-A24)*G24)/365.24)</f>
        <v/>
      </c>
      <c r="AB24" s="230" t="inlineStr">
        <is>
          <t>阿水一式</t>
        </is>
      </c>
      <c r="AE24" s="754">
        <f>IF(AD24="","",AD24-J24)</f>
        <v/>
      </c>
    </row>
    <row r="25">
      <c r="A25" s="228" t="n">
        <v>43059</v>
      </c>
      <c r="B25" s="229" t="inlineStr">
        <is>
          <t>普通買進</t>
        </is>
      </c>
      <c r="C25" s="229" t="n">
        <v>3202</v>
      </c>
      <c r="D25" s="229">
        <f>VLOOKUP(C25,每日行情!A:B,2,FALSE)</f>
        <v/>
      </c>
      <c r="E25" s="229" t="n">
        <v>1000</v>
      </c>
      <c r="F25" s="229" t="n">
        <v>26.95</v>
      </c>
      <c r="G25" s="229">
        <f>E25*F25</f>
        <v/>
      </c>
      <c r="H25" s="229" t="n">
        <v>23</v>
      </c>
      <c r="I25" s="324" t="n">
        <v>43070</v>
      </c>
      <c r="J25" s="16" t="n">
        <v>25.8</v>
      </c>
      <c r="K25" s="229">
        <f>E25*J25</f>
        <v/>
      </c>
      <c r="L25" s="17" t="n">
        <v>22</v>
      </c>
      <c r="M25" s="229" t="n">
        <v>77</v>
      </c>
      <c r="N25" s="229" t="n">
        <v>0</v>
      </c>
      <c r="O25" s="584">
        <f>IF(I25="",E25*Y25,0)</f>
        <v/>
      </c>
      <c r="P25" s="585">
        <f>IF(I25="",R25-H25,(K25-H25-SUM(L25:N25)+R25-S25-T25)-G25)+(ROUND(R25*V25,0)-ROUND(R25*(1+V25),0)*W25)</f>
        <v/>
      </c>
      <c r="Q25" s="585">
        <f>IF(I25="",(O25-G25-(O25*0.1425%*0.65)-(O25*0.3%)-S25-T25),0)</f>
        <v/>
      </c>
      <c r="R25" s="585" t="n"/>
      <c r="S25" s="585" t="n">
        <v>10</v>
      </c>
      <c r="T25" s="585">
        <f>IF(ROUND(R25*(1+V25),0)&gt;5000,ROUND(ROUND(R25*(1+V25),0)*2%,0),0)</f>
        <v/>
      </c>
      <c r="U25" s="65">
        <f>(V25*50%)/(1+50%*V25)</f>
        <v/>
      </c>
      <c r="V25" s="65" t="n"/>
      <c r="W25" s="66" t="n">
        <v>0.11</v>
      </c>
      <c r="X25" s="586">
        <f>(P25+Q25)/G25</f>
        <v/>
      </c>
      <c r="Y25" s="16">
        <f>VLOOKUP(C25,#REF!,3,FALSE)</f>
        <v/>
      </c>
      <c r="Z25" s="587" t="n"/>
      <c r="AA25" s="588">
        <f>IF(I25="",((TODAY()-A25)*G25)/365.24,((I25-A25)*G25)/365.24)</f>
        <v/>
      </c>
      <c r="AB25" s="230" t="inlineStr">
        <is>
          <t>阿水一式</t>
        </is>
      </c>
      <c r="AE25" s="754">
        <f>IF(AD25="","",AD25-J25)</f>
        <v/>
      </c>
    </row>
    <row r="26">
      <c r="A26" s="228" t="n">
        <v>43069</v>
      </c>
      <c r="B26" s="229" t="inlineStr">
        <is>
          <t>普通買進</t>
        </is>
      </c>
      <c r="C26" s="229" t="n">
        <v>2481</v>
      </c>
      <c r="D26" s="229">
        <f>VLOOKUP(C26,每日行情!A:B,2,FALSE)</f>
        <v/>
      </c>
      <c r="E26" s="229" t="n">
        <v>1000</v>
      </c>
      <c r="F26" s="229" t="n">
        <v>34.4</v>
      </c>
      <c r="G26" s="229">
        <f>E26*F26</f>
        <v/>
      </c>
      <c r="H26" s="229" t="n">
        <v>29</v>
      </c>
      <c r="I26" s="324" t="n">
        <v>43070</v>
      </c>
      <c r="J26" s="16" t="n">
        <v>31.6</v>
      </c>
      <c r="K26" s="229">
        <f>E26*J26</f>
        <v/>
      </c>
      <c r="L26" s="17" t="n">
        <v>27</v>
      </c>
      <c r="M26" s="229" t="n">
        <v>94</v>
      </c>
      <c r="N26" s="229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>
        <v>10</v>
      </c>
      <c r="T26" s="585">
        <f>IF(ROUND(R26*(1+V26),0)&gt;5000,ROUND(ROUND(R26*(1+V26),0)*2%,0),0)</f>
        <v/>
      </c>
      <c r="U26" s="65">
        <f>(V26*50%)/(1+50%*V26)</f>
        <v/>
      </c>
      <c r="V26" s="65" t="n"/>
      <c r="W26" s="66" t="n">
        <v>0.11</v>
      </c>
      <c r="X26" s="586">
        <f>(P26+Q26)/G26</f>
        <v/>
      </c>
      <c r="Y26" s="16">
        <f>VLOOKUP(C26,#REF!,3,FALSE)</f>
        <v/>
      </c>
      <c r="Z26" s="587" t="n"/>
      <c r="AA26" s="588">
        <f>IF(I26="",((TODAY()-A26)*G26)/365.24,((I26-A26)*G26)/365.24)</f>
        <v/>
      </c>
      <c r="AB26" s="230" t="inlineStr">
        <is>
          <t>阿水一式、學院介紹</t>
        </is>
      </c>
      <c r="AE26" s="754">
        <f>IF(AD26="","",AD26-J26)</f>
        <v/>
      </c>
    </row>
    <row r="27">
      <c r="A27" s="228" t="n">
        <v>43069</v>
      </c>
      <c r="B27" s="229" t="inlineStr">
        <is>
          <t>普通買進</t>
        </is>
      </c>
      <c r="C27" s="229" t="n">
        <v>3016</v>
      </c>
      <c r="D27" s="229">
        <f>VLOOKUP(C27,每日行情!A:B,2,FALSE)</f>
        <v/>
      </c>
      <c r="E27" s="229" t="n">
        <v>1000</v>
      </c>
      <c r="F27" s="229" t="n">
        <v>39.65</v>
      </c>
      <c r="G27" s="229">
        <f>E27*F27</f>
        <v/>
      </c>
      <c r="H27" s="229" t="n">
        <v>33</v>
      </c>
      <c r="I27" s="324" t="n">
        <v>43070</v>
      </c>
      <c r="J27" s="16" t="n">
        <v>36.1</v>
      </c>
      <c r="K27" s="229">
        <f>E27*J27</f>
        <v/>
      </c>
      <c r="L27" s="17" t="n">
        <v>30</v>
      </c>
      <c r="M27" s="229" t="n">
        <v>108</v>
      </c>
      <c r="N27" s="229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/>
      <c r="S27" s="585" t="n">
        <v>10</v>
      </c>
      <c r="T27" s="585">
        <f>IF(ROUND(R27*(1+V27),0)&gt;5000,ROUND(ROUND(R27*(1+V27),0)*2%,0),0)</f>
        <v/>
      </c>
      <c r="U27" s="65">
        <f>(V27*50%)/(1+50%*V27)</f>
        <v/>
      </c>
      <c r="V27" s="65" t="n"/>
      <c r="W27" s="66" t="n">
        <v>0.11</v>
      </c>
      <c r="X27" s="586">
        <f>(P27+Q27)/G27</f>
        <v/>
      </c>
      <c r="Y27" s="16">
        <f>VLOOKUP(C27,#REF!,3,FALSE)</f>
        <v/>
      </c>
      <c r="Z27" s="587" t="n"/>
      <c r="AA27" s="588">
        <f>IF(I27="",((TODAY()-A27)*G27)/365.24,((I27-A27)*G27)/365.24)</f>
        <v/>
      </c>
      <c r="AB27" s="230" t="inlineStr">
        <is>
          <t>阿水一式、學院介紹</t>
        </is>
      </c>
      <c r="AE27" s="754">
        <f>IF(AD27="","",AD27-J27)</f>
        <v/>
      </c>
    </row>
    <row r="28">
      <c r="A28" s="228" t="n">
        <v>43069</v>
      </c>
      <c r="B28" s="229" t="inlineStr">
        <is>
          <t>普通買進</t>
        </is>
      </c>
      <c r="C28" s="229" t="n">
        <v>3707</v>
      </c>
      <c r="D28" s="229">
        <f>VLOOKUP(C28,每日行情!A:B,2,FALSE)</f>
        <v/>
      </c>
      <c r="E28" s="229" t="n">
        <v>1000</v>
      </c>
      <c r="F28" s="229" t="n">
        <v>28.55</v>
      </c>
      <c r="G28" s="229">
        <f>E28*F28</f>
        <v/>
      </c>
      <c r="H28" s="229" t="n">
        <v>24</v>
      </c>
      <c r="I28" s="324" t="n">
        <v>43070</v>
      </c>
      <c r="J28" s="16" t="n">
        <v>25.15</v>
      </c>
      <c r="K28" s="229">
        <f>E28*J28</f>
        <v/>
      </c>
      <c r="L28" s="17" t="n">
        <v>21</v>
      </c>
      <c r="M28" s="229" t="n">
        <v>75</v>
      </c>
      <c r="N28" s="229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>
        <v>10</v>
      </c>
      <c r="T28" s="585">
        <f>IF(ROUND(R28*(1+V28),0)&gt;5000,ROUND(ROUND(R28*(1+V28),0)*2%,0),0)</f>
        <v/>
      </c>
      <c r="U28" s="65">
        <f>(V28*50%)/(1+50%*V28)</f>
        <v/>
      </c>
      <c r="V28" s="65" t="n"/>
      <c r="W28" s="66" t="n">
        <v>0.11</v>
      </c>
      <c r="X28" s="586">
        <f>(P28+Q28)/G28</f>
        <v/>
      </c>
      <c r="Y28" s="16">
        <f>VLOOKUP(C28,#REF!,3,FALSE)</f>
        <v/>
      </c>
      <c r="Z28" s="587" t="n"/>
      <c r="AA28" s="588">
        <f>IF(I28="",((TODAY()-A28)*G28)/365.24,((I28-A28)*G28)/365.24)</f>
        <v/>
      </c>
      <c r="AB28" s="230" t="inlineStr">
        <is>
          <t>阿水一式、學院介紹</t>
        </is>
      </c>
      <c r="AE28" s="754">
        <f>IF(AD28="","",AD28-J28)</f>
        <v/>
      </c>
    </row>
    <row r="29">
      <c r="A29" s="734" t="n"/>
      <c r="B29" s="229" t="n"/>
      <c r="C29" s="229" t="n"/>
      <c r="D29" s="229" t="n"/>
      <c r="E29" s="229" t="n"/>
      <c r="F29" s="229" t="n"/>
      <c r="G29" s="280" t="n"/>
      <c r="H29" s="280" t="n"/>
      <c r="I29" s="234" t="n"/>
      <c r="J29" s="229" t="n"/>
      <c r="K29" s="280" t="n"/>
      <c r="L29" s="280" t="n"/>
      <c r="M29" s="280" t="n"/>
      <c r="N29" s="280" t="n"/>
      <c r="O29" s="280" t="n"/>
      <c r="P29" s="280" t="n"/>
      <c r="Q29" s="585" t="n"/>
      <c r="R29" s="280" t="n"/>
      <c r="S29" s="229" t="n"/>
      <c r="T29" s="585" t="n"/>
      <c r="U29" s="65" t="n"/>
      <c r="V29" s="285" t="n"/>
      <c r="W29" s="286" t="n"/>
      <c r="X29" s="285" t="n"/>
      <c r="Y29" s="229" t="n"/>
      <c r="Z29" s="587" t="n"/>
      <c r="AA29" s="588" t="n"/>
    </row>
    <row r="30">
      <c r="A30" s="231" t="n"/>
      <c r="B30" s="232" t="n"/>
      <c r="C30" s="232" t="n"/>
      <c r="D30" s="232" t="n"/>
      <c r="E30" s="232" t="n"/>
      <c r="F30" s="232" t="n"/>
      <c r="G30" s="232" t="n"/>
      <c r="H30" s="232" t="n"/>
      <c r="I30" s="233" t="n"/>
      <c r="J30" s="42" t="n"/>
      <c r="K30" s="232" t="n"/>
      <c r="L30" s="589" t="n"/>
      <c r="M30" s="232" t="n"/>
      <c r="N30" s="232" t="n"/>
      <c r="O30" s="590" t="n"/>
      <c r="P30" s="591" t="n"/>
      <c r="Q30" s="591" t="n"/>
      <c r="R30" s="591" t="n"/>
      <c r="S30" s="591" t="n"/>
      <c r="T30" s="591" t="n"/>
      <c r="U30" s="69" t="n"/>
      <c r="V30" s="69" t="n"/>
      <c r="W30" s="71" t="n"/>
      <c r="X30" s="592" t="n"/>
      <c r="Y30" s="42" t="n"/>
      <c r="Z30" s="47" t="n"/>
      <c r="AA30" s="588" t="n"/>
    </row>
    <row r="31">
      <c r="A31" s="228" t="n"/>
      <c r="B31" s="229" t="n"/>
      <c r="C31" s="229" t="n"/>
      <c r="D31" s="229" t="n"/>
      <c r="E31" s="229" t="n"/>
      <c r="F31" s="229" t="n"/>
      <c r="G31" s="229" t="n"/>
      <c r="H31" s="229" t="n"/>
      <c r="I31" s="234" t="n"/>
      <c r="J31" s="229" t="n"/>
      <c r="K31" s="229" t="n"/>
      <c r="L31" s="229" t="n"/>
      <c r="M31" s="229" t="n"/>
      <c r="N31" s="229" t="n"/>
      <c r="O31" s="584" t="n"/>
      <c r="P31" s="585" t="n"/>
      <c r="Q31" s="585" t="n"/>
      <c r="R31" s="585" t="n"/>
      <c r="S31" s="585" t="n"/>
      <c r="T31" s="585" t="n"/>
      <c r="U31" s="585" t="n"/>
      <c r="V31" s="65" t="n"/>
      <c r="W31" s="66" t="n"/>
      <c r="X31" s="586" t="n"/>
      <c r="Y31" s="16" t="n"/>
      <c r="Z31" s="587" t="n"/>
      <c r="AA31" s="588" t="n"/>
    </row>
    <row r="32">
      <c r="A32" s="235">
        <f>MIN(A33:A34)</f>
        <v/>
      </c>
      <c r="B32" s="236" t="n"/>
      <c r="C32" s="237" t="n"/>
      <c r="D32" s="236" t="n"/>
      <c r="E32" s="236" t="n"/>
      <c r="F32" s="236" t="n"/>
      <c r="G32" s="236" t="n"/>
      <c r="H32" s="236" t="n"/>
      <c r="I32" s="21" t="n"/>
      <c r="J32" s="22" t="n"/>
      <c r="K32" s="236" t="n"/>
      <c r="L32" s="661" t="n"/>
      <c r="M32" s="236" t="n"/>
      <c r="N32" s="236" t="n"/>
      <c r="O32" s="662" t="n"/>
      <c r="P32" s="663" t="n"/>
      <c r="Q32" s="663" t="n"/>
      <c r="R32" s="663" t="n"/>
      <c r="S32" s="663" t="n"/>
      <c r="T32" s="663" t="n"/>
      <c r="U32" s="663" t="n"/>
      <c r="V32" s="70" t="n"/>
      <c r="W32" s="72" t="n"/>
      <c r="X32" s="664" t="n"/>
      <c r="Y32" s="22" t="n"/>
      <c r="Z32" s="27" t="n"/>
      <c r="AA32" s="588" t="n"/>
    </row>
    <row r="33" hidden="1">
      <c r="A33" s="235" t="n"/>
      <c r="B33" s="236" t="n"/>
      <c r="C33" s="237" t="n"/>
      <c r="D33" s="236" t="n"/>
      <c r="E33" s="236" t="n"/>
      <c r="F33" s="236" t="n"/>
      <c r="G33" s="236" t="n"/>
      <c r="H33" s="236" t="n"/>
      <c r="I33" s="21" t="n"/>
      <c r="J33" s="22" t="n"/>
      <c r="K33" s="236" t="n"/>
      <c r="L33" s="661" t="n"/>
      <c r="M33" s="236" t="n"/>
      <c r="N33" s="236" t="n"/>
      <c r="O33" s="662" t="n"/>
      <c r="P33" s="663" t="n"/>
      <c r="Q33" s="663" t="n"/>
      <c r="R33" s="663" t="n"/>
      <c r="S33" s="663" t="n"/>
      <c r="T33" s="663" t="n"/>
      <c r="U33" s="663" t="n"/>
      <c r="V33" s="70" t="n"/>
      <c r="W33" s="72" t="n"/>
      <c r="X33" s="664" t="n"/>
      <c r="Y33" s="22" t="n"/>
      <c r="Z33" s="27" t="n"/>
      <c r="AA33" s="588">
        <f>((I33-A33)*G33)/365.24</f>
        <v/>
      </c>
    </row>
    <row r="34" ht="17.25" customHeight="1" thickBot="1">
      <c r="A34" s="238" t="n"/>
      <c r="B34" s="239" t="n"/>
      <c r="C34" s="239" t="n"/>
      <c r="D34" s="239" t="n"/>
      <c r="E34" s="239" t="n"/>
      <c r="F34" s="239" t="n"/>
      <c r="G34" s="239" t="n"/>
      <c r="H34" s="239" t="n"/>
      <c r="I34" s="240" t="n"/>
      <c r="J34" s="51" t="n"/>
      <c r="K34" s="239" t="n"/>
      <c r="L34" s="593" t="n"/>
      <c r="M34" s="239" t="n"/>
      <c r="N34" s="239" t="n"/>
      <c r="O34" s="594" t="n"/>
      <c r="P34" s="595" t="n"/>
      <c r="Q34" s="595" t="n"/>
      <c r="R34" s="595" t="n"/>
      <c r="S34" s="595" t="n"/>
      <c r="T34" s="596" t="n"/>
      <c r="U34" s="595" t="n"/>
      <c r="V34" s="595" t="n"/>
      <c r="W34" s="73" t="n"/>
      <c r="X34" s="597" t="n"/>
      <c r="Y34" s="51" t="n"/>
      <c r="Z34" s="56" t="n"/>
      <c r="AA34" s="588" t="n"/>
    </row>
    <row r="35" ht="17.25" customHeight="1" thickBot="1">
      <c r="A35" s="241" t="n"/>
      <c r="D35" s="226" t="n"/>
      <c r="I35" s="30" t="n"/>
      <c r="J35" s="31" t="n"/>
      <c r="L35" s="665" t="n"/>
      <c r="O35" s="666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8" t="n"/>
      <c r="Y35" s="31" t="n"/>
      <c r="Z35" s="31" t="n"/>
      <c r="AA35" s="588" t="n"/>
    </row>
    <row r="36" ht="17.25" customHeight="1" thickBot="1">
      <c r="A36" s="669" t="n"/>
      <c r="B36" s="600" t="n"/>
      <c r="C36" s="670" t="n"/>
      <c r="D36" s="569" t="inlineStr">
        <is>
          <t>持股小計</t>
        </is>
      </c>
      <c r="E36" s="736" t="n"/>
      <c r="F36" s="670" t="n"/>
      <c r="G36" s="59">
        <f>SUM(G32:G34)</f>
        <v/>
      </c>
      <c r="H36" s="59">
        <f>SUM(H32:H34)</f>
        <v/>
      </c>
      <c r="I36" s="736" t="n"/>
      <c r="J36" s="670" t="n"/>
      <c r="K36" s="59" t="n"/>
      <c r="L36" s="671" t="n"/>
      <c r="M36" s="671" t="n"/>
      <c r="N36" s="672" t="n"/>
      <c r="O36" s="59">
        <f>SUM(O32:O34)</f>
        <v/>
      </c>
      <c r="P36" s="59">
        <f>SUM(P32:P34)</f>
        <v/>
      </c>
      <c r="Q36" s="59">
        <f>SUM(Q32:Q34)</f>
        <v/>
      </c>
      <c r="R36" s="59">
        <f>SUM(R32:R34)</f>
        <v/>
      </c>
      <c r="S36" s="548" t="n"/>
      <c r="T36" s="548" t="n"/>
      <c r="U36" s="548" t="n"/>
      <c r="V36" s="548" t="n"/>
      <c r="W36" s="548" t="n"/>
      <c r="X36" s="674">
        <f>(P36+Q36)/G36</f>
        <v/>
      </c>
      <c r="Y36" s="532" t="inlineStr">
        <is>
          <t>年化報酬率</t>
        </is>
      </c>
      <c r="Z36" s="675">
        <f>IF(AA36=0,0,(P36+Q36)/(AA36))</f>
        <v/>
      </c>
      <c r="AA36" s="588">
        <f>SUM(AA32:AA34)</f>
        <v/>
      </c>
    </row>
    <row r="37" ht="17.25" customFormat="1" customHeight="1" s="244" thickBot="1">
      <c r="A37" s="602" t="n"/>
      <c r="C37" s="676" t="n"/>
      <c r="D37" s="569" t="inlineStr">
        <is>
          <t>2017總計</t>
        </is>
      </c>
      <c r="E37" s="677" t="n"/>
      <c r="F37" s="676" t="n"/>
      <c r="G37" s="60">
        <f>SUM(G5:G34)</f>
        <v/>
      </c>
      <c r="H37" s="60">
        <f>SUM(H5:H34)</f>
        <v/>
      </c>
      <c r="I37" s="677" t="n"/>
      <c r="J37" s="676" t="n"/>
      <c r="K37" s="60">
        <f>SUM(K5:K34)</f>
        <v/>
      </c>
      <c r="L37" s="60">
        <f>SUM(L5:L34)</f>
        <v/>
      </c>
      <c r="M37" s="60">
        <f>SUM(M5:M34)</f>
        <v/>
      </c>
      <c r="N37" s="60">
        <f>SUM(N5:N34)</f>
        <v/>
      </c>
      <c r="O37" s="60">
        <f>SUM(O5:O34)</f>
        <v/>
      </c>
      <c r="P37" s="60">
        <f>SUM(P5:P34)</f>
        <v/>
      </c>
      <c r="Q37" s="60">
        <f>SUM(Q5:Q34)</f>
        <v/>
      </c>
      <c r="R37" s="60">
        <f>SUM(R5:R34)</f>
        <v/>
      </c>
      <c r="S37" s="68" t="n"/>
      <c r="T37" s="68" t="n"/>
      <c r="U37" s="68" t="n"/>
      <c r="V37" s="68" t="n"/>
      <c r="W37" s="68" t="n"/>
      <c r="X37" s="674">
        <f>(P37+Q37)/G37</f>
        <v/>
      </c>
      <c r="Y37" s="604" t="n"/>
      <c r="Z37" s="675">
        <f>IF(AA37=0,0,(P37+Q37)/(AA37))</f>
        <v/>
      </c>
      <c r="AA37" s="588">
        <f>SUM(AA2:AA34)</f>
        <v/>
      </c>
      <c r="AB37" s="242" t="n"/>
      <c r="AC37" s="243" t="n"/>
      <c r="AE37" s="758" t="n"/>
      <c r="AG37" s="759" t="n"/>
      <c r="AH37" s="242" t="n"/>
    </row>
    <row r="38" ht="17.25" customFormat="1" customHeight="1" s="244" thickBot="1">
      <c r="A38" s="610" t="n"/>
      <c r="B38" s="611" t="n"/>
      <c r="C38" s="679" t="n"/>
      <c r="D38" s="569" t="inlineStr">
        <is>
          <t>總計</t>
        </is>
      </c>
      <c r="E38" s="680" t="n"/>
      <c r="F38" s="679" t="n"/>
      <c r="G38" s="60">
        <f>SUM(G2:G34)</f>
        <v/>
      </c>
      <c r="H38" s="60">
        <f>SUM(H2:H34)</f>
        <v/>
      </c>
      <c r="I38" s="680" t="n"/>
      <c r="J38" s="679" t="n"/>
      <c r="K38" s="60">
        <f>SUM(K2:K34)</f>
        <v/>
      </c>
      <c r="L38" s="60">
        <f>SUM(L2:L34)</f>
        <v/>
      </c>
      <c r="M38" s="60">
        <f>SUM(M2:M34)</f>
        <v/>
      </c>
      <c r="N38" s="60">
        <f>SUM(N2:N34)</f>
        <v/>
      </c>
      <c r="O38" s="60">
        <f>SUM(O2:O34)</f>
        <v/>
      </c>
      <c r="P38" s="60">
        <f>SUM(P2:P34)</f>
        <v/>
      </c>
      <c r="Q38" s="60">
        <f>SUM(Q2:Q34)</f>
        <v/>
      </c>
      <c r="R38" s="60">
        <f>SUM(R2:R34)</f>
        <v/>
      </c>
      <c r="S38" s="68" t="n"/>
      <c r="T38" s="68" t="n"/>
      <c r="U38" s="68" t="n"/>
      <c r="V38" s="68" t="n"/>
      <c r="W38" s="68" t="n"/>
      <c r="X38" s="674">
        <f>(P38+Q38)/G38</f>
        <v/>
      </c>
      <c r="Y38" s="613" t="n"/>
      <c r="Z38" s="675">
        <f>IF(AA38=0,0,(P38+Q38)/(AA38))</f>
        <v/>
      </c>
      <c r="AA38" s="588">
        <f>AA37+'16股'!AA55</f>
        <v/>
      </c>
      <c r="AB38" s="242" t="n"/>
      <c r="AC38" s="242" t="n"/>
      <c r="AE38" s="758" t="n"/>
      <c r="AG38" s="759" t="n"/>
      <c r="AH38" s="242" t="n"/>
    </row>
    <row r="39">
      <c r="Z39" s="737" t="n"/>
      <c r="AA39" s="588" t="n"/>
    </row>
    <row r="40" ht="17.25" customHeight="1" thickBot="1">
      <c r="A40" s="288" t="n"/>
      <c r="B40" s="245" t="n"/>
      <c r="C40" s="245" t="n"/>
      <c r="D40" s="226" t="n"/>
      <c r="AA40" s="588" t="n"/>
    </row>
    <row r="41" ht="17.25" customHeight="1" thickBot="1">
      <c r="A41" s="61" t="n"/>
      <c r="C41" s="61" t="inlineStr">
        <is>
          <t>阿水一式</t>
        </is>
      </c>
      <c r="D41" s="159" t="inlineStr">
        <is>
          <t>總計</t>
        </is>
      </c>
      <c r="E41" s="289" t="n"/>
      <c r="F41" s="289" t="n"/>
      <c r="G41" s="59">
        <f>SUMIF($AB32:$AB34,"阿水一式",G32:G34)</f>
        <v/>
      </c>
      <c r="H41" s="59">
        <f>SUMIF($AB32:$AB34,"阿水一式",H32:H34)</f>
        <v/>
      </c>
      <c r="I41" s="289" t="n"/>
      <c r="J41" s="289" t="n"/>
      <c r="K41" s="59" t="n"/>
      <c r="L41" s="671" t="n"/>
      <c r="M41" s="671" t="n"/>
      <c r="N41" s="672" t="n"/>
      <c r="O41" s="59">
        <f>SUMIF($AB32:$AB34,"阿水一式",O32:O34)</f>
        <v/>
      </c>
      <c r="P41" s="59">
        <f>SUMIF($AB5:$AB34,"阿水一式",P5:P34)</f>
        <v/>
      </c>
      <c r="Q41" s="59">
        <f>SUMIF($AB32:$AB34,"阿水一式",Q32:Q34)</f>
        <v/>
      </c>
      <c r="R41" s="59">
        <f>SUMIF($AB32:$AB34,"阿水一式",R32:R34)</f>
        <v/>
      </c>
      <c r="S41" s="548" t="n"/>
      <c r="T41" s="548" t="n"/>
      <c r="U41" s="548" t="n"/>
      <c r="V41" s="548" t="n"/>
      <c r="W41" s="548" t="n"/>
      <c r="X41" s="674">
        <f>(P41+Q41)/G41</f>
        <v/>
      </c>
      <c r="Y41" s="289" t="n"/>
      <c r="Z41" s="675">
        <f>(1+X41)^(1/((TODAY()-A6)/365.25))-1</f>
        <v/>
      </c>
      <c r="AA41" s="588">
        <f>((I41-A41)*G41)/365.24</f>
        <v/>
      </c>
    </row>
    <row r="42">
      <c r="A42" s="62" t="n"/>
      <c r="C42" s="61" t="n"/>
      <c r="D42" s="226" t="n"/>
    </row>
    <row r="43">
      <c r="A43" s="62" t="n"/>
      <c r="C43" s="61" t="n"/>
      <c r="D43" s="226" t="n"/>
    </row>
    <row r="44">
      <c r="A44" s="62" t="n"/>
      <c r="C44" s="61" t="n"/>
      <c r="D44" s="226" t="n"/>
    </row>
    <row r="45">
      <c r="A45" s="62" t="n"/>
      <c r="C45" s="61" t="n"/>
      <c r="D45" s="226" t="n"/>
    </row>
    <row r="46">
      <c r="A46" s="62" t="n"/>
      <c r="C46" s="61" t="n"/>
      <c r="D46" s="226" t="n"/>
    </row>
    <row r="47">
      <c r="A47" s="62" t="n"/>
      <c r="C47" s="61" t="n"/>
      <c r="D47" s="226" t="n"/>
    </row>
    <row r="48">
      <c r="A48" s="62" t="n"/>
      <c r="C48" s="61" t="n"/>
      <c r="D48" s="226" t="n"/>
    </row>
    <row r="49">
      <c r="A49" s="62" t="n"/>
      <c r="C49" s="61" t="n"/>
      <c r="D49" s="226" t="n"/>
    </row>
    <row r="50">
      <c r="A50" s="62" t="n"/>
      <c r="C50" s="61" t="n"/>
      <c r="D50" s="226" t="n"/>
    </row>
    <row r="51">
      <c r="A51" s="62" t="n"/>
      <c r="C51" s="61" t="n"/>
      <c r="D51" s="226" t="n"/>
    </row>
    <row r="52">
      <c r="B52" s="245" t="n"/>
      <c r="C52" s="288" t="n"/>
      <c r="D52" s="226" t="n"/>
    </row>
    <row r="53">
      <c r="B53" s="245" t="n"/>
      <c r="C53" s="288" t="n"/>
      <c r="D53" s="226" t="n"/>
    </row>
    <row r="54">
      <c r="B54" s="245" t="n"/>
      <c r="C54" s="288" t="n"/>
      <c r="D54" s="226" t="n"/>
    </row>
    <row r="55">
      <c r="B55" s="245" t="n"/>
      <c r="C55" s="288" t="n"/>
      <c r="D55" s="226" t="n"/>
    </row>
    <row r="56">
      <c r="B56" s="245" t="n"/>
      <c r="C56" s="288" t="n"/>
      <c r="D56" s="226" t="n"/>
    </row>
    <row r="57">
      <c r="B57" s="245" t="n"/>
      <c r="C57" s="288" t="n"/>
      <c r="D57" s="226" t="n"/>
    </row>
    <row r="58">
      <c r="B58" s="245" t="n"/>
      <c r="C58" s="245" t="n"/>
      <c r="D58" s="226" t="n"/>
    </row>
    <row r="59">
      <c r="B59" s="245" t="n"/>
      <c r="C59" s="245" t="n"/>
      <c r="D59" s="226" t="n"/>
    </row>
    <row r="60">
      <c r="B60" s="245" t="n"/>
      <c r="C60" s="245" t="n"/>
      <c r="D60" s="226" t="n"/>
    </row>
    <row r="61">
      <c r="B61" s="245" t="n"/>
      <c r="C61" s="245" t="n"/>
      <c r="D61" s="226" t="n"/>
    </row>
    <row r="62">
      <c r="B62" s="245" t="n"/>
      <c r="C62" s="245" t="n"/>
      <c r="D62" s="226" t="n"/>
    </row>
    <row r="63">
      <c r="B63" s="245" t="n"/>
      <c r="C63" s="245" t="n"/>
      <c r="D63" s="226" t="n"/>
    </row>
    <row r="64">
      <c r="A64" s="245" t="n"/>
      <c r="B64" s="245" t="n"/>
      <c r="C64" s="245" t="n"/>
      <c r="D64" s="226" t="n"/>
    </row>
    <row r="65">
      <c r="A65" s="245" t="n"/>
      <c r="B65" s="245" t="n"/>
      <c r="C65" s="245" t="n"/>
      <c r="D65" s="226" t="n"/>
    </row>
    <row r="66">
      <c r="A66" s="245" t="n"/>
      <c r="B66" s="245" t="n"/>
      <c r="C66" s="245" t="n"/>
      <c r="D66" s="226" t="n"/>
    </row>
    <row r="67">
      <c r="A67" s="245" t="n"/>
      <c r="B67" s="245" t="n"/>
      <c r="C67" s="245" t="n"/>
      <c r="D67" s="226" t="n"/>
    </row>
    <row r="68">
      <c r="A68" s="245" t="n"/>
      <c r="B68" s="245" t="n"/>
      <c r="C68" s="245" t="n"/>
      <c r="D68" s="226" t="n"/>
    </row>
    <row r="69">
      <c r="A69" s="245" t="n"/>
      <c r="B69" s="245" t="n"/>
      <c r="C69" s="245" t="n"/>
      <c r="D69" s="226" t="n"/>
    </row>
    <row r="70">
      <c r="A70" s="245" t="n"/>
      <c r="B70" s="245" t="n"/>
      <c r="C70" s="245" t="n"/>
      <c r="D70" s="226" t="n"/>
    </row>
    <row r="71">
      <c r="A71" s="245" t="n"/>
      <c r="B71" s="245" t="n"/>
      <c r="C71" s="245" t="n"/>
      <c r="D71" s="226" t="n"/>
    </row>
  </sheetData>
  <autoFilter ref="A1:AA73"/>
  <mergeCells count="6">
    <mergeCell ref="K36:N36"/>
    <mergeCell ref="A36:C38"/>
    <mergeCell ref="E36:F38"/>
    <mergeCell ref="I36:J38"/>
    <mergeCell ref="K41:N41"/>
    <mergeCell ref="Y36:Y38"/>
  </mergeCells>
  <conditionalFormatting sqref="Z1:AA1 Z5:Z38 Z40:AA1048576 AA2:AA39">
    <cfRule type="containsText" priority="7" operator="containsText" dxfId="1" text="△">
      <formula>NOT(ISERROR(SEARCH("△",Z1)))</formula>
    </cfRule>
    <cfRule type="containsText" priority="8" operator="containsText" dxfId="0" text="▽">
      <formula>NOT(ISERROR(SEARCH("▽",Z1)))</formula>
    </cfRule>
  </conditionalFormatting>
  <conditionalFormatting sqref="AE1:AE1048576 AG1:AG1048576">
    <cfRule type="cellIs" priority="5" operator="lessThan" dxfId="9">
      <formula>0</formula>
    </cfRule>
    <cfRule type="cellIs" priority="6" operator="greaterThan" dxfId="6">
      <formula>0</formula>
    </cfRule>
  </conditionalFormatting>
  <conditionalFormatting sqref="I2:I5 I7:I35">
    <cfRule type="expression" priority="3" dxfId="7">
      <formula>$I2&gt;(TODAY()-7)</formula>
    </cfRule>
    <cfRule type="expression" priority="4" dxfId="6">
      <formula>$I2&gt;(TODAY()-30)</formula>
    </cfRule>
  </conditionalFormatting>
  <conditionalFormatting sqref="I6">
    <cfRule type="expression" priority="1" dxfId="7">
      <formula>$I6&gt;(TODAY()-7)</formula>
    </cfRule>
    <cfRule type="expression" priority="2" dxfId="6">
      <formula>$I6&gt;(TODAY()-30)</formula>
    </cfRule>
  </conditionalFormatting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 codeName="工作表10">
    <outlinePr summaryBelow="0" summaryRight="0"/>
    <pageSetUpPr/>
  </sheetPr>
  <dimension ref="B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baseColWidth="8" defaultColWidth="9" defaultRowHeight="16.5" outlineLevelRow="2"/>
  <cols>
    <col hidden="1" width="13.875" customWidth="1" style="226" min="1" max="1"/>
    <col width="12.625" bestFit="1" customWidth="1" style="226" min="2" max="2"/>
    <col width="10.5" customWidth="1" style="226" min="3" max="3"/>
    <col width="20.125" bestFit="1" customWidth="1" style="226" min="4" max="4"/>
    <col width="9.5" bestFit="1" customWidth="1" style="226" min="5" max="5"/>
    <col width="10.5" bestFit="1" customWidth="1" style="245" min="6" max="6"/>
    <col width="7.5" bestFit="1" customWidth="1" style="226" min="7" max="8"/>
    <col width="11.875" bestFit="1" customWidth="1" style="226" min="9" max="9"/>
    <col width="10.5" bestFit="1" customWidth="1" style="226" min="10" max="10"/>
    <col collapsed="1" width="11.5" customWidth="1" style="226" min="11" max="11"/>
    <col width="12.5" bestFit="1" customWidth="1" style="226" min="12" max="12"/>
    <col width="10.875" bestFit="1" customWidth="1" style="226" min="13" max="13"/>
    <col outlineLevel="1" width="12.875" bestFit="1" customWidth="1" style="226" min="14" max="14"/>
    <col width="9.5" bestFit="1" customWidth="1" style="686" min="15" max="15"/>
    <col hidden="1" width="5.5" customWidth="1" style="226" min="16" max="16"/>
    <col width="13.875" bestFit="1" customWidth="1" style="686" min="17" max="17"/>
    <col width="29.375" bestFit="1" customWidth="1" style="230" min="18" max="18"/>
    <col width="9" customWidth="1" style="226" min="19" max="16384"/>
  </cols>
  <sheetData>
    <row r="1" ht="17.25" customFormat="1" customHeight="1" s="227" thickBot="1">
      <c r="B1" s="127" t="inlineStr">
        <is>
          <t>成交日期</t>
        </is>
      </c>
      <c r="C1" s="128" t="inlineStr">
        <is>
          <t>商品代號</t>
        </is>
      </c>
      <c r="D1" s="246" t="inlineStr">
        <is>
          <t>商品名稱</t>
        </is>
      </c>
      <c r="E1" s="247" t="inlineStr">
        <is>
          <t>新／平</t>
        </is>
      </c>
      <c r="F1" s="128" t="inlineStr">
        <is>
          <t>買賣別</t>
        </is>
      </c>
      <c r="G1" s="128" t="inlineStr">
        <is>
          <t>當沖</t>
        </is>
      </c>
      <c r="H1" s="128" t="inlineStr">
        <is>
          <t>成交量</t>
        </is>
      </c>
      <c r="I1" s="128" t="inlineStr">
        <is>
          <t>成交價</t>
        </is>
      </c>
      <c r="J1" s="687" t="inlineStr">
        <is>
          <t>權利金</t>
        </is>
      </c>
      <c r="K1" s="130" t="inlineStr">
        <is>
          <t>手續費</t>
        </is>
      </c>
      <c r="L1" s="130" t="inlineStr">
        <is>
          <t>交易稅</t>
        </is>
      </c>
      <c r="M1" s="688" t="inlineStr">
        <is>
          <t>投資損益</t>
        </is>
      </c>
      <c r="N1" s="689" t="inlineStr">
        <is>
          <t>總損益</t>
        </is>
      </c>
      <c r="O1" s="690" t="inlineStr">
        <is>
          <t>損益點數</t>
        </is>
      </c>
      <c r="Q1" s="738" t="n"/>
      <c r="R1" s="230" t="n"/>
    </row>
    <row r="2" ht="17.25" customHeight="1" thickBot="1">
      <c r="B2" s="718" t="n">
        <v>42816</v>
      </c>
      <c r="C2" s="292" t="n"/>
      <c r="D2" s="292" t="inlineStr">
        <is>
          <t>阿水財經三班</t>
        </is>
      </c>
      <c r="E2" s="292" t="n"/>
      <c r="F2" s="292" t="n"/>
      <c r="G2" s="292" t="n"/>
      <c r="H2" s="719" t="n"/>
      <c r="I2" s="719" t="n"/>
      <c r="J2" s="719" t="n"/>
      <c r="K2" s="720" t="n"/>
      <c r="L2" s="719" t="n"/>
      <c r="M2" s="720" t="n"/>
      <c r="N2" s="721" t="n">
        <v>-8248</v>
      </c>
      <c r="O2" s="760" t="n"/>
      <c r="Q2" s="761" t="n"/>
      <c r="R2" s="230" t="inlineStr">
        <is>
          <t>98888分12期, 首期8248</t>
        </is>
      </c>
    </row>
    <row r="3" collapsed="1" ht="17.25" customHeight="1" thickBot="1">
      <c r="B3" s="273" t="inlineStr">
        <is>
          <t>3月總計</t>
        </is>
      </c>
      <c r="C3" s="274" t="n"/>
      <c r="D3" s="274" t="n"/>
      <c r="E3" s="274" t="n"/>
      <c r="F3" s="274" t="n"/>
      <c r="G3" s="274" t="n"/>
      <c r="H3" s="715" t="n"/>
      <c r="I3" s="715" t="n"/>
      <c r="J3" s="715" t="n"/>
      <c r="K3" s="716" t="n"/>
      <c r="L3" s="715" t="n"/>
      <c r="M3" s="750">
        <f>SUM(M2)</f>
        <v/>
      </c>
      <c r="N3" s="751">
        <f>SUM(N2)</f>
        <v/>
      </c>
      <c r="O3" s="762" t="n"/>
      <c r="P3" s="331" t="n"/>
      <c r="Q3" s="763" t="n"/>
      <c r="S3" s="739" t="n"/>
    </row>
    <row r="4" collapsed="1" ht="17.25" customHeight="1" thickBot="1">
      <c r="B4" s="718" t="n">
        <v>42829</v>
      </c>
      <c r="C4" s="292" t="n"/>
      <c r="D4" s="292" t="inlineStr">
        <is>
          <t>理財寶-阿水-布林通道</t>
        </is>
      </c>
      <c r="E4" s="292" t="n"/>
      <c r="F4" s="292" t="n"/>
      <c r="G4" s="292" t="n"/>
      <c r="H4" s="719" t="n"/>
      <c r="I4" s="719" t="n"/>
      <c r="J4" s="719" t="n"/>
      <c r="K4" s="720" t="n"/>
      <c r="L4" s="719" t="n"/>
      <c r="M4" s="720" t="n"/>
      <c r="N4" s="721" t="n">
        <v>-9299</v>
      </c>
      <c r="O4" s="760" t="n"/>
      <c r="Q4" s="761" t="n"/>
    </row>
    <row r="5" hidden="1" outlineLevel="1" ht="17.25" customHeight="1" thickBot="1">
      <c r="B5" s="740" t="n">
        <v>42839</v>
      </c>
      <c r="C5" s="299" t="inlineStr">
        <is>
          <t>FITX</t>
        </is>
      </c>
      <c r="D5" s="300" t="inlineStr">
        <is>
          <t>台指06</t>
        </is>
      </c>
      <c r="E5" s="300" t="inlineStr">
        <is>
          <t>新倉</t>
        </is>
      </c>
      <c r="F5" s="301" t="inlineStr">
        <is>
          <t>買</t>
        </is>
      </c>
      <c r="G5" s="300" t="inlineStr">
        <is>
          <t>-</t>
        </is>
      </c>
      <c r="H5" s="741" t="n">
        <v>1</v>
      </c>
      <c r="I5" s="741" t="n">
        <v>8761</v>
      </c>
      <c r="J5" s="741" t="n">
        <v>0</v>
      </c>
      <c r="K5" s="742" t="n">
        <v>100</v>
      </c>
      <c r="L5" s="742" t="n">
        <v>39</v>
      </c>
      <c r="M5" s="742">
        <f>IF(C5="TXO",J5-SUM(K5:L5),IF(C5="FITX",IF(E5="新倉",-SUM(K5:L5),IF(F5="賣",(I5-I4)*H5*200-SUM(K5:L5),(I4-I5)*H5*200-SUM(K5:L5))),IF(E5="新倉",-SUM(K5:L5),IF(F5="賣",(I5-I4)*H5*50-SUM(K5:L5),(I4-I5)*H5*50-SUM(K5:L5)))))</f>
        <v/>
      </c>
      <c r="N5" s="743">
        <f>M5</f>
        <v/>
      </c>
      <c r="O5" s="764">
        <f>IF(C5="TXO","",IF(E5="新倉","",IF(F5="賣",(I5-I4)*H5,(I4-I5)*H5)))</f>
        <v/>
      </c>
      <c r="P5" s="334">
        <f>ABS(J5)</f>
        <v/>
      </c>
      <c r="Q5" s="764">
        <f>SUM(M5:M8)</f>
        <v/>
      </c>
      <c r="S5" s="739" t="n"/>
      <c r="T5" s="61" t="n"/>
      <c r="U5" s="61" t="n"/>
      <c r="V5" s="61" t="n"/>
      <c r="W5" s="61" t="n"/>
      <c r="X5" s="61" t="n"/>
      <c r="Y5" s="61" t="n"/>
      <c r="Z5" s="61" t="n"/>
    </row>
    <row r="6" hidden="1" outlineLevel="2" ht="17.25" customHeight="1" thickBot="1">
      <c r="B6" s="740" t="n">
        <v>42839</v>
      </c>
      <c r="C6" s="299" t="inlineStr">
        <is>
          <t>FITX</t>
        </is>
      </c>
      <c r="D6" s="300" t="inlineStr">
        <is>
          <t>台指06</t>
        </is>
      </c>
      <c r="E6" s="300" t="inlineStr">
        <is>
          <t>平倉</t>
        </is>
      </c>
      <c r="F6" s="301" t="inlineStr">
        <is>
          <t>賣</t>
        </is>
      </c>
      <c r="G6" s="300" t="inlineStr">
        <is>
          <t>-</t>
        </is>
      </c>
      <c r="H6" s="741" t="n">
        <v>1</v>
      </c>
      <c r="I6" s="741" t="n">
        <v>8788</v>
      </c>
      <c r="J6" s="741" t="n">
        <v>0</v>
      </c>
      <c r="K6" s="742" t="n">
        <v>100</v>
      </c>
      <c r="L6" s="742" t="n">
        <v>39</v>
      </c>
      <c r="M6" s="742">
        <f>IF(C6="TXO",J6-SUM(K6:L6),IF(C6="FITX",IF(E6="新倉",-SUM(K6:L6),IF(F6="賣",(I6-I5)*H6*200-SUM(K6:L6),(I5-I6)*H6*200-SUM(K6:L6))),IF(E6="新倉",-SUM(K6:L6),IF(F6="賣",(I6-I5)*H6*50-SUM(K6:L6),(I5-I6)*H6*50-SUM(K6:L6)))))</f>
        <v/>
      </c>
      <c r="N6" s="743">
        <f>M6</f>
        <v/>
      </c>
      <c r="O6" s="764">
        <f>IF(C6="TXO","",IF(E6="新倉","",IF(F6="賣",(I6-I5)*H6,(I5-I6)*H6)))</f>
        <v/>
      </c>
      <c r="P6" s="334">
        <f>ABS(J6)</f>
        <v/>
      </c>
      <c r="Q6" s="764" t="n"/>
      <c r="S6" s="739" t="n"/>
      <c r="T6" s="61" t="n"/>
      <c r="U6" s="61" t="n"/>
      <c r="V6" s="61" t="n"/>
      <c r="W6" s="61" t="n"/>
      <c r="X6" s="61" t="n"/>
      <c r="Y6" s="61" t="n"/>
      <c r="Z6" s="61" t="n"/>
    </row>
    <row r="7" hidden="1" outlineLevel="2" ht="17.25" customHeight="1" thickBot="1">
      <c r="B7" s="740" t="n">
        <v>42839</v>
      </c>
      <c r="C7" s="299" t="inlineStr">
        <is>
          <t>FITX</t>
        </is>
      </c>
      <c r="D7" s="300" t="inlineStr">
        <is>
          <t>台指06</t>
        </is>
      </c>
      <c r="E7" s="300" t="inlineStr">
        <is>
          <t>新倉</t>
        </is>
      </c>
      <c r="F7" s="301" t="inlineStr">
        <is>
          <t>買</t>
        </is>
      </c>
      <c r="G7" s="300" t="inlineStr">
        <is>
          <t>-</t>
        </is>
      </c>
      <c r="H7" s="741" t="n">
        <v>1</v>
      </c>
      <c r="I7" s="741" t="n">
        <v>8778</v>
      </c>
      <c r="J7" s="741" t="n">
        <v>0</v>
      </c>
      <c r="K7" s="742" t="n">
        <v>100</v>
      </c>
      <c r="L7" s="742" t="n">
        <v>39</v>
      </c>
      <c r="M7" s="742">
        <f>IF(C7="TXO",J7-SUM(K7:L7),IF(C7="FITX",IF(E7="新倉",-SUM(K7:L7),IF(F7="賣",(I7-I6)*H7*200-SUM(K7:L7),(I6-I7)*H7*200-SUM(K7:L7))),IF(E7="新倉",-SUM(K7:L7),IF(F7="賣",(I7-I6)*H7*50-SUM(K7:L7),(I6-I7)*H7*50-SUM(K7:L7)))))</f>
        <v/>
      </c>
      <c r="N7" s="743">
        <f>M7</f>
        <v/>
      </c>
      <c r="O7" s="764">
        <f>IF(C7="TXO","",IF(E7="新倉","",IF(F7="賣",(I7-I6)*H7,(I6-I7)*H7)))</f>
        <v/>
      </c>
      <c r="P7" s="334">
        <f>ABS(J7)</f>
        <v/>
      </c>
      <c r="Q7" s="764" t="n"/>
      <c r="S7" s="739" t="n"/>
      <c r="T7" s="61" t="n"/>
      <c r="U7" s="61" t="n"/>
      <c r="V7" s="61" t="n"/>
      <c r="W7" s="61" t="n"/>
      <c r="X7" s="61" t="n"/>
      <c r="Y7" s="61" t="n"/>
      <c r="Z7" s="61" t="n"/>
    </row>
    <row r="8" hidden="1" outlineLevel="2" ht="17.25" customHeight="1" thickBot="1">
      <c r="B8" s="740" t="n">
        <v>42839</v>
      </c>
      <c r="C8" s="299" t="inlineStr">
        <is>
          <t>FITX</t>
        </is>
      </c>
      <c r="D8" s="300" t="inlineStr">
        <is>
          <t>台指06</t>
        </is>
      </c>
      <c r="E8" s="300" t="inlineStr">
        <is>
          <t>平倉</t>
        </is>
      </c>
      <c r="F8" s="301" t="inlineStr">
        <is>
          <t>賣</t>
        </is>
      </c>
      <c r="G8" s="300" t="inlineStr">
        <is>
          <t>-</t>
        </is>
      </c>
      <c r="H8" s="741" t="n">
        <v>1</v>
      </c>
      <c r="I8" s="741" t="n">
        <v>8781</v>
      </c>
      <c r="J8" s="741" t="n">
        <v>0</v>
      </c>
      <c r="K8" s="742" t="n">
        <v>100</v>
      </c>
      <c r="L8" s="742" t="n">
        <v>39</v>
      </c>
      <c r="M8" s="742">
        <f>IF(C8="TXO",J8-SUM(K8:L8),IF(C8="FITX",IF(E8="新倉",-SUM(K8:L8),IF(F8="賣",(I8-I7)*H8*200-SUM(K8:L8),(I7-I8)*H8*200-SUM(K8:L8))),IF(E8="新倉",-SUM(K8:L8),IF(F8="賣",(I8-I7)*H8*50-SUM(K8:L8),(I7-I8)*H8*50-SUM(K8:L8)))))</f>
        <v/>
      </c>
      <c r="N8" s="743">
        <f>M8</f>
        <v/>
      </c>
      <c r="O8" s="764">
        <f>IF(C8="TXO","",IF(E8="新倉","",IF(F8="賣",(I8-I7)*H8,(I7-I8)*H8)))</f>
        <v/>
      </c>
      <c r="P8" s="334">
        <f>ABS(J8)</f>
        <v/>
      </c>
      <c r="Q8" s="764" t="n"/>
      <c r="S8" s="739" t="n"/>
      <c r="T8" s="61" t="n"/>
      <c r="U8" s="61" t="n"/>
      <c r="V8" s="61" t="n"/>
      <c r="W8" s="61" t="n"/>
      <c r="X8" s="61" t="n"/>
      <c r="Y8" s="61" t="n"/>
      <c r="Z8" s="61" t="n"/>
    </row>
    <row r="9" hidden="1" outlineLevel="1" ht="17.25" customHeight="1" thickBot="1">
      <c r="B9" s="696" t="n">
        <v>42846</v>
      </c>
      <c r="C9" s="234" t="inlineStr">
        <is>
          <t>FITX</t>
        </is>
      </c>
      <c r="D9" s="229" t="inlineStr">
        <is>
          <t>台指06</t>
        </is>
      </c>
      <c r="E9" s="229" t="inlineStr">
        <is>
          <t>新倉</t>
        </is>
      </c>
      <c r="F9" s="229" t="inlineStr">
        <is>
          <t>買</t>
        </is>
      </c>
      <c r="G9" s="229" t="inlineStr">
        <is>
          <t>-</t>
        </is>
      </c>
      <c r="H9" s="697" t="n">
        <v>1</v>
      </c>
      <c r="I9" s="697" t="n">
        <v>8773</v>
      </c>
      <c r="J9" s="697" t="n">
        <v>0</v>
      </c>
      <c r="K9" s="585" t="n">
        <v>100</v>
      </c>
      <c r="L9" s="749" t="n">
        <v>39</v>
      </c>
      <c r="M9" s="585">
        <f>IF(C9="TXO",J9-SUM(K9:L9),IF(C9="FITX",IF(E9="新倉",-SUM(K9:L9),IF(F9="賣",(I9-I8)*H9*200-SUM(K9:L9),(I8-I9)*H9*200-SUM(K9:L9))),IF(E9="新倉",-SUM(K9:L9),IF(F9="賣",(I9-I8)*H9*50-SUM(K9:L9),(I8-I9)*H9*50-SUM(K9:L9)))))</f>
        <v/>
      </c>
      <c r="N9" s="699">
        <f>M9</f>
        <v/>
      </c>
      <c r="O9" s="686">
        <f>IF(C9="TXO","",IF(E9="新倉","",IF(F9="賣",(I9-I8)*H9,(I8-I9)*H9)))</f>
        <v/>
      </c>
      <c r="P9" s="226">
        <f>ABS(J9)</f>
        <v/>
      </c>
      <c r="Q9" s="667">
        <f>SUM(M9:M10)</f>
        <v/>
      </c>
      <c r="S9" s="739" t="n"/>
    </row>
    <row r="10" hidden="1" outlineLevel="1" ht="17.25" customHeight="1" thickBot="1">
      <c r="B10" s="696" t="n">
        <v>42846</v>
      </c>
      <c r="C10" s="234" t="inlineStr">
        <is>
          <t>FITX</t>
        </is>
      </c>
      <c r="D10" s="229" t="inlineStr">
        <is>
          <t>台指06</t>
        </is>
      </c>
      <c r="E10" s="229" t="inlineStr">
        <is>
          <t>平倉</t>
        </is>
      </c>
      <c r="F10" s="229" t="inlineStr">
        <is>
          <t>賣</t>
        </is>
      </c>
      <c r="G10" s="229" t="inlineStr">
        <is>
          <t>-</t>
        </is>
      </c>
      <c r="H10" s="697" t="n">
        <v>1</v>
      </c>
      <c r="I10" s="697" t="n">
        <v>8781</v>
      </c>
      <c r="J10" s="697" t="n">
        <v>0</v>
      </c>
      <c r="K10" s="585" t="n">
        <v>100</v>
      </c>
      <c r="L10" s="749" t="n">
        <v>39</v>
      </c>
      <c r="M10" s="585">
        <f>IF(C10="TXO",J10-SUM(K10:L10),IF(C10="FITX",IF(E10="新倉",-SUM(K10:L10),IF(F10="賣",(I10-I9)*H10*200-SUM(K10:L10),(I9-I10)*H10*200-SUM(K10:L10))),IF(E10="新倉",-SUM(K10:L10),IF(F10="賣",(I10-I9)*H10*50-SUM(K10:L10),(I9-I10)*H10*50-SUM(K10:L10)))))</f>
        <v/>
      </c>
      <c r="N10" s="699">
        <f>M10</f>
        <v/>
      </c>
      <c r="O10" s="686">
        <f>IF(C10="TXO","",IF(E10="新倉","",IF(F10="賣",(I10-I9)*H10,(I9-I10)*H10)))</f>
        <v/>
      </c>
      <c r="P10" s="226">
        <f>ABS(J10)</f>
        <v/>
      </c>
      <c r="Q10" s="667" t="n"/>
      <c r="S10" s="739" t="n"/>
    </row>
    <row r="11" hidden="1" outlineLevel="1" ht="17.25" customHeight="1" thickBot="1">
      <c r="B11" s="740" t="n">
        <v>42853</v>
      </c>
      <c r="C11" s="299" t="inlineStr">
        <is>
          <t>FIMTX</t>
        </is>
      </c>
      <c r="D11" s="300" t="inlineStr">
        <is>
          <t>小指05</t>
        </is>
      </c>
      <c r="E11" s="300" t="inlineStr">
        <is>
          <t>新倉</t>
        </is>
      </c>
      <c r="F11" s="301" t="inlineStr">
        <is>
          <t>買</t>
        </is>
      </c>
      <c r="G11" s="300" t="inlineStr">
        <is>
          <t>-</t>
        </is>
      </c>
      <c r="H11" s="741" t="n">
        <v>1</v>
      </c>
      <c r="I11" s="741" t="n">
        <v>8844</v>
      </c>
      <c r="J11" s="741" t="n">
        <v>0</v>
      </c>
      <c r="K11" s="742" t="n">
        <v>60</v>
      </c>
      <c r="L11" s="742" t="n">
        <v>10</v>
      </c>
      <c r="M11" s="742">
        <f>IF(C11="TXO",J11-SUM(K11:L11),IF(C11="FITX",IF(E11="新倉",-SUM(K11:L11),IF(F11="賣",(I11-I10)*H11*200-SUM(K11:L11),(I10-I11)*H11*200-SUM(K11:L11))),IF(E11="新倉",-SUM(K11:L11),IF(F11="賣",(I11-I10)*H11*50-SUM(K11:L11),(I10-I11)*H11*50-SUM(K11:L11)))))</f>
        <v/>
      </c>
      <c r="N11" s="743">
        <f>M11</f>
        <v/>
      </c>
      <c r="O11" s="764">
        <f>IF(C11="TXO","",IF(E11="新倉","",IF(F11="賣",(I11-I10)*H11,(I10-I11)*H11)))</f>
        <v/>
      </c>
      <c r="P11" s="334">
        <f>ABS(J11)</f>
        <v/>
      </c>
      <c r="Q11" s="764">
        <f>SUM(M11:M14)</f>
        <v/>
      </c>
      <c r="S11" s="739" t="n"/>
      <c r="T11" s="61" t="n"/>
      <c r="U11" s="61" t="n"/>
      <c r="V11" s="61" t="n"/>
      <c r="W11" s="61" t="n"/>
      <c r="X11" s="61" t="n"/>
      <c r="Y11" s="61" t="n"/>
      <c r="Z11" s="61" t="n"/>
    </row>
    <row r="12" hidden="1" outlineLevel="2" ht="17.25" customHeight="1" thickBot="1">
      <c r="B12" s="740" t="n">
        <v>42853</v>
      </c>
      <c r="C12" s="299" t="inlineStr">
        <is>
          <t>FIMTX</t>
        </is>
      </c>
      <c r="D12" s="300" t="inlineStr">
        <is>
          <t>小指05</t>
        </is>
      </c>
      <c r="E12" s="300" t="inlineStr">
        <is>
          <t>平倉</t>
        </is>
      </c>
      <c r="F12" s="301" t="inlineStr">
        <is>
          <t>賣</t>
        </is>
      </c>
      <c r="G12" s="300" t="inlineStr">
        <is>
          <t>-</t>
        </is>
      </c>
      <c r="H12" s="741" t="n">
        <v>1</v>
      </c>
      <c r="I12" s="741" t="n">
        <v>8839</v>
      </c>
      <c r="J12" s="741" t="n">
        <v>0</v>
      </c>
      <c r="K12" s="742" t="n">
        <v>60</v>
      </c>
      <c r="L12" s="742" t="n">
        <v>10</v>
      </c>
      <c r="M12" s="742">
        <f>IF(C12="TXO",J12-SUM(K12:L12),IF(C12="FITX",IF(E12="新倉",-SUM(K12:L12),IF(F12="賣",(I12-I11)*H12*200-SUM(K12:L12),(I11-I12)*H12*200-SUM(K12:L12))),IF(E12="新倉",-SUM(K12:L12),IF(F12="賣",(I12-I11)*H12*50-SUM(K12:L12),(I11-I12)*H12*50-SUM(K12:L12)))))</f>
        <v/>
      </c>
      <c r="N12" s="743">
        <f>M12</f>
        <v/>
      </c>
      <c r="O12" s="764">
        <f>IF(C12="TXO","",IF(E12="新倉","",IF(F12="賣",(I12-I11)*H12,(I11-I12)*H12)))</f>
        <v/>
      </c>
      <c r="P12" s="334">
        <f>ABS(J12)</f>
        <v/>
      </c>
      <c r="Q12" s="764" t="n"/>
      <c r="S12" s="739" t="n"/>
      <c r="T12" s="61" t="n"/>
      <c r="U12" s="61" t="n"/>
      <c r="V12" s="61" t="n"/>
      <c r="W12" s="61" t="n"/>
      <c r="X12" s="61" t="n"/>
      <c r="Y12" s="61" t="n"/>
      <c r="Z12" s="61" t="n"/>
    </row>
    <row r="13" hidden="1" outlineLevel="2" ht="17.25" customHeight="1" thickBot="1">
      <c r="B13" s="740" t="n">
        <v>42853</v>
      </c>
      <c r="C13" s="299" t="inlineStr">
        <is>
          <t>FIMTX</t>
        </is>
      </c>
      <c r="D13" s="300" t="inlineStr">
        <is>
          <t>小指05</t>
        </is>
      </c>
      <c r="E13" s="300" t="inlineStr">
        <is>
          <t>新倉</t>
        </is>
      </c>
      <c r="F13" s="301" t="inlineStr">
        <is>
          <t>買</t>
        </is>
      </c>
      <c r="G13" s="300" t="inlineStr">
        <is>
          <t>-</t>
        </is>
      </c>
      <c r="H13" s="741" t="n">
        <v>1</v>
      </c>
      <c r="I13" s="741" t="n">
        <v>9847</v>
      </c>
      <c r="J13" s="741" t="n">
        <v>0</v>
      </c>
      <c r="K13" s="742" t="n">
        <v>60</v>
      </c>
      <c r="L13" s="742" t="n">
        <v>10</v>
      </c>
      <c r="M13" s="742">
        <f>IF(C13="TXO",J13-SUM(K13:L13),IF(C13="FITX",IF(E13="新倉",-SUM(K13:L13),IF(F13="賣",(I13-I12)*H13*200-SUM(K13:L13),(I12-I13)*H13*200-SUM(K13:L13))),IF(E13="新倉",-SUM(K13:L13),IF(F13="賣",(I13-I12)*H13*50-SUM(K13:L13),(I12-I13)*H13*50-SUM(K13:L13)))))</f>
        <v/>
      </c>
      <c r="N13" s="743">
        <f>M13</f>
        <v/>
      </c>
      <c r="O13" s="764">
        <f>IF(C13="TXO","",IF(E13="新倉","",IF(F13="賣",(I13-I12)*H13,(I12-I13)*H13)))</f>
        <v/>
      </c>
      <c r="P13" s="334">
        <f>ABS(J13)</f>
        <v/>
      </c>
      <c r="Q13" s="764" t="n"/>
      <c r="S13" s="739" t="n"/>
      <c r="T13" s="61" t="n"/>
      <c r="U13" s="61" t="n"/>
      <c r="V13" s="61" t="n"/>
      <c r="W13" s="61" t="n"/>
      <c r="X13" s="61" t="n"/>
      <c r="Y13" s="61" t="n"/>
      <c r="Z13" s="61" t="n"/>
    </row>
    <row r="14" hidden="1" outlineLevel="2" ht="17.25" customHeight="1" thickBot="1">
      <c r="B14" s="740" t="n">
        <v>42853</v>
      </c>
      <c r="C14" s="299" t="inlineStr">
        <is>
          <t>FIMTX</t>
        </is>
      </c>
      <c r="D14" s="300" t="inlineStr">
        <is>
          <t>小指05</t>
        </is>
      </c>
      <c r="E14" s="300" t="inlineStr">
        <is>
          <t>平倉</t>
        </is>
      </c>
      <c r="F14" s="301" t="inlineStr">
        <is>
          <t>賣</t>
        </is>
      </c>
      <c r="G14" s="300" t="inlineStr">
        <is>
          <t>-</t>
        </is>
      </c>
      <c r="H14" s="741" t="n">
        <v>1</v>
      </c>
      <c r="I14" s="741" t="n">
        <v>9844</v>
      </c>
      <c r="J14" s="741" t="n">
        <v>0</v>
      </c>
      <c r="K14" s="742" t="n">
        <v>60</v>
      </c>
      <c r="L14" s="742" t="n">
        <v>10</v>
      </c>
      <c r="M14" s="742">
        <f>IF(C14="TXO",J14-SUM(K14:L14),IF(C14="FITX",IF(E14="新倉",-SUM(K14:L14),IF(F14="賣",(I14-I13)*H14*200-SUM(K14:L14),(I13-I14)*H14*200-SUM(K14:L14))),IF(E14="新倉",-SUM(K14:L14),IF(F14="賣",(I14-I13)*H14*50-SUM(K14:L14),(I13-I14)*H14*50-SUM(K14:L14)))))</f>
        <v/>
      </c>
      <c r="N14" s="743">
        <f>M14</f>
        <v/>
      </c>
      <c r="O14" s="764">
        <f>IF(C14="TXO","",IF(E14="新倉","",IF(F14="賣",(I14-I13)*H14,(I13-I14)*H14)))</f>
        <v/>
      </c>
      <c r="P14" s="334">
        <f>ABS(J14)</f>
        <v/>
      </c>
      <c r="Q14" s="764" t="n"/>
      <c r="S14" s="739" t="n"/>
      <c r="T14" s="61" t="n"/>
      <c r="U14" s="61" t="n"/>
      <c r="V14" s="61" t="n"/>
      <c r="W14" s="61" t="n"/>
      <c r="X14" s="61" t="n"/>
      <c r="Y14" s="61" t="n"/>
      <c r="Z14" s="61" t="n"/>
    </row>
    <row r="15" ht="17.25" customHeight="1" thickBot="1">
      <c r="B15" s="718" t="n">
        <v>42847</v>
      </c>
      <c r="C15" s="292" t="n"/>
      <c r="D15" s="292" t="inlineStr">
        <is>
          <t>阿水財經三班</t>
        </is>
      </c>
      <c r="E15" s="292" t="n"/>
      <c r="F15" s="292" t="n"/>
      <c r="G15" s="292" t="n"/>
      <c r="H15" s="719" t="n"/>
      <c r="I15" s="719" t="n"/>
      <c r="J15" s="719" t="n"/>
      <c r="K15" s="720" t="n"/>
      <c r="L15" s="719" t="n"/>
      <c r="M15" s="720" t="n"/>
      <c r="N15" s="721" t="n">
        <v>-8240</v>
      </c>
      <c r="O15" s="760" t="n"/>
      <c r="Q15" s="761" t="n"/>
      <c r="R15" s="230" t="inlineStr">
        <is>
          <t>98888分12期, 每期8240</t>
        </is>
      </c>
      <c r="S15" s="739" t="n"/>
    </row>
    <row r="16" collapsed="1" ht="17.25" customHeight="1" thickBot="1">
      <c r="B16" s="273" t="inlineStr">
        <is>
          <t>4月總計</t>
        </is>
      </c>
      <c r="C16" s="274" t="n"/>
      <c r="D16" s="274" t="n"/>
      <c r="E16" s="274" t="n"/>
      <c r="F16" s="274" t="n"/>
      <c r="G16" s="274" t="n"/>
      <c r="H16" s="715" t="n"/>
      <c r="I16" s="715" t="n"/>
      <c r="J16" s="715" t="n"/>
      <c r="K16" s="716" t="n"/>
      <c r="L16" s="715" t="n"/>
      <c r="M16" s="750">
        <f>SUM(M4:M15)</f>
        <v/>
      </c>
      <c r="N16" s="751">
        <f>SUM(N4:N15)</f>
        <v/>
      </c>
      <c r="O16" s="762" t="n"/>
      <c r="P16" s="331" t="n"/>
      <c r="Q16" s="763" t="n"/>
      <c r="S16" s="739" t="n"/>
    </row>
    <row r="17" collapsed="1" ht="17.25" customHeight="1" thickBot="1">
      <c r="B17" s="718" t="n">
        <v>42857</v>
      </c>
      <c r="C17" s="292" t="n"/>
      <c r="D17" s="292" t="inlineStr">
        <is>
          <t>【3M】13吋防窺片</t>
        </is>
      </c>
      <c r="E17" s="292" t="n"/>
      <c r="F17" s="292" t="n"/>
      <c r="G17" s="292" t="n"/>
      <c r="H17" s="719" t="n"/>
      <c r="I17" s="719" t="n"/>
      <c r="J17" s="719" t="n"/>
      <c r="K17" s="720" t="n"/>
      <c r="L17" s="719" t="n"/>
      <c r="M17" s="720" t="n"/>
      <c r="N17" s="721" t="n">
        <v>-415</v>
      </c>
      <c r="O17" s="760" t="n"/>
      <c r="Q17" s="761" t="n"/>
      <c r="R17" s="230" t="inlineStr">
        <is>
          <t>1241分3期, 首期415</t>
        </is>
      </c>
      <c r="S17" s="739" t="n"/>
    </row>
    <row r="18" hidden="1" outlineLevel="1" ht="17.25" customHeight="1" thickBot="1">
      <c r="B18" s="696" t="n">
        <v>42859</v>
      </c>
      <c r="C18" s="234" t="inlineStr">
        <is>
          <t>FITX</t>
        </is>
      </c>
      <c r="D18" s="229" t="inlineStr">
        <is>
          <t>台指06</t>
        </is>
      </c>
      <c r="E18" s="229" t="inlineStr">
        <is>
          <t>新倉</t>
        </is>
      </c>
      <c r="F18" s="229" t="inlineStr">
        <is>
          <t>賣</t>
        </is>
      </c>
      <c r="G18" s="229" t="inlineStr">
        <is>
          <t>-</t>
        </is>
      </c>
      <c r="H18" s="697" t="n">
        <v>1</v>
      </c>
      <c r="I18" s="697" t="n">
        <v>9931</v>
      </c>
      <c r="J18" s="697" t="n">
        <v>0</v>
      </c>
      <c r="K18" s="585" t="n">
        <v>100</v>
      </c>
      <c r="L18" s="749" t="n">
        <v>40</v>
      </c>
      <c r="M18" s="585">
        <f>IF(C18="TXO",J18-SUM(K18:L18),IF(C18="FITX",IF(E18="新倉",-SUM(K18:L18),IF(F18="賣",(I18-I17)*H18*200-SUM(K18:L18),(I17-I18)*H18*200-SUM(K18:L18))),IF(E18="新倉",-SUM(K18:L18),IF(F18="賣",(I18-I17)*H18*50-SUM(K18:L18),(I17-I18)*H18*50-SUM(K18:L18)))))</f>
        <v/>
      </c>
      <c r="N18" s="699">
        <f>M18</f>
        <v/>
      </c>
      <c r="O18" s="686">
        <f>IF(C18="TXO","",IF(E18="新倉","",IF(F18="賣",(I18-I17)*H18,(I17-I18)*H18)))</f>
        <v/>
      </c>
      <c r="P18" s="226">
        <f>ABS(J18)</f>
        <v/>
      </c>
      <c r="Q18" s="667" t="n"/>
      <c r="S18" s="739" t="n"/>
    </row>
    <row r="19" hidden="1" outlineLevel="1" ht="17.25" customHeight="1" thickBot="1">
      <c r="B19" s="696" t="n">
        <v>42859</v>
      </c>
      <c r="C19" s="234" t="inlineStr">
        <is>
          <t>FITX</t>
        </is>
      </c>
      <c r="D19" s="229" t="inlineStr">
        <is>
          <t>台指06</t>
        </is>
      </c>
      <c r="E19" s="229" t="inlineStr">
        <is>
          <t>平倉</t>
        </is>
      </c>
      <c r="F19" s="229" t="inlineStr">
        <is>
          <t>買</t>
        </is>
      </c>
      <c r="G19" s="229" t="inlineStr">
        <is>
          <t>-</t>
        </is>
      </c>
      <c r="H19" s="697" t="n">
        <v>1</v>
      </c>
      <c r="I19" s="697" t="n">
        <v>9930</v>
      </c>
      <c r="J19" s="697" t="n">
        <v>0</v>
      </c>
      <c r="K19" s="585" t="n">
        <v>100</v>
      </c>
      <c r="L19" s="585" t="n">
        <v>40</v>
      </c>
      <c r="M19" s="585">
        <f>IF(C19="TXO",J19-SUM(K19:L19),IF(C19="FITX",IF(E19="新倉",-SUM(K19:L19),IF(F19="賣",(I19-I18)*H19*200-SUM(K19:L19),(I18-I19)*H19*200-SUM(K19:L19))),IF(E19="新倉",-SUM(K19:L19),IF(F19="賣",(I19-I18)*H19*50-SUM(K19:L19),(I18-I19)*H19*50-SUM(K19:L19)))))</f>
        <v/>
      </c>
      <c r="N19" s="699">
        <f>M19</f>
        <v/>
      </c>
      <c r="O19" s="686">
        <f>IF(C19="TXO","",IF(E19="新倉","",IF(F19="賣",(I19-I18)*H19,(I18-I19)*H19)))</f>
        <v/>
      </c>
      <c r="P19" s="226">
        <f>ABS(J19)</f>
        <v/>
      </c>
      <c r="Q19" s="667" t="n"/>
      <c r="S19" s="739" t="n"/>
      <c r="T19" s="61" t="n"/>
      <c r="U19" s="61" t="n"/>
      <c r="V19" s="61" t="n"/>
      <c r="W19" s="61" t="n"/>
      <c r="X19" s="61" t="n"/>
      <c r="Y19" s="61" t="n"/>
      <c r="Z19" s="61" t="n"/>
    </row>
    <row r="20" hidden="1" outlineLevel="1" ht="17.25" customHeight="1" thickBot="1">
      <c r="B20" s="740" t="n">
        <v>42860</v>
      </c>
      <c r="C20" s="299" t="inlineStr">
        <is>
          <t>FITX</t>
        </is>
      </c>
      <c r="D20" s="300" t="inlineStr">
        <is>
          <t>台指06</t>
        </is>
      </c>
      <c r="E20" s="300" t="inlineStr">
        <is>
          <t>新倉</t>
        </is>
      </c>
      <c r="F20" s="301" t="inlineStr">
        <is>
          <t>賣</t>
        </is>
      </c>
      <c r="G20" s="300" t="inlineStr">
        <is>
          <t>-</t>
        </is>
      </c>
      <c r="H20" s="741" t="n">
        <v>1</v>
      </c>
      <c r="I20" s="741" t="n">
        <v>9939</v>
      </c>
      <c r="J20" s="741" t="n">
        <v>0</v>
      </c>
      <c r="K20" s="742" t="n">
        <v>100</v>
      </c>
      <c r="L20" s="742" t="n">
        <v>40</v>
      </c>
      <c r="M20" s="742">
        <f>IF(C20="TXO",J20-SUM(K20:L20),IF(C20="FITX",IF(E20="新倉",-SUM(K20:L20),IF(F20="賣",(I20-I19)*H20*200-SUM(K20:L20),(I19-I20)*H20*200-SUM(K20:L20))),IF(E20="新倉",-SUM(K20:L20),IF(F20="賣",(I20-I19)*H20*50-SUM(K20:L20),(I19-I20)*H20*50-SUM(K20:L20)))))</f>
        <v/>
      </c>
      <c r="N20" s="743">
        <f>M20</f>
        <v/>
      </c>
      <c r="O20" s="764">
        <f>IF(C20="TXO","",IF(E20="新倉","",IF(F20="賣",(I20-I19)*H20,(I19-I20)*H20)))</f>
        <v/>
      </c>
      <c r="P20" s="334">
        <f>ABS(J20)</f>
        <v/>
      </c>
      <c r="Q20" s="764" t="n"/>
      <c r="S20" s="739" t="n"/>
      <c r="T20" s="61" t="n"/>
      <c r="U20" s="61" t="n"/>
      <c r="V20" s="61" t="n"/>
      <c r="W20" s="61" t="n"/>
      <c r="X20" s="61" t="n"/>
      <c r="Y20" s="61" t="n"/>
      <c r="Z20" s="61" t="n"/>
    </row>
    <row r="21" hidden="1" outlineLevel="2" collapsed="1" ht="17.25" customHeight="1" thickBot="1">
      <c r="B21" s="740" t="n">
        <v>42860</v>
      </c>
      <c r="C21" s="299" t="inlineStr">
        <is>
          <t>FITX</t>
        </is>
      </c>
      <c r="D21" s="300" t="inlineStr">
        <is>
          <t>台指06</t>
        </is>
      </c>
      <c r="E21" s="300" t="inlineStr">
        <is>
          <t>平倉</t>
        </is>
      </c>
      <c r="F21" s="301" t="inlineStr">
        <is>
          <t>買</t>
        </is>
      </c>
      <c r="G21" s="300" t="inlineStr">
        <is>
          <t>-</t>
        </is>
      </c>
      <c r="H21" s="741" t="n">
        <v>1</v>
      </c>
      <c r="I21" s="741" t="n">
        <v>9934</v>
      </c>
      <c r="J21" s="741" t="n">
        <v>0</v>
      </c>
      <c r="K21" s="742" t="n">
        <v>100</v>
      </c>
      <c r="L21" s="742" t="n">
        <v>40</v>
      </c>
      <c r="M21" s="742">
        <f>IF(C21="TXO",J21-SUM(K21:L21),IF(C21="FITX",IF(E21="新倉",-SUM(K21:L21),IF(F21="賣",(I21-I20)*H21*200-SUM(K21:L21),(I20-I21)*H21*200-SUM(K21:L21))),IF(E21="新倉",-SUM(K21:L21),IF(F21="賣",(I21-I20)*H21*50-SUM(K21:L21),(I20-I21)*H21*50-SUM(K21:L21)))))</f>
        <v/>
      </c>
      <c r="N21" s="743">
        <f>M21</f>
        <v/>
      </c>
      <c r="O21" s="764">
        <f>IF(C21="TXO","",IF(E21="新倉","",IF(F21="賣",(I21-I20)*H21,(I20-I21)*H21)))</f>
        <v/>
      </c>
      <c r="P21" s="334">
        <f>ABS(J21)</f>
        <v/>
      </c>
      <c r="Q21" s="764" t="n"/>
      <c r="S21" s="739" t="n"/>
      <c r="T21" s="61" t="n"/>
      <c r="U21" s="61" t="n"/>
      <c r="V21" s="61" t="n"/>
      <c r="W21" s="61" t="n"/>
      <c r="X21" s="61" t="n"/>
      <c r="Y21" s="61" t="n"/>
      <c r="Z21" s="61" t="n"/>
    </row>
    <row r="22" hidden="1" outlineLevel="2" collapsed="1" ht="17.25" customHeight="1" thickBot="1">
      <c r="B22" s="740" t="n">
        <v>42860</v>
      </c>
      <c r="C22" s="299" t="inlineStr">
        <is>
          <t>FITX</t>
        </is>
      </c>
      <c r="D22" s="300" t="inlineStr">
        <is>
          <t>台指06</t>
        </is>
      </c>
      <c r="E22" s="300" t="inlineStr">
        <is>
          <t>新倉</t>
        </is>
      </c>
      <c r="F22" s="301" t="inlineStr">
        <is>
          <t>賣</t>
        </is>
      </c>
      <c r="G22" s="300" t="inlineStr">
        <is>
          <t>-</t>
        </is>
      </c>
      <c r="H22" s="741" t="n">
        <v>1</v>
      </c>
      <c r="I22" s="741" t="n">
        <v>9932</v>
      </c>
      <c r="J22" s="741" t="n">
        <v>0</v>
      </c>
      <c r="K22" s="742" t="n">
        <v>100</v>
      </c>
      <c r="L22" s="742" t="n">
        <v>40</v>
      </c>
      <c r="M22" s="742">
        <f>IF(C22="TXO",J22-SUM(K22:L22),IF(C22="FITX",IF(E22="新倉",-SUM(K22:L22),IF(F22="賣",(I22-I21)*H22*200-SUM(K22:L22),(I21-I22)*H22*200-SUM(K22:L22))),IF(E22="新倉",-SUM(K22:L22),IF(F22="賣",(I22-I21)*H22*50-SUM(K22:L22),(I21-I22)*H22*50-SUM(K22:L22)))))</f>
        <v/>
      </c>
      <c r="N22" s="743">
        <f>M22</f>
        <v/>
      </c>
      <c r="O22" s="764">
        <f>IF(C22="TXO","",IF(E22="新倉","",IF(F22="賣",(I22-I21)*H22,(I21-I22)*H22)))</f>
        <v/>
      </c>
      <c r="P22" s="334">
        <f>ABS(J22)</f>
        <v/>
      </c>
      <c r="Q22" s="764" t="n"/>
      <c r="S22" s="739" t="n"/>
      <c r="T22" s="61" t="n"/>
      <c r="U22" s="61" t="n"/>
      <c r="V22" s="61" t="n"/>
      <c r="W22" s="61" t="n"/>
      <c r="X22" s="61" t="n"/>
      <c r="Y22" s="61" t="n"/>
      <c r="Z22" s="61" t="n"/>
    </row>
    <row r="23" hidden="1" outlineLevel="2" collapsed="1" ht="17.25" customHeight="1" thickBot="1">
      <c r="B23" s="740" t="n">
        <v>42860</v>
      </c>
      <c r="C23" s="299" t="inlineStr">
        <is>
          <t>FITX</t>
        </is>
      </c>
      <c r="D23" s="300" t="inlineStr">
        <is>
          <t>台指06</t>
        </is>
      </c>
      <c r="E23" s="300" t="inlineStr">
        <is>
          <t>平倉</t>
        </is>
      </c>
      <c r="F23" s="301" t="inlineStr">
        <is>
          <t>買</t>
        </is>
      </c>
      <c r="G23" s="300" t="inlineStr">
        <is>
          <t>-</t>
        </is>
      </c>
      <c r="H23" s="741" t="n">
        <v>1</v>
      </c>
      <c r="I23" s="741" t="n">
        <v>9937</v>
      </c>
      <c r="J23" s="741" t="n">
        <v>0</v>
      </c>
      <c r="K23" s="742" t="n">
        <v>100</v>
      </c>
      <c r="L23" s="742" t="n">
        <v>40</v>
      </c>
      <c r="M23" s="742">
        <f>IF(C23="TXO",J23-SUM(K23:L23),IF(C23="FITX",IF(E23="新倉",-SUM(K23:L23),IF(F23="賣",(I23-I22)*H23*200-SUM(K23:L23),(I22-I23)*H23*200-SUM(K23:L23))),IF(E23="新倉",-SUM(K23:L23),IF(F23="賣",(I23-I22)*H23*50-SUM(K23:L23),(I22-I23)*H23*50-SUM(K23:L23)))))</f>
        <v/>
      </c>
      <c r="N23" s="743">
        <f>M23</f>
        <v/>
      </c>
      <c r="O23" s="764">
        <f>IF(C23="TXO","",IF(E23="新倉","",IF(F23="賣",(I23-I22)*H23,(I22-I23)*H23)))</f>
        <v/>
      </c>
      <c r="P23" s="334">
        <f>ABS(J23)</f>
        <v/>
      </c>
      <c r="Q23" s="764" t="n"/>
      <c r="S23" s="739" t="n"/>
      <c r="T23" s="61" t="n"/>
      <c r="U23" s="61" t="n"/>
      <c r="V23" s="61" t="n"/>
      <c r="W23" s="61" t="n"/>
      <c r="X23" s="61" t="n"/>
      <c r="Y23" s="61" t="n"/>
      <c r="Z23" s="61" t="n"/>
    </row>
    <row r="24" hidden="1" outlineLevel="2" collapsed="1" ht="17.25" customHeight="1" thickBot="1">
      <c r="B24" s="740" t="n">
        <v>42860</v>
      </c>
      <c r="C24" s="299" t="inlineStr">
        <is>
          <t>FITX</t>
        </is>
      </c>
      <c r="D24" s="300" t="inlineStr">
        <is>
          <t>台指06</t>
        </is>
      </c>
      <c r="E24" s="300" t="inlineStr">
        <is>
          <t>新倉</t>
        </is>
      </c>
      <c r="F24" s="301" t="inlineStr">
        <is>
          <t>賣</t>
        </is>
      </c>
      <c r="G24" s="300" t="inlineStr">
        <is>
          <t>-</t>
        </is>
      </c>
      <c r="H24" s="741" t="n">
        <v>1</v>
      </c>
      <c r="I24" s="741" t="n">
        <v>9935</v>
      </c>
      <c r="J24" s="741" t="n">
        <v>0</v>
      </c>
      <c r="K24" s="742" t="n">
        <v>100</v>
      </c>
      <c r="L24" s="742" t="n">
        <v>40</v>
      </c>
      <c r="M24" s="742">
        <f>IF(C24="TXO",J24-SUM(K24:L24),IF(C24="FITX",IF(E24="新倉",-SUM(K24:L24),IF(F24="賣",(I24-I23)*H24*200-SUM(K24:L24),(I23-I24)*H24*200-SUM(K24:L24))),IF(E24="新倉",-SUM(K24:L24),IF(F24="賣",(I24-I23)*H24*50-SUM(K24:L24),(I23-I24)*H24*50-SUM(K24:L24)))))</f>
        <v/>
      </c>
      <c r="N24" s="743">
        <f>M24</f>
        <v/>
      </c>
      <c r="O24" s="764">
        <f>IF(C24="TXO","",IF(E24="新倉","",IF(F24="賣",(I24-I23)*H24,(I23-I24)*H24)))</f>
        <v/>
      </c>
      <c r="P24" s="334">
        <f>ABS(J24)</f>
        <v/>
      </c>
      <c r="Q24" s="764" t="n"/>
      <c r="S24" s="739" t="n"/>
      <c r="T24" s="61" t="n"/>
      <c r="U24" s="61" t="n"/>
      <c r="V24" s="61" t="n"/>
      <c r="W24" s="61" t="n"/>
      <c r="X24" s="61" t="n"/>
      <c r="Y24" s="61" t="n"/>
      <c r="Z24" s="61" t="n"/>
    </row>
    <row r="25" hidden="1" outlineLevel="2" collapsed="1" ht="17.25" customHeight="1" thickBot="1">
      <c r="B25" s="740" t="n">
        <v>42860</v>
      </c>
      <c r="C25" s="299" t="inlineStr">
        <is>
          <t>FITX</t>
        </is>
      </c>
      <c r="D25" s="300" t="inlineStr">
        <is>
          <t>台指06</t>
        </is>
      </c>
      <c r="E25" s="300" t="inlineStr">
        <is>
          <t>平倉</t>
        </is>
      </c>
      <c r="F25" s="301" t="inlineStr">
        <is>
          <t>買</t>
        </is>
      </c>
      <c r="G25" s="300" t="inlineStr">
        <is>
          <t>-</t>
        </is>
      </c>
      <c r="H25" s="741" t="n">
        <v>1</v>
      </c>
      <c r="I25" s="741" t="n">
        <v>9935</v>
      </c>
      <c r="J25" s="741" t="n">
        <v>0</v>
      </c>
      <c r="K25" s="742" t="n">
        <v>100</v>
      </c>
      <c r="L25" s="742" t="n">
        <v>40</v>
      </c>
      <c r="M25" s="742">
        <f>IF(C25="TXO",J25-SUM(K25:L25),IF(C25="FITX",IF(E25="新倉",-SUM(K25:L25),IF(F25="賣",(I25-I24)*H25*200-SUM(K25:L25),(I24-I25)*H25*200-SUM(K25:L25))),IF(E25="新倉",-SUM(K25:L25),IF(F25="賣",(I25-I24)*H25*50-SUM(K25:L25),(I24-I25)*H25*50-SUM(K25:L25)))))</f>
        <v/>
      </c>
      <c r="N25" s="743">
        <f>M25</f>
        <v/>
      </c>
      <c r="O25" s="764">
        <f>IF(C25="TXO","",IF(E25="新倉","",IF(F25="賣",(I25-I24)*H25,(I24-I25)*H25)))</f>
        <v/>
      </c>
      <c r="P25" s="334">
        <f>ABS(J25)</f>
        <v/>
      </c>
      <c r="Q25" s="764" t="n"/>
      <c r="S25" s="739" t="n"/>
      <c r="T25" s="61" t="n"/>
      <c r="U25" s="61" t="n"/>
      <c r="V25" s="61" t="n"/>
      <c r="W25" s="61" t="n"/>
      <c r="X25" s="61" t="n"/>
      <c r="Y25" s="61" t="n"/>
      <c r="Z25" s="61" t="n"/>
    </row>
    <row r="26" hidden="1" outlineLevel="2" collapsed="1" ht="17.25" customHeight="1" thickBot="1">
      <c r="B26" s="740" t="n">
        <v>42860</v>
      </c>
      <c r="C26" s="299" t="inlineStr">
        <is>
          <t>FITX</t>
        </is>
      </c>
      <c r="D26" s="300" t="inlineStr">
        <is>
          <t>台指06</t>
        </is>
      </c>
      <c r="E26" s="300" t="inlineStr">
        <is>
          <t>新倉</t>
        </is>
      </c>
      <c r="F26" s="301" t="inlineStr">
        <is>
          <t>賣</t>
        </is>
      </c>
      <c r="G26" s="300" t="inlineStr">
        <is>
          <t>-</t>
        </is>
      </c>
      <c r="H26" s="741" t="n">
        <v>1</v>
      </c>
      <c r="I26" s="741" t="n">
        <v>9914</v>
      </c>
      <c r="J26" s="741" t="n">
        <v>0</v>
      </c>
      <c r="K26" s="742" t="n">
        <v>100</v>
      </c>
      <c r="L26" s="742" t="n">
        <v>40</v>
      </c>
      <c r="M26" s="742">
        <f>IF(C26="TXO",J26-SUM(K26:L26),IF(C26="FITX",IF(E26="新倉",-SUM(K26:L26),IF(F26="賣",(I26-I25)*H26*200-SUM(K26:L26),(I25-I26)*H26*200-SUM(K26:L26))),IF(E26="新倉",-SUM(K26:L26),IF(F26="賣",(I26-I25)*H26*50-SUM(K26:L26),(I25-I26)*H26*50-SUM(K26:L26)))))</f>
        <v/>
      </c>
      <c r="N26" s="743">
        <f>M26</f>
        <v/>
      </c>
      <c r="O26" s="764">
        <f>IF(C26="TXO","",IF(E26="新倉","",IF(F26="賣",(I26-I25)*H26,(I25-I26)*H26)))</f>
        <v/>
      </c>
      <c r="P26" s="334">
        <f>ABS(J26)</f>
        <v/>
      </c>
      <c r="Q26" s="764" t="n"/>
      <c r="S26" s="739" t="n"/>
      <c r="T26" s="61" t="n"/>
      <c r="U26" s="61" t="n"/>
      <c r="V26" s="61" t="n"/>
      <c r="W26" s="61" t="n"/>
      <c r="X26" s="61" t="n"/>
      <c r="Y26" s="61" t="n"/>
      <c r="Z26" s="61" t="n"/>
    </row>
    <row r="27" hidden="1" outlineLevel="2" collapsed="1" ht="17.25" customHeight="1" thickBot="1">
      <c r="B27" s="740" t="n">
        <v>42860</v>
      </c>
      <c r="C27" s="299" t="inlineStr">
        <is>
          <t>FITX</t>
        </is>
      </c>
      <c r="D27" s="300" t="inlineStr">
        <is>
          <t>台指06</t>
        </is>
      </c>
      <c r="E27" s="300" t="inlineStr">
        <is>
          <t>平倉</t>
        </is>
      </c>
      <c r="F27" s="301" t="inlineStr">
        <is>
          <t>買</t>
        </is>
      </c>
      <c r="G27" s="300" t="inlineStr">
        <is>
          <t>-</t>
        </is>
      </c>
      <c r="H27" s="741" t="n">
        <v>1</v>
      </c>
      <c r="I27" s="741" t="n">
        <v>9909</v>
      </c>
      <c r="J27" s="741" t="n">
        <v>0</v>
      </c>
      <c r="K27" s="742" t="n">
        <v>100</v>
      </c>
      <c r="L27" s="742" t="n">
        <v>40</v>
      </c>
      <c r="M27" s="742">
        <f>IF(C27="TXO",J27-SUM(K27:L27),IF(C27="FITX",IF(E27="新倉",-SUM(K27:L27),IF(F27="賣",(I27-I26)*H27*200-SUM(K27:L27),(I26-I27)*H27*200-SUM(K27:L27))),IF(E27="新倉",-SUM(K27:L27),IF(F27="賣",(I27-I26)*H27*50-SUM(K27:L27),(I26-I27)*H27*50-SUM(K27:L27)))))</f>
        <v/>
      </c>
      <c r="N27" s="743">
        <f>M27</f>
        <v/>
      </c>
      <c r="O27" s="764">
        <f>IF(C27="TXO","",IF(E27="新倉","",IF(F27="賣",(I27-I26)*H27,(I26-I27)*H27)))</f>
        <v/>
      </c>
      <c r="P27" s="334">
        <f>ABS(J27)</f>
        <v/>
      </c>
      <c r="Q27" s="764" t="n"/>
      <c r="S27" s="739" t="n"/>
      <c r="T27" s="61" t="n"/>
      <c r="U27" s="61" t="n"/>
      <c r="V27" s="61" t="n"/>
      <c r="W27" s="61" t="n"/>
      <c r="X27" s="61" t="n"/>
      <c r="Y27" s="61" t="n"/>
      <c r="Z27" s="61" t="n"/>
    </row>
    <row r="28" hidden="1" outlineLevel="1" ht="17.25" customHeight="1" thickBot="1">
      <c r="B28" s="696" t="n">
        <v>42864</v>
      </c>
      <c r="C28" s="234" t="inlineStr">
        <is>
          <t>FIMTX</t>
        </is>
      </c>
      <c r="D28" s="229" t="inlineStr">
        <is>
          <t>小指05</t>
        </is>
      </c>
      <c r="E28" s="229" t="inlineStr">
        <is>
          <t>新倉</t>
        </is>
      </c>
      <c r="F28" s="229" t="inlineStr">
        <is>
          <t>買</t>
        </is>
      </c>
      <c r="G28" s="229" t="inlineStr">
        <is>
          <t>-</t>
        </is>
      </c>
      <c r="H28" s="697" t="n">
        <v>1</v>
      </c>
      <c r="I28" s="697" t="n">
        <v>9957</v>
      </c>
      <c r="J28" s="697" t="n">
        <v>0</v>
      </c>
      <c r="K28" s="585" t="n">
        <v>60</v>
      </c>
      <c r="L28" s="749" t="n">
        <v>10</v>
      </c>
      <c r="M28" s="585">
        <f>IF(C28="TXO",J28-SUM(K28:L28),IF(C28="FITX",IF(E28="新倉",-SUM(K28:L28),IF(F28="賣",(I28-I27)*H28*200-SUM(K28:L28),(I27-I28)*H28*200-SUM(K28:L28))),IF(E28="新倉",-SUM(K28:L28),IF(F28="賣",(I28-I27)*H28*50-SUM(K28:L28),(I27-I28)*H28*50-SUM(K28:L28)))))</f>
        <v/>
      </c>
      <c r="N28" s="699">
        <f>M28</f>
        <v/>
      </c>
      <c r="O28" s="686">
        <f>IF(C28="TXO","",IF(E28="新倉","",IF(F28="賣",(I28-I27)*H28,(I27-I28)*H28)))</f>
        <v/>
      </c>
      <c r="P28" s="226">
        <f>ABS(J28)</f>
        <v/>
      </c>
      <c r="Q28" s="667" t="n"/>
      <c r="S28" s="739" t="n"/>
    </row>
    <row r="29" hidden="1" outlineLevel="1" ht="17.25" customHeight="1" thickBot="1">
      <c r="B29" s="696" t="n">
        <v>42864</v>
      </c>
      <c r="C29" s="234" t="inlineStr">
        <is>
          <t>FIMTX</t>
        </is>
      </c>
      <c r="D29" s="229" t="inlineStr">
        <is>
          <t>小指05</t>
        </is>
      </c>
      <c r="E29" s="229" t="inlineStr">
        <is>
          <t>平倉</t>
        </is>
      </c>
      <c r="F29" s="229" t="inlineStr">
        <is>
          <t>賣</t>
        </is>
      </c>
      <c r="G29" s="229" t="inlineStr">
        <is>
          <t>-</t>
        </is>
      </c>
      <c r="H29" s="697" t="n">
        <v>1</v>
      </c>
      <c r="I29" s="697" t="n">
        <v>9970</v>
      </c>
      <c r="J29" s="697" t="n">
        <v>0</v>
      </c>
      <c r="K29" s="585" t="n">
        <v>60</v>
      </c>
      <c r="L29" s="585" t="n">
        <v>10</v>
      </c>
      <c r="M29" s="585">
        <f>IF(C29="TXO",J29-SUM(K29:L29),IF(C29="FITX",IF(E29="新倉",-SUM(K29:L29),IF(F29="賣",(I29-I28)*H29*200-SUM(K29:L29),(I28-I29)*H29*200-SUM(K29:L29))),IF(E29="新倉",-SUM(K29:L29),IF(F29="賣",(I29-I28)*H29*50-SUM(K29:L29),(I28-I29)*H29*50-SUM(K29:L29)))))</f>
        <v/>
      </c>
      <c r="N29" s="699">
        <f>M29</f>
        <v/>
      </c>
      <c r="O29" s="686">
        <f>IF(C29="TXO","",IF(E29="新倉","",IF(F29="賣",(I29-I28)*H29,(I28-I29)*H29)))</f>
        <v/>
      </c>
      <c r="P29" s="226">
        <f>ABS(J29)</f>
        <v/>
      </c>
      <c r="Q29" s="667" t="n"/>
      <c r="S29" s="739" t="n"/>
      <c r="T29" s="61" t="n"/>
      <c r="U29" s="61" t="n"/>
      <c r="V29" s="61" t="n"/>
      <c r="W29" s="61" t="n"/>
      <c r="X29" s="61" t="n"/>
      <c r="Y29" s="61" t="n"/>
      <c r="Z29" s="61" t="n"/>
    </row>
    <row r="30" hidden="1" outlineLevel="1" ht="17.25" customHeight="1" thickBot="1">
      <c r="B30" s="740" t="n">
        <v>42865</v>
      </c>
      <c r="C30" s="299" t="inlineStr">
        <is>
          <t>FIMTX</t>
        </is>
      </c>
      <c r="D30" s="300" t="inlineStr">
        <is>
          <t>小指05</t>
        </is>
      </c>
      <c r="E30" s="300" t="inlineStr">
        <is>
          <t>新倉</t>
        </is>
      </c>
      <c r="F30" s="301" t="inlineStr">
        <is>
          <t>買</t>
        </is>
      </c>
      <c r="G30" s="300" t="inlineStr">
        <is>
          <t>-</t>
        </is>
      </c>
      <c r="H30" s="741" t="n">
        <v>1</v>
      </c>
      <c r="I30" s="741" t="n">
        <v>9931</v>
      </c>
      <c r="J30" s="741" t="n">
        <v>0</v>
      </c>
      <c r="K30" s="742" t="n">
        <v>60</v>
      </c>
      <c r="L30" s="742" t="n">
        <v>10</v>
      </c>
      <c r="M30" s="742">
        <f>IF(C30="TXO",J30-SUM(K30:L30),IF(C30="FITX",IF(E30="新倉",-SUM(K30:L30),IF(F30="賣",(I30-I29)*H30*200-SUM(K30:L30),(I29-I30)*H30*200-SUM(K30:L30))),IF(E30="新倉",-SUM(K30:L30),IF(F30="賣",(I30-I29)*H30*50-SUM(K30:L30),(I29-I30)*H30*50-SUM(K30:L30)))))</f>
        <v/>
      </c>
      <c r="N30" s="743">
        <f>M30</f>
        <v/>
      </c>
      <c r="O30" s="764">
        <f>IF(C30="TXO","",IF(E30="新倉","",IF(F30="賣",(I30-I29)*H30,(I29-I30)*H30)))</f>
        <v/>
      </c>
      <c r="P30" s="334">
        <f>ABS(J30)</f>
        <v/>
      </c>
      <c r="Q30" s="764" t="n"/>
      <c r="S30" s="739" t="n"/>
      <c r="T30" s="61" t="n"/>
      <c r="U30" s="61" t="n"/>
      <c r="V30" s="61" t="n"/>
      <c r="W30" s="61" t="n"/>
      <c r="X30" s="61" t="n"/>
      <c r="Y30" s="61" t="n"/>
      <c r="Z30" s="61" t="n"/>
    </row>
    <row r="31" hidden="1" outlineLevel="2" collapsed="1" ht="17.25" customHeight="1" thickBot="1">
      <c r="B31" s="740" t="n">
        <v>42865</v>
      </c>
      <c r="C31" s="299" t="inlineStr">
        <is>
          <t>FIMTX</t>
        </is>
      </c>
      <c r="D31" s="300" t="inlineStr">
        <is>
          <t>小指05</t>
        </is>
      </c>
      <c r="E31" s="300" t="inlineStr">
        <is>
          <t>平倉</t>
        </is>
      </c>
      <c r="F31" s="301" t="inlineStr">
        <is>
          <t>賣</t>
        </is>
      </c>
      <c r="G31" s="300" t="inlineStr">
        <is>
          <t>-</t>
        </is>
      </c>
      <c r="H31" s="741" t="n">
        <v>1</v>
      </c>
      <c r="I31" s="741" t="n">
        <v>9934</v>
      </c>
      <c r="J31" s="741" t="n">
        <v>0</v>
      </c>
      <c r="K31" s="742" t="n">
        <v>60</v>
      </c>
      <c r="L31" s="742" t="n">
        <v>10</v>
      </c>
      <c r="M31" s="742">
        <f>IF(C31="TXO",J31-SUM(K31:L31),IF(C31="FITX",IF(E31="新倉",-SUM(K31:L31),IF(F31="賣",(I31-I30)*H31*200-SUM(K31:L31),(I30-I31)*H31*200-SUM(K31:L31))),IF(E31="新倉",-SUM(K31:L31),IF(F31="賣",(I31-I30)*H31*50-SUM(K31:L31),(I30-I31)*H31*50-SUM(K31:L31)))))</f>
        <v/>
      </c>
      <c r="N31" s="743">
        <f>M31</f>
        <v/>
      </c>
      <c r="O31" s="764">
        <f>IF(C31="TXO","",IF(E31="新倉","",IF(F31="賣",(I31-I30)*H31,(I30-I31)*H31)))</f>
        <v/>
      </c>
      <c r="P31" s="334">
        <f>ABS(J31)</f>
        <v/>
      </c>
      <c r="Q31" s="764" t="n"/>
      <c r="S31" s="739" t="n"/>
      <c r="T31" s="61" t="n"/>
      <c r="U31" s="61" t="n"/>
      <c r="V31" s="61" t="n"/>
      <c r="W31" s="61" t="n"/>
      <c r="X31" s="61" t="n"/>
      <c r="Y31" s="61" t="n"/>
      <c r="Z31" s="61" t="n"/>
    </row>
    <row r="32" hidden="1" outlineLevel="2" collapsed="1" ht="17.25" customHeight="1" thickBot="1">
      <c r="B32" s="740" t="n">
        <v>42865</v>
      </c>
      <c r="C32" s="299" t="inlineStr">
        <is>
          <t>FIMTX</t>
        </is>
      </c>
      <c r="D32" s="300" t="inlineStr">
        <is>
          <t>小指05</t>
        </is>
      </c>
      <c r="E32" s="300" t="inlineStr">
        <is>
          <t>新倉</t>
        </is>
      </c>
      <c r="F32" s="301" t="inlineStr">
        <is>
          <t>買</t>
        </is>
      </c>
      <c r="G32" s="300" t="inlineStr">
        <is>
          <t>-</t>
        </is>
      </c>
      <c r="H32" s="741" t="n">
        <v>1</v>
      </c>
      <c r="I32" s="741" t="n">
        <v>9952</v>
      </c>
      <c r="J32" s="741" t="n">
        <v>0</v>
      </c>
      <c r="K32" s="742" t="n">
        <v>60</v>
      </c>
      <c r="L32" s="742" t="n">
        <v>10</v>
      </c>
      <c r="M32" s="742">
        <f>IF(C32="TXO",J32-SUM(K32:L32),IF(C32="FITX",IF(E32="新倉",-SUM(K32:L32),IF(F32="賣",(I32-I31)*H32*200-SUM(K32:L32),(I31-I32)*H32*200-SUM(K32:L32))),IF(E32="新倉",-SUM(K32:L32),IF(F32="賣",(I32-I31)*H32*50-SUM(K32:L32),(I31-I32)*H32*50-SUM(K32:L32)))))</f>
        <v/>
      </c>
      <c r="N32" s="743">
        <f>M32</f>
        <v/>
      </c>
      <c r="O32" s="764">
        <f>IF(C32="TXO","",IF(E32="新倉","",IF(F32="賣",(I32-I31)*H32,(I31-I32)*H32)))</f>
        <v/>
      </c>
      <c r="P32" s="334">
        <f>ABS(J32)</f>
        <v/>
      </c>
      <c r="Q32" s="764" t="n"/>
      <c r="S32" s="739" t="n"/>
      <c r="T32" s="61" t="n"/>
      <c r="U32" s="61" t="n"/>
      <c r="V32" s="61" t="n"/>
      <c r="W32" s="61" t="n"/>
      <c r="X32" s="61" t="n"/>
      <c r="Y32" s="61" t="n"/>
      <c r="Z32" s="61" t="n"/>
    </row>
    <row r="33" hidden="1" outlineLevel="2" collapsed="1" ht="17.25" customHeight="1" thickBot="1">
      <c r="B33" s="740" t="n">
        <v>42865</v>
      </c>
      <c r="C33" s="299" t="inlineStr">
        <is>
          <t>FIMTX</t>
        </is>
      </c>
      <c r="D33" s="300" t="inlineStr">
        <is>
          <t>小指05</t>
        </is>
      </c>
      <c r="E33" s="300" t="inlineStr">
        <is>
          <t>平倉</t>
        </is>
      </c>
      <c r="F33" s="301" t="inlineStr">
        <is>
          <t>賣</t>
        </is>
      </c>
      <c r="G33" s="300" t="inlineStr">
        <is>
          <t>-</t>
        </is>
      </c>
      <c r="H33" s="741" t="n">
        <v>1</v>
      </c>
      <c r="I33" s="741" t="n">
        <v>9957</v>
      </c>
      <c r="J33" s="741" t="n">
        <v>0</v>
      </c>
      <c r="K33" s="742" t="n">
        <v>60</v>
      </c>
      <c r="L33" s="742" t="n">
        <v>10</v>
      </c>
      <c r="M33" s="742">
        <f>IF(C33="TXO",J33-SUM(K33:L33),IF(C33="FITX",IF(E33="新倉",-SUM(K33:L33),IF(F33="賣",(I33-I32)*H33*200-SUM(K33:L33),(I32-I33)*H33*200-SUM(K33:L33))),IF(E33="新倉",-SUM(K33:L33),IF(F33="賣",(I33-I32)*H33*50-SUM(K33:L33),(I32-I33)*H33*50-SUM(K33:L33)))))</f>
        <v/>
      </c>
      <c r="N33" s="743">
        <f>M33</f>
        <v/>
      </c>
      <c r="O33" s="764">
        <f>IF(C33="TXO","",IF(E33="新倉","",IF(F33="賣",(I33-I32)*H33,(I32-I33)*H33)))</f>
        <v/>
      </c>
      <c r="P33" s="334">
        <f>ABS(J33)</f>
        <v/>
      </c>
      <c r="Q33" s="764" t="n"/>
      <c r="S33" s="739" t="n"/>
      <c r="T33" s="61" t="n"/>
      <c r="U33" s="61" t="n"/>
      <c r="V33" s="61" t="n"/>
      <c r="W33" s="61" t="n"/>
      <c r="X33" s="61" t="n"/>
      <c r="Y33" s="61" t="n"/>
      <c r="Z33" s="61" t="n"/>
    </row>
    <row r="34" hidden="1" outlineLevel="2" collapsed="1" ht="17.25" customHeight="1" thickBot="1">
      <c r="B34" s="740" t="n">
        <v>42865</v>
      </c>
      <c r="C34" s="299" t="inlineStr">
        <is>
          <t>FIMTX</t>
        </is>
      </c>
      <c r="D34" s="300" t="inlineStr">
        <is>
          <t>小指05</t>
        </is>
      </c>
      <c r="E34" s="300" t="inlineStr">
        <is>
          <t>新倉</t>
        </is>
      </c>
      <c r="F34" s="301" t="inlineStr">
        <is>
          <t>賣</t>
        </is>
      </c>
      <c r="G34" s="300" t="inlineStr">
        <is>
          <t>-</t>
        </is>
      </c>
      <c r="H34" s="741" t="n">
        <v>1</v>
      </c>
      <c r="I34" s="741" t="n">
        <v>9951</v>
      </c>
      <c r="J34" s="741" t="n">
        <v>0</v>
      </c>
      <c r="K34" s="742" t="n">
        <v>60</v>
      </c>
      <c r="L34" s="742" t="n">
        <v>10</v>
      </c>
      <c r="M34" s="742">
        <f>IF(C34="TXO",J34-SUM(K34:L34),IF(C34="FITX",IF(E34="新倉",-SUM(K34:L34),IF(F34="賣",(I34-I33)*H34*200-SUM(K34:L34),(I33-I34)*H34*200-SUM(K34:L34))),IF(E34="新倉",-SUM(K34:L34),IF(F34="賣",(I34-I33)*H34*50-SUM(K34:L34),(I33-I34)*H34*50-SUM(K34:L34)))))</f>
        <v/>
      </c>
      <c r="N34" s="743">
        <f>M34</f>
        <v/>
      </c>
      <c r="O34" s="764">
        <f>IF(C34="TXO","",IF(E34="新倉","",IF(F34="賣",(I34-I33)*H34,(I33-I34)*H34)))</f>
        <v/>
      </c>
      <c r="P34" s="334">
        <f>ABS(J34)</f>
        <v/>
      </c>
      <c r="Q34" s="764" t="n"/>
      <c r="S34" s="739" t="n"/>
      <c r="T34" s="61" t="n"/>
      <c r="U34" s="61" t="n"/>
      <c r="V34" s="61" t="n"/>
      <c r="W34" s="61" t="n"/>
      <c r="X34" s="61" t="n"/>
      <c r="Y34" s="61" t="n"/>
      <c r="Z34" s="61" t="n"/>
    </row>
    <row r="35" hidden="1" outlineLevel="2" collapsed="1" ht="17.25" customHeight="1" thickBot="1">
      <c r="B35" s="740" t="n">
        <v>42865</v>
      </c>
      <c r="C35" s="299" t="inlineStr">
        <is>
          <t>FIMTX</t>
        </is>
      </c>
      <c r="D35" s="300" t="inlineStr">
        <is>
          <t>小指05</t>
        </is>
      </c>
      <c r="E35" s="300" t="inlineStr">
        <is>
          <t>平倉</t>
        </is>
      </c>
      <c r="F35" s="301" t="inlineStr">
        <is>
          <t>買</t>
        </is>
      </c>
      <c r="G35" s="300" t="inlineStr">
        <is>
          <t>-</t>
        </is>
      </c>
      <c r="H35" s="741" t="n">
        <v>1</v>
      </c>
      <c r="I35" s="741" t="n">
        <v>9946</v>
      </c>
      <c r="J35" s="741" t="n">
        <v>0</v>
      </c>
      <c r="K35" s="742" t="n">
        <v>60</v>
      </c>
      <c r="L35" s="742" t="n">
        <v>10</v>
      </c>
      <c r="M35" s="742">
        <f>IF(C35="TXO",J35-SUM(K35:L35),IF(C35="FITX",IF(E35="新倉",-SUM(K35:L35),IF(F35="賣",(I35-I34)*H35*200-SUM(K35:L35),(I34-I35)*H35*200-SUM(K35:L35))),IF(E35="新倉",-SUM(K35:L35),IF(F35="賣",(I35-I34)*H35*50-SUM(K35:L35),(I34-I35)*H35*50-SUM(K35:L35)))))</f>
        <v/>
      </c>
      <c r="N35" s="743">
        <f>M35</f>
        <v/>
      </c>
      <c r="O35" s="764">
        <f>IF(C35="TXO","",IF(E35="新倉","",IF(F35="賣",(I35-I34)*H35,(I34-I35)*H35)))</f>
        <v/>
      </c>
      <c r="P35" s="334">
        <f>ABS(J35)</f>
        <v/>
      </c>
      <c r="Q35" s="764" t="n"/>
      <c r="S35" s="739" t="n"/>
      <c r="T35" s="61" t="n"/>
      <c r="U35" s="61" t="n"/>
      <c r="V35" s="61" t="n"/>
      <c r="W35" s="61" t="n"/>
      <c r="X35" s="61" t="n"/>
      <c r="Y35" s="61" t="n"/>
      <c r="Z35" s="61" t="n"/>
    </row>
    <row r="36" hidden="1" outlineLevel="1" ht="17.25" customHeight="1" thickBot="1">
      <c r="B36" s="696" t="n">
        <v>42867</v>
      </c>
      <c r="C36" s="234" t="inlineStr">
        <is>
          <t>FIMTX</t>
        </is>
      </c>
      <c r="D36" s="229" t="inlineStr">
        <is>
          <t>小指05</t>
        </is>
      </c>
      <c r="E36" s="229" t="inlineStr">
        <is>
          <t>新倉</t>
        </is>
      </c>
      <c r="F36" s="229" t="inlineStr">
        <is>
          <t>賣</t>
        </is>
      </c>
      <c r="G36" s="229" t="inlineStr">
        <is>
          <t>-</t>
        </is>
      </c>
      <c r="H36" s="697" t="n">
        <v>3</v>
      </c>
      <c r="I36" s="697" t="n">
        <v>9973</v>
      </c>
      <c r="J36" s="697" t="n">
        <v>0</v>
      </c>
      <c r="K36" s="585" t="n">
        <v>180</v>
      </c>
      <c r="L36" s="749" t="n">
        <v>30</v>
      </c>
      <c r="M36" s="585">
        <f>IF(C36="TXO",J36-SUM(K36:L36),IF(C36="FITX",IF(E36="新倉",-SUM(K36:L36),IF(F36="賣",(I36-I35)*H36*200-SUM(K36:L36),(I35-I36)*H36*200-SUM(K36:L36))),IF(E36="新倉",-SUM(K36:L36),IF(F36="賣",(I36-I35)*H36*50-SUM(K36:L36),(I35-I36)*H36*50-SUM(K36:L36)))))</f>
        <v/>
      </c>
      <c r="N36" s="699">
        <f>M36</f>
        <v/>
      </c>
      <c r="O36" s="686">
        <f>IF(C36="TXO","",IF(E36="新倉","",IF(F36="賣",(I36-I35)*H36,(I35-I36)*H36)))</f>
        <v/>
      </c>
      <c r="P36" s="226">
        <f>ABS(J36)</f>
        <v/>
      </c>
      <c r="Q36" s="667" t="n"/>
      <c r="S36" s="739" t="n"/>
    </row>
    <row r="37" hidden="1" outlineLevel="2" ht="17.25" customHeight="1" thickBot="1">
      <c r="B37" s="696" t="n">
        <v>42867</v>
      </c>
      <c r="C37" s="234" t="inlineStr">
        <is>
          <t>FIMTX</t>
        </is>
      </c>
      <c r="D37" s="229" t="inlineStr">
        <is>
          <t>小指05</t>
        </is>
      </c>
      <c r="E37" s="229" t="inlineStr">
        <is>
          <t>平倉</t>
        </is>
      </c>
      <c r="F37" s="229" t="inlineStr">
        <is>
          <t>買</t>
        </is>
      </c>
      <c r="G37" s="229" t="inlineStr">
        <is>
          <t>-</t>
        </is>
      </c>
      <c r="H37" s="697" t="n">
        <v>3</v>
      </c>
      <c r="I37" s="697" t="n">
        <v>9981</v>
      </c>
      <c r="J37" s="697" t="n">
        <v>0</v>
      </c>
      <c r="K37" s="585" t="n">
        <v>180</v>
      </c>
      <c r="L37" s="749" t="n">
        <v>30</v>
      </c>
      <c r="M37" s="585">
        <f>IF(C37="TXO",J37-SUM(K37:L37),IF(C37="FITX",IF(E37="新倉",-SUM(K37:L37),IF(F37="賣",(I37-I36)*H37*200-SUM(K37:L37),(I36-I37)*H37*200-SUM(K37:L37))),IF(E37="新倉",-SUM(K37:L37),IF(F37="賣",(I37-I36)*H37*50-SUM(K37:L37),(I36-I37)*H37*50-SUM(K37:L37)))))</f>
        <v/>
      </c>
      <c r="N37" s="699">
        <f>M37</f>
        <v/>
      </c>
      <c r="O37" s="686">
        <f>IF(C37="TXO","",IF(E37="新倉","",IF(F37="賣",(I37-I36)*H37,(I36-I37)*H37)))</f>
        <v/>
      </c>
      <c r="P37" s="226">
        <f>ABS(J37)</f>
        <v/>
      </c>
      <c r="Q37" s="667" t="n"/>
      <c r="S37" s="739" t="n"/>
    </row>
    <row r="38" hidden="1" outlineLevel="2" ht="17.25" customHeight="1" thickBot="1">
      <c r="B38" s="696" t="n">
        <v>42867</v>
      </c>
      <c r="C38" s="234" t="inlineStr">
        <is>
          <t>FITX</t>
        </is>
      </c>
      <c r="D38" s="229" t="inlineStr">
        <is>
          <t>台指05</t>
        </is>
      </c>
      <c r="E38" s="229" t="inlineStr">
        <is>
          <t>新倉</t>
        </is>
      </c>
      <c r="F38" s="229" t="inlineStr">
        <is>
          <t>買</t>
        </is>
      </c>
      <c r="G38" s="229" t="inlineStr">
        <is>
          <t>-</t>
        </is>
      </c>
      <c r="H38" s="697" t="n">
        <v>1</v>
      </c>
      <c r="I38" s="697" t="n">
        <v>9985</v>
      </c>
      <c r="J38" s="697" t="n">
        <v>0</v>
      </c>
      <c r="K38" s="585" t="n">
        <v>100</v>
      </c>
      <c r="L38" s="749" t="n">
        <v>40</v>
      </c>
      <c r="M38" s="585">
        <f>IF(C38="TXO",J38-SUM(K38:L38),IF(C38="FITX",IF(E38="新倉",-SUM(K38:L38),IF(F38="賣",(I38-I37)*H38*200-SUM(K38:L38),(I37-I38)*H38*200-SUM(K38:L38))),IF(E38="新倉",-SUM(K38:L38),IF(F38="賣",(I38-I37)*H38*50-SUM(K38:L38),(I37-I38)*H38*50-SUM(K38:L38)))))</f>
        <v/>
      </c>
      <c r="N38" s="699">
        <f>M38</f>
        <v/>
      </c>
      <c r="O38" s="686">
        <f>IF(C38="TXO","",IF(E38="新倉","",IF(F38="賣",(I38-I37)*H38,(I37-I38)*H38)))</f>
        <v/>
      </c>
      <c r="P38" s="226">
        <f>ABS(J38)</f>
        <v/>
      </c>
      <c r="Q38" s="667" t="n"/>
      <c r="S38" s="739" t="n"/>
    </row>
    <row r="39" hidden="1" outlineLevel="2" ht="17.25" customHeight="1" thickBot="1">
      <c r="B39" s="696" t="n">
        <v>42867</v>
      </c>
      <c r="C39" s="234" t="inlineStr">
        <is>
          <t>FITX</t>
        </is>
      </c>
      <c r="D39" s="229" t="inlineStr">
        <is>
          <t>台指05</t>
        </is>
      </c>
      <c r="E39" s="229" t="inlineStr">
        <is>
          <t>平倉</t>
        </is>
      </c>
      <c r="F39" s="229" t="inlineStr">
        <is>
          <t>賣</t>
        </is>
      </c>
      <c r="G39" s="229" t="inlineStr">
        <is>
          <t>-</t>
        </is>
      </c>
      <c r="H39" s="697" t="n">
        <v>1</v>
      </c>
      <c r="I39" s="697" t="n">
        <v>9978</v>
      </c>
      <c r="J39" s="697" t="n">
        <v>0</v>
      </c>
      <c r="K39" s="585" t="n">
        <v>100</v>
      </c>
      <c r="L39" s="749" t="n">
        <v>40</v>
      </c>
      <c r="M39" s="585">
        <f>IF(C39="TXO",J39-SUM(K39:L39),IF(C39="FITX",IF(E39="新倉",-SUM(K39:L39),IF(F39="賣",(I39-I38)*H39*200-SUM(K39:L39),(I38-I39)*H39*200-SUM(K39:L39))),IF(E39="新倉",-SUM(K39:L39),IF(F39="賣",(I39-I38)*H39*50-SUM(K39:L39),(I38-I39)*H39*50-SUM(K39:L39)))))</f>
        <v/>
      </c>
      <c r="N39" s="699">
        <f>M39</f>
        <v/>
      </c>
      <c r="O39" s="686">
        <f>IF(C39="TXO","",IF(E39="新倉","",IF(F39="賣",(I39-I38)*H39,(I38-I39)*H39)))</f>
        <v/>
      </c>
      <c r="P39" s="226">
        <f>ABS(J39)</f>
        <v/>
      </c>
      <c r="Q39" s="667" t="n"/>
      <c r="S39" s="739" t="n"/>
    </row>
    <row r="40" hidden="1" outlineLevel="2" ht="17.25" customHeight="1" thickBot="1">
      <c r="B40" s="696" t="n">
        <v>42867</v>
      </c>
      <c r="C40" s="234" t="inlineStr">
        <is>
          <t>FITX</t>
        </is>
      </c>
      <c r="D40" s="229" t="inlineStr">
        <is>
          <t>台指05</t>
        </is>
      </c>
      <c r="E40" s="229" t="inlineStr">
        <is>
          <t>新倉</t>
        </is>
      </c>
      <c r="F40" s="229" t="inlineStr">
        <is>
          <t>賣</t>
        </is>
      </c>
      <c r="G40" s="229" t="inlineStr">
        <is>
          <t>-</t>
        </is>
      </c>
      <c r="H40" s="697" t="n">
        <v>1</v>
      </c>
      <c r="I40" s="697" t="n">
        <v>9984</v>
      </c>
      <c r="J40" s="697" t="n">
        <v>0</v>
      </c>
      <c r="K40" s="585" t="n">
        <v>100</v>
      </c>
      <c r="L40" s="749" t="n">
        <v>40</v>
      </c>
      <c r="M40" s="585">
        <f>IF(C40="TXO",J40-SUM(K40:L40),IF(C40="FITX",IF(E40="新倉",-SUM(K40:L40),IF(F40="賣",(I40-I39)*H40*200-SUM(K40:L40),(I39-I40)*H40*200-SUM(K40:L40))),IF(E40="新倉",-SUM(K40:L40),IF(F40="賣",(I40-I39)*H40*50-SUM(K40:L40),(I39-I40)*H40*50-SUM(K40:L40)))))</f>
        <v/>
      </c>
      <c r="N40" s="699">
        <f>M40</f>
        <v/>
      </c>
      <c r="O40" s="686">
        <f>IF(C40="TXO","",IF(E40="新倉","",IF(F40="賣",(I40-I39)*H40,(I39-I40)*H40)))</f>
        <v/>
      </c>
      <c r="P40" s="226">
        <f>ABS(J40)</f>
        <v/>
      </c>
      <c r="Q40" s="667" t="n"/>
      <c r="S40" s="739" t="n"/>
    </row>
    <row r="41" hidden="1" outlineLevel="2" ht="17.25" customHeight="1" thickBot="1">
      <c r="B41" s="696" t="n">
        <v>42867</v>
      </c>
      <c r="C41" s="234" t="inlineStr">
        <is>
          <t>FITX</t>
        </is>
      </c>
      <c r="D41" s="229" t="inlineStr">
        <is>
          <t>台指05</t>
        </is>
      </c>
      <c r="E41" s="229" t="inlineStr">
        <is>
          <t>平倉</t>
        </is>
      </c>
      <c r="F41" s="229" t="inlineStr">
        <is>
          <t>買</t>
        </is>
      </c>
      <c r="G41" s="229" t="inlineStr">
        <is>
          <t>-</t>
        </is>
      </c>
      <c r="H41" s="697" t="n">
        <v>1</v>
      </c>
      <c r="I41" s="697" t="n">
        <v>9987</v>
      </c>
      <c r="J41" s="697" t="n">
        <v>0</v>
      </c>
      <c r="K41" s="585" t="n">
        <v>100</v>
      </c>
      <c r="L41" s="749" t="n">
        <v>40</v>
      </c>
      <c r="M41" s="585">
        <f>IF(C41="TXO",J41-SUM(K41:L41),IF(C41="FITX",IF(E41="新倉",-SUM(K41:L41),IF(F41="賣",(I41-I40)*H41*200-SUM(K41:L41),(I40-I41)*H41*200-SUM(K41:L41))),IF(E41="新倉",-SUM(K41:L41),IF(F41="賣",(I41-I40)*H41*50-SUM(K41:L41),(I40-I41)*H41*50-SUM(K41:L41)))))</f>
        <v/>
      </c>
      <c r="N41" s="699">
        <f>M41</f>
        <v/>
      </c>
      <c r="O41" s="686">
        <f>IF(C41="TXO","",IF(E41="新倉","",IF(F41="賣",(I41-I40)*H41,(I40-I41)*H41)))</f>
        <v/>
      </c>
      <c r="P41" s="226">
        <f>ABS(J41)</f>
        <v/>
      </c>
      <c r="Q41" s="667" t="n"/>
      <c r="S41" s="739" t="n"/>
    </row>
    <row r="42" hidden="1" outlineLevel="2" ht="17.25" customHeight="1" thickBot="1">
      <c r="B42" s="696" t="n">
        <v>42867</v>
      </c>
      <c r="C42" s="234" t="inlineStr">
        <is>
          <t>FITX</t>
        </is>
      </c>
      <c r="D42" s="229" t="inlineStr">
        <is>
          <t>台指05</t>
        </is>
      </c>
      <c r="E42" s="229" t="inlineStr">
        <is>
          <t>新倉</t>
        </is>
      </c>
      <c r="F42" s="229" t="inlineStr">
        <is>
          <t>賣</t>
        </is>
      </c>
      <c r="G42" s="229" t="inlineStr">
        <is>
          <t>-</t>
        </is>
      </c>
      <c r="H42" s="697" t="n">
        <v>1</v>
      </c>
      <c r="I42" s="697" t="n">
        <v>9978</v>
      </c>
      <c r="J42" s="697" t="n">
        <v>0</v>
      </c>
      <c r="K42" s="585" t="n">
        <v>100</v>
      </c>
      <c r="L42" s="749" t="n">
        <v>40</v>
      </c>
      <c r="M42" s="585">
        <f>IF(C42="TXO",J42-SUM(K42:L42),IF(C42="FITX",IF(E42="新倉",-SUM(K42:L42),IF(F42="賣",(I42-I41)*H42*200-SUM(K42:L42),(I41-I42)*H42*200-SUM(K42:L42))),IF(E42="新倉",-SUM(K42:L42),IF(F42="賣",(I42-I41)*H42*50-SUM(K42:L42),(I41-I42)*H42*50-SUM(K42:L42)))))</f>
        <v/>
      </c>
      <c r="N42" s="699">
        <f>M42</f>
        <v/>
      </c>
      <c r="O42" s="686">
        <f>IF(C42="TXO","",IF(E42="新倉","",IF(F42="賣",(I42-I41)*H42,(I41-I42)*H42)))</f>
        <v/>
      </c>
      <c r="P42" s="226">
        <f>ABS(J42)</f>
        <v/>
      </c>
      <c r="Q42" s="667" t="n"/>
      <c r="S42" s="739" t="n"/>
    </row>
    <row r="43" hidden="1" outlineLevel="2" ht="17.25" customHeight="1" thickBot="1">
      <c r="B43" s="696" t="n">
        <v>42867</v>
      </c>
      <c r="C43" s="234" t="inlineStr">
        <is>
          <t>FITX</t>
        </is>
      </c>
      <c r="D43" s="229" t="inlineStr">
        <is>
          <t>台指05</t>
        </is>
      </c>
      <c r="E43" s="229" t="inlineStr">
        <is>
          <t>平倉</t>
        </is>
      </c>
      <c r="F43" s="229" t="inlineStr">
        <is>
          <t>買</t>
        </is>
      </c>
      <c r="G43" s="229" t="inlineStr">
        <is>
          <t>-</t>
        </is>
      </c>
      <c r="H43" s="697" t="n">
        <v>1</v>
      </c>
      <c r="I43" s="697" t="n">
        <v>9973</v>
      </c>
      <c r="J43" s="697" t="n">
        <v>0</v>
      </c>
      <c r="K43" s="585" t="n">
        <v>100</v>
      </c>
      <c r="L43" s="749" t="n">
        <v>40</v>
      </c>
      <c r="M43" s="585">
        <f>IF(C43="TXO",J43-SUM(K43:L43),IF(C43="FITX",IF(E43="新倉",-SUM(K43:L43),IF(F43="賣",(I43-I42)*H43*200-SUM(K43:L43),(I42-I43)*H43*200-SUM(K43:L43))),IF(E43="新倉",-SUM(K43:L43),IF(F43="賣",(I43-I42)*H43*50-SUM(K43:L43),(I42-I43)*H43*50-SUM(K43:L43)))))</f>
        <v/>
      </c>
      <c r="N43" s="699">
        <f>M43</f>
        <v/>
      </c>
      <c r="O43" s="686">
        <f>IF(C43="TXO","",IF(E43="新倉","",IF(F43="賣",(I43-I42)*H43,(I42-I43)*H43)))</f>
        <v/>
      </c>
      <c r="P43" s="226">
        <f>ABS(J43)</f>
        <v/>
      </c>
      <c r="Q43" s="667" t="n"/>
      <c r="S43" s="739" t="n"/>
    </row>
    <row r="44" hidden="1" outlineLevel="2" ht="17.25" customHeight="1" thickBot="1">
      <c r="B44" s="696" t="n">
        <v>42867</v>
      </c>
      <c r="C44" s="234" t="inlineStr">
        <is>
          <t>FITX</t>
        </is>
      </c>
      <c r="D44" s="229" t="inlineStr">
        <is>
          <t>台指05</t>
        </is>
      </c>
      <c r="E44" s="229" t="inlineStr">
        <is>
          <t>新倉</t>
        </is>
      </c>
      <c r="F44" s="229" t="inlineStr">
        <is>
          <t>賣</t>
        </is>
      </c>
      <c r="G44" s="229" t="inlineStr">
        <is>
          <t>-</t>
        </is>
      </c>
      <c r="H44" s="697" t="n">
        <v>1</v>
      </c>
      <c r="I44" s="697" t="n">
        <v>9975</v>
      </c>
      <c r="J44" s="697" t="n">
        <v>0</v>
      </c>
      <c r="K44" s="585" t="n">
        <v>100</v>
      </c>
      <c r="L44" s="749" t="n">
        <v>40</v>
      </c>
      <c r="M44" s="585">
        <f>IF(C44="TXO",J44-SUM(K44:L44),IF(C44="FITX",IF(E44="新倉",-SUM(K44:L44),IF(F44="賣",(I44-I43)*H44*200-SUM(K44:L44),(I43-I44)*H44*200-SUM(K44:L44))),IF(E44="新倉",-SUM(K44:L44),IF(F44="賣",(I44-I43)*H44*50-SUM(K44:L44),(I43-I44)*H44*50-SUM(K44:L44)))))</f>
        <v/>
      </c>
      <c r="N44" s="699">
        <f>M44</f>
        <v/>
      </c>
      <c r="O44" s="686">
        <f>IF(C44="TXO","",IF(E44="新倉","",IF(F44="賣",(I44-I43)*H44,(I43-I44)*H44)))</f>
        <v/>
      </c>
      <c r="P44" s="226">
        <f>ABS(J44)</f>
        <v/>
      </c>
      <c r="Q44" s="667" t="n"/>
      <c r="S44" s="739" t="n"/>
    </row>
    <row r="45" hidden="1" outlineLevel="2" ht="17.25" customHeight="1" thickBot="1">
      <c r="B45" s="696" t="n">
        <v>42867</v>
      </c>
      <c r="C45" s="234" t="inlineStr">
        <is>
          <t>FITX</t>
        </is>
      </c>
      <c r="D45" s="229" t="inlineStr">
        <is>
          <t>台指05</t>
        </is>
      </c>
      <c r="E45" s="229" t="inlineStr">
        <is>
          <t>平倉</t>
        </is>
      </c>
      <c r="F45" s="229" t="inlineStr">
        <is>
          <t>買</t>
        </is>
      </c>
      <c r="G45" s="229" t="inlineStr">
        <is>
          <t>-</t>
        </is>
      </c>
      <c r="H45" s="697" t="n">
        <v>1</v>
      </c>
      <c r="I45" s="697" t="n">
        <v>9991</v>
      </c>
      <c r="J45" s="697" t="n">
        <v>0</v>
      </c>
      <c r="K45" s="585" t="n">
        <v>100</v>
      </c>
      <c r="L45" s="749" t="n">
        <v>40</v>
      </c>
      <c r="M45" s="585">
        <f>IF(C45="TXO",J45-SUM(K45:L45),IF(C45="FITX",IF(E45="新倉",-SUM(K45:L45),IF(F45="賣",(I45-I44)*H45*200-SUM(K45:L45),(I44-I45)*H45*200-SUM(K45:L45))),IF(E45="新倉",-SUM(K45:L45),IF(F45="賣",(I45-I44)*H45*50-SUM(K45:L45),(I44-I45)*H45*50-SUM(K45:L45)))))</f>
        <v/>
      </c>
      <c r="N45" s="699">
        <f>M45</f>
        <v/>
      </c>
      <c r="O45" s="686">
        <f>IF(C45="TXO","",IF(E45="新倉","",IF(F45="賣",(I45-I44)*H45,(I44-I45)*H45)))</f>
        <v/>
      </c>
      <c r="P45" s="226">
        <f>ABS(J45)</f>
        <v/>
      </c>
      <c r="Q45" s="667" t="n"/>
      <c r="S45" s="739" t="n"/>
    </row>
    <row r="46" hidden="1" outlineLevel="1" collapsed="1" ht="17.25" customHeight="1" thickBot="1">
      <c r="B46" s="740" t="n">
        <v>42872</v>
      </c>
      <c r="C46" s="299" t="inlineStr">
        <is>
          <t>FIMTX</t>
        </is>
      </c>
      <c r="D46" s="300" t="inlineStr">
        <is>
          <t>小指05</t>
        </is>
      </c>
      <c r="E46" s="300" t="inlineStr">
        <is>
          <t>新倉</t>
        </is>
      </c>
      <c r="F46" s="301" t="inlineStr">
        <is>
          <t>賣</t>
        </is>
      </c>
      <c r="G46" s="300" t="inlineStr">
        <is>
          <t>-</t>
        </is>
      </c>
      <c r="H46" s="741" t="n">
        <v>1</v>
      </c>
      <c r="I46" s="741" t="n">
        <v>10000</v>
      </c>
      <c r="J46" s="741" t="n">
        <v>0</v>
      </c>
      <c r="K46" s="742" t="n">
        <v>60</v>
      </c>
      <c r="L46" s="742" t="n">
        <v>10</v>
      </c>
      <c r="M46" s="742">
        <f>IF(C46="TXO",J46-SUM(K46:L46),IF(C46="FITX",IF(E46="新倉",-SUM(K46:L46),IF(F46="賣",(I46-I45)*H46*200-SUM(K46:L46),(I45-I46)*H46*200-SUM(K46:L46))),IF(E46="新倉",-SUM(K46:L46),IF(F46="賣",(I46-I45)*H46*50-SUM(K46:L46),(I45-I46)*H46*50-SUM(K46:L46)))))</f>
        <v/>
      </c>
      <c r="N46" s="743">
        <f>M46</f>
        <v/>
      </c>
      <c r="O46" s="764">
        <f>IF(C46="TXO","",IF(E46="新倉","",IF(F46="賣",(I46-I45)*H46,(I45-I46)*H46)))</f>
        <v/>
      </c>
      <c r="P46" s="334">
        <f>ABS(J46)</f>
        <v/>
      </c>
      <c r="Q46" s="764" t="n"/>
      <c r="S46" s="739" t="n"/>
      <c r="T46" s="61" t="n"/>
      <c r="U46" s="61" t="n"/>
      <c r="V46" s="61" t="n"/>
      <c r="W46" s="61" t="n"/>
      <c r="X46" s="61" t="n"/>
      <c r="Y46" s="61" t="n"/>
      <c r="Z46" s="61" t="n"/>
    </row>
    <row r="47" hidden="1" outlineLevel="1" collapsed="1" ht="17.25" customHeight="1" thickBot="1">
      <c r="B47" s="740" t="n">
        <v>42872</v>
      </c>
      <c r="C47" s="299" t="inlineStr">
        <is>
          <t>FIMTX</t>
        </is>
      </c>
      <c r="D47" s="300" t="inlineStr">
        <is>
          <t>小指05</t>
        </is>
      </c>
      <c r="E47" s="300" t="inlineStr">
        <is>
          <t>平倉</t>
        </is>
      </c>
      <c r="F47" s="301" t="inlineStr">
        <is>
          <t>買</t>
        </is>
      </c>
      <c r="G47" s="300" t="inlineStr">
        <is>
          <t>-</t>
        </is>
      </c>
      <c r="H47" s="741" t="n">
        <v>1</v>
      </c>
      <c r="I47" s="741" t="n">
        <v>9990</v>
      </c>
      <c r="J47" s="741" t="n">
        <v>0</v>
      </c>
      <c r="K47" s="742" t="n">
        <v>60</v>
      </c>
      <c r="L47" s="742" t="n">
        <v>10</v>
      </c>
      <c r="M47" s="742">
        <f>IF(C47="TXO",J47-SUM(K47:L47),IF(C47="FITX",IF(E47="新倉",-SUM(K47:L47),IF(F47="賣",(I47-I46)*H47*200-SUM(K47:L47),(I46-I47)*H47*200-SUM(K47:L47))),IF(E47="新倉",-SUM(K47:L47),IF(F47="賣",(I47-I46)*H47*50-SUM(K47:L47),(I46-I47)*H47*50-SUM(K47:L47)))))</f>
        <v/>
      </c>
      <c r="N47" s="743">
        <f>M47</f>
        <v/>
      </c>
      <c r="O47" s="764">
        <f>IF(C47="TXO","",IF(E47="新倉","",IF(F47="賣",(I47-I46)*H47,(I46-I47)*H47)))</f>
        <v/>
      </c>
      <c r="P47" s="334">
        <f>ABS(J47)</f>
        <v/>
      </c>
      <c r="Q47" s="764" t="n"/>
      <c r="S47" s="739" t="n"/>
      <c r="T47" s="61" t="n"/>
      <c r="U47" s="61" t="n"/>
      <c r="V47" s="61" t="n"/>
      <c r="W47" s="61" t="n"/>
      <c r="X47" s="61" t="n"/>
      <c r="Y47" s="61" t="n"/>
      <c r="Z47" s="61" t="n"/>
    </row>
    <row r="48" hidden="1" outlineLevel="1" ht="17.25" customHeight="1" thickBot="1">
      <c r="B48" s="696" t="n">
        <v>42873</v>
      </c>
      <c r="C48" s="234" t="inlineStr">
        <is>
          <t>FIMTX</t>
        </is>
      </c>
      <c r="D48" s="229" t="inlineStr">
        <is>
          <t>小指05</t>
        </is>
      </c>
      <c r="E48" s="229" t="inlineStr">
        <is>
          <t>新倉</t>
        </is>
      </c>
      <c r="F48" s="229" t="inlineStr">
        <is>
          <t>賣</t>
        </is>
      </c>
      <c r="G48" s="229" t="inlineStr">
        <is>
          <t>-</t>
        </is>
      </c>
      <c r="H48" s="697" t="n">
        <v>1</v>
      </c>
      <c r="I48" s="697" t="n">
        <v>9891</v>
      </c>
      <c r="J48" s="697" t="n">
        <v>0</v>
      </c>
      <c r="K48" s="585" t="n">
        <v>60</v>
      </c>
      <c r="L48" s="749" t="n">
        <v>10</v>
      </c>
      <c r="M48" s="585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/>
      </c>
      <c r="N48" s="699">
        <f>M48</f>
        <v/>
      </c>
      <c r="O48" s="686">
        <f>IF(C48="TXO","",IF(E48="新倉","",IF(F48="賣",(I48-I47)*H48,(I47-I48)*H48)))</f>
        <v/>
      </c>
      <c r="P48" s="226">
        <f>ABS(J48)</f>
        <v/>
      </c>
      <c r="Q48" s="667" t="n"/>
      <c r="S48" s="739" t="n"/>
    </row>
    <row r="49" hidden="1" outlineLevel="1" ht="17.25" customHeight="1" thickBot="1">
      <c r="B49" s="696" t="n">
        <v>42873</v>
      </c>
      <c r="C49" s="234" t="inlineStr">
        <is>
          <t>FIMTX</t>
        </is>
      </c>
      <c r="D49" s="229" t="inlineStr">
        <is>
          <t>小指05</t>
        </is>
      </c>
      <c r="E49" s="229" t="inlineStr">
        <is>
          <t>平倉</t>
        </is>
      </c>
      <c r="F49" s="229" t="inlineStr">
        <is>
          <t>買</t>
        </is>
      </c>
      <c r="G49" s="229" t="inlineStr">
        <is>
          <t>-</t>
        </is>
      </c>
      <c r="H49" s="697" t="n">
        <v>1</v>
      </c>
      <c r="I49" s="697" t="n">
        <v>9883</v>
      </c>
      <c r="J49" s="697" t="n">
        <v>0</v>
      </c>
      <c r="K49" s="585" t="n">
        <v>60</v>
      </c>
      <c r="L49" s="749" t="n">
        <v>10</v>
      </c>
      <c r="M49" s="585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/>
      </c>
      <c r="N49" s="699">
        <f>M49</f>
        <v/>
      </c>
      <c r="O49" s="686">
        <f>IF(C49="TXO","",IF(E49="新倉","",IF(F49="賣",(I49-I48)*H49,(I48-I49)*H49)))</f>
        <v/>
      </c>
      <c r="P49" s="226">
        <f>ABS(J49)</f>
        <v/>
      </c>
      <c r="Q49" s="667" t="n"/>
      <c r="S49" s="739" t="n"/>
    </row>
    <row r="50" hidden="1" outlineLevel="1" ht="17.25" customHeight="1" thickBot="1">
      <c r="B50" s="740" t="n">
        <v>42874</v>
      </c>
      <c r="C50" s="299" t="inlineStr">
        <is>
          <t>FIMTX</t>
        </is>
      </c>
      <c r="D50" s="300" t="inlineStr">
        <is>
          <t>小指05</t>
        </is>
      </c>
      <c r="E50" s="300" t="inlineStr">
        <is>
          <t>新倉</t>
        </is>
      </c>
      <c r="F50" s="301" t="inlineStr">
        <is>
          <t>買</t>
        </is>
      </c>
      <c r="G50" s="300" t="inlineStr">
        <is>
          <t>-</t>
        </is>
      </c>
      <c r="H50" s="741" t="n">
        <v>1</v>
      </c>
      <c r="I50" s="741" t="n">
        <v>9942</v>
      </c>
      <c r="J50" s="741" t="n">
        <v>0</v>
      </c>
      <c r="K50" s="742" t="n">
        <v>60</v>
      </c>
      <c r="L50" s="742" t="n">
        <v>10</v>
      </c>
      <c r="M50" s="742">
        <f>IF(C50="TXO",J50-SUM(K50:L50),IF(C50="FITX",IF(E50="新倉",-SUM(K50:L50),IF(F50="賣",(I50-I49)*H50*200-SUM(K50:L50),(I49-I50)*H50*200-SUM(K50:L50))),IF(E50="新倉",-SUM(K50:L50),IF(F50="賣",(I50-I49)*H50*50-SUM(K50:L50),(I49-I50)*H50*50-SUM(K50:L50)))))</f>
        <v/>
      </c>
      <c r="N50" s="743">
        <f>M50</f>
        <v/>
      </c>
      <c r="O50" s="764">
        <f>IF(C50="TXO","",IF(E50="新倉","",IF(F50="賣",(I50-I49)*H50,(I49-I50)*H50)))</f>
        <v/>
      </c>
      <c r="P50" s="334">
        <f>ABS(J50)</f>
        <v/>
      </c>
      <c r="Q50" s="764" t="n"/>
      <c r="S50" s="739" t="n"/>
      <c r="T50" s="61" t="n"/>
      <c r="U50" s="61" t="n"/>
      <c r="V50" s="61" t="n"/>
      <c r="W50" s="61" t="n"/>
      <c r="X50" s="61" t="n"/>
      <c r="Y50" s="61" t="n"/>
      <c r="Z50" s="61" t="n"/>
    </row>
    <row r="51" hidden="1" outlineLevel="2" collapsed="1" ht="17.25" customHeight="1" thickBot="1">
      <c r="B51" s="740" t="n">
        <v>42874</v>
      </c>
      <c r="C51" s="299" t="inlineStr">
        <is>
          <t>FIMTX</t>
        </is>
      </c>
      <c r="D51" s="300" t="inlineStr">
        <is>
          <t>小指05</t>
        </is>
      </c>
      <c r="E51" s="300" t="inlineStr">
        <is>
          <t>平倉</t>
        </is>
      </c>
      <c r="F51" s="301" t="inlineStr">
        <is>
          <t>賣</t>
        </is>
      </c>
      <c r="G51" s="300" t="inlineStr">
        <is>
          <t>-</t>
        </is>
      </c>
      <c r="H51" s="741" t="n">
        <v>1</v>
      </c>
      <c r="I51" s="741" t="n">
        <v>9950</v>
      </c>
      <c r="J51" s="741" t="n">
        <v>0</v>
      </c>
      <c r="K51" s="742" t="n">
        <v>60</v>
      </c>
      <c r="L51" s="742" t="n">
        <v>10</v>
      </c>
      <c r="M51" s="742">
        <f>IF(C51="TXO",J51-SUM(K51:L51),IF(C51="FITX",IF(E51="新倉",-SUM(K51:L51),IF(F51="賣",(I51-I50)*H51*200-SUM(K51:L51),(I50-I51)*H51*200-SUM(K51:L51))),IF(E51="新倉",-SUM(K51:L51),IF(F51="賣",(I51-I50)*H51*50-SUM(K51:L51),(I50-I51)*H51*50-SUM(K51:L51)))))</f>
        <v/>
      </c>
      <c r="N51" s="743">
        <f>M51</f>
        <v/>
      </c>
      <c r="O51" s="764">
        <f>IF(C51="TXO","",IF(E51="新倉","",IF(F51="賣",(I51-I50)*H51,(I50-I51)*H51)))</f>
        <v/>
      </c>
      <c r="P51" s="334">
        <f>ABS(J51)</f>
        <v/>
      </c>
      <c r="Q51" s="764" t="n"/>
      <c r="S51" s="739" t="n"/>
      <c r="T51" s="61" t="n"/>
      <c r="U51" s="61" t="n"/>
      <c r="V51" s="61" t="n"/>
      <c r="W51" s="61" t="n"/>
      <c r="X51" s="61" t="n"/>
      <c r="Y51" s="61" t="n"/>
      <c r="Z51" s="61" t="n"/>
    </row>
    <row r="52" hidden="1" outlineLevel="2" collapsed="1" ht="17.25" customHeight="1" thickBot="1">
      <c r="B52" s="740" t="n">
        <v>42874</v>
      </c>
      <c r="C52" s="299" t="inlineStr">
        <is>
          <t>FIMTX</t>
        </is>
      </c>
      <c r="D52" s="300" t="inlineStr">
        <is>
          <t>小指05</t>
        </is>
      </c>
      <c r="E52" s="300" t="inlineStr">
        <is>
          <t>新倉</t>
        </is>
      </c>
      <c r="F52" s="301" t="inlineStr">
        <is>
          <t>買</t>
        </is>
      </c>
      <c r="G52" s="300" t="inlineStr">
        <is>
          <t>-</t>
        </is>
      </c>
      <c r="H52" s="741" t="n">
        <v>1</v>
      </c>
      <c r="I52" s="741" t="n">
        <v>9945</v>
      </c>
      <c r="J52" s="741" t="n">
        <v>0</v>
      </c>
      <c r="K52" s="742" t="n">
        <v>60</v>
      </c>
      <c r="L52" s="742" t="n">
        <v>10</v>
      </c>
      <c r="M52" s="742">
        <f>IF(C52="TXO",J52-SUM(K52:L52),IF(C52="FITX",IF(E52="新倉",-SUM(K52:L52),IF(F52="賣",(I52-I51)*H52*200-SUM(K52:L52),(I51-I52)*H52*200-SUM(K52:L52))),IF(E52="新倉",-SUM(K52:L52),IF(F52="賣",(I52-I51)*H52*50-SUM(K52:L52),(I51-I52)*H52*50-SUM(K52:L52)))))</f>
        <v/>
      </c>
      <c r="N52" s="743">
        <f>M52</f>
        <v/>
      </c>
      <c r="O52" s="764">
        <f>IF(C52="TXO","",IF(E52="新倉","",IF(F52="賣",(I52-I51)*H52,(I51-I52)*H52)))</f>
        <v/>
      </c>
      <c r="P52" s="334">
        <f>ABS(J52)</f>
        <v/>
      </c>
      <c r="Q52" s="764" t="n"/>
      <c r="S52" s="739" t="n"/>
      <c r="T52" s="61" t="n"/>
      <c r="U52" s="61" t="n"/>
      <c r="V52" s="61" t="n"/>
      <c r="W52" s="61" t="n"/>
      <c r="X52" s="61" t="n"/>
      <c r="Y52" s="61" t="n"/>
      <c r="Z52" s="61" t="n"/>
    </row>
    <row r="53" hidden="1" outlineLevel="2" collapsed="1" ht="17.25" customHeight="1" thickBot="1">
      <c r="B53" s="740" t="n">
        <v>42874</v>
      </c>
      <c r="C53" s="299" t="inlineStr">
        <is>
          <t>FIMTX</t>
        </is>
      </c>
      <c r="D53" s="300" t="inlineStr">
        <is>
          <t>小指05</t>
        </is>
      </c>
      <c r="E53" s="300" t="inlineStr">
        <is>
          <t>平倉</t>
        </is>
      </c>
      <c r="F53" s="301" t="inlineStr">
        <is>
          <t>賣</t>
        </is>
      </c>
      <c r="G53" s="300" t="inlineStr">
        <is>
          <t>-</t>
        </is>
      </c>
      <c r="H53" s="741" t="n">
        <v>1</v>
      </c>
      <c r="I53" s="741" t="n">
        <v>9943</v>
      </c>
      <c r="J53" s="741" t="n">
        <v>0</v>
      </c>
      <c r="K53" s="742" t="n">
        <v>60</v>
      </c>
      <c r="L53" s="742" t="n">
        <v>10</v>
      </c>
      <c r="M53" s="742">
        <f>IF(C53="TXO",J53-SUM(K53:L53),IF(C53="FITX",IF(E53="新倉",-SUM(K53:L53),IF(F53="賣",(I53-I52)*H53*200-SUM(K53:L53),(I52-I53)*H53*200-SUM(K53:L53))),IF(E53="新倉",-SUM(K53:L53),IF(F53="賣",(I53-I52)*H53*50-SUM(K53:L53),(I52-I53)*H53*50-SUM(K53:L53)))))</f>
        <v/>
      </c>
      <c r="N53" s="743">
        <f>M53</f>
        <v/>
      </c>
      <c r="O53" s="764">
        <f>IF(C53="TXO","",IF(E53="新倉","",IF(F53="賣",(I53-I52)*H53,(I52-I53)*H53)))</f>
        <v/>
      </c>
      <c r="P53" s="334">
        <f>ABS(J53)</f>
        <v/>
      </c>
      <c r="Q53" s="764" t="n"/>
      <c r="S53" s="739" t="n"/>
      <c r="T53" s="61" t="n"/>
      <c r="U53" s="61" t="n"/>
      <c r="V53" s="61" t="n"/>
      <c r="W53" s="61" t="n"/>
      <c r="X53" s="61" t="n"/>
      <c r="Y53" s="61" t="n"/>
      <c r="Z53" s="61" t="n"/>
    </row>
    <row r="54" hidden="1" outlineLevel="2" collapsed="1" ht="17.25" customHeight="1" thickBot="1">
      <c r="B54" s="740" t="n">
        <v>42874</v>
      </c>
      <c r="C54" s="299" t="inlineStr">
        <is>
          <t>FIMTX</t>
        </is>
      </c>
      <c r="D54" s="300" t="inlineStr">
        <is>
          <t>小指05</t>
        </is>
      </c>
      <c r="E54" s="300" t="inlineStr">
        <is>
          <t>新倉</t>
        </is>
      </c>
      <c r="F54" s="301" t="inlineStr">
        <is>
          <t>買</t>
        </is>
      </c>
      <c r="G54" s="300" t="inlineStr">
        <is>
          <t>-</t>
        </is>
      </c>
      <c r="H54" s="741" t="n">
        <v>1</v>
      </c>
      <c r="I54" s="741" t="n">
        <v>9945</v>
      </c>
      <c r="J54" s="741" t="n">
        <v>0</v>
      </c>
      <c r="K54" s="742" t="n">
        <v>60</v>
      </c>
      <c r="L54" s="742" t="n">
        <v>10</v>
      </c>
      <c r="M54" s="742">
        <f>IF(C54="TXO",J54-SUM(K54:L54),IF(C54="FITX",IF(E54="新倉",-SUM(K54:L54),IF(F54="賣",(I54-I53)*H54*200-SUM(K54:L54),(I53-I54)*H54*200-SUM(K54:L54))),IF(E54="新倉",-SUM(K54:L54),IF(F54="賣",(I54-I53)*H54*50-SUM(K54:L54),(I53-I54)*H54*50-SUM(K54:L54)))))</f>
        <v/>
      </c>
      <c r="N54" s="743">
        <f>M54</f>
        <v/>
      </c>
      <c r="O54" s="764">
        <f>IF(C54="TXO","",IF(E54="新倉","",IF(F54="賣",(I54-I53)*H54,(I53-I54)*H54)))</f>
        <v/>
      </c>
      <c r="P54" s="334">
        <f>ABS(J54)</f>
        <v/>
      </c>
      <c r="Q54" s="764" t="n"/>
      <c r="S54" s="739" t="n"/>
      <c r="T54" s="61" t="n"/>
      <c r="U54" s="61" t="n"/>
      <c r="V54" s="61" t="n"/>
      <c r="W54" s="61" t="n"/>
      <c r="X54" s="61" t="n"/>
      <c r="Y54" s="61" t="n"/>
      <c r="Z54" s="61" t="n"/>
    </row>
    <row r="55" hidden="1" outlineLevel="2" collapsed="1" ht="17.25" customHeight="1" thickBot="1">
      <c r="B55" s="740" t="n">
        <v>42874</v>
      </c>
      <c r="C55" s="299" t="inlineStr">
        <is>
          <t>FIMTX</t>
        </is>
      </c>
      <c r="D55" s="300" t="inlineStr">
        <is>
          <t>小指05</t>
        </is>
      </c>
      <c r="E55" s="300" t="inlineStr">
        <is>
          <t>平倉</t>
        </is>
      </c>
      <c r="F55" s="301" t="inlineStr">
        <is>
          <t>賣</t>
        </is>
      </c>
      <c r="G55" s="300" t="inlineStr">
        <is>
          <t>-</t>
        </is>
      </c>
      <c r="H55" s="741" t="n">
        <v>1</v>
      </c>
      <c r="I55" s="741" t="n">
        <v>9946</v>
      </c>
      <c r="J55" s="741" t="n">
        <v>0</v>
      </c>
      <c r="K55" s="742" t="n">
        <v>60</v>
      </c>
      <c r="L55" s="742" t="n">
        <v>10</v>
      </c>
      <c r="M55" s="742">
        <f>IF(C55="TXO",J55-SUM(K55:L55),IF(C55="FITX",IF(E55="新倉",-SUM(K55:L55),IF(F55="賣",(I55-I54)*H55*200-SUM(K55:L55),(I54-I55)*H55*200-SUM(K55:L55))),IF(E55="新倉",-SUM(K55:L55),IF(F55="賣",(I55-I54)*H55*50-SUM(K55:L55),(I54-I55)*H55*50-SUM(K55:L55)))))</f>
        <v/>
      </c>
      <c r="N55" s="743">
        <f>M55</f>
        <v/>
      </c>
      <c r="O55" s="764">
        <f>IF(C55="TXO","",IF(E55="新倉","",IF(F55="賣",(I55-I54)*H55,(I54-I55)*H55)))</f>
        <v/>
      </c>
      <c r="P55" s="334">
        <f>ABS(J55)</f>
        <v/>
      </c>
      <c r="Q55" s="764" t="n"/>
      <c r="S55" s="739" t="n"/>
      <c r="T55" s="61" t="n"/>
      <c r="U55" s="61" t="n"/>
      <c r="V55" s="61" t="n"/>
      <c r="W55" s="61" t="n"/>
      <c r="X55" s="61" t="n"/>
      <c r="Y55" s="61" t="n"/>
      <c r="Z55" s="61" t="n"/>
    </row>
    <row r="56" hidden="1" outlineLevel="2" collapsed="1" ht="17.25" customHeight="1" thickBot="1">
      <c r="B56" s="740" t="n">
        <v>42874</v>
      </c>
      <c r="C56" s="299" t="inlineStr">
        <is>
          <t>FIMTX</t>
        </is>
      </c>
      <c r="D56" s="300" t="inlineStr">
        <is>
          <t>小指05</t>
        </is>
      </c>
      <c r="E56" s="300" t="inlineStr">
        <is>
          <t>新倉</t>
        </is>
      </c>
      <c r="F56" s="301" t="inlineStr">
        <is>
          <t>買</t>
        </is>
      </c>
      <c r="G56" s="300" t="inlineStr">
        <is>
          <t>-</t>
        </is>
      </c>
      <c r="H56" s="741" t="n">
        <v>1</v>
      </c>
      <c r="I56" s="741" t="n">
        <v>9959</v>
      </c>
      <c r="J56" s="741" t="n">
        <v>0</v>
      </c>
      <c r="K56" s="742" t="n">
        <v>60</v>
      </c>
      <c r="L56" s="742" t="n">
        <v>10</v>
      </c>
      <c r="M56" s="742">
        <f>IF(C56="TXO",J56-SUM(K56:L56),IF(C56="FITX",IF(E56="新倉",-SUM(K56:L56),IF(F56="賣",(I56-I55)*H56*200-SUM(K56:L56),(I55-I56)*H56*200-SUM(K56:L56))),IF(E56="新倉",-SUM(K56:L56),IF(F56="賣",(I56-I55)*H56*50-SUM(K56:L56),(I55-I56)*H56*50-SUM(K56:L56)))))</f>
        <v/>
      </c>
      <c r="N56" s="743">
        <f>M56</f>
        <v/>
      </c>
      <c r="O56" s="764">
        <f>IF(C56="TXO","",IF(E56="新倉","",IF(F56="賣",(I56-I55)*H56,(I55-I56)*H56)))</f>
        <v/>
      </c>
      <c r="P56" s="334">
        <f>ABS(J56)</f>
        <v/>
      </c>
      <c r="Q56" s="764" t="n"/>
      <c r="S56" s="739" t="n"/>
      <c r="T56" s="61" t="n"/>
      <c r="U56" s="61" t="n"/>
      <c r="V56" s="61" t="n"/>
      <c r="W56" s="61" t="n"/>
      <c r="X56" s="61" t="n"/>
      <c r="Y56" s="61" t="n"/>
      <c r="Z56" s="61" t="n"/>
    </row>
    <row r="57" hidden="1" outlineLevel="2" collapsed="1" ht="17.25" customHeight="1" thickBot="1">
      <c r="B57" s="740" t="n">
        <v>42874</v>
      </c>
      <c r="C57" s="299" t="inlineStr">
        <is>
          <t>FIMTX</t>
        </is>
      </c>
      <c r="D57" s="300" t="inlineStr">
        <is>
          <t>小指05</t>
        </is>
      </c>
      <c r="E57" s="300" t="inlineStr">
        <is>
          <t>平倉</t>
        </is>
      </c>
      <c r="F57" s="301" t="inlineStr">
        <is>
          <t>賣</t>
        </is>
      </c>
      <c r="G57" s="300" t="inlineStr">
        <is>
          <t>-</t>
        </is>
      </c>
      <c r="H57" s="741" t="n">
        <v>1</v>
      </c>
      <c r="I57" s="741" t="n">
        <v>9949</v>
      </c>
      <c r="J57" s="741" t="n">
        <v>0</v>
      </c>
      <c r="K57" s="742" t="n">
        <v>60</v>
      </c>
      <c r="L57" s="742" t="n">
        <v>10</v>
      </c>
      <c r="M57" s="742">
        <f>IF(C57="TXO",J57-SUM(K57:L57),IF(C57="FITX",IF(E57="新倉",-SUM(K57:L57),IF(F57="賣",(I57-I56)*H57*200-SUM(K57:L57),(I56-I57)*H57*200-SUM(K57:L57))),IF(E57="新倉",-SUM(K57:L57),IF(F57="賣",(I57-I56)*H57*50-SUM(K57:L57),(I56-I57)*H57*50-SUM(K57:L57)))))</f>
        <v/>
      </c>
      <c r="N57" s="743">
        <f>M57</f>
        <v/>
      </c>
      <c r="O57" s="764">
        <f>IF(C57="TXO","",IF(E57="新倉","",IF(F57="賣",(I57-I56)*H57,(I56-I57)*H57)))</f>
        <v/>
      </c>
      <c r="P57" s="334">
        <f>ABS(J57)</f>
        <v/>
      </c>
      <c r="Q57" s="764" t="n"/>
      <c r="S57" s="739" t="n"/>
      <c r="T57" s="61" t="n"/>
      <c r="U57" s="61" t="n"/>
      <c r="V57" s="61" t="n"/>
      <c r="W57" s="61" t="n"/>
      <c r="X57" s="61" t="n"/>
      <c r="Y57" s="61" t="n"/>
      <c r="Z57" s="61" t="n"/>
    </row>
    <row r="58" hidden="1" outlineLevel="2" collapsed="1" ht="17.25" customHeight="1" thickBot="1">
      <c r="B58" s="740" t="n">
        <v>42874</v>
      </c>
      <c r="C58" s="299" t="inlineStr">
        <is>
          <t>FIMTX</t>
        </is>
      </c>
      <c r="D58" s="300" t="inlineStr">
        <is>
          <t>小指05</t>
        </is>
      </c>
      <c r="E58" s="300" t="inlineStr">
        <is>
          <t>新倉</t>
        </is>
      </c>
      <c r="F58" s="301" t="inlineStr">
        <is>
          <t>買</t>
        </is>
      </c>
      <c r="G58" s="300" t="inlineStr">
        <is>
          <t>-</t>
        </is>
      </c>
      <c r="H58" s="741" t="n">
        <v>1</v>
      </c>
      <c r="I58" s="741" t="n">
        <v>9959</v>
      </c>
      <c r="J58" s="741" t="n">
        <v>0</v>
      </c>
      <c r="K58" s="742" t="n">
        <v>60</v>
      </c>
      <c r="L58" s="742" t="n">
        <v>10</v>
      </c>
      <c r="M58" s="742">
        <f>IF(C58="TXO",J58-SUM(K58:L58),IF(C58="FITX",IF(E58="新倉",-SUM(K58:L58),IF(F58="賣",(I58-I57)*H58*200-SUM(K58:L58),(I57-I58)*H58*200-SUM(K58:L58))),IF(E58="新倉",-SUM(K58:L58),IF(F58="賣",(I58-I57)*H58*50-SUM(K58:L58),(I57-I58)*H58*50-SUM(K58:L58)))))</f>
        <v/>
      </c>
      <c r="N58" s="743">
        <f>M58</f>
        <v/>
      </c>
      <c r="O58" s="764">
        <f>IF(C58="TXO","",IF(E58="新倉","",IF(F58="賣",(I58-I57)*H58,(I57-I58)*H58)))</f>
        <v/>
      </c>
      <c r="P58" s="334">
        <f>ABS(J58)</f>
        <v/>
      </c>
      <c r="Q58" s="764" t="n"/>
      <c r="S58" s="739" t="n"/>
      <c r="T58" s="61" t="n"/>
      <c r="U58" s="61" t="n"/>
      <c r="V58" s="61" t="n"/>
      <c r="W58" s="61" t="n"/>
      <c r="X58" s="61" t="n"/>
      <c r="Y58" s="61" t="n"/>
      <c r="Z58" s="61" t="n"/>
    </row>
    <row r="59" hidden="1" outlineLevel="2" collapsed="1" ht="17.25" customHeight="1" thickBot="1">
      <c r="B59" s="740" t="n">
        <v>42874</v>
      </c>
      <c r="C59" s="299" t="inlineStr">
        <is>
          <t>FIMTX</t>
        </is>
      </c>
      <c r="D59" s="300" t="inlineStr">
        <is>
          <t>小指05</t>
        </is>
      </c>
      <c r="E59" s="300" t="inlineStr">
        <is>
          <t>平倉</t>
        </is>
      </c>
      <c r="F59" s="301" t="inlineStr">
        <is>
          <t>賣</t>
        </is>
      </c>
      <c r="G59" s="300" t="inlineStr">
        <is>
          <t>-</t>
        </is>
      </c>
      <c r="H59" s="741" t="n">
        <v>1</v>
      </c>
      <c r="I59" s="741" t="n">
        <v>9950</v>
      </c>
      <c r="J59" s="741" t="n">
        <v>0</v>
      </c>
      <c r="K59" s="742" t="n">
        <v>60</v>
      </c>
      <c r="L59" s="742" t="n">
        <v>10</v>
      </c>
      <c r="M59" s="742">
        <f>IF(C59="TXO",J59-SUM(K59:L59),IF(C59="FITX",IF(E59="新倉",-SUM(K59:L59),IF(F59="賣",(I59-I58)*H59*200-SUM(K59:L59),(I58-I59)*H59*200-SUM(K59:L59))),IF(E59="新倉",-SUM(K59:L59),IF(F59="賣",(I59-I58)*H59*50-SUM(K59:L59),(I58-I59)*H59*50-SUM(K59:L59)))))</f>
        <v/>
      </c>
      <c r="N59" s="743">
        <f>M59</f>
        <v/>
      </c>
      <c r="O59" s="764">
        <f>IF(C59="TXO","",IF(E59="新倉","",IF(F59="賣",(I59-I58)*H59,(I58-I59)*H59)))</f>
        <v/>
      </c>
      <c r="P59" s="334">
        <f>ABS(J59)</f>
        <v/>
      </c>
      <c r="Q59" s="764" t="n"/>
      <c r="S59" s="739" t="n"/>
      <c r="T59" s="61" t="n"/>
      <c r="U59" s="61" t="n"/>
      <c r="V59" s="61" t="n"/>
      <c r="W59" s="61" t="n"/>
      <c r="X59" s="61" t="n"/>
      <c r="Y59" s="61" t="n"/>
      <c r="Z59" s="61" t="n"/>
    </row>
    <row r="60" ht="17.25" customHeight="1" thickBot="1">
      <c r="B60" s="718" t="n">
        <v>42877</v>
      </c>
      <c r="C60" s="292" t="n"/>
      <c r="D60" s="292" t="inlineStr">
        <is>
          <t>阿水財經三班</t>
        </is>
      </c>
      <c r="E60" s="292" t="n"/>
      <c r="F60" s="292" t="n"/>
      <c r="G60" s="292" t="n"/>
      <c r="H60" s="719" t="n"/>
      <c r="I60" s="719" t="n"/>
      <c r="J60" s="719" t="n"/>
      <c r="K60" s="720" t="n"/>
      <c r="L60" s="719" t="n"/>
      <c r="M60" s="720" t="n"/>
      <c r="N60" s="721" t="n">
        <v>-8240</v>
      </c>
      <c r="O60" s="760" t="n"/>
      <c r="Q60" s="761" t="n"/>
      <c r="R60" s="230" t="inlineStr">
        <is>
          <t>98888分12期, 每期8240</t>
        </is>
      </c>
      <c r="S60" s="739" t="n"/>
    </row>
    <row r="61" collapsed="1" ht="17.25" customHeight="1" thickBot="1">
      <c r="B61" s="273" t="inlineStr">
        <is>
          <t>5月總計</t>
        </is>
      </c>
      <c r="C61" s="274" t="n"/>
      <c r="D61" s="274" t="n"/>
      <c r="E61" s="274" t="n"/>
      <c r="F61" s="274" t="n"/>
      <c r="G61" s="274" t="n"/>
      <c r="H61" s="715" t="n"/>
      <c r="I61" s="715" t="n"/>
      <c r="J61" s="715" t="n"/>
      <c r="K61" s="716" t="n"/>
      <c r="L61" s="715" t="n"/>
      <c r="M61" s="750">
        <f>SUM(M17:M60)</f>
        <v/>
      </c>
      <c r="N61" s="751">
        <f>SUM(N17:N60)</f>
        <v/>
      </c>
      <c r="O61" s="762" t="n"/>
      <c r="P61" s="331" t="n"/>
      <c r="Q61" s="763" t="n"/>
      <c r="S61" s="739" t="n"/>
    </row>
    <row r="62" collapsed="1" ht="17.25" customHeight="1" thickBot="1">
      <c r="B62" s="718" t="n">
        <v>42888</v>
      </c>
      <c r="C62" s="292" t="n"/>
      <c r="D62" s="292" t="inlineStr">
        <is>
          <t>【3M】13吋防窺片</t>
        </is>
      </c>
      <c r="E62" s="292" t="n"/>
      <c r="F62" s="292" t="n"/>
      <c r="G62" s="292" t="n"/>
      <c r="H62" s="719" t="n"/>
      <c r="I62" s="719" t="n"/>
      <c r="J62" s="719" t="n"/>
      <c r="K62" s="720" t="n"/>
      <c r="L62" s="719" t="n"/>
      <c r="M62" s="720" t="n"/>
      <c r="N62" s="721" t="n">
        <v>-413</v>
      </c>
      <c r="O62" s="760" t="n"/>
      <c r="Q62" s="761" t="n"/>
      <c r="R62" s="230" t="inlineStr">
        <is>
          <t>1241分3期, 每期413</t>
        </is>
      </c>
      <c r="S62" s="739" t="n"/>
    </row>
    <row r="63" hidden="1" outlineLevel="1" ht="17.25" customHeight="1" thickBot="1">
      <c r="B63" s="740" t="n">
        <v>42894</v>
      </c>
      <c r="C63" s="299" t="inlineStr">
        <is>
          <t>FIMTX</t>
        </is>
      </c>
      <c r="D63" s="300" t="inlineStr">
        <is>
          <t>小指05</t>
        </is>
      </c>
      <c r="E63" s="300" t="inlineStr">
        <is>
          <t>新倉</t>
        </is>
      </c>
      <c r="F63" s="301" t="inlineStr">
        <is>
          <t>買</t>
        </is>
      </c>
      <c r="G63" s="300" t="inlineStr">
        <is>
          <t>-</t>
        </is>
      </c>
      <c r="H63" s="741" t="n">
        <v>1</v>
      </c>
      <c r="I63" s="741" t="n">
        <v>10204</v>
      </c>
      <c r="J63" s="741" t="n">
        <v>0</v>
      </c>
      <c r="K63" s="742" t="n">
        <v>23</v>
      </c>
      <c r="L63" s="742" t="n">
        <v>10</v>
      </c>
      <c r="M63" s="742">
        <f>IF(C63="TXO",J63-SUM(K63:L63),IF(C63="FITX",IF(E63="新倉",-SUM(K63:L63),IF(F63="賣",(I63-I62)*H63*200-SUM(K63:L63),(I62-I63)*H63*200-SUM(K63:L63))),IF(E63="新倉",-SUM(K63:L63),IF(F63="賣",(I63-I62)*H63*50-SUM(K63:L63),(I62-I63)*H63*50-SUM(K63:L63)))))</f>
        <v/>
      </c>
      <c r="N63" s="743">
        <f>M63</f>
        <v/>
      </c>
      <c r="O63" s="764">
        <f>IF(C63="TXO","",IF(E63="新倉","",IF(F63="賣",(I63-I62)*H63,(I62-I63)*H63)))</f>
        <v/>
      </c>
      <c r="P63" s="334">
        <f>ABS(J63)</f>
        <v/>
      </c>
      <c r="Q63" s="764">
        <f>SUM(M63:M64)</f>
        <v/>
      </c>
      <c r="S63" s="739" t="n"/>
      <c r="T63" s="61" t="n"/>
      <c r="U63" s="61" t="n"/>
      <c r="V63" s="61" t="n"/>
      <c r="W63" s="61" t="n"/>
      <c r="X63" s="61" t="n"/>
      <c r="Y63" s="61" t="n"/>
      <c r="Z63" s="61" t="n"/>
    </row>
    <row r="64" hidden="1" outlineLevel="1" ht="17.25" customHeight="1" thickBot="1">
      <c r="B64" s="740" t="n">
        <v>42894</v>
      </c>
      <c r="C64" s="299" t="inlineStr">
        <is>
          <t>FIMTX</t>
        </is>
      </c>
      <c r="D64" s="300" t="inlineStr">
        <is>
          <t>小指05</t>
        </is>
      </c>
      <c r="E64" s="300" t="inlineStr">
        <is>
          <t>平倉</t>
        </is>
      </c>
      <c r="F64" s="301" t="inlineStr">
        <is>
          <t>賣</t>
        </is>
      </c>
      <c r="G64" s="300" t="inlineStr">
        <is>
          <t>-</t>
        </is>
      </c>
      <c r="H64" s="741" t="n">
        <v>1</v>
      </c>
      <c r="I64" s="741" t="n">
        <v>10194</v>
      </c>
      <c r="J64" s="741" t="n">
        <v>0</v>
      </c>
      <c r="K64" s="742" t="n">
        <v>23</v>
      </c>
      <c r="L64" s="742" t="n">
        <v>10</v>
      </c>
      <c r="M64" s="742">
        <f>IF(C64="TXO",J64-SUM(K64:L64),IF(C64="FITX",IF(E64="新倉",-SUM(K64:L64),IF(F64="賣",(I64-I63)*H64*200-SUM(K64:L64),(I63-I64)*H64*200-SUM(K64:L64))),IF(E64="新倉",-SUM(K64:L64),IF(F64="賣",(I64-I63)*H64*50-SUM(K64:L64),(I63-I64)*H64*50-SUM(K64:L64)))))</f>
        <v/>
      </c>
      <c r="N64" s="743">
        <f>M64</f>
        <v/>
      </c>
      <c r="O64" s="764">
        <f>IF(C64="TXO","",IF(E64="新倉","",IF(F64="賣",(I64-I63)*H64,(I63-I64)*H64)))</f>
        <v/>
      </c>
      <c r="P64" s="334">
        <f>ABS(J64)</f>
        <v/>
      </c>
      <c r="Q64" s="764" t="n"/>
      <c r="S64" s="739" t="n"/>
      <c r="T64" s="61" t="n"/>
      <c r="U64" s="61" t="n"/>
      <c r="V64" s="61" t="n"/>
      <c r="W64" s="61" t="n"/>
      <c r="X64" s="61" t="n"/>
      <c r="Y64" s="61" t="n"/>
      <c r="Z64" s="61" t="n"/>
    </row>
    <row r="65" hidden="1" outlineLevel="1" ht="17.25" customHeight="1" thickBot="1">
      <c r="B65" s="696" t="n">
        <v>42895</v>
      </c>
      <c r="C65" s="234" t="inlineStr">
        <is>
          <t>FIMTX</t>
        </is>
      </c>
      <c r="D65" s="229" t="inlineStr">
        <is>
          <t>小指05</t>
        </is>
      </c>
      <c r="E65" s="229" t="inlineStr">
        <is>
          <t>新倉</t>
        </is>
      </c>
      <c r="F65" s="229" t="inlineStr">
        <is>
          <t>買</t>
        </is>
      </c>
      <c r="G65" s="229" t="inlineStr">
        <is>
          <t>-</t>
        </is>
      </c>
      <c r="H65" s="697" t="n">
        <v>1</v>
      </c>
      <c r="I65" s="697" t="n">
        <v>10250</v>
      </c>
      <c r="J65" s="697" t="n">
        <v>0</v>
      </c>
      <c r="K65" s="585" t="n">
        <v>23</v>
      </c>
      <c r="L65" s="749" t="n">
        <v>10</v>
      </c>
      <c r="M65" s="585">
        <f>IF(C65="TXO",J65-SUM(K65:L65),IF(C65="FITX",IF(E65="新倉",-SUM(K65:L65),IF(F65="賣",(I65-I64)*H65*200-SUM(K65:L65),(I64-I65)*H65*200-SUM(K65:L65))),IF(E65="新倉",-SUM(K65:L65),IF(F65="賣",(I65-I64)*H65*50-SUM(K65:L65),(I64-I65)*H65*50-SUM(K65:L65)))))</f>
        <v/>
      </c>
      <c r="N65" s="699">
        <f>M65</f>
        <v/>
      </c>
      <c r="O65" s="686">
        <f>IF(C65="TXO","",IF(E65="新倉","",IF(F65="賣",(I65-I64)*H65,(I64-I65)*H65)))</f>
        <v/>
      </c>
      <c r="P65" s="226">
        <f>ABS(J65)</f>
        <v/>
      </c>
      <c r="Q65" s="667">
        <f>SUM(M65:M70)</f>
        <v/>
      </c>
      <c r="S65" s="739" t="n"/>
    </row>
    <row r="66" hidden="1" outlineLevel="2" ht="17.25" customHeight="1" thickBot="1">
      <c r="B66" s="696" t="n">
        <v>42895</v>
      </c>
      <c r="C66" s="234" t="inlineStr">
        <is>
          <t>FIMTX</t>
        </is>
      </c>
      <c r="D66" s="229" t="inlineStr">
        <is>
          <t>小指05</t>
        </is>
      </c>
      <c r="E66" s="229" t="inlineStr">
        <is>
          <t>平倉</t>
        </is>
      </c>
      <c r="F66" s="229" t="inlineStr">
        <is>
          <t>賣</t>
        </is>
      </c>
      <c r="G66" s="229" t="inlineStr">
        <is>
          <t>-</t>
        </is>
      </c>
      <c r="H66" s="697" t="n">
        <v>1</v>
      </c>
      <c r="I66" s="697" t="n">
        <v>10241</v>
      </c>
      <c r="J66" s="697" t="n">
        <v>0</v>
      </c>
      <c r="K66" s="585" t="n">
        <v>23</v>
      </c>
      <c r="L66" s="749" t="n">
        <v>10</v>
      </c>
      <c r="M66" s="585">
        <f>IF(C66="TXO",J66-SUM(K66:L66),IF(C66="FITX",IF(E66="新倉",-SUM(K66:L66),IF(F66="賣",(I66-I65)*H66*200-SUM(K66:L66),(I65-I66)*H66*200-SUM(K66:L66))),IF(E66="新倉",-SUM(K66:L66),IF(F66="賣",(I66-I65)*H66*50-SUM(K66:L66),(I65-I66)*H66*50-SUM(K66:L66)))))</f>
        <v/>
      </c>
      <c r="N66" s="699">
        <f>M66</f>
        <v/>
      </c>
      <c r="O66" s="686">
        <f>IF(C66="TXO","",IF(E66="新倉","",IF(F66="賣",(I66-I65)*H66,(I65-I66)*H66)))</f>
        <v/>
      </c>
      <c r="P66" s="226">
        <f>ABS(J66)</f>
        <v/>
      </c>
      <c r="Q66" s="667" t="n"/>
      <c r="S66" s="739" t="n"/>
    </row>
    <row r="67" hidden="1" outlineLevel="2" ht="17.25" customHeight="1" thickBot="1">
      <c r="B67" s="696" t="n">
        <v>42895</v>
      </c>
      <c r="C67" s="234" t="inlineStr">
        <is>
          <t>FIMTX</t>
        </is>
      </c>
      <c r="D67" s="229" t="inlineStr">
        <is>
          <t>小指05</t>
        </is>
      </c>
      <c r="E67" s="229" t="inlineStr">
        <is>
          <t>新倉</t>
        </is>
      </c>
      <c r="F67" s="229" t="inlineStr">
        <is>
          <t>賣</t>
        </is>
      </c>
      <c r="G67" s="229" t="inlineStr">
        <is>
          <t>-</t>
        </is>
      </c>
      <c r="H67" s="697" t="n">
        <v>1</v>
      </c>
      <c r="I67" s="697" t="n">
        <v>10228</v>
      </c>
      <c r="J67" s="697" t="n">
        <v>0</v>
      </c>
      <c r="K67" s="585" t="n">
        <v>23</v>
      </c>
      <c r="L67" s="749" t="n">
        <v>10</v>
      </c>
      <c r="M67" s="585">
        <f>IF(C67="TXO",J67-SUM(K67:L67),IF(C67="FITX",IF(E67="新倉",-SUM(K67:L67),IF(F67="賣",(I67-I66)*H67*200-SUM(K67:L67),(I66-I67)*H67*200-SUM(K67:L67))),IF(E67="新倉",-SUM(K67:L67),IF(F67="賣",(I67-I66)*H67*50-SUM(K67:L67),(I66-I67)*H67*50-SUM(K67:L67)))))</f>
        <v/>
      </c>
      <c r="N67" s="699">
        <f>M67</f>
        <v/>
      </c>
      <c r="O67" s="686">
        <f>IF(C67="TXO","",IF(E67="新倉","",IF(F67="賣",(I67-I66)*H67,(I66-I67)*H67)))</f>
        <v/>
      </c>
      <c r="P67" s="226">
        <f>ABS(J67)</f>
        <v/>
      </c>
      <c r="Q67" s="667" t="n"/>
      <c r="S67" s="739" t="n"/>
    </row>
    <row r="68" hidden="1" outlineLevel="2" ht="17.25" customHeight="1" thickBot="1">
      <c r="B68" s="696" t="n">
        <v>42895</v>
      </c>
      <c r="C68" s="234" t="inlineStr">
        <is>
          <t>FIMTX</t>
        </is>
      </c>
      <c r="D68" s="229" t="inlineStr">
        <is>
          <t>小指05</t>
        </is>
      </c>
      <c r="E68" s="229" t="inlineStr">
        <is>
          <t>平倉</t>
        </is>
      </c>
      <c r="F68" s="229" t="inlineStr">
        <is>
          <t>買</t>
        </is>
      </c>
      <c r="G68" s="229" t="inlineStr">
        <is>
          <t>-</t>
        </is>
      </c>
      <c r="H68" s="697" t="n">
        <v>1</v>
      </c>
      <c r="I68" s="697" t="n">
        <v>10225</v>
      </c>
      <c r="J68" s="697" t="n">
        <v>0</v>
      </c>
      <c r="K68" s="585" t="n">
        <v>23</v>
      </c>
      <c r="L68" s="749" t="n">
        <v>10</v>
      </c>
      <c r="M68" s="585">
        <f>IF(C68="TXO",J68-SUM(K68:L68),IF(C68="FITX",IF(E68="新倉",-SUM(K68:L68),IF(F68="賣",(I68-I67)*H68*200-SUM(K68:L68),(I67-I68)*H68*200-SUM(K68:L68))),IF(E68="新倉",-SUM(K68:L68),IF(F68="賣",(I68-I67)*H68*50-SUM(K68:L68),(I67-I68)*H68*50-SUM(K68:L68)))))</f>
        <v/>
      </c>
      <c r="N68" s="699">
        <f>M68</f>
        <v/>
      </c>
      <c r="O68" s="686">
        <f>IF(C68="TXO","",IF(E68="新倉","",IF(F68="賣",(I68-I67)*H68,(I67-I68)*H68)))</f>
        <v/>
      </c>
      <c r="P68" s="226">
        <f>ABS(J68)</f>
        <v/>
      </c>
      <c r="Q68" s="667" t="n"/>
      <c r="S68" s="739" t="n"/>
    </row>
    <row r="69" hidden="1" outlineLevel="2" ht="17.25" customHeight="1" thickBot="1">
      <c r="B69" s="696" t="n">
        <v>42895</v>
      </c>
      <c r="C69" s="234" t="inlineStr">
        <is>
          <t>FIMTX</t>
        </is>
      </c>
      <c r="D69" s="229" t="inlineStr">
        <is>
          <t>小指05</t>
        </is>
      </c>
      <c r="E69" s="229" t="inlineStr">
        <is>
          <t>新倉</t>
        </is>
      </c>
      <c r="F69" s="229" t="inlineStr">
        <is>
          <t>賣</t>
        </is>
      </c>
      <c r="G69" s="229" t="inlineStr">
        <is>
          <t>-</t>
        </is>
      </c>
      <c r="H69" s="697" t="n">
        <v>1</v>
      </c>
      <c r="I69" s="697" t="n">
        <v>10218</v>
      </c>
      <c r="J69" s="697" t="n">
        <v>0</v>
      </c>
      <c r="K69" s="585" t="n">
        <v>23</v>
      </c>
      <c r="L69" s="749" t="n">
        <v>10</v>
      </c>
      <c r="M69" s="585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/>
      </c>
      <c r="N69" s="699">
        <f>M69</f>
        <v/>
      </c>
      <c r="O69" s="686">
        <f>IF(C69="TXO","",IF(E69="新倉","",IF(F69="賣",(I69-I68)*H69,(I68-I69)*H69)))</f>
        <v/>
      </c>
      <c r="P69" s="226">
        <f>ABS(J69)</f>
        <v/>
      </c>
      <c r="Q69" s="667" t="n"/>
      <c r="S69" s="739" t="n"/>
    </row>
    <row r="70" hidden="1" outlineLevel="2" ht="17.25" customHeight="1" thickBot="1">
      <c r="B70" s="696" t="n">
        <v>42895</v>
      </c>
      <c r="C70" s="234" t="inlineStr">
        <is>
          <t>FIMTX</t>
        </is>
      </c>
      <c r="D70" s="229" t="inlineStr">
        <is>
          <t>小指05</t>
        </is>
      </c>
      <c r="E70" s="229" t="inlineStr">
        <is>
          <t>平倉</t>
        </is>
      </c>
      <c r="F70" s="229" t="inlineStr">
        <is>
          <t>買</t>
        </is>
      </c>
      <c r="G70" s="229" t="inlineStr">
        <is>
          <t>-</t>
        </is>
      </c>
      <c r="H70" s="697" t="n">
        <v>1</v>
      </c>
      <c r="I70" s="697" t="n">
        <v>10215</v>
      </c>
      <c r="J70" s="697" t="n">
        <v>0</v>
      </c>
      <c r="K70" s="585" t="n">
        <v>23</v>
      </c>
      <c r="L70" s="749" t="n">
        <v>10</v>
      </c>
      <c r="M70" s="585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/>
      </c>
      <c r="N70" s="699">
        <f>M70</f>
        <v/>
      </c>
      <c r="O70" s="686">
        <f>IF(C70="TXO","",IF(E70="新倉","",IF(F70="賣",(I70-I69)*H70,(I69-I70)*H70)))</f>
        <v/>
      </c>
      <c r="P70" s="226">
        <f>ABS(J70)</f>
        <v/>
      </c>
      <c r="Q70" s="667" t="n"/>
      <c r="S70" s="739" t="n"/>
    </row>
    <row r="71" hidden="1" outlineLevel="1" ht="17.25" customHeight="1" thickBot="1">
      <c r="B71" s="740" t="n">
        <v>42901</v>
      </c>
      <c r="C71" s="299" t="inlineStr">
        <is>
          <t>FIMTX</t>
        </is>
      </c>
      <c r="D71" s="300" t="inlineStr">
        <is>
          <t>小指06</t>
        </is>
      </c>
      <c r="E71" s="300" t="inlineStr">
        <is>
          <t>新倉</t>
        </is>
      </c>
      <c r="F71" s="301" t="inlineStr">
        <is>
          <t>買</t>
        </is>
      </c>
      <c r="G71" s="300" t="inlineStr">
        <is>
          <t>-</t>
        </is>
      </c>
      <c r="H71" s="741" t="n">
        <v>1</v>
      </c>
      <c r="I71" s="741" t="n">
        <v>10066</v>
      </c>
      <c r="J71" s="741" t="n">
        <v>0</v>
      </c>
      <c r="K71" s="742" t="n">
        <v>23</v>
      </c>
      <c r="L71" s="742" t="n">
        <v>10</v>
      </c>
      <c r="M71" s="742">
        <f>IF(C71="TXO",J71-SUM(K71:L71),IF(C71="FITX",IF(E71="新倉",-SUM(K71:L71),IF(F71="賣",(I71-I70)*H71*200-SUM(K71:L71),(I70-I71)*H71*200-SUM(K71:L71))),IF(E71="新倉",-SUM(K71:L71),IF(F71="賣",(I71-I70)*H71*50-SUM(K71:L71),(I70-I71)*H71*50-SUM(K71:L71)))))</f>
        <v/>
      </c>
      <c r="N71" s="743">
        <f>M71</f>
        <v/>
      </c>
      <c r="O71" s="764">
        <f>IF(C71="TXO","",IF(E71="新倉","",IF(F71="賣",(I71-I70)*H71,(I70-I71)*H71)))</f>
        <v/>
      </c>
      <c r="P71" s="334">
        <f>ABS(J71)</f>
        <v/>
      </c>
      <c r="Q71" s="764">
        <f>SUM(M71:M72)</f>
        <v/>
      </c>
      <c r="S71" s="739" t="n"/>
      <c r="T71" s="61" t="n"/>
      <c r="U71" s="61" t="n"/>
      <c r="V71" s="61" t="n"/>
      <c r="W71" s="61" t="n"/>
      <c r="X71" s="61" t="n"/>
      <c r="Y71" s="61" t="n"/>
      <c r="Z71" s="61" t="n"/>
    </row>
    <row r="72" hidden="1" outlineLevel="1" ht="17.25" customHeight="1" thickBot="1">
      <c r="B72" s="740" t="n">
        <v>42901</v>
      </c>
      <c r="C72" s="299" t="inlineStr">
        <is>
          <t>FIMTX</t>
        </is>
      </c>
      <c r="D72" s="300" t="inlineStr">
        <is>
          <t>小指06</t>
        </is>
      </c>
      <c r="E72" s="300" t="inlineStr">
        <is>
          <t>平倉</t>
        </is>
      </c>
      <c r="F72" s="301" t="inlineStr">
        <is>
          <t>賣</t>
        </is>
      </c>
      <c r="G72" s="300" t="inlineStr">
        <is>
          <t>-</t>
        </is>
      </c>
      <c r="H72" s="741" t="n">
        <v>1</v>
      </c>
      <c r="I72" s="741" t="n">
        <v>10067</v>
      </c>
      <c r="J72" s="741" t="n">
        <v>0</v>
      </c>
      <c r="K72" s="742" t="n">
        <v>23</v>
      </c>
      <c r="L72" s="742" t="n">
        <v>10</v>
      </c>
      <c r="M72" s="742">
        <f>IF(C72="TXO",J72-SUM(K72:L72),IF(C72="FITX",IF(E72="新倉",-SUM(K72:L72),IF(F72="賣",(I72-I71)*H72*200-SUM(K72:L72),(I71-I72)*H72*200-SUM(K72:L72))),IF(E72="新倉",-SUM(K72:L72),IF(F72="賣",(I72-I71)*H72*50-SUM(K72:L72),(I71-I72)*H72*50-SUM(K72:L72)))))</f>
        <v/>
      </c>
      <c r="N72" s="743">
        <f>M72</f>
        <v/>
      </c>
      <c r="O72" s="764">
        <f>IF(C72="TXO","",IF(E72="新倉","",IF(F72="賣",(I72-I71)*H72,(I71-I72)*H72)))</f>
        <v/>
      </c>
      <c r="P72" s="334">
        <f>ABS(J72)</f>
        <v/>
      </c>
      <c r="Q72" s="764" t="n"/>
      <c r="S72" s="739" t="n"/>
      <c r="T72" s="61" t="n"/>
      <c r="U72" s="61" t="n"/>
      <c r="V72" s="61" t="n"/>
      <c r="W72" s="61" t="n"/>
      <c r="X72" s="61" t="n"/>
      <c r="Y72" s="61" t="n"/>
      <c r="Z72" s="61" t="n"/>
    </row>
    <row r="73" hidden="1" outlineLevel="1" ht="17.25" customHeight="1" thickBot="1">
      <c r="B73" s="696" t="n">
        <v>42902</v>
      </c>
      <c r="C73" s="234" t="inlineStr">
        <is>
          <t>FIMTX</t>
        </is>
      </c>
      <c r="D73" s="229" t="inlineStr">
        <is>
          <t>小指06</t>
        </is>
      </c>
      <c r="E73" s="229" t="inlineStr">
        <is>
          <t>新倉</t>
        </is>
      </c>
      <c r="F73" s="229" t="inlineStr">
        <is>
          <t>買</t>
        </is>
      </c>
      <c r="G73" s="229" t="inlineStr">
        <is>
          <t>-</t>
        </is>
      </c>
      <c r="H73" s="697" t="n">
        <v>1</v>
      </c>
      <c r="I73" s="697" t="n">
        <v>10109</v>
      </c>
      <c r="J73" s="697" t="n">
        <v>0</v>
      </c>
      <c r="K73" s="585" t="n">
        <v>23</v>
      </c>
      <c r="L73" s="749" t="n">
        <v>10</v>
      </c>
      <c r="M73" s="585">
        <f>IF(C73="TXO",J73-SUM(K73:L73),IF(C73="FITX",IF(E73="新倉",-SUM(K73:L73),IF(F73="賣",(I73-I72)*H73*200-SUM(K73:L73),(I72-I73)*H73*200-SUM(K73:L73))),IF(E73="新倉",-SUM(K73:L73),IF(F73="賣",(I73-I72)*H73*50-SUM(K73:L73),(I72-I73)*H73*50-SUM(K73:L73)))))</f>
        <v/>
      </c>
      <c r="N73" s="699">
        <f>M73</f>
        <v/>
      </c>
      <c r="O73" s="686">
        <f>IF(C73="TXO","",IF(E73="新倉","",IF(F73="賣",(I73-I72)*H73,(I72-I73)*H73)))</f>
        <v/>
      </c>
      <c r="P73" s="226">
        <f>ABS(J73)</f>
        <v/>
      </c>
      <c r="Q73" s="667">
        <f>SUM(M73:M82)</f>
        <v/>
      </c>
      <c r="S73" s="739" t="n"/>
    </row>
    <row r="74" hidden="1" outlineLevel="2" ht="17.25" customHeight="1" thickBot="1">
      <c r="B74" s="696" t="n">
        <v>42902</v>
      </c>
      <c r="C74" s="234" t="inlineStr">
        <is>
          <t>FIMTX</t>
        </is>
      </c>
      <c r="D74" s="229" t="inlineStr">
        <is>
          <t>小指06</t>
        </is>
      </c>
      <c r="E74" s="229" t="inlineStr">
        <is>
          <t>平倉</t>
        </is>
      </c>
      <c r="F74" s="229" t="inlineStr">
        <is>
          <t>賣</t>
        </is>
      </c>
      <c r="G74" s="229" t="inlineStr">
        <is>
          <t>-</t>
        </is>
      </c>
      <c r="H74" s="697" t="n">
        <v>1</v>
      </c>
      <c r="I74" s="697" t="n">
        <v>10111</v>
      </c>
      <c r="J74" s="697" t="n">
        <v>0</v>
      </c>
      <c r="K74" s="585" t="n">
        <v>23</v>
      </c>
      <c r="L74" s="749" t="n">
        <v>10</v>
      </c>
      <c r="M74" s="585">
        <f>IF(C74="TXO",J74-SUM(K74:L74),IF(C74="FITX",IF(E74="新倉",-SUM(K74:L74),IF(F74="賣",(I74-I73)*H74*200-SUM(K74:L74),(I73-I74)*H74*200-SUM(K74:L74))),IF(E74="新倉",-SUM(K74:L74),IF(F74="賣",(I74-I73)*H74*50-SUM(K74:L74),(I73-I74)*H74*50-SUM(K74:L74)))))</f>
        <v/>
      </c>
      <c r="N74" s="699">
        <f>M74</f>
        <v/>
      </c>
      <c r="O74" s="686">
        <f>IF(C74="TXO","",IF(E74="新倉","",IF(F74="賣",(I74-I73)*H74,(I73-I74)*H74)))</f>
        <v/>
      </c>
      <c r="P74" s="226">
        <f>ABS(J74)</f>
        <v/>
      </c>
      <c r="Q74" s="667" t="n"/>
      <c r="S74" s="739" t="n"/>
    </row>
    <row r="75" hidden="1" outlineLevel="2" ht="17.25" customHeight="1" thickBot="1">
      <c r="B75" s="696" t="n">
        <v>42902</v>
      </c>
      <c r="C75" s="234" t="inlineStr">
        <is>
          <t>FIMTX</t>
        </is>
      </c>
      <c r="D75" s="229" t="inlineStr">
        <is>
          <t>小指06</t>
        </is>
      </c>
      <c r="E75" s="229" t="inlineStr">
        <is>
          <t>新倉</t>
        </is>
      </c>
      <c r="F75" s="229" t="inlineStr">
        <is>
          <t>賣</t>
        </is>
      </c>
      <c r="G75" s="229" t="inlineStr">
        <is>
          <t>-</t>
        </is>
      </c>
      <c r="H75" s="697" t="n">
        <v>1</v>
      </c>
      <c r="I75" s="697" t="n">
        <v>10071</v>
      </c>
      <c r="J75" s="697" t="n">
        <v>0</v>
      </c>
      <c r="K75" s="585" t="n">
        <v>23</v>
      </c>
      <c r="L75" s="749" t="n">
        <v>10</v>
      </c>
      <c r="M75" s="585">
        <f>IF(C75="TXO",J75-SUM(K75:L75),IF(C75="FITX",IF(E75="新倉",-SUM(K75:L75),IF(F75="賣",(I75-I74)*H75*200-SUM(K75:L75),(I74-I75)*H75*200-SUM(K75:L75))),IF(E75="新倉",-SUM(K75:L75),IF(F75="賣",(I75-I74)*H75*50-SUM(K75:L75),(I74-I75)*H75*50-SUM(K75:L75)))))</f>
        <v/>
      </c>
      <c r="N75" s="699">
        <f>M75</f>
        <v/>
      </c>
      <c r="O75" s="686">
        <f>IF(C75="TXO","",IF(E75="新倉","",IF(F75="賣",(I75-I74)*H75,(I74-I75)*H75)))</f>
        <v/>
      </c>
      <c r="P75" s="226">
        <f>ABS(J75)</f>
        <v/>
      </c>
      <c r="Q75" s="667" t="n"/>
      <c r="S75" s="739" t="n"/>
    </row>
    <row r="76" hidden="1" outlineLevel="2" ht="17.25" customHeight="1" thickBot="1">
      <c r="B76" s="696" t="n">
        <v>42902</v>
      </c>
      <c r="C76" s="234" t="inlineStr">
        <is>
          <t>FIMTX</t>
        </is>
      </c>
      <c r="D76" s="229" t="inlineStr">
        <is>
          <t>小指06</t>
        </is>
      </c>
      <c r="E76" s="229" t="inlineStr">
        <is>
          <t>平倉</t>
        </is>
      </c>
      <c r="F76" s="229" t="inlineStr">
        <is>
          <t>買</t>
        </is>
      </c>
      <c r="G76" s="229" t="inlineStr">
        <is>
          <t>-</t>
        </is>
      </c>
      <c r="H76" s="697" t="n">
        <v>1</v>
      </c>
      <c r="I76" s="697" t="n">
        <v>10066</v>
      </c>
      <c r="J76" s="697" t="n">
        <v>0</v>
      </c>
      <c r="K76" s="585" t="n">
        <v>23</v>
      </c>
      <c r="L76" s="749" t="n">
        <v>10</v>
      </c>
      <c r="M76" s="585">
        <f>IF(C76="TXO",J76-SUM(K76:L76),IF(C76="FITX",IF(E76="新倉",-SUM(K76:L76),IF(F76="賣",(I76-I75)*H76*200-SUM(K76:L76),(I75-I76)*H76*200-SUM(K76:L76))),IF(E76="新倉",-SUM(K76:L76),IF(F76="賣",(I76-I75)*H76*50-SUM(K76:L76),(I75-I76)*H76*50-SUM(K76:L76)))))</f>
        <v/>
      </c>
      <c r="N76" s="699">
        <f>M76</f>
        <v/>
      </c>
      <c r="O76" s="686">
        <f>IF(C76="TXO","",IF(E76="新倉","",IF(F76="賣",(I76-I75)*H76,(I75-I76)*H76)))</f>
        <v/>
      </c>
      <c r="P76" s="226">
        <f>ABS(J76)</f>
        <v/>
      </c>
      <c r="Q76" s="667" t="n"/>
      <c r="S76" s="739" t="n"/>
    </row>
    <row r="77" hidden="1" outlineLevel="2" ht="17.25" customHeight="1" thickBot="1">
      <c r="B77" s="696" t="n">
        <v>42902</v>
      </c>
      <c r="C77" s="234" t="inlineStr">
        <is>
          <t>FIMTX</t>
        </is>
      </c>
      <c r="D77" s="229" t="inlineStr">
        <is>
          <t>小指06</t>
        </is>
      </c>
      <c r="E77" s="229" t="inlineStr">
        <is>
          <t>新倉</t>
        </is>
      </c>
      <c r="F77" s="229" t="inlineStr">
        <is>
          <t>賣</t>
        </is>
      </c>
      <c r="G77" s="229" t="inlineStr">
        <is>
          <t>-</t>
        </is>
      </c>
      <c r="H77" s="697" t="n">
        <v>1</v>
      </c>
      <c r="I77" s="697" t="n">
        <v>10066</v>
      </c>
      <c r="J77" s="697" t="n">
        <v>0</v>
      </c>
      <c r="K77" s="585" t="n">
        <v>23</v>
      </c>
      <c r="L77" s="749" t="n">
        <v>10</v>
      </c>
      <c r="M77" s="585">
        <f>IF(C77="TXO",J77-SUM(K77:L77),IF(C77="FITX",IF(E77="新倉",-SUM(K77:L77),IF(F77="賣",(I77-I76)*H77*200-SUM(K77:L77),(I76-I77)*H77*200-SUM(K77:L77))),IF(E77="新倉",-SUM(K77:L77),IF(F77="賣",(I77-I76)*H77*50-SUM(K77:L77),(I76-I77)*H77*50-SUM(K77:L77)))))</f>
        <v/>
      </c>
      <c r="N77" s="699">
        <f>M77</f>
        <v/>
      </c>
      <c r="O77" s="686">
        <f>IF(C77="TXO","",IF(E77="新倉","",IF(F77="賣",(I77-I76)*H77,(I76-I77)*H77)))</f>
        <v/>
      </c>
      <c r="P77" s="226">
        <f>ABS(J77)</f>
        <v/>
      </c>
      <c r="Q77" s="667" t="n"/>
      <c r="S77" s="739" t="n"/>
    </row>
    <row r="78" hidden="1" outlineLevel="2" ht="17.25" customHeight="1" thickBot="1">
      <c r="B78" s="696" t="n">
        <v>42902</v>
      </c>
      <c r="C78" s="234" t="inlineStr">
        <is>
          <t>FIMTX</t>
        </is>
      </c>
      <c r="D78" s="229" t="inlineStr">
        <is>
          <t>小指06</t>
        </is>
      </c>
      <c r="E78" s="229" t="inlineStr">
        <is>
          <t>平倉</t>
        </is>
      </c>
      <c r="F78" s="229" t="inlineStr">
        <is>
          <t>買</t>
        </is>
      </c>
      <c r="G78" s="229" t="inlineStr">
        <is>
          <t>-</t>
        </is>
      </c>
      <c r="H78" s="697" t="n">
        <v>1</v>
      </c>
      <c r="I78" s="697" t="n">
        <v>10082</v>
      </c>
      <c r="J78" s="697" t="n">
        <v>0</v>
      </c>
      <c r="K78" s="585" t="n">
        <v>23</v>
      </c>
      <c r="L78" s="749" t="n">
        <v>10</v>
      </c>
      <c r="M78" s="585">
        <f>IF(C78="TXO",J78-SUM(K78:L78),IF(C78="FITX",IF(E78="新倉",-SUM(K78:L78),IF(F78="賣",(I78-I77)*H78*200-SUM(K78:L78),(I77-I78)*H78*200-SUM(K78:L78))),IF(E78="新倉",-SUM(K78:L78),IF(F78="賣",(I78-I77)*H78*50-SUM(K78:L78),(I77-I78)*H78*50-SUM(K78:L78)))))</f>
        <v/>
      </c>
      <c r="N78" s="699">
        <f>M78</f>
        <v/>
      </c>
      <c r="O78" s="686">
        <f>IF(C78="TXO","",IF(E78="新倉","",IF(F78="賣",(I78-I77)*H78,(I77-I78)*H78)))</f>
        <v/>
      </c>
      <c r="P78" s="226">
        <f>ABS(J78)</f>
        <v/>
      </c>
      <c r="Q78" s="667" t="n"/>
      <c r="S78" s="739" t="n"/>
    </row>
    <row r="79" hidden="1" outlineLevel="2" ht="17.25" customHeight="1" thickBot="1">
      <c r="B79" s="696" t="n">
        <v>42902</v>
      </c>
      <c r="C79" s="234" t="inlineStr">
        <is>
          <t>FIMTX</t>
        </is>
      </c>
      <c r="D79" s="229" t="inlineStr">
        <is>
          <t>小指06</t>
        </is>
      </c>
      <c r="E79" s="229" t="inlineStr">
        <is>
          <t>新倉</t>
        </is>
      </c>
      <c r="F79" s="229" t="inlineStr">
        <is>
          <t>買</t>
        </is>
      </c>
      <c r="G79" s="229" t="inlineStr">
        <is>
          <t>-</t>
        </is>
      </c>
      <c r="H79" s="697" t="n">
        <v>1</v>
      </c>
      <c r="I79" s="697" t="n">
        <v>10080</v>
      </c>
      <c r="J79" s="697" t="n">
        <v>0</v>
      </c>
      <c r="K79" s="585" t="n">
        <v>23</v>
      </c>
      <c r="L79" s="749" t="n">
        <v>10</v>
      </c>
      <c r="M79" s="585">
        <f>IF(C79="TXO",J79-SUM(K79:L79),IF(C79="FITX",IF(E79="新倉",-SUM(K79:L79),IF(F79="賣",(I79-I78)*H79*200-SUM(K79:L79),(I78-I79)*H79*200-SUM(K79:L79))),IF(E79="新倉",-SUM(K79:L79),IF(F79="賣",(I79-I78)*H79*50-SUM(K79:L79),(I78-I79)*H79*50-SUM(K79:L79)))))</f>
        <v/>
      </c>
      <c r="N79" s="699">
        <f>M79</f>
        <v/>
      </c>
      <c r="O79" s="686">
        <f>IF(C79="TXO","",IF(E79="新倉","",IF(F79="賣",(I79-I78)*H79,(I78-I79)*H79)))</f>
        <v/>
      </c>
      <c r="P79" s="226">
        <f>ABS(J79)</f>
        <v/>
      </c>
      <c r="Q79" s="667" t="n"/>
      <c r="S79" s="739" t="n"/>
    </row>
    <row r="80" hidden="1" outlineLevel="2" ht="17.25" customHeight="1" thickBot="1">
      <c r="B80" s="696" t="n">
        <v>42902</v>
      </c>
      <c r="C80" s="234" t="inlineStr">
        <is>
          <t>FIMTX</t>
        </is>
      </c>
      <c r="D80" s="229" t="inlineStr">
        <is>
          <t>小指06</t>
        </is>
      </c>
      <c r="E80" s="229" t="inlineStr">
        <is>
          <t>平倉</t>
        </is>
      </c>
      <c r="F80" s="229" t="inlineStr">
        <is>
          <t>賣</t>
        </is>
      </c>
      <c r="G80" s="229" t="inlineStr">
        <is>
          <t>-</t>
        </is>
      </c>
      <c r="H80" s="697" t="n">
        <v>1</v>
      </c>
      <c r="I80" s="697" t="n">
        <v>10070</v>
      </c>
      <c r="J80" s="697" t="n">
        <v>0</v>
      </c>
      <c r="K80" s="585" t="n">
        <v>23</v>
      </c>
      <c r="L80" s="749" t="n">
        <v>10</v>
      </c>
      <c r="M80" s="585">
        <f>IF(C80="TXO",J80-SUM(K80:L80),IF(C80="FITX",IF(E80="新倉",-SUM(K80:L80),IF(F80="賣",(I80-I79)*H80*200-SUM(K80:L80),(I79-I80)*H80*200-SUM(K80:L80))),IF(E80="新倉",-SUM(K80:L80),IF(F80="賣",(I80-I79)*H80*50-SUM(K80:L80),(I79-I80)*H80*50-SUM(K80:L80)))))</f>
        <v/>
      </c>
      <c r="N80" s="699">
        <f>M80</f>
        <v/>
      </c>
      <c r="O80" s="686">
        <f>IF(C80="TXO","",IF(E80="新倉","",IF(F80="賣",(I80-I79)*H80,(I79-I80)*H80)))</f>
        <v/>
      </c>
      <c r="P80" s="226">
        <f>ABS(J80)</f>
        <v/>
      </c>
      <c r="Q80" s="667" t="n"/>
      <c r="S80" s="739" t="n"/>
    </row>
    <row r="81" hidden="1" outlineLevel="2" ht="17.25" customHeight="1" thickBot="1">
      <c r="B81" s="696" t="n">
        <v>42902</v>
      </c>
      <c r="C81" s="234" t="inlineStr">
        <is>
          <t>FIMTX</t>
        </is>
      </c>
      <c r="D81" s="229" t="inlineStr">
        <is>
          <t>小指06</t>
        </is>
      </c>
      <c r="E81" s="229" t="inlineStr">
        <is>
          <t>新倉</t>
        </is>
      </c>
      <c r="F81" s="229" t="inlineStr">
        <is>
          <t>賣</t>
        </is>
      </c>
      <c r="G81" s="229" t="inlineStr">
        <is>
          <t>-</t>
        </is>
      </c>
      <c r="H81" s="697" t="n">
        <v>1</v>
      </c>
      <c r="I81" s="697" t="n">
        <v>10069</v>
      </c>
      <c r="J81" s="697" t="n">
        <v>0</v>
      </c>
      <c r="K81" s="585" t="n">
        <v>23</v>
      </c>
      <c r="L81" s="749" t="n">
        <v>10</v>
      </c>
      <c r="M81" s="585">
        <f>IF(C81="TXO",J81-SUM(K81:L81),IF(C81="FITX",IF(E81="新倉",-SUM(K81:L81),IF(F81="賣",(I81-I80)*H81*200-SUM(K81:L81),(I80-I81)*H81*200-SUM(K81:L81))),IF(E81="新倉",-SUM(K81:L81),IF(F81="賣",(I81-I80)*H81*50-SUM(K81:L81),(I80-I81)*H81*50-SUM(K81:L81)))))</f>
        <v/>
      </c>
      <c r="N81" s="699">
        <f>M81</f>
        <v/>
      </c>
      <c r="O81" s="686">
        <f>IF(C81="TXO","",IF(E81="新倉","",IF(F81="賣",(I81-I80)*H81,(I80-I81)*H81)))</f>
        <v/>
      </c>
      <c r="P81" s="226">
        <f>ABS(J81)</f>
        <v/>
      </c>
      <c r="Q81" s="667" t="n"/>
      <c r="S81" s="739" t="n"/>
    </row>
    <row r="82" hidden="1" outlineLevel="2" ht="17.25" customHeight="1" thickBot="1">
      <c r="B82" s="696" t="n">
        <v>42902</v>
      </c>
      <c r="C82" s="234" t="inlineStr">
        <is>
          <t>FIMTX</t>
        </is>
      </c>
      <c r="D82" s="229" t="inlineStr">
        <is>
          <t>小指06</t>
        </is>
      </c>
      <c r="E82" s="229" t="inlineStr">
        <is>
          <t>平倉</t>
        </is>
      </c>
      <c r="F82" s="229" t="inlineStr">
        <is>
          <t>買</t>
        </is>
      </c>
      <c r="G82" s="229" t="inlineStr">
        <is>
          <t>-</t>
        </is>
      </c>
      <c r="H82" s="697" t="n">
        <v>1</v>
      </c>
      <c r="I82" s="697" t="n">
        <v>10076</v>
      </c>
      <c r="J82" s="697" t="n">
        <v>0</v>
      </c>
      <c r="K82" s="585" t="n">
        <v>23</v>
      </c>
      <c r="L82" s="749" t="n">
        <v>10</v>
      </c>
      <c r="M82" s="585">
        <f>IF(C82="TXO",J82-SUM(K82:L82),IF(C82="FITX",IF(E82="新倉",-SUM(K82:L82),IF(F82="賣",(I82-I81)*H82*200-SUM(K82:L82),(I81-I82)*H82*200-SUM(K82:L82))),IF(E82="新倉",-SUM(K82:L82),IF(F82="賣",(I82-I81)*H82*50-SUM(K82:L82),(I81-I82)*H82*50-SUM(K82:L82)))))</f>
        <v/>
      </c>
      <c r="N82" s="699">
        <f>M82</f>
        <v/>
      </c>
      <c r="O82" s="686">
        <f>IF(C82="TXO","",IF(E82="新倉","",IF(F82="賣",(I82-I81)*H82,(I81-I82)*H82)))</f>
        <v/>
      </c>
      <c r="P82" s="226">
        <f>ABS(J82)</f>
        <v/>
      </c>
      <c r="Q82" s="667" t="n"/>
      <c r="S82" s="739" t="n"/>
    </row>
    <row r="83" hidden="1" outlineLevel="1" ht="17.25" customHeight="1" thickBot="1">
      <c r="B83" s="740" t="n">
        <v>42906</v>
      </c>
      <c r="C83" s="299" t="inlineStr">
        <is>
          <t>TXO</t>
        </is>
      </c>
      <c r="D83" s="300" t="inlineStr">
        <is>
          <t>台指選 06 10150 P</t>
        </is>
      </c>
      <c r="E83" s="300" t="inlineStr">
        <is>
          <t>新倉</t>
        </is>
      </c>
      <c r="F83" s="301" t="inlineStr">
        <is>
          <t>買</t>
        </is>
      </c>
      <c r="G83" s="300" t="inlineStr">
        <is>
          <t>-</t>
        </is>
      </c>
      <c r="H83" s="741" t="n">
        <v>1</v>
      </c>
      <c r="I83" s="765" t="n">
        <v>2.4</v>
      </c>
      <c r="J83" s="741" t="n">
        <v>-120</v>
      </c>
      <c r="K83" s="742" t="n">
        <v>18</v>
      </c>
      <c r="L83" s="742" t="n">
        <v>0</v>
      </c>
      <c r="M83" s="742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/>
      </c>
      <c r="N83" s="743">
        <f>M83</f>
        <v/>
      </c>
      <c r="O83" s="764">
        <f>IF(C83="TXO","",IF(E83="新倉","",IF(F83="賣",(I83-I89)*H83,(I89-I83)*H83)))</f>
        <v/>
      </c>
      <c r="P83" s="334">
        <f>ABS(J83)</f>
        <v/>
      </c>
      <c r="Q83" s="764">
        <f>SUM(M83:M87)</f>
        <v/>
      </c>
      <c r="S83" s="739" t="n"/>
      <c r="T83" s="61" t="n"/>
      <c r="U83" s="61" t="n"/>
      <c r="V83" s="61" t="n"/>
      <c r="W83" s="61" t="n"/>
      <c r="X83" s="61" t="n"/>
      <c r="Y83" s="61" t="n"/>
      <c r="Z83" s="61" t="n"/>
    </row>
    <row r="84" hidden="1" outlineLevel="2" ht="17.25" customHeight="1" thickBot="1">
      <c r="B84" s="740" t="n">
        <v>42906</v>
      </c>
      <c r="C84" s="299" t="inlineStr">
        <is>
          <t>TXO</t>
        </is>
      </c>
      <c r="D84" s="300" t="inlineStr">
        <is>
          <t>台指選 06 10150 P</t>
        </is>
      </c>
      <c r="E84" s="300" t="inlineStr">
        <is>
          <t>新倉</t>
        </is>
      </c>
      <c r="F84" s="301" t="inlineStr">
        <is>
          <t>買</t>
        </is>
      </c>
      <c r="G84" s="300" t="inlineStr">
        <is>
          <t>-</t>
        </is>
      </c>
      <c r="H84" s="741" t="n">
        <v>2</v>
      </c>
      <c r="I84" s="765" t="n">
        <v>2.9</v>
      </c>
      <c r="J84" s="741" t="n">
        <v>-290</v>
      </c>
      <c r="K84" s="742" t="n">
        <v>36</v>
      </c>
      <c r="L84" s="742" t="n">
        <v>0</v>
      </c>
      <c r="M84" s="742">
        <f>IF(C84="TXO",J84-SUM(K84:L84),IF(C84="FITX",IF(E84="新倉",-SUM(K84:L84),IF(F84="賣",(I84-I90)*H84*200-SUM(K84:L84),(I90-I84)*H84*200-SUM(K84:L84))),IF(E84="新倉",-SUM(K84:L84),IF(F84="賣",(I84-I90)*H84*50-SUM(K84:L84),(I90-I84)*H84*50-SUM(K84:L84)))))</f>
        <v/>
      </c>
      <c r="N84" s="743">
        <f>M84</f>
        <v/>
      </c>
      <c r="O84" s="764">
        <f>IF(C84="TXO","",IF(E84="新倉","",IF(F84="賣",(I84-I82)*H84,(I82-I84)*H84)))</f>
        <v/>
      </c>
      <c r="P84" s="334">
        <f>ABS(J84)</f>
        <v/>
      </c>
      <c r="Q84" s="764" t="n"/>
      <c r="S84" s="739" t="n"/>
      <c r="T84" s="61" t="n"/>
      <c r="U84" s="61" t="n"/>
      <c r="V84" s="61" t="n"/>
      <c r="W84" s="61" t="n"/>
      <c r="X84" s="61" t="n"/>
      <c r="Y84" s="61" t="n"/>
      <c r="Z84" s="61" t="n"/>
    </row>
    <row r="85" hidden="1" outlineLevel="2" ht="17.25" customHeight="1" thickBot="1">
      <c r="B85" s="740" t="n">
        <v>42906</v>
      </c>
      <c r="C85" s="299" t="inlineStr">
        <is>
          <t>TXO</t>
        </is>
      </c>
      <c r="D85" s="300" t="inlineStr">
        <is>
          <t>台指選 06 10200 P</t>
        </is>
      </c>
      <c r="E85" s="300" t="inlineStr">
        <is>
          <t>新倉</t>
        </is>
      </c>
      <c r="F85" s="301" t="inlineStr">
        <is>
          <t>買</t>
        </is>
      </c>
      <c r="G85" s="300" t="inlineStr">
        <is>
          <t>-</t>
        </is>
      </c>
      <c r="H85" s="741" t="n">
        <v>10</v>
      </c>
      <c r="I85" s="765" t="n">
        <v>5.6</v>
      </c>
      <c r="J85" s="741" t="n">
        <v>-2800</v>
      </c>
      <c r="K85" s="742" t="n">
        <v>180</v>
      </c>
      <c r="L85" s="742" t="n">
        <v>0</v>
      </c>
      <c r="M85" s="742">
        <f>IF(C85="TXO",J85-SUM(K85:L85),IF(C85="FITX",IF(E85="新倉",-SUM(K85:L85),IF(F85="賣",(I85-I91)*H85*200-SUM(K85:L85),(I91-I85)*H85*200-SUM(K85:L85))),IF(E85="新倉",-SUM(K85:L85),IF(F85="賣",(I85-I91)*H85*50-SUM(K85:L85),(I91-I85)*H85*50-SUM(K85:L85)))))</f>
        <v/>
      </c>
      <c r="N85" s="743">
        <f>M85</f>
        <v/>
      </c>
      <c r="O85" s="764">
        <f>IF(C85="TXO","",IF(E85="新倉","",IF(F85="賣",(I85-I87)*H85,(I87-I85)*H85)))</f>
        <v/>
      </c>
      <c r="P85" s="334">
        <f>ABS(J85)</f>
        <v/>
      </c>
      <c r="Q85" s="764" t="n"/>
      <c r="S85" s="739" t="n"/>
      <c r="T85" s="61" t="n"/>
      <c r="U85" s="61" t="n"/>
      <c r="V85" s="61" t="n"/>
      <c r="W85" s="61" t="n"/>
      <c r="X85" s="61" t="n"/>
      <c r="Y85" s="61" t="n"/>
      <c r="Z85" s="61" t="n"/>
    </row>
    <row r="86" hidden="1" outlineLevel="2" ht="17.25" customHeight="1" thickBot="1">
      <c r="B86" s="740" t="n">
        <v>42906</v>
      </c>
      <c r="C86" s="299" t="inlineStr">
        <is>
          <t>TXO</t>
        </is>
      </c>
      <c r="D86" s="300" t="inlineStr">
        <is>
          <t>台指選 06 10200 P</t>
        </is>
      </c>
      <c r="E86" s="300" t="inlineStr">
        <is>
          <t>新倉</t>
        </is>
      </c>
      <c r="F86" s="301" t="inlineStr">
        <is>
          <t>買</t>
        </is>
      </c>
      <c r="G86" s="300" t="inlineStr">
        <is>
          <t>-</t>
        </is>
      </c>
      <c r="H86" s="741" t="n">
        <v>1</v>
      </c>
      <c r="I86" s="765" t="n">
        <v>3.4</v>
      </c>
      <c r="J86" s="741" t="n">
        <v>-170</v>
      </c>
      <c r="K86" s="742" t="n">
        <v>18</v>
      </c>
      <c r="L86" s="742" t="n">
        <v>0</v>
      </c>
      <c r="M86" s="742">
        <f>IF(C86="TXO",J86-SUM(K86:L86),IF(C86="FITX",IF(E86="新倉",-SUM(K86:L86),IF(F86="賣",(I86-I92)*H86*200-SUM(K86:L86),(I92-I86)*H86*200-SUM(K86:L86))),IF(E86="新倉",-SUM(K86:L86),IF(F86="賣",(I86-I92)*H86*50-SUM(K86:L86),(I92-I86)*H86*50-SUM(K86:L86)))))</f>
        <v/>
      </c>
      <c r="N86" s="743">
        <f>M86</f>
        <v/>
      </c>
      <c r="O86" s="764">
        <f>IF(C86="TXO","",IF(E86="新倉","",IF(F86="賣",(I86-I88)*H86,(I88-I86)*H86)))</f>
        <v/>
      </c>
      <c r="P86" s="334">
        <f>ABS(J86)</f>
        <v/>
      </c>
      <c r="Q86" s="764" t="n"/>
      <c r="S86" s="739" t="n"/>
      <c r="T86" s="61" t="n"/>
      <c r="U86" s="61" t="n"/>
      <c r="V86" s="61" t="n"/>
      <c r="W86" s="61" t="n"/>
      <c r="X86" s="61" t="n"/>
      <c r="Y86" s="61" t="n"/>
      <c r="Z86" s="61" t="n"/>
    </row>
    <row r="87" hidden="1" outlineLevel="2" ht="17.25" customHeight="1" thickBot="1">
      <c r="B87" s="740" t="n">
        <v>42906</v>
      </c>
      <c r="C87" s="299" t="inlineStr">
        <is>
          <t>TXO</t>
        </is>
      </c>
      <c r="D87" s="300" t="inlineStr">
        <is>
          <t>台指選 06 10200 P</t>
        </is>
      </c>
      <c r="E87" s="300" t="inlineStr">
        <is>
          <t>新倉</t>
        </is>
      </c>
      <c r="F87" s="301" t="inlineStr">
        <is>
          <t>買</t>
        </is>
      </c>
      <c r="G87" s="300" t="inlineStr">
        <is>
          <t>-</t>
        </is>
      </c>
      <c r="H87" s="741" t="n">
        <v>5</v>
      </c>
      <c r="I87" s="765" t="n">
        <v>4.2</v>
      </c>
      <c r="J87" s="741" t="n">
        <v>-1050</v>
      </c>
      <c r="K87" s="742" t="n">
        <v>90</v>
      </c>
      <c r="L87" s="742" t="n">
        <v>0</v>
      </c>
      <c r="M87" s="742">
        <f>IF(C87="TXO",J87-SUM(K87:L87),IF(C87="FITX",IF(E87="新倉",-SUM(K87:L87),IF(F87="賣",(I87-I93)*H87*200-SUM(K87:L87),(I93-I87)*H87*200-SUM(K87:L87))),IF(E87="新倉",-SUM(K87:L87),IF(F87="賣",(I87-I93)*H87*50-SUM(K87:L87),(I93-I87)*H87*50-SUM(K87:L87)))))</f>
        <v/>
      </c>
      <c r="N87" s="743">
        <f>M87</f>
        <v/>
      </c>
      <c r="O87" s="764">
        <f>IF(C87="TXO","",IF(E87="新倉","",IF(F87="賣",(I87-I91)*H87,(I91-I87)*H87)))</f>
        <v/>
      </c>
      <c r="P87" s="334">
        <f>ABS(J87)</f>
        <v/>
      </c>
      <c r="Q87" s="764" t="n"/>
      <c r="S87" s="739" t="n"/>
      <c r="T87" s="61" t="n"/>
      <c r="U87" s="61" t="n"/>
      <c r="V87" s="61" t="n"/>
      <c r="W87" s="61" t="n"/>
      <c r="X87" s="61" t="n"/>
      <c r="Y87" s="61" t="n"/>
      <c r="Z87" s="61" t="n"/>
    </row>
    <row r="88" hidden="1" outlineLevel="1" ht="17.25" customHeight="1" thickBot="1">
      <c r="B88" s="696" t="n">
        <v>42907</v>
      </c>
      <c r="C88" s="234" t="inlineStr">
        <is>
          <t>TXO</t>
        </is>
      </c>
      <c r="D88" s="229" t="inlineStr">
        <is>
          <t>台指選 06 10150 P</t>
        </is>
      </c>
      <c r="E88" s="229" t="inlineStr">
        <is>
          <t>平倉</t>
        </is>
      </c>
      <c r="F88" s="229" t="inlineStr">
        <is>
          <t>賣</t>
        </is>
      </c>
      <c r="G88" s="229" t="inlineStr">
        <is>
          <t>-</t>
        </is>
      </c>
      <c r="H88" s="697" t="n">
        <v>1</v>
      </c>
      <c r="I88" s="698" t="n">
        <v>0.2</v>
      </c>
      <c r="J88" s="697" t="n">
        <v>10</v>
      </c>
      <c r="K88" s="585" t="n">
        <v>18</v>
      </c>
      <c r="L88" s="749" t="n">
        <v>0</v>
      </c>
      <c r="M88" s="585">
        <f>IF(C88="TXO",J88-SUM(K88:L88),IF(C88="FITX",IF(E88="新倉",-SUM(K88:L88),IF(F88="賣",(I88-I94)*H88*200-SUM(K88:L88),(I94-I88)*H88*200-SUM(K88:L88))),IF(E88="新倉",-SUM(K88:L88),IF(F88="賣",(I88-I94)*H88*50-SUM(K88:L88),(I94-I88)*H88*50-SUM(K88:L88)))))</f>
        <v/>
      </c>
      <c r="N88" s="699">
        <f>M88</f>
        <v/>
      </c>
      <c r="O88" s="686">
        <f>IF(C88="TXO","",IF(E88="新倉","",IF(F88="賣",(I88-I83)*H88,(I83-I88)*H88)))</f>
        <v/>
      </c>
      <c r="P88" s="226">
        <f>ABS(J88)</f>
        <v/>
      </c>
      <c r="Q88" s="667">
        <f>SUM(M88:M100)</f>
        <v/>
      </c>
      <c r="S88" s="739" t="n"/>
    </row>
    <row r="89" hidden="1" outlineLevel="2" collapsed="1" ht="17.25" customHeight="1" thickBot="1">
      <c r="B89" s="696" t="n">
        <v>42907</v>
      </c>
      <c r="C89" s="234" t="inlineStr">
        <is>
          <t>TXO</t>
        </is>
      </c>
      <c r="D89" s="229" t="inlineStr">
        <is>
          <t>台指選 06 10150 P</t>
        </is>
      </c>
      <c r="E89" s="229" t="inlineStr">
        <is>
          <t>平倉</t>
        </is>
      </c>
      <c r="F89" s="229" t="inlineStr">
        <is>
          <t>賣</t>
        </is>
      </c>
      <c r="G89" s="229" t="inlineStr">
        <is>
          <t>-</t>
        </is>
      </c>
      <c r="H89" s="697" t="n">
        <v>2</v>
      </c>
      <c r="I89" s="698" t="n">
        <v>0.2</v>
      </c>
      <c r="J89" s="697" t="n">
        <v>20</v>
      </c>
      <c r="K89" s="585" t="n">
        <v>36</v>
      </c>
      <c r="L89" s="749" t="n">
        <v>0</v>
      </c>
      <c r="M89" s="585">
        <f>IF(C89="TXO",J89-SUM(K89:L89),IF(C89="FITX",IF(E89="新倉",-SUM(K89:L89),IF(F89="賣",(I89-I95)*H89*200-SUM(K89:L89),(I95-I89)*H89*200-SUM(K89:L89))),IF(E89="新倉",-SUM(K89:L89),IF(F89="賣",(I89-I95)*H89*50-SUM(K89:L89),(I95-I89)*H89*50-SUM(K89:L89)))))</f>
        <v/>
      </c>
      <c r="N89" s="699">
        <f>M89</f>
        <v/>
      </c>
      <c r="O89" s="686">
        <f>IF(C89="TXO","",IF(E89="新倉","",IF(F89="賣",(I89-I84)*H89,(I84-I89)*H89)))</f>
        <v/>
      </c>
      <c r="P89" s="226">
        <f>ABS(J89)</f>
        <v/>
      </c>
      <c r="Q89" s="667" t="n"/>
      <c r="S89" s="739" t="n"/>
    </row>
    <row r="90" hidden="1" outlineLevel="2" collapsed="1" ht="17.25" customHeight="1" thickBot="1">
      <c r="B90" s="696" t="n">
        <v>42907</v>
      </c>
      <c r="C90" s="234" t="inlineStr">
        <is>
          <t>TXO</t>
        </is>
      </c>
      <c r="D90" s="229" t="inlineStr">
        <is>
          <t>台指選 06 10200 P</t>
        </is>
      </c>
      <c r="E90" s="229" t="inlineStr">
        <is>
          <t>平倉</t>
        </is>
      </c>
      <c r="F90" s="229" t="inlineStr">
        <is>
          <t>賣</t>
        </is>
      </c>
      <c r="G90" s="229" t="inlineStr">
        <is>
          <t>-</t>
        </is>
      </c>
      <c r="H90" s="697" t="n">
        <v>10</v>
      </c>
      <c r="I90" s="698" t="n">
        <v>0.4</v>
      </c>
      <c r="J90" s="697" t="n">
        <v>200</v>
      </c>
      <c r="K90" s="585" t="n">
        <v>180</v>
      </c>
      <c r="L90" s="749" t="n">
        <v>0</v>
      </c>
      <c r="M90" s="585">
        <f>IF(C90="TXO",J90-SUM(K90:L90),IF(C90="FITX",IF(E90="新倉",-SUM(K90:L90),IF(F90="賣",(I90-I96)*H90*200-SUM(K90:L90),(I96-I90)*H90*200-SUM(K90:L90))),IF(E90="新倉",-SUM(K90:L90),IF(F90="賣",(I90-I96)*H90*50-SUM(K90:L90),(I96-I90)*H90*50-SUM(K90:L90)))))</f>
        <v/>
      </c>
      <c r="N90" s="699">
        <f>M90</f>
        <v/>
      </c>
      <c r="O90" s="686">
        <f>IF(C90="TXO","",IF(E90="新倉","",IF(F90="賣",(I90-I85)*H90,(I85-I90)*H90)))</f>
        <v/>
      </c>
      <c r="P90" s="226">
        <f>ABS(J90)</f>
        <v/>
      </c>
      <c r="Q90" s="667" t="n"/>
      <c r="S90" s="739" t="n"/>
    </row>
    <row r="91" hidden="1" outlineLevel="2" collapsed="1" ht="17.25" customHeight="1" thickBot="1">
      <c r="B91" s="696" t="n">
        <v>42907</v>
      </c>
      <c r="C91" s="234" t="inlineStr">
        <is>
          <t>TXO</t>
        </is>
      </c>
      <c r="D91" s="229" t="inlineStr">
        <is>
          <t>台指選 06 10200 P</t>
        </is>
      </c>
      <c r="E91" s="229" t="inlineStr">
        <is>
          <t>平倉</t>
        </is>
      </c>
      <c r="F91" s="229" t="inlineStr">
        <is>
          <t>賣</t>
        </is>
      </c>
      <c r="G91" s="229" t="inlineStr">
        <is>
          <t>-</t>
        </is>
      </c>
      <c r="H91" s="697" t="n">
        <v>1</v>
      </c>
      <c r="I91" s="698" t="n">
        <v>0.4</v>
      </c>
      <c r="J91" s="697" t="n">
        <v>20</v>
      </c>
      <c r="K91" s="585" t="n">
        <v>18</v>
      </c>
      <c r="L91" s="749" t="n">
        <v>0</v>
      </c>
      <c r="M91" s="585">
        <f>IF(C91="TXO",J91-SUM(K91:L91),IF(C91="FITX",IF(E91="新倉",-SUM(K91:L91),IF(F91="賣",(I91-I97)*H91*200-SUM(K91:L91),(I97-I91)*H91*200-SUM(K91:L91))),IF(E91="新倉",-SUM(K91:L91),IF(F91="賣",(I91-I97)*H91*50-SUM(K91:L91),(I97-I91)*H91*50-SUM(K91:L91)))))</f>
        <v/>
      </c>
      <c r="N91" s="699">
        <f>M91</f>
        <v/>
      </c>
      <c r="O91" s="686">
        <f>IF(C91="TXO","",IF(E91="新倉","",IF(F91="賣",(I91-I86)*H91,(I86-I91)*H91)))</f>
        <v/>
      </c>
      <c r="P91" s="226">
        <f>ABS(J91)</f>
        <v/>
      </c>
      <c r="Q91" s="667" t="n"/>
      <c r="S91" s="739" t="n"/>
    </row>
    <row r="92" hidden="1" outlineLevel="2" collapsed="1" ht="17.25" customHeight="1" thickBot="1">
      <c r="B92" s="696" t="n">
        <v>42907</v>
      </c>
      <c r="C92" s="234" t="inlineStr">
        <is>
          <t>TXO</t>
        </is>
      </c>
      <c r="D92" s="229" t="inlineStr">
        <is>
          <t>台指選 06 10200 P</t>
        </is>
      </c>
      <c r="E92" s="229" t="inlineStr">
        <is>
          <t>平倉</t>
        </is>
      </c>
      <c r="F92" s="229" t="inlineStr">
        <is>
          <t>賣</t>
        </is>
      </c>
      <c r="G92" s="229" t="inlineStr">
        <is>
          <t>-</t>
        </is>
      </c>
      <c r="H92" s="697" t="n">
        <v>5</v>
      </c>
      <c r="I92" s="698" t="n">
        <v>0.4</v>
      </c>
      <c r="J92" s="697" t="n">
        <v>100</v>
      </c>
      <c r="K92" s="585" t="n">
        <v>90</v>
      </c>
      <c r="L92" s="749" t="n">
        <v>0</v>
      </c>
      <c r="M92" s="585">
        <f>IF(C92="TXO",J92-SUM(K92:L92),IF(C92="FITX",IF(E92="新倉",-SUM(K92:L92),IF(F92="賣",(I92-I98)*H92*200-SUM(K92:L92),(I98-I92)*H92*200-SUM(K92:L92))),IF(E92="新倉",-SUM(K92:L92),IF(F92="賣",(I92-I98)*H92*50-SUM(K92:L92),(I98-I92)*H92*50-SUM(K92:L92)))))</f>
        <v/>
      </c>
      <c r="N92" s="699">
        <f>M92</f>
        <v/>
      </c>
      <c r="O92" s="686">
        <f>IF(C92="TXO","",IF(E92="新倉","",IF(F92="賣",(I92-I87)*H92,(I87-I92)*H92)))</f>
        <v/>
      </c>
      <c r="P92" s="226">
        <f>ABS(J92)</f>
        <v/>
      </c>
      <c r="Q92" s="667" t="n"/>
      <c r="S92" s="739" t="n"/>
    </row>
    <row r="93" hidden="1" outlineLevel="2" collapsed="1" ht="17.25" customHeight="1" thickBot="1">
      <c r="B93" s="696" t="n">
        <v>42907</v>
      </c>
      <c r="C93" s="234" t="inlineStr">
        <is>
          <t>TXO</t>
        </is>
      </c>
      <c r="D93" s="229" t="inlineStr">
        <is>
          <t>台指選 06 10350 C</t>
        </is>
      </c>
      <c r="E93" s="229" t="inlineStr">
        <is>
          <t>新倉</t>
        </is>
      </c>
      <c r="F93" s="229" t="inlineStr">
        <is>
          <t>買</t>
        </is>
      </c>
      <c r="G93" s="229" t="inlineStr">
        <is>
          <t>-</t>
        </is>
      </c>
      <c r="H93" s="697" t="n">
        <v>3</v>
      </c>
      <c r="I93" s="698" t="n">
        <v>1.5</v>
      </c>
      <c r="J93" s="697" t="n">
        <v>-225</v>
      </c>
      <c r="K93" s="585" t="n">
        <v>54</v>
      </c>
      <c r="L93" s="749" t="n">
        <v>0</v>
      </c>
      <c r="M93" s="585">
        <f>IF(C93="TXO",J93-SUM(K93:L93),IF(C93="FITX",IF(E93="新倉",-SUM(K93:L93),IF(F93="賣",(I93-I99)*H93*200-SUM(K93:L93),(I99-I93)*H93*200-SUM(K93:L93))),IF(E93="新倉",-SUM(K93:L93),IF(F93="賣",(I93-I99)*H93*50-SUM(K93:L93),(I99-I93)*H93*50-SUM(K93:L93)))))</f>
        <v/>
      </c>
      <c r="N93" s="699">
        <f>M93</f>
        <v/>
      </c>
      <c r="O93" s="686">
        <f>IF(C93="TXO","",IF(E93="新倉","",IF(F93="賣",(I93-#REF!)*H93,(#REF!-I93)*H93)))</f>
        <v/>
      </c>
      <c r="P93" s="226">
        <f>ABS(J93)</f>
        <v/>
      </c>
      <c r="Q93" s="667" t="n"/>
      <c r="S93" s="739" t="n"/>
    </row>
    <row r="94" hidden="1" outlineLevel="2" collapsed="1" ht="17.25" customHeight="1" thickBot="1">
      <c r="B94" s="696" t="n">
        <v>42907</v>
      </c>
      <c r="C94" s="234" t="inlineStr">
        <is>
          <t>TXO</t>
        </is>
      </c>
      <c r="D94" s="229" t="inlineStr">
        <is>
          <t>台指選 06 10350 C</t>
        </is>
      </c>
      <c r="E94" s="229" t="inlineStr">
        <is>
          <t>新倉</t>
        </is>
      </c>
      <c r="F94" s="229" t="inlineStr">
        <is>
          <t>買</t>
        </is>
      </c>
      <c r="G94" s="229" t="inlineStr">
        <is>
          <t>-</t>
        </is>
      </c>
      <c r="H94" s="697" t="n">
        <v>3</v>
      </c>
      <c r="I94" s="698" t="n">
        <v>2.7</v>
      </c>
      <c r="J94" s="697" t="n">
        <v>-405</v>
      </c>
      <c r="K94" s="585" t="n">
        <v>54</v>
      </c>
      <c r="L94" s="749" t="n">
        <v>0</v>
      </c>
      <c r="M94" s="585">
        <f>IF(C94="TXO",J94-SUM(K94:L94),IF(C94="FITX",IF(E94="新倉",-SUM(K94:L94),IF(F94="賣",(I94-I100)*H94*200-SUM(K94:L94),(I100-I94)*H94*200-SUM(K94:L94))),IF(E94="新倉",-SUM(K94:L94),IF(F94="賣",(I94-I100)*H94*50-SUM(K94:L94),(I100-I94)*H94*50-SUM(K94:L94)))))</f>
        <v/>
      </c>
      <c r="N94" s="699">
        <f>M94</f>
        <v/>
      </c>
      <c r="O94" s="686">
        <f>IF(C94="TXO","",IF(E94="新倉","",IF(F94="賣",(I94-I93)*H94,(I93-I94)*H94)))</f>
        <v/>
      </c>
      <c r="P94" s="226">
        <f>ABS(J94)</f>
        <v/>
      </c>
      <c r="Q94" s="667" t="n"/>
      <c r="S94" s="739" t="n"/>
    </row>
    <row r="95" hidden="1" outlineLevel="2" collapsed="1" ht="17.25" customHeight="1" thickBot="1">
      <c r="B95" s="696" t="n">
        <v>42907</v>
      </c>
      <c r="C95" s="234" t="inlineStr">
        <is>
          <t>TXO</t>
        </is>
      </c>
      <c r="D95" s="229" t="inlineStr">
        <is>
          <t>台指選 06 10350 C</t>
        </is>
      </c>
      <c r="E95" s="229" t="inlineStr">
        <is>
          <t>新倉</t>
        </is>
      </c>
      <c r="F95" s="229" t="inlineStr">
        <is>
          <t>買</t>
        </is>
      </c>
      <c r="G95" s="229" t="inlineStr">
        <is>
          <t>-</t>
        </is>
      </c>
      <c r="H95" s="697" t="n">
        <v>3</v>
      </c>
      <c r="I95" s="698" t="n">
        <v>2.5</v>
      </c>
      <c r="J95" s="697" t="n">
        <v>-375</v>
      </c>
      <c r="K95" s="585" t="n">
        <v>54</v>
      </c>
      <c r="L95" s="749" t="n">
        <v>0</v>
      </c>
      <c r="M95" s="585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/>
      </c>
      <c r="N95" s="699">
        <f>M95</f>
        <v/>
      </c>
      <c r="O95" s="686">
        <f>IF(C95="TXO","",IF(E95="新倉","",IF(F95="賣",(I95-I94)*H95,(I94-I95)*H95)))</f>
        <v/>
      </c>
      <c r="P95" s="226">
        <f>ABS(J95)</f>
        <v/>
      </c>
      <c r="Q95" s="667" t="n"/>
      <c r="S95" s="739" t="n"/>
    </row>
    <row r="96" hidden="1" outlineLevel="2" collapsed="1" ht="17.25" customHeight="1" thickBot="1">
      <c r="B96" s="696" t="n">
        <v>42907</v>
      </c>
      <c r="C96" s="234" t="inlineStr">
        <is>
          <t>TXO</t>
        </is>
      </c>
      <c r="D96" s="229" t="inlineStr">
        <is>
          <t>台指選 06 10350 C</t>
        </is>
      </c>
      <c r="E96" s="229" t="inlineStr">
        <is>
          <t>新倉</t>
        </is>
      </c>
      <c r="F96" s="229" t="inlineStr">
        <is>
          <t>買</t>
        </is>
      </c>
      <c r="G96" s="229" t="inlineStr">
        <is>
          <t>-</t>
        </is>
      </c>
      <c r="H96" s="697" t="n">
        <v>10</v>
      </c>
      <c r="I96" s="698" t="n">
        <v>0.5</v>
      </c>
      <c r="J96" s="697" t="n">
        <v>-250</v>
      </c>
      <c r="K96" s="585" t="n">
        <v>180</v>
      </c>
      <c r="L96" s="749" t="n">
        <v>0</v>
      </c>
      <c r="M96" s="585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/>
      </c>
      <c r="N96" s="699">
        <f>M96</f>
        <v/>
      </c>
      <c r="O96" s="686">
        <f>IF(C96="TXO","",IF(E96="新倉","",IF(F96="賣",(I96-I99)*H96,(I99-I96)*H96)))</f>
        <v/>
      </c>
      <c r="P96" s="226">
        <f>ABS(J96)</f>
        <v/>
      </c>
      <c r="Q96" s="667" t="n"/>
      <c r="S96" s="739" t="n"/>
    </row>
    <row r="97" hidden="1" outlineLevel="2" collapsed="1" ht="17.25" customHeight="1" thickBot="1">
      <c r="B97" s="696" t="n">
        <v>42907</v>
      </c>
      <c r="C97" s="234" t="inlineStr">
        <is>
          <t>TXO</t>
        </is>
      </c>
      <c r="D97" s="229" t="inlineStr">
        <is>
          <t>台指選 06 10350 C</t>
        </is>
      </c>
      <c r="E97" s="229" t="inlineStr">
        <is>
          <t>平倉</t>
        </is>
      </c>
      <c r="F97" s="229" t="inlineStr">
        <is>
          <t>賣</t>
        </is>
      </c>
      <c r="G97" s="229" t="inlineStr">
        <is>
          <t>-</t>
        </is>
      </c>
      <c r="H97" s="697" t="n">
        <v>3</v>
      </c>
      <c r="I97" s="698" t="n">
        <v>4</v>
      </c>
      <c r="J97" s="697" t="n">
        <v>600</v>
      </c>
      <c r="K97" s="585" t="n">
        <v>54</v>
      </c>
      <c r="L97" s="749" t="n">
        <v>0</v>
      </c>
      <c r="M97" s="585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/>
      </c>
      <c r="N97" s="699">
        <f>M97</f>
        <v/>
      </c>
      <c r="O97" s="686">
        <f>IF(C97="TXO","",IF(E97="新倉","",IF(F97="賣",(I97-I95)*H97,(I95-I97)*H97)))</f>
        <v/>
      </c>
      <c r="P97" s="226">
        <f>ABS(J97)</f>
        <v/>
      </c>
      <c r="Q97" s="667" t="n"/>
      <c r="S97" s="739" t="n"/>
    </row>
    <row r="98" hidden="1" outlineLevel="2" collapsed="1" ht="17.25" customHeight="1" thickBot="1">
      <c r="B98" s="696" t="n">
        <v>42907</v>
      </c>
      <c r="C98" s="234" t="inlineStr">
        <is>
          <t>TXO</t>
        </is>
      </c>
      <c r="D98" s="229" t="inlineStr">
        <is>
          <t>台指選 06 10350 C</t>
        </is>
      </c>
      <c r="E98" s="229" t="inlineStr">
        <is>
          <t>平倉</t>
        </is>
      </c>
      <c r="F98" s="229" t="inlineStr">
        <is>
          <t>賣</t>
        </is>
      </c>
      <c r="G98" s="229" t="inlineStr">
        <is>
          <t>-</t>
        </is>
      </c>
      <c r="H98" s="697" t="n">
        <v>3</v>
      </c>
      <c r="I98" s="698" t="n">
        <v>4</v>
      </c>
      <c r="J98" s="697" t="n">
        <v>600</v>
      </c>
      <c r="K98" s="585" t="n">
        <v>54</v>
      </c>
      <c r="L98" s="749" t="n">
        <v>0</v>
      </c>
      <c r="M98" s="585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/>
      </c>
      <c r="N98" s="699">
        <f>M98</f>
        <v/>
      </c>
      <c r="O98" s="686">
        <f>IF(C98="TXO","",IF(E98="新倉","",IF(F98="賣",(I98-I97)*H98,(I97-I98)*H98)))</f>
        <v/>
      </c>
      <c r="P98" s="226">
        <f>ABS(J98)</f>
        <v/>
      </c>
      <c r="Q98" s="667" t="n"/>
      <c r="S98" s="739" t="n"/>
    </row>
    <row r="99" hidden="1" outlineLevel="2" collapsed="1" ht="17.25" customHeight="1" thickBot="1">
      <c r="B99" s="696" t="n">
        <v>42907</v>
      </c>
      <c r="C99" s="234" t="inlineStr">
        <is>
          <t>TXO</t>
        </is>
      </c>
      <c r="D99" s="229" t="inlineStr">
        <is>
          <t>台指選 06 10350 C</t>
        </is>
      </c>
      <c r="E99" s="229" t="inlineStr">
        <is>
          <t>平倉</t>
        </is>
      </c>
      <c r="F99" s="229" t="inlineStr">
        <is>
          <t>賣</t>
        </is>
      </c>
      <c r="G99" s="229" t="inlineStr">
        <is>
          <t>-</t>
        </is>
      </c>
      <c r="H99" s="697" t="n">
        <v>3</v>
      </c>
      <c r="I99" s="698" t="n">
        <v>4</v>
      </c>
      <c r="J99" s="697" t="n">
        <v>600</v>
      </c>
      <c r="K99" s="585" t="n">
        <v>54</v>
      </c>
      <c r="L99" s="749" t="n">
        <v>0</v>
      </c>
      <c r="M99" s="585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/>
      </c>
      <c r="N99" s="699">
        <f>M99</f>
        <v/>
      </c>
      <c r="O99" s="686">
        <f>IF(C99="TXO","",IF(E99="新倉","",IF(F99="賣",(I99-I98)*H99,(I98-I99)*H99)))</f>
        <v/>
      </c>
      <c r="P99" s="226">
        <f>ABS(J99)</f>
        <v/>
      </c>
      <c r="Q99" s="667" t="n"/>
      <c r="S99" s="739" t="n"/>
    </row>
    <row r="100" hidden="1" outlineLevel="2" collapsed="1" ht="17.25" customHeight="1" thickBot="1">
      <c r="B100" s="696" t="n">
        <v>42907</v>
      </c>
      <c r="C100" s="234" t="inlineStr">
        <is>
          <t>TXO</t>
        </is>
      </c>
      <c r="D100" s="229" t="inlineStr">
        <is>
          <t>台指選 06 10350 C</t>
        </is>
      </c>
      <c r="E100" s="229" t="inlineStr">
        <is>
          <t>平倉</t>
        </is>
      </c>
      <c r="F100" s="229" t="inlineStr">
        <is>
          <t>買</t>
        </is>
      </c>
      <c r="G100" s="229" t="inlineStr">
        <is>
          <t>-</t>
        </is>
      </c>
      <c r="H100" s="697" t="n">
        <v>10</v>
      </c>
      <c r="I100" s="698" t="n">
        <v>0.5</v>
      </c>
      <c r="J100" s="697" t="n">
        <v>9500</v>
      </c>
      <c r="K100" s="585" t="n">
        <v>180</v>
      </c>
      <c r="L100" s="749" t="n">
        <v>100</v>
      </c>
      <c r="M100" s="585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/>
      </c>
      <c r="N100" s="699">
        <f>M100</f>
        <v/>
      </c>
      <c r="O100" s="686">
        <f>IF(C100="TXO","",IF(E100="新倉","",IF(F100="賣",(I100-I126)*H100,(I126-I100)*H100)))</f>
        <v/>
      </c>
      <c r="P100" s="226">
        <f>ABS(J100)</f>
        <v/>
      </c>
      <c r="Q100" s="667" t="n"/>
      <c r="S100" s="739" t="n"/>
    </row>
    <row r="101" hidden="1" outlineLevel="1" ht="17.25" customHeight="1" thickBot="1">
      <c r="B101" s="740" t="n">
        <v>42908</v>
      </c>
      <c r="C101" s="299" t="inlineStr">
        <is>
          <t>FIMTX</t>
        </is>
      </c>
      <c r="D101" s="300" t="inlineStr">
        <is>
          <t>小指05</t>
        </is>
      </c>
      <c r="E101" s="300" t="inlineStr">
        <is>
          <t>新倉</t>
        </is>
      </c>
      <c r="F101" s="301" t="inlineStr">
        <is>
          <t>買</t>
        </is>
      </c>
      <c r="G101" s="300" t="inlineStr">
        <is>
          <t>-</t>
        </is>
      </c>
      <c r="H101" s="741" t="n">
        <v>1</v>
      </c>
      <c r="I101" s="741" t="n">
        <v>10195</v>
      </c>
      <c r="J101" s="741" t="n">
        <v>0</v>
      </c>
      <c r="K101" s="742" t="n">
        <v>23</v>
      </c>
      <c r="L101" s="742" t="n">
        <v>10</v>
      </c>
      <c r="M101" s="742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/>
      </c>
      <c r="N101" s="743">
        <f>M101</f>
        <v/>
      </c>
      <c r="O101" s="764">
        <f>IF(C101="TXO","",IF(E101="新倉","",IF(F101="賣",(I101-I100)*H101,(I100-I101)*H101)))</f>
        <v/>
      </c>
      <c r="P101" s="334">
        <f>ABS(J101)</f>
        <v/>
      </c>
      <c r="Q101" s="764">
        <f>SUM(M101:M106)</f>
        <v/>
      </c>
      <c r="S101" s="739" t="n"/>
      <c r="T101" s="61" t="n"/>
      <c r="U101" s="61" t="n"/>
      <c r="V101" s="61" t="n"/>
      <c r="W101" s="61" t="n"/>
      <c r="X101" s="61" t="n"/>
      <c r="Y101" s="61" t="n"/>
      <c r="Z101" s="61" t="n"/>
    </row>
    <row r="102" hidden="1" outlineLevel="2" collapsed="1" ht="17.25" customHeight="1" thickBot="1">
      <c r="B102" s="740" t="n">
        <v>42908</v>
      </c>
      <c r="C102" s="299" t="inlineStr">
        <is>
          <t>FIMTX</t>
        </is>
      </c>
      <c r="D102" s="300" t="inlineStr">
        <is>
          <t>小指05</t>
        </is>
      </c>
      <c r="E102" s="300" t="inlineStr">
        <is>
          <t>平倉</t>
        </is>
      </c>
      <c r="F102" s="301" t="inlineStr">
        <is>
          <t>賣</t>
        </is>
      </c>
      <c r="G102" s="300" t="inlineStr">
        <is>
          <t>-</t>
        </is>
      </c>
      <c r="H102" s="741" t="n">
        <v>1</v>
      </c>
      <c r="I102" s="741" t="n">
        <v>10187</v>
      </c>
      <c r="J102" s="741" t="n">
        <v>0</v>
      </c>
      <c r="K102" s="742" t="n">
        <v>23</v>
      </c>
      <c r="L102" s="742" t="n">
        <v>10</v>
      </c>
      <c r="M102" s="742">
        <f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/>
      </c>
      <c r="N102" s="743">
        <f>M102</f>
        <v/>
      </c>
      <c r="O102" s="764">
        <f>IF(C102="TXO","",IF(E102="新倉","",IF(F102="賣",(I102-I101)*H102,(I101-I102)*H102)))</f>
        <v/>
      </c>
      <c r="P102" s="334">
        <f>ABS(J102)</f>
        <v/>
      </c>
      <c r="Q102" s="764" t="n"/>
      <c r="S102" s="739" t="n"/>
      <c r="T102" s="61" t="n"/>
      <c r="U102" s="61" t="n"/>
      <c r="V102" s="61" t="n"/>
      <c r="W102" s="61" t="n"/>
      <c r="X102" s="61" t="n"/>
      <c r="Y102" s="61" t="n"/>
      <c r="Z102" s="61" t="n"/>
    </row>
    <row r="103" hidden="1" outlineLevel="2" collapsed="1" ht="17.25" customHeight="1" thickBot="1">
      <c r="B103" s="740" t="n">
        <v>42908</v>
      </c>
      <c r="C103" s="299" t="inlineStr">
        <is>
          <t>FIMTX</t>
        </is>
      </c>
      <c r="D103" s="300" t="inlineStr">
        <is>
          <t>小指05</t>
        </is>
      </c>
      <c r="E103" s="300" t="inlineStr">
        <is>
          <t>新倉</t>
        </is>
      </c>
      <c r="F103" s="301" t="inlineStr">
        <is>
          <t>買</t>
        </is>
      </c>
      <c r="G103" s="300" t="inlineStr">
        <is>
          <t>-</t>
        </is>
      </c>
      <c r="H103" s="741" t="n">
        <v>1</v>
      </c>
      <c r="I103" s="741" t="n">
        <v>10195</v>
      </c>
      <c r="J103" s="741" t="n">
        <v>0</v>
      </c>
      <c r="K103" s="742" t="n">
        <v>23</v>
      </c>
      <c r="L103" s="742" t="n">
        <v>10</v>
      </c>
      <c r="M103" s="742">
        <f>IF(C103="TXO",J103-SUM(K103:L103),IF(C103="FITX",IF(E103="新倉",-SUM(K103:L103),IF(F103="賣",(I103-I102)*H103*200-SUM(K103:L103),(I102-I103)*H103*200-SUM(K103:L103))),IF(E103="新倉",-SUM(K103:L103),IF(F103="賣",(I103-I102)*H103*50-SUM(K103:L103),(I102-I103)*H103*50-SUM(K103:L103)))))</f>
        <v/>
      </c>
      <c r="N103" s="743">
        <f>M103</f>
        <v/>
      </c>
      <c r="O103" s="764">
        <f>IF(C103="TXO","",IF(E103="新倉","",IF(F103="賣",(I103-I102)*H103,(I102-I103)*H103)))</f>
        <v/>
      </c>
      <c r="P103" s="334">
        <f>ABS(J103)</f>
        <v/>
      </c>
      <c r="Q103" s="764" t="n"/>
      <c r="S103" s="739" t="n"/>
      <c r="T103" s="61" t="n"/>
      <c r="U103" s="61" t="n"/>
      <c r="V103" s="61" t="n"/>
      <c r="W103" s="61" t="n"/>
      <c r="X103" s="61" t="n"/>
      <c r="Y103" s="61" t="n"/>
      <c r="Z103" s="61" t="n"/>
    </row>
    <row r="104" hidden="1" outlineLevel="2" collapsed="1" ht="17.25" customHeight="1" thickBot="1">
      <c r="B104" s="740" t="n">
        <v>42908</v>
      </c>
      <c r="C104" s="299" t="inlineStr">
        <is>
          <t>FIMTX</t>
        </is>
      </c>
      <c r="D104" s="300" t="inlineStr">
        <is>
          <t>小指05</t>
        </is>
      </c>
      <c r="E104" s="300" t="inlineStr">
        <is>
          <t>平倉</t>
        </is>
      </c>
      <c r="F104" s="301" t="inlineStr">
        <is>
          <t>賣</t>
        </is>
      </c>
      <c r="G104" s="300" t="inlineStr">
        <is>
          <t>-</t>
        </is>
      </c>
      <c r="H104" s="741" t="n">
        <v>1</v>
      </c>
      <c r="I104" s="741" t="n">
        <v>10184</v>
      </c>
      <c r="J104" s="741" t="n">
        <v>0</v>
      </c>
      <c r="K104" s="742" t="n">
        <v>23</v>
      </c>
      <c r="L104" s="742" t="n">
        <v>10</v>
      </c>
      <c r="M104" s="742">
        <f>IF(C104="TXO",J104-SUM(K104:L104),IF(C104="FITX",IF(E104="新倉",-SUM(K104:L104),IF(F104="賣",(I104-I103)*H104*200-SUM(K104:L104),(I103-I104)*H104*200-SUM(K104:L104))),IF(E104="新倉",-SUM(K104:L104),IF(F104="賣",(I104-I103)*H104*50-SUM(K104:L104),(I103-I104)*H104*50-SUM(K104:L104)))))</f>
        <v/>
      </c>
      <c r="N104" s="743">
        <f>M104</f>
        <v/>
      </c>
      <c r="O104" s="764">
        <f>IF(C104="TXO","",IF(E104="新倉","",IF(F104="賣",(I104-I103)*H104,(I103-I104)*H104)))</f>
        <v/>
      </c>
      <c r="P104" s="334">
        <f>ABS(J104)</f>
        <v/>
      </c>
      <c r="Q104" s="764" t="n"/>
      <c r="S104" s="739" t="n"/>
      <c r="T104" s="61" t="n"/>
      <c r="U104" s="61" t="n"/>
      <c r="V104" s="61" t="n"/>
      <c r="W104" s="61" t="n"/>
      <c r="X104" s="61" t="n"/>
      <c r="Y104" s="61" t="n"/>
      <c r="Z104" s="61" t="n"/>
    </row>
    <row r="105" hidden="1" outlineLevel="2" collapsed="1" ht="17.25" customHeight="1" thickBot="1">
      <c r="B105" s="740" t="n">
        <v>42908</v>
      </c>
      <c r="C105" s="299" t="inlineStr">
        <is>
          <t>FIMTX</t>
        </is>
      </c>
      <c r="D105" s="300" t="inlineStr">
        <is>
          <t>小指05</t>
        </is>
      </c>
      <c r="E105" s="300" t="inlineStr">
        <is>
          <t>新倉</t>
        </is>
      </c>
      <c r="F105" s="301" t="inlineStr">
        <is>
          <t>買</t>
        </is>
      </c>
      <c r="G105" s="300" t="inlineStr">
        <is>
          <t>-</t>
        </is>
      </c>
      <c r="H105" s="741" t="n">
        <v>1</v>
      </c>
      <c r="I105" s="741" t="n">
        <v>10195</v>
      </c>
      <c r="J105" s="741" t="n">
        <v>0</v>
      </c>
      <c r="K105" s="742" t="n">
        <v>23</v>
      </c>
      <c r="L105" s="742" t="n">
        <v>10</v>
      </c>
      <c r="M105" s="742">
        <f>IF(C105="TXO",J105-SUM(K105:L105),IF(C105="FITX",IF(E105="新倉",-SUM(K105:L105),IF(F105="賣",(I105-I104)*H105*200-SUM(K105:L105),(I104-I105)*H105*200-SUM(K105:L105))),IF(E105="新倉",-SUM(K105:L105),IF(F105="賣",(I105-I104)*H105*50-SUM(K105:L105),(I104-I105)*H105*50-SUM(K105:L105)))))</f>
        <v/>
      </c>
      <c r="N105" s="743">
        <f>M105</f>
        <v/>
      </c>
      <c r="O105" s="764">
        <f>IF(C105="TXO","",IF(E105="新倉","",IF(F105="賣",(I105-I104)*H105,(I104-I105)*H105)))</f>
        <v/>
      </c>
      <c r="P105" s="334">
        <f>ABS(J105)</f>
        <v/>
      </c>
      <c r="Q105" s="764" t="n"/>
      <c r="S105" s="739" t="n"/>
      <c r="T105" s="61" t="n"/>
      <c r="U105" s="61" t="n"/>
      <c r="V105" s="61" t="n"/>
      <c r="W105" s="61" t="n"/>
      <c r="X105" s="61" t="n"/>
      <c r="Y105" s="61" t="n"/>
      <c r="Z105" s="61" t="n"/>
    </row>
    <row r="106" hidden="1" outlineLevel="2" collapsed="1" ht="17.25" customHeight="1" thickBot="1">
      <c r="B106" s="740" t="n">
        <v>42908</v>
      </c>
      <c r="C106" s="299" t="inlineStr">
        <is>
          <t>FIMTX</t>
        </is>
      </c>
      <c r="D106" s="300" t="inlineStr">
        <is>
          <t>小指05</t>
        </is>
      </c>
      <c r="E106" s="300" t="inlineStr">
        <is>
          <t>平倉</t>
        </is>
      </c>
      <c r="F106" s="301" t="inlineStr">
        <is>
          <t>賣</t>
        </is>
      </c>
      <c r="G106" s="300" t="inlineStr">
        <is>
          <t>-</t>
        </is>
      </c>
      <c r="H106" s="741" t="n">
        <v>1</v>
      </c>
      <c r="I106" s="741" t="n">
        <v>10185</v>
      </c>
      <c r="J106" s="741" t="n">
        <v>0</v>
      </c>
      <c r="K106" s="742" t="n">
        <v>23</v>
      </c>
      <c r="L106" s="742" t="n">
        <v>10</v>
      </c>
      <c r="M106" s="742">
        <f>IF(C106="TXO",J106-SUM(K106:L106),IF(C106="FITX",IF(E106="新倉",-SUM(K106:L106),IF(F106="賣",(I106-I105)*H106*200-SUM(K106:L106),(I105-I106)*H106*200-SUM(K106:L106))),IF(E106="新倉",-SUM(K106:L106),IF(F106="賣",(I106-I105)*H106*50-SUM(K106:L106),(I105-I106)*H106*50-SUM(K106:L106)))))</f>
        <v/>
      </c>
      <c r="N106" s="743">
        <f>M106</f>
        <v/>
      </c>
      <c r="O106" s="764">
        <f>IF(C106="TXO","",IF(E106="新倉","",IF(F106="賣",(I106-I105)*H106,(I105-I106)*H106)))</f>
        <v/>
      </c>
      <c r="P106" s="334">
        <f>ABS(J106)</f>
        <v/>
      </c>
      <c r="Q106" s="764" t="n"/>
      <c r="S106" s="739" t="n"/>
      <c r="T106" s="61" t="n"/>
      <c r="U106" s="61" t="n"/>
      <c r="V106" s="61" t="n"/>
      <c r="W106" s="61" t="n"/>
      <c r="X106" s="61" t="n"/>
      <c r="Y106" s="61" t="n"/>
      <c r="Z106" s="61" t="n"/>
    </row>
    <row r="107" hidden="1" outlineLevel="1" ht="17.25" customHeight="1" thickBot="1">
      <c r="B107" s="696" t="n">
        <v>42912</v>
      </c>
      <c r="C107" s="234" t="inlineStr">
        <is>
          <t>FIMTX</t>
        </is>
      </c>
      <c r="D107" s="229" t="inlineStr">
        <is>
          <t>小指05</t>
        </is>
      </c>
      <c r="E107" s="229" t="inlineStr">
        <is>
          <t>新倉</t>
        </is>
      </c>
      <c r="F107" s="229" t="inlineStr">
        <is>
          <t>買</t>
        </is>
      </c>
      <c r="G107" s="229" t="inlineStr">
        <is>
          <t>-</t>
        </is>
      </c>
      <c r="H107" s="697" t="n">
        <v>1</v>
      </c>
      <c r="I107" s="697" t="n">
        <v>10230</v>
      </c>
      <c r="J107" s="697" t="n">
        <v>0</v>
      </c>
      <c r="K107" s="585" t="n">
        <v>23</v>
      </c>
      <c r="L107" s="749" t="n">
        <v>10</v>
      </c>
      <c r="M107" s="585">
        <f>IF(C107="TXO",J107-SUM(K107:L107),IF(C107="FITX",IF(E107="新倉",-SUM(K107:L107),IF(F107="賣",(I107-I106)*H107*200-SUM(K107:L107),(I106-I107)*H107*200-SUM(K107:L107))),IF(E107="新倉",-SUM(K107:L107),IF(F107="賣",(I107-I106)*H107*50-SUM(K107:L107),(I106-I107)*H107*50-SUM(K107:L107)))))</f>
        <v/>
      </c>
      <c r="N107" s="699">
        <f>M107</f>
        <v/>
      </c>
      <c r="O107" s="686">
        <f>IF(C107="TXO","",IF(E107="新倉","",IF(F107="賣",(I107-I106)*H107,(I106-I107)*H107)))</f>
        <v/>
      </c>
      <c r="P107" s="226">
        <f>ABS(J107)</f>
        <v/>
      </c>
      <c r="Q107" s="667">
        <f>SUM(M107:M116)</f>
        <v/>
      </c>
      <c r="S107" s="739" t="n"/>
    </row>
    <row r="108" hidden="1" outlineLevel="2" ht="17.25" customHeight="1" thickBot="1">
      <c r="B108" s="696" t="n">
        <v>42912</v>
      </c>
      <c r="C108" s="234" t="inlineStr">
        <is>
          <t>FIMTX</t>
        </is>
      </c>
      <c r="D108" s="229" t="inlineStr">
        <is>
          <t>小指05</t>
        </is>
      </c>
      <c r="E108" s="229" t="inlineStr">
        <is>
          <t>平倉</t>
        </is>
      </c>
      <c r="F108" s="229" t="inlineStr">
        <is>
          <t>賣</t>
        </is>
      </c>
      <c r="G108" s="229" t="inlineStr">
        <is>
          <t>-</t>
        </is>
      </c>
      <c r="H108" s="697" t="n">
        <v>1</v>
      </c>
      <c r="I108" s="697" t="n">
        <v>10234</v>
      </c>
      <c r="J108" s="697" t="n">
        <v>0</v>
      </c>
      <c r="K108" s="585" t="n">
        <v>23</v>
      </c>
      <c r="L108" s="749" t="n">
        <v>10</v>
      </c>
      <c r="M108" s="585">
        <f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/>
      </c>
      <c r="N108" s="699">
        <f>M108</f>
        <v/>
      </c>
      <c r="O108" s="686">
        <f>IF(C108="TXO","",IF(E108="新倉","",IF(F108="賣",(I108-I107)*H108,(I107-I108)*H108)))</f>
        <v/>
      </c>
      <c r="P108" s="226">
        <f>ABS(J108)</f>
        <v/>
      </c>
      <c r="Q108" s="667" t="n"/>
      <c r="S108" s="739" t="n"/>
    </row>
    <row r="109" hidden="1" outlineLevel="2" ht="17.25" customHeight="1" thickBot="1">
      <c r="B109" s="696" t="n">
        <v>42912</v>
      </c>
      <c r="C109" s="234" t="inlineStr">
        <is>
          <t>FIMTX</t>
        </is>
      </c>
      <c r="D109" s="229" t="inlineStr">
        <is>
          <t>小指05</t>
        </is>
      </c>
      <c r="E109" s="229" t="inlineStr">
        <is>
          <t>新倉</t>
        </is>
      </c>
      <c r="F109" s="229" t="inlineStr">
        <is>
          <t>買</t>
        </is>
      </c>
      <c r="G109" s="229" t="inlineStr">
        <is>
          <t>-</t>
        </is>
      </c>
      <c r="H109" s="697" t="n">
        <v>1</v>
      </c>
      <c r="I109" s="697" t="n">
        <v>10231</v>
      </c>
      <c r="J109" s="697" t="n">
        <v>0</v>
      </c>
      <c r="K109" s="585" t="n">
        <v>23</v>
      </c>
      <c r="L109" s="749" t="n">
        <v>10</v>
      </c>
      <c r="M109" s="585">
        <f>IF(C109="TXO",J109-SUM(K109:L109),IF(C109="FITX",IF(E109="新倉",-SUM(K109:L109),IF(F109="賣",(I109-I108)*H109*200-SUM(K109:L109),(I108-I109)*H109*200-SUM(K109:L109))),IF(E109="新倉",-SUM(K109:L109),IF(F109="賣",(I109-I108)*H109*50-SUM(K109:L109),(I108-I109)*H109*50-SUM(K109:L109)))))</f>
        <v/>
      </c>
      <c r="N109" s="699">
        <f>M109</f>
        <v/>
      </c>
      <c r="O109" s="686">
        <f>IF(C109="TXO","",IF(E109="新倉","",IF(F109="賣",(I109-I108)*H109,(I108-I109)*H109)))</f>
        <v/>
      </c>
      <c r="P109" s="226">
        <f>ABS(J109)</f>
        <v/>
      </c>
      <c r="Q109" s="667" t="n"/>
      <c r="S109" s="739" t="n"/>
    </row>
    <row r="110" hidden="1" outlineLevel="2" ht="17.25" customHeight="1" thickBot="1">
      <c r="B110" s="696" t="n">
        <v>42912</v>
      </c>
      <c r="C110" s="234" t="inlineStr">
        <is>
          <t>FIMTX</t>
        </is>
      </c>
      <c r="D110" s="229" t="inlineStr">
        <is>
          <t>小指05</t>
        </is>
      </c>
      <c r="E110" s="229" t="inlineStr">
        <is>
          <t>平倉</t>
        </is>
      </c>
      <c r="F110" s="229" t="inlineStr">
        <is>
          <t>賣</t>
        </is>
      </c>
      <c r="G110" s="229" t="inlineStr">
        <is>
          <t>-</t>
        </is>
      </c>
      <c r="H110" s="697" t="n">
        <v>1</v>
      </c>
      <c r="I110" s="697" t="n">
        <v>10235</v>
      </c>
      <c r="J110" s="697" t="n">
        <v>0</v>
      </c>
      <c r="K110" s="585" t="n">
        <v>23</v>
      </c>
      <c r="L110" s="749" t="n">
        <v>10</v>
      </c>
      <c r="M110" s="585">
        <f>IF(C110="TXO",J110-SUM(K110:L110),IF(C110="FITX",IF(E110="新倉",-SUM(K110:L110),IF(F110="賣",(I110-I109)*H110*200-SUM(K110:L110),(I109-I110)*H110*200-SUM(K110:L110))),IF(E110="新倉",-SUM(K110:L110),IF(F110="賣",(I110-I109)*H110*50-SUM(K110:L110),(I109-I110)*H110*50-SUM(K110:L110)))))</f>
        <v/>
      </c>
      <c r="N110" s="699">
        <f>M110</f>
        <v/>
      </c>
      <c r="O110" s="686">
        <f>IF(C110="TXO","",IF(E110="新倉","",IF(F110="賣",(I110-I109)*H110,(I109-I110)*H110)))</f>
        <v/>
      </c>
      <c r="P110" s="226">
        <f>ABS(J110)</f>
        <v/>
      </c>
      <c r="Q110" s="667" t="n"/>
      <c r="S110" s="739" t="n"/>
    </row>
    <row r="111" hidden="1" outlineLevel="2" ht="17.25" customHeight="1" thickBot="1">
      <c r="B111" s="696" t="n">
        <v>42912</v>
      </c>
      <c r="C111" s="234" t="inlineStr">
        <is>
          <t>FIMTX</t>
        </is>
      </c>
      <c r="D111" s="229" t="inlineStr">
        <is>
          <t>小指05</t>
        </is>
      </c>
      <c r="E111" s="229" t="inlineStr">
        <is>
          <t>新倉</t>
        </is>
      </c>
      <c r="F111" s="229" t="inlineStr">
        <is>
          <t>買</t>
        </is>
      </c>
      <c r="G111" s="229" t="inlineStr">
        <is>
          <t>-</t>
        </is>
      </c>
      <c r="H111" s="697" t="n">
        <v>1</v>
      </c>
      <c r="I111" s="697" t="n">
        <v>10272</v>
      </c>
      <c r="J111" s="697" t="n">
        <v>0</v>
      </c>
      <c r="K111" s="585" t="n">
        <v>23</v>
      </c>
      <c r="L111" s="749" t="n">
        <v>10</v>
      </c>
      <c r="M111" s="585">
        <f>IF(C111="TXO",J111-SUM(K111:L111),IF(C111="FITX",IF(E111="新倉",-SUM(K111:L111),IF(F111="賣",(I111-I110)*H111*200-SUM(K111:L111),(I110-I111)*H111*200-SUM(K111:L111))),IF(E111="新倉",-SUM(K111:L111),IF(F111="賣",(I111-I110)*H111*50-SUM(K111:L111),(I110-I111)*H111*50-SUM(K111:L111)))))</f>
        <v/>
      </c>
      <c r="N111" s="699">
        <f>M111</f>
        <v/>
      </c>
      <c r="O111" s="686">
        <f>IF(C111="TXO","",IF(E111="新倉","",IF(F111="賣",(I111-I110)*H111,(I110-I111)*H111)))</f>
        <v/>
      </c>
      <c r="P111" s="226">
        <f>ABS(J111)</f>
        <v/>
      </c>
      <c r="Q111" s="667" t="n"/>
      <c r="S111" s="739" t="n"/>
    </row>
    <row r="112" hidden="1" outlineLevel="2" ht="17.25" customHeight="1" thickBot="1">
      <c r="B112" s="696" t="n">
        <v>42912</v>
      </c>
      <c r="C112" s="234" t="inlineStr">
        <is>
          <t>FIMTX</t>
        </is>
      </c>
      <c r="D112" s="229" t="inlineStr">
        <is>
          <t>小指05</t>
        </is>
      </c>
      <c r="E112" s="229" t="inlineStr">
        <is>
          <t>平倉</t>
        </is>
      </c>
      <c r="F112" s="229" t="inlineStr">
        <is>
          <t>賣</t>
        </is>
      </c>
      <c r="G112" s="229" t="inlineStr">
        <is>
          <t>-</t>
        </is>
      </c>
      <c r="H112" s="697" t="n">
        <v>1</v>
      </c>
      <c r="I112" s="697" t="n">
        <v>10286</v>
      </c>
      <c r="J112" s="697" t="n">
        <v>0</v>
      </c>
      <c r="K112" s="585" t="n">
        <v>23</v>
      </c>
      <c r="L112" s="749" t="n">
        <v>10</v>
      </c>
      <c r="M112" s="585">
        <f>IF(C112="TXO",J112-SUM(K112:L112),IF(C112="FITX",IF(E112="新倉",-SUM(K112:L112),IF(F112="賣",(I112-I111)*H112*200-SUM(K112:L112),(I111-I112)*H112*200-SUM(K112:L112))),IF(E112="新倉",-SUM(K112:L112),IF(F112="賣",(I112-I111)*H112*50-SUM(K112:L112),(I111-I112)*H112*50-SUM(K112:L112)))))</f>
        <v/>
      </c>
      <c r="N112" s="699">
        <f>M112</f>
        <v/>
      </c>
      <c r="O112" s="686">
        <f>IF(C112="TXO","",IF(E112="新倉","",IF(F112="賣",(I112-I111)*H112,(I111-I112)*H112)))</f>
        <v/>
      </c>
      <c r="P112" s="226">
        <f>ABS(J112)</f>
        <v/>
      </c>
      <c r="Q112" s="667" t="n"/>
      <c r="S112" s="739" t="n"/>
    </row>
    <row r="113" hidden="1" outlineLevel="2" ht="17.25" customHeight="1" thickBot="1">
      <c r="B113" s="696" t="n">
        <v>42912</v>
      </c>
      <c r="C113" s="234" t="inlineStr">
        <is>
          <t>FIMTX</t>
        </is>
      </c>
      <c r="D113" s="229" t="inlineStr">
        <is>
          <t>小指05</t>
        </is>
      </c>
      <c r="E113" s="229" t="inlineStr">
        <is>
          <t>新倉</t>
        </is>
      </c>
      <c r="F113" s="229" t="inlineStr">
        <is>
          <t>買</t>
        </is>
      </c>
      <c r="G113" s="229" t="inlineStr">
        <is>
          <t>-</t>
        </is>
      </c>
      <c r="H113" s="697" t="n">
        <v>1</v>
      </c>
      <c r="I113" s="697" t="n">
        <v>10315</v>
      </c>
      <c r="J113" s="697" t="n">
        <v>0</v>
      </c>
      <c r="K113" s="585" t="n">
        <v>23</v>
      </c>
      <c r="L113" s="749" t="n">
        <v>10</v>
      </c>
      <c r="M113" s="585">
        <f>IF(C113="TXO",J113-SUM(K113:L113),IF(C113="FITX",IF(E113="新倉",-SUM(K113:L113),IF(F113="賣",(I113-I112)*H113*200-SUM(K113:L113),(I112-I113)*H113*200-SUM(K113:L113))),IF(E113="新倉",-SUM(K113:L113),IF(F113="賣",(I113-I112)*H113*50-SUM(K113:L113),(I112-I113)*H113*50-SUM(K113:L113)))))</f>
        <v/>
      </c>
      <c r="N113" s="699">
        <f>M113</f>
        <v/>
      </c>
      <c r="O113" s="686">
        <f>IF(C113="TXO","",IF(E113="新倉","",IF(F113="賣",(I113-I112)*H113,(I112-I113)*H113)))</f>
        <v/>
      </c>
      <c r="P113" s="226">
        <f>ABS(J113)</f>
        <v/>
      </c>
      <c r="Q113" s="667" t="n"/>
      <c r="S113" s="739" t="n"/>
    </row>
    <row r="114" hidden="1" outlineLevel="2" ht="17.25" customHeight="1" thickBot="1">
      <c r="B114" s="696" t="n">
        <v>42912</v>
      </c>
      <c r="C114" s="234" t="inlineStr">
        <is>
          <t>FIMTX</t>
        </is>
      </c>
      <c r="D114" s="229" t="inlineStr">
        <is>
          <t>小指05</t>
        </is>
      </c>
      <c r="E114" s="229" t="inlineStr">
        <is>
          <t>平倉</t>
        </is>
      </c>
      <c r="F114" s="229" t="inlineStr">
        <is>
          <t>賣</t>
        </is>
      </c>
      <c r="G114" s="229" t="inlineStr">
        <is>
          <t>-</t>
        </is>
      </c>
      <c r="H114" s="697" t="n">
        <v>1</v>
      </c>
      <c r="I114" s="697" t="n">
        <v>10310</v>
      </c>
      <c r="J114" s="697" t="n">
        <v>0</v>
      </c>
      <c r="K114" s="585" t="n">
        <v>23</v>
      </c>
      <c r="L114" s="749" t="n">
        <v>10</v>
      </c>
      <c r="M114" s="585">
        <f>IF(C114="TXO",J114-SUM(K114:L114),IF(C114="FITX",IF(E114="新倉",-SUM(K114:L114),IF(F114="賣",(I114-I113)*H114*200-SUM(K114:L114),(I113-I114)*H114*200-SUM(K114:L114))),IF(E114="新倉",-SUM(K114:L114),IF(F114="賣",(I114-I113)*H114*50-SUM(K114:L114),(I113-I114)*H114*50-SUM(K114:L114)))))</f>
        <v/>
      </c>
      <c r="N114" s="699">
        <f>M114</f>
        <v/>
      </c>
      <c r="O114" s="686">
        <f>IF(C114="TXO","",IF(E114="新倉","",IF(F114="賣",(I114-I113)*H114,(I113-I114)*H114)))</f>
        <v/>
      </c>
      <c r="P114" s="226">
        <f>ABS(J114)</f>
        <v/>
      </c>
      <c r="Q114" s="667" t="n"/>
      <c r="S114" s="739" t="n"/>
    </row>
    <row r="115" hidden="1" outlineLevel="2" ht="17.25" customHeight="1" thickBot="1">
      <c r="B115" s="696" t="n">
        <v>42912</v>
      </c>
      <c r="C115" s="234" t="inlineStr">
        <is>
          <t>FIMTX</t>
        </is>
      </c>
      <c r="D115" s="229" t="inlineStr">
        <is>
          <t>小指05</t>
        </is>
      </c>
      <c r="E115" s="229" t="inlineStr">
        <is>
          <t>新倉</t>
        </is>
      </c>
      <c r="F115" s="229" t="inlineStr">
        <is>
          <t>買</t>
        </is>
      </c>
      <c r="G115" s="229" t="inlineStr">
        <is>
          <t>-</t>
        </is>
      </c>
      <c r="H115" s="697" t="n">
        <v>1</v>
      </c>
      <c r="I115" s="697" t="n">
        <v>10229</v>
      </c>
      <c r="J115" s="697" t="n">
        <v>0</v>
      </c>
      <c r="K115" s="585" t="n">
        <v>23</v>
      </c>
      <c r="L115" s="749" t="n">
        <v>10</v>
      </c>
      <c r="M115" s="585">
        <f>IF(C115="TXO",J115-SUM(K115:L115),IF(C115="FITX",IF(E115="新倉",-SUM(K115:L115),IF(F115="賣",(I115-I114)*H115*200-SUM(K115:L115),(I114-I115)*H115*200-SUM(K115:L115))),IF(E115="新倉",-SUM(K115:L115),IF(F115="賣",(I115-I114)*H115*50-SUM(K115:L115),(I114-I115)*H115*50-SUM(K115:L115)))))</f>
        <v/>
      </c>
      <c r="N115" s="699">
        <f>M115</f>
        <v/>
      </c>
      <c r="O115" s="686">
        <f>IF(C115="TXO","",IF(E115="新倉","",IF(F115="賣",(I115-I114)*H115,(I114-I115)*H115)))</f>
        <v/>
      </c>
      <c r="P115" s="226">
        <f>ABS(J115)</f>
        <v/>
      </c>
      <c r="Q115" s="667" t="n"/>
      <c r="S115" s="739" t="n"/>
    </row>
    <row r="116" hidden="1" outlineLevel="2" ht="17.25" customHeight="1" thickBot="1">
      <c r="B116" s="696" t="n">
        <v>42912</v>
      </c>
      <c r="C116" s="234" t="inlineStr">
        <is>
          <t>FIMTX</t>
        </is>
      </c>
      <c r="D116" s="229" t="inlineStr">
        <is>
          <t>小指05</t>
        </is>
      </c>
      <c r="E116" s="229" t="inlineStr">
        <is>
          <t>平倉</t>
        </is>
      </c>
      <c r="F116" s="229" t="inlineStr">
        <is>
          <t>賣</t>
        </is>
      </c>
      <c r="G116" s="229" t="inlineStr">
        <is>
          <t>-</t>
        </is>
      </c>
      <c r="H116" s="697" t="n">
        <v>1</v>
      </c>
      <c r="I116" s="697" t="n">
        <v>10221</v>
      </c>
      <c r="J116" s="697" t="n">
        <v>0</v>
      </c>
      <c r="K116" s="585" t="n">
        <v>23</v>
      </c>
      <c r="L116" s="749" t="n">
        <v>10</v>
      </c>
      <c r="M116" s="585">
        <f>IF(C116="TXO",J116-SUM(K116:L116),IF(C116="FITX",IF(E116="新倉",-SUM(K116:L116),IF(F116="賣",(I116-I115)*H116*200-SUM(K116:L116),(I115-I116)*H116*200-SUM(K116:L116))),IF(E116="新倉",-SUM(K116:L116),IF(F116="賣",(I116-I115)*H116*50-SUM(K116:L116),(I115-I116)*H116*50-SUM(K116:L116)))))</f>
        <v/>
      </c>
      <c r="N116" s="699">
        <f>M116</f>
        <v/>
      </c>
      <c r="O116" s="686">
        <f>IF(C116="TXO","",IF(E116="新倉","",IF(F116="賣",(I116-I115)*H116,(I115-I116)*H116)))</f>
        <v/>
      </c>
      <c r="P116" s="226">
        <f>ABS(J116)</f>
        <v/>
      </c>
      <c r="Q116" s="667" t="n"/>
      <c r="S116" s="739" t="n"/>
    </row>
    <row r="117" hidden="1" outlineLevel="1" ht="17.25" customHeight="1" thickBot="1">
      <c r="B117" s="740" t="n">
        <v>42908</v>
      </c>
      <c r="C117" s="299" t="inlineStr">
        <is>
          <t>FIMTX</t>
        </is>
      </c>
      <c r="D117" s="300" t="inlineStr">
        <is>
          <t>小指05</t>
        </is>
      </c>
      <c r="E117" s="300" t="inlineStr">
        <is>
          <t>新倉</t>
        </is>
      </c>
      <c r="F117" s="301" t="inlineStr">
        <is>
          <t>買</t>
        </is>
      </c>
      <c r="G117" s="300" t="inlineStr">
        <is>
          <t>-</t>
        </is>
      </c>
      <c r="H117" s="741" t="n">
        <v>1</v>
      </c>
      <c r="I117" s="741" t="n">
        <v>10382</v>
      </c>
      <c r="J117" s="741" t="n">
        <v>0</v>
      </c>
      <c r="K117" s="742" t="n">
        <v>23</v>
      </c>
      <c r="L117" s="742" t="n">
        <v>10</v>
      </c>
      <c r="M117" s="742">
        <f>IF(C117="TXO",J117-SUM(K117:L117),IF(C117="FITX",IF(E117="新倉",-SUM(K117:L117),IF(F117="賣",(I117-I116)*H117*200-SUM(K117:L117),(I116-I117)*H117*200-SUM(K117:L117))),IF(E117="新倉",-SUM(K117:L117),IF(F117="賣",(I117-I116)*H117*50-SUM(K117:L117),(I116-I117)*H117*50-SUM(K117:L117)))))</f>
        <v/>
      </c>
      <c r="N117" s="743">
        <f>M117</f>
        <v/>
      </c>
      <c r="O117" s="764">
        <f>IF(C117="TXO","",IF(E117="新倉","",IF(F117="賣",(I117-I116)*H117,(I116-I117)*H117)))</f>
        <v/>
      </c>
      <c r="P117" s="334">
        <f>ABS(J117)</f>
        <v/>
      </c>
      <c r="Q117" s="764">
        <f>SUM(M117:M124)</f>
        <v/>
      </c>
      <c r="S117" s="739" t="n"/>
      <c r="T117" s="61" t="n"/>
      <c r="U117" s="61" t="n"/>
      <c r="V117" s="61" t="n"/>
      <c r="W117" s="61" t="n"/>
      <c r="X117" s="61" t="n"/>
      <c r="Y117" s="61" t="n"/>
      <c r="Z117" s="61" t="n"/>
    </row>
    <row r="118" hidden="1" outlineLevel="2" collapsed="1" ht="17.25" customHeight="1" thickBot="1">
      <c r="B118" s="740" t="n">
        <v>42908</v>
      </c>
      <c r="C118" s="299" t="inlineStr">
        <is>
          <t>FIMTX</t>
        </is>
      </c>
      <c r="D118" s="300" t="inlineStr">
        <is>
          <t>小指05</t>
        </is>
      </c>
      <c r="E118" s="300" t="inlineStr">
        <is>
          <t>平倉</t>
        </is>
      </c>
      <c r="F118" s="301" t="inlineStr">
        <is>
          <t>賣</t>
        </is>
      </c>
      <c r="G118" s="300" t="inlineStr">
        <is>
          <t>-</t>
        </is>
      </c>
      <c r="H118" s="741" t="n">
        <v>1</v>
      </c>
      <c r="I118" s="741" t="n">
        <v>10374</v>
      </c>
      <c r="J118" s="741" t="n">
        <v>0</v>
      </c>
      <c r="K118" s="742" t="n">
        <v>23</v>
      </c>
      <c r="L118" s="742" t="n">
        <v>10</v>
      </c>
      <c r="M118" s="742">
        <f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/>
      </c>
      <c r="N118" s="743">
        <f>M118</f>
        <v/>
      </c>
      <c r="O118" s="764">
        <f>IF(C118="TXO","",IF(E118="新倉","",IF(F118="賣",(I118-I117)*H118,(I117-I118)*H118)))</f>
        <v/>
      </c>
      <c r="P118" s="334">
        <f>ABS(J118)</f>
        <v/>
      </c>
      <c r="Q118" s="764" t="n"/>
      <c r="S118" s="739" t="n"/>
      <c r="T118" s="61" t="n"/>
      <c r="U118" s="61" t="n"/>
      <c r="V118" s="61" t="n"/>
      <c r="W118" s="61" t="n"/>
      <c r="X118" s="61" t="n"/>
      <c r="Y118" s="61" t="n"/>
      <c r="Z118" s="61" t="n"/>
    </row>
    <row r="119" hidden="1" outlineLevel="2" collapsed="1" ht="17.25" customHeight="1" thickBot="1">
      <c r="B119" s="740" t="n">
        <v>42908</v>
      </c>
      <c r="C119" s="299" t="inlineStr">
        <is>
          <t>FIMTX</t>
        </is>
      </c>
      <c r="D119" s="300" t="inlineStr">
        <is>
          <t>小指05</t>
        </is>
      </c>
      <c r="E119" s="300" t="inlineStr">
        <is>
          <t>新倉</t>
        </is>
      </c>
      <c r="F119" s="301" t="inlineStr">
        <is>
          <t>買</t>
        </is>
      </c>
      <c r="G119" s="300" t="inlineStr">
        <is>
          <t>-</t>
        </is>
      </c>
      <c r="H119" s="741" t="n">
        <v>1</v>
      </c>
      <c r="I119" s="741" t="n">
        <v>10368</v>
      </c>
      <c r="J119" s="741" t="n">
        <v>0</v>
      </c>
      <c r="K119" s="742" t="n">
        <v>23</v>
      </c>
      <c r="L119" s="742" t="n">
        <v>10</v>
      </c>
      <c r="M119" s="742">
        <f>IF(C119="TXO",J119-SUM(K119:L119),IF(C119="FITX",IF(E119="新倉",-SUM(K119:L119),IF(F119="賣",(I119-I118)*H119*200-SUM(K119:L119),(I118-I119)*H119*200-SUM(K119:L119))),IF(E119="新倉",-SUM(K119:L119),IF(F119="賣",(I119-I118)*H119*50-SUM(K119:L119),(I118-I119)*H119*50-SUM(K119:L119)))))</f>
        <v/>
      </c>
      <c r="N119" s="743">
        <f>M119</f>
        <v/>
      </c>
      <c r="O119" s="764">
        <f>IF(C119="TXO","",IF(E119="新倉","",IF(F119="賣",(I119-I118)*H119,(I118-I119)*H119)))</f>
        <v/>
      </c>
      <c r="P119" s="334">
        <f>ABS(J119)</f>
        <v/>
      </c>
      <c r="Q119" s="764" t="n"/>
      <c r="S119" s="739" t="n"/>
      <c r="T119" s="61" t="n"/>
      <c r="U119" s="61" t="n"/>
      <c r="V119" s="61" t="n"/>
      <c r="W119" s="61" t="n"/>
      <c r="X119" s="61" t="n"/>
      <c r="Y119" s="61" t="n"/>
      <c r="Z119" s="61" t="n"/>
    </row>
    <row r="120" hidden="1" outlineLevel="2" collapsed="1" ht="17.25" customHeight="1" thickBot="1">
      <c r="B120" s="740" t="n">
        <v>42908</v>
      </c>
      <c r="C120" s="299" t="inlineStr">
        <is>
          <t>FIMTX</t>
        </is>
      </c>
      <c r="D120" s="300" t="inlineStr">
        <is>
          <t>小指05</t>
        </is>
      </c>
      <c r="E120" s="300" t="inlineStr">
        <is>
          <t>平倉</t>
        </is>
      </c>
      <c r="F120" s="301" t="inlineStr">
        <is>
          <t>賣</t>
        </is>
      </c>
      <c r="G120" s="300" t="inlineStr">
        <is>
          <t>-</t>
        </is>
      </c>
      <c r="H120" s="741" t="n">
        <v>1</v>
      </c>
      <c r="I120" s="741" t="n">
        <v>10368</v>
      </c>
      <c r="J120" s="741" t="n">
        <v>0</v>
      </c>
      <c r="K120" s="742" t="n">
        <v>23</v>
      </c>
      <c r="L120" s="742" t="n">
        <v>10</v>
      </c>
      <c r="M120" s="742">
        <f>IF(C120="TXO",J120-SUM(K120:L120),IF(C120="FITX",IF(E120="新倉",-SUM(K120:L120),IF(F120="賣",(I120-I119)*H120*200-SUM(K120:L120),(I119-I120)*H120*200-SUM(K120:L120))),IF(E120="新倉",-SUM(K120:L120),IF(F120="賣",(I120-I119)*H120*50-SUM(K120:L120),(I119-I120)*H120*50-SUM(K120:L120)))))</f>
        <v/>
      </c>
      <c r="N120" s="743">
        <f>M120</f>
        <v/>
      </c>
      <c r="O120" s="764">
        <f>IF(C120="TXO","",IF(E120="新倉","",IF(F120="賣",(I120-I119)*H120,(I119-I120)*H120)))</f>
        <v/>
      </c>
      <c r="P120" s="334">
        <f>ABS(J120)</f>
        <v/>
      </c>
      <c r="Q120" s="764" t="n"/>
      <c r="S120" s="739" t="n"/>
      <c r="T120" s="61" t="n"/>
      <c r="U120" s="61" t="n"/>
      <c r="V120" s="61" t="n"/>
      <c r="W120" s="61" t="n"/>
      <c r="X120" s="61" t="n"/>
      <c r="Y120" s="61" t="n"/>
      <c r="Z120" s="61" t="n"/>
    </row>
    <row r="121" hidden="1" outlineLevel="2" collapsed="1" ht="17.25" customHeight="1" thickBot="1">
      <c r="B121" s="740" t="n">
        <v>42908</v>
      </c>
      <c r="C121" s="299" t="inlineStr">
        <is>
          <t>FIMTX</t>
        </is>
      </c>
      <c r="D121" s="300" t="inlineStr">
        <is>
          <t>小指05</t>
        </is>
      </c>
      <c r="E121" s="300" t="inlineStr">
        <is>
          <t>新倉</t>
        </is>
      </c>
      <c r="F121" s="301" t="inlineStr">
        <is>
          <t>買</t>
        </is>
      </c>
      <c r="G121" s="300" t="inlineStr">
        <is>
          <t>-</t>
        </is>
      </c>
      <c r="H121" s="741" t="n">
        <v>1</v>
      </c>
      <c r="I121" s="741" t="n">
        <v>10379</v>
      </c>
      <c r="J121" s="741" t="n">
        <v>0</v>
      </c>
      <c r="K121" s="742" t="n">
        <v>23</v>
      </c>
      <c r="L121" s="742" t="n">
        <v>10</v>
      </c>
      <c r="M121" s="742">
        <f>IF(C121="TXO",J121-SUM(K121:L121),IF(C121="FITX",IF(E121="新倉",-SUM(K121:L121),IF(F121="賣",(I121-I120)*H121*200-SUM(K121:L121),(I120-I121)*H121*200-SUM(K121:L121))),IF(E121="新倉",-SUM(K121:L121),IF(F121="賣",(I121-I120)*H121*50-SUM(K121:L121),(I120-I121)*H121*50-SUM(K121:L121)))))</f>
        <v/>
      </c>
      <c r="N121" s="743">
        <f>M121</f>
        <v/>
      </c>
      <c r="O121" s="764">
        <f>IF(C121="TXO","",IF(E121="新倉","",IF(F121="賣",(I121-I120)*H121,(I120-I121)*H121)))</f>
        <v/>
      </c>
      <c r="P121" s="334">
        <f>ABS(J121)</f>
        <v/>
      </c>
      <c r="Q121" s="764" t="n"/>
      <c r="S121" s="739" t="n"/>
      <c r="T121" s="61" t="n"/>
      <c r="U121" s="61" t="n"/>
      <c r="V121" s="61" t="n"/>
      <c r="W121" s="61" t="n"/>
      <c r="X121" s="61" t="n"/>
      <c r="Y121" s="61" t="n"/>
      <c r="Z121" s="61" t="n"/>
    </row>
    <row r="122" hidden="1" outlineLevel="2" collapsed="1" ht="17.25" customHeight="1" thickBot="1">
      <c r="B122" s="740" t="n">
        <v>42908</v>
      </c>
      <c r="C122" s="299" t="inlineStr">
        <is>
          <t>FIMTX</t>
        </is>
      </c>
      <c r="D122" s="300" t="inlineStr">
        <is>
          <t>小指05</t>
        </is>
      </c>
      <c r="E122" s="300" t="inlineStr">
        <is>
          <t>平倉</t>
        </is>
      </c>
      <c r="F122" s="301" t="inlineStr">
        <is>
          <t>賣</t>
        </is>
      </c>
      <c r="G122" s="300" t="inlineStr">
        <is>
          <t>-</t>
        </is>
      </c>
      <c r="H122" s="741" t="n">
        <v>1</v>
      </c>
      <c r="I122" s="741" t="n">
        <v>10362</v>
      </c>
      <c r="J122" s="741" t="n">
        <v>0</v>
      </c>
      <c r="K122" s="742" t="n">
        <v>23</v>
      </c>
      <c r="L122" s="742" t="n">
        <v>10</v>
      </c>
      <c r="M122" s="742">
        <f>IF(C122="TXO",J122-SUM(K122:L122),IF(C122="FITX",IF(E122="新倉",-SUM(K122:L122),IF(F122="賣",(I122-I121)*H122*200-SUM(K122:L122),(I121-I122)*H122*200-SUM(K122:L122))),IF(E122="新倉",-SUM(K122:L122),IF(F122="賣",(I122-I121)*H122*50-SUM(K122:L122),(I121-I122)*H122*50-SUM(K122:L122)))))</f>
        <v/>
      </c>
      <c r="N122" s="743">
        <f>M122</f>
        <v/>
      </c>
      <c r="O122" s="764">
        <f>IF(C122="TXO","",IF(E122="新倉","",IF(F122="賣",(I122-I121)*H122,(I121-I122)*H122)))</f>
        <v/>
      </c>
      <c r="P122" s="334">
        <f>ABS(J122)</f>
        <v/>
      </c>
      <c r="Q122" s="764" t="n"/>
      <c r="S122" s="739" t="n"/>
      <c r="T122" s="61" t="n"/>
      <c r="U122" s="61" t="n"/>
      <c r="V122" s="61" t="n"/>
      <c r="W122" s="61" t="n"/>
      <c r="X122" s="61" t="n"/>
      <c r="Y122" s="61" t="n"/>
      <c r="Z122" s="61" t="n"/>
    </row>
    <row r="123" hidden="1" outlineLevel="2" collapsed="1" ht="17.25" customHeight="1" thickBot="1">
      <c r="B123" s="740" t="n">
        <v>42908</v>
      </c>
      <c r="C123" s="299" t="inlineStr">
        <is>
          <t>FIMTX</t>
        </is>
      </c>
      <c r="D123" s="300" t="inlineStr">
        <is>
          <t>小指05</t>
        </is>
      </c>
      <c r="E123" s="300" t="inlineStr">
        <is>
          <t>新倉</t>
        </is>
      </c>
      <c r="F123" s="301" t="inlineStr">
        <is>
          <t>買</t>
        </is>
      </c>
      <c r="G123" s="300" t="inlineStr">
        <is>
          <t>-</t>
        </is>
      </c>
      <c r="H123" s="741" t="n">
        <v>1</v>
      </c>
      <c r="I123" s="741" t="n">
        <v>10379</v>
      </c>
      <c r="J123" s="741" t="n">
        <v>0</v>
      </c>
      <c r="K123" s="742" t="n">
        <v>23</v>
      </c>
      <c r="L123" s="742" t="n">
        <v>10</v>
      </c>
      <c r="M123" s="742">
        <f>IF(C123="TXO",J123-SUM(K123:L123),IF(C123="FITX",IF(E123="新倉",-SUM(K123:L123),IF(F123="賣",(I123-I122)*H123*200-SUM(K123:L123),(I122-I123)*H123*200-SUM(K123:L123))),IF(E123="新倉",-SUM(K123:L123),IF(F123="賣",(I123-I122)*H123*50-SUM(K123:L123),(I122-I123)*H123*50-SUM(K123:L123)))))</f>
        <v/>
      </c>
      <c r="N123" s="743">
        <f>M123</f>
        <v/>
      </c>
      <c r="O123" s="764">
        <f>IF(C123="TXO","",IF(E123="新倉","",IF(F123="賣",(I123-I122)*H123,(I122-I123)*H123)))</f>
        <v/>
      </c>
      <c r="P123" s="334">
        <f>ABS(J123)</f>
        <v/>
      </c>
      <c r="Q123" s="764" t="n"/>
      <c r="S123" s="739" t="n"/>
      <c r="T123" s="61" t="n"/>
      <c r="U123" s="61" t="n"/>
      <c r="V123" s="61" t="n"/>
      <c r="W123" s="61" t="n"/>
      <c r="X123" s="61" t="n"/>
      <c r="Y123" s="61" t="n"/>
      <c r="Z123" s="61" t="n"/>
    </row>
    <row r="124" hidden="1" outlineLevel="2" collapsed="1" ht="17.25" customHeight="1" thickBot="1">
      <c r="B124" s="740" t="n">
        <v>42908</v>
      </c>
      <c r="C124" s="299" t="inlineStr">
        <is>
          <t>FIMTX</t>
        </is>
      </c>
      <c r="D124" s="300" t="inlineStr">
        <is>
          <t>小指05</t>
        </is>
      </c>
      <c r="E124" s="300" t="inlineStr">
        <is>
          <t>平倉</t>
        </is>
      </c>
      <c r="F124" s="301" t="inlineStr">
        <is>
          <t>賣</t>
        </is>
      </c>
      <c r="G124" s="300" t="inlineStr">
        <is>
          <t>-</t>
        </is>
      </c>
      <c r="H124" s="741" t="n">
        <v>1</v>
      </c>
      <c r="I124" s="741" t="n">
        <v>10369</v>
      </c>
      <c r="J124" s="741" t="n">
        <v>0</v>
      </c>
      <c r="K124" s="742" t="n">
        <v>23</v>
      </c>
      <c r="L124" s="742" t="n">
        <v>10</v>
      </c>
      <c r="M124" s="742">
        <f>IF(C124="TXO",J124-SUM(K124:L124),IF(C124="FITX",IF(E124="新倉",-SUM(K124:L124),IF(F124="賣",(I124-I123)*H124*200-SUM(K124:L124),(I123-I124)*H124*200-SUM(K124:L124))),IF(E124="新倉",-SUM(K124:L124),IF(F124="賣",(I124-I123)*H124*50-SUM(K124:L124),(I123-I124)*H124*50-SUM(K124:L124)))))</f>
        <v/>
      </c>
      <c r="N124" s="743">
        <f>M124</f>
        <v/>
      </c>
      <c r="O124" s="764">
        <f>IF(C124="TXO","",IF(E124="新倉","",IF(F124="賣",(I124-I123)*H124,(I123-I124)*H124)))</f>
        <v/>
      </c>
      <c r="P124" s="334">
        <f>ABS(J124)</f>
        <v/>
      </c>
      <c r="Q124" s="764" t="n"/>
      <c r="S124" s="739" t="n"/>
      <c r="T124" s="61" t="n"/>
      <c r="U124" s="61" t="n"/>
      <c r="V124" s="61" t="n"/>
      <c r="W124" s="61" t="n"/>
      <c r="X124" s="61" t="n"/>
      <c r="Y124" s="61" t="n"/>
      <c r="Z124" s="61" t="n"/>
    </row>
    <row r="125" ht="17.25" customHeight="1" thickBot="1">
      <c r="B125" s="718" t="n">
        <v>42908</v>
      </c>
      <c r="C125" s="292" t="n"/>
      <c r="D125" s="292" t="inlineStr">
        <is>
          <t>阿水財經三班</t>
        </is>
      </c>
      <c r="E125" s="292" t="n"/>
      <c r="F125" s="292" t="n"/>
      <c r="G125" s="292" t="n"/>
      <c r="H125" s="719" t="n"/>
      <c r="I125" s="719" t="n"/>
      <c r="J125" s="719" t="n"/>
      <c r="K125" s="720" t="n"/>
      <c r="L125" s="719" t="n"/>
      <c r="M125" s="720" t="n"/>
      <c r="N125" s="721" t="n">
        <v>-8240</v>
      </c>
      <c r="O125" s="760" t="n"/>
      <c r="Q125" s="761" t="n"/>
      <c r="R125" s="230" t="inlineStr">
        <is>
          <t>98888分12期, 每期8240</t>
        </is>
      </c>
      <c r="S125" s="739" t="n"/>
    </row>
    <row r="126" collapsed="1" ht="17.25" customHeight="1" thickBot="1">
      <c r="B126" s="273" t="inlineStr">
        <is>
          <t>6月總計</t>
        </is>
      </c>
      <c r="C126" s="274" t="n"/>
      <c r="D126" s="274" t="n"/>
      <c r="E126" s="274" t="n"/>
      <c r="F126" s="274" t="n"/>
      <c r="G126" s="274" t="n"/>
      <c r="H126" s="715" t="n"/>
      <c r="I126" s="715" t="n"/>
      <c r="J126" s="715" t="n"/>
      <c r="K126" s="716" t="n"/>
      <c r="L126" s="715" t="n"/>
      <c r="M126" s="750">
        <f>SUM(M62:M125)</f>
        <v/>
      </c>
      <c r="N126" s="751">
        <f>SUM(N62:N125)</f>
        <v/>
      </c>
      <c r="O126" s="762" t="n"/>
      <c r="P126" s="331" t="n"/>
      <c r="Q126" s="763" t="n"/>
      <c r="S126" s="739" t="n"/>
    </row>
    <row r="127" collapsed="1" ht="17.25" customHeight="1" thickBot="1">
      <c r="B127" s="718" t="n">
        <v>42918</v>
      </c>
      <c r="C127" s="292" t="n"/>
      <c r="D127" s="292" t="inlineStr">
        <is>
          <t>【3M】13吋防窺片</t>
        </is>
      </c>
      <c r="E127" s="292" t="n"/>
      <c r="F127" s="292" t="n"/>
      <c r="G127" s="292" t="n"/>
      <c r="H127" s="719" t="n"/>
      <c r="I127" s="719" t="n"/>
      <c r="J127" s="719" t="n"/>
      <c r="K127" s="720" t="n"/>
      <c r="L127" s="719" t="n"/>
      <c r="M127" s="720" t="n"/>
      <c r="N127" s="721" t="n">
        <v>-413</v>
      </c>
      <c r="O127" s="760" t="n"/>
      <c r="Q127" s="761" t="n"/>
      <c r="R127" s="230" t="inlineStr">
        <is>
          <t>1241分3期, 每期413</t>
        </is>
      </c>
      <c r="S127" s="739" t="n"/>
    </row>
    <row r="128" hidden="1" outlineLevel="1" ht="17.25" customHeight="1" thickBot="1">
      <c r="B128" s="696" t="n">
        <v>42936</v>
      </c>
      <c r="C128" s="234" t="inlineStr">
        <is>
          <t>FIMTX</t>
        </is>
      </c>
      <c r="D128" s="229" t="inlineStr">
        <is>
          <t>小指05</t>
        </is>
      </c>
      <c r="E128" s="229" t="inlineStr">
        <is>
          <t>新倉</t>
        </is>
      </c>
      <c r="F128" s="229" t="inlineStr">
        <is>
          <t>買</t>
        </is>
      </c>
      <c r="G128" s="229" t="inlineStr">
        <is>
          <t>-</t>
        </is>
      </c>
      <c r="H128" s="697" t="n">
        <v>1</v>
      </c>
      <c r="I128" s="697" t="n">
        <v>10402</v>
      </c>
      <c r="J128" s="697" t="n">
        <v>0</v>
      </c>
      <c r="K128" s="585" t="n">
        <v>23</v>
      </c>
      <c r="L128" s="749" t="n">
        <v>10</v>
      </c>
      <c r="M128" s="585">
        <f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/>
      </c>
      <c r="N128" s="699">
        <f>M128</f>
        <v/>
      </c>
      <c r="O128" s="686">
        <f>IF(C128="TXO","",IF(E128="新倉","",IF(F128="賣",(I128-I127)*H128,(I127-I128)*H128)))</f>
        <v/>
      </c>
      <c r="P128" s="226">
        <f>ABS(J128)</f>
        <v/>
      </c>
      <c r="Q128" s="667">
        <f>SUM(M128:M133)</f>
        <v/>
      </c>
      <c r="S128" s="739" t="n"/>
    </row>
    <row r="129" hidden="1" outlineLevel="1" ht="17.25" customHeight="1" thickBot="1">
      <c r="B129" s="696" t="n">
        <v>42936</v>
      </c>
      <c r="C129" s="234" t="inlineStr">
        <is>
          <t>FIMTX</t>
        </is>
      </c>
      <c r="D129" s="229" t="inlineStr">
        <is>
          <t>小指05</t>
        </is>
      </c>
      <c r="E129" s="229" t="inlineStr">
        <is>
          <t>平倉</t>
        </is>
      </c>
      <c r="F129" s="229" t="inlineStr">
        <is>
          <t>賣</t>
        </is>
      </c>
      <c r="G129" s="229" t="inlineStr">
        <is>
          <t>-</t>
        </is>
      </c>
      <c r="H129" s="697" t="n">
        <v>1</v>
      </c>
      <c r="I129" s="697" t="n">
        <v>10392</v>
      </c>
      <c r="J129" s="697" t="n">
        <v>0</v>
      </c>
      <c r="K129" s="585" t="n">
        <v>23</v>
      </c>
      <c r="L129" s="749" t="n">
        <v>10</v>
      </c>
      <c r="M129" s="585">
        <f>IF(C129="TXO",J129-SUM(K129:L129),IF(C129="FITX",IF(E129="新倉",-SUM(K129:L129),IF(F129="賣",(I129-I128)*H129*200-SUM(K129:L129),(I128-I129)*H129*200-SUM(K129:L129))),IF(E129="新倉",-SUM(K129:L129),IF(F129="賣",(I129-I128)*H129*50-SUM(K129:L129),(I128-I129)*H129*50-SUM(K129:L129)))))</f>
        <v/>
      </c>
      <c r="N129" s="699">
        <f>M129</f>
        <v/>
      </c>
      <c r="O129" s="686">
        <f>IF(C129="TXO","",IF(E129="新倉","",IF(F129="賣",(I129-I128)*H129,(I128-I129)*H129)))</f>
        <v/>
      </c>
      <c r="P129" s="226">
        <f>ABS(J129)</f>
        <v/>
      </c>
      <c r="Q129" s="667" t="n"/>
      <c r="S129" s="739" t="n"/>
    </row>
    <row r="130" hidden="1" outlineLevel="1" ht="17.25" customHeight="1" thickBot="1">
      <c r="B130" s="696" t="n">
        <v>42936</v>
      </c>
      <c r="C130" s="234" t="inlineStr">
        <is>
          <t>FIMTX</t>
        </is>
      </c>
      <c r="D130" s="229" t="inlineStr">
        <is>
          <t>小指05</t>
        </is>
      </c>
      <c r="E130" s="229" t="inlineStr">
        <is>
          <t>新倉</t>
        </is>
      </c>
      <c r="F130" s="229" t="inlineStr">
        <is>
          <t>買</t>
        </is>
      </c>
      <c r="G130" s="229" t="inlineStr">
        <is>
          <t>-</t>
        </is>
      </c>
      <c r="H130" s="697" t="n">
        <v>1</v>
      </c>
      <c r="I130" s="697" t="n">
        <v>10414</v>
      </c>
      <c r="J130" s="697" t="n">
        <v>0</v>
      </c>
      <c r="K130" s="585" t="n">
        <v>23</v>
      </c>
      <c r="L130" s="749" t="n">
        <v>10</v>
      </c>
      <c r="M130" s="585">
        <f>IF(C130="TXO",J130-SUM(K130:L130),IF(C130="FITX",IF(E130="新倉",-SUM(K130:L130),IF(F130="賣",(I130-I129)*H130*200-SUM(K130:L130),(I129-I130)*H130*200-SUM(K130:L130))),IF(E130="新倉",-SUM(K130:L130),IF(F130="賣",(I130-I129)*H130*50-SUM(K130:L130),(I129-I130)*H130*50-SUM(K130:L130)))))</f>
        <v/>
      </c>
      <c r="N130" s="699">
        <f>M130</f>
        <v/>
      </c>
      <c r="O130" s="686">
        <f>IF(C130="TXO","",IF(E130="新倉","",IF(F130="賣",(I130-I129)*H130,(I129-I130)*H130)))</f>
        <v/>
      </c>
      <c r="P130" s="226">
        <f>ABS(J130)</f>
        <v/>
      </c>
      <c r="Q130" s="667" t="n"/>
      <c r="S130" s="739" t="n"/>
    </row>
    <row r="131" hidden="1" outlineLevel="1" ht="17.25" customHeight="1" thickBot="1">
      <c r="B131" s="696" t="n">
        <v>42936</v>
      </c>
      <c r="C131" s="234" t="inlineStr">
        <is>
          <t>FIMTX</t>
        </is>
      </c>
      <c r="D131" s="229" t="inlineStr">
        <is>
          <t>小指05</t>
        </is>
      </c>
      <c r="E131" s="229" t="inlineStr">
        <is>
          <t>平倉</t>
        </is>
      </c>
      <c r="F131" s="229" t="inlineStr">
        <is>
          <t>賣</t>
        </is>
      </c>
      <c r="G131" s="229" t="inlineStr">
        <is>
          <t>-</t>
        </is>
      </c>
      <c r="H131" s="697" t="n">
        <v>1</v>
      </c>
      <c r="I131" s="697" t="n">
        <v>10400</v>
      </c>
      <c r="J131" s="697" t="n">
        <v>0</v>
      </c>
      <c r="K131" s="585" t="n">
        <v>23</v>
      </c>
      <c r="L131" s="749" t="n">
        <v>10</v>
      </c>
      <c r="M131" s="585">
        <f>IF(C131="TXO",J131-SUM(K131:L131),IF(C131="FITX",IF(E131="新倉",-SUM(K131:L131),IF(F131="賣",(I131-I130)*H131*200-SUM(K131:L131),(I130-I131)*H131*200-SUM(K131:L131))),IF(E131="新倉",-SUM(K131:L131),IF(F131="賣",(I131-I130)*H131*50-SUM(K131:L131),(I130-I131)*H131*50-SUM(K131:L131)))))</f>
        <v/>
      </c>
      <c r="N131" s="699">
        <f>M131</f>
        <v/>
      </c>
      <c r="O131" s="686">
        <f>IF(C131="TXO","",IF(E131="新倉","",IF(F131="賣",(I131-I130)*H131,(I130-I131)*H131)))</f>
        <v/>
      </c>
      <c r="P131" s="226">
        <f>ABS(J131)</f>
        <v/>
      </c>
      <c r="Q131" s="667" t="n"/>
      <c r="S131" s="739" t="n"/>
    </row>
    <row r="132" hidden="1" outlineLevel="1" ht="17.25" customHeight="1" thickBot="1">
      <c r="B132" s="696" t="n">
        <v>42936</v>
      </c>
      <c r="C132" s="234" t="inlineStr">
        <is>
          <t>FIMTX</t>
        </is>
      </c>
      <c r="D132" s="229" t="inlineStr">
        <is>
          <t>小指05</t>
        </is>
      </c>
      <c r="E132" s="229" t="inlineStr">
        <is>
          <t>新倉</t>
        </is>
      </c>
      <c r="F132" s="229" t="inlineStr">
        <is>
          <t>買</t>
        </is>
      </c>
      <c r="G132" s="229" t="inlineStr">
        <is>
          <t>-</t>
        </is>
      </c>
      <c r="H132" s="697" t="n">
        <v>1</v>
      </c>
      <c r="I132" s="697" t="n">
        <v>10402</v>
      </c>
      <c r="J132" s="697" t="n">
        <v>0</v>
      </c>
      <c r="K132" s="585" t="n">
        <v>23</v>
      </c>
      <c r="L132" s="749" t="n">
        <v>10</v>
      </c>
      <c r="M132" s="585">
        <f>IF(C132="TXO",J132-SUM(K132:L132),IF(C132="FITX",IF(E132="新倉",-SUM(K132:L132),IF(F132="賣",(I132-I131)*H132*200-SUM(K132:L132),(I131-I132)*H132*200-SUM(K132:L132))),IF(E132="新倉",-SUM(K132:L132),IF(F132="賣",(I132-I131)*H132*50-SUM(K132:L132),(I131-I132)*H132*50-SUM(K132:L132)))))</f>
        <v/>
      </c>
      <c r="N132" s="699">
        <f>M132</f>
        <v/>
      </c>
      <c r="O132" s="686">
        <f>IF(C132="TXO","",IF(E132="新倉","",IF(F132="賣",(I132-I131)*H132,(I131-I132)*H132)))</f>
        <v/>
      </c>
      <c r="P132" s="226">
        <f>ABS(J132)</f>
        <v/>
      </c>
      <c r="Q132" s="667" t="n"/>
      <c r="S132" s="739" t="n"/>
    </row>
    <row r="133" hidden="1" outlineLevel="1" ht="17.25" customHeight="1" thickBot="1">
      <c r="B133" s="696" t="n">
        <v>42936</v>
      </c>
      <c r="C133" s="234" t="inlineStr">
        <is>
          <t>FIMTX</t>
        </is>
      </c>
      <c r="D133" s="229" t="inlineStr">
        <is>
          <t>小指05</t>
        </is>
      </c>
      <c r="E133" s="229" t="inlineStr">
        <is>
          <t>平倉</t>
        </is>
      </c>
      <c r="F133" s="229" t="inlineStr">
        <is>
          <t>賣</t>
        </is>
      </c>
      <c r="G133" s="229" t="inlineStr">
        <is>
          <t>-</t>
        </is>
      </c>
      <c r="H133" s="697" t="n">
        <v>1</v>
      </c>
      <c r="I133" s="697" t="n">
        <v>10391</v>
      </c>
      <c r="J133" s="697" t="n">
        <v>0</v>
      </c>
      <c r="K133" s="585" t="n">
        <v>23</v>
      </c>
      <c r="L133" s="749" t="n">
        <v>10</v>
      </c>
      <c r="M133" s="585">
        <f>IF(C133="TXO",J133-SUM(K133:L133),IF(C133="FITX",IF(E133="新倉",-SUM(K133:L133),IF(F133="賣",(I133-I132)*H133*200-SUM(K133:L133),(I132-I133)*H133*200-SUM(K133:L133))),IF(E133="新倉",-SUM(K133:L133),IF(F133="賣",(I133-I132)*H133*50-SUM(K133:L133),(I132-I133)*H133*50-SUM(K133:L133)))))</f>
        <v/>
      </c>
      <c r="N133" s="699">
        <f>M133</f>
        <v/>
      </c>
      <c r="O133" s="686">
        <f>IF(C133="TXO","",IF(E133="新倉","",IF(F133="賣",(I133-I132)*H133,(I132-I133)*H133)))</f>
        <v/>
      </c>
      <c r="P133" s="226">
        <f>ABS(J133)</f>
        <v/>
      </c>
      <c r="Q133" s="667" t="n"/>
      <c r="S133" s="739" t="n"/>
    </row>
    <row r="134" ht="17.25" customHeight="1" thickBot="1">
      <c r="B134" s="718" t="n">
        <v>42938</v>
      </c>
      <c r="C134" s="292" t="n"/>
      <c r="D134" s="292" t="inlineStr">
        <is>
          <t>阿水財經三班</t>
        </is>
      </c>
      <c r="E134" s="292" t="n"/>
      <c r="F134" s="292" t="n"/>
      <c r="G134" s="292" t="n"/>
      <c r="H134" s="719" t="n"/>
      <c r="I134" s="719" t="n"/>
      <c r="J134" s="719" t="n"/>
      <c r="K134" s="720" t="n"/>
      <c r="L134" s="719" t="n"/>
      <c r="M134" s="720" t="n"/>
      <c r="N134" s="721" t="n">
        <v>-8240</v>
      </c>
      <c r="O134" s="760" t="n"/>
      <c r="Q134" s="761" t="n"/>
      <c r="R134" s="230" t="inlineStr">
        <is>
          <t>98888分12期, 每期8240</t>
        </is>
      </c>
      <c r="S134" s="739" t="n"/>
    </row>
    <row r="135" collapsed="1" ht="17.25" customHeight="1" thickBot="1">
      <c r="B135" s="273" t="inlineStr">
        <is>
          <t>7月總計</t>
        </is>
      </c>
      <c r="C135" s="274" t="n"/>
      <c r="D135" s="274" t="n"/>
      <c r="E135" s="274" t="n"/>
      <c r="F135" s="274" t="n"/>
      <c r="G135" s="274" t="n"/>
      <c r="H135" s="715" t="n"/>
      <c r="I135" s="715" t="n"/>
      <c r="J135" s="715" t="n"/>
      <c r="K135" s="716" t="n"/>
      <c r="L135" s="715" t="n"/>
      <c r="M135" s="750">
        <f>SUM(M127:M134)</f>
        <v/>
      </c>
      <c r="N135" s="751">
        <f>SUM(N127:N134)</f>
        <v/>
      </c>
      <c r="O135" s="762" t="n"/>
      <c r="P135" s="331" t="n"/>
      <c r="Q135" s="763" t="n"/>
      <c r="S135" s="739" t="n"/>
    </row>
    <row r="136" ht="17.25" customHeight="1" thickBot="1">
      <c r="B136" s="718" t="n">
        <v>42969</v>
      </c>
      <c r="C136" s="292" t="n"/>
      <c r="D136" s="292" t="inlineStr">
        <is>
          <t>心魔特訓班</t>
        </is>
      </c>
      <c r="E136" s="292" t="n"/>
      <c r="F136" s="292" t="n"/>
      <c r="G136" s="292" t="n"/>
      <c r="H136" s="719" t="n"/>
      <c r="I136" s="719" t="n"/>
      <c r="J136" s="719" t="n"/>
      <c r="K136" s="720" t="n"/>
      <c r="L136" s="719" t="n"/>
      <c r="M136" s="720" t="n"/>
      <c r="N136" s="721" t="n">
        <v>-13888</v>
      </c>
      <c r="O136" s="760" t="n"/>
      <c r="Q136" s="761" t="n"/>
      <c r="S136" s="739" t="n"/>
    </row>
    <row r="137" ht="17.25" customHeight="1" thickBot="1">
      <c r="B137" s="718" t="n">
        <v>42969</v>
      </c>
      <c r="C137" s="292" t="n"/>
      <c r="D137" s="292" t="inlineStr">
        <is>
          <t>阿水財經三班</t>
        </is>
      </c>
      <c r="E137" s="292" t="n"/>
      <c r="F137" s="292" t="n"/>
      <c r="G137" s="292" t="n"/>
      <c r="H137" s="719" t="n"/>
      <c r="I137" s="719" t="n"/>
      <c r="J137" s="719" t="n"/>
      <c r="K137" s="720" t="n"/>
      <c r="L137" s="719" t="n"/>
      <c r="M137" s="720" t="n"/>
      <c r="N137" s="721" t="n">
        <v>-8240</v>
      </c>
      <c r="O137" s="760" t="n"/>
      <c r="Q137" s="761" t="n"/>
      <c r="R137" s="230" t="inlineStr">
        <is>
          <t>98888分12期, 每期8240</t>
        </is>
      </c>
      <c r="S137" s="739" t="n"/>
    </row>
    <row r="138" collapsed="1" ht="17.25" customHeight="1" thickBot="1">
      <c r="B138" s="273" t="inlineStr">
        <is>
          <t>8月總計</t>
        </is>
      </c>
      <c r="C138" s="274" t="n"/>
      <c r="D138" s="274" t="n"/>
      <c r="E138" s="274" t="n"/>
      <c r="F138" s="274" t="n"/>
      <c r="G138" s="274" t="n"/>
      <c r="H138" s="715" t="n"/>
      <c r="I138" s="715" t="n"/>
      <c r="J138" s="715" t="n"/>
      <c r="K138" s="716" t="n"/>
      <c r="L138" s="715" t="n"/>
      <c r="M138" s="750">
        <f>SUM(M137)</f>
        <v/>
      </c>
      <c r="N138" s="751">
        <f>SUM(N137)</f>
        <v/>
      </c>
      <c r="O138" s="762" t="n"/>
      <c r="P138" s="331" t="n"/>
      <c r="Q138" s="763" t="n"/>
      <c r="S138" s="739" t="n"/>
    </row>
    <row r="139" hidden="1" outlineLevel="1" collapsed="1" ht="17.25" customHeight="1" thickBot="1">
      <c r="B139" s="766" t="n">
        <v>42998</v>
      </c>
      <c r="C139" s="337" t="inlineStr">
        <is>
          <t>TXO</t>
        </is>
      </c>
      <c r="D139" s="338" t="inlineStr">
        <is>
          <t>台指選 09 10550 P</t>
        </is>
      </c>
      <c r="E139" s="338" t="inlineStr">
        <is>
          <t>新倉</t>
        </is>
      </c>
      <c r="F139" s="338" t="inlineStr">
        <is>
          <t>買</t>
        </is>
      </c>
      <c r="G139" s="338" t="inlineStr">
        <is>
          <t>-</t>
        </is>
      </c>
      <c r="H139" s="767" t="n">
        <v>1</v>
      </c>
      <c r="I139" s="768" t="n">
        <v>28</v>
      </c>
      <c r="J139" s="767" t="n">
        <v>-1400</v>
      </c>
      <c r="K139" s="769" t="n">
        <v>18</v>
      </c>
      <c r="L139" s="769" t="n">
        <v>1</v>
      </c>
      <c r="M139" s="585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/>
      </c>
      <c r="N139" s="699">
        <f>M139</f>
        <v/>
      </c>
      <c r="O139" s="686">
        <f>IF(C139="TXO","",IF(E139="新倉","",IF(F139="賣",(I139-I138)*H139,(I138-I139)*H139)))</f>
        <v/>
      </c>
      <c r="P139" s="334">
        <f>ABS(J139)</f>
        <v/>
      </c>
      <c r="Q139" s="667">
        <f>SUM(M139:M140)</f>
        <v/>
      </c>
      <c r="S139" s="61" t="n"/>
      <c r="T139" s="61" t="n"/>
      <c r="U139" s="61" t="n"/>
      <c r="V139" s="61" t="n"/>
      <c r="W139" s="61" t="n"/>
      <c r="X139" s="61" t="n"/>
      <c r="Y139" s="61" t="n"/>
      <c r="Z139" s="61" t="n"/>
    </row>
    <row r="140" hidden="1" outlineLevel="1" ht="17.25" customHeight="1" thickBot="1">
      <c r="B140" s="766" t="n">
        <v>42998</v>
      </c>
      <c r="C140" s="337" t="inlineStr">
        <is>
          <t>TXO</t>
        </is>
      </c>
      <c r="D140" s="338" t="inlineStr">
        <is>
          <t>台指選 09 10550 P</t>
        </is>
      </c>
      <c r="E140" s="338" t="inlineStr">
        <is>
          <t>平倉</t>
        </is>
      </c>
      <c r="F140" s="338" t="inlineStr">
        <is>
          <t>賣</t>
        </is>
      </c>
      <c r="G140" s="338" t="inlineStr">
        <is>
          <t>-</t>
        </is>
      </c>
      <c r="H140" s="767" t="n">
        <v>1</v>
      </c>
      <c r="I140" s="768" t="n">
        <v>30</v>
      </c>
      <c r="J140" s="767" t="n">
        <v>1500</v>
      </c>
      <c r="K140" s="769" t="n">
        <v>18</v>
      </c>
      <c r="L140" s="769" t="n">
        <v>2</v>
      </c>
      <c r="M140" s="585">
        <f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/>
      </c>
      <c r="N140" s="699">
        <f>M140</f>
        <v/>
      </c>
      <c r="O140" s="686">
        <f>IF(C140="TXO","",IF(E140="新倉","",IF(F140="賣",(I140-I139)*H140,(I139-I140)*H140)))</f>
        <v/>
      </c>
      <c r="P140" s="334">
        <f>ABS(J140)</f>
        <v/>
      </c>
      <c r="Q140" s="667" t="n"/>
      <c r="S140" s="61" t="n"/>
      <c r="T140" s="61" t="n"/>
      <c r="U140" s="61" t="n"/>
      <c r="V140" s="61" t="n"/>
      <c r="W140" s="61" t="n"/>
      <c r="X140" s="61" t="n"/>
      <c r="Y140" s="61" t="n"/>
      <c r="Z140" s="61" t="n"/>
    </row>
    <row r="141" hidden="1" outlineLevel="1" ht="17.25" customHeight="1" thickBot="1">
      <c r="B141" s="740" t="n">
        <v>43000</v>
      </c>
      <c r="C141" s="299" t="inlineStr">
        <is>
          <t>FIMTX</t>
        </is>
      </c>
      <c r="D141" s="300" t="inlineStr">
        <is>
          <t>小指05</t>
        </is>
      </c>
      <c r="E141" s="300" t="inlineStr">
        <is>
          <t>新倉</t>
        </is>
      </c>
      <c r="F141" s="301" t="inlineStr">
        <is>
          <t>賣</t>
        </is>
      </c>
      <c r="G141" s="300" t="inlineStr">
        <is>
          <t>-</t>
        </is>
      </c>
      <c r="H141" s="741" t="n">
        <v>1</v>
      </c>
      <c r="I141" s="741" t="n">
        <v>10518</v>
      </c>
      <c r="J141" s="741" t="n">
        <v>0</v>
      </c>
      <c r="K141" s="742" t="n">
        <v>23</v>
      </c>
      <c r="L141" s="742" t="n">
        <v>11</v>
      </c>
      <c r="M141" s="742">
        <f>IF(C141="TXO",J141-SUM(K141:L141),IF(C141="FITX",IF(E141="新倉",-SUM(K141:L141),IF(F141="賣",(I141-I140)*H141*200-SUM(K141:L141),(I140-I141)*H141*200-SUM(K141:L141))),IF(E141="新倉",-SUM(K141:L141),IF(F141="賣",(I141-I140)*H141*50-SUM(K141:L141),(I140-I141)*H141*50-SUM(K141:L141)))))</f>
        <v/>
      </c>
      <c r="N141" s="743">
        <f>M141</f>
        <v/>
      </c>
      <c r="O141" s="764">
        <f>IF(C141="TXO","",IF(E141="新倉","",IF(F141="賣",(I141-I140)*H141,(I140-I141)*H141)))</f>
        <v/>
      </c>
      <c r="P141" s="334">
        <f>ABS(J141)</f>
        <v/>
      </c>
      <c r="Q141" s="764">
        <f>SUM(M141:M148)</f>
        <v/>
      </c>
      <c r="S141" s="739" t="n"/>
      <c r="T141" s="61" t="n"/>
      <c r="U141" s="61" t="n"/>
      <c r="V141" s="61" t="n"/>
      <c r="W141" s="61" t="n"/>
      <c r="X141" s="61" t="n"/>
      <c r="Y141" s="61" t="n"/>
      <c r="Z141" s="61" t="n"/>
    </row>
    <row r="142" hidden="1" outlineLevel="2" ht="17.25" customHeight="1" thickBot="1">
      <c r="B142" s="740" t="n">
        <v>43000</v>
      </c>
      <c r="C142" s="299" t="inlineStr">
        <is>
          <t>FIMTX</t>
        </is>
      </c>
      <c r="D142" s="300" t="inlineStr">
        <is>
          <t>小指05</t>
        </is>
      </c>
      <c r="E142" s="300" t="inlineStr">
        <is>
          <t>平倉</t>
        </is>
      </c>
      <c r="F142" s="301" t="inlineStr">
        <is>
          <t>買</t>
        </is>
      </c>
      <c r="G142" s="300" t="inlineStr">
        <is>
          <t>-</t>
        </is>
      </c>
      <c r="H142" s="741" t="n">
        <v>1</v>
      </c>
      <c r="I142" s="741" t="n">
        <v>10512</v>
      </c>
      <c r="J142" s="741" t="n">
        <v>0</v>
      </c>
      <c r="K142" s="742" t="n">
        <v>23</v>
      </c>
      <c r="L142" s="742" t="n">
        <v>11</v>
      </c>
      <c r="M142" s="742">
        <f>IF(C142="TXO",J142-SUM(K142:L142),IF(C142="FITX",IF(E142="新倉",-SUM(K142:L142),IF(F142="賣",(I142-I141)*H142*200-SUM(K142:L142),(I141-I142)*H142*200-SUM(K142:L142))),IF(E142="新倉",-SUM(K142:L142),IF(F142="賣",(I142-I141)*H142*50-SUM(K142:L142),(I141-I142)*H142*50-SUM(K142:L142)))))</f>
        <v/>
      </c>
      <c r="N142" s="743">
        <f>M142</f>
        <v/>
      </c>
      <c r="O142" s="764">
        <f>IF(C142="TXO","",IF(E142="新倉","",IF(F142="賣",(I142-I141)*H142,(I141-I142)*H142)))</f>
        <v/>
      </c>
      <c r="P142" s="334">
        <f>ABS(J142)</f>
        <v/>
      </c>
      <c r="Q142" s="764" t="n"/>
      <c r="S142" s="739" t="n"/>
      <c r="T142" s="61" t="n"/>
      <c r="U142" s="61" t="n"/>
      <c r="V142" s="61" t="n"/>
      <c r="W142" s="61" t="n"/>
      <c r="X142" s="61" t="n"/>
      <c r="Y142" s="61" t="n"/>
      <c r="Z142" s="61" t="n"/>
    </row>
    <row r="143" hidden="1" outlineLevel="2" ht="17.25" customHeight="1" thickBot="1">
      <c r="B143" s="740" t="n">
        <v>43000</v>
      </c>
      <c r="C143" s="299" t="inlineStr">
        <is>
          <t>FIMTX</t>
        </is>
      </c>
      <c r="D143" s="300" t="inlineStr">
        <is>
          <t>小指05</t>
        </is>
      </c>
      <c r="E143" s="300" t="inlineStr">
        <is>
          <t>新倉</t>
        </is>
      </c>
      <c r="F143" s="301" t="inlineStr">
        <is>
          <t>賣</t>
        </is>
      </c>
      <c r="G143" s="300" t="inlineStr">
        <is>
          <t>-</t>
        </is>
      </c>
      <c r="H143" s="741" t="n">
        <v>1</v>
      </c>
      <c r="I143" s="741" t="n">
        <v>10507</v>
      </c>
      <c r="J143" s="741" t="n">
        <v>0</v>
      </c>
      <c r="K143" s="742" t="n">
        <v>23</v>
      </c>
      <c r="L143" s="742" t="n">
        <v>11</v>
      </c>
      <c r="M143" s="742">
        <f>IF(C143="TXO",J143-SUM(K143:L143),IF(C143="FITX",IF(E143="新倉",-SUM(K143:L143),IF(F143="賣",(I143-I142)*H143*200-SUM(K143:L143),(I142-I143)*H143*200-SUM(K143:L143))),IF(E143="新倉",-SUM(K143:L143),IF(F143="賣",(I143-I142)*H143*50-SUM(K143:L143),(I142-I143)*H143*50-SUM(K143:L143)))))</f>
        <v/>
      </c>
      <c r="N143" s="743">
        <f>M143</f>
        <v/>
      </c>
      <c r="O143" s="764">
        <f>IF(C143="TXO","",IF(E143="新倉","",IF(F143="賣",(I143-I142)*H143,(I142-I143)*H143)))</f>
        <v/>
      </c>
      <c r="P143" s="334">
        <f>ABS(J143)</f>
        <v/>
      </c>
      <c r="Q143" s="764" t="n"/>
      <c r="S143" s="739" t="n"/>
      <c r="T143" s="61" t="n"/>
      <c r="U143" s="61" t="n"/>
      <c r="V143" s="61" t="n"/>
      <c r="W143" s="61" t="n"/>
      <c r="X143" s="61" t="n"/>
      <c r="Y143" s="61" t="n"/>
      <c r="Z143" s="61" t="n"/>
    </row>
    <row r="144" hidden="1" outlineLevel="2" ht="17.25" customHeight="1" thickBot="1">
      <c r="B144" s="740" t="n">
        <v>43000</v>
      </c>
      <c r="C144" s="299" t="inlineStr">
        <is>
          <t>FIMTX</t>
        </is>
      </c>
      <c r="D144" s="300" t="inlineStr">
        <is>
          <t>小指05</t>
        </is>
      </c>
      <c r="E144" s="300" t="inlineStr">
        <is>
          <t>平倉</t>
        </is>
      </c>
      <c r="F144" s="301" t="inlineStr">
        <is>
          <t>買</t>
        </is>
      </c>
      <c r="G144" s="300" t="inlineStr">
        <is>
          <t>-</t>
        </is>
      </c>
      <c r="H144" s="741" t="n">
        <v>1</v>
      </c>
      <c r="I144" s="741" t="n">
        <v>10511</v>
      </c>
      <c r="J144" s="741" t="n">
        <v>0</v>
      </c>
      <c r="K144" s="742" t="n">
        <v>23</v>
      </c>
      <c r="L144" s="742" t="n">
        <v>11</v>
      </c>
      <c r="M144" s="742">
        <f>IF(C144="TXO",J144-SUM(K144:L144),IF(C144="FITX",IF(E144="新倉",-SUM(K144:L144),IF(F144="賣",(I144-I143)*H144*200-SUM(K144:L144),(I143-I144)*H144*200-SUM(K144:L144))),IF(E144="新倉",-SUM(K144:L144),IF(F144="賣",(I144-I143)*H144*50-SUM(K144:L144),(I143-I144)*H144*50-SUM(K144:L144)))))</f>
        <v/>
      </c>
      <c r="N144" s="743">
        <f>M144</f>
        <v/>
      </c>
      <c r="O144" s="764">
        <f>IF(C144="TXO","",IF(E144="新倉","",IF(F144="賣",(I144-I143)*H144,(I143-I144)*H144)))</f>
        <v/>
      </c>
      <c r="P144" s="334">
        <f>ABS(J144)</f>
        <v/>
      </c>
      <c r="Q144" s="764" t="n"/>
      <c r="S144" s="739" t="n"/>
      <c r="T144" s="61" t="n"/>
      <c r="U144" s="61" t="n"/>
      <c r="V144" s="61" t="n"/>
      <c r="W144" s="61" t="n"/>
      <c r="X144" s="61" t="n"/>
      <c r="Y144" s="61" t="n"/>
      <c r="Z144" s="61" t="n"/>
    </row>
    <row r="145" hidden="1" outlineLevel="2" ht="17.25" customHeight="1" thickBot="1">
      <c r="B145" s="740" t="n">
        <v>43000</v>
      </c>
      <c r="C145" s="299" t="inlineStr">
        <is>
          <t>FIMTX</t>
        </is>
      </c>
      <c r="D145" s="300" t="inlineStr">
        <is>
          <t>小指05</t>
        </is>
      </c>
      <c r="E145" s="300" t="inlineStr">
        <is>
          <t>新倉</t>
        </is>
      </c>
      <c r="F145" s="301" t="inlineStr">
        <is>
          <t>賣</t>
        </is>
      </c>
      <c r="G145" s="300" t="inlineStr">
        <is>
          <t>-</t>
        </is>
      </c>
      <c r="H145" s="741" t="n">
        <v>1</v>
      </c>
      <c r="I145" s="741" t="n">
        <v>10525</v>
      </c>
      <c r="J145" s="741" t="n">
        <v>0</v>
      </c>
      <c r="K145" s="742" t="n">
        <v>23</v>
      </c>
      <c r="L145" s="742" t="n">
        <v>11</v>
      </c>
      <c r="M145" s="742">
        <f>IF(C145="TXO",J145-SUM(K145:L145),IF(C145="FITX",IF(E145="新倉",-SUM(K145:L145),IF(F145="賣",(I145-I144)*H145*200-SUM(K145:L145),(I144-I145)*H145*200-SUM(K145:L145))),IF(E145="新倉",-SUM(K145:L145),IF(F145="賣",(I145-I144)*H145*50-SUM(K145:L145),(I144-I145)*H145*50-SUM(K145:L145)))))</f>
        <v/>
      </c>
      <c r="N145" s="743">
        <f>M145</f>
        <v/>
      </c>
      <c r="O145" s="764">
        <f>IF(C145="TXO","",IF(E145="新倉","",IF(F145="賣",(I145-I144)*H145,(I144-I145)*H145)))</f>
        <v/>
      </c>
      <c r="P145" s="334">
        <f>ABS(J145)</f>
        <v/>
      </c>
      <c r="Q145" s="764" t="n"/>
      <c r="S145" s="739" t="n"/>
      <c r="T145" s="61" t="n"/>
      <c r="U145" s="61" t="n"/>
      <c r="V145" s="61" t="n"/>
      <c r="W145" s="61" t="n"/>
      <c r="X145" s="61" t="n"/>
      <c r="Y145" s="61" t="n"/>
      <c r="Z145" s="61" t="n"/>
    </row>
    <row r="146" hidden="1" outlineLevel="2" ht="17.25" customHeight="1" thickBot="1">
      <c r="B146" s="740" t="n">
        <v>43000</v>
      </c>
      <c r="C146" s="299" t="inlineStr">
        <is>
          <t>FIMTX</t>
        </is>
      </c>
      <c r="D146" s="300" t="inlineStr">
        <is>
          <t>小指05</t>
        </is>
      </c>
      <c r="E146" s="300" t="inlineStr">
        <is>
          <t>平倉</t>
        </is>
      </c>
      <c r="F146" s="301" t="inlineStr">
        <is>
          <t>買</t>
        </is>
      </c>
      <c r="G146" s="300" t="inlineStr">
        <is>
          <t>-</t>
        </is>
      </c>
      <c r="H146" s="741" t="n">
        <v>1</v>
      </c>
      <c r="I146" s="741" t="n">
        <v>10519</v>
      </c>
      <c r="J146" s="741" t="n">
        <v>0</v>
      </c>
      <c r="K146" s="742" t="n">
        <v>23</v>
      </c>
      <c r="L146" s="742" t="n">
        <v>11</v>
      </c>
      <c r="M146" s="742">
        <f>IF(C146="TXO",J146-SUM(K146:L146),IF(C146="FITX",IF(E146="新倉",-SUM(K146:L146),IF(F146="賣",(I146-I145)*H146*200-SUM(K146:L146),(I145-I146)*H146*200-SUM(K146:L146))),IF(E146="新倉",-SUM(K146:L146),IF(F146="賣",(I146-I145)*H146*50-SUM(K146:L146),(I145-I146)*H146*50-SUM(K146:L146)))))</f>
        <v/>
      </c>
      <c r="N146" s="743">
        <f>M146</f>
        <v/>
      </c>
      <c r="O146" s="764">
        <f>IF(C146="TXO","",IF(E146="新倉","",IF(F146="賣",(I146-I145)*H146,(I145-I146)*H146)))</f>
        <v/>
      </c>
      <c r="P146" s="334">
        <f>ABS(J146)</f>
        <v/>
      </c>
      <c r="Q146" s="764" t="n"/>
      <c r="S146" s="739" t="n"/>
      <c r="T146" s="61" t="n"/>
      <c r="U146" s="61" t="n"/>
      <c r="V146" s="61" t="n"/>
      <c r="W146" s="61" t="n"/>
      <c r="X146" s="61" t="n"/>
      <c r="Y146" s="61" t="n"/>
      <c r="Z146" s="61" t="n"/>
    </row>
    <row r="147" hidden="1" outlineLevel="2" ht="17.25" customHeight="1" thickBot="1">
      <c r="B147" s="740" t="n">
        <v>43000</v>
      </c>
      <c r="C147" s="299" t="inlineStr">
        <is>
          <t>FIMTX</t>
        </is>
      </c>
      <c r="D147" s="300" t="inlineStr">
        <is>
          <t>小指05</t>
        </is>
      </c>
      <c r="E147" s="300" t="inlineStr">
        <is>
          <t>新倉</t>
        </is>
      </c>
      <c r="F147" s="301" t="inlineStr">
        <is>
          <t>賣</t>
        </is>
      </c>
      <c r="G147" s="300" t="inlineStr">
        <is>
          <t>-</t>
        </is>
      </c>
      <c r="H147" s="741" t="n">
        <v>1</v>
      </c>
      <c r="I147" s="741" t="n">
        <v>10538</v>
      </c>
      <c r="J147" s="741" t="n">
        <v>0</v>
      </c>
      <c r="K147" s="742" t="n">
        <v>23</v>
      </c>
      <c r="L147" s="742" t="n">
        <v>11</v>
      </c>
      <c r="M147" s="742">
        <f>IF(C147="TXO",J147-SUM(K147:L147),IF(C147="FITX",IF(E147="新倉",-SUM(K147:L147),IF(F147="賣",(I147-I146)*H147*200-SUM(K147:L147),(I146-I147)*H147*200-SUM(K147:L147))),IF(E147="新倉",-SUM(K147:L147),IF(F147="賣",(I147-I146)*H147*50-SUM(K147:L147),(I146-I147)*H147*50-SUM(K147:L147)))))</f>
        <v/>
      </c>
      <c r="N147" s="743">
        <f>M147</f>
        <v/>
      </c>
      <c r="O147" s="764">
        <f>IF(C147="TXO","",IF(E147="新倉","",IF(F147="賣",(I147-I146)*H147,(I146-I147)*H147)))</f>
        <v/>
      </c>
      <c r="P147" s="334">
        <f>ABS(J147)</f>
        <v/>
      </c>
      <c r="Q147" s="764" t="n"/>
      <c r="S147" s="739" t="n"/>
      <c r="T147" s="61" t="n"/>
      <c r="U147" s="61" t="n"/>
      <c r="V147" s="61" t="n"/>
      <c r="W147" s="61" t="n"/>
      <c r="X147" s="61" t="n"/>
      <c r="Y147" s="61" t="n"/>
      <c r="Z147" s="61" t="n"/>
    </row>
    <row r="148" hidden="1" outlineLevel="2" ht="17.25" customHeight="1" thickBot="1">
      <c r="B148" s="740" t="n">
        <v>43000</v>
      </c>
      <c r="C148" s="299" t="inlineStr">
        <is>
          <t>FIMTX</t>
        </is>
      </c>
      <c r="D148" s="300" t="inlineStr">
        <is>
          <t>小指05</t>
        </is>
      </c>
      <c r="E148" s="300" t="inlineStr">
        <is>
          <t>平倉</t>
        </is>
      </c>
      <c r="F148" s="301" t="inlineStr">
        <is>
          <t>買</t>
        </is>
      </c>
      <c r="G148" s="300" t="inlineStr">
        <is>
          <t>-</t>
        </is>
      </c>
      <c r="H148" s="741" t="n">
        <v>1</v>
      </c>
      <c r="I148" s="741" t="n">
        <v>10534</v>
      </c>
      <c r="J148" s="741" t="n">
        <v>0</v>
      </c>
      <c r="K148" s="742" t="n">
        <v>23</v>
      </c>
      <c r="L148" s="742" t="n">
        <v>11</v>
      </c>
      <c r="M148" s="742">
        <f>IF(C148="TXO",J148-SUM(K148:L148),IF(C148="FITX",IF(E148="新倉",-SUM(K148:L148),IF(F148="賣",(I148-I147)*H148*200-SUM(K148:L148),(I147-I148)*H148*200-SUM(K148:L148))),IF(E148="新倉",-SUM(K148:L148),IF(F148="賣",(I148-I147)*H148*50-SUM(K148:L148),(I147-I148)*H148*50-SUM(K148:L148)))))</f>
        <v/>
      </c>
      <c r="N148" s="743">
        <f>M148</f>
        <v/>
      </c>
      <c r="O148" s="764">
        <f>IF(C148="TXO","",IF(E148="新倉","",IF(F148="賣",(I148-I147)*H148,(I147-I148)*H148)))</f>
        <v/>
      </c>
      <c r="P148" s="334">
        <f>ABS(J148)</f>
        <v/>
      </c>
      <c r="Q148" s="764" t="n"/>
      <c r="S148" s="739" t="n"/>
      <c r="T148" s="61" t="n"/>
      <c r="U148" s="61" t="n"/>
      <c r="V148" s="61" t="n"/>
      <c r="W148" s="61" t="n"/>
      <c r="X148" s="61" t="n"/>
      <c r="Y148" s="61" t="n"/>
      <c r="Z148" s="61" t="n"/>
    </row>
    <row r="149" hidden="1" outlineLevel="1" ht="17.25" customHeight="1" thickBot="1">
      <c r="B149" s="766" t="n">
        <v>43003</v>
      </c>
      <c r="C149" s="337" t="inlineStr">
        <is>
          <t>FIMTX</t>
        </is>
      </c>
      <c r="D149" s="338" t="inlineStr">
        <is>
          <t>小指05</t>
        </is>
      </c>
      <c r="E149" s="338" t="inlineStr">
        <is>
          <t>新倉</t>
        </is>
      </c>
      <c r="F149" s="338" t="inlineStr">
        <is>
          <t>買</t>
        </is>
      </c>
      <c r="G149" s="338" t="inlineStr">
        <is>
          <t>-</t>
        </is>
      </c>
      <c r="H149" s="767" t="n">
        <v>1</v>
      </c>
      <c r="I149" s="767" t="n">
        <v>10361</v>
      </c>
      <c r="J149" s="767" t="n">
        <v>0</v>
      </c>
      <c r="K149" s="769" t="n">
        <v>23</v>
      </c>
      <c r="L149" s="769" t="n">
        <v>10</v>
      </c>
      <c r="M149" s="585">
        <f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/>
      </c>
      <c r="N149" s="699">
        <f>M149</f>
        <v/>
      </c>
      <c r="O149" s="686">
        <f>IF(C149="TXO","",IF(E149="新倉","",IF(F149="賣",(I149-I148)*H149,(I148-I149)*H149)))</f>
        <v/>
      </c>
      <c r="P149" s="334">
        <f>ABS(J149)</f>
        <v/>
      </c>
      <c r="Q149" s="667">
        <f>SUM(M149:M152)</f>
        <v/>
      </c>
      <c r="S149" s="61" t="n"/>
      <c r="T149" s="61" t="n"/>
      <c r="U149" s="61" t="n"/>
      <c r="V149" s="61" t="n"/>
      <c r="W149" s="61" t="n"/>
      <c r="X149" s="61" t="n"/>
      <c r="Y149" s="61" t="n"/>
      <c r="Z149" s="61" t="n"/>
    </row>
    <row r="150" hidden="1" outlineLevel="2" collapsed="1" ht="17.25" customHeight="1" thickBot="1">
      <c r="B150" s="766" t="n">
        <v>43003</v>
      </c>
      <c r="C150" s="337" t="inlineStr">
        <is>
          <t>FIMTX</t>
        </is>
      </c>
      <c r="D150" s="338" t="inlineStr">
        <is>
          <t>小指05</t>
        </is>
      </c>
      <c r="E150" s="338" t="inlineStr">
        <is>
          <t>平倉</t>
        </is>
      </c>
      <c r="F150" s="338" t="inlineStr">
        <is>
          <t>賣</t>
        </is>
      </c>
      <c r="G150" s="338" t="inlineStr">
        <is>
          <t>-</t>
        </is>
      </c>
      <c r="H150" s="767" t="n">
        <v>1</v>
      </c>
      <c r="I150" s="767" t="n">
        <v>10347</v>
      </c>
      <c r="J150" s="767" t="n">
        <v>0</v>
      </c>
      <c r="K150" s="769" t="n">
        <v>23</v>
      </c>
      <c r="L150" s="769" t="n">
        <v>10</v>
      </c>
      <c r="M150" s="585">
        <f>IF(C150="TXO",J150-SUM(K150:L150),IF(C150="FITX",IF(E150="新倉",-SUM(K150:L150),IF(F150="賣",(I150-I149)*H150*200-SUM(K150:L150),(I149-I150)*H150*200-SUM(K150:L150))),IF(E150="新倉",-SUM(K150:L150),IF(F150="賣",(I150-I149)*H150*50-SUM(K150:L150),(I149-I150)*H150*50-SUM(K150:L150)))))</f>
        <v/>
      </c>
      <c r="N150" s="699">
        <f>M150</f>
        <v/>
      </c>
      <c r="O150" s="686">
        <f>IF(C150="TXO","",IF(E150="新倉","",IF(F150="賣",(I150-I149)*H150,(I149-I150)*H150)))</f>
        <v/>
      </c>
      <c r="P150" s="334">
        <f>ABS(J150)</f>
        <v/>
      </c>
      <c r="Q150" s="667" t="n"/>
      <c r="S150" s="61" t="n"/>
      <c r="T150" s="61" t="n"/>
      <c r="U150" s="61" t="n"/>
      <c r="V150" s="61" t="n"/>
      <c r="W150" s="61" t="n"/>
      <c r="X150" s="61" t="n"/>
      <c r="Y150" s="61" t="n"/>
      <c r="Z150" s="61" t="n"/>
    </row>
    <row r="151" hidden="1" outlineLevel="2" collapsed="1" ht="17.25" customHeight="1" thickBot="1">
      <c r="B151" s="766" t="n">
        <v>43003</v>
      </c>
      <c r="C151" s="337" t="inlineStr">
        <is>
          <t>FIMTX</t>
        </is>
      </c>
      <c r="D151" s="338" t="inlineStr">
        <is>
          <t>小指05</t>
        </is>
      </c>
      <c r="E151" s="338" t="inlineStr">
        <is>
          <t>新倉</t>
        </is>
      </c>
      <c r="F151" s="338" t="inlineStr">
        <is>
          <t>買</t>
        </is>
      </c>
      <c r="G151" s="338" t="inlineStr">
        <is>
          <t>-</t>
        </is>
      </c>
      <c r="H151" s="767" t="n">
        <v>1</v>
      </c>
      <c r="I151" s="767" t="n">
        <v>10367</v>
      </c>
      <c r="J151" s="767" t="n">
        <v>0</v>
      </c>
      <c r="K151" s="769" t="n">
        <v>23</v>
      </c>
      <c r="L151" s="769" t="n">
        <v>10</v>
      </c>
      <c r="M151" s="585">
        <f>IF(C151="TXO",J151-SUM(K151:L151),IF(C151="FITX",IF(E151="新倉",-SUM(K151:L151),IF(F151="賣",(I151-I150)*H151*200-SUM(K151:L151),(I150-I151)*H151*200-SUM(K151:L151))),IF(E151="新倉",-SUM(K151:L151),IF(F151="賣",(I151-I150)*H151*50-SUM(K151:L151),(I150-I151)*H151*50-SUM(K151:L151)))))</f>
        <v/>
      </c>
      <c r="N151" s="699">
        <f>M151</f>
        <v/>
      </c>
      <c r="O151" s="686">
        <f>IF(C151="TXO","",IF(E151="新倉","",IF(F151="賣",(I151-I150)*H151,(I150-I151)*H151)))</f>
        <v/>
      </c>
      <c r="P151" s="334">
        <f>ABS(J151)</f>
        <v/>
      </c>
      <c r="Q151" s="667" t="n"/>
      <c r="S151" s="61" t="n"/>
      <c r="T151" s="61" t="n"/>
      <c r="U151" s="61" t="n"/>
      <c r="V151" s="61" t="n"/>
      <c r="W151" s="61" t="n"/>
      <c r="X151" s="61" t="n"/>
      <c r="Y151" s="61" t="n"/>
      <c r="Z151" s="61" t="n"/>
    </row>
    <row r="152" hidden="1" outlineLevel="2" ht="17.25" customHeight="1" thickBot="1">
      <c r="B152" s="766" t="n">
        <v>43003</v>
      </c>
      <c r="C152" s="337" t="inlineStr">
        <is>
          <t>FIMTX</t>
        </is>
      </c>
      <c r="D152" s="338" t="inlineStr">
        <is>
          <t>小指05</t>
        </is>
      </c>
      <c r="E152" s="338" t="inlineStr">
        <is>
          <t>平倉</t>
        </is>
      </c>
      <c r="F152" s="338" t="inlineStr">
        <is>
          <t>賣</t>
        </is>
      </c>
      <c r="G152" s="338" t="inlineStr">
        <is>
          <t>-</t>
        </is>
      </c>
      <c r="H152" s="767" t="n">
        <v>1</v>
      </c>
      <c r="I152" s="767" t="n">
        <v>10360</v>
      </c>
      <c r="J152" s="767" t="n">
        <v>0</v>
      </c>
      <c r="K152" s="769" t="n">
        <v>23</v>
      </c>
      <c r="L152" s="769" t="n">
        <v>10</v>
      </c>
      <c r="M152" s="585">
        <f>IF(C152="TXO",J152-SUM(K152:L152),IF(C152="FITX",IF(E152="新倉",-SUM(K152:L152),IF(F152="賣",(I152-I151)*H152*200-SUM(K152:L152),(I151-I152)*H152*200-SUM(K152:L152))),IF(E152="新倉",-SUM(K152:L152),IF(F152="賣",(I152-I151)*H152*50-SUM(K152:L152),(I151-I152)*H152*50-SUM(K152:L152)))))</f>
        <v/>
      </c>
      <c r="N152" s="699">
        <f>M152</f>
        <v/>
      </c>
      <c r="O152" s="686">
        <f>IF(C152="TXO","",IF(E152="新倉","",IF(F152="賣",(I152-I151)*H152,(I151-I152)*H152)))</f>
        <v/>
      </c>
      <c r="P152" s="334">
        <f>ABS(J152)</f>
        <v/>
      </c>
      <c r="Q152" s="667" t="n"/>
      <c r="S152" s="61" t="n"/>
      <c r="T152" s="61" t="n"/>
      <c r="U152" s="61" t="n"/>
      <c r="V152" s="61" t="n"/>
      <c r="W152" s="61" t="n"/>
      <c r="X152" s="61" t="n"/>
      <c r="Y152" s="61" t="n"/>
      <c r="Z152" s="61" t="n"/>
    </row>
    <row r="153" hidden="1" outlineLevel="1" ht="17.25" customHeight="1" thickBot="1">
      <c r="B153" s="740" t="n">
        <v>43004</v>
      </c>
      <c r="C153" s="299" t="inlineStr">
        <is>
          <t>FIMTX</t>
        </is>
      </c>
      <c r="D153" s="300" t="inlineStr">
        <is>
          <t>小指05</t>
        </is>
      </c>
      <c r="E153" s="300" t="inlineStr">
        <is>
          <t>新倉</t>
        </is>
      </c>
      <c r="F153" s="301" t="inlineStr">
        <is>
          <t>買</t>
        </is>
      </c>
      <c r="G153" s="300" t="inlineStr">
        <is>
          <t>-</t>
        </is>
      </c>
      <c r="H153" s="741" t="n">
        <v>1</v>
      </c>
      <c r="I153" s="741" t="n">
        <v>10339</v>
      </c>
      <c r="J153" s="741" t="n">
        <v>0</v>
      </c>
      <c r="K153" s="742" t="n">
        <v>23</v>
      </c>
      <c r="L153" s="742" t="n">
        <v>10</v>
      </c>
      <c r="M153" s="742">
        <f>IF(C153="TXO",J153-SUM(K153:L153),IF(C153="FITX",IF(E153="新倉",-SUM(K153:L153),IF(F153="賣",(I153-I152)*H153*200-SUM(K153:L153),(I152-I153)*H153*200-SUM(K153:L153))),IF(E153="新倉",-SUM(K153:L153),IF(F153="賣",(I153-I152)*H153*50-SUM(K153:L153),(I152-I153)*H153*50-SUM(K153:L153)))))</f>
        <v/>
      </c>
      <c r="N153" s="743">
        <f>M153</f>
        <v/>
      </c>
      <c r="O153" s="764">
        <f>IF(C153="TXO","",IF(E153="新倉","",IF(F153="賣",(I153-I152)*H153,(I152-I153)*H153)))</f>
        <v/>
      </c>
      <c r="P153" s="334">
        <f>ABS(J153)</f>
        <v/>
      </c>
      <c r="Q153" s="764">
        <f>SUM(M153:M154)</f>
        <v/>
      </c>
      <c r="S153" s="739" t="n"/>
      <c r="T153" s="61" t="n"/>
      <c r="U153" s="61" t="n"/>
      <c r="V153" s="61" t="n"/>
      <c r="W153" s="61" t="n"/>
      <c r="X153" s="61" t="n"/>
      <c r="Y153" s="61" t="n"/>
      <c r="Z153" s="61" t="n"/>
    </row>
    <row r="154" hidden="1" outlineLevel="1" ht="17.25" customHeight="1" thickBot="1">
      <c r="B154" s="740" t="n">
        <v>43004</v>
      </c>
      <c r="C154" s="299" t="inlineStr">
        <is>
          <t>FIMTX</t>
        </is>
      </c>
      <c r="D154" s="300" t="inlineStr">
        <is>
          <t>小指05</t>
        </is>
      </c>
      <c r="E154" s="300" t="inlineStr">
        <is>
          <t>平倉</t>
        </is>
      </c>
      <c r="F154" s="301" t="inlineStr">
        <is>
          <t>賣</t>
        </is>
      </c>
      <c r="G154" s="300" t="inlineStr">
        <is>
          <t>-</t>
        </is>
      </c>
      <c r="H154" s="741" t="n">
        <v>1</v>
      </c>
      <c r="I154" s="741" t="n">
        <v>10346</v>
      </c>
      <c r="J154" s="741" t="n">
        <v>0</v>
      </c>
      <c r="K154" s="742" t="n">
        <v>23</v>
      </c>
      <c r="L154" s="742" t="n">
        <v>10</v>
      </c>
      <c r="M154" s="742">
        <f>IF(C154="TXO",J154-SUM(K154:L154),IF(C154="FITX",IF(E154="新倉",-SUM(K154:L154),IF(F154="賣",(I154-I153)*H154*200-SUM(K154:L154),(I153-I154)*H154*200-SUM(K154:L154))),IF(E154="新倉",-SUM(K154:L154),IF(F154="賣",(I154-I153)*H154*50-SUM(K154:L154),(I153-I154)*H154*50-SUM(K154:L154)))))</f>
        <v/>
      </c>
      <c r="N154" s="743">
        <f>M154</f>
        <v/>
      </c>
      <c r="O154" s="764">
        <f>IF(C154="TXO","",IF(E154="新倉","",IF(F154="賣",(I154-I153)*H154,(I153-I154)*H154)))</f>
        <v/>
      </c>
      <c r="P154" s="334">
        <f>ABS(J154)</f>
        <v/>
      </c>
      <c r="Q154" s="764" t="n"/>
      <c r="S154" s="739" t="n"/>
      <c r="T154" s="61" t="n"/>
      <c r="U154" s="61" t="n"/>
      <c r="V154" s="61" t="n"/>
      <c r="W154" s="61" t="n"/>
      <c r="X154" s="61" t="n"/>
      <c r="Y154" s="61" t="n"/>
      <c r="Z154" s="61" t="n"/>
    </row>
    <row r="155" hidden="1" outlineLevel="1" ht="17.25" customHeight="1" thickBot="1">
      <c r="B155" s="766" t="n">
        <v>43005</v>
      </c>
      <c r="C155" s="337" t="inlineStr">
        <is>
          <t>TXO</t>
        </is>
      </c>
      <c r="D155" s="338" t="inlineStr">
        <is>
          <t>台指選 10 10400 C</t>
        </is>
      </c>
      <c r="E155" s="338" t="inlineStr">
        <is>
          <t>新倉</t>
        </is>
      </c>
      <c r="F155" s="338" t="inlineStr">
        <is>
          <t>買</t>
        </is>
      </c>
      <c r="G155" s="338" t="inlineStr">
        <is>
          <t>-</t>
        </is>
      </c>
      <c r="H155" s="767" t="n">
        <v>1</v>
      </c>
      <c r="I155" s="770" t="n">
        <v>62</v>
      </c>
      <c r="J155" s="767" t="n">
        <v>-3100</v>
      </c>
      <c r="K155" s="769" t="n">
        <v>18</v>
      </c>
      <c r="L155" s="769" t="n">
        <v>3</v>
      </c>
      <c r="M155" s="585">
        <f>IF(C155="TXO",J155-SUM(K155:L155),IF(C155="FITX",IF(E155="新倉",-SUM(K155:L155),IF(F155="賣",(I155-I154)*H155*200-SUM(K155:L155),(I154-I155)*H155*200-SUM(K155:L155))),IF(E155="新倉",-SUM(K155:L155),IF(F155="賣",(I155-I154)*H155*50-SUM(K155:L155),(I154-I155)*H155*50-SUM(K155:L155)))))</f>
        <v/>
      </c>
      <c r="N155" s="699">
        <f>M155</f>
        <v/>
      </c>
      <c r="O155" s="686">
        <f>IF(C155="TXO","",IF(E155="新倉","",IF(F155="賣",(I155-I154)*H155,(I154-I155)*H155)))</f>
        <v/>
      </c>
      <c r="P155" s="334">
        <f>ABS(J155)</f>
        <v/>
      </c>
      <c r="Q155" s="667">
        <f>SUM(M155:M168)</f>
        <v/>
      </c>
      <c r="S155" s="61" t="n"/>
      <c r="T155" s="61" t="n"/>
      <c r="U155" s="61" t="n"/>
      <c r="V155" s="61" t="n"/>
      <c r="W155" s="61" t="n"/>
      <c r="X155" s="61" t="n"/>
      <c r="Y155" s="61" t="n"/>
      <c r="Z155" s="61" t="n"/>
    </row>
    <row r="156" hidden="1" outlineLevel="2" collapsed="1" ht="17.25" customHeight="1" thickBot="1">
      <c r="B156" s="766" t="n">
        <v>43005</v>
      </c>
      <c r="C156" s="337" t="inlineStr">
        <is>
          <t>TXO</t>
        </is>
      </c>
      <c r="D156" s="338" t="inlineStr">
        <is>
          <t>台指選 10 10400 C</t>
        </is>
      </c>
      <c r="E156" s="338" t="inlineStr">
        <is>
          <t>平倉</t>
        </is>
      </c>
      <c r="F156" s="338" t="inlineStr">
        <is>
          <t>賣</t>
        </is>
      </c>
      <c r="G156" s="338" t="inlineStr">
        <is>
          <t>-</t>
        </is>
      </c>
      <c r="H156" s="767" t="n">
        <v>1</v>
      </c>
      <c r="I156" s="770" t="n">
        <v>66</v>
      </c>
      <c r="J156" s="767" t="n">
        <v>3300</v>
      </c>
      <c r="K156" s="769" t="n">
        <v>18</v>
      </c>
      <c r="L156" s="769" t="n">
        <v>3</v>
      </c>
      <c r="M156" s="585">
        <f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/>
      </c>
      <c r="N156" s="699">
        <f>M156</f>
        <v/>
      </c>
      <c r="O156" s="686">
        <f>IF(C156="TXO","",IF(E156="新倉","",IF(F156="賣",(I156-I155)*H156,(I155-I156)*H156)))</f>
        <v/>
      </c>
      <c r="P156" s="334">
        <f>ABS(J156)</f>
        <v/>
      </c>
      <c r="Q156" s="667" t="n"/>
      <c r="S156" s="61" t="n"/>
      <c r="T156" s="61" t="n"/>
      <c r="U156" s="61" t="n"/>
      <c r="V156" s="61" t="n"/>
      <c r="W156" s="61" t="n"/>
      <c r="X156" s="61" t="n"/>
      <c r="Y156" s="61" t="n"/>
      <c r="Z156" s="61" t="n"/>
    </row>
    <row r="157" hidden="1" outlineLevel="2" collapsed="1" ht="17.25" customHeight="1" thickBot="1">
      <c r="B157" s="766" t="n">
        <v>43005</v>
      </c>
      <c r="C157" s="337" t="inlineStr">
        <is>
          <t>TX4</t>
        </is>
      </c>
      <c r="D157" s="338" t="inlineStr">
        <is>
          <t>台選W4 09 10300 P</t>
        </is>
      </c>
      <c r="E157" s="338" t="inlineStr">
        <is>
          <t>新倉</t>
        </is>
      </c>
      <c r="F157" s="338" t="inlineStr">
        <is>
          <t>買</t>
        </is>
      </c>
      <c r="G157" s="338" t="inlineStr">
        <is>
          <t>-</t>
        </is>
      </c>
      <c r="H157" s="767" t="n">
        <v>2</v>
      </c>
      <c r="I157" s="770" t="n">
        <v>3.3</v>
      </c>
      <c r="J157" s="767" t="n">
        <v>-330</v>
      </c>
      <c r="K157" s="769" t="n">
        <v>36</v>
      </c>
      <c r="L157" s="769" t="n">
        <v>0</v>
      </c>
      <c r="M157" s="585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/>
      </c>
      <c r="N157" s="699">
        <f>M157</f>
        <v/>
      </c>
      <c r="O157" s="686">
        <f>IF(C157="TXO","",IF(E157="新倉","",IF(F157="賣",(I157-I156)*H157,(I156-I157)*H157)))</f>
        <v/>
      </c>
      <c r="P157" s="334">
        <f>ABS(J157)</f>
        <v/>
      </c>
      <c r="Q157" s="667" t="n"/>
      <c r="S157" s="61" t="n"/>
      <c r="T157" s="61" t="n"/>
      <c r="U157" s="61" t="n"/>
      <c r="V157" s="61" t="n"/>
      <c r="W157" s="61" t="n"/>
      <c r="X157" s="61" t="n"/>
      <c r="Y157" s="61" t="n"/>
      <c r="Z157" s="61" t="n"/>
    </row>
    <row r="158" hidden="1" outlineLevel="2" ht="17.25" customHeight="1" thickBot="1">
      <c r="B158" s="766" t="n">
        <v>43005</v>
      </c>
      <c r="C158" s="337" t="inlineStr">
        <is>
          <t>TX4</t>
        </is>
      </c>
      <c r="D158" s="338" t="inlineStr">
        <is>
          <t>台選W4 09 10300 P</t>
        </is>
      </c>
      <c r="E158" s="338" t="inlineStr">
        <is>
          <t>平倉</t>
        </is>
      </c>
      <c r="F158" s="338" t="inlineStr">
        <is>
          <t>賣</t>
        </is>
      </c>
      <c r="G158" s="338" t="inlineStr">
        <is>
          <t>-</t>
        </is>
      </c>
      <c r="H158" s="767" t="n">
        <v>2</v>
      </c>
      <c r="I158" s="770" t="n">
        <v>0.7</v>
      </c>
      <c r="J158" s="767" t="n">
        <v>1120</v>
      </c>
      <c r="K158" s="769" t="n">
        <v>36</v>
      </c>
      <c r="L158" s="769" t="n">
        <v>0</v>
      </c>
      <c r="M158" s="585">
        <f>IF(C158="TXO",J158-SUM(K158:L158),IF(C158="FITX",IF(E158="新倉",-SUM(K158:L158),IF(F158="賣",(I158-I157)*H158*200-SUM(K158:L158),(I157-I158)*H158*200-SUM(K158:L158))),IF(E158="新倉",-SUM(K158:L158),IF(F158="賣",(I158-I157)*H158*50-SUM(K158:L158),(I157-I158)*H158*50-SUM(K158:L158)))))</f>
        <v/>
      </c>
      <c r="N158" s="699">
        <f>M158</f>
        <v/>
      </c>
      <c r="O158" s="686">
        <f>IF(C158="TXO","",IF(E158="新倉","",IF(F158="賣",(I158-I157)*H158,(I157-I158)*H158)))</f>
        <v/>
      </c>
      <c r="P158" s="334">
        <f>ABS(J158)</f>
        <v/>
      </c>
      <c r="Q158" s="667" t="n"/>
      <c r="S158" s="61" t="n"/>
      <c r="T158" s="61" t="n"/>
      <c r="U158" s="61" t="n"/>
      <c r="V158" s="61" t="n"/>
      <c r="W158" s="61" t="n"/>
      <c r="X158" s="61" t="n"/>
      <c r="Y158" s="61" t="n"/>
      <c r="Z158" s="61" t="n"/>
    </row>
    <row r="159" hidden="1" outlineLevel="2" collapsed="1" ht="17.25" customHeight="1" thickBot="1">
      <c r="B159" s="766" t="n">
        <v>43005</v>
      </c>
      <c r="C159" s="337" t="inlineStr">
        <is>
          <t>TXO</t>
        </is>
      </c>
      <c r="D159" s="338" t="inlineStr">
        <is>
          <t>台指選 10 10200 P</t>
        </is>
      </c>
      <c r="E159" s="338" t="inlineStr">
        <is>
          <t>新倉</t>
        </is>
      </c>
      <c r="F159" s="338" t="inlineStr">
        <is>
          <t>買</t>
        </is>
      </c>
      <c r="G159" s="338" t="inlineStr">
        <is>
          <t>-</t>
        </is>
      </c>
      <c r="H159" s="767" t="n">
        <v>1</v>
      </c>
      <c r="I159" s="770" t="n">
        <v>73</v>
      </c>
      <c r="J159" s="767" t="n">
        <v>-3650</v>
      </c>
      <c r="K159" s="769" t="n">
        <v>18</v>
      </c>
      <c r="L159" s="769" t="n">
        <v>4</v>
      </c>
      <c r="M159" s="585">
        <f>IF(C159="TXO",J159-SUM(K159:L159),IF(C159="FITX",IF(E159="新倉",-SUM(K159:L159),IF(F159="賣",(I159-I158)*H159*200-SUM(K159:L159),(I158-I159)*H159*200-SUM(K159:L159))),IF(E159="新倉",-SUM(K159:L159),IF(F159="賣",(I159-I158)*H159*50-SUM(K159:L159),(I158-I159)*H159*50-SUM(K159:L159)))))</f>
        <v/>
      </c>
      <c r="N159" s="699">
        <f>M159</f>
        <v/>
      </c>
      <c r="O159" s="686">
        <f>IF(C159="TXO","",IF(E159="新倉","",IF(F159="賣",(I159-I158)*H159,(I158-I159)*H159)))</f>
        <v/>
      </c>
      <c r="P159" s="334">
        <f>ABS(J159)</f>
        <v/>
      </c>
      <c r="Q159" s="667" t="n"/>
      <c r="S159" s="61" t="n"/>
      <c r="T159" s="61" t="n"/>
      <c r="U159" s="61" t="n"/>
      <c r="V159" s="61" t="n"/>
      <c r="W159" s="61" t="n"/>
      <c r="X159" s="61" t="n"/>
      <c r="Y159" s="61" t="n"/>
      <c r="Z159" s="61" t="n"/>
    </row>
    <row r="160" hidden="1" outlineLevel="2" collapsed="1" ht="17.25" customHeight="1" thickBot="1">
      <c r="B160" s="766" t="n">
        <v>43005</v>
      </c>
      <c r="C160" s="337" t="inlineStr">
        <is>
          <t>TXO</t>
        </is>
      </c>
      <c r="D160" s="338" t="inlineStr">
        <is>
          <t>台指選 10 10200 P</t>
        </is>
      </c>
      <c r="E160" s="338" t="inlineStr">
        <is>
          <t>平倉</t>
        </is>
      </c>
      <c r="F160" s="338" t="inlineStr">
        <is>
          <t>賣</t>
        </is>
      </c>
      <c r="G160" s="338" t="inlineStr">
        <is>
          <t>-</t>
        </is>
      </c>
      <c r="H160" s="767" t="n">
        <v>1</v>
      </c>
      <c r="I160" s="770" t="n">
        <v>61</v>
      </c>
      <c r="J160" s="767" t="n">
        <v>3050</v>
      </c>
      <c r="K160" s="769" t="n">
        <v>18</v>
      </c>
      <c r="L160" s="769" t="n">
        <v>3</v>
      </c>
      <c r="M160" s="585">
        <f>IF(C160="TXO",J160-SUM(K160:L160),IF(C160="FITX",IF(E160="新倉",-SUM(K160:L160),IF(F160="賣",(I160-I159)*H160*200-SUM(K160:L160),(I159-I160)*H160*200-SUM(K160:L160))),IF(E160="新倉",-SUM(K160:L160),IF(F160="賣",(I160-I159)*H160*50-SUM(K160:L160),(I159-I160)*H160*50-SUM(K160:L160)))))</f>
        <v/>
      </c>
      <c r="N160" s="699">
        <f>M160</f>
        <v/>
      </c>
      <c r="O160" s="686">
        <f>IF(C160="TXO","",IF(E160="新倉","",IF(F160="賣",(I160-I159)*H160,(I159-I160)*H160)))</f>
        <v/>
      </c>
      <c r="P160" s="334">
        <f>ABS(J160)</f>
        <v/>
      </c>
      <c r="Q160" s="667" t="n"/>
      <c r="S160" s="61" t="n"/>
      <c r="T160" s="61" t="n"/>
      <c r="U160" s="61" t="n"/>
      <c r="V160" s="61" t="n"/>
      <c r="W160" s="61" t="n"/>
      <c r="X160" s="61" t="n"/>
      <c r="Y160" s="61" t="n"/>
      <c r="Z160" s="61" t="n"/>
    </row>
    <row r="161" hidden="1" outlineLevel="2" collapsed="1" ht="17.25" customHeight="1" thickBot="1">
      <c r="B161" s="766" t="n">
        <v>43005</v>
      </c>
      <c r="C161" s="337" t="inlineStr">
        <is>
          <t>TX4</t>
        </is>
      </c>
      <c r="D161" s="338" t="inlineStr">
        <is>
          <t>台選W4 09 10350 P</t>
        </is>
      </c>
      <c r="E161" s="338" t="inlineStr">
        <is>
          <t>新倉</t>
        </is>
      </c>
      <c r="F161" s="338" t="inlineStr">
        <is>
          <t>買</t>
        </is>
      </c>
      <c r="G161" s="338" t="inlineStr">
        <is>
          <t>-</t>
        </is>
      </c>
      <c r="H161" s="767" t="n">
        <v>1</v>
      </c>
      <c r="I161" s="770" t="n">
        <v>18.5</v>
      </c>
      <c r="J161" s="767" t="n">
        <v>-925</v>
      </c>
      <c r="K161" s="769" t="n">
        <v>18</v>
      </c>
      <c r="L161" s="769" t="n">
        <v>1</v>
      </c>
      <c r="M161" s="585">
        <f>IF(C161="TXO",J161-SUM(K161:L161),IF(C161="FITX",IF(E161="新倉",-SUM(K161:L161),IF(F161="賣",(I161-I160)*H161*200-SUM(K161:L161),(I160-I161)*H161*200-SUM(K161:L161))),IF(E161="新倉",-SUM(K161:L161),IF(F161="賣",(I161-I160)*H161*50-SUM(K161:L161),(I160-I161)*H161*50-SUM(K161:L161)))))</f>
        <v/>
      </c>
      <c r="N161" s="699">
        <f>M161</f>
        <v/>
      </c>
      <c r="O161" s="686">
        <f>IF(C161="TXO","",IF(E161="新倉","",IF(F161="賣",(I161-I160)*H161,(I160-I161)*H161)))</f>
        <v/>
      </c>
      <c r="P161" s="334">
        <f>ABS(J161)</f>
        <v/>
      </c>
      <c r="Q161" s="667" t="n"/>
      <c r="S161" s="61" t="n"/>
      <c r="T161" s="61" t="n"/>
      <c r="U161" s="61" t="n"/>
      <c r="V161" s="61" t="n"/>
      <c r="W161" s="61" t="n"/>
      <c r="X161" s="61" t="n"/>
      <c r="Y161" s="61" t="n"/>
      <c r="Z161" s="61" t="n"/>
    </row>
    <row r="162" hidden="1" outlineLevel="2" collapsed="1" ht="17.25" customHeight="1" thickBot="1">
      <c r="B162" s="766" t="n">
        <v>43005</v>
      </c>
      <c r="C162" s="337" t="inlineStr">
        <is>
          <t>TX4</t>
        </is>
      </c>
      <c r="D162" s="338" t="inlineStr">
        <is>
          <t>台選W4 09 10350 P</t>
        </is>
      </c>
      <c r="E162" s="338" t="inlineStr">
        <is>
          <t>平倉</t>
        </is>
      </c>
      <c r="F162" s="338" t="inlineStr">
        <is>
          <t>賣</t>
        </is>
      </c>
      <c r="G162" s="338" t="inlineStr">
        <is>
          <t>-</t>
        </is>
      </c>
      <c r="H162" s="767" t="n">
        <v>1</v>
      </c>
      <c r="I162" s="770" t="n">
        <v>8.699999999999999</v>
      </c>
      <c r="J162" s="767" t="n">
        <v>435</v>
      </c>
      <c r="K162" s="769" t="n">
        <v>18</v>
      </c>
      <c r="L162" s="769" t="n">
        <v>0</v>
      </c>
      <c r="M162" s="585">
        <f>IF(C162="TXO",J162-SUM(K162:L162),IF(C162="FITX",IF(E162="新倉",-SUM(K162:L162),IF(F162="賣",(I162-I161)*H162*200-SUM(K162:L162),(I161-I162)*H162*200-SUM(K162:L162))),IF(E162="新倉",-SUM(K162:L162),IF(F162="賣",(I162-I161)*H162*50-SUM(K162:L162),(I161-I162)*H162*50-SUM(K162:L162)))))</f>
        <v/>
      </c>
      <c r="N162" s="699">
        <f>M162</f>
        <v/>
      </c>
      <c r="O162" s="686">
        <f>IF(C162="TXO","",IF(E162="新倉","",IF(F162="賣",(I162-I161)*H162,(I161-I162)*H162)))</f>
        <v/>
      </c>
      <c r="P162" s="334">
        <f>ABS(J162)</f>
        <v/>
      </c>
      <c r="Q162" s="667" t="n"/>
      <c r="S162" s="61" t="n"/>
      <c r="T162" s="61" t="n"/>
      <c r="U162" s="61" t="n"/>
      <c r="V162" s="61" t="n"/>
      <c r="W162" s="61" t="n"/>
      <c r="X162" s="61" t="n"/>
      <c r="Y162" s="61" t="n"/>
      <c r="Z162" s="61" t="n"/>
    </row>
    <row r="163" hidden="1" outlineLevel="2" collapsed="1" ht="17.25" customHeight="1" thickBot="1">
      <c r="B163" s="766" t="n">
        <v>43005</v>
      </c>
      <c r="C163" s="337" t="inlineStr">
        <is>
          <t>TX4</t>
        </is>
      </c>
      <c r="D163" s="338" t="inlineStr">
        <is>
          <t>台選W4 09 10300 P</t>
        </is>
      </c>
      <c r="E163" s="338" t="inlineStr">
        <is>
          <t>新倉</t>
        </is>
      </c>
      <c r="F163" s="338" t="inlineStr">
        <is>
          <t>買</t>
        </is>
      </c>
      <c r="G163" s="338" t="inlineStr">
        <is>
          <t>-</t>
        </is>
      </c>
      <c r="H163" s="767" t="n">
        <v>5</v>
      </c>
      <c r="I163" s="770" t="n">
        <v>3.7</v>
      </c>
      <c r="J163" s="767" t="n">
        <v>-925</v>
      </c>
      <c r="K163" s="769" t="n">
        <v>90</v>
      </c>
      <c r="L163" s="769" t="n">
        <v>0</v>
      </c>
      <c r="M163" s="585">
        <f>IF(C163="TXO",J163-SUM(K163:L163),IF(C163="FITX",IF(E163="新倉",-SUM(K163:L163),IF(F163="賣",(I163-I162)*H163*200-SUM(K163:L163),(I162-I163)*H163*200-SUM(K163:L163))),IF(E163="新倉",-SUM(K163:L163),IF(F163="賣",(I163-I162)*H163*50-SUM(K163:L163),(I162-I163)*H163*50-SUM(K163:L163)))))</f>
        <v/>
      </c>
      <c r="N163" s="699">
        <f>M163</f>
        <v/>
      </c>
      <c r="O163" s="686">
        <f>IF(C163="TXO","",IF(E163="新倉","",IF(F163="賣",(I163-I162)*H163,(I162-I163)*H163)))</f>
        <v/>
      </c>
      <c r="P163" s="334">
        <f>ABS(J163)</f>
        <v/>
      </c>
      <c r="Q163" s="667" t="n"/>
      <c r="S163" s="61" t="n"/>
      <c r="T163" s="61" t="n"/>
      <c r="U163" s="61" t="n"/>
      <c r="V163" s="61" t="n"/>
      <c r="W163" s="61" t="n"/>
      <c r="X163" s="61" t="n"/>
      <c r="Y163" s="61" t="n"/>
      <c r="Z163" s="61" t="n"/>
    </row>
    <row r="164" hidden="1" outlineLevel="2" ht="17.25" customHeight="1" thickBot="1">
      <c r="B164" s="766" t="n">
        <v>43005</v>
      </c>
      <c r="C164" s="337" t="inlineStr">
        <is>
          <t>TX4</t>
        </is>
      </c>
      <c r="D164" s="338" t="inlineStr">
        <is>
          <t>台選W4 09 10300 P</t>
        </is>
      </c>
      <c r="E164" s="338" t="inlineStr">
        <is>
          <t>平倉</t>
        </is>
      </c>
      <c r="F164" s="338" t="inlineStr">
        <is>
          <t>賣</t>
        </is>
      </c>
      <c r="G164" s="338" t="inlineStr">
        <is>
          <t>-</t>
        </is>
      </c>
      <c r="H164" s="767" t="n">
        <v>5</v>
      </c>
      <c r="I164" s="770" t="n">
        <v>0.7</v>
      </c>
      <c r="J164" s="767" t="n">
        <v>448</v>
      </c>
      <c r="K164" s="769" t="n">
        <v>90</v>
      </c>
      <c r="L164" s="769" t="n">
        <v>0</v>
      </c>
      <c r="M164" s="585">
        <f>IF(C164="TXO",J164-SUM(K164:L164),IF(C164="FITX",IF(E164="新倉",-SUM(K164:L164),IF(F164="賣",(I164-I163)*H164*200-SUM(K164:L164),(I163-I164)*H164*200-SUM(K164:L164))),IF(E164="新倉",-SUM(K164:L164),IF(F164="賣",(I164-I163)*H164*50-SUM(K164:L164),(I163-I164)*H164*50-SUM(K164:L164)))))</f>
        <v/>
      </c>
      <c r="N164" s="699">
        <f>M164</f>
        <v/>
      </c>
      <c r="O164" s="686">
        <f>IF(C164="TXO","",IF(E164="新倉","",IF(F164="賣",(I164-I163)*H164,(I163-I164)*H164)))</f>
        <v/>
      </c>
      <c r="P164" s="334">
        <f>ABS(J164)</f>
        <v/>
      </c>
      <c r="Q164" s="667" t="n"/>
      <c r="S164" s="61" t="n"/>
      <c r="T164" s="61" t="n"/>
      <c r="U164" s="61" t="n"/>
      <c r="V164" s="61" t="n"/>
      <c r="W164" s="61" t="n"/>
      <c r="X164" s="61" t="n"/>
      <c r="Y164" s="61" t="n"/>
      <c r="Z164" s="61" t="n"/>
    </row>
    <row r="165" hidden="1" outlineLevel="2" collapsed="1" ht="17.25" customHeight="1" thickBot="1">
      <c r="B165" s="766" t="n">
        <v>43005</v>
      </c>
      <c r="C165" s="337" t="inlineStr">
        <is>
          <t>TX4</t>
        </is>
      </c>
      <c r="D165" s="338" t="inlineStr">
        <is>
          <t>台選W4 09 10350 P</t>
        </is>
      </c>
      <c r="E165" s="338" t="inlineStr">
        <is>
          <t>新倉</t>
        </is>
      </c>
      <c r="F165" s="338" t="inlineStr">
        <is>
          <t>買</t>
        </is>
      </c>
      <c r="G165" s="338" t="inlineStr">
        <is>
          <t>-</t>
        </is>
      </c>
      <c r="H165" s="767" t="n">
        <v>1</v>
      </c>
      <c r="I165" s="770" t="n">
        <v>20</v>
      </c>
      <c r="J165" s="767" t="n">
        <v>-1000</v>
      </c>
      <c r="K165" s="769" t="n">
        <v>18</v>
      </c>
      <c r="L165" s="769" t="n">
        <v>1</v>
      </c>
      <c r="M165" s="585">
        <f>IF(C165="TXO",J165-SUM(K165:L165),IF(C165="FITX",IF(E165="新倉",-SUM(K165:L165),IF(F165="賣",(I165-I164)*H165*200-SUM(K165:L165),(I164-I165)*H165*200-SUM(K165:L165))),IF(E165="新倉",-SUM(K165:L165),IF(F165="賣",(I165-I164)*H165*50-SUM(K165:L165),(I164-I165)*H165*50-SUM(K165:L165)))))</f>
        <v/>
      </c>
      <c r="N165" s="699">
        <f>M165</f>
        <v/>
      </c>
      <c r="O165" s="686">
        <f>IF(C165="TXO","",IF(E165="新倉","",IF(F165="賣",(I165-I164)*H165,(I164-I165)*H165)))</f>
        <v/>
      </c>
      <c r="P165" s="334">
        <f>ABS(J165)</f>
        <v/>
      </c>
      <c r="Q165" s="667" t="n"/>
      <c r="S165" s="61" t="n"/>
      <c r="T165" s="61" t="n"/>
      <c r="U165" s="61" t="n"/>
      <c r="V165" s="61" t="n"/>
      <c r="W165" s="61" t="n"/>
      <c r="X165" s="61" t="n"/>
      <c r="Y165" s="61" t="n"/>
      <c r="Z165" s="61" t="n"/>
    </row>
    <row r="166" hidden="1" outlineLevel="2" collapsed="1" ht="17.25" customHeight="1" thickBot="1">
      <c r="B166" s="766" t="n">
        <v>43005</v>
      </c>
      <c r="C166" s="337" t="inlineStr">
        <is>
          <t>TX4</t>
        </is>
      </c>
      <c r="D166" s="338" t="inlineStr">
        <is>
          <t>台選W4 09 10350 P</t>
        </is>
      </c>
      <c r="E166" s="338" t="inlineStr">
        <is>
          <t>平倉</t>
        </is>
      </c>
      <c r="F166" s="338" t="inlineStr">
        <is>
          <t>賣</t>
        </is>
      </c>
      <c r="G166" s="338" t="inlineStr">
        <is>
          <t>-</t>
        </is>
      </c>
      <c r="H166" s="767" t="n">
        <v>1</v>
      </c>
      <c r="I166" s="770" t="n">
        <v>8.699999999999999</v>
      </c>
      <c r="J166" s="767" t="n">
        <v>435</v>
      </c>
      <c r="K166" s="769" t="n">
        <v>18</v>
      </c>
      <c r="L166" s="769" t="n">
        <v>0</v>
      </c>
      <c r="M166" s="585">
        <f>IF(C166="TXO",J166-SUM(K166:L166),IF(C166="FITX",IF(E166="新倉",-SUM(K166:L166),IF(F166="賣",(I166-I165)*H166*200-SUM(K166:L166),(I165-I166)*H166*200-SUM(K166:L166))),IF(E166="新倉",-SUM(K166:L166),IF(F166="賣",(I166-I165)*H166*50-SUM(K166:L166),(I165-I166)*H166*50-SUM(K166:L166)))))</f>
        <v/>
      </c>
      <c r="N166" s="699">
        <f>M166</f>
        <v/>
      </c>
      <c r="O166" s="686">
        <f>IF(C166="TXO","",IF(E166="新倉","",IF(F166="賣",(I166-I165)*H166,(I165-I166)*H166)))</f>
        <v/>
      </c>
      <c r="P166" s="334">
        <f>ABS(J166)</f>
        <v/>
      </c>
      <c r="Q166" s="667" t="n"/>
      <c r="S166" s="61" t="n"/>
      <c r="T166" s="61" t="n"/>
      <c r="U166" s="61" t="n"/>
      <c r="V166" s="61" t="n"/>
      <c r="W166" s="61" t="n"/>
      <c r="X166" s="61" t="n"/>
      <c r="Y166" s="61" t="n"/>
      <c r="Z166" s="61" t="n"/>
    </row>
    <row r="167" hidden="1" outlineLevel="2" collapsed="1" ht="17.25" customHeight="1" thickBot="1">
      <c r="B167" s="766" t="n">
        <v>43005</v>
      </c>
      <c r="C167" s="337" t="inlineStr">
        <is>
          <t>TX4</t>
        </is>
      </c>
      <c r="D167" s="338" t="inlineStr">
        <is>
          <t>台選W4 09 10300 P</t>
        </is>
      </c>
      <c r="E167" s="338" t="inlineStr">
        <is>
          <t>新倉</t>
        </is>
      </c>
      <c r="F167" s="338" t="inlineStr">
        <is>
          <t>買</t>
        </is>
      </c>
      <c r="G167" s="338" t="inlineStr">
        <is>
          <t>-</t>
        </is>
      </c>
      <c r="H167" s="767" t="n">
        <v>1</v>
      </c>
      <c r="I167" s="770" t="n">
        <v>3.3</v>
      </c>
      <c r="J167" s="767" t="n">
        <v>-165</v>
      </c>
      <c r="K167" s="769" t="n">
        <v>18</v>
      </c>
      <c r="L167" s="769" t="n">
        <v>0</v>
      </c>
      <c r="M167" s="585">
        <f>IF(C167="TXO",J167-SUM(K167:L167),IF(C167="FITX",IF(E167="新倉",-SUM(K167:L167),IF(F167="賣",(I167-I166)*H167*200-SUM(K167:L167),(I166-I167)*H167*200-SUM(K167:L167))),IF(E167="新倉",-SUM(K167:L167),IF(F167="賣",(I167-I166)*H167*50-SUM(K167:L167),(I166-I167)*H167*50-SUM(K167:L167)))))</f>
        <v/>
      </c>
      <c r="N167" s="699">
        <f>M167</f>
        <v/>
      </c>
      <c r="O167" s="686">
        <f>IF(C167="TXO","",IF(E167="新倉","",IF(F167="賣",(I167-I166)*H167,(I166-I167)*H167)))</f>
        <v/>
      </c>
      <c r="P167" s="334">
        <f>ABS(J167)</f>
        <v/>
      </c>
      <c r="Q167" s="667" t="n"/>
      <c r="S167" s="61" t="n"/>
      <c r="T167" s="61" t="n"/>
      <c r="U167" s="61" t="n"/>
      <c r="V167" s="61" t="n"/>
      <c r="W167" s="61" t="n"/>
      <c r="X167" s="61" t="n"/>
      <c r="Y167" s="61" t="n"/>
      <c r="Z167" s="61" t="n"/>
    </row>
    <row r="168" hidden="1" outlineLevel="2" ht="17.25" customHeight="1" thickBot="1">
      <c r="B168" s="766" t="n">
        <v>43005</v>
      </c>
      <c r="C168" s="337" t="inlineStr">
        <is>
          <t>TX4</t>
        </is>
      </c>
      <c r="D168" s="338" t="inlineStr">
        <is>
          <t>台選W4 09 10300 P</t>
        </is>
      </c>
      <c r="E168" s="338" t="inlineStr">
        <is>
          <t>平倉</t>
        </is>
      </c>
      <c r="F168" s="338" t="inlineStr">
        <is>
          <t>賣</t>
        </is>
      </c>
      <c r="G168" s="338" t="inlineStr">
        <is>
          <t>-</t>
        </is>
      </c>
      <c r="H168" s="767" t="n">
        <v>1</v>
      </c>
      <c r="I168" s="770" t="n">
        <v>0.7</v>
      </c>
      <c r="J168" s="767" t="n">
        <v>2240</v>
      </c>
      <c r="K168" s="769" t="n">
        <v>18</v>
      </c>
      <c r="L168" s="769" t="n">
        <v>0</v>
      </c>
      <c r="M168" s="585">
        <f>IF(C168="TXO",J168-SUM(K168:L168),IF(C168="FITX",IF(E168="新倉",-SUM(K168:L168),IF(F168="賣",(I168-I167)*H168*200-SUM(K168:L168),(I167-I168)*H168*200-SUM(K168:L168))),IF(E168="新倉",-SUM(K168:L168),IF(F168="賣",(I168-I167)*H168*50-SUM(K168:L168),(I167-I168)*H168*50-SUM(K168:L168)))))</f>
        <v/>
      </c>
      <c r="N168" s="699">
        <f>M168</f>
        <v/>
      </c>
      <c r="O168" s="686">
        <f>IF(C168="TXO","",IF(E168="新倉","",IF(F168="賣",(I168-I167)*H168,(I167-I168)*H168)))</f>
        <v/>
      </c>
      <c r="P168" s="334">
        <f>ABS(J168)</f>
        <v/>
      </c>
      <c r="Q168" s="667" t="n"/>
      <c r="S168" s="61" t="n"/>
      <c r="T168" s="61" t="n"/>
      <c r="U168" s="61" t="n"/>
      <c r="V168" s="61" t="n"/>
      <c r="W168" s="61" t="n"/>
      <c r="X168" s="61" t="n"/>
      <c r="Y168" s="61" t="n"/>
      <c r="Z168" s="61" t="n"/>
    </row>
    <row r="169" hidden="1" outlineLevel="1" ht="17.25" customHeight="1" thickBot="1">
      <c r="B169" s="740" t="n">
        <v>43008</v>
      </c>
      <c r="C169" s="299" t="inlineStr">
        <is>
          <t>FIMTX</t>
        </is>
      </c>
      <c r="D169" s="300" t="inlineStr">
        <is>
          <t>小指10</t>
        </is>
      </c>
      <c r="E169" s="300" t="inlineStr">
        <is>
          <t>新倉</t>
        </is>
      </c>
      <c r="F169" s="301" t="inlineStr">
        <is>
          <t>買</t>
        </is>
      </c>
      <c r="G169" s="300" t="inlineStr">
        <is>
          <t>-</t>
        </is>
      </c>
      <c r="H169" s="741" t="n">
        <v>1</v>
      </c>
      <c r="I169" s="741" t="n">
        <v>10382</v>
      </c>
      <c r="J169" s="741" t="n">
        <v>0</v>
      </c>
      <c r="K169" s="742" t="n">
        <v>23</v>
      </c>
      <c r="L169" s="742" t="n">
        <v>10</v>
      </c>
      <c r="M169" s="742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/>
      </c>
      <c r="N169" s="743">
        <f>M169</f>
        <v/>
      </c>
      <c r="O169" s="764">
        <f>IF(C169="TXO","",IF(E169="新倉","",IF(F169="賣",(I169-I168)*H169,(I168-I169)*H169)))</f>
        <v/>
      </c>
      <c r="P169" s="334">
        <f>ABS(J169)</f>
        <v/>
      </c>
      <c r="Q169" s="764">
        <f>SUM(M169:M170)</f>
        <v/>
      </c>
      <c r="S169" s="739" t="n"/>
      <c r="T169" s="61" t="n"/>
      <c r="U169" s="61" t="n"/>
      <c r="V169" s="61" t="n"/>
      <c r="W169" s="61" t="n"/>
      <c r="X169" s="61" t="n"/>
      <c r="Y169" s="61" t="n"/>
      <c r="Z169" s="61" t="n"/>
    </row>
    <row r="170" hidden="1" outlineLevel="1" ht="17.25" customHeight="1" thickBot="1">
      <c r="B170" s="740" t="n">
        <v>43008</v>
      </c>
      <c r="C170" s="299" t="inlineStr">
        <is>
          <t>FIMTX</t>
        </is>
      </c>
      <c r="D170" s="300" t="inlineStr">
        <is>
          <t>小指10</t>
        </is>
      </c>
      <c r="E170" s="300" t="inlineStr">
        <is>
          <t>平倉</t>
        </is>
      </c>
      <c r="F170" s="301" t="inlineStr">
        <is>
          <t>賣</t>
        </is>
      </c>
      <c r="G170" s="300" t="inlineStr">
        <is>
          <t>-</t>
        </is>
      </c>
      <c r="H170" s="741" t="n">
        <v>1</v>
      </c>
      <c r="I170" s="741" t="n">
        <v>10382</v>
      </c>
      <c r="J170" s="741" t="n">
        <v>0</v>
      </c>
      <c r="K170" s="742" t="n">
        <v>23</v>
      </c>
      <c r="L170" s="742" t="n">
        <v>10</v>
      </c>
      <c r="M170" s="742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/>
      </c>
      <c r="N170" s="743">
        <f>M170</f>
        <v/>
      </c>
      <c r="O170" s="764">
        <f>IF(C170="TXO","",IF(E170="新倉","",IF(F170="賣",(I170-I169)*H170,(I169-I170)*H170)))</f>
        <v/>
      </c>
      <c r="P170" s="334">
        <f>ABS(J170)</f>
        <v/>
      </c>
      <c r="Q170" s="764" t="n"/>
      <c r="S170" s="739" t="n"/>
      <c r="T170" s="61" t="n"/>
      <c r="U170" s="61" t="n"/>
      <c r="V170" s="61" t="n"/>
      <c r="W170" s="61" t="n"/>
      <c r="X170" s="61" t="n"/>
      <c r="Y170" s="61" t="n"/>
      <c r="Z170" s="61" t="n"/>
    </row>
    <row r="171" ht="17.25" customHeight="1" thickBot="1">
      <c r="B171" s="718" t="n">
        <v>43000</v>
      </c>
      <c r="C171" s="292" t="n"/>
      <c r="D171" s="292" t="inlineStr">
        <is>
          <t>阿水財經三班</t>
        </is>
      </c>
      <c r="E171" s="292" t="n"/>
      <c r="F171" s="292" t="n"/>
      <c r="G171" s="292" t="n"/>
      <c r="H171" s="719" t="n"/>
      <c r="I171" s="719" t="n"/>
      <c r="J171" s="719" t="n"/>
      <c r="K171" s="720" t="n"/>
      <c r="L171" s="719" t="n"/>
      <c r="M171" s="720" t="n"/>
      <c r="N171" s="721" t="n">
        <v>-8240</v>
      </c>
      <c r="O171" s="760" t="n"/>
      <c r="Q171" s="761" t="n"/>
      <c r="R171" s="230" t="inlineStr">
        <is>
          <t>98888分12期, 每期8240</t>
        </is>
      </c>
      <c r="S171" s="739" t="n"/>
    </row>
    <row r="172" ht="17.25" customHeight="1" thickBot="1">
      <c r="B172" s="718" t="n">
        <v>43008</v>
      </c>
      <c r="C172" s="292" t="n"/>
      <c r="D172" s="292" t="inlineStr">
        <is>
          <t>富邦個人信貸</t>
        </is>
      </c>
      <c r="E172" s="292" t="n"/>
      <c r="F172" s="292" t="n"/>
      <c r="G172" s="292" t="n"/>
      <c r="H172" s="719" t="n"/>
      <c r="I172" s="719" t="n"/>
      <c r="J172" s="719" t="n"/>
      <c r="K172" s="720" t="n"/>
      <c r="L172" s="719" t="n"/>
      <c r="M172" s="720" t="n"/>
      <c r="N172" s="721" t="n">
        <v>-3000</v>
      </c>
      <c r="O172" s="760" t="n"/>
      <c r="Q172" s="761" t="n"/>
      <c r="R172" s="230" t="inlineStr">
        <is>
          <t>帳管費</t>
        </is>
      </c>
      <c r="S172" s="739" t="n"/>
    </row>
    <row r="173" collapsed="1" ht="17.25" customHeight="1" thickBot="1">
      <c r="B173" s="273" t="inlineStr">
        <is>
          <t>9月總計</t>
        </is>
      </c>
      <c r="C173" s="274" t="n"/>
      <c r="D173" s="274" t="n"/>
      <c r="E173" s="274" t="n"/>
      <c r="F173" s="274" t="n"/>
      <c r="G173" s="274" t="n"/>
      <c r="H173" s="715" t="n"/>
      <c r="I173" s="715" t="n"/>
      <c r="J173" s="715" t="n"/>
      <c r="K173" s="716" t="n"/>
      <c r="L173" s="715" t="n"/>
      <c r="M173" s="750">
        <f>SUM(M139:M172)</f>
        <v/>
      </c>
      <c r="N173" s="751">
        <f>SUM(N139:N172)</f>
        <v/>
      </c>
      <c r="O173" s="762" t="n"/>
      <c r="P173" s="331" t="n"/>
      <c r="Q173" s="763" t="n"/>
      <c r="S173" s="739" t="n"/>
    </row>
    <row r="174" hidden="1" outlineLevel="1" collapsed="1" ht="17.25" customHeight="1" thickBot="1">
      <c r="B174" s="766" t="n">
        <v>43010</v>
      </c>
      <c r="C174" s="337" t="inlineStr">
        <is>
          <t>FIMTX</t>
        </is>
      </c>
      <c r="D174" s="338" t="inlineStr">
        <is>
          <t>小指10</t>
        </is>
      </c>
      <c r="E174" s="338" t="inlineStr">
        <is>
          <t>新倉</t>
        </is>
      </c>
      <c r="F174" s="338" t="inlineStr">
        <is>
          <t>買</t>
        </is>
      </c>
      <c r="G174" s="338" t="inlineStr">
        <is>
          <t>-</t>
        </is>
      </c>
      <c r="H174" s="767" t="n">
        <v>1</v>
      </c>
      <c r="I174" s="767" t="n">
        <v>10416</v>
      </c>
      <c r="J174" s="767" t="n">
        <v>0</v>
      </c>
      <c r="K174" s="769" t="n">
        <v>23</v>
      </c>
      <c r="L174" s="769" t="n">
        <v>10</v>
      </c>
      <c r="M174" s="585">
        <f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/>
      </c>
      <c r="N174" s="699">
        <f>M174</f>
        <v/>
      </c>
      <c r="O174" s="686">
        <f>IF(C174="TXO","",IF(E174="新倉","",IF(F174="賣",(I174-I173)*H174,(I173-I174)*H174)))</f>
        <v/>
      </c>
      <c r="P174" s="334">
        <f>ABS(J174)</f>
        <v/>
      </c>
      <c r="Q174" s="667">
        <f>SUM(M174:M179)</f>
        <v/>
      </c>
      <c r="S174" s="61" t="n"/>
      <c r="T174" s="61" t="n"/>
      <c r="U174" s="61" t="n"/>
      <c r="V174" s="61" t="n"/>
      <c r="W174" s="61" t="n"/>
      <c r="X174" s="61" t="n"/>
      <c r="Y174" s="61" t="n"/>
      <c r="Z174" s="61" t="n"/>
    </row>
    <row r="175" hidden="1" outlineLevel="2" ht="17.25" customHeight="1" thickBot="1">
      <c r="B175" s="766" t="n">
        <v>43010</v>
      </c>
      <c r="C175" s="337" t="inlineStr">
        <is>
          <t>FIMTX</t>
        </is>
      </c>
      <c r="D175" s="338" t="inlineStr">
        <is>
          <t>小指10</t>
        </is>
      </c>
      <c r="E175" s="338" t="inlineStr">
        <is>
          <t>平倉</t>
        </is>
      </c>
      <c r="F175" s="338" t="inlineStr">
        <is>
          <t>賣</t>
        </is>
      </c>
      <c r="G175" s="338" t="inlineStr">
        <is>
          <t>-</t>
        </is>
      </c>
      <c r="H175" s="767" t="n">
        <v>1</v>
      </c>
      <c r="I175" s="767" t="n">
        <v>10418</v>
      </c>
      <c r="J175" s="767" t="n">
        <v>0</v>
      </c>
      <c r="K175" s="769" t="n">
        <v>23</v>
      </c>
      <c r="L175" s="769" t="n">
        <v>10</v>
      </c>
      <c r="M175" s="585">
        <f>IF(C175="TXO",J175-SUM(K175:L175),IF(C175="FITX",IF(E175="新倉",-SUM(K175:L175),IF(F175="賣",(I175-I174)*H175*200-SUM(K175:L175),(I174-I175)*H175*200-SUM(K175:L175))),IF(E175="新倉",-SUM(K175:L175),IF(F175="賣",(I175-I174)*H175*50-SUM(K175:L175),(I174-I175)*H175*50-SUM(K175:L175)))))</f>
        <v/>
      </c>
      <c r="N175" s="699">
        <f>M175</f>
        <v/>
      </c>
      <c r="O175" s="686">
        <f>IF(C175="TXO","",IF(E175="新倉","",IF(F175="賣",(I175-I174)*H175,(I174-I175)*H175)))</f>
        <v/>
      </c>
      <c r="P175" s="334">
        <f>ABS(J175)</f>
        <v/>
      </c>
      <c r="Q175" s="667" t="n"/>
      <c r="S175" s="61" t="n"/>
      <c r="T175" s="61" t="n"/>
      <c r="U175" s="61" t="n"/>
      <c r="V175" s="61" t="n"/>
      <c r="W175" s="61" t="n"/>
      <c r="X175" s="61" t="n"/>
      <c r="Y175" s="61" t="n"/>
      <c r="Z175" s="61" t="n"/>
    </row>
    <row r="176" hidden="1" outlineLevel="2" ht="17.25" customHeight="1" thickBot="1">
      <c r="B176" s="766" t="n">
        <v>43010</v>
      </c>
      <c r="C176" s="337" t="inlineStr">
        <is>
          <t>FIMTX</t>
        </is>
      </c>
      <c r="D176" s="338" t="inlineStr">
        <is>
          <t>小指10</t>
        </is>
      </c>
      <c r="E176" s="338" t="inlineStr">
        <is>
          <t>新倉</t>
        </is>
      </c>
      <c r="F176" s="338" t="inlineStr">
        <is>
          <t>買</t>
        </is>
      </c>
      <c r="G176" s="338" t="inlineStr">
        <is>
          <t>-</t>
        </is>
      </c>
      <c r="H176" s="767" t="n">
        <v>1</v>
      </c>
      <c r="I176" s="767" t="n">
        <v>10417</v>
      </c>
      <c r="J176" s="767" t="n">
        <v>0</v>
      </c>
      <c r="K176" s="769" t="n">
        <v>23</v>
      </c>
      <c r="L176" s="769" t="n">
        <v>10</v>
      </c>
      <c r="M176" s="585">
        <f>IF(C176="TXO",J176-SUM(K176:L176),IF(C176="FITX",IF(E176="新倉",-SUM(K176:L176),IF(F176="賣",(I176-I175)*H176*200-SUM(K176:L176),(I175-I176)*H176*200-SUM(K176:L176))),IF(E176="新倉",-SUM(K176:L176),IF(F176="賣",(I176-I175)*H176*50-SUM(K176:L176),(I175-I176)*H176*50-SUM(K176:L176)))))</f>
        <v/>
      </c>
      <c r="N176" s="699">
        <f>M176</f>
        <v/>
      </c>
      <c r="O176" s="686">
        <f>IF(C176="TXO","",IF(E176="新倉","",IF(F176="賣",(I176-I175)*H176,(I175-I176)*H176)))</f>
        <v/>
      </c>
      <c r="P176" s="334">
        <f>ABS(J176)</f>
        <v/>
      </c>
      <c r="Q176" s="667" t="n"/>
      <c r="S176" s="61" t="n"/>
      <c r="T176" s="61" t="n"/>
      <c r="U176" s="61" t="n"/>
      <c r="V176" s="61" t="n"/>
      <c r="W176" s="61" t="n"/>
      <c r="X176" s="61" t="n"/>
      <c r="Y176" s="61" t="n"/>
      <c r="Z176" s="61" t="n"/>
    </row>
    <row r="177" hidden="1" outlineLevel="2" ht="17.25" customHeight="1" thickBot="1">
      <c r="B177" s="766" t="n">
        <v>43010</v>
      </c>
      <c r="C177" s="337" t="inlineStr">
        <is>
          <t>FIMTX</t>
        </is>
      </c>
      <c r="D177" s="338" t="inlineStr">
        <is>
          <t>小指10</t>
        </is>
      </c>
      <c r="E177" s="338" t="inlineStr">
        <is>
          <t>平倉</t>
        </is>
      </c>
      <c r="F177" s="338" t="inlineStr">
        <is>
          <t>賣</t>
        </is>
      </c>
      <c r="G177" s="338" t="inlineStr">
        <is>
          <t>-</t>
        </is>
      </c>
      <c r="H177" s="767" t="n">
        <v>1</v>
      </c>
      <c r="I177" s="767" t="n">
        <v>10407</v>
      </c>
      <c r="J177" s="767" t="n">
        <v>0</v>
      </c>
      <c r="K177" s="769" t="n">
        <v>23</v>
      </c>
      <c r="L177" s="769" t="n">
        <v>10</v>
      </c>
      <c r="M177" s="585">
        <f>IF(C177="TXO",J177-SUM(K177:L177),IF(C177="FITX",IF(E177="新倉",-SUM(K177:L177),IF(F177="賣",(I177-I176)*H177*200-SUM(K177:L177),(I176-I177)*H177*200-SUM(K177:L177))),IF(E177="新倉",-SUM(K177:L177),IF(F177="賣",(I177-I176)*H177*50-SUM(K177:L177),(I176-I177)*H177*50-SUM(K177:L177)))))</f>
        <v/>
      </c>
      <c r="N177" s="699">
        <f>M177</f>
        <v/>
      </c>
      <c r="O177" s="686">
        <f>IF(C177="TXO","",IF(E177="新倉","",IF(F177="賣",(I177-I176)*H177,(I176-I177)*H177)))</f>
        <v/>
      </c>
      <c r="P177" s="334">
        <f>ABS(J177)</f>
        <v/>
      </c>
      <c r="Q177" s="667" t="n"/>
      <c r="S177" s="61" t="n"/>
      <c r="T177" s="61" t="n"/>
      <c r="U177" s="61" t="n"/>
      <c r="V177" s="61" t="n"/>
      <c r="W177" s="61" t="n"/>
      <c r="X177" s="61" t="n"/>
      <c r="Y177" s="61" t="n"/>
      <c r="Z177" s="61" t="n"/>
    </row>
    <row r="178" hidden="1" outlineLevel="2" ht="17.25" customHeight="1" thickBot="1">
      <c r="B178" s="766" t="n">
        <v>43010</v>
      </c>
      <c r="C178" s="337" t="inlineStr">
        <is>
          <t>FIMTX</t>
        </is>
      </c>
      <c r="D178" s="338" t="inlineStr">
        <is>
          <t>小指10</t>
        </is>
      </c>
      <c r="E178" s="338" t="inlineStr">
        <is>
          <t>新倉</t>
        </is>
      </c>
      <c r="F178" s="338" t="inlineStr">
        <is>
          <t>買</t>
        </is>
      </c>
      <c r="G178" s="338" t="inlineStr">
        <is>
          <t>-</t>
        </is>
      </c>
      <c r="H178" s="767" t="n">
        <v>1</v>
      </c>
      <c r="I178" s="767" t="n">
        <v>10444</v>
      </c>
      <c r="J178" s="767" t="n">
        <v>0</v>
      </c>
      <c r="K178" s="769" t="n">
        <v>23</v>
      </c>
      <c r="L178" s="769" t="n">
        <v>10</v>
      </c>
      <c r="M178" s="585">
        <f>IF(C178="TXO",J178-SUM(K178:L178),IF(C178="FITX",IF(E178="新倉",-SUM(K178:L178),IF(F178="賣",(I178-I177)*H178*200-SUM(K178:L178),(I177-I178)*H178*200-SUM(K178:L178))),IF(E178="新倉",-SUM(K178:L178),IF(F178="賣",(I178-I177)*H178*50-SUM(K178:L178),(I177-I178)*H178*50-SUM(K178:L178)))))</f>
        <v/>
      </c>
      <c r="N178" s="699">
        <f>M178</f>
        <v/>
      </c>
      <c r="O178" s="686">
        <f>IF(C178="TXO","",IF(E178="新倉","",IF(F178="賣",(I178-I177)*H178,(I177-I178)*H178)))</f>
        <v/>
      </c>
      <c r="P178" s="334">
        <f>ABS(J178)</f>
        <v/>
      </c>
      <c r="Q178" s="667" t="n"/>
      <c r="S178" s="61" t="n"/>
      <c r="T178" s="61" t="n"/>
      <c r="U178" s="61" t="n"/>
      <c r="V178" s="61" t="n"/>
      <c r="W178" s="61" t="n"/>
      <c r="X178" s="61" t="n"/>
      <c r="Y178" s="61" t="n"/>
      <c r="Z178" s="61" t="n"/>
    </row>
    <row r="179" hidden="1" outlineLevel="2" ht="17.25" customHeight="1" thickBot="1">
      <c r="B179" s="766" t="n">
        <v>43010</v>
      </c>
      <c r="C179" s="337" t="inlineStr">
        <is>
          <t>FIMTX</t>
        </is>
      </c>
      <c r="D179" s="338" t="inlineStr">
        <is>
          <t>小指10</t>
        </is>
      </c>
      <c r="E179" s="338" t="inlineStr">
        <is>
          <t>平倉</t>
        </is>
      </c>
      <c r="F179" s="338" t="inlineStr">
        <is>
          <t>賣</t>
        </is>
      </c>
      <c r="G179" s="338" t="inlineStr">
        <is>
          <t>-</t>
        </is>
      </c>
      <c r="H179" s="767" t="n">
        <v>1</v>
      </c>
      <c r="I179" s="767" t="n">
        <v>10440</v>
      </c>
      <c r="J179" s="767" t="n">
        <v>0</v>
      </c>
      <c r="K179" s="769" t="n">
        <v>23</v>
      </c>
      <c r="L179" s="769" t="n">
        <v>10</v>
      </c>
      <c r="M179" s="585">
        <f>IF(C179="TXO",J179-SUM(K179:L179),IF(C179="FITX",IF(E179="新倉",-SUM(K179:L179),IF(F179="賣",(I179-I178)*H179*200-SUM(K179:L179),(I178-I179)*H179*200-SUM(K179:L179))),IF(E179="新倉",-SUM(K179:L179),IF(F179="賣",(I179-I178)*H179*50-SUM(K179:L179),(I178-I179)*H179*50-SUM(K179:L179)))))</f>
        <v/>
      </c>
      <c r="N179" s="699">
        <f>M179</f>
        <v/>
      </c>
      <c r="O179" s="686">
        <f>IF(C179="TXO","",IF(E179="新倉","",IF(F179="賣",(I179-I178)*H179,(I178-I179)*H179)))</f>
        <v/>
      </c>
      <c r="P179" s="334">
        <f>ABS(J179)</f>
        <v/>
      </c>
      <c r="Q179" s="667" t="n"/>
      <c r="S179" s="61" t="n"/>
      <c r="T179" s="61" t="n"/>
      <c r="U179" s="61" t="n"/>
      <c r="V179" s="61" t="n"/>
      <c r="W179" s="61" t="n"/>
      <c r="X179" s="61" t="n"/>
      <c r="Y179" s="61" t="n"/>
      <c r="Z179" s="61" t="n"/>
    </row>
    <row r="180" hidden="1" outlineLevel="1" collapsed="1" ht="17.25" customHeight="1" thickBot="1">
      <c r="B180" s="740" t="n">
        <v>43026</v>
      </c>
      <c r="C180" s="299" t="inlineStr">
        <is>
          <t>TXO</t>
        </is>
      </c>
      <c r="D180" s="300" t="inlineStr">
        <is>
          <t>台指選 10 10750 C</t>
        </is>
      </c>
      <c r="E180" s="300" t="inlineStr">
        <is>
          <t>新倉</t>
        </is>
      </c>
      <c r="F180" s="301" t="inlineStr">
        <is>
          <t>買</t>
        </is>
      </c>
      <c r="G180" s="300" t="inlineStr">
        <is>
          <t>-</t>
        </is>
      </c>
      <c r="H180" s="741" t="n">
        <v>1</v>
      </c>
      <c r="I180" s="765" t="n">
        <v>23</v>
      </c>
      <c r="J180" s="741" t="n">
        <v>-1150</v>
      </c>
      <c r="K180" s="742" t="n">
        <v>18</v>
      </c>
      <c r="L180" s="742" t="n">
        <v>1</v>
      </c>
      <c r="M180" s="742">
        <f>IF(C180="TXO",J180-SUM(K180:L180),IF(C180="FITX",IF(E180="新倉",-SUM(K180:L180),IF(F180="賣",(I180-I179)*H180*200-SUM(K180:L180),(I179-I180)*H180*200-SUM(K180:L180))),IF(E180="新倉",-SUM(K180:L180),IF(F180="賣",(I180-I179)*H180*50-SUM(K180:L180),(I179-I180)*H180*50-SUM(K180:L180)))))</f>
        <v/>
      </c>
      <c r="N180" s="743">
        <f>M180</f>
        <v/>
      </c>
      <c r="O180" s="764">
        <f>IF(C180="TXO","",IF(E180="新倉","",IF(F180="賣",(I180-I179)*H180,(I179-I180)*H180)))</f>
        <v/>
      </c>
      <c r="P180" s="334">
        <f>ABS(J180)</f>
        <v/>
      </c>
      <c r="Q180" s="764">
        <f>SUM(M180:M187)</f>
        <v/>
      </c>
      <c r="S180" s="739" t="n"/>
      <c r="T180" s="61" t="n"/>
      <c r="U180" s="61" t="n"/>
      <c r="V180" s="61" t="n"/>
      <c r="W180" s="61" t="n"/>
      <c r="X180" s="61" t="n"/>
      <c r="Y180" s="61" t="n"/>
      <c r="Z180" s="61" t="n"/>
    </row>
    <row r="181" hidden="1" outlineLevel="2" ht="17.25" customHeight="1" thickBot="1">
      <c r="B181" s="740" t="n">
        <v>43026</v>
      </c>
      <c r="C181" s="299" t="inlineStr">
        <is>
          <t>TXO</t>
        </is>
      </c>
      <c r="D181" s="300" t="inlineStr">
        <is>
          <t>台指選 10 10750 C</t>
        </is>
      </c>
      <c r="E181" s="300" t="inlineStr">
        <is>
          <t>平倉</t>
        </is>
      </c>
      <c r="F181" s="301" t="inlineStr">
        <is>
          <t>賣</t>
        </is>
      </c>
      <c r="G181" s="300" t="inlineStr">
        <is>
          <t>-</t>
        </is>
      </c>
      <c r="H181" s="741" t="n">
        <v>1</v>
      </c>
      <c r="I181" s="765" t="n">
        <v>15.5</v>
      </c>
      <c r="J181" s="741" t="n">
        <v>775</v>
      </c>
      <c r="K181" s="742" t="n">
        <v>18</v>
      </c>
      <c r="L181" s="742" t="n">
        <v>1</v>
      </c>
      <c r="M181" s="742">
        <f>IF(C181="TXO",J181-SUM(K181:L181),IF(C181="FITX",IF(E181="新倉",-SUM(K181:L181),IF(F181="賣",(I181-I180)*H181*200-SUM(K181:L181),(I180-I181)*H181*200-SUM(K181:L181))),IF(E181="新倉",-SUM(K181:L181),IF(F181="賣",(I181-I180)*H181*50-SUM(K181:L181),(I180-I181)*H181*50-SUM(K181:L181)))))</f>
        <v/>
      </c>
      <c r="N181" s="743">
        <f>M181</f>
        <v/>
      </c>
      <c r="O181" s="764">
        <f>IF(C181="TXO","",IF(E181="新倉","",IF(F181="賣",(I181-I180)*H181,(I180-I181)*H181)))</f>
        <v/>
      </c>
      <c r="P181" s="334">
        <f>ABS(J181)</f>
        <v/>
      </c>
      <c r="Q181" s="764" t="n"/>
      <c r="R181" s="230" t="inlineStr">
        <is>
          <t>刺出上通道就應平倉，賣太慢</t>
        </is>
      </c>
      <c r="S181" s="739" t="n"/>
      <c r="T181" s="61" t="n"/>
      <c r="U181" s="61" t="n"/>
      <c r="V181" s="61" t="n"/>
      <c r="W181" s="61" t="n"/>
      <c r="X181" s="61" t="n"/>
      <c r="Y181" s="61" t="n"/>
      <c r="Z181" s="61" t="n"/>
    </row>
    <row r="182" hidden="1" outlineLevel="2" ht="17.25" customHeight="1" thickBot="1">
      <c r="B182" s="740" t="n">
        <v>43026</v>
      </c>
      <c r="C182" s="299" t="inlineStr">
        <is>
          <t>TXO</t>
        </is>
      </c>
      <c r="D182" s="300" t="inlineStr">
        <is>
          <t>台指選 10 10750 C</t>
        </is>
      </c>
      <c r="E182" s="300" t="inlineStr">
        <is>
          <t>新倉</t>
        </is>
      </c>
      <c r="F182" s="301" t="inlineStr">
        <is>
          <t>買</t>
        </is>
      </c>
      <c r="G182" s="300" t="inlineStr">
        <is>
          <t>-</t>
        </is>
      </c>
      <c r="H182" s="741" t="n">
        <v>1</v>
      </c>
      <c r="I182" s="765" t="n">
        <v>26.5</v>
      </c>
      <c r="J182" s="741" t="n">
        <v>-1325</v>
      </c>
      <c r="K182" s="742" t="n">
        <v>18</v>
      </c>
      <c r="L182" s="742" t="n">
        <v>1</v>
      </c>
      <c r="M182" s="742">
        <f>IF(C182="TXO",J182-SUM(K182:L182),IF(C182="FITX",IF(E182="新倉",-SUM(K182:L182),IF(F182="賣",(I182-I181)*H182*200-SUM(K182:L182),(I181-I182)*H182*200-SUM(K182:L182))),IF(E182="新倉",-SUM(K182:L182),IF(F182="賣",(I182-I181)*H182*50-SUM(K182:L182),(I181-I182)*H182*50-SUM(K182:L182)))))</f>
        <v/>
      </c>
      <c r="N182" s="743">
        <f>M182</f>
        <v/>
      </c>
      <c r="O182" s="764">
        <f>IF(C182="TXO","",IF(E182="新倉","",IF(F182="賣",(I182-I181)*H182,(I181-I182)*H182)))</f>
        <v/>
      </c>
      <c r="P182" s="334">
        <f>ABS(J182)</f>
        <v/>
      </c>
      <c r="Q182" s="764" t="n"/>
      <c r="S182" s="739" t="n"/>
      <c r="T182" s="61" t="n"/>
      <c r="U182" s="61" t="n"/>
      <c r="V182" s="61" t="n"/>
      <c r="W182" s="61" t="n"/>
      <c r="X182" s="61" t="n"/>
      <c r="Y182" s="61" t="n"/>
      <c r="Z182" s="61" t="n"/>
    </row>
    <row r="183" hidden="1" outlineLevel="2" ht="17.25" customHeight="1" thickBot="1">
      <c r="B183" s="740" t="n">
        <v>43026</v>
      </c>
      <c r="C183" s="299" t="inlineStr">
        <is>
          <t>TXO</t>
        </is>
      </c>
      <c r="D183" s="300" t="inlineStr">
        <is>
          <t>台指選 10 10750 C</t>
        </is>
      </c>
      <c r="E183" s="300" t="inlineStr">
        <is>
          <t>平倉</t>
        </is>
      </c>
      <c r="F183" s="301" t="inlineStr">
        <is>
          <t>賣</t>
        </is>
      </c>
      <c r="G183" s="300" t="inlineStr">
        <is>
          <t>-</t>
        </is>
      </c>
      <c r="H183" s="741" t="n">
        <v>1</v>
      </c>
      <c r="I183" s="765" t="n">
        <v>16</v>
      </c>
      <c r="J183" s="741" t="n">
        <v>800</v>
      </c>
      <c r="K183" s="742" t="n">
        <v>18</v>
      </c>
      <c r="L183" s="742" t="n">
        <v>1</v>
      </c>
      <c r="M183" s="742">
        <f>IF(C183="TXO",J183-SUM(K183:L183),IF(C183="FITX",IF(E183="新倉",-SUM(K183:L183),IF(F183="賣",(I183-I182)*H183*200-SUM(K183:L183),(I182-I183)*H183*200-SUM(K183:L183))),IF(E183="新倉",-SUM(K183:L183),IF(F183="賣",(I183-I182)*H183*50-SUM(K183:L183),(I182-I183)*H183*50-SUM(K183:L183)))))</f>
        <v/>
      </c>
      <c r="N183" s="743">
        <f>M183</f>
        <v/>
      </c>
      <c r="O183" s="764">
        <f>IF(C183="TXO","",IF(E183="新倉","",IF(F183="賣",(I183-I182)*H183,(I182-I183)*H183)))</f>
        <v/>
      </c>
      <c r="P183" s="334">
        <f>ABS(J183)</f>
        <v/>
      </c>
      <c r="Q183" s="764" t="n"/>
      <c r="R183" s="230" t="inlineStr">
        <is>
          <t>刺出上通道就應平倉，賣太慢</t>
        </is>
      </c>
      <c r="S183" s="739" t="n"/>
      <c r="T183" s="61" t="n"/>
      <c r="U183" s="61" t="n"/>
      <c r="V183" s="61" t="n"/>
      <c r="W183" s="61" t="n"/>
      <c r="X183" s="61" t="n"/>
      <c r="Y183" s="61" t="n"/>
      <c r="Z183" s="61" t="n"/>
    </row>
    <row r="184" hidden="1" outlineLevel="2" ht="17.25" customHeight="1" thickBot="1">
      <c r="B184" s="740" t="n">
        <v>43026</v>
      </c>
      <c r="C184" s="299" t="inlineStr">
        <is>
          <t>TXO</t>
        </is>
      </c>
      <c r="D184" s="300" t="inlineStr">
        <is>
          <t>台指選 10 10750 P</t>
        </is>
      </c>
      <c r="E184" s="300" t="inlineStr">
        <is>
          <t>新倉</t>
        </is>
      </c>
      <c r="F184" s="301" t="inlineStr">
        <is>
          <t>買</t>
        </is>
      </c>
      <c r="G184" s="300" t="inlineStr">
        <is>
          <t>-</t>
        </is>
      </c>
      <c r="H184" s="741" t="n">
        <v>1</v>
      </c>
      <c r="I184" s="765" t="n">
        <v>17.5</v>
      </c>
      <c r="J184" s="741" t="n">
        <v>-875</v>
      </c>
      <c r="K184" s="742" t="n">
        <v>18</v>
      </c>
      <c r="L184" s="742" t="n">
        <v>1</v>
      </c>
      <c r="M184" s="742">
        <f>IF(C184="TXO",J184-SUM(K184:L184),IF(C184="FITX",IF(E184="新倉",-SUM(K184:L184),IF(F184="賣",(I184-I183)*H184*200-SUM(K184:L184),(I183-I184)*H184*200-SUM(K184:L184))),IF(E184="新倉",-SUM(K184:L184),IF(F184="賣",(I184-I183)*H184*50-SUM(K184:L184),(I183-I184)*H184*50-SUM(K184:L184)))))</f>
        <v/>
      </c>
      <c r="N184" s="743">
        <f>M184</f>
        <v/>
      </c>
      <c r="O184" s="764">
        <f>IF(C184="TXO","",IF(E184="新倉","",IF(F184="賣",(I184-I183)*H184,(I183-I184)*H184)))</f>
        <v/>
      </c>
      <c r="P184" s="334">
        <f>ABS(J184)</f>
        <v/>
      </c>
      <c r="Q184" s="764" t="n"/>
      <c r="S184" s="739" t="n"/>
      <c r="T184" s="61" t="n"/>
      <c r="U184" s="61" t="n"/>
      <c r="V184" s="61" t="n"/>
      <c r="W184" s="61" t="n"/>
      <c r="X184" s="61" t="n"/>
      <c r="Y184" s="61" t="n"/>
      <c r="Z184" s="61" t="n"/>
    </row>
    <row r="185" hidden="1" outlineLevel="2" ht="17.25" customHeight="1" thickBot="1">
      <c r="B185" s="740" t="n">
        <v>43026</v>
      </c>
      <c r="C185" s="299" t="inlineStr">
        <is>
          <t>TXO</t>
        </is>
      </c>
      <c r="D185" s="300" t="inlineStr">
        <is>
          <t>台指選 10 10750 P</t>
        </is>
      </c>
      <c r="E185" s="300" t="inlineStr">
        <is>
          <t>平倉</t>
        </is>
      </c>
      <c r="F185" s="301" t="inlineStr">
        <is>
          <t>賣</t>
        </is>
      </c>
      <c r="G185" s="300" t="inlineStr">
        <is>
          <t>-</t>
        </is>
      </c>
      <c r="H185" s="741" t="n">
        <v>1</v>
      </c>
      <c r="I185" s="765" t="n">
        <v>18</v>
      </c>
      <c r="J185" s="741" t="n">
        <v>900</v>
      </c>
      <c r="K185" s="742" t="n">
        <v>18</v>
      </c>
      <c r="L185" s="742" t="n">
        <v>1</v>
      </c>
      <c r="M185" s="742">
        <f>IF(C185="TXO",J185-SUM(K185:L185),IF(C185="FITX",IF(E185="新倉",-SUM(K185:L185),IF(F185="賣",(I185-I184)*H185*200-SUM(K185:L185),(I184-I185)*H185*200-SUM(K185:L185))),IF(E185="新倉",-SUM(K185:L185),IF(F185="賣",(I185-I184)*H185*50-SUM(K185:L185),(I184-I185)*H185*50-SUM(K185:L185)))))</f>
        <v/>
      </c>
      <c r="N185" s="743">
        <f>M185</f>
        <v/>
      </c>
      <c r="O185" s="764">
        <f>IF(C185="TXO","",IF(E185="新倉","",IF(F185="賣",(I185-I184)*H185,(I184-I185)*H185)))</f>
        <v/>
      </c>
      <c r="P185" s="334">
        <f>ABS(J185)</f>
        <v/>
      </c>
      <c r="Q185" s="764" t="n"/>
      <c r="R185" s="230" t="inlineStr">
        <is>
          <t>設移動提利，賣太早</t>
        </is>
      </c>
      <c r="S185" s="739" t="n"/>
      <c r="T185" s="61" t="n"/>
      <c r="U185" s="61" t="n"/>
      <c r="V185" s="61" t="n"/>
      <c r="W185" s="61" t="n"/>
      <c r="X185" s="61" t="n"/>
      <c r="Y185" s="61" t="n"/>
      <c r="Z185" s="61" t="n"/>
    </row>
    <row r="186" hidden="1" outlineLevel="2" ht="17.25" customHeight="1" thickBot="1">
      <c r="B186" s="740" t="n">
        <v>43026</v>
      </c>
      <c r="C186" s="299" t="inlineStr">
        <is>
          <t>TXO</t>
        </is>
      </c>
      <c r="D186" s="300" t="inlineStr">
        <is>
          <t>台指選 10 10700 P</t>
        </is>
      </c>
      <c r="E186" s="300" t="inlineStr">
        <is>
          <t>新倉</t>
        </is>
      </c>
      <c r="F186" s="301" t="inlineStr">
        <is>
          <t>買</t>
        </is>
      </c>
      <c r="G186" s="300" t="inlineStr">
        <is>
          <t>-</t>
        </is>
      </c>
      <c r="H186" s="741" t="n">
        <v>1</v>
      </c>
      <c r="I186" s="765" t="n">
        <v>5.2</v>
      </c>
      <c r="J186" s="741" t="n">
        <v>-260</v>
      </c>
      <c r="K186" s="742" t="n">
        <v>18</v>
      </c>
      <c r="L186" s="742" t="n">
        <v>0</v>
      </c>
      <c r="M186" s="742">
        <f>IF(C186="TXO",J186-SUM(K186:L186),IF(C186="FITX",IF(E186="新倉",-SUM(K186:L186),IF(F186="賣",(I186-I185)*H186*200-SUM(K186:L186),(I185-I186)*H186*200-SUM(K186:L186))),IF(E186="新倉",-SUM(K186:L186),IF(F186="賣",(I186-I185)*H186*50-SUM(K186:L186),(I185-I186)*H186*50-SUM(K186:L186)))))</f>
        <v/>
      </c>
      <c r="N186" s="743">
        <f>M186</f>
        <v/>
      </c>
      <c r="O186" s="764">
        <f>IF(C186="TXO","",IF(E186="新倉","",IF(F186="賣",(I186-I185)*H186,(I185-I186)*H186)))</f>
        <v/>
      </c>
      <c r="P186" s="334">
        <f>ABS(J186)</f>
        <v/>
      </c>
      <c r="Q186" s="764" t="n"/>
      <c r="S186" s="739" t="n"/>
      <c r="T186" s="61" t="n"/>
      <c r="U186" s="61" t="n"/>
      <c r="V186" s="61" t="n"/>
      <c r="W186" s="61" t="n"/>
      <c r="X186" s="61" t="n"/>
      <c r="Y186" s="61" t="n"/>
      <c r="Z186" s="61" t="n"/>
    </row>
    <row r="187" hidden="1" outlineLevel="2" ht="17.25" customHeight="1" thickBot="1">
      <c r="B187" s="740" t="n">
        <v>43026</v>
      </c>
      <c r="C187" s="299" t="inlineStr">
        <is>
          <t>TXO</t>
        </is>
      </c>
      <c r="D187" s="300" t="inlineStr">
        <is>
          <t>台指選 10 10700 P</t>
        </is>
      </c>
      <c r="E187" s="300" t="inlineStr">
        <is>
          <t>平倉</t>
        </is>
      </c>
      <c r="F187" s="301" t="inlineStr">
        <is>
          <t>賣</t>
        </is>
      </c>
      <c r="G187" s="300" t="inlineStr">
        <is>
          <t>-</t>
        </is>
      </c>
      <c r="H187" s="741" t="n">
        <v>1</v>
      </c>
      <c r="I187" s="765" t="n">
        <v>4.5</v>
      </c>
      <c r="J187" s="741" t="n">
        <v>225</v>
      </c>
      <c r="K187" s="742" t="n">
        <v>18</v>
      </c>
      <c r="L187" s="742" t="n">
        <v>0</v>
      </c>
      <c r="M187" s="742">
        <f>IF(C187="TXO",J187-SUM(K187:L187),IF(C187="FITX",IF(E187="新倉",-SUM(K187:L187),IF(F187="賣",(I187-I186)*H187*200-SUM(K187:L187),(I186-I187)*H187*200-SUM(K187:L187))),IF(E187="新倉",-SUM(K187:L187),IF(F187="賣",(I187-I186)*H187*50-SUM(K187:L187),(I186-I187)*H187*50-SUM(K187:L187)))))</f>
        <v/>
      </c>
      <c r="N187" s="743">
        <f>M187</f>
        <v/>
      </c>
      <c r="O187" s="764">
        <f>IF(C187="TXO","",IF(E187="新倉","",IF(F187="賣",(I187-I186)*H187,(I186-I187)*H187)))</f>
        <v/>
      </c>
      <c r="P187" s="334">
        <f>ABS(J187)</f>
        <v/>
      </c>
      <c r="Q187" s="764" t="n"/>
      <c r="R187" s="230" t="inlineStr">
        <is>
          <t>賣太早</t>
        </is>
      </c>
      <c r="S187" s="739" t="n"/>
      <c r="T187" s="61" t="n"/>
      <c r="U187" s="61" t="n"/>
      <c r="V187" s="61" t="n"/>
      <c r="W187" s="61" t="n"/>
      <c r="X187" s="61" t="n"/>
      <c r="Y187" s="61" t="n"/>
      <c r="Z187" s="61" t="n"/>
    </row>
    <row r="188" hidden="1" outlineLevel="1" collapsed="1" ht="17.25" customHeight="1" thickBot="1">
      <c r="B188" s="766" t="n">
        <v>43033</v>
      </c>
      <c r="C188" s="337" t="inlineStr">
        <is>
          <t>TXO</t>
        </is>
      </c>
      <c r="D188" s="338" t="inlineStr">
        <is>
          <t>TXOW4 10 10700 P</t>
        </is>
      </c>
      <c r="E188" s="338" t="inlineStr">
        <is>
          <t>新倉</t>
        </is>
      </c>
      <c r="F188" s="338" t="inlineStr">
        <is>
          <t>買</t>
        </is>
      </c>
      <c r="G188" s="338" t="inlineStr">
        <is>
          <t>-</t>
        </is>
      </c>
      <c r="H188" s="767" t="n">
        <v>1</v>
      </c>
      <c r="I188" s="768" t="n">
        <v>2.8</v>
      </c>
      <c r="J188" s="767" t="n">
        <v>-140</v>
      </c>
      <c r="K188" s="769" t="n">
        <v>18</v>
      </c>
      <c r="L188" s="769" t="n">
        <v>0</v>
      </c>
      <c r="M188" s="585">
        <f>IF(C188="TXO",J188-SUM(K188:L188),IF(C188="FITX",IF(E188="新倉",-SUM(K188:L188),IF(F188="賣",(I188-I187)*H188*200-SUM(K188:L188),(I187-I188)*H188*200-SUM(K188:L188))),IF(E188="新倉",-SUM(K188:L188),IF(F188="賣",(I188-I187)*H188*50-SUM(K188:L188),(I187-I188)*H188*50-SUM(K188:L188)))))</f>
        <v/>
      </c>
      <c r="N188" s="699">
        <f>M188</f>
        <v/>
      </c>
      <c r="O188" s="686">
        <f>IF(C188="TXO","",IF(E188="新倉","",IF(F188="賣",(I188-I187)*H188,(I187-I188)*H188)))</f>
        <v/>
      </c>
      <c r="P188" s="334">
        <f>ABS(J188)</f>
        <v/>
      </c>
      <c r="Q188" s="667">
        <f>SUM(M188:M198)</f>
        <v/>
      </c>
      <c r="S188" s="61" t="n"/>
      <c r="T188" s="61" t="n"/>
      <c r="U188" s="61" t="n"/>
      <c r="V188" s="61" t="n"/>
      <c r="W188" s="61" t="n"/>
      <c r="X188" s="61" t="n"/>
      <c r="Y188" s="61" t="n"/>
      <c r="Z188" s="61" t="n"/>
    </row>
    <row r="189" hidden="1" outlineLevel="2" collapsed="1" ht="17.25" customHeight="1" thickBot="1">
      <c r="B189" s="766" t="n">
        <v>43033</v>
      </c>
      <c r="C189" s="337" t="inlineStr">
        <is>
          <t>TXO</t>
        </is>
      </c>
      <c r="D189" s="338" t="inlineStr">
        <is>
          <t>TXOW4 10 10700 P</t>
        </is>
      </c>
      <c r="E189" s="338" t="inlineStr">
        <is>
          <t>新倉</t>
        </is>
      </c>
      <c r="F189" s="338" t="inlineStr">
        <is>
          <t>買</t>
        </is>
      </c>
      <c r="G189" s="338" t="inlineStr">
        <is>
          <t>-</t>
        </is>
      </c>
      <c r="H189" s="767" t="n">
        <v>5</v>
      </c>
      <c r="I189" s="768" t="n">
        <v>2.3</v>
      </c>
      <c r="J189" s="767" t="n">
        <v>-575</v>
      </c>
      <c r="K189" s="769" t="n">
        <v>90</v>
      </c>
      <c r="L189" s="769" t="n">
        <v>0</v>
      </c>
      <c r="M189" s="585">
        <f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/>
      </c>
      <c r="N189" s="699">
        <f>M189</f>
        <v/>
      </c>
      <c r="O189" s="686">
        <f>IF(C189="TXO","",IF(E189="新倉","",IF(F189="賣",(I189-I188)*H189,(I188-I189)*H189)))</f>
        <v/>
      </c>
      <c r="P189" s="334">
        <f>ABS(J189)</f>
        <v/>
      </c>
      <c r="Q189" s="667" t="n"/>
      <c r="S189" s="61" t="n"/>
      <c r="T189" s="61" t="n"/>
      <c r="U189" s="61" t="n"/>
      <c r="V189" s="61" t="n"/>
      <c r="W189" s="61" t="n"/>
      <c r="X189" s="61" t="n"/>
      <c r="Y189" s="61" t="n"/>
      <c r="Z189" s="61" t="n"/>
    </row>
    <row r="190" hidden="1" outlineLevel="2" collapsed="1" ht="17.25" customHeight="1" thickBot="1">
      <c r="B190" s="766" t="n">
        <v>43033</v>
      </c>
      <c r="C190" s="337" t="inlineStr">
        <is>
          <t>TXO</t>
        </is>
      </c>
      <c r="D190" s="338" t="inlineStr">
        <is>
          <t>TXOW4 10 10700 P</t>
        </is>
      </c>
      <c r="E190" s="338" t="inlineStr">
        <is>
          <t>新倉</t>
        </is>
      </c>
      <c r="F190" s="338" t="inlineStr">
        <is>
          <t>買</t>
        </is>
      </c>
      <c r="G190" s="338" t="inlineStr">
        <is>
          <t>-</t>
        </is>
      </c>
      <c r="H190" s="767" t="n">
        <v>1</v>
      </c>
      <c r="I190" s="768" t="n">
        <v>1.9</v>
      </c>
      <c r="J190" s="767" t="n">
        <v>-95</v>
      </c>
      <c r="K190" s="769" t="n">
        <v>18</v>
      </c>
      <c r="L190" s="769" t="n">
        <v>0</v>
      </c>
      <c r="M190" s="585">
        <f>IF(C190="TXO",J190-SUM(K190:L190),IF(C190="FITX",IF(E190="新倉",-SUM(K190:L190),IF(F190="賣",(I190-I189)*H190*200-SUM(K190:L190),(I189-I190)*H190*200-SUM(K190:L190))),IF(E190="新倉",-SUM(K190:L190),IF(F190="賣",(I190-I189)*H190*50-SUM(K190:L190),(I189-I190)*H190*50-SUM(K190:L190)))))</f>
        <v/>
      </c>
      <c r="N190" s="699">
        <f>M190</f>
        <v/>
      </c>
      <c r="O190" s="686">
        <f>IF(C190="TXO","",IF(E190="新倉","",IF(F190="賣",(I190-I189)*H190,(I189-I190)*H190)))</f>
        <v/>
      </c>
      <c r="P190" s="334">
        <f>ABS(J190)</f>
        <v/>
      </c>
      <c r="Q190" s="667" t="n"/>
      <c r="S190" s="61" t="n"/>
      <c r="T190" s="61" t="n"/>
      <c r="U190" s="61" t="n"/>
      <c r="V190" s="61" t="n"/>
      <c r="W190" s="61" t="n"/>
      <c r="X190" s="61" t="n"/>
      <c r="Y190" s="61" t="n"/>
      <c r="Z190" s="61" t="n"/>
    </row>
    <row r="191" hidden="1" outlineLevel="2" collapsed="1" ht="17.25" customHeight="1" thickBot="1">
      <c r="B191" s="766" t="n">
        <v>43033</v>
      </c>
      <c r="C191" s="337" t="inlineStr">
        <is>
          <t>TXO</t>
        </is>
      </c>
      <c r="D191" s="338" t="inlineStr">
        <is>
          <t>TXOW4 10 10700 P</t>
        </is>
      </c>
      <c r="E191" s="338" t="inlineStr">
        <is>
          <t>新倉</t>
        </is>
      </c>
      <c r="F191" s="338" t="inlineStr">
        <is>
          <t>買</t>
        </is>
      </c>
      <c r="G191" s="338" t="inlineStr">
        <is>
          <t>-</t>
        </is>
      </c>
      <c r="H191" s="767" t="n">
        <v>1</v>
      </c>
      <c r="I191" s="768" t="n">
        <v>1.7</v>
      </c>
      <c r="J191" s="767" t="n">
        <v>-85</v>
      </c>
      <c r="K191" s="769" t="n">
        <v>18</v>
      </c>
      <c r="L191" s="769" t="n">
        <v>0</v>
      </c>
      <c r="M191" s="585">
        <f>IF(C191="TXO",J191-SUM(K191:L191),IF(C191="FITX",IF(E191="新倉",-SUM(K191:L191),IF(F191="賣",(I191-I190)*H191*200-SUM(K191:L191),(I190-I191)*H191*200-SUM(K191:L191))),IF(E191="新倉",-SUM(K191:L191),IF(F191="賣",(I191-I190)*H191*50-SUM(K191:L191),(I190-I191)*H191*50-SUM(K191:L191)))))</f>
        <v/>
      </c>
      <c r="N191" s="699">
        <f>M191</f>
        <v/>
      </c>
      <c r="O191" s="686">
        <f>IF(C191="TXO","",IF(E191="新倉","",IF(F191="賣",(I191-I190)*H191,(I190-I191)*H191)))</f>
        <v/>
      </c>
      <c r="P191" s="334">
        <f>ABS(J191)</f>
        <v/>
      </c>
      <c r="Q191" s="667" t="n"/>
      <c r="S191" s="61" t="n"/>
      <c r="T191" s="61" t="n"/>
      <c r="U191" s="61" t="n"/>
      <c r="V191" s="61" t="n"/>
      <c r="W191" s="61" t="n"/>
      <c r="X191" s="61" t="n"/>
      <c r="Y191" s="61" t="n"/>
      <c r="Z191" s="61" t="n"/>
    </row>
    <row r="192" hidden="1" outlineLevel="2" collapsed="1" ht="17.25" customHeight="1" thickBot="1">
      <c r="B192" s="766" t="n">
        <v>43033</v>
      </c>
      <c r="C192" s="337" t="inlineStr">
        <is>
          <t>TXO</t>
        </is>
      </c>
      <c r="D192" s="338" t="inlineStr">
        <is>
          <t>TXOW4 10 10700 P</t>
        </is>
      </c>
      <c r="E192" s="338" t="inlineStr">
        <is>
          <t>新倉</t>
        </is>
      </c>
      <c r="F192" s="338" t="inlineStr">
        <is>
          <t>買</t>
        </is>
      </c>
      <c r="G192" s="338" t="inlineStr">
        <is>
          <t>-</t>
        </is>
      </c>
      <c r="H192" s="767" t="n">
        <v>9</v>
      </c>
      <c r="I192" s="768" t="n">
        <v>1.3</v>
      </c>
      <c r="J192" s="767" t="n">
        <v>-585</v>
      </c>
      <c r="K192" s="769" t="n">
        <v>162</v>
      </c>
      <c r="L192" s="769" t="n">
        <v>0</v>
      </c>
      <c r="M192" s="585">
        <f>IF(C192="TXO",J192-SUM(K192:L192),IF(C192="FITX",IF(E192="新倉",-SUM(K192:L192),IF(F192="賣",(I192-I191)*H192*200-SUM(K192:L192),(I191-I192)*H192*200-SUM(K192:L192))),IF(E192="新倉",-SUM(K192:L192),IF(F192="賣",(I192-I191)*H192*50-SUM(K192:L192),(I191-I192)*H192*50-SUM(K192:L192)))))</f>
        <v/>
      </c>
      <c r="N192" s="699">
        <f>M192</f>
        <v/>
      </c>
      <c r="O192" s="686">
        <f>IF(C192="TXO","",IF(E192="新倉","",IF(F192="賣",(I192-I191)*H192,(I191-I192)*H192)))</f>
        <v/>
      </c>
      <c r="P192" s="334">
        <f>ABS(J192)</f>
        <v/>
      </c>
      <c r="Q192" s="667" t="n"/>
      <c r="S192" s="61" t="n"/>
      <c r="T192" s="61" t="n"/>
      <c r="U192" s="61" t="n"/>
      <c r="V192" s="61" t="n"/>
      <c r="W192" s="61" t="n"/>
      <c r="X192" s="61" t="n"/>
      <c r="Y192" s="61" t="n"/>
      <c r="Z192" s="61" t="n"/>
    </row>
    <row r="193" hidden="1" outlineLevel="2" collapsed="1" ht="17.25" customHeight="1" thickBot="1">
      <c r="B193" s="766" t="n">
        <v>43033</v>
      </c>
      <c r="C193" s="337" t="inlineStr">
        <is>
          <t>TXO</t>
        </is>
      </c>
      <c r="D193" s="338" t="inlineStr">
        <is>
          <t>TXOW4 10 10700 P</t>
        </is>
      </c>
      <c r="E193" s="338" t="inlineStr">
        <is>
          <t>新倉</t>
        </is>
      </c>
      <c r="F193" s="338" t="inlineStr">
        <is>
          <t>買</t>
        </is>
      </c>
      <c r="G193" s="338" t="inlineStr">
        <is>
          <t>-</t>
        </is>
      </c>
      <c r="H193" s="767" t="n">
        <v>1</v>
      </c>
      <c r="I193" s="768" t="n">
        <v>1.3</v>
      </c>
      <c r="J193" s="767" t="n">
        <v>-65</v>
      </c>
      <c r="K193" s="769" t="n">
        <v>18</v>
      </c>
      <c r="L193" s="769" t="n">
        <v>0</v>
      </c>
      <c r="M193" s="585">
        <f>IF(C193="TXO",J193-SUM(K193:L193),IF(C193="FITX",IF(E193="新倉",-SUM(K193:L193),IF(F193="賣",(I193-I192)*H193*200-SUM(K193:L193),(I192-I193)*H193*200-SUM(K193:L193))),IF(E193="新倉",-SUM(K193:L193),IF(F193="賣",(I193-I192)*H193*50-SUM(K193:L193),(I192-I193)*H193*50-SUM(K193:L193)))))</f>
        <v/>
      </c>
      <c r="N193" s="699">
        <f>M193</f>
        <v/>
      </c>
      <c r="O193" s="686">
        <f>IF(C193="TXO","",IF(E193="新倉","",IF(F193="賣",(I193-I192)*H193,(I192-I193)*H193)))</f>
        <v/>
      </c>
      <c r="P193" s="334">
        <f>ABS(J193)</f>
        <v/>
      </c>
      <c r="Q193" s="667" t="n"/>
      <c r="S193" s="61" t="n"/>
      <c r="T193" s="61" t="n"/>
      <c r="U193" s="61" t="n"/>
      <c r="V193" s="61" t="n"/>
      <c r="W193" s="61" t="n"/>
      <c r="X193" s="61" t="n"/>
      <c r="Y193" s="61" t="n"/>
      <c r="Z193" s="61" t="n"/>
    </row>
    <row r="194" hidden="1" outlineLevel="2" collapsed="1" ht="17.25" customHeight="1" thickBot="1">
      <c r="B194" s="766" t="n">
        <v>43033</v>
      </c>
      <c r="C194" s="337" t="inlineStr">
        <is>
          <t>TXO</t>
        </is>
      </c>
      <c r="D194" s="338" t="inlineStr">
        <is>
          <t>TXOW4 10 10700 P</t>
        </is>
      </c>
      <c r="E194" s="338" t="inlineStr">
        <is>
          <t>新倉</t>
        </is>
      </c>
      <c r="F194" s="338" t="inlineStr">
        <is>
          <t>買</t>
        </is>
      </c>
      <c r="G194" s="338" t="inlineStr">
        <is>
          <t>-</t>
        </is>
      </c>
      <c r="H194" s="767" t="n">
        <v>8</v>
      </c>
      <c r="I194" s="768" t="n">
        <v>0.7</v>
      </c>
      <c r="J194" s="767" t="n">
        <v>-280</v>
      </c>
      <c r="K194" s="769" t="n">
        <v>144</v>
      </c>
      <c r="L194" s="769" t="n">
        <v>0</v>
      </c>
      <c r="M194" s="585">
        <f>IF(C194="TXO",J194-SUM(K194:L194),IF(C194="FITX",IF(E194="新倉",-SUM(K194:L194),IF(F194="賣",(I194-I193)*H194*200-SUM(K194:L194),(I193-I194)*H194*200-SUM(K194:L194))),IF(E194="新倉",-SUM(K194:L194),IF(F194="賣",(I194-I193)*H194*50-SUM(K194:L194),(I193-I194)*H194*50-SUM(K194:L194)))))</f>
        <v/>
      </c>
      <c r="N194" s="699">
        <f>M194</f>
        <v/>
      </c>
      <c r="O194" s="686">
        <f>IF(C194="TXO","",IF(E194="新倉","",IF(F194="賣",(I194-I193)*H194,(I193-I194)*H194)))</f>
        <v/>
      </c>
      <c r="P194" s="334">
        <f>ABS(J194)</f>
        <v/>
      </c>
      <c r="Q194" s="667" t="n"/>
      <c r="S194" s="61" t="n"/>
      <c r="T194" s="61" t="n"/>
      <c r="U194" s="61" t="n"/>
      <c r="V194" s="61" t="n"/>
      <c r="W194" s="61" t="n"/>
      <c r="X194" s="61" t="n"/>
      <c r="Y194" s="61" t="n"/>
      <c r="Z194" s="61" t="n"/>
    </row>
    <row r="195" hidden="1" outlineLevel="2" collapsed="1" ht="17.25" customHeight="1" thickBot="1">
      <c r="B195" s="766" t="n">
        <v>43033</v>
      </c>
      <c r="C195" s="337" t="inlineStr">
        <is>
          <t>TXO</t>
        </is>
      </c>
      <c r="D195" s="338" t="inlineStr">
        <is>
          <t>TXOW4 10 10700 P</t>
        </is>
      </c>
      <c r="E195" s="338" t="inlineStr">
        <is>
          <t>新倉</t>
        </is>
      </c>
      <c r="F195" s="338" t="inlineStr">
        <is>
          <t>買</t>
        </is>
      </c>
      <c r="G195" s="338" t="inlineStr">
        <is>
          <t>-</t>
        </is>
      </c>
      <c r="H195" s="767" t="n">
        <v>1</v>
      </c>
      <c r="I195" s="768" t="n">
        <v>0.7</v>
      </c>
      <c r="J195" s="767" t="n">
        <v>-35</v>
      </c>
      <c r="K195" s="769" t="n">
        <v>18</v>
      </c>
      <c r="L195" s="769" t="n">
        <v>0</v>
      </c>
      <c r="M195" s="585">
        <f>IF(C195="TXO",J195-SUM(K195:L195),IF(C195="FITX",IF(E195="新倉",-SUM(K195:L195),IF(F195="賣",(I195-I194)*H195*200-SUM(K195:L195),(I194-I195)*H195*200-SUM(K195:L195))),IF(E195="新倉",-SUM(K195:L195),IF(F195="賣",(I195-I194)*H195*50-SUM(K195:L195),(I194-I195)*H195*50-SUM(K195:L195)))))</f>
        <v/>
      </c>
      <c r="N195" s="699">
        <f>M195</f>
        <v/>
      </c>
      <c r="O195" s="686">
        <f>IF(C195="TXO","",IF(E195="新倉","",IF(F195="賣",(I195-I194)*H195,(I194-I195)*H195)))</f>
        <v/>
      </c>
      <c r="P195" s="334">
        <f>ABS(J195)</f>
        <v/>
      </c>
      <c r="Q195" s="667" t="n"/>
      <c r="S195" s="61" t="n"/>
      <c r="T195" s="61" t="n"/>
      <c r="U195" s="61" t="n"/>
      <c r="V195" s="61" t="n"/>
      <c r="W195" s="61" t="n"/>
      <c r="X195" s="61" t="n"/>
      <c r="Y195" s="61" t="n"/>
      <c r="Z195" s="61" t="n"/>
    </row>
    <row r="196" hidden="1" outlineLevel="2" collapsed="1" ht="17.25" customHeight="1" thickBot="1">
      <c r="B196" s="766" t="n">
        <v>43033</v>
      </c>
      <c r="C196" s="337" t="inlineStr">
        <is>
          <t>TXO</t>
        </is>
      </c>
      <c r="D196" s="338" t="inlineStr">
        <is>
          <t>TXOW4 10 10700 P</t>
        </is>
      </c>
      <c r="E196" s="338" t="inlineStr">
        <is>
          <t>新倉</t>
        </is>
      </c>
      <c r="F196" s="338" t="inlineStr">
        <is>
          <t>買</t>
        </is>
      </c>
      <c r="G196" s="338" t="inlineStr">
        <is>
          <t>-</t>
        </is>
      </c>
      <c r="H196" s="767" t="n">
        <v>1</v>
      </c>
      <c r="I196" s="768" t="n">
        <v>0.7</v>
      </c>
      <c r="J196" s="767" t="n">
        <v>-35</v>
      </c>
      <c r="K196" s="769" t="n">
        <v>18</v>
      </c>
      <c r="L196" s="769" t="n">
        <v>0</v>
      </c>
      <c r="M196" s="585">
        <f>IF(C196="TXO",J196-SUM(K196:L196),IF(C196="FITX",IF(E196="新倉",-SUM(K196:L196),IF(F196="賣",(I196-I195)*H196*200-SUM(K196:L196),(I195-I196)*H196*200-SUM(K196:L196))),IF(E196="新倉",-SUM(K196:L196),IF(F196="賣",(I196-I195)*H196*50-SUM(K196:L196),(I195-I196)*H196*50-SUM(K196:L196)))))</f>
        <v/>
      </c>
      <c r="N196" s="699">
        <f>M196</f>
        <v/>
      </c>
      <c r="O196" s="686">
        <f>IF(C196="TXO","",IF(E196="新倉","",IF(F196="賣",(I196-I195)*H196,(I195-I196)*H196)))</f>
        <v/>
      </c>
      <c r="P196" s="334">
        <f>ABS(J196)</f>
        <v/>
      </c>
      <c r="Q196" s="667" t="n"/>
      <c r="S196" s="61" t="n"/>
      <c r="T196" s="61" t="n"/>
      <c r="U196" s="61" t="n"/>
      <c r="V196" s="61" t="n"/>
      <c r="W196" s="61" t="n"/>
      <c r="X196" s="61" t="n"/>
      <c r="Y196" s="61" t="n"/>
      <c r="Z196" s="61" t="n"/>
    </row>
    <row r="197" hidden="1" outlineLevel="2" collapsed="1" ht="17.25" customHeight="1" thickBot="1">
      <c r="B197" s="766" t="n">
        <v>43033</v>
      </c>
      <c r="C197" s="337" t="inlineStr">
        <is>
          <t>TXO</t>
        </is>
      </c>
      <c r="D197" s="338" t="inlineStr">
        <is>
          <t>TXOW4 10 10700 P</t>
        </is>
      </c>
      <c r="E197" s="338" t="inlineStr">
        <is>
          <t>平倉</t>
        </is>
      </c>
      <c r="F197" s="338" t="inlineStr">
        <is>
          <t>賣</t>
        </is>
      </c>
      <c r="G197" s="338" t="inlineStr">
        <is>
          <t>-</t>
        </is>
      </c>
      <c r="H197" s="767" t="n">
        <v>1</v>
      </c>
      <c r="I197" s="768" t="n">
        <v>1.9</v>
      </c>
      <c r="J197" s="767" t="n">
        <v>95</v>
      </c>
      <c r="K197" s="769" t="n">
        <v>18</v>
      </c>
      <c r="L197" s="769" t="n">
        <v>0</v>
      </c>
      <c r="M197" s="585">
        <f>IF(C197="TXO",J197-SUM(K197:L197),IF(C197="FITX",IF(E197="新倉",-SUM(K197:L197),IF(F197="賣",(I197-I196)*H197*200-SUM(K197:L197),(I196-I197)*H197*200-SUM(K197:L197))),IF(E197="新倉",-SUM(K197:L197),IF(F197="賣",(I197-I196)*H197*50-SUM(K197:L197),(I196-I197)*H197*50-SUM(K197:L197)))))</f>
        <v/>
      </c>
      <c r="N197" s="699">
        <f>M197</f>
        <v/>
      </c>
      <c r="O197" s="686">
        <f>IF(C197="TXO","",IF(E197="新倉","",IF(F197="賣",(I197-I196)*H197,(I196-I197)*H197)))</f>
        <v/>
      </c>
      <c r="P197" s="334">
        <f>ABS(J197)</f>
        <v/>
      </c>
      <c r="Q197" s="667" t="n"/>
      <c r="R197" s="230" t="inlineStr">
        <is>
          <t>設移動提利，口數錯誤</t>
        </is>
      </c>
      <c r="S197" s="61" t="n"/>
      <c r="T197" s="61" t="n"/>
      <c r="U197" s="61" t="n"/>
      <c r="V197" s="61" t="n"/>
      <c r="W197" s="61" t="n"/>
      <c r="X197" s="61" t="n"/>
      <c r="Y197" s="61" t="n"/>
      <c r="Z197" s="61" t="n"/>
    </row>
    <row r="198" hidden="1" outlineLevel="2" collapsed="1" ht="17.25" customHeight="1" thickBot="1">
      <c r="B198" s="766" t="n">
        <v>43033</v>
      </c>
      <c r="C198" s="337" t="inlineStr">
        <is>
          <t>TXO</t>
        </is>
      </c>
      <c r="D198" s="338" t="inlineStr">
        <is>
          <t>TXOW4 10 10700 P</t>
        </is>
      </c>
      <c r="E198" s="338" t="inlineStr">
        <is>
          <t>平倉</t>
        </is>
      </c>
      <c r="F198" s="338" t="inlineStr">
        <is>
          <t>賣</t>
        </is>
      </c>
      <c r="G198" s="338" t="inlineStr">
        <is>
          <t>-</t>
        </is>
      </c>
      <c r="H198" s="767" t="n">
        <v>27</v>
      </c>
      <c r="I198" s="768" t="n">
        <v>1.4</v>
      </c>
      <c r="J198" s="767" t="n">
        <v>1890</v>
      </c>
      <c r="K198" s="769" t="n">
        <v>486</v>
      </c>
      <c r="L198" s="769" t="n">
        <v>0</v>
      </c>
      <c r="M198" s="585">
        <f>IF(C198="TXO",J198-SUM(K198:L198),IF(C198="FITX",IF(E198="新倉",-SUM(K198:L198),IF(F198="賣",(I198-I197)*H198*200-SUM(K198:L198),(I197-I198)*H198*200-SUM(K198:L198))),IF(E198="新倉",-SUM(K198:L198),IF(F198="賣",(I198-I197)*H198*50-SUM(K198:L198),(I197-I198)*H198*50-SUM(K198:L198)))))</f>
        <v/>
      </c>
      <c r="N198" s="699">
        <f>M198</f>
        <v/>
      </c>
      <c r="O198" s="686">
        <f>IF(C198="TXO","",IF(E198="新倉","",IF(F198="賣",(I198-I197)*H198,(I197-I198)*H198)))</f>
        <v/>
      </c>
      <c r="P198" s="334">
        <f>ABS(J198)</f>
        <v/>
      </c>
      <c r="Q198" s="667" t="n"/>
      <c r="R198" s="230" t="inlineStr">
        <is>
          <t>接近平盤就應平倉，賣太慢</t>
        </is>
      </c>
      <c r="S198" s="61" t="n"/>
      <c r="T198" s="61" t="n"/>
      <c r="U198" s="61" t="n"/>
      <c r="V198" s="61" t="n"/>
      <c r="W198" s="61" t="n"/>
      <c r="X198" s="61" t="n"/>
      <c r="Y198" s="61" t="n"/>
      <c r="Z198" s="61" t="n"/>
    </row>
    <row r="199" hidden="1" outlineLevel="1" ht="17.25" customHeight="1" thickBot="1">
      <c r="B199" s="740" t="n">
        <v>43035</v>
      </c>
      <c r="C199" s="299" t="inlineStr">
        <is>
          <t>FIMTX</t>
        </is>
      </c>
      <c r="D199" s="300" t="inlineStr">
        <is>
          <t>小指11</t>
        </is>
      </c>
      <c r="E199" s="300" t="inlineStr">
        <is>
          <t>新倉</t>
        </is>
      </c>
      <c r="F199" s="301" t="inlineStr">
        <is>
          <t>賣</t>
        </is>
      </c>
      <c r="G199" s="300" t="inlineStr">
        <is>
          <t>-</t>
        </is>
      </c>
      <c r="H199" s="741" t="n">
        <v>1</v>
      </c>
      <c r="I199" s="765" t="n">
        <v>10768</v>
      </c>
      <c r="J199" s="741" t="n">
        <v>0</v>
      </c>
      <c r="K199" s="742" t="n">
        <v>23</v>
      </c>
      <c r="L199" s="742" t="n">
        <v>11</v>
      </c>
      <c r="M199" s="742">
        <f>IF(C199="TXO",J199-SUM(K199:L199),IF(C199="FITX",IF(E199="新倉",-SUM(K199:L199),IF(F199="賣",(I199-I198)*H199*200-SUM(K199:L199),(I198-I199)*H199*200-SUM(K199:L199))),IF(E199="新倉",-SUM(K199:L199),IF(F199="賣",(I199-I198)*H199*50-SUM(K199:L199),(I198-I199)*H199*50-SUM(K199:L199)))))</f>
        <v/>
      </c>
      <c r="N199" s="743">
        <f>M199</f>
        <v/>
      </c>
      <c r="O199" s="764">
        <f>IF(C199="TXO","",IF(E199="新倉","",IF(F199="賣",(I199-I198)*H199,(I198-I199)*H199)))</f>
        <v/>
      </c>
      <c r="P199" s="334">
        <f>ABS(J199)</f>
        <v/>
      </c>
      <c r="Q199" s="764">
        <f>SUM(M199:M204)</f>
        <v/>
      </c>
      <c r="S199" s="739" t="n"/>
      <c r="T199" s="61" t="n"/>
      <c r="U199" s="61" t="n"/>
      <c r="V199" s="61" t="n"/>
      <c r="W199" s="61" t="n"/>
      <c r="X199" s="61" t="n"/>
      <c r="Y199" s="61" t="n"/>
      <c r="Z199" s="61" t="n"/>
    </row>
    <row r="200" hidden="1" outlineLevel="2" collapsed="1" ht="17.25" customHeight="1" thickBot="1">
      <c r="B200" s="740" t="n">
        <v>43035</v>
      </c>
      <c r="C200" s="299" t="inlineStr">
        <is>
          <t>FIMTX</t>
        </is>
      </c>
      <c r="D200" s="300" t="inlineStr">
        <is>
          <t>小指11</t>
        </is>
      </c>
      <c r="E200" s="300" t="inlineStr">
        <is>
          <t>平倉</t>
        </is>
      </c>
      <c r="F200" s="301" t="inlineStr">
        <is>
          <t>買</t>
        </is>
      </c>
      <c r="G200" s="300" t="inlineStr">
        <is>
          <t>-</t>
        </is>
      </c>
      <c r="H200" s="741" t="n">
        <v>1</v>
      </c>
      <c r="I200" s="765" t="n">
        <v>10769</v>
      </c>
      <c r="J200" s="741" t="n">
        <v>0</v>
      </c>
      <c r="K200" s="742" t="n">
        <v>23</v>
      </c>
      <c r="L200" s="742" t="n">
        <v>11</v>
      </c>
      <c r="M200" s="742">
        <f>IF(C200="TXO",J200-SUM(K200:L200),IF(C200="FITX",IF(E200="新倉",-SUM(K200:L200),IF(F200="賣",(I200-I199)*H200*200-SUM(K200:L200),(I199-I200)*H200*200-SUM(K200:L200))),IF(E200="新倉",-SUM(K200:L200),IF(F200="賣",(I200-I199)*H200*50-SUM(K200:L200),(I199-I200)*H200*50-SUM(K200:L200)))))</f>
        <v/>
      </c>
      <c r="N200" s="743">
        <f>M200</f>
        <v/>
      </c>
      <c r="O200" s="764">
        <f>IF(C200="TXO","",IF(E200="新倉","",IF(F200="賣",(I200-I199)*H200,(I199-I200)*H200)))</f>
        <v/>
      </c>
      <c r="P200" s="334">
        <f>ABS(J200)</f>
        <v/>
      </c>
      <c r="Q200" s="764" t="n"/>
      <c r="S200" s="739" t="n"/>
      <c r="T200" s="61" t="n"/>
      <c r="U200" s="61" t="n"/>
      <c r="V200" s="61" t="n"/>
      <c r="W200" s="61" t="n"/>
      <c r="X200" s="61" t="n"/>
      <c r="Y200" s="61" t="n"/>
      <c r="Z200" s="61" t="n"/>
    </row>
    <row r="201" hidden="1" outlineLevel="2" collapsed="1" ht="17.25" customHeight="1" thickBot="1">
      <c r="B201" s="740" t="n">
        <v>43035</v>
      </c>
      <c r="C201" s="299" t="inlineStr">
        <is>
          <t>FIMTX</t>
        </is>
      </c>
      <c r="D201" s="300" t="inlineStr">
        <is>
          <t>小指11</t>
        </is>
      </c>
      <c r="E201" s="300" t="inlineStr">
        <is>
          <t>新倉</t>
        </is>
      </c>
      <c r="F201" s="301" t="inlineStr">
        <is>
          <t>買</t>
        </is>
      </c>
      <c r="G201" s="300" t="inlineStr">
        <is>
          <t>-</t>
        </is>
      </c>
      <c r="H201" s="741" t="n">
        <v>1</v>
      </c>
      <c r="I201" s="765" t="n">
        <v>10777</v>
      </c>
      <c r="J201" s="741" t="n">
        <v>0</v>
      </c>
      <c r="K201" s="742" t="n">
        <v>23</v>
      </c>
      <c r="L201" s="742" t="n">
        <v>11</v>
      </c>
      <c r="M201" s="742">
        <f>IF(C201="TXO",J201-SUM(K201:L201),IF(C201="FITX",IF(E201="新倉",-SUM(K201:L201),IF(F201="賣",(I201-I200)*H201*200-SUM(K201:L201),(I200-I201)*H201*200-SUM(K201:L201))),IF(E201="新倉",-SUM(K201:L201),IF(F201="賣",(I201-I200)*H201*50-SUM(K201:L201),(I200-I201)*H201*50-SUM(K201:L201)))))</f>
        <v/>
      </c>
      <c r="N201" s="743">
        <f>M201</f>
        <v/>
      </c>
      <c r="O201" s="764">
        <f>IF(C201="TXO","",IF(E201="新倉","",IF(F201="賣",(I201-I200)*H201,(I200-I201)*H201)))</f>
        <v/>
      </c>
      <c r="P201" s="334">
        <f>ABS(J201)</f>
        <v/>
      </c>
      <c r="Q201" s="764" t="n"/>
      <c r="S201" s="739" t="n"/>
      <c r="T201" s="61" t="n"/>
      <c r="U201" s="61" t="n"/>
      <c r="V201" s="61" t="n"/>
      <c r="W201" s="61" t="n"/>
      <c r="X201" s="61" t="n"/>
      <c r="Y201" s="61" t="n"/>
      <c r="Z201" s="61" t="n"/>
    </row>
    <row r="202" hidden="1" outlineLevel="2" collapsed="1" ht="17.25" customHeight="1" thickBot="1">
      <c r="B202" s="740" t="n">
        <v>43035</v>
      </c>
      <c r="C202" s="299" t="inlineStr">
        <is>
          <t>FIMTX</t>
        </is>
      </c>
      <c r="D202" s="300" t="inlineStr">
        <is>
          <t>小指11</t>
        </is>
      </c>
      <c r="E202" s="300" t="inlineStr">
        <is>
          <t>平倉</t>
        </is>
      </c>
      <c r="F202" s="301" t="inlineStr">
        <is>
          <t>賣</t>
        </is>
      </c>
      <c r="G202" s="300" t="inlineStr">
        <is>
          <t>-</t>
        </is>
      </c>
      <c r="H202" s="741" t="n">
        <v>1</v>
      </c>
      <c r="I202" s="765" t="n">
        <v>10780</v>
      </c>
      <c r="J202" s="741" t="n">
        <v>0</v>
      </c>
      <c r="K202" s="742" t="n">
        <v>23</v>
      </c>
      <c r="L202" s="742" t="n">
        <v>11</v>
      </c>
      <c r="M202" s="742">
        <f>IF(C202="TXO",J202-SUM(K202:L202),IF(C202="FITX",IF(E202="新倉",-SUM(K202:L202),IF(F202="賣",(I202-I201)*H202*200-SUM(K202:L202),(I201-I202)*H202*200-SUM(K202:L202))),IF(E202="新倉",-SUM(K202:L202),IF(F202="賣",(I202-I201)*H202*50-SUM(K202:L202),(I201-I202)*H202*50-SUM(K202:L202)))))</f>
        <v/>
      </c>
      <c r="N202" s="743">
        <f>M202</f>
        <v/>
      </c>
      <c r="O202" s="764">
        <f>IF(C202="TXO","",IF(E202="新倉","",IF(F202="賣",(I202-I201)*H202,(I201-I202)*H202)))</f>
        <v/>
      </c>
      <c r="P202" s="334">
        <f>ABS(J202)</f>
        <v/>
      </c>
      <c r="Q202" s="764" t="n"/>
      <c r="S202" s="739" t="n"/>
      <c r="T202" s="61" t="n"/>
      <c r="U202" s="61" t="n"/>
      <c r="V202" s="61" t="n"/>
      <c r="W202" s="61" t="n"/>
      <c r="X202" s="61" t="n"/>
      <c r="Y202" s="61" t="n"/>
      <c r="Z202" s="61" t="n"/>
    </row>
    <row r="203" hidden="1" outlineLevel="2" collapsed="1" ht="17.25" customHeight="1" thickBot="1">
      <c r="B203" s="740" t="n">
        <v>43035</v>
      </c>
      <c r="C203" s="299" t="inlineStr">
        <is>
          <t>TXO</t>
        </is>
      </c>
      <c r="D203" s="300" t="inlineStr">
        <is>
          <t>台指選W1 11 10600 P</t>
        </is>
      </c>
      <c r="E203" s="300" t="inlineStr">
        <is>
          <t>新倉</t>
        </is>
      </c>
      <c r="F203" s="301" t="inlineStr">
        <is>
          <t>買</t>
        </is>
      </c>
      <c r="G203" s="300" t="inlineStr">
        <is>
          <t>-</t>
        </is>
      </c>
      <c r="H203" s="741" t="n">
        <v>10</v>
      </c>
      <c r="I203" s="765" t="n">
        <v>8</v>
      </c>
      <c r="J203" s="741" t="n">
        <v>-4000</v>
      </c>
      <c r="K203" s="742" t="n">
        <v>180</v>
      </c>
      <c r="L203" s="742" t="n">
        <v>0</v>
      </c>
      <c r="M203" s="742">
        <f>IF(C203="TXO",J203-SUM(K203:L203),IF(C203="FITX",IF(E203="新倉",-SUM(K203:L203),IF(F203="賣",(I203-I202)*H203*200-SUM(K203:L203),(I202-I203)*H203*200-SUM(K203:L203))),IF(E203="新倉",-SUM(K203:L203),IF(F203="賣",(I203-I202)*H203*50-SUM(K203:L203),(I202-I203)*H203*50-SUM(K203:L203)))))</f>
        <v/>
      </c>
      <c r="N203" s="743">
        <f>M203</f>
        <v/>
      </c>
      <c r="O203" s="764">
        <f>IF(C203="TXO","",IF(E203="新倉","",IF(F203="賣",(I203-I202)*H203,(I202-I203)*H203)))</f>
        <v/>
      </c>
      <c r="P203" s="334">
        <f>ABS(J203)</f>
        <v/>
      </c>
      <c r="Q203" s="764" t="n"/>
      <c r="R203" s="230" t="inlineStr">
        <is>
          <t>小量，賭向下破箱-價內</t>
        </is>
      </c>
      <c r="S203" s="739" t="n"/>
      <c r="T203" s="61" t="n"/>
      <c r="U203" s="61" t="n"/>
      <c r="V203" s="61" t="n"/>
      <c r="W203" s="61" t="n"/>
      <c r="X203" s="61" t="n"/>
      <c r="Y203" s="61" t="n"/>
      <c r="Z203" s="61" t="n"/>
    </row>
    <row r="204" hidden="1" outlineLevel="2" collapsed="1" ht="17.25" customHeight="1" thickBot="1">
      <c r="B204" s="740" t="n">
        <v>43035</v>
      </c>
      <c r="C204" s="299" t="inlineStr">
        <is>
          <t>TXO</t>
        </is>
      </c>
      <c r="D204" s="300" t="inlineStr">
        <is>
          <t>台指選W1 11 10650 P</t>
        </is>
      </c>
      <c r="E204" s="300" t="inlineStr">
        <is>
          <t>新倉</t>
        </is>
      </c>
      <c r="F204" s="301" t="inlineStr">
        <is>
          <t>買</t>
        </is>
      </c>
      <c r="G204" s="300" t="inlineStr">
        <is>
          <t>-</t>
        </is>
      </c>
      <c r="H204" s="741" t="n">
        <v>2</v>
      </c>
      <c r="I204" s="765" t="n">
        <v>16</v>
      </c>
      <c r="J204" s="741" t="n">
        <v>-1600</v>
      </c>
      <c r="K204" s="742" t="n">
        <v>36</v>
      </c>
      <c r="L204" s="742" t="n">
        <v>2</v>
      </c>
      <c r="M204" s="742">
        <f>IF(C204="TXO",J204-SUM(K204:L204),IF(C204="FITX",IF(E204="新倉",-SUM(K204:L204),IF(F204="賣",(I204-I203)*H204*200-SUM(K204:L204),(I203-I204)*H204*200-SUM(K204:L204))),IF(E204="新倉",-SUM(K204:L204),IF(F204="賣",(I204-I203)*H204*50-SUM(K204:L204),(I203-I204)*H204*50-SUM(K204:L204)))))</f>
        <v/>
      </c>
      <c r="N204" s="743">
        <f>M204</f>
        <v/>
      </c>
      <c r="O204" s="764">
        <f>IF(C204="TXO","",IF(E204="新倉","",IF(F204="賣",(I204-I203)*H204,(I203-I204)*H204)))</f>
        <v/>
      </c>
      <c r="P204" s="334">
        <f>ABS(J204)</f>
        <v/>
      </c>
      <c r="Q204" s="764" t="n"/>
      <c r="R204" s="230" t="inlineStr">
        <is>
          <t>小量，賭向下破箱-價外</t>
        </is>
      </c>
      <c r="S204" s="739" t="n"/>
      <c r="T204" s="61" t="n"/>
      <c r="U204" s="61" t="n"/>
      <c r="V204" s="61" t="n"/>
      <c r="W204" s="61" t="n"/>
      <c r="X204" s="61" t="n"/>
      <c r="Y204" s="61" t="n"/>
      <c r="Z204" s="61" t="n"/>
    </row>
    <row r="205" ht="17.25" customHeight="1" thickBot="1">
      <c r="B205" s="718" t="n">
        <v>43030</v>
      </c>
      <c r="C205" s="292" t="n"/>
      <c r="D205" s="292" t="inlineStr">
        <is>
          <t>阿水財經三班</t>
        </is>
      </c>
      <c r="E205" s="292" t="n"/>
      <c r="F205" s="292" t="n"/>
      <c r="G205" s="292" t="n"/>
      <c r="H205" s="719" t="n"/>
      <c r="I205" s="719" t="n"/>
      <c r="J205" s="719" t="n"/>
      <c r="K205" s="720" t="n"/>
      <c r="L205" s="719" t="n"/>
      <c r="M205" s="720" t="n"/>
      <c r="N205" s="721" t="n">
        <v>-8240</v>
      </c>
      <c r="O205" s="760" t="n"/>
      <c r="Q205" s="761" t="n"/>
      <c r="R205" s="230" t="inlineStr">
        <is>
          <t>98888分12期, 每期8240</t>
        </is>
      </c>
      <c r="S205" s="739" t="n"/>
    </row>
    <row r="206" collapsed="1" ht="17.25" customHeight="1" thickBot="1">
      <c r="B206" s="273" t="inlineStr">
        <is>
          <t>10月總計</t>
        </is>
      </c>
      <c r="C206" s="274" t="n"/>
      <c r="D206" s="274" t="n"/>
      <c r="E206" s="274" t="n"/>
      <c r="F206" s="274" t="n"/>
      <c r="G206" s="274" t="n"/>
      <c r="H206" s="715" t="n"/>
      <c r="I206" s="715" t="n"/>
      <c r="J206" s="715" t="n"/>
      <c r="K206" s="716" t="n"/>
      <c r="L206" s="715" t="n"/>
      <c r="M206" s="750">
        <f>SUM(M174:M205)</f>
        <v/>
      </c>
      <c r="N206" s="751">
        <f>SUM(N174:N205)</f>
        <v/>
      </c>
      <c r="O206" s="762" t="n"/>
      <c r="P206" s="331" t="n"/>
      <c r="Q206" s="763" t="n"/>
      <c r="S206" s="739" t="n"/>
    </row>
    <row r="207" hidden="1" outlineLevel="1" collapsed="1" ht="17.25" customHeight="1" thickBot="1">
      <c r="B207" s="766" t="n">
        <v>43040</v>
      </c>
      <c r="C207" s="337" t="inlineStr">
        <is>
          <t>TXO</t>
        </is>
      </c>
      <c r="D207" s="338" t="inlineStr">
        <is>
          <t>台指選W1 11 10750 P</t>
        </is>
      </c>
      <c r="E207" s="338" t="inlineStr">
        <is>
          <t>新倉</t>
        </is>
      </c>
      <c r="F207" s="338" t="inlineStr">
        <is>
          <t>買</t>
        </is>
      </c>
      <c r="G207" s="338" t="inlineStr">
        <is>
          <t>-</t>
        </is>
      </c>
      <c r="H207" s="767" t="n">
        <v>5</v>
      </c>
      <c r="I207" s="768" t="n">
        <v>1.7</v>
      </c>
      <c r="J207" s="767" t="n">
        <v>-425</v>
      </c>
      <c r="K207" s="769" t="n">
        <v>90</v>
      </c>
      <c r="L207" s="769" t="n">
        <v>0</v>
      </c>
      <c r="M207" s="585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/>
      </c>
      <c r="N207" s="699">
        <f>M207</f>
        <v/>
      </c>
      <c r="O207" s="686">
        <f>IF(C207="TXO","",IF(E207="新倉","",IF(F207="賣",(I207-I204)*H207,(I204-I207)*H207)))</f>
        <v/>
      </c>
      <c r="P207" s="334">
        <f>ABS(J207)</f>
        <v/>
      </c>
      <c r="Q207" s="667">
        <f>SUM(M207:M222)</f>
        <v/>
      </c>
      <c r="S207" s="61" t="n"/>
      <c r="T207" s="61" t="n"/>
      <c r="U207" s="61" t="n"/>
      <c r="V207" s="61" t="n"/>
      <c r="W207" s="61" t="n"/>
      <c r="X207" s="61" t="n"/>
      <c r="Y207" s="61" t="n"/>
      <c r="Z207" s="61" t="n"/>
    </row>
    <row r="208" hidden="1" outlineLevel="2" ht="17.25" customHeight="1" thickBot="1">
      <c r="B208" s="766" t="n">
        <v>43040</v>
      </c>
      <c r="C208" s="337" t="inlineStr">
        <is>
          <t>TXO</t>
        </is>
      </c>
      <c r="D208" s="338" t="inlineStr">
        <is>
          <t>台指選W1 11 10850 C</t>
        </is>
      </c>
      <c r="E208" s="338" t="inlineStr">
        <is>
          <t>新倉</t>
        </is>
      </c>
      <c r="F208" s="338" t="inlineStr">
        <is>
          <t>買</t>
        </is>
      </c>
      <c r="G208" s="338" t="inlineStr">
        <is>
          <t>-</t>
        </is>
      </c>
      <c r="H208" s="767" t="n">
        <v>1</v>
      </c>
      <c r="I208" s="768" t="n">
        <v>9.800000000000001</v>
      </c>
      <c r="J208" s="767" t="n">
        <v>-490</v>
      </c>
      <c r="K208" s="769" t="n">
        <v>18</v>
      </c>
      <c r="L208" s="769" t="n">
        <v>0</v>
      </c>
      <c r="M208" s="585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/>
      </c>
      <c r="N208" s="699">
        <f>M208</f>
        <v/>
      </c>
      <c r="O208" s="686">
        <f>IF(C208="TXO","",IF(E208="新倉","",IF(F208="賣",(I208-I207)*H208,(I207-I208)*H208)))</f>
        <v/>
      </c>
      <c r="P208" s="334">
        <f>ABS(J208)</f>
        <v/>
      </c>
      <c r="Q208" s="667" t="n"/>
      <c r="S208" s="61" t="n"/>
      <c r="T208" s="61" t="n"/>
      <c r="U208" s="61" t="n"/>
      <c r="V208" s="61" t="n"/>
      <c r="W208" s="61" t="n"/>
      <c r="X208" s="61" t="n"/>
      <c r="Y208" s="61" t="n"/>
      <c r="Z208" s="61" t="n"/>
    </row>
    <row r="209" hidden="1" outlineLevel="2" ht="17.25" customHeight="1" thickBot="1">
      <c r="B209" s="766" t="n">
        <v>43040</v>
      </c>
      <c r="C209" s="337" t="inlineStr">
        <is>
          <t>TXO</t>
        </is>
      </c>
      <c r="D209" s="338" t="inlineStr">
        <is>
          <t>台指選W1 11 10850 C</t>
        </is>
      </c>
      <c r="E209" s="338" t="inlineStr">
        <is>
          <t>新倉</t>
        </is>
      </c>
      <c r="F209" s="338" t="inlineStr">
        <is>
          <t>買</t>
        </is>
      </c>
      <c r="G209" s="338" t="inlineStr">
        <is>
          <t>-</t>
        </is>
      </c>
      <c r="H209" s="767" t="n">
        <v>2</v>
      </c>
      <c r="I209" s="768" t="n">
        <v>5</v>
      </c>
      <c r="J209" s="767" t="n">
        <v>-500</v>
      </c>
      <c r="K209" s="769" t="n">
        <v>36</v>
      </c>
      <c r="L209" s="769" t="n">
        <v>0</v>
      </c>
      <c r="M209" s="585">
        <f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/>
      </c>
      <c r="N209" s="699">
        <f>M209</f>
        <v/>
      </c>
      <c r="O209" s="686">
        <f>IF(C209="TXO","",IF(E209="新倉","",IF(F209="賣",(I209-I208)*H209,(I208-I209)*H209)))</f>
        <v/>
      </c>
      <c r="P209" s="334">
        <f>ABS(J209)</f>
        <v/>
      </c>
      <c r="Q209" s="667" t="n"/>
      <c r="S209" s="61" t="n"/>
      <c r="T209" s="61" t="n"/>
      <c r="U209" s="61" t="n"/>
      <c r="V209" s="61" t="n"/>
      <c r="W209" s="61" t="n"/>
      <c r="X209" s="61" t="n"/>
      <c r="Y209" s="61" t="n"/>
      <c r="Z209" s="61" t="n"/>
    </row>
    <row r="210" hidden="1" outlineLevel="2" ht="17.25" customHeight="1" thickBot="1">
      <c r="B210" s="766" t="n">
        <v>43040</v>
      </c>
      <c r="C210" s="337" t="inlineStr">
        <is>
          <t>TXO</t>
        </is>
      </c>
      <c r="D210" s="338" t="inlineStr">
        <is>
          <t>台指選W1 11 10850 C</t>
        </is>
      </c>
      <c r="E210" s="338" t="inlineStr">
        <is>
          <t>新倉</t>
        </is>
      </c>
      <c r="F210" s="338" t="inlineStr">
        <is>
          <t>買</t>
        </is>
      </c>
      <c r="G210" s="338" t="inlineStr">
        <is>
          <t>-</t>
        </is>
      </c>
      <c r="H210" s="767" t="n">
        <v>1</v>
      </c>
      <c r="I210" s="768" t="n">
        <v>4.5</v>
      </c>
      <c r="J210" s="767" t="n">
        <v>-225</v>
      </c>
      <c r="K210" s="769" t="n">
        <v>18</v>
      </c>
      <c r="L210" s="769" t="n">
        <v>0</v>
      </c>
      <c r="M210" s="585">
        <f>IF(C210="TXO",J210-SUM(K210:L210),IF(C210="FITX",IF(E210="新倉",-SUM(K210:L210),IF(F210="賣",(I210-I209)*H210*200-SUM(K210:L210),(I209-I210)*H210*200-SUM(K210:L210))),IF(E210="新倉",-SUM(K210:L210),IF(F210="賣",(I210-I209)*H210*50-SUM(K210:L210),(I209-I210)*H210*50-SUM(K210:L210)))))</f>
        <v/>
      </c>
      <c r="N210" s="699">
        <f>M210</f>
        <v/>
      </c>
      <c r="O210" s="686">
        <f>IF(C210="TXO","",IF(E210="新倉","",IF(F210="賣",(I210-I209)*H210,(I209-I210)*H210)))</f>
        <v/>
      </c>
      <c r="P210" s="334">
        <f>ABS(J210)</f>
        <v/>
      </c>
      <c r="Q210" s="667" t="n"/>
      <c r="S210" s="61" t="n"/>
      <c r="T210" s="61" t="n"/>
      <c r="U210" s="61" t="n"/>
      <c r="V210" s="61" t="n"/>
      <c r="W210" s="61" t="n"/>
      <c r="X210" s="61" t="n"/>
      <c r="Y210" s="61" t="n"/>
      <c r="Z210" s="61" t="n"/>
    </row>
    <row r="211" hidden="1" outlineLevel="2" ht="17.25" customHeight="1" thickBot="1">
      <c r="B211" s="766" t="n">
        <v>43040</v>
      </c>
      <c r="C211" s="337" t="inlineStr">
        <is>
          <t>TXO</t>
        </is>
      </c>
      <c r="D211" s="338" t="inlineStr">
        <is>
          <t>台指選W1 11 10600 P</t>
        </is>
      </c>
      <c r="E211" s="338" t="inlineStr">
        <is>
          <t>平倉</t>
        </is>
      </c>
      <c r="F211" s="338" t="inlineStr">
        <is>
          <t>賣</t>
        </is>
      </c>
      <c r="G211" s="338" t="inlineStr">
        <is>
          <t>-</t>
        </is>
      </c>
      <c r="H211" s="767" t="n">
        <v>10</v>
      </c>
      <c r="I211" s="768" t="n">
        <v>0.1</v>
      </c>
      <c r="J211" s="767" t="n">
        <v>50</v>
      </c>
      <c r="K211" s="769" t="n">
        <v>180</v>
      </c>
      <c r="L211" s="769" t="n">
        <v>0</v>
      </c>
      <c r="M211" s="585">
        <f>IF(C211="TXO",J211-SUM(K211:L211),IF(C211="FITX",IF(E211="新倉",-SUM(K211:L211),IF(F211="賣",(I211-I210)*H211*200-SUM(K211:L211),(I210-I211)*H211*200-SUM(K211:L211))),IF(E211="新倉",-SUM(K211:L211),IF(F211="賣",(I211-I210)*H211*50-SUM(K211:L211),(I210-I211)*H211*50-SUM(K211:L211)))))</f>
        <v/>
      </c>
      <c r="N211" s="699">
        <f>M211</f>
        <v/>
      </c>
      <c r="O211" s="686">
        <f>IF(C211="TXO","",IF(E211="新倉","",IF(F211="賣",(I211-I210)*H211,(I210-I211)*H211)))</f>
        <v/>
      </c>
      <c r="P211" s="334">
        <f>ABS(J211)</f>
        <v/>
      </c>
      <c r="Q211" s="667" t="n"/>
      <c r="S211" s="61" t="n"/>
      <c r="T211" s="61" t="n"/>
      <c r="U211" s="61" t="n"/>
      <c r="V211" s="61" t="n"/>
      <c r="W211" s="61" t="n"/>
      <c r="X211" s="61" t="n"/>
      <c r="Y211" s="61" t="n"/>
      <c r="Z211" s="61" t="n"/>
    </row>
    <row r="212" hidden="1" outlineLevel="2" ht="17.25" customHeight="1" thickBot="1">
      <c r="B212" s="766" t="n">
        <v>43040</v>
      </c>
      <c r="C212" s="337" t="inlineStr">
        <is>
          <t>TXO</t>
        </is>
      </c>
      <c r="D212" s="338" t="inlineStr">
        <is>
          <t>台指選W1 11 10650 P</t>
        </is>
      </c>
      <c r="E212" s="338" t="inlineStr">
        <is>
          <t>平倉</t>
        </is>
      </c>
      <c r="F212" s="338" t="inlineStr">
        <is>
          <t>賣</t>
        </is>
      </c>
      <c r="G212" s="338" t="inlineStr">
        <is>
          <t>-</t>
        </is>
      </c>
      <c r="H212" s="767" t="n">
        <v>2</v>
      </c>
      <c r="I212" s="768" t="n">
        <v>0.1</v>
      </c>
      <c r="J212" s="767" t="n">
        <v>10</v>
      </c>
      <c r="K212" s="769" t="n">
        <v>36</v>
      </c>
      <c r="L212" s="769" t="n">
        <v>0</v>
      </c>
      <c r="M212" s="585">
        <f>IF(C212="TXO",J212-SUM(K212:L212),IF(C212="FITX",IF(E212="新倉",-SUM(K212:L212),IF(F212="賣",(I212-I211)*H212*200-SUM(K212:L212),(I211-I212)*H212*200-SUM(K212:L212))),IF(E212="新倉",-SUM(K212:L212),IF(F212="賣",(I212-I211)*H212*50-SUM(K212:L212),(I211-I212)*H212*50-SUM(K212:L212)))))</f>
        <v/>
      </c>
      <c r="N212" s="699">
        <f>M212</f>
        <v/>
      </c>
      <c r="O212" s="686">
        <f>IF(C212="TXO","",IF(E212="新倉","",IF(F212="賣",(I212-I211)*H212,(I211-I212)*H212)))</f>
        <v/>
      </c>
      <c r="P212" s="334">
        <f>ABS(J212)</f>
        <v/>
      </c>
      <c r="Q212" s="667" t="n"/>
      <c r="S212" s="61" t="n"/>
      <c r="T212" s="61" t="n"/>
      <c r="U212" s="61" t="n"/>
      <c r="V212" s="61" t="n"/>
      <c r="W212" s="61" t="n"/>
      <c r="X212" s="61" t="n"/>
      <c r="Y212" s="61" t="n"/>
      <c r="Z212" s="61" t="n"/>
    </row>
    <row r="213" hidden="1" outlineLevel="2" ht="17.25" customHeight="1" thickBot="1">
      <c r="B213" s="766" t="n">
        <v>43040</v>
      </c>
      <c r="C213" s="337" t="inlineStr">
        <is>
          <t>FIMTX</t>
        </is>
      </c>
      <c r="D213" s="338" t="inlineStr">
        <is>
          <t>小指11</t>
        </is>
      </c>
      <c r="E213" s="338" t="inlineStr">
        <is>
          <t>新倉</t>
        </is>
      </c>
      <c r="F213" s="338" t="inlineStr">
        <is>
          <t>買</t>
        </is>
      </c>
      <c r="G213" s="338" t="inlineStr">
        <is>
          <t>-</t>
        </is>
      </c>
      <c r="H213" s="767" t="n">
        <v>1</v>
      </c>
      <c r="I213" s="768" t="n">
        <v>10809</v>
      </c>
      <c r="J213" s="767" t="n">
        <v>0</v>
      </c>
      <c r="K213" s="769" t="n">
        <v>23</v>
      </c>
      <c r="L213" s="769" t="n">
        <v>11</v>
      </c>
      <c r="M213" s="585">
        <f>IF(C213="TXO",J213-SUM(K213:L213),IF(C213="FITX",IF(E213="新倉",-SUM(K213:L213),IF(F213="賣",(I213-I212)*H213*200-SUM(K213:L213),(I212-I213)*H213*200-SUM(K213:L213))),IF(E213="新倉",-SUM(K213:L213),IF(F213="賣",(I213-I212)*H213*50-SUM(K213:L213),(I212-I213)*H213*50-SUM(K213:L213)))))</f>
        <v/>
      </c>
      <c r="N213" s="699">
        <f>M213</f>
        <v/>
      </c>
      <c r="O213" s="686">
        <f>IF(C213="TXO","",IF(E213="新倉","",IF(F213="賣",(I213-I212)*H213,(I212-I213)*H213)))</f>
        <v/>
      </c>
      <c r="P213" s="334">
        <f>ABS(J213)</f>
        <v/>
      </c>
      <c r="Q213" s="667" t="n"/>
      <c r="S213" s="61" t="n"/>
      <c r="T213" s="61" t="n"/>
      <c r="U213" s="61" t="n"/>
      <c r="V213" s="61" t="n"/>
      <c r="W213" s="61" t="n"/>
      <c r="X213" s="61" t="n"/>
      <c r="Y213" s="61" t="n"/>
      <c r="Z213" s="61" t="n"/>
    </row>
    <row r="214" hidden="1" outlineLevel="2" ht="17.25" customHeight="1" thickBot="1">
      <c r="B214" s="766" t="n">
        <v>43040</v>
      </c>
      <c r="C214" s="337" t="inlineStr">
        <is>
          <t>FIMTX</t>
        </is>
      </c>
      <c r="D214" s="338" t="inlineStr">
        <is>
          <t>小指11</t>
        </is>
      </c>
      <c r="E214" s="338" t="inlineStr">
        <is>
          <t>平倉</t>
        </is>
      </c>
      <c r="F214" s="338" t="inlineStr">
        <is>
          <t>賣</t>
        </is>
      </c>
      <c r="G214" s="338" t="inlineStr">
        <is>
          <t>-</t>
        </is>
      </c>
      <c r="H214" s="767" t="n">
        <v>1</v>
      </c>
      <c r="I214" s="768" t="n">
        <v>10813</v>
      </c>
      <c r="J214" s="767" t="n">
        <v>0</v>
      </c>
      <c r="K214" s="769" t="n">
        <v>23</v>
      </c>
      <c r="L214" s="769" t="n">
        <v>11</v>
      </c>
      <c r="M214" s="585">
        <f>IF(C214="TXO",J214-SUM(K214:L214),IF(C214="FITX",IF(E214="新倉",-SUM(K214:L214),IF(F214="賣",(I214-I213)*H214*200-SUM(K214:L214),(I213-I214)*H214*200-SUM(K214:L214))),IF(E214="新倉",-SUM(K214:L214),IF(F214="賣",(I214-I213)*H214*50-SUM(K214:L214),(I213-I214)*H214*50-SUM(K214:L214)))))</f>
        <v/>
      </c>
      <c r="N214" s="699">
        <f>M214</f>
        <v/>
      </c>
      <c r="O214" s="686">
        <f>IF(C214="TXO","",IF(E214="新倉","",IF(F214="賣",(I214-I213)*H214,(I213-I214)*H214)))</f>
        <v/>
      </c>
      <c r="P214" s="334">
        <f>ABS(J214)</f>
        <v/>
      </c>
      <c r="Q214" s="667" t="n"/>
      <c r="S214" s="61" t="n"/>
      <c r="T214" s="61" t="n"/>
      <c r="U214" s="61" t="n"/>
      <c r="V214" s="61" t="n"/>
      <c r="W214" s="61" t="n"/>
      <c r="X214" s="61" t="n"/>
      <c r="Y214" s="61" t="n"/>
      <c r="Z214" s="61" t="n"/>
    </row>
    <row r="215" hidden="1" outlineLevel="2" ht="17.25" customHeight="1" thickBot="1">
      <c r="B215" s="766" t="n">
        <v>43040</v>
      </c>
      <c r="C215" s="337" t="inlineStr">
        <is>
          <t>TXO</t>
        </is>
      </c>
      <c r="D215" s="338" t="inlineStr">
        <is>
          <t>台指選W1 11 10850 C</t>
        </is>
      </c>
      <c r="E215" s="338" t="inlineStr">
        <is>
          <t>平倉</t>
        </is>
      </c>
      <c r="F215" s="338" t="inlineStr">
        <is>
          <t>賣</t>
        </is>
      </c>
      <c r="G215" s="338" t="inlineStr">
        <is>
          <t>-</t>
        </is>
      </c>
      <c r="H215" s="767" t="n">
        <v>4</v>
      </c>
      <c r="I215" s="768" t="n">
        <v>3.5</v>
      </c>
      <c r="J215" s="767" t="n">
        <v>700</v>
      </c>
      <c r="K215" s="769" t="n">
        <v>72</v>
      </c>
      <c r="L215" s="769" t="n">
        <v>0</v>
      </c>
      <c r="M215" s="585">
        <f>IF(C215="TXO",J215-SUM(K215:L215),IF(C215="FITX",IF(E215="新倉",-SUM(K215:L215),IF(F215="賣",(I215-I214)*H215*200-SUM(K215:L215),(I214-I215)*H215*200-SUM(K215:L215))),IF(E215="新倉",-SUM(K215:L215),IF(F215="賣",(I215-I214)*H215*50-SUM(K215:L215),(I214-I215)*H215*50-SUM(K215:L215)))))</f>
        <v/>
      </c>
      <c r="N215" s="699">
        <f>M215</f>
        <v/>
      </c>
      <c r="O215" s="686">
        <f>IF(C215="TXO","",IF(E215="新倉","",IF(F215="賣",(I215-I214)*H215,(I214-I215)*H215)))</f>
        <v/>
      </c>
      <c r="P215" s="334">
        <f>ABS(J215)</f>
        <v/>
      </c>
      <c r="Q215" s="667" t="n"/>
      <c r="S215" s="61" t="n"/>
      <c r="T215" s="61" t="n"/>
      <c r="U215" s="61" t="n"/>
      <c r="V215" s="61" t="n"/>
      <c r="W215" s="61" t="n"/>
      <c r="X215" s="61" t="n"/>
      <c r="Y215" s="61" t="n"/>
      <c r="Z215" s="61" t="n"/>
    </row>
    <row r="216" hidden="1" outlineLevel="2" ht="17.25" customHeight="1" thickBot="1">
      <c r="B216" s="766" t="n">
        <v>43040</v>
      </c>
      <c r="C216" s="337" t="inlineStr">
        <is>
          <t>TXO</t>
        </is>
      </c>
      <c r="D216" s="338" t="inlineStr">
        <is>
          <t>台指選W1 11 10750 P</t>
        </is>
      </c>
      <c r="E216" s="338" t="inlineStr">
        <is>
          <t>平倉</t>
        </is>
      </c>
      <c r="F216" s="338" t="inlineStr">
        <is>
          <t>賣</t>
        </is>
      </c>
      <c r="G216" s="338" t="inlineStr">
        <is>
          <t>-</t>
        </is>
      </c>
      <c r="H216" s="767" t="n">
        <v>5</v>
      </c>
      <c r="I216" s="768" t="n">
        <v>0.4</v>
      </c>
      <c r="J216" s="767" t="n">
        <v>100</v>
      </c>
      <c r="K216" s="769" t="n">
        <v>90</v>
      </c>
      <c r="L216" s="769" t="n">
        <v>0</v>
      </c>
      <c r="M216" s="585">
        <f>IF(C216="TXO",J216-SUM(K216:L216),IF(C216="FITX",IF(E216="新倉",-SUM(K216:L216),IF(F216="賣",(I216-I215)*H216*200-SUM(K216:L216),(I215-I216)*H216*200-SUM(K216:L216))),IF(E216="新倉",-SUM(K216:L216),IF(F216="賣",(I216-I215)*H216*50-SUM(K216:L216),(I215-I216)*H216*50-SUM(K216:L216)))))</f>
        <v/>
      </c>
      <c r="N216" s="699">
        <f>M216</f>
        <v/>
      </c>
      <c r="O216" s="686">
        <f>IF(C216="TXO","",IF(E216="新倉","",IF(F216="賣",(I216-I215)*H216,(I215-I216)*H216)))</f>
        <v/>
      </c>
      <c r="P216" s="334">
        <f>ABS(J216)</f>
        <v/>
      </c>
      <c r="Q216" s="667" t="n"/>
      <c r="S216" s="61" t="n"/>
      <c r="T216" s="61" t="n"/>
      <c r="U216" s="61" t="n"/>
      <c r="V216" s="61" t="n"/>
      <c r="W216" s="61" t="n"/>
      <c r="X216" s="61" t="n"/>
      <c r="Y216" s="61" t="n"/>
      <c r="Z216" s="61" t="n"/>
    </row>
    <row r="217" hidden="1" outlineLevel="2" ht="17.25" customHeight="1" thickBot="1">
      <c r="B217" s="766" t="n">
        <v>43040</v>
      </c>
      <c r="C217" s="337" t="inlineStr">
        <is>
          <t>FIMTX</t>
        </is>
      </c>
      <c r="D217" s="338" t="inlineStr">
        <is>
          <t>小指11</t>
        </is>
      </c>
      <c r="E217" s="338" t="inlineStr">
        <is>
          <t>新倉</t>
        </is>
      </c>
      <c r="F217" s="338" t="inlineStr">
        <is>
          <t>賣</t>
        </is>
      </c>
      <c r="G217" s="338" t="inlineStr">
        <is>
          <t>-</t>
        </is>
      </c>
      <c r="H217" s="767" t="n">
        <v>1</v>
      </c>
      <c r="I217" s="768" t="n">
        <v>10794</v>
      </c>
      <c r="J217" s="767" t="n">
        <v>0</v>
      </c>
      <c r="K217" s="769" t="n">
        <v>23</v>
      </c>
      <c r="L217" s="769" t="n">
        <v>11</v>
      </c>
      <c r="M217" s="585">
        <f>IF(C217="TXO",J217-SUM(K217:L217),IF(C217="FITX",IF(E217="新倉",-SUM(K217:L217),IF(F217="賣",(I217-I216)*H217*200-SUM(K217:L217),(I216-I217)*H217*200-SUM(K217:L217))),IF(E217="新倉",-SUM(K217:L217),IF(F217="賣",(I217-I216)*H217*50-SUM(K217:L217),(I216-I217)*H217*50-SUM(K217:L217)))))</f>
        <v/>
      </c>
      <c r="N217" s="699">
        <f>M217</f>
        <v/>
      </c>
      <c r="O217" s="686">
        <f>IF(C217="TXO","",IF(E217="新倉","",IF(F217="賣",(I217-I216)*H217,(I216-I217)*H217)))</f>
        <v/>
      </c>
      <c r="P217" s="334">
        <f>ABS(J217)</f>
        <v/>
      </c>
      <c r="Q217" s="667" t="n"/>
      <c r="S217" s="61" t="n"/>
      <c r="T217" s="61" t="n"/>
      <c r="U217" s="61" t="n"/>
      <c r="V217" s="61" t="n"/>
      <c r="W217" s="61" t="n"/>
      <c r="X217" s="61" t="n"/>
      <c r="Y217" s="61" t="n"/>
      <c r="Z217" s="61" t="n"/>
    </row>
    <row r="218" hidden="1" outlineLevel="2" ht="17.25" customHeight="1" thickBot="1">
      <c r="B218" s="766" t="n">
        <v>43040</v>
      </c>
      <c r="C218" s="337" t="inlineStr">
        <is>
          <t>FIMTX</t>
        </is>
      </c>
      <c r="D218" s="338" t="inlineStr">
        <is>
          <t>小指11</t>
        </is>
      </c>
      <c r="E218" s="338" t="inlineStr">
        <is>
          <t>平倉</t>
        </is>
      </c>
      <c r="F218" s="338" t="inlineStr">
        <is>
          <t>買</t>
        </is>
      </c>
      <c r="G218" s="338" t="inlineStr">
        <is>
          <t>-</t>
        </is>
      </c>
      <c r="H218" s="767" t="n">
        <v>1</v>
      </c>
      <c r="I218" s="768" t="n">
        <v>10790</v>
      </c>
      <c r="J218" s="767" t="n">
        <v>0</v>
      </c>
      <c r="K218" s="769" t="n">
        <v>23</v>
      </c>
      <c r="L218" s="769" t="n">
        <v>11</v>
      </c>
      <c r="M218" s="585">
        <f>IF(C218="TXO",J218-SUM(K218:L218),IF(C218="FITX",IF(E218="新倉",-SUM(K218:L218),IF(F218="賣",(I218-I217)*H218*200-SUM(K218:L218),(I217-I218)*H218*200-SUM(K218:L218))),IF(E218="新倉",-SUM(K218:L218),IF(F218="賣",(I218-I217)*H218*50-SUM(K218:L218),(I217-I218)*H218*50-SUM(K218:L218)))))</f>
        <v/>
      </c>
      <c r="N218" s="699">
        <f>M218</f>
        <v/>
      </c>
      <c r="O218" s="686">
        <f>IF(C218="TXO","",IF(E218="新倉","",IF(F218="賣",(I218-I217)*H218,(I217-I218)*H218)))</f>
        <v/>
      </c>
      <c r="P218" s="334">
        <f>ABS(J218)</f>
        <v/>
      </c>
      <c r="Q218" s="667" t="n"/>
      <c r="S218" s="61" t="n"/>
      <c r="T218" s="61" t="n"/>
      <c r="U218" s="61" t="n"/>
      <c r="V218" s="61" t="n"/>
      <c r="W218" s="61" t="n"/>
      <c r="X218" s="61" t="n"/>
      <c r="Y218" s="61" t="n"/>
      <c r="Z218" s="61" t="n"/>
    </row>
    <row r="219" hidden="1" outlineLevel="2" ht="17.25" customHeight="1" thickBot="1">
      <c r="B219" s="766" t="n">
        <v>43040</v>
      </c>
      <c r="C219" s="337" t="inlineStr">
        <is>
          <t>FIMTX</t>
        </is>
      </c>
      <c r="D219" s="338" t="inlineStr">
        <is>
          <t>小指11</t>
        </is>
      </c>
      <c r="E219" s="338" t="inlineStr">
        <is>
          <t>新倉</t>
        </is>
      </c>
      <c r="F219" s="338" t="inlineStr">
        <is>
          <t>賣</t>
        </is>
      </c>
      <c r="G219" s="338" t="inlineStr">
        <is>
          <t>-</t>
        </is>
      </c>
      <c r="H219" s="767" t="n">
        <v>1</v>
      </c>
      <c r="I219" s="768" t="n">
        <v>10794</v>
      </c>
      <c r="J219" s="767" t="n">
        <v>0</v>
      </c>
      <c r="K219" s="769" t="n">
        <v>23</v>
      </c>
      <c r="L219" s="769" t="n">
        <v>11</v>
      </c>
      <c r="M219" s="585">
        <f>IF(C219="TXO",J219-SUM(K219:L219),IF(C219="FITX",IF(E219="新倉",-SUM(K219:L219),IF(F219="賣",(I219-I218)*H219*200-SUM(K219:L219),(I218-I219)*H219*200-SUM(K219:L219))),IF(E219="新倉",-SUM(K219:L219),IF(F219="賣",(I219-I218)*H219*50-SUM(K219:L219),(I218-I219)*H219*50-SUM(K219:L219)))))</f>
        <v/>
      </c>
      <c r="N219" s="699">
        <f>M219</f>
        <v/>
      </c>
      <c r="O219" s="686">
        <f>IF(C219="TXO","",IF(E219="新倉","",IF(F219="賣",(I219-I218)*H219,(I218-I219)*H219)))</f>
        <v/>
      </c>
      <c r="P219" s="334">
        <f>ABS(J219)</f>
        <v/>
      </c>
      <c r="Q219" s="667" t="n"/>
      <c r="S219" s="61" t="n"/>
      <c r="T219" s="61" t="n"/>
      <c r="U219" s="61" t="n"/>
      <c r="V219" s="61" t="n"/>
      <c r="W219" s="61" t="n"/>
      <c r="X219" s="61" t="n"/>
      <c r="Y219" s="61" t="n"/>
      <c r="Z219" s="61" t="n"/>
    </row>
    <row r="220" hidden="1" outlineLevel="2" ht="17.25" customHeight="1" thickBot="1">
      <c r="B220" s="766" t="n">
        <v>43040</v>
      </c>
      <c r="C220" s="337" t="inlineStr">
        <is>
          <t>FIMTX</t>
        </is>
      </c>
      <c r="D220" s="338" t="inlineStr">
        <is>
          <t>小指11</t>
        </is>
      </c>
      <c r="E220" s="338" t="inlineStr">
        <is>
          <t>平倉</t>
        </is>
      </c>
      <c r="F220" s="338" t="inlineStr">
        <is>
          <t>買</t>
        </is>
      </c>
      <c r="G220" s="338" t="inlineStr">
        <is>
          <t>-</t>
        </is>
      </c>
      <c r="H220" s="767" t="n">
        <v>1</v>
      </c>
      <c r="I220" s="768" t="n">
        <v>10797</v>
      </c>
      <c r="J220" s="767" t="n">
        <v>0</v>
      </c>
      <c r="K220" s="769" t="n">
        <v>23</v>
      </c>
      <c r="L220" s="769" t="n">
        <v>11</v>
      </c>
      <c r="M220" s="585">
        <f>IF(C220="TXO",J220-SUM(K220:L220),IF(C220="FITX",IF(E220="新倉",-SUM(K220:L220),IF(F220="賣",(I220-I219)*H220*200-SUM(K220:L220),(I219-I220)*H220*200-SUM(K220:L220))),IF(E220="新倉",-SUM(K220:L220),IF(F220="賣",(I220-I219)*H220*50-SUM(K220:L220),(I219-I220)*H220*50-SUM(K220:L220)))))</f>
        <v/>
      </c>
      <c r="N220" s="699">
        <f>M220</f>
        <v/>
      </c>
      <c r="O220" s="686">
        <f>IF(C220="TXO","",IF(E220="新倉","",IF(F220="賣",(I220-I219)*H220,(I219-I220)*H220)))</f>
        <v/>
      </c>
      <c r="P220" s="334">
        <f>ABS(J220)</f>
        <v/>
      </c>
      <c r="Q220" s="667" t="n"/>
      <c r="S220" s="61" t="n"/>
      <c r="T220" s="61" t="n"/>
      <c r="U220" s="61" t="n"/>
      <c r="V220" s="61" t="n"/>
      <c r="W220" s="61" t="n"/>
      <c r="X220" s="61" t="n"/>
      <c r="Y220" s="61" t="n"/>
      <c r="Z220" s="61" t="n"/>
    </row>
    <row r="221" hidden="1" outlineLevel="2" ht="17.25" customHeight="1" thickBot="1">
      <c r="B221" s="766" t="n">
        <v>43040</v>
      </c>
      <c r="C221" s="337" t="inlineStr">
        <is>
          <t>FIMTX</t>
        </is>
      </c>
      <c r="D221" s="338" t="inlineStr">
        <is>
          <t>小指11</t>
        </is>
      </c>
      <c r="E221" s="338" t="inlineStr">
        <is>
          <t>新倉</t>
        </is>
      </c>
      <c r="F221" s="338" t="inlineStr">
        <is>
          <t>買</t>
        </is>
      </c>
      <c r="G221" s="338" t="inlineStr">
        <is>
          <t>-</t>
        </is>
      </c>
      <c r="H221" s="767" t="n">
        <v>1</v>
      </c>
      <c r="I221" s="768" t="n">
        <v>10799</v>
      </c>
      <c r="J221" s="767" t="n">
        <v>0</v>
      </c>
      <c r="K221" s="769" t="n">
        <v>23</v>
      </c>
      <c r="L221" s="769" t="n">
        <v>11</v>
      </c>
      <c r="M221" s="585">
        <f>IF(C221="TXO",J221-SUM(K221:L221),IF(C221="FITX",IF(E221="新倉",-SUM(K221:L221),IF(F221="賣",(I221-I220)*H221*200-SUM(K221:L221),(I220-I221)*H221*200-SUM(K221:L221))),IF(E221="新倉",-SUM(K221:L221),IF(F221="賣",(I221-I220)*H221*50-SUM(K221:L221),(I220-I221)*H221*50-SUM(K221:L221)))))</f>
        <v/>
      </c>
      <c r="N221" s="699">
        <f>M221</f>
        <v/>
      </c>
      <c r="O221" s="686">
        <f>IF(C221="TXO","",IF(E221="新倉","",IF(F221="賣",(I221-I220)*H221,(I220-I221)*H221)))</f>
        <v/>
      </c>
      <c r="P221" s="334">
        <f>ABS(J221)</f>
        <v/>
      </c>
      <c r="Q221" s="667" t="n"/>
      <c r="S221" s="61" t="n"/>
      <c r="T221" s="61" t="n"/>
      <c r="U221" s="61" t="n"/>
      <c r="V221" s="61" t="n"/>
      <c r="W221" s="61" t="n"/>
      <c r="X221" s="61" t="n"/>
      <c r="Y221" s="61" t="n"/>
      <c r="Z221" s="61" t="n"/>
    </row>
    <row r="222" hidden="1" outlineLevel="2" ht="17.25" customHeight="1" thickBot="1">
      <c r="B222" s="766" t="n">
        <v>43040</v>
      </c>
      <c r="C222" s="337" t="inlineStr">
        <is>
          <t>FIMTX</t>
        </is>
      </c>
      <c r="D222" s="338" t="inlineStr">
        <is>
          <t>小指11</t>
        </is>
      </c>
      <c r="E222" s="338" t="inlineStr">
        <is>
          <t>平倉</t>
        </is>
      </c>
      <c r="F222" s="338" t="inlineStr">
        <is>
          <t>賣</t>
        </is>
      </c>
      <c r="G222" s="338" t="inlineStr">
        <is>
          <t>-</t>
        </is>
      </c>
      <c r="H222" s="767" t="n">
        <v>1</v>
      </c>
      <c r="I222" s="768" t="n">
        <v>10792</v>
      </c>
      <c r="J222" s="767" t="n">
        <v>0</v>
      </c>
      <c r="K222" s="769" t="n">
        <v>23</v>
      </c>
      <c r="L222" s="769" t="n">
        <v>11</v>
      </c>
      <c r="M222" s="585">
        <f>IF(C222="TXO",J222-SUM(K222:L222),IF(C222="FITX",IF(E222="新倉",-SUM(K222:L222),IF(F222="賣",(I222-I221)*H222*200-SUM(K222:L222),(I221-I222)*H222*200-SUM(K222:L222))),IF(E222="新倉",-SUM(K222:L222),IF(F222="賣",(I222-I221)*H222*50-SUM(K222:L222),(I221-I222)*H222*50-SUM(K222:L222)))))</f>
        <v/>
      </c>
      <c r="N222" s="699">
        <f>M222</f>
        <v/>
      </c>
      <c r="O222" s="686">
        <f>IF(C222="TXO","",IF(E222="新倉","",IF(F222="賣",(I222-I221)*H222,(I221-I222)*H222)))</f>
        <v/>
      </c>
      <c r="P222" s="334">
        <f>ABS(J222)</f>
        <v/>
      </c>
      <c r="Q222" s="667" t="n"/>
      <c r="S222" s="61" t="n"/>
      <c r="T222" s="61" t="n"/>
      <c r="U222" s="61" t="n"/>
      <c r="V222" s="61" t="n"/>
      <c r="W222" s="61" t="n"/>
      <c r="X222" s="61" t="n"/>
      <c r="Y222" s="61" t="n"/>
      <c r="Z222" s="61" t="n"/>
    </row>
    <row r="223" hidden="1" outlineLevel="1" ht="17.25" customHeight="1" thickBot="1">
      <c r="B223" s="718" t="n">
        <v>43046</v>
      </c>
      <c r="C223" s="292" t="n"/>
      <c r="D223" s="292" t="inlineStr">
        <is>
          <t>富邦個人信貸</t>
        </is>
      </c>
      <c r="E223" s="292" t="n"/>
      <c r="F223" s="292" t="n"/>
      <c r="G223" s="292" t="n"/>
      <c r="H223" s="719" t="n"/>
      <c r="I223" s="719" t="n"/>
      <c r="J223" s="719" t="n"/>
      <c r="K223" s="720" t="n"/>
      <c r="L223" s="719" t="n"/>
      <c r="M223" s="720" t="n"/>
      <c r="N223" s="721" t="n">
        <v>1449</v>
      </c>
      <c r="O223" s="760" t="n"/>
      <c r="Q223" s="761" t="n"/>
      <c r="R223" s="230" t="inlineStr">
        <is>
          <t>利息</t>
        </is>
      </c>
      <c r="S223" s="739" t="n"/>
    </row>
    <row r="224" hidden="1" outlineLevel="1" collapsed="1" ht="17.25" customHeight="1" thickBot="1">
      <c r="B224" s="740" t="n">
        <v>43047</v>
      </c>
      <c r="C224" s="299" t="inlineStr">
        <is>
          <t>TXO</t>
        </is>
      </c>
      <c r="D224" s="300" t="inlineStr">
        <is>
          <t>台指選 11 10800 C</t>
        </is>
      </c>
      <c r="E224" s="300" t="inlineStr">
        <is>
          <t>新倉</t>
        </is>
      </c>
      <c r="F224" s="301" t="inlineStr">
        <is>
          <t>買</t>
        </is>
      </c>
      <c r="G224" s="300" t="inlineStr">
        <is>
          <t>-</t>
        </is>
      </c>
      <c r="H224" s="741" t="n">
        <v>1</v>
      </c>
      <c r="I224" s="765" t="n">
        <v>60</v>
      </c>
      <c r="J224" s="741" t="n">
        <v>-3000</v>
      </c>
      <c r="K224" s="742" t="n">
        <v>18</v>
      </c>
      <c r="L224" s="742" t="n">
        <v>3</v>
      </c>
      <c r="M224" s="585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/>
      </c>
      <c r="N224" s="743">
        <f>M224</f>
        <v/>
      </c>
      <c r="O224" s="686">
        <f>IF(C224="TXO","",IF(E224="新倉","",IF(F224="賣",(I224-I222)*H224,(I222-I224)*H224)))</f>
        <v/>
      </c>
      <c r="P224" s="334">
        <f>ABS(J224)</f>
        <v/>
      </c>
      <c r="Q224" s="667">
        <f>SUM(M224:M235)</f>
        <v/>
      </c>
      <c r="S224" s="739" t="n"/>
      <c r="T224" s="61" t="n"/>
      <c r="U224" s="61" t="n"/>
      <c r="V224" s="61" t="n"/>
      <c r="W224" s="61" t="n"/>
      <c r="X224" s="61" t="n"/>
      <c r="Y224" s="61" t="n"/>
      <c r="Z224" s="61" t="n"/>
    </row>
    <row r="225" hidden="1" outlineLevel="2" collapsed="1" ht="17.25" customHeight="1" thickBot="1">
      <c r="B225" s="740" t="n">
        <v>43047</v>
      </c>
      <c r="C225" s="299" t="inlineStr">
        <is>
          <t>TXO</t>
        </is>
      </c>
      <c r="D225" s="300" t="inlineStr">
        <is>
          <t>台指選 11 10800 C</t>
        </is>
      </c>
      <c r="E225" s="300" t="inlineStr">
        <is>
          <t>平倉</t>
        </is>
      </c>
      <c r="F225" s="301" t="inlineStr">
        <is>
          <t>賣</t>
        </is>
      </c>
      <c r="G225" s="300" t="inlineStr">
        <is>
          <t>-</t>
        </is>
      </c>
      <c r="H225" s="741" t="n">
        <v>1</v>
      </c>
      <c r="I225" s="765" t="n">
        <v>31.5</v>
      </c>
      <c r="J225" s="741" t="n">
        <v>3150</v>
      </c>
      <c r="K225" s="742" t="n">
        <v>18</v>
      </c>
      <c r="L225" s="742" t="n">
        <v>3</v>
      </c>
      <c r="M225" s="585">
        <f>IF(C225="TXO",J225-SUM(K225:L225),IF(C225="FITX",IF(E225="新倉",-SUM(K225:L225),IF(F225="賣",(I225-I224)*H225*200-SUM(K225:L225),(I224-I225)*H225*200-SUM(K225:L225))),IF(E225="新倉",-SUM(K225:L225),IF(F225="賣",(I225-I224)*H225*50-SUM(K225:L225),(I224-I225)*H225*50-SUM(K225:L225)))))</f>
        <v/>
      </c>
      <c r="N225" s="743">
        <f>M225</f>
        <v/>
      </c>
      <c r="O225" s="686">
        <f>IF(C225="TXO","",IF(E225="新倉","",IF(F225="賣",(I225-I224)*H225,(I224-I225)*H225)))</f>
        <v/>
      </c>
      <c r="P225" s="334">
        <f>ABS(J225)</f>
        <v/>
      </c>
      <c r="Q225" s="667" t="n"/>
      <c r="S225" s="739" t="n"/>
      <c r="T225" s="61" t="n"/>
      <c r="U225" s="61" t="n"/>
      <c r="V225" s="61" t="n"/>
      <c r="W225" s="61" t="n"/>
      <c r="X225" s="61" t="n"/>
      <c r="Y225" s="61" t="n"/>
      <c r="Z225" s="61" t="n"/>
    </row>
    <row r="226" hidden="1" outlineLevel="2" collapsed="1" ht="17.25" customHeight="1" thickBot="1">
      <c r="B226" s="740" t="n">
        <v>43047</v>
      </c>
      <c r="C226" s="299" t="inlineStr">
        <is>
          <t>FIMTX</t>
        </is>
      </c>
      <c r="D226" s="300" t="inlineStr">
        <is>
          <t>小指11</t>
        </is>
      </c>
      <c r="E226" s="300" t="inlineStr">
        <is>
          <t>新倉</t>
        </is>
      </c>
      <c r="F226" s="301" t="inlineStr">
        <is>
          <t>買</t>
        </is>
      </c>
      <c r="G226" s="300" t="inlineStr">
        <is>
          <t>-</t>
        </is>
      </c>
      <c r="H226" s="741" t="n">
        <v>1</v>
      </c>
      <c r="I226" s="765" t="n">
        <v>10806</v>
      </c>
      <c r="J226" s="741" t="n">
        <v>0</v>
      </c>
      <c r="K226" s="742" t="n">
        <v>23</v>
      </c>
      <c r="L226" s="742" t="n">
        <v>11</v>
      </c>
      <c r="M226" s="585">
        <f>IF(C226="TXO",J226-SUM(K226:L226),IF(C226="FITX",IF(E226="新倉",-SUM(K226:L226),IF(F226="賣",(I226-I225)*H226*200-SUM(K226:L226),(I225-I226)*H226*200-SUM(K226:L226))),IF(E226="新倉",-SUM(K226:L226),IF(F226="賣",(I226-I225)*H226*50-SUM(K226:L226),(I225-I226)*H226*50-SUM(K226:L226)))))</f>
        <v/>
      </c>
      <c r="N226" s="743">
        <f>M226</f>
        <v/>
      </c>
      <c r="O226" s="686">
        <f>IF(C226="TXO","",IF(E226="新倉","",IF(F226="賣",(I226-I225)*H226,(I225-I226)*H226)))</f>
        <v/>
      </c>
      <c r="P226" s="334">
        <f>ABS(J226)</f>
        <v/>
      </c>
      <c r="Q226" s="667" t="n"/>
      <c r="S226" s="739" t="n"/>
      <c r="T226" s="61" t="n"/>
      <c r="U226" s="61" t="n"/>
      <c r="V226" s="61" t="n"/>
      <c r="W226" s="61" t="n"/>
      <c r="X226" s="61" t="n"/>
      <c r="Y226" s="61" t="n"/>
      <c r="Z226" s="61" t="n"/>
    </row>
    <row r="227" hidden="1" outlineLevel="2" collapsed="1" ht="17.25" customHeight="1" thickBot="1">
      <c r="B227" s="740" t="n">
        <v>43047</v>
      </c>
      <c r="C227" s="299" t="inlineStr">
        <is>
          <t>FIMTX</t>
        </is>
      </c>
      <c r="D227" s="300" t="inlineStr">
        <is>
          <t>小指11</t>
        </is>
      </c>
      <c r="E227" s="300" t="inlineStr">
        <is>
          <t>平倉</t>
        </is>
      </c>
      <c r="F227" s="301" t="inlineStr">
        <is>
          <t>賣</t>
        </is>
      </c>
      <c r="G227" s="300" t="inlineStr">
        <is>
          <t>-</t>
        </is>
      </c>
      <c r="H227" s="741" t="n">
        <v>1</v>
      </c>
      <c r="I227" s="765" t="n">
        <v>10798</v>
      </c>
      <c r="J227" s="741" t="n">
        <v>0</v>
      </c>
      <c r="K227" s="742" t="n">
        <v>23</v>
      </c>
      <c r="L227" s="742" t="n">
        <v>11</v>
      </c>
      <c r="M227" s="585">
        <f>IF(C227="TXO",J227-SUM(K227:L227),IF(C227="FITX",IF(E227="新倉",-SUM(K227:L227),IF(F227="賣",(I227-I226)*H227*200-SUM(K227:L227),(I226-I227)*H227*200-SUM(K227:L227))),IF(E227="新倉",-SUM(K227:L227),IF(F227="賣",(I227-I226)*H227*50-SUM(K227:L227),(I226-I227)*H227*50-SUM(K227:L227)))))</f>
        <v/>
      </c>
      <c r="N227" s="743">
        <f>M227</f>
        <v/>
      </c>
      <c r="O227" s="686">
        <f>IF(C227="TXO","",IF(E227="新倉","",IF(F227="賣",(I227-I226)*H227,(I226-I227)*H227)))</f>
        <v/>
      </c>
      <c r="P227" s="334">
        <f>ABS(J227)</f>
        <v/>
      </c>
      <c r="Q227" s="667" t="n"/>
      <c r="S227" s="739" t="n"/>
      <c r="T227" s="61" t="n"/>
      <c r="U227" s="61" t="n"/>
      <c r="V227" s="61" t="n"/>
      <c r="W227" s="61" t="n"/>
      <c r="X227" s="61" t="n"/>
      <c r="Y227" s="61" t="n"/>
      <c r="Z227" s="61" t="n"/>
    </row>
    <row r="228" hidden="1" outlineLevel="2" collapsed="1" ht="17.25" customHeight="1" thickBot="1">
      <c r="B228" s="740" t="n">
        <v>43047</v>
      </c>
      <c r="C228" s="299" t="inlineStr">
        <is>
          <t>TXO</t>
        </is>
      </c>
      <c r="D228" s="300" t="inlineStr">
        <is>
          <t>台指選 11 10800 C</t>
        </is>
      </c>
      <c r="E228" s="300" t="inlineStr">
        <is>
          <t>新倉</t>
        </is>
      </c>
      <c r="F228" s="301" t="inlineStr">
        <is>
          <t>買</t>
        </is>
      </c>
      <c r="G228" s="300" t="inlineStr">
        <is>
          <t>-</t>
        </is>
      </c>
      <c r="H228" s="741" t="n">
        <v>1</v>
      </c>
      <c r="I228" s="765" t="n">
        <v>57</v>
      </c>
      <c r="J228" s="741" t="n">
        <v>-2850</v>
      </c>
      <c r="K228" s="742" t="n">
        <v>18</v>
      </c>
      <c r="L228" s="742" t="n">
        <v>3</v>
      </c>
      <c r="M228" s="585">
        <f>IF(C228="TXO",J228-SUM(K228:L228),IF(C228="FITX",IF(E228="新倉",-SUM(K228:L228),IF(F228="賣",(I228-I227)*H228*200-SUM(K228:L228),(I227-I228)*H228*200-SUM(K228:L228))),IF(E228="新倉",-SUM(K228:L228),IF(F228="賣",(I228-I227)*H228*50-SUM(K228:L228),(I227-I228)*H228*50-SUM(K228:L228)))))</f>
        <v/>
      </c>
      <c r="N228" s="743">
        <f>M228</f>
        <v/>
      </c>
      <c r="O228" s="686">
        <f>IF(C228="TXO","",IF(E228="新倉","",IF(F228="賣",(I228-I227)*H228,(I227-I228)*H228)))</f>
        <v/>
      </c>
      <c r="P228" s="334">
        <f>ABS(J228)</f>
        <v/>
      </c>
      <c r="Q228" s="667" t="n"/>
      <c r="R228" s="230" t="inlineStr">
        <is>
          <t>小量，賭向下破箱-價內</t>
        </is>
      </c>
      <c r="S228" s="739" t="n"/>
      <c r="T228" s="61" t="n"/>
      <c r="U228" s="61" t="n"/>
      <c r="V228" s="61" t="n"/>
      <c r="W228" s="61" t="n"/>
      <c r="X228" s="61" t="n"/>
      <c r="Y228" s="61" t="n"/>
      <c r="Z228" s="61" t="n"/>
    </row>
    <row r="229" hidden="1" outlineLevel="2" collapsed="1" ht="17.25" customHeight="1" thickBot="1">
      <c r="B229" s="740" t="n">
        <v>43047</v>
      </c>
      <c r="C229" s="299" t="inlineStr">
        <is>
          <t>TXO</t>
        </is>
      </c>
      <c r="D229" s="300" t="inlineStr">
        <is>
          <t>台指選 11 10800 C</t>
        </is>
      </c>
      <c r="E229" s="300" t="inlineStr">
        <is>
          <t>平倉</t>
        </is>
      </c>
      <c r="F229" s="301" t="inlineStr">
        <is>
          <t>賣</t>
        </is>
      </c>
      <c r="G229" s="300" t="inlineStr">
        <is>
          <t>-</t>
        </is>
      </c>
      <c r="H229" s="741" t="n">
        <v>1</v>
      </c>
      <c r="I229" s="765" t="n">
        <v>31.5</v>
      </c>
      <c r="J229" s="741" t="n">
        <v>3150</v>
      </c>
      <c r="K229" s="742" t="n">
        <v>18</v>
      </c>
      <c r="L229" s="742" t="n">
        <v>3</v>
      </c>
      <c r="M229" s="585">
        <f>IF(C229="TXO",J229-SUM(K229:L229),IF(C229="FITX",IF(E229="新倉",-SUM(K229:L229),IF(F229="賣",(I229-I228)*H229*200-SUM(K229:L229),(I228-I229)*H229*200-SUM(K229:L229))),IF(E229="新倉",-SUM(K229:L229),IF(F229="賣",(I229-I228)*H229*50-SUM(K229:L229),(I228-I229)*H229*50-SUM(K229:L229)))))</f>
        <v/>
      </c>
      <c r="N229" s="743">
        <f>M229</f>
        <v/>
      </c>
      <c r="O229" s="686">
        <f>IF(C229="TXO","",IF(E229="新倉","",IF(F229="賣",(I229-I228)*H229,(I228-I229)*H229)))</f>
        <v/>
      </c>
      <c r="P229" s="334">
        <f>ABS(J229)</f>
        <v/>
      </c>
      <c r="Q229" s="667" t="n"/>
      <c r="R229" s="230" t="inlineStr">
        <is>
          <t>小量，賭向下破箱-價外</t>
        </is>
      </c>
      <c r="S229" s="739" t="n"/>
      <c r="T229" s="61" t="n"/>
      <c r="U229" s="61" t="n"/>
      <c r="V229" s="61" t="n"/>
      <c r="W229" s="61" t="n"/>
      <c r="X229" s="61" t="n"/>
      <c r="Y229" s="61" t="n"/>
      <c r="Z229" s="61" t="n"/>
    </row>
    <row r="230" hidden="1" outlineLevel="2" ht="17.25" customHeight="1" thickBot="1">
      <c r="B230" s="740" t="n">
        <v>43047</v>
      </c>
      <c r="C230" s="299" t="inlineStr">
        <is>
          <t>FIMTX</t>
        </is>
      </c>
      <c r="D230" s="300" t="inlineStr">
        <is>
          <t>小指11</t>
        </is>
      </c>
      <c r="E230" s="300" t="inlineStr">
        <is>
          <t>新倉</t>
        </is>
      </c>
      <c r="F230" s="301" t="inlineStr">
        <is>
          <t>賣</t>
        </is>
      </c>
      <c r="G230" s="300" t="inlineStr">
        <is>
          <t>-</t>
        </is>
      </c>
      <c r="H230" s="741" t="n">
        <v>1</v>
      </c>
      <c r="I230" s="765" t="n">
        <v>10808</v>
      </c>
      <c r="J230" s="741" t="n">
        <v>0</v>
      </c>
      <c r="K230" s="742" t="n">
        <v>23</v>
      </c>
      <c r="L230" s="742" t="n">
        <v>11</v>
      </c>
      <c r="M230" s="585">
        <f>IF(C230="TXO",J230-SUM(K230:L230),IF(C230="FITX",IF(E230="新倉",-SUM(K230:L230),IF(F230="賣",(I230-I229)*H230*200-SUM(K230:L230),(I229-I230)*H230*200-SUM(K230:L230))),IF(E230="新倉",-SUM(K230:L230),IF(F230="賣",(I230-I229)*H230*50-SUM(K230:L230),(I229-I230)*H230*50-SUM(K230:L230)))))</f>
        <v/>
      </c>
      <c r="N230" s="743">
        <f>M230</f>
        <v/>
      </c>
      <c r="O230" s="686">
        <f>IF(C230="TXO","",IF(E230="新倉","",IF(F230="賣",(I230-I229)*H230,(I229-I230)*H230)))</f>
        <v/>
      </c>
      <c r="P230" s="334">
        <f>ABS(J230)</f>
        <v/>
      </c>
      <c r="Q230" s="667" t="n"/>
      <c r="S230" s="739" t="n"/>
      <c r="T230" s="61" t="n"/>
      <c r="U230" s="61" t="n"/>
      <c r="V230" s="61" t="n"/>
      <c r="W230" s="61" t="n"/>
      <c r="X230" s="61" t="n"/>
      <c r="Y230" s="61" t="n"/>
      <c r="Z230" s="61" t="n"/>
    </row>
    <row r="231" hidden="1" outlineLevel="2" collapsed="1" ht="17.25" customHeight="1" thickBot="1">
      <c r="B231" s="740" t="n">
        <v>43047</v>
      </c>
      <c r="C231" s="299" t="inlineStr">
        <is>
          <t>FIMTX</t>
        </is>
      </c>
      <c r="D231" s="300" t="inlineStr">
        <is>
          <t>小指11</t>
        </is>
      </c>
      <c r="E231" s="300" t="inlineStr">
        <is>
          <t>平倉</t>
        </is>
      </c>
      <c r="F231" s="301" t="inlineStr">
        <is>
          <t>買</t>
        </is>
      </c>
      <c r="G231" s="300" t="inlineStr">
        <is>
          <t>-</t>
        </is>
      </c>
      <c r="H231" s="741" t="n">
        <v>1</v>
      </c>
      <c r="I231" s="765" t="n">
        <v>10814</v>
      </c>
      <c r="J231" s="741" t="n">
        <v>0</v>
      </c>
      <c r="K231" s="742" t="n">
        <v>23</v>
      </c>
      <c r="L231" s="742" t="n">
        <v>11</v>
      </c>
      <c r="M231" s="585">
        <f>IF(C231="TXO",J231-SUM(K231:L231),IF(C231="FITX",IF(E231="新倉",-SUM(K231:L231),IF(F231="賣",(I231-I230)*H231*200-SUM(K231:L231),(I230-I231)*H231*200-SUM(K231:L231))),IF(E231="新倉",-SUM(K231:L231),IF(F231="賣",(I231-I230)*H231*50-SUM(K231:L231),(I230-I231)*H231*50-SUM(K231:L231)))))</f>
        <v/>
      </c>
      <c r="N231" s="743">
        <f>M231</f>
        <v/>
      </c>
      <c r="O231" s="686">
        <f>IF(C231="TXO","",IF(E231="新倉","",IF(F231="賣",(I231-I230)*H231,(I230-I231)*H231)))</f>
        <v/>
      </c>
      <c r="P231" s="334">
        <f>ABS(J231)</f>
        <v/>
      </c>
      <c r="Q231" s="667" t="n"/>
      <c r="S231" s="739" t="n"/>
      <c r="T231" s="61" t="n"/>
      <c r="U231" s="61" t="n"/>
      <c r="V231" s="61" t="n"/>
      <c r="W231" s="61" t="n"/>
      <c r="X231" s="61" t="n"/>
      <c r="Y231" s="61" t="n"/>
      <c r="Z231" s="61" t="n"/>
    </row>
    <row r="232" hidden="1" outlineLevel="2" collapsed="1" ht="17.25" customHeight="1" thickBot="1">
      <c r="B232" s="740" t="n">
        <v>43047</v>
      </c>
      <c r="C232" s="299" t="inlineStr">
        <is>
          <t>FIMTX</t>
        </is>
      </c>
      <c r="D232" s="300" t="inlineStr">
        <is>
          <t>小指11</t>
        </is>
      </c>
      <c r="E232" s="300" t="inlineStr">
        <is>
          <t>新倉</t>
        </is>
      </c>
      <c r="F232" s="301" t="inlineStr">
        <is>
          <t>買</t>
        </is>
      </c>
      <c r="G232" s="300" t="inlineStr">
        <is>
          <t>-</t>
        </is>
      </c>
      <c r="H232" s="741" t="n">
        <v>1</v>
      </c>
      <c r="I232" s="765" t="n">
        <v>10801</v>
      </c>
      <c r="J232" s="741" t="n">
        <v>0</v>
      </c>
      <c r="K232" s="742" t="n">
        <v>23</v>
      </c>
      <c r="L232" s="742" t="n">
        <v>11</v>
      </c>
      <c r="M232" s="585">
        <f>IF(C232="TXO",J232-SUM(K232:L232),IF(C232="FITX",IF(E232="新倉",-SUM(K232:L232),IF(F232="賣",(I232-I231)*H232*200-SUM(K232:L232),(I231-I232)*H232*200-SUM(K232:L232))),IF(E232="新倉",-SUM(K232:L232),IF(F232="賣",(I232-I231)*H232*50-SUM(K232:L232),(I231-I232)*H232*50-SUM(K232:L232)))))</f>
        <v/>
      </c>
      <c r="N232" s="743">
        <f>M232</f>
        <v/>
      </c>
      <c r="O232" s="686">
        <f>IF(C232="TXO","",IF(E232="新倉","",IF(F232="賣",(I232-I231)*H232,(I231-I232)*H232)))</f>
        <v/>
      </c>
      <c r="P232" s="334">
        <f>ABS(J232)</f>
        <v/>
      </c>
      <c r="Q232" s="667" t="n"/>
      <c r="S232" s="739" t="n"/>
      <c r="T232" s="61" t="n"/>
      <c r="U232" s="61" t="n"/>
      <c r="V232" s="61" t="n"/>
      <c r="W232" s="61" t="n"/>
      <c r="X232" s="61" t="n"/>
      <c r="Y232" s="61" t="n"/>
      <c r="Z232" s="61" t="n"/>
    </row>
    <row r="233" hidden="1" outlineLevel="2" collapsed="1" ht="17.25" customHeight="1" thickBot="1">
      <c r="B233" s="740" t="n">
        <v>43047</v>
      </c>
      <c r="C233" s="299" t="inlineStr">
        <is>
          <t>FIMTX</t>
        </is>
      </c>
      <c r="D233" s="300" t="inlineStr">
        <is>
          <t>小指11</t>
        </is>
      </c>
      <c r="E233" s="300" t="inlineStr">
        <is>
          <t>平倉</t>
        </is>
      </c>
      <c r="F233" s="301" t="inlineStr">
        <is>
          <t>賣</t>
        </is>
      </c>
      <c r="G233" s="300" t="inlineStr">
        <is>
          <t>-</t>
        </is>
      </c>
      <c r="H233" s="741" t="n">
        <v>1</v>
      </c>
      <c r="I233" s="765" t="n">
        <v>10805</v>
      </c>
      <c r="J233" s="741" t="n">
        <v>0</v>
      </c>
      <c r="K233" s="742" t="n">
        <v>23</v>
      </c>
      <c r="L233" s="742" t="n">
        <v>11</v>
      </c>
      <c r="M233" s="585">
        <f>IF(C233="TXO",J233-SUM(K233:L233),IF(C233="FITX",IF(E233="新倉",-SUM(K233:L233),IF(F233="賣",(I233-I232)*H233*200-SUM(K233:L233),(I232-I233)*H233*200-SUM(K233:L233))),IF(E233="新倉",-SUM(K233:L233),IF(F233="賣",(I233-I232)*H233*50-SUM(K233:L233),(I232-I233)*H233*50-SUM(K233:L233)))))</f>
        <v/>
      </c>
      <c r="N233" s="743">
        <f>M233</f>
        <v/>
      </c>
      <c r="O233" s="686">
        <f>IF(C233="TXO","",IF(E233="新倉","",IF(F233="賣",(I233-I232)*H233,(I232-I233)*H233)))</f>
        <v/>
      </c>
      <c r="P233" s="334">
        <f>ABS(J233)</f>
        <v/>
      </c>
      <c r="Q233" s="667" t="n"/>
      <c r="S233" s="739" t="n"/>
      <c r="T233" s="61" t="n"/>
      <c r="U233" s="61" t="n"/>
      <c r="V233" s="61" t="n"/>
      <c r="W233" s="61" t="n"/>
      <c r="X233" s="61" t="n"/>
      <c r="Y233" s="61" t="n"/>
      <c r="Z233" s="61" t="n"/>
    </row>
    <row r="234" hidden="1" outlineLevel="2" collapsed="1" ht="17.25" customHeight="1" thickBot="1">
      <c r="B234" s="740" t="n">
        <v>43047</v>
      </c>
      <c r="C234" s="299" t="inlineStr">
        <is>
          <t>FIMTX</t>
        </is>
      </c>
      <c r="D234" s="300" t="inlineStr">
        <is>
          <t>小指11</t>
        </is>
      </c>
      <c r="E234" s="300" t="inlineStr">
        <is>
          <t>新倉</t>
        </is>
      </c>
      <c r="F234" s="301" t="inlineStr">
        <is>
          <t>賣</t>
        </is>
      </c>
      <c r="G234" s="300" t="inlineStr">
        <is>
          <t>-</t>
        </is>
      </c>
      <c r="H234" s="741" t="n">
        <v>1</v>
      </c>
      <c r="I234" s="765" t="n">
        <v>10804</v>
      </c>
      <c r="J234" s="741" t="n">
        <v>0</v>
      </c>
      <c r="K234" s="742" t="n">
        <v>23</v>
      </c>
      <c r="L234" s="742" t="n">
        <v>11</v>
      </c>
      <c r="M234" s="585">
        <f>IF(C234="TXO",J234-SUM(K234:L234),IF(C234="FITX",IF(E234="新倉",-SUM(K234:L234),IF(F234="賣",(I234-I233)*H234*200-SUM(K234:L234),(I233-I234)*H234*200-SUM(K234:L234))),IF(E234="新倉",-SUM(K234:L234),IF(F234="賣",(I234-I233)*H234*50-SUM(K234:L234),(I233-I234)*H234*50-SUM(K234:L234)))))</f>
        <v/>
      </c>
      <c r="N234" s="743">
        <f>M234</f>
        <v/>
      </c>
      <c r="O234" s="686">
        <f>IF(C234="TXO","",IF(E234="新倉","",IF(F234="賣",(I234-I233)*H234,(I233-I234)*H234)))</f>
        <v/>
      </c>
      <c r="P234" s="334">
        <f>ABS(J234)</f>
        <v/>
      </c>
      <c r="Q234" s="667" t="n"/>
      <c r="R234" s="230" t="inlineStr">
        <is>
          <t>小量，賭向下破箱-價內</t>
        </is>
      </c>
      <c r="S234" s="739" t="n"/>
      <c r="T234" s="61" t="n"/>
      <c r="U234" s="61" t="n"/>
      <c r="V234" s="61" t="n"/>
      <c r="W234" s="61" t="n"/>
      <c r="X234" s="61" t="n"/>
      <c r="Y234" s="61" t="n"/>
      <c r="Z234" s="61" t="n"/>
    </row>
    <row r="235" hidden="1" outlineLevel="2" collapsed="1" ht="17.25" customHeight="1" thickBot="1">
      <c r="B235" s="740" t="n">
        <v>43047</v>
      </c>
      <c r="C235" s="299" t="inlineStr">
        <is>
          <t>FIMTX</t>
        </is>
      </c>
      <c r="D235" s="300" t="inlineStr">
        <is>
          <t>小指11</t>
        </is>
      </c>
      <c r="E235" s="300" t="inlineStr">
        <is>
          <t>平倉</t>
        </is>
      </c>
      <c r="F235" s="301" t="inlineStr">
        <is>
          <t>買</t>
        </is>
      </c>
      <c r="G235" s="300" t="inlineStr">
        <is>
          <t>-</t>
        </is>
      </c>
      <c r="H235" s="741" t="n">
        <v>1</v>
      </c>
      <c r="I235" s="765" t="n">
        <v>10812</v>
      </c>
      <c r="J235" s="741" t="n">
        <v>0</v>
      </c>
      <c r="K235" s="742" t="n">
        <v>23</v>
      </c>
      <c r="L235" s="742" t="n">
        <v>11</v>
      </c>
      <c r="M235" s="585">
        <f>IF(C235="TXO",J235-SUM(K235:L235),IF(C235="FITX",IF(E235="新倉",-SUM(K235:L235),IF(F235="賣",(I235-I234)*H235*200-SUM(K235:L235),(I234-I235)*H235*200-SUM(K235:L235))),IF(E235="新倉",-SUM(K235:L235),IF(F235="賣",(I235-I234)*H235*50-SUM(K235:L235),(I234-I235)*H235*50-SUM(K235:L235)))))</f>
        <v/>
      </c>
      <c r="N235" s="743">
        <f>M235</f>
        <v/>
      </c>
      <c r="O235" s="686">
        <f>IF(C235="TXO","",IF(E235="新倉","",IF(F235="賣",(I235-I234)*H235,(I234-I235)*H235)))</f>
        <v/>
      </c>
      <c r="P235" s="334">
        <f>ABS(J235)</f>
        <v/>
      </c>
      <c r="Q235" s="667" t="n"/>
      <c r="R235" s="230" t="inlineStr">
        <is>
          <t>小量，賭向下破箱-價外</t>
        </is>
      </c>
      <c r="S235" s="739" t="n"/>
      <c r="T235" s="61" t="n"/>
      <c r="U235" s="61" t="n"/>
      <c r="V235" s="61" t="n"/>
      <c r="W235" s="61" t="n"/>
      <c r="X235" s="61" t="n"/>
      <c r="Y235" s="61" t="n"/>
      <c r="Z235" s="61" t="n"/>
    </row>
    <row r="236" hidden="1" outlineLevel="1" collapsed="1" ht="17.25" customHeight="1" thickBot="1">
      <c r="B236" s="766" t="n">
        <v>43054</v>
      </c>
      <c r="C236" s="337" t="inlineStr">
        <is>
          <t>TXO</t>
        </is>
      </c>
      <c r="D236" s="338" t="inlineStr">
        <is>
          <t>台指選 11 10650 C</t>
        </is>
      </c>
      <c r="E236" s="338" t="inlineStr">
        <is>
          <t>新倉</t>
        </is>
      </c>
      <c r="F236" s="338" t="inlineStr">
        <is>
          <t>買</t>
        </is>
      </c>
      <c r="G236" s="338" t="inlineStr">
        <is>
          <t>-</t>
        </is>
      </c>
      <c r="H236" s="767" t="n">
        <v>1</v>
      </c>
      <c r="I236" s="768" t="n">
        <v>7.8</v>
      </c>
      <c r="J236" s="767" t="n">
        <v>-390</v>
      </c>
      <c r="K236" s="769" t="n">
        <v>18</v>
      </c>
      <c r="L236" s="769" t="n">
        <v>0</v>
      </c>
      <c r="M236" s="585">
        <f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/>
      </c>
      <c r="N236" s="743">
        <f>M236</f>
        <v/>
      </c>
      <c r="O236" s="686">
        <f>IF(C236="TXO","",IF(E236="新倉","",IF(F236="賣",(I236-I235)*H236,(I235-I236)*H236)))</f>
        <v/>
      </c>
      <c r="P236" s="334">
        <f>ABS(J236)</f>
        <v/>
      </c>
      <c r="Q236" s="667">
        <f>SUM(M236:M251)</f>
        <v/>
      </c>
      <c r="S236" s="61" t="n"/>
      <c r="T236" s="61" t="n"/>
      <c r="U236" s="61" t="n"/>
      <c r="V236" s="61" t="n"/>
      <c r="W236" s="61" t="n"/>
      <c r="X236" s="61" t="n"/>
      <c r="Y236" s="61" t="n"/>
      <c r="Z236" s="61" t="n"/>
    </row>
    <row r="237" hidden="1" outlineLevel="2" ht="17.25" customHeight="1" thickBot="1">
      <c r="B237" s="766" t="n">
        <v>43054</v>
      </c>
      <c r="C237" s="337" t="inlineStr">
        <is>
          <t>TXO</t>
        </is>
      </c>
      <c r="D237" s="338" t="inlineStr">
        <is>
          <t>台指選 11 10650 C</t>
        </is>
      </c>
      <c r="E237" s="338" t="inlineStr">
        <is>
          <t>平倉</t>
        </is>
      </c>
      <c r="F237" s="338" t="inlineStr">
        <is>
          <t>賣</t>
        </is>
      </c>
      <c r="G237" s="338" t="inlineStr">
        <is>
          <t>-</t>
        </is>
      </c>
      <c r="H237" s="767" t="n">
        <v>1</v>
      </c>
      <c r="I237" s="768" t="n">
        <v>11.5</v>
      </c>
      <c r="J237" s="767" t="n">
        <v>575</v>
      </c>
      <c r="K237" s="769" t="n">
        <v>18</v>
      </c>
      <c r="L237" s="769" t="n">
        <v>1</v>
      </c>
      <c r="M237" s="585">
        <f>IF(C237="TXO",J237-SUM(K237:L237),IF(C237="FITX",IF(E237="新倉",-SUM(K237:L237),IF(F237="賣",(I237-I236)*H237*200-SUM(K237:L237),(I236-I237)*H237*200-SUM(K237:L237))),IF(E237="新倉",-SUM(K237:L237),IF(F237="賣",(I237-I236)*H237*50-SUM(K237:L237),(I236-I237)*H237*50-SUM(K237:L237)))))</f>
        <v/>
      </c>
      <c r="N237" s="743">
        <f>M237</f>
        <v/>
      </c>
      <c r="O237" s="686">
        <f>IF(C237="TXO","",IF(E237="新倉","",IF(F237="賣",(I237-I236)*H237,(I236-I237)*H237)))</f>
        <v/>
      </c>
      <c r="P237" s="334">
        <f>ABS(J237)</f>
        <v/>
      </c>
      <c r="Q237" s="667" t="n"/>
      <c r="S237" s="61" t="n"/>
      <c r="T237" s="61" t="n"/>
      <c r="U237" s="61" t="n"/>
      <c r="V237" s="61" t="n"/>
      <c r="W237" s="61" t="n"/>
      <c r="X237" s="61" t="n"/>
      <c r="Y237" s="61" t="n"/>
      <c r="Z237" s="61" t="n"/>
    </row>
    <row r="238" hidden="1" outlineLevel="2" ht="17.25" customHeight="1" thickBot="1">
      <c r="B238" s="766" t="n">
        <v>43054</v>
      </c>
      <c r="C238" s="337" t="inlineStr">
        <is>
          <t>TXO</t>
        </is>
      </c>
      <c r="D238" s="338" t="inlineStr">
        <is>
          <t>台指選 11 10700 C</t>
        </is>
      </c>
      <c r="E238" s="338" t="inlineStr">
        <is>
          <t>新倉</t>
        </is>
      </c>
      <c r="F238" s="338" t="inlineStr">
        <is>
          <t>買</t>
        </is>
      </c>
      <c r="G238" s="338" t="inlineStr">
        <is>
          <t>-</t>
        </is>
      </c>
      <c r="H238" s="767" t="n">
        <v>5</v>
      </c>
      <c r="I238" s="768" t="n">
        <v>2</v>
      </c>
      <c r="J238" s="767" t="n">
        <v>-500</v>
      </c>
      <c r="K238" s="769" t="n">
        <v>90</v>
      </c>
      <c r="L238" s="769" t="n">
        <v>0</v>
      </c>
      <c r="M238" s="585">
        <f>IF(C238="TXO",J238-SUM(K238:L238),IF(C238="FITX",IF(E238="新倉",-SUM(K238:L238),IF(F238="賣",(I238-I237)*H238*200-SUM(K238:L238),(I237-I238)*H238*200-SUM(K238:L238))),IF(E238="新倉",-SUM(K238:L238),IF(F238="賣",(I238-I237)*H238*50-SUM(K238:L238),(I237-I238)*H238*50-SUM(K238:L238)))))</f>
        <v/>
      </c>
      <c r="N238" s="743">
        <f>M238</f>
        <v/>
      </c>
      <c r="O238" s="686">
        <f>IF(C238="TXO","",IF(E238="新倉","",IF(F238="賣",(I238-I237)*H238,(I237-I238)*H238)))</f>
        <v/>
      </c>
      <c r="P238" s="334">
        <f>ABS(J238)</f>
        <v/>
      </c>
      <c r="Q238" s="667" t="n"/>
      <c r="S238" s="61" t="n"/>
      <c r="T238" s="61" t="n"/>
      <c r="U238" s="61" t="n"/>
      <c r="V238" s="61" t="n"/>
      <c r="W238" s="61" t="n"/>
      <c r="X238" s="61" t="n"/>
      <c r="Y238" s="61" t="n"/>
      <c r="Z238" s="61" t="n"/>
    </row>
    <row r="239" hidden="1" outlineLevel="2" ht="17.25" customHeight="1" thickBot="1">
      <c r="B239" s="766" t="n">
        <v>43054</v>
      </c>
      <c r="C239" s="337" t="inlineStr">
        <is>
          <t>TXO</t>
        </is>
      </c>
      <c r="D239" s="338" t="inlineStr">
        <is>
          <t>台指選 11 10700 C</t>
        </is>
      </c>
      <c r="E239" s="338" t="inlineStr">
        <is>
          <t>平倉</t>
        </is>
      </c>
      <c r="F239" s="338" t="inlineStr">
        <is>
          <t>賣</t>
        </is>
      </c>
      <c r="G239" s="338" t="inlineStr">
        <is>
          <t>-</t>
        </is>
      </c>
      <c r="H239" s="767" t="n">
        <v>5</v>
      </c>
      <c r="I239" s="768" t="n">
        <v>1.4</v>
      </c>
      <c r="J239" s="767" t="n">
        <v>350</v>
      </c>
      <c r="K239" s="769" t="n">
        <v>90</v>
      </c>
      <c r="L239" s="769" t="n">
        <v>0</v>
      </c>
      <c r="M239" s="585">
        <f>IF(C239="TXO",J239-SUM(K239:L239),IF(C239="FITX",IF(E239="新倉",-SUM(K239:L239),IF(F239="賣",(I239-I238)*H239*200-SUM(K239:L239),(I238-I239)*H239*200-SUM(K239:L239))),IF(E239="新倉",-SUM(K239:L239),IF(F239="賣",(I239-I238)*H239*50-SUM(K239:L239),(I238-I239)*H239*50-SUM(K239:L239)))))</f>
        <v/>
      </c>
      <c r="N239" s="743">
        <f>M239</f>
        <v/>
      </c>
      <c r="O239" s="686">
        <f>IF(C239="TXO","",IF(E239="新倉","",IF(F239="賣",(I239-I238)*H239,(I238-I239)*H239)))</f>
        <v/>
      </c>
      <c r="P239" s="334">
        <f>ABS(J239)</f>
        <v/>
      </c>
      <c r="Q239" s="667" t="n"/>
      <c r="S239" s="61" t="n"/>
      <c r="T239" s="61" t="n"/>
      <c r="U239" s="61" t="n"/>
      <c r="V239" s="61" t="n"/>
      <c r="W239" s="61" t="n"/>
      <c r="X239" s="61" t="n"/>
      <c r="Y239" s="61" t="n"/>
      <c r="Z239" s="61" t="n"/>
    </row>
    <row r="240" hidden="1" outlineLevel="2" ht="17.25" customHeight="1" thickBot="1">
      <c r="B240" s="766" t="n">
        <v>43054</v>
      </c>
      <c r="C240" s="337" t="inlineStr">
        <is>
          <t>TXO</t>
        </is>
      </c>
      <c r="D240" s="338" t="inlineStr">
        <is>
          <t>台指選 11 10600 P</t>
        </is>
      </c>
      <c r="E240" s="338" t="inlineStr">
        <is>
          <t>新倉</t>
        </is>
      </c>
      <c r="F240" s="338" t="inlineStr">
        <is>
          <t>買</t>
        </is>
      </c>
      <c r="G240" s="338" t="inlineStr">
        <is>
          <t>-</t>
        </is>
      </c>
      <c r="H240" s="767" t="n">
        <v>5</v>
      </c>
      <c r="I240" s="768" t="n">
        <v>3</v>
      </c>
      <c r="J240" s="767" t="n">
        <v>-750</v>
      </c>
      <c r="K240" s="769" t="n">
        <v>90</v>
      </c>
      <c r="L240" s="769" t="n">
        <v>0</v>
      </c>
      <c r="M240" s="585">
        <f>IF(C240="TXO",J240-SUM(K240:L240),IF(C240="FITX",IF(E240="新倉",-SUM(K240:L240),IF(F240="賣",(I240-I239)*H240*200-SUM(K240:L240),(I239-I240)*H240*200-SUM(K240:L240))),IF(E240="新倉",-SUM(K240:L240),IF(F240="賣",(I240-I239)*H240*50-SUM(K240:L240),(I239-I240)*H240*50-SUM(K240:L240)))))</f>
        <v/>
      </c>
      <c r="N240" s="743">
        <f>M240</f>
        <v/>
      </c>
      <c r="O240" s="686">
        <f>IF(C240="TXO","",IF(E240="新倉","",IF(F240="賣",(I240-I239)*H240,(I239-I240)*H240)))</f>
        <v/>
      </c>
      <c r="P240" s="334">
        <f>ABS(J240)</f>
        <v/>
      </c>
      <c r="Q240" s="667" t="n"/>
      <c r="S240" s="61" t="n"/>
      <c r="T240" s="61" t="n"/>
      <c r="U240" s="61" t="n"/>
      <c r="V240" s="61" t="n"/>
      <c r="W240" s="61" t="n"/>
      <c r="X240" s="61" t="n"/>
      <c r="Y240" s="61" t="n"/>
      <c r="Z240" s="61" t="n"/>
    </row>
    <row r="241" hidden="1" outlineLevel="2" ht="17.25" customHeight="1" thickBot="1">
      <c r="B241" s="766" t="n">
        <v>43054</v>
      </c>
      <c r="C241" s="337" t="inlineStr">
        <is>
          <t>TXO</t>
        </is>
      </c>
      <c r="D241" s="338" t="inlineStr">
        <is>
          <t>台指選 11 10600 P</t>
        </is>
      </c>
      <c r="E241" s="338" t="inlineStr">
        <is>
          <t>平倉</t>
        </is>
      </c>
      <c r="F241" s="338" t="inlineStr">
        <is>
          <t>賣</t>
        </is>
      </c>
      <c r="G241" s="338" t="inlineStr">
        <is>
          <t>-</t>
        </is>
      </c>
      <c r="H241" s="767" t="n">
        <v>5</v>
      </c>
      <c r="I241" s="768" t="n">
        <v>1.233333333333333</v>
      </c>
      <c r="J241" s="767" t="n">
        <v>925</v>
      </c>
      <c r="K241" s="769" t="n">
        <v>90</v>
      </c>
      <c r="L241" s="769" t="n">
        <v>0</v>
      </c>
      <c r="M241" s="585">
        <f>IF(C241="TXO",J241-SUM(K241:L241),IF(C241="FITX",IF(E241="新倉",-SUM(K241:L241),IF(F241="賣",(I241-I240)*H241*200-SUM(K241:L241),(I240-I241)*H241*200-SUM(K241:L241))),IF(E241="新倉",-SUM(K241:L241),IF(F241="賣",(I241-I240)*H241*50-SUM(K241:L241),(I240-I241)*H241*50-SUM(K241:L241)))))</f>
        <v/>
      </c>
      <c r="N241" s="743">
        <f>M241</f>
        <v/>
      </c>
      <c r="O241" s="686">
        <f>IF(C241="TXO","",IF(E241="新倉","",IF(F241="賣",(I241-I240)*H241,(I240-I241)*H241)))</f>
        <v/>
      </c>
      <c r="P241" s="334">
        <f>ABS(J241)</f>
        <v/>
      </c>
      <c r="Q241" s="667" t="n"/>
      <c r="S241" s="61" t="n"/>
      <c r="T241" s="61" t="n"/>
      <c r="U241" s="61" t="n"/>
      <c r="V241" s="61" t="n"/>
      <c r="W241" s="61" t="n"/>
      <c r="X241" s="61" t="n"/>
      <c r="Y241" s="61" t="n"/>
      <c r="Z241" s="61" t="n"/>
    </row>
    <row r="242" hidden="1" outlineLevel="2" ht="17.25" customHeight="1" thickBot="1">
      <c r="B242" s="766" t="n">
        <v>43054</v>
      </c>
      <c r="C242" s="337" t="inlineStr">
        <is>
          <t>TXO</t>
        </is>
      </c>
      <c r="D242" s="338" t="inlineStr">
        <is>
          <t>台指選 11 10650 P</t>
        </is>
      </c>
      <c r="E242" s="338" t="inlineStr">
        <is>
          <t>新倉</t>
        </is>
      </c>
      <c r="F242" s="338" t="inlineStr">
        <is>
          <t>買</t>
        </is>
      </c>
      <c r="G242" s="338" t="inlineStr">
        <is>
          <t>-</t>
        </is>
      </c>
      <c r="H242" s="767" t="n">
        <v>5</v>
      </c>
      <c r="I242" s="768" t="n">
        <v>16</v>
      </c>
      <c r="J242" s="767" t="n">
        <v>-4000</v>
      </c>
      <c r="K242" s="769" t="n">
        <v>90</v>
      </c>
      <c r="L242" s="769" t="n">
        <v>5</v>
      </c>
      <c r="M242" s="585">
        <f>IF(C242="TXO",J242-SUM(K242:L242),IF(C242="FITX",IF(E242="新倉",-SUM(K242:L242),IF(F242="賣",(I242-I241)*H242*200-SUM(K242:L242),(I241-I242)*H242*200-SUM(K242:L242))),IF(E242="新倉",-SUM(K242:L242),IF(F242="賣",(I242-I241)*H242*50-SUM(K242:L242),(I241-I242)*H242*50-SUM(K242:L242)))))</f>
        <v/>
      </c>
      <c r="N242" s="743">
        <f>M242</f>
        <v/>
      </c>
      <c r="O242" s="686">
        <f>IF(C242="TXO","",IF(E242="新倉","",IF(F242="賣",(I242-I241)*H242,(I241-I242)*H242)))</f>
        <v/>
      </c>
      <c r="P242" s="334">
        <f>ABS(J242)</f>
        <v/>
      </c>
      <c r="Q242" s="667" t="n"/>
      <c r="S242" s="61" t="n"/>
      <c r="T242" s="61" t="n"/>
      <c r="U242" s="61" t="n"/>
      <c r="V242" s="61" t="n"/>
      <c r="W242" s="61" t="n"/>
      <c r="X242" s="61" t="n"/>
      <c r="Y242" s="61" t="n"/>
      <c r="Z242" s="61" t="n"/>
    </row>
    <row r="243" hidden="1" outlineLevel="2" ht="17.25" customHeight="1" thickBot="1">
      <c r="B243" s="766" t="n">
        <v>43054</v>
      </c>
      <c r="C243" s="337" t="inlineStr">
        <is>
          <t>TXO</t>
        </is>
      </c>
      <c r="D243" s="338" t="inlineStr">
        <is>
          <t>台指選 11 10650 P</t>
        </is>
      </c>
      <c r="E243" s="338" t="inlineStr">
        <is>
          <t>平倉</t>
        </is>
      </c>
      <c r="F243" s="338" t="inlineStr">
        <is>
          <t>賣</t>
        </is>
      </c>
      <c r="G243" s="338" t="inlineStr">
        <is>
          <t>-</t>
        </is>
      </c>
      <c r="H243" s="767" t="n">
        <v>5</v>
      </c>
      <c r="I243" s="768" t="n">
        <v>19</v>
      </c>
      <c r="J243" s="767" t="n">
        <v>4750</v>
      </c>
      <c r="K243" s="769" t="n">
        <v>90</v>
      </c>
      <c r="L243" s="769" t="n">
        <v>5</v>
      </c>
      <c r="M243" s="585">
        <f>IF(C243="TXO",J243-SUM(K243:L243),IF(C243="FITX",IF(E243="新倉",-SUM(K243:L243),IF(F243="賣",(I243-I242)*H243*200-SUM(K243:L243),(I242-I243)*H243*200-SUM(K243:L243))),IF(E243="新倉",-SUM(K243:L243),IF(F243="賣",(I243-I242)*H243*50-SUM(K243:L243),(I242-I243)*H243*50-SUM(K243:L243)))))</f>
        <v/>
      </c>
      <c r="N243" s="743">
        <f>M243</f>
        <v/>
      </c>
      <c r="O243" s="686">
        <f>IF(C243="TXO","",IF(E243="新倉","",IF(F243="賣",(I243-I242)*H243,(I242-I243)*H243)))</f>
        <v/>
      </c>
      <c r="P243" s="334">
        <f>ABS(J243)</f>
        <v/>
      </c>
      <c r="Q243" s="667" t="n"/>
      <c r="S243" s="61" t="n"/>
      <c r="T243" s="61" t="n"/>
      <c r="U243" s="61" t="n"/>
      <c r="V243" s="61" t="n"/>
      <c r="W243" s="61" t="n"/>
      <c r="X243" s="61" t="n"/>
      <c r="Y243" s="61" t="n"/>
      <c r="Z243" s="61" t="n"/>
    </row>
    <row r="244" hidden="1" outlineLevel="2" ht="17.25" customHeight="1" thickBot="1">
      <c r="B244" s="766" t="n">
        <v>43054</v>
      </c>
      <c r="C244" s="337" t="inlineStr">
        <is>
          <t>TXO</t>
        </is>
      </c>
      <c r="D244" s="338" t="inlineStr">
        <is>
          <t>台指選 11 10650 P</t>
        </is>
      </c>
      <c r="E244" s="338" t="inlineStr">
        <is>
          <t>新倉</t>
        </is>
      </c>
      <c r="F244" s="338" t="inlineStr">
        <is>
          <t>買</t>
        </is>
      </c>
      <c r="G244" s="338" t="inlineStr">
        <is>
          <t>-</t>
        </is>
      </c>
      <c r="H244" s="767" t="n">
        <v>5</v>
      </c>
      <c r="I244" s="768" t="n">
        <v>16</v>
      </c>
      <c r="J244" s="767" t="n">
        <v>-4000</v>
      </c>
      <c r="K244" s="769" t="n">
        <v>90</v>
      </c>
      <c r="L244" s="769" t="n">
        <v>5</v>
      </c>
      <c r="M244" s="585">
        <f>IF(C244="TXO",J244-SUM(K244:L244),IF(C244="FITX",IF(E244="新倉",-SUM(K244:L244),IF(F244="賣",(I244-I243)*H244*200-SUM(K244:L244),(I243-I244)*H244*200-SUM(K244:L244))),IF(E244="新倉",-SUM(K244:L244),IF(F244="賣",(I244-I243)*H244*50-SUM(K244:L244),(I243-I244)*H244*50-SUM(K244:L244)))))</f>
        <v/>
      </c>
      <c r="N244" s="743">
        <f>M244</f>
        <v/>
      </c>
      <c r="O244" s="686">
        <f>IF(C244="TXO","",IF(E244="新倉","",IF(F244="賣",(I244-I243)*H244,(I243-I244)*H244)))</f>
        <v/>
      </c>
      <c r="P244" s="334">
        <f>ABS(J244)</f>
        <v/>
      </c>
      <c r="Q244" s="667" t="n"/>
      <c r="S244" s="61" t="n"/>
      <c r="T244" s="61" t="n"/>
      <c r="U244" s="61" t="n"/>
      <c r="V244" s="61" t="n"/>
      <c r="W244" s="61" t="n"/>
      <c r="X244" s="61" t="n"/>
      <c r="Y244" s="61" t="n"/>
      <c r="Z244" s="61" t="n"/>
    </row>
    <row r="245" hidden="1" outlineLevel="2" ht="17.25" customHeight="1" thickBot="1">
      <c r="B245" s="766" t="n">
        <v>43054</v>
      </c>
      <c r="C245" s="337" t="inlineStr">
        <is>
          <t>TXO</t>
        </is>
      </c>
      <c r="D245" s="338" t="inlineStr">
        <is>
          <t>台指選 11 10650 P</t>
        </is>
      </c>
      <c r="E245" s="338" t="inlineStr">
        <is>
          <t>平倉</t>
        </is>
      </c>
      <c r="F245" s="338" t="inlineStr">
        <is>
          <t>賣</t>
        </is>
      </c>
      <c r="G245" s="338" t="inlineStr">
        <is>
          <t>-</t>
        </is>
      </c>
      <c r="H245" s="767" t="n">
        <v>5</v>
      </c>
      <c r="I245" s="768" t="n">
        <v>19.5</v>
      </c>
      <c r="J245" s="767" t="n">
        <v>4875</v>
      </c>
      <c r="K245" s="769" t="n">
        <v>90</v>
      </c>
      <c r="L245" s="769" t="n">
        <v>5</v>
      </c>
      <c r="M245" s="585">
        <f>IF(C245="TXO",J245-SUM(K245:L245),IF(C245="FITX",IF(E245="新倉",-SUM(K245:L245),IF(F245="賣",(I245-I244)*H245*200-SUM(K245:L245),(I244-I245)*H245*200-SUM(K245:L245))),IF(E245="新倉",-SUM(K245:L245),IF(F245="賣",(I245-I244)*H245*50-SUM(K245:L245),(I244-I245)*H245*50-SUM(K245:L245)))))</f>
        <v/>
      </c>
      <c r="N245" s="743">
        <f>M245</f>
        <v/>
      </c>
      <c r="O245" s="686">
        <f>IF(C245="TXO","",IF(E245="新倉","",IF(F245="賣",(I245-I244)*H245,(I244-I245)*H245)))</f>
        <v/>
      </c>
      <c r="P245" s="334">
        <f>ABS(J245)</f>
        <v/>
      </c>
      <c r="Q245" s="667" t="n"/>
      <c r="S245" s="61" t="n"/>
      <c r="T245" s="61" t="n"/>
      <c r="U245" s="61" t="n"/>
      <c r="V245" s="61" t="n"/>
      <c r="W245" s="61" t="n"/>
      <c r="X245" s="61" t="n"/>
      <c r="Y245" s="61" t="n"/>
      <c r="Z245" s="61" t="n"/>
    </row>
    <row r="246" hidden="1" outlineLevel="2" ht="17.25" customHeight="1" thickBot="1">
      <c r="B246" s="766" t="n">
        <v>43054</v>
      </c>
      <c r="C246" s="337" t="inlineStr">
        <is>
          <t>TXO</t>
        </is>
      </c>
      <c r="D246" s="338" t="inlineStr">
        <is>
          <t>台指選 11 10600 P</t>
        </is>
      </c>
      <c r="E246" s="338" t="inlineStr">
        <is>
          <t>新倉</t>
        </is>
      </c>
      <c r="F246" s="338" t="inlineStr">
        <is>
          <t>買</t>
        </is>
      </c>
      <c r="G246" s="338" t="inlineStr">
        <is>
          <t>-</t>
        </is>
      </c>
      <c r="H246" s="767" t="n">
        <v>10</v>
      </c>
      <c r="I246" s="768" t="n">
        <v>3.5</v>
      </c>
      <c r="J246" s="767" t="n">
        <v>-1750</v>
      </c>
      <c r="K246" s="769" t="n">
        <v>180</v>
      </c>
      <c r="L246" s="769" t="n">
        <v>0</v>
      </c>
      <c r="M246" s="585">
        <f>IF(C246="TXO",J246-SUM(K246:L246),IF(C246="FITX",IF(E246="新倉",-SUM(K246:L246),IF(F246="賣",(I246-I245)*H246*200-SUM(K246:L246),(I245-I246)*H246*200-SUM(K246:L246))),IF(E246="新倉",-SUM(K246:L246),IF(F246="賣",(I246-I245)*H246*50-SUM(K246:L246),(I245-I246)*H246*50-SUM(K246:L246)))))</f>
        <v/>
      </c>
      <c r="N246" s="743">
        <f>M246</f>
        <v/>
      </c>
      <c r="O246" s="686">
        <f>IF(C246="TXO","",IF(E246="新倉","",IF(F246="賣",(I246-I245)*H246,(I245-I246)*H246)))</f>
        <v/>
      </c>
      <c r="P246" s="334">
        <f>ABS(J246)</f>
        <v/>
      </c>
      <c r="Q246" s="667" t="n"/>
      <c r="S246" s="61" t="n"/>
      <c r="T246" s="61" t="n"/>
      <c r="U246" s="61" t="n"/>
      <c r="V246" s="61" t="n"/>
      <c r="W246" s="61" t="n"/>
      <c r="X246" s="61" t="n"/>
      <c r="Y246" s="61" t="n"/>
      <c r="Z246" s="61" t="n"/>
    </row>
    <row r="247" hidden="1" outlineLevel="2" ht="17.25" customHeight="1" thickBot="1">
      <c r="B247" s="766" t="n">
        <v>43054</v>
      </c>
      <c r="C247" s="337" t="inlineStr">
        <is>
          <t>TXO</t>
        </is>
      </c>
      <c r="D247" s="338" t="inlineStr">
        <is>
          <t>台指選 11 10600 P</t>
        </is>
      </c>
      <c r="E247" s="338" t="inlineStr">
        <is>
          <t>平倉</t>
        </is>
      </c>
      <c r="F247" s="338" t="inlineStr">
        <is>
          <t>賣</t>
        </is>
      </c>
      <c r="G247" s="338" t="inlineStr">
        <is>
          <t>-</t>
        </is>
      </c>
      <c r="H247" s="767" t="n">
        <v>10</v>
      </c>
      <c r="I247" s="768" t="n">
        <v>2.466666666666667</v>
      </c>
      <c r="J247" s="767" t="n">
        <v>1850</v>
      </c>
      <c r="K247" s="769" t="n">
        <v>180</v>
      </c>
      <c r="L247" s="769" t="n">
        <v>0</v>
      </c>
      <c r="M247" s="585">
        <f>IF(C247="TXO",J247-SUM(K247:L247),IF(C247="FITX",IF(E247="新倉",-SUM(K247:L247),IF(F247="賣",(I247-I246)*H247*200-SUM(K247:L247),(I246-I247)*H247*200-SUM(K247:L247))),IF(E247="新倉",-SUM(K247:L247),IF(F247="賣",(I247-I246)*H247*50-SUM(K247:L247),(I246-I247)*H247*50-SUM(K247:L247)))))</f>
        <v/>
      </c>
      <c r="N247" s="743">
        <f>M247</f>
        <v/>
      </c>
      <c r="O247" s="686">
        <f>IF(C247="TXO","",IF(E247="新倉","",IF(F247="賣",(I247-I246)*H247,(I246-I247)*H247)))</f>
        <v/>
      </c>
      <c r="P247" s="334">
        <f>ABS(J247)</f>
        <v/>
      </c>
      <c r="Q247" s="667" t="n"/>
      <c r="S247" s="61" t="n"/>
      <c r="T247" s="61" t="n"/>
      <c r="U247" s="61" t="n"/>
      <c r="V247" s="61" t="n"/>
      <c r="W247" s="61" t="n"/>
      <c r="X247" s="61" t="n"/>
      <c r="Y247" s="61" t="n"/>
      <c r="Z247" s="61" t="n"/>
    </row>
    <row r="248" hidden="1" outlineLevel="2" ht="17.25" customHeight="1" thickBot="1">
      <c r="B248" s="766" t="n">
        <v>43054</v>
      </c>
      <c r="C248" s="337" t="inlineStr">
        <is>
          <t>FIMTX</t>
        </is>
      </c>
      <c r="D248" s="338" t="inlineStr">
        <is>
          <t>小指11</t>
        </is>
      </c>
      <c r="E248" s="338" t="inlineStr">
        <is>
          <t>新倉</t>
        </is>
      </c>
      <c r="F248" s="338" t="inlineStr">
        <is>
          <t>賣</t>
        </is>
      </c>
      <c r="G248" s="338" t="inlineStr">
        <is>
          <t>-</t>
        </is>
      </c>
      <c r="H248" s="767" t="n">
        <v>1</v>
      </c>
      <c r="I248" s="768" t="n">
        <v>10644</v>
      </c>
      <c r="J248" s="767" t="n">
        <v>0</v>
      </c>
      <c r="K248" s="769" t="n">
        <v>23</v>
      </c>
      <c r="L248" s="769" t="n">
        <v>11</v>
      </c>
      <c r="M248" s="585">
        <f>IF(C248="TXO",J248-SUM(K248:L248),IF(C248="FITX",IF(E248="新倉",-SUM(K248:L248),IF(F248="賣",(I248-I247)*H248*200-SUM(K248:L248),(I247-I248)*H248*200-SUM(K248:L248))),IF(E248="新倉",-SUM(K248:L248),IF(F248="賣",(I248-I247)*H248*50-SUM(K248:L248),(I247-I248)*H248*50-SUM(K248:L248)))))</f>
        <v/>
      </c>
      <c r="N248" s="743">
        <f>M248</f>
        <v/>
      </c>
      <c r="O248" s="686">
        <f>IF(C248="TXO","",IF(E248="新倉","",IF(F248="賣",(I248-I247)*H248,(I247-I248)*H248)))</f>
        <v/>
      </c>
      <c r="P248" s="334">
        <f>ABS(J248)</f>
        <v/>
      </c>
      <c r="Q248" s="667" t="n"/>
      <c r="S248" s="61" t="n"/>
      <c r="T248" s="61" t="n"/>
      <c r="U248" s="61" t="n"/>
      <c r="V248" s="61" t="n"/>
      <c r="W248" s="61" t="n"/>
      <c r="X248" s="61" t="n"/>
      <c r="Y248" s="61" t="n"/>
      <c r="Z248" s="61" t="n"/>
    </row>
    <row r="249" hidden="1" outlineLevel="2" ht="17.25" customHeight="1" thickBot="1">
      <c r="B249" s="766" t="n">
        <v>43054</v>
      </c>
      <c r="C249" s="337" t="inlineStr">
        <is>
          <t>FIMTX</t>
        </is>
      </c>
      <c r="D249" s="338" t="inlineStr">
        <is>
          <t>小指11</t>
        </is>
      </c>
      <c r="E249" s="338" t="inlineStr">
        <is>
          <t>平倉</t>
        </is>
      </c>
      <c r="F249" s="338" t="inlineStr">
        <is>
          <t>買</t>
        </is>
      </c>
      <c r="G249" s="338" t="inlineStr">
        <is>
          <t>-</t>
        </is>
      </c>
      <c r="H249" s="767" t="n">
        <v>1</v>
      </c>
      <c r="I249" s="768" t="n">
        <v>10635</v>
      </c>
      <c r="J249" s="767" t="n">
        <v>0</v>
      </c>
      <c r="K249" s="769" t="n">
        <v>23</v>
      </c>
      <c r="L249" s="769" t="n">
        <v>11</v>
      </c>
      <c r="M249" s="585">
        <f>IF(C249="TXO",J249-SUM(K249:L249),IF(C249="FITX",IF(E249="新倉",-SUM(K249:L249),IF(F249="賣",(I249-I248)*H249*200-SUM(K249:L249),(I248-I249)*H249*200-SUM(K249:L249))),IF(E249="新倉",-SUM(K249:L249),IF(F249="賣",(I249-I248)*H249*50-SUM(K249:L249),(I248-I249)*H249*50-SUM(K249:L249)))))</f>
        <v/>
      </c>
      <c r="N249" s="743">
        <f>M249</f>
        <v/>
      </c>
      <c r="O249" s="686">
        <f>IF(C249="TXO","",IF(E249="新倉","",IF(F249="賣",(I249-I248)*H249,(I248-I249)*H249)))</f>
        <v/>
      </c>
      <c r="P249" s="334">
        <f>ABS(J249)</f>
        <v/>
      </c>
      <c r="Q249" s="667" t="n"/>
      <c r="S249" s="61" t="n"/>
      <c r="T249" s="61" t="n"/>
      <c r="U249" s="61" t="n"/>
      <c r="V249" s="61" t="n"/>
      <c r="W249" s="61" t="n"/>
      <c r="X249" s="61" t="n"/>
      <c r="Y249" s="61" t="n"/>
      <c r="Z249" s="61" t="n"/>
    </row>
    <row r="250" hidden="1" outlineLevel="2" ht="17.25" customHeight="1" thickBot="1">
      <c r="B250" s="766" t="n">
        <v>43054</v>
      </c>
      <c r="C250" s="337" t="inlineStr">
        <is>
          <t>FIMTX</t>
        </is>
      </c>
      <c r="D250" s="338" t="inlineStr">
        <is>
          <t>小指11</t>
        </is>
      </c>
      <c r="E250" s="338" t="inlineStr">
        <is>
          <t>新倉</t>
        </is>
      </c>
      <c r="F250" s="338" t="inlineStr">
        <is>
          <t>賣</t>
        </is>
      </c>
      <c r="G250" s="338" t="inlineStr">
        <is>
          <t>-</t>
        </is>
      </c>
      <c r="H250" s="767" t="n">
        <v>1</v>
      </c>
      <c r="I250" s="768" t="n">
        <v>10645</v>
      </c>
      <c r="J250" s="767" t="n">
        <v>0</v>
      </c>
      <c r="K250" s="769" t="n">
        <v>23</v>
      </c>
      <c r="L250" s="769" t="n">
        <v>11</v>
      </c>
      <c r="M250" s="585">
        <f>IF(C250="TXO",J250-SUM(K250:L250),IF(C250="FITX",IF(E250="新倉",-SUM(K250:L250),IF(F250="賣",(I250-I249)*H250*200-SUM(K250:L250),(I249-I250)*H250*200-SUM(K250:L250))),IF(E250="新倉",-SUM(K250:L250),IF(F250="賣",(I250-I249)*H250*50-SUM(K250:L250),(I249-I250)*H250*50-SUM(K250:L250)))))</f>
        <v/>
      </c>
      <c r="N250" s="743">
        <f>M250</f>
        <v/>
      </c>
      <c r="O250" s="686">
        <f>IF(C250="TXO","",IF(E250="新倉","",IF(F250="賣",(I250-I249)*H250,(I249-I250)*H250)))</f>
        <v/>
      </c>
      <c r="P250" s="334">
        <f>ABS(J250)</f>
        <v/>
      </c>
      <c r="Q250" s="667" t="n"/>
      <c r="S250" s="61" t="n"/>
      <c r="T250" s="61" t="n"/>
      <c r="U250" s="61" t="n"/>
      <c r="V250" s="61" t="n"/>
      <c r="W250" s="61" t="n"/>
      <c r="X250" s="61" t="n"/>
      <c r="Y250" s="61" t="n"/>
      <c r="Z250" s="61" t="n"/>
    </row>
    <row r="251" hidden="1" outlineLevel="2" ht="17.25" customHeight="1" thickBot="1">
      <c r="B251" s="766" t="n">
        <v>43054</v>
      </c>
      <c r="C251" s="337" t="inlineStr">
        <is>
          <t>FIMTX</t>
        </is>
      </c>
      <c r="D251" s="338" t="inlineStr">
        <is>
          <t>小指11</t>
        </is>
      </c>
      <c r="E251" s="338" t="inlineStr">
        <is>
          <t>平倉</t>
        </is>
      </c>
      <c r="F251" s="338" t="inlineStr">
        <is>
          <t>買</t>
        </is>
      </c>
      <c r="G251" s="338" t="inlineStr">
        <is>
          <t>-</t>
        </is>
      </c>
      <c r="H251" s="767" t="n">
        <v>1</v>
      </c>
      <c r="I251" s="768" t="n">
        <v>10633</v>
      </c>
      <c r="J251" s="767" t="n">
        <v>0</v>
      </c>
      <c r="K251" s="769" t="n">
        <v>23</v>
      </c>
      <c r="L251" s="769" t="n">
        <v>11</v>
      </c>
      <c r="M251" s="585">
        <f>IF(C251="TXO",J251-SUM(K251:L251),IF(C251="FITX",IF(E251="新倉",-SUM(K251:L251),IF(F251="賣",(I251-I250)*H251*200-SUM(K251:L251),(I250-I251)*H251*200-SUM(K251:L251))),IF(E251="新倉",-SUM(K251:L251),IF(F251="賣",(I251-I250)*H251*50-SUM(K251:L251),(I250-I251)*H251*50-SUM(K251:L251)))))</f>
        <v/>
      </c>
      <c r="N251" s="743">
        <f>M251</f>
        <v/>
      </c>
      <c r="O251" s="686">
        <f>IF(C251="TXO","",IF(E251="新倉","",IF(F251="賣",(I251-I250)*H251,(I250-I251)*H251)))</f>
        <v/>
      </c>
      <c r="P251" s="334">
        <f>ABS(J251)</f>
        <v/>
      </c>
      <c r="Q251" s="667" t="n"/>
      <c r="S251" s="61" t="n"/>
      <c r="T251" s="61" t="n"/>
      <c r="U251" s="61" t="n"/>
      <c r="V251" s="61" t="n"/>
      <c r="W251" s="61" t="n"/>
      <c r="X251" s="61" t="n"/>
      <c r="Y251" s="61" t="n"/>
      <c r="Z251" s="61" t="n"/>
    </row>
    <row r="252" hidden="1" outlineLevel="1" collapsed="1" ht="17.25" customHeight="1" thickBot="1">
      <c r="B252" s="740" t="n">
        <v>43055</v>
      </c>
      <c r="C252" s="299" t="inlineStr">
        <is>
          <t>FIMTX</t>
        </is>
      </c>
      <c r="D252" s="300" t="inlineStr">
        <is>
          <t>小指12</t>
        </is>
      </c>
      <c r="E252" s="300" t="inlineStr">
        <is>
          <t>新倉</t>
        </is>
      </c>
      <c r="F252" s="301" t="inlineStr">
        <is>
          <t>買</t>
        </is>
      </c>
      <c r="G252" s="300" t="inlineStr">
        <is>
          <t>-</t>
        </is>
      </c>
      <c r="H252" s="741" t="n">
        <v>1</v>
      </c>
      <c r="I252" s="765" t="n">
        <v>10606</v>
      </c>
      <c r="J252" s="741" t="n">
        <v>0</v>
      </c>
      <c r="K252" s="742" t="n">
        <v>23</v>
      </c>
      <c r="L252" s="742" t="n">
        <v>11</v>
      </c>
      <c r="M252" s="585">
        <f>IF(C252="TXO",J252-SUM(K252:L252),IF(C252="FITX",IF(E252="新倉",-SUM(K252:L252),IF(F252="賣",(I252-I251)*H252*200-SUM(K252:L252),(I251-I252)*H252*200-SUM(K252:L252))),IF(E252="新倉",-SUM(K252:L252),IF(F252="賣",(I252-I251)*H252*50-SUM(K252:L252),(I251-I252)*H252*50-SUM(K252:L252)))))</f>
        <v/>
      </c>
      <c r="N252" s="743">
        <f>M252</f>
        <v/>
      </c>
      <c r="O252" s="686">
        <f>IF(C252="TXO","",IF(E252="新倉","",IF(F252="賣",(I252-I251)*H252,(I251-I252)*H252)))</f>
        <v/>
      </c>
      <c r="P252" s="334">
        <f>ABS(J252)</f>
        <v/>
      </c>
      <c r="Q252" s="667">
        <f>SUM(M252:M255)</f>
        <v/>
      </c>
      <c r="S252" s="739" t="n"/>
      <c r="T252" s="61" t="n"/>
      <c r="U252" s="61" t="n"/>
      <c r="V252" s="61" t="n"/>
      <c r="W252" s="61" t="n"/>
      <c r="X252" s="61" t="n"/>
      <c r="Y252" s="61" t="n"/>
      <c r="Z252" s="61" t="n"/>
    </row>
    <row r="253" hidden="1" outlineLevel="2" collapsed="1" ht="17.25" customHeight="1" thickBot="1">
      <c r="B253" s="740" t="n">
        <v>43055</v>
      </c>
      <c r="C253" s="299" t="inlineStr">
        <is>
          <t>FIMTX</t>
        </is>
      </c>
      <c r="D253" s="300" t="inlineStr">
        <is>
          <t>小指12</t>
        </is>
      </c>
      <c r="E253" s="300" t="inlineStr">
        <is>
          <t>平倉</t>
        </is>
      </c>
      <c r="F253" s="301" t="inlineStr">
        <is>
          <t>賣</t>
        </is>
      </c>
      <c r="G253" s="300" t="inlineStr">
        <is>
          <t>-</t>
        </is>
      </c>
      <c r="H253" s="741" t="n">
        <v>1</v>
      </c>
      <c r="I253" s="765" t="n">
        <v>10611</v>
      </c>
      <c r="J253" s="741" t="n">
        <v>0</v>
      </c>
      <c r="K253" s="742" t="n">
        <v>23</v>
      </c>
      <c r="L253" s="742" t="n">
        <v>11</v>
      </c>
      <c r="M253" s="585">
        <f>IF(C253="TXO",J253-SUM(K253:L253),IF(C253="FITX",IF(E253="新倉",-SUM(K253:L253),IF(F253="賣",(I253-I252)*H253*200-SUM(K253:L253),(I252-I253)*H253*200-SUM(K253:L253))),IF(E253="新倉",-SUM(K253:L253),IF(F253="賣",(I253-I252)*H253*50-SUM(K253:L253),(I252-I253)*H253*50-SUM(K253:L253)))))</f>
        <v/>
      </c>
      <c r="N253" s="743">
        <f>M253</f>
        <v/>
      </c>
      <c r="O253" s="686">
        <f>IF(C253="TXO","",IF(E253="新倉","",IF(F253="賣",(I253-I252)*H253,(I252-I253)*H253)))</f>
        <v/>
      </c>
      <c r="P253" s="334">
        <f>ABS(J253)</f>
        <v/>
      </c>
      <c r="Q253" s="667" t="n"/>
      <c r="S253" s="739" t="n"/>
      <c r="T253" s="61" t="n"/>
      <c r="U253" s="61" t="n"/>
      <c r="V253" s="61" t="n"/>
      <c r="W253" s="61" t="n"/>
      <c r="X253" s="61" t="n"/>
      <c r="Y253" s="61" t="n"/>
      <c r="Z253" s="61" t="n"/>
    </row>
    <row r="254" hidden="1" outlineLevel="2" collapsed="1" ht="17.25" customHeight="1" thickBot="1">
      <c r="B254" s="740" t="n">
        <v>43055</v>
      </c>
      <c r="C254" s="299" t="inlineStr">
        <is>
          <t>FIMTX</t>
        </is>
      </c>
      <c r="D254" s="300" t="inlineStr">
        <is>
          <t>小指12</t>
        </is>
      </c>
      <c r="E254" s="300" t="inlineStr">
        <is>
          <t>新倉</t>
        </is>
      </c>
      <c r="F254" s="301" t="inlineStr">
        <is>
          <t>買</t>
        </is>
      </c>
      <c r="G254" s="300" t="inlineStr">
        <is>
          <t>-</t>
        </is>
      </c>
      <c r="H254" s="741" t="n">
        <v>1</v>
      </c>
      <c r="I254" s="765" t="n">
        <v>10612</v>
      </c>
      <c r="J254" s="741" t="n">
        <v>0</v>
      </c>
      <c r="K254" s="742" t="n">
        <v>23</v>
      </c>
      <c r="L254" s="742" t="n">
        <v>11</v>
      </c>
      <c r="M254" s="585">
        <f>IF(C254="TXO",J254-SUM(K254:L254),IF(C254="FITX",IF(E254="新倉",-SUM(K254:L254),IF(F254="賣",(I254-I253)*H254*200-SUM(K254:L254),(I253-I254)*H254*200-SUM(K254:L254))),IF(E254="新倉",-SUM(K254:L254),IF(F254="賣",(I254-I253)*H254*50-SUM(K254:L254),(I253-I254)*H254*50-SUM(K254:L254)))))</f>
        <v/>
      </c>
      <c r="N254" s="743">
        <f>M254</f>
        <v/>
      </c>
      <c r="O254" s="686">
        <f>IF(C254="TXO","",IF(E254="新倉","",IF(F254="賣",(I254-I253)*H254,(I253-I254)*H254)))</f>
        <v/>
      </c>
      <c r="P254" s="334">
        <f>ABS(J254)</f>
        <v/>
      </c>
      <c r="Q254" s="667" t="n"/>
      <c r="S254" s="739" t="n"/>
      <c r="T254" s="61" t="n"/>
      <c r="U254" s="61" t="n"/>
      <c r="V254" s="61" t="n"/>
      <c r="W254" s="61" t="n"/>
      <c r="X254" s="61" t="n"/>
      <c r="Y254" s="61" t="n"/>
      <c r="Z254" s="61" t="n"/>
    </row>
    <row r="255" hidden="1" outlineLevel="2" collapsed="1" ht="17.25" customHeight="1" thickBot="1">
      <c r="B255" s="740" t="n">
        <v>43055</v>
      </c>
      <c r="C255" s="299" t="inlineStr">
        <is>
          <t>FIMTX</t>
        </is>
      </c>
      <c r="D255" s="300" t="inlineStr">
        <is>
          <t>小指12</t>
        </is>
      </c>
      <c r="E255" s="300" t="inlineStr">
        <is>
          <t>平倉</t>
        </is>
      </c>
      <c r="F255" s="301" t="inlineStr">
        <is>
          <t>賣</t>
        </is>
      </c>
      <c r="G255" s="300" t="inlineStr">
        <is>
          <t>-</t>
        </is>
      </c>
      <c r="H255" s="741" t="n">
        <v>1</v>
      </c>
      <c r="I255" s="765" t="n">
        <v>10596</v>
      </c>
      <c r="J255" s="741" t="n">
        <v>0</v>
      </c>
      <c r="K255" s="742" t="n">
        <v>23</v>
      </c>
      <c r="L255" s="742" t="n">
        <v>11</v>
      </c>
      <c r="M255" s="585">
        <f>IF(C255="TXO",J255-SUM(K255:L255),IF(C255="FITX",IF(E255="新倉",-SUM(K255:L255),IF(F255="賣",(I255-I254)*H255*200-SUM(K255:L255),(I254-I255)*H255*200-SUM(K255:L255))),IF(E255="新倉",-SUM(K255:L255),IF(F255="賣",(I255-I254)*H255*50-SUM(K255:L255),(I254-I255)*H255*50-SUM(K255:L255)))))</f>
        <v/>
      </c>
      <c r="N255" s="743">
        <f>M255</f>
        <v/>
      </c>
      <c r="O255" s="686">
        <f>IF(C255="TXO","",IF(E255="新倉","",IF(F255="賣",(I255-I254)*H255,(I254-I255)*H255)))</f>
        <v/>
      </c>
      <c r="P255" s="334">
        <f>ABS(J255)</f>
        <v/>
      </c>
      <c r="Q255" s="667" t="n"/>
      <c r="S255" s="739" t="n"/>
      <c r="T255" s="61" t="n"/>
      <c r="U255" s="61" t="n"/>
      <c r="V255" s="61" t="n"/>
      <c r="W255" s="61" t="n"/>
      <c r="X255" s="61" t="n"/>
      <c r="Y255" s="61" t="n"/>
      <c r="Z255" s="61" t="n"/>
    </row>
    <row r="256" hidden="1" outlineLevel="1" collapsed="1" ht="17.25" customHeight="1" thickBot="1">
      <c r="B256" s="766" t="n">
        <v>43061</v>
      </c>
      <c r="C256" s="337" t="inlineStr">
        <is>
          <t>TXO</t>
        </is>
      </c>
      <c r="D256" s="338" t="inlineStr">
        <is>
          <t>TXOW4 11 10900 C</t>
        </is>
      </c>
      <c r="E256" s="338" t="inlineStr">
        <is>
          <t>新倉</t>
        </is>
      </c>
      <c r="F256" s="338" t="inlineStr">
        <is>
          <t>買</t>
        </is>
      </c>
      <c r="G256" s="338" t="inlineStr">
        <is>
          <t>-</t>
        </is>
      </c>
      <c r="H256" s="767" t="n">
        <v>3</v>
      </c>
      <c r="I256" s="768" t="n">
        <v>0.9</v>
      </c>
      <c r="J256" s="767" t="n">
        <v>-135</v>
      </c>
      <c r="K256" s="769" t="n">
        <v>54</v>
      </c>
      <c r="L256" s="769" t="n">
        <v>0</v>
      </c>
      <c r="M256" s="585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/>
      </c>
      <c r="N256" s="585">
        <f>M256</f>
        <v/>
      </c>
      <c r="O256" s="686">
        <f>IF(C256="TXO","",IF(E256="新倉","",IF(F256="賣",(I256-I255)*H256,(I255-I256)*H256)))</f>
        <v/>
      </c>
      <c r="P256" s="334">
        <f>ABS(J256)</f>
        <v/>
      </c>
      <c r="Q256" s="667">
        <f>SUM(M256:M273)</f>
        <v/>
      </c>
      <c r="S256" s="61" t="n"/>
      <c r="T256" s="61" t="n"/>
      <c r="U256" s="61" t="n"/>
      <c r="V256" s="61" t="n"/>
      <c r="W256" s="61" t="n"/>
      <c r="X256" s="61" t="n"/>
      <c r="Y256" s="61" t="n"/>
      <c r="Z256" s="61" t="n"/>
    </row>
    <row r="257" hidden="1" outlineLevel="2" ht="17.25" customHeight="1" thickBot="1">
      <c r="B257" s="766" t="n">
        <v>43061</v>
      </c>
      <c r="C257" s="337" t="inlineStr">
        <is>
          <t>TXO</t>
        </is>
      </c>
      <c r="D257" s="338" t="inlineStr">
        <is>
          <t>TXOW4 11 10900 C</t>
        </is>
      </c>
      <c r="E257" s="338" t="inlineStr">
        <is>
          <t>平倉</t>
        </is>
      </c>
      <c r="F257" s="338" t="inlineStr">
        <is>
          <t>賣</t>
        </is>
      </c>
      <c r="G257" s="338" t="inlineStr">
        <is>
          <t>-</t>
        </is>
      </c>
      <c r="H257" s="767" t="n">
        <v>3</v>
      </c>
      <c r="I257" s="768" t="n">
        <v>0.8</v>
      </c>
      <c r="J257" s="767" t="n">
        <v>120</v>
      </c>
      <c r="K257" s="769" t="n">
        <v>54</v>
      </c>
      <c r="L257" s="769" t="n">
        <v>0</v>
      </c>
      <c r="M257" s="585">
        <f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/>
      </c>
      <c r="N257" s="743">
        <f>M257</f>
        <v/>
      </c>
      <c r="O257" s="686">
        <f>IF(C257="TXO","",IF(E257="新倉","",IF(F257="賣",(I257-I256)*H257,(I256-I257)*H257)))</f>
        <v/>
      </c>
      <c r="P257" s="334">
        <f>ABS(J257)</f>
        <v/>
      </c>
      <c r="Q257" s="667" t="n"/>
      <c r="S257" s="61" t="n"/>
      <c r="T257" s="61" t="n"/>
      <c r="U257" s="61" t="n"/>
      <c r="V257" s="61" t="n"/>
      <c r="W257" s="61" t="n"/>
      <c r="X257" s="61" t="n"/>
      <c r="Y257" s="61" t="n"/>
      <c r="Z257" s="61" t="n"/>
    </row>
    <row r="258" hidden="1" outlineLevel="2" ht="17.25" customHeight="1" thickBot="1">
      <c r="B258" s="766" t="n">
        <v>43061</v>
      </c>
      <c r="C258" s="337" t="inlineStr">
        <is>
          <t>TXO</t>
        </is>
      </c>
      <c r="D258" s="338" t="inlineStr">
        <is>
          <t>TXOW4 11 10900 C</t>
        </is>
      </c>
      <c r="E258" s="338" t="inlineStr">
        <is>
          <t>新倉</t>
        </is>
      </c>
      <c r="F258" s="338" t="inlineStr">
        <is>
          <t>買</t>
        </is>
      </c>
      <c r="G258" s="338" t="inlineStr">
        <is>
          <t>-</t>
        </is>
      </c>
      <c r="H258" s="767" t="n">
        <v>2</v>
      </c>
      <c r="I258" s="768" t="n">
        <v>0.9</v>
      </c>
      <c r="J258" s="767" t="n">
        <v>-90</v>
      </c>
      <c r="K258" s="769" t="n">
        <v>36</v>
      </c>
      <c r="L258" s="769" t="n">
        <v>0</v>
      </c>
      <c r="M258" s="585">
        <f>IF(C258="TXO",J258-SUM(K258:L258),IF(C258="FITX",IF(E258="新倉",-SUM(K258:L258),IF(F258="賣",(I258-I257)*H258*200-SUM(K258:L258),(I257-I258)*H258*200-SUM(K258:L258))),IF(E258="新倉",-SUM(K258:L258),IF(F258="賣",(I258-I257)*H258*50-SUM(K258:L258),(I257-I258)*H258*50-SUM(K258:L258)))))</f>
        <v/>
      </c>
      <c r="N258" s="743">
        <f>M258</f>
        <v/>
      </c>
      <c r="O258" s="686">
        <f>IF(C258="TXO","",IF(E258="新倉","",IF(F258="賣",(I258-I257)*H258,(I257-I258)*H258)))</f>
        <v/>
      </c>
      <c r="P258" s="334">
        <f>ABS(J258)</f>
        <v/>
      </c>
      <c r="Q258" s="667" t="n"/>
      <c r="S258" s="61" t="n"/>
      <c r="T258" s="61" t="n"/>
      <c r="U258" s="61" t="n"/>
      <c r="V258" s="61" t="n"/>
      <c r="W258" s="61" t="n"/>
      <c r="X258" s="61" t="n"/>
      <c r="Y258" s="61" t="n"/>
      <c r="Z258" s="61" t="n"/>
    </row>
    <row r="259" hidden="1" outlineLevel="2" ht="17.25" customHeight="1" thickBot="1">
      <c r="B259" s="766" t="n">
        <v>43061</v>
      </c>
      <c r="C259" s="337" t="inlineStr">
        <is>
          <t>TXO</t>
        </is>
      </c>
      <c r="D259" s="338" t="inlineStr">
        <is>
          <t>TXOW4 11 10900 C</t>
        </is>
      </c>
      <c r="E259" s="338" t="inlineStr">
        <is>
          <t>平倉</t>
        </is>
      </c>
      <c r="F259" s="338" t="inlineStr">
        <is>
          <t>賣</t>
        </is>
      </c>
      <c r="G259" s="338" t="inlineStr">
        <is>
          <t>-</t>
        </is>
      </c>
      <c r="H259" s="767" t="n">
        <v>2</v>
      </c>
      <c r="I259" s="768" t="n">
        <v>0.8</v>
      </c>
      <c r="J259" s="767" t="n">
        <v>80</v>
      </c>
      <c r="K259" s="769" t="n">
        <v>36</v>
      </c>
      <c r="L259" s="769" t="n">
        <v>0</v>
      </c>
      <c r="M259" s="585">
        <f>IF(C259="TXO",J259-SUM(K259:L259),IF(C259="FITX",IF(E259="新倉",-SUM(K259:L259),IF(F259="賣",(I259-I258)*H259*200-SUM(K259:L259),(I258-I259)*H259*200-SUM(K259:L259))),IF(E259="新倉",-SUM(K259:L259),IF(F259="賣",(I259-I258)*H259*50-SUM(K259:L259),(I258-I259)*H259*50-SUM(K259:L259)))))</f>
        <v/>
      </c>
      <c r="N259" s="743">
        <f>M259</f>
        <v/>
      </c>
      <c r="O259" s="686">
        <f>IF(C259="TXO","",IF(E259="新倉","",IF(F259="賣",(I259-I258)*H259,(I258-I259)*H259)))</f>
        <v/>
      </c>
      <c r="P259" s="334">
        <f>ABS(J259)</f>
        <v/>
      </c>
      <c r="Q259" s="667" t="n"/>
      <c r="S259" s="61" t="n"/>
      <c r="T259" s="61" t="n"/>
      <c r="U259" s="61" t="n"/>
      <c r="V259" s="61" t="n"/>
      <c r="W259" s="61" t="n"/>
      <c r="X259" s="61" t="n"/>
      <c r="Y259" s="61" t="n"/>
      <c r="Z259" s="61" t="n"/>
    </row>
    <row r="260" hidden="1" outlineLevel="2" ht="17.25" customHeight="1" thickBot="1">
      <c r="B260" s="766" t="n">
        <v>43061</v>
      </c>
      <c r="C260" s="337" t="inlineStr">
        <is>
          <t>TXO</t>
        </is>
      </c>
      <c r="D260" s="338" t="inlineStr">
        <is>
          <t>TXOW4 11 10850 P</t>
        </is>
      </c>
      <c r="E260" s="338" t="inlineStr">
        <is>
          <t>新倉</t>
        </is>
      </c>
      <c r="F260" s="338" t="inlineStr">
        <is>
          <t>買</t>
        </is>
      </c>
      <c r="G260" s="338" t="inlineStr">
        <is>
          <t>-</t>
        </is>
      </c>
      <c r="H260" s="767" t="n">
        <v>2</v>
      </c>
      <c r="I260" s="768" t="n">
        <v>22.5</v>
      </c>
      <c r="J260" s="767" t="n">
        <v>-2250</v>
      </c>
      <c r="K260" s="769" t="n">
        <v>36</v>
      </c>
      <c r="L260" s="769" t="n">
        <v>2</v>
      </c>
      <c r="M260" s="585">
        <f>IF(C260="TXO",J260-SUM(K260:L260),IF(C260="FITX",IF(E260="新倉",-SUM(K260:L260),IF(F260="賣",(I260-I259)*H260*200-SUM(K260:L260),(I259-I260)*H260*200-SUM(K260:L260))),IF(E260="新倉",-SUM(K260:L260),IF(F260="賣",(I260-I259)*H260*50-SUM(K260:L260),(I259-I260)*H260*50-SUM(K260:L260)))))</f>
        <v/>
      </c>
      <c r="N260" s="743">
        <f>M260</f>
        <v/>
      </c>
      <c r="O260" s="686">
        <f>IF(C260="TXO","",IF(E260="新倉","",IF(F260="賣",(I260-I259)*H260,(I259-I260)*H260)))</f>
        <v/>
      </c>
      <c r="P260" s="334">
        <f>ABS(J260)</f>
        <v/>
      </c>
      <c r="Q260" s="667" t="n"/>
      <c r="S260" s="61" t="n"/>
      <c r="T260" s="61" t="n"/>
      <c r="U260" s="61" t="n"/>
      <c r="V260" s="61" t="n"/>
      <c r="W260" s="61" t="n"/>
      <c r="X260" s="61" t="n"/>
      <c r="Y260" s="61" t="n"/>
      <c r="Z260" s="61" t="n"/>
    </row>
    <row r="261" hidden="1" outlineLevel="2" ht="17.25" customHeight="1" thickBot="1">
      <c r="B261" s="766" t="n">
        <v>43061</v>
      </c>
      <c r="C261" s="337" t="inlineStr">
        <is>
          <t>TXO</t>
        </is>
      </c>
      <c r="D261" s="338" t="inlineStr">
        <is>
          <t>TXOW4 11 10850 P</t>
        </is>
      </c>
      <c r="E261" s="338" t="inlineStr">
        <is>
          <t>平倉</t>
        </is>
      </c>
      <c r="F261" s="338" t="inlineStr">
        <is>
          <t>賣</t>
        </is>
      </c>
      <c r="G261" s="338" t="inlineStr">
        <is>
          <t>-</t>
        </is>
      </c>
      <c r="H261" s="767" t="n">
        <v>2</v>
      </c>
      <c r="I261" s="768" t="n">
        <v>64</v>
      </c>
      <c r="J261" s="767" t="n">
        <v>3200</v>
      </c>
      <c r="K261" s="769" t="n">
        <v>36</v>
      </c>
      <c r="L261" s="769" t="n">
        <v>4</v>
      </c>
      <c r="M261" s="585">
        <f>IF(C261="TXO",J261-SUM(K261:L261),IF(C261="FITX",IF(E261="新倉",-SUM(K261:L261),IF(F261="賣",(I261-I260)*H261*200-SUM(K261:L261),(I260-I261)*H261*200-SUM(K261:L261))),IF(E261="新倉",-SUM(K261:L261),IF(F261="賣",(I261-I260)*H261*50-SUM(K261:L261),(I260-I261)*H261*50-SUM(K261:L261)))))</f>
        <v/>
      </c>
      <c r="N261" s="743">
        <f>M261</f>
        <v/>
      </c>
      <c r="O261" s="686">
        <f>IF(C261="TXO","",IF(E261="新倉","",IF(F261="賣",(I261-I260)*H261,(I260-I261)*H261)))</f>
        <v/>
      </c>
      <c r="P261" s="334">
        <f>ABS(J261)</f>
        <v/>
      </c>
      <c r="Q261" s="667" t="n"/>
      <c r="S261" s="61" t="n"/>
      <c r="T261" s="61" t="n"/>
      <c r="U261" s="61" t="n"/>
      <c r="V261" s="61" t="n"/>
      <c r="W261" s="61" t="n"/>
      <c r="X261" s="61" t="n"/>
      <c r="Y261" s="61" t="n"/>
      <c r="Z261" s="61" t="n"/>
    </row>
    <row r="262" hidden="1" outlineLevel="2" ht="17.25" customHeight="1" thickBot="1">
      <c r="B262" s="766" t="n">
        <v>43061</v>
      </c>
      <c r="C262" s="337" t="inlineStr">
        <is>
          <t>TXO</t>
        </is>
      </c>
      <c r="D262" s="338" t="inlineStr">
        <is>
          <t>TXOW4 11 10850 P</t>
        </is>
      </c>
      <c r="E262" s="338" t="inlineStr">
        <is>
          <t>新倉</t>
        </is>
      </c>
      <c r="F262" s="338" t="inlineStr">
        <is>
          <t>買</t>
        </is>
      </c>
      <c r="G262" s="338" t="inlineStr">
        <is>
          <t>-</t>
        </is>
      </c>
      <c r="H262" s="767" t="n">
        <v>2</v>
      </c>
      <c r="I262" s="768" t="n">
        <v>20</v>
      </c>
      <c r="J262" s="767" t="n">
        <v>-2000</v>
      </c>
      <c r="K262" s="769" t="n">
        <v>36</v>
      </c>
      <c r="L262" s="769" t="n">
        <v>2</v>
      </c>
      <c r="M262" s="585">
        <f>IF(C262="TXO",J262-SUM(K262:L262),IF(C262="FITX",IF(E262="新倉",-SUM(K262:L262),IF(F262="賣",(I262-I261)*H262*200-SUM(K262:L262),(I261-I262)*H262*200-SUM(K262:L262))),IF(E262="新倉",-SUM(K262:L262),IF(F262="賣",(I262-I261)*H262*50-SUM(K262:L262),(I261-I262)*H262*50-SUM(K262:L262)))))</f>
        <v/>
      </c>
      <c r="N262" s="743">
        <f>M262</f>
        <v/>
      </c>
      <c r="O262" s="686">
        <f>IF(C262="TXO","",IF(E262="新倉","",IF(F262="賣",(I262-I261)*H262,(I261-I262)*H262)))</f>
        <v/>
      </c>
      <c r="P262" s="334">
        <f>ABS(J262)</f>
        <v/>
      </c>
      <c r="Q262" s="667" t="n"/>
      <c r="S262" s="61" t="n"/>
      <c r="T262" s="61" t="n"/>
      <c r="U262" s="61" t="n"/>
      <c r="V262" s="61" t="n"/>
      <c r="W262" s="61" t="n"/>
      <c r="X262" s="61" t="n"/>
      <c r="Y262" s="61" t="n"/>
      <c r="Z262" s="61" t="n"/>
    </row>
    <row r="263" hidden="1" outlineLevel="2" ht="17.25" customHeight="1" thickBot="1">
      <c r="B263" s="766" t="n">
        <v>43061</v>
      </c>
      <c r="C263" s="337" t="inlineStr">
        <is>
          <t>TXO</t>
        </is>
      </c>
      <c r="D263" s="338" t="inlineStr">
        <is>
          <t>TXOW4 11 10850 P</t>
        </is>
      </c>
      <c r="E263" s="338" t="inlineStr">
        <is>
          <t>平倉</t>
        </is>
      </c>
      <c r="F263" s="338" t="inlineStr">
        <is>
          <t>賣</t>
        </is>
      </c>
      <c r="G263" s="338" t="inlineStr">
        <is>
          <t>-</t>
        </is>
      </c>
      <c r="H263" s="767" t="n">
        <v>2</v>
      </c>
      <c r="I263" s="768" t="n">
        <v>64</v>
      </c>
      <c r="J263" s="767" t="n">
        <v>3200</v>
      </c>
      <c r="K263" s="769" t="n">
        <v>36</v>
      </c>
      <c r="L263" s="769" t="n">
        <v>4</v>
      </c>
      <c r="M263" s="585">
        <f>IF(C263="TXO",J263-SUM(K263:L263),IF(C263="FITX",IF(E263="新倉",-SUM(K263:L263),IF(F263="賣",(I263-I262)*H263*200-SUM(K263:L263),(I262-I263)*H263*200-SUM(K263:L263))),IF(E263="新倉",-SUM(K263:L263),IF(F263="賣",(I263-I262)*H263*50-SUM(K263:L263),(I262-I263)*H263*50-SUM(K263:L263)))))</f>
        <v/>
      </c>
      <c r="N263" s="743">
        <f>M263</f>
        <v/>
      </c>
      <c r="O263" s="686">
        <f>IF(C263="TXO","",IF(E263="新倉","",IF(F263="賣",(I263-I262)*H263,(I262-I263)*H263)))</f>
        <v/>
      </c>
      <c r="P263" s="334">
        <f>ABS(J263)</f>
        <v/>
      </c>
      <c r="Q263" s="667" t="n"/>
      <c r="S263" s="61" t="n"/>
      <c r="T263" s="61" t="n"/>
      <c r="U263" s="61" t="n"/>
      <c r="V263" s="61" t="n"/>
      <c r="W263" s="61" t="n"/>
      <c r="X263" s="61" t="n"/>
      <c r="Y263" s="61" t="n"/>
      <c r="Z263" s="61" t="n"/>
    </row>
    <row r="264" hidden="1" outlineLevel="2" ht="17.25" customHeight="1" thickBot="1">
      <c r="B264" s="766" t="n">
        <v>43061</v>
      </c>
      <c r="C264" s="337" t="inlineStr">
        <is>
          <t>TXO</t>
        </is>
      </c>
      <c r="D264" s="338" t="inlineStr">
        <is>
          <t>TXOW4 11 10900 P</t>
        </is>
      </c>
      <c r="E264" s="338" t="inlineStr">
        <is>
          <t>新倉</t>
        </is>
      </c>
      <c r="F264" s="338" t="inlineStr">
        <is>
          <t>買</t>
        </is>
      </c>
      <c r="G264" s="338" t="inlineStr">
        <is>
          <t>-</t>
        </is>
      </c>
      <c r="H264" s="767" t="n">
        <v>1</v>
      </c>
      <c r="I264" s="768" t="n">
        <v>60</v>
      </c>
      <c r="J264" s="767" t="n">
        <v>-3000</v>
      </c>
      <c r="K264" s="769" t="n">
        <v>18</v>
      </c>
      <c r="L264" s="769" t="n">
        <v>3</v>
      </c>
      <c r="M264" s="585">
        <f>IF(C264="TXO",J264-SUM(K264:L264),IF(C264="FITX",IF(E264="新倉",-SUM(K264:L264),IF(F264="賣",(I264-I263)*H264*200-SUM(K264:L264),(I263-I264)*H264*200-SUM(K264:L264))),IF(E264="新倉",-SUM(K264:L264),IF(F264="賣",(I264-I263)*H264*50-SUM(K264:L264),(I263-I264)*H264*50-SUM(K264:L264)))))</f>
        <v/>
      </c>
      <c r="N264" s="743">
        <f>M264</f>
        <v/>
      </c>
      <c r="O264" s="686">
        <f>IF(C264="TXO","",IF(E264="新倉","",IF(F264="賣",(I264-I263)*H264,(I263-I264)*H264)))</f>
        <v/>
      </c>
      <c r="P264" s="334">
        <f>ABS(J264)</f>
        <v/>
      </c>
      <c r="Q264" s="667" t="n"/>
      <c r="S264" s="61" t="n"/>
      <c r="T264" s="61" t="n"/>
      <c r="U264" s="61" t="n"/>
      <c r="V264" s="61" t="n"/>
      <c r="W264" s="61" t="n"/>
      <c r="X264" s="61" t="n"/>
      <c r="Y264" s="61" t="n"/>
      <c r="Z264" s="61" t="n"/>
    </row>
    <row r="265" hidden="1" outlineLevel="2" ht="17.25" customHeight="1" thickBot="1">
      <c r="B265" s="766" t="n">
        <v>43061</v>
      </c>
      <c r="C265" s="337" t="inlineStr">
        <is>
          <t>TXO</t>
        </is>
      </c>
      <c r="D265" s="338" t="inlineStr">
        <is>
          <t>TXOW4 11 10900 P</t>
        </is>
      </c>
      <c r="E265" s="338" t="inlineStr">
        <is>
          <t>平倉</t>
        </is>
      </c>
      <c r="F265" s="338" t="inlineStr">
        <is>
          <t>賣</t>
        </is>
      </c>
      <c r="G265" s="338" t="inlineStr">
        <is>
          <t>-</t>
        </is>
      </c>
      <c r="H265" s="767" t="n">
        <v>1</v>
      </c>
      <c r="I265" s="768" t="n">
        <v>82</v>
      </c>
      <c r="J265" s="767" t="n">
        <v>4100</v>
      </c>
      <c r="K265" s="769" t="n">
        <v>18</v>
      </c>
      <c r="L265" s="769" t="n">
        <v>4</v>
      </c>
      <c r="M265" s="585">
        <f>IF(C265="TXO",J265-SUM(K265:L265),IF(C265="FITX",IF(E265="新倉",-SUM(K265:L265),IF(F265="賣",(I265-I264)*H265*200-SUM(K265:L265),(I264-I265)*H265*200-SUM(K265:L265))),IF(E265="新倉",-SUM(K265:L265),IF(F265="賣",(I265-I264)*H265*50-SUM(K265:L265),(I264-I265)*H265*50-SUM(K265:L265)))))</f>
        <v/>
      </c>
      <c r="N265" s="743">
        <f>M265</f>
        <v/>
      </c>
      <c r="O265" s="686">
        <f>IF(C265="TXO","",IF(E265="新倉","",IF(F265="賣",(I265-I264)*H265,(I264-I265)*H265)))</f>
        <v/>
      </c>
      <c r="P265" s="334">
        <f>ABS(J265)</f>
        <v/>
      </c>
      <c r="Q265" s="667" t="n"/>
      <c r="S265" s="61" t="n"/>
      <c r="T265" s="61" t="n"/>
      <c r="U265" s="61" t="n"/>
      <c r="V265" s="61" t="n"/>
      <c r="W265" s="61" t="n"/>
      <c r="X265" s="61" t="n"/>
      <c r="Y265" s="61" t="n"/>
      <c r="Z265" s="61" t="n"/>
    </row>
    <row r="266" hidden="1" outlineLevel="2" ht="17.25" customHeight="1" thickBot="1">
      <c r="B266" s="766" t="n">
        <v>43061</v>
      </c>
      <c r="C266" s="337" t="inlineStr">
        <is>
          <t>TXO</t>
        </is>
      </c>
      <c r="D266" s="338" t="inlineStr">
        <is>
          <t>TXOW4 11 10850 P</t>
        </is>
      </c>
      <c r="E266" s="338" t="inlineStr">
        <is>
          <t>新倉</t>
        </is>
      </c>
      <c r="F266" s="338" t="inlineStr">
        <is>
          <t>買</t>
        </is>
      </c>
      <c r="G266" s="338" t="inlineStr">
        <is>
          <t>-</t>
        </is>
      </c>
      <c r="H266" s="767" t="n">
        <v>5</v>
      </c>
      <c r="I266" s="768" t="n">
        <v>25</v>
      </c>
      <c r="J266" s="767" t="n">
        <v>-6250</v>
      </c>
      <c r="K266" s="769" t="n">
        <v>90</v>
      </c>
      <c r="L266" s="769" t="n">
        <v>5</v>
      </c>
      <c r="M266" s="585">
        <f>IF(C266="TXO",J266-SUM(K266:L266),IF(C266="FITX",IF(E266="新倉",-SUM(K266:L266),IF(F266="賣",(I266-I265)*H266*200-SUM(K266:L266),(I265-I266)*H266*200-SUM(K266:L266))),IF(E266="新倉",-SUM(K266:L266),IF(F266="賣",(I266-I265)*H266*50-SUM(K266:L266),(I265-I266)*H266*50-SUM(K266:L266)))))</f>
        <v/>
      </c>
      <c r="N266" s="743">
        <f>M266</f>
        <v/>
      </c>
      <c r="O266" s="686">
        <f>IF(C266="TXO","",IF(E266="新倉","",IF(F266="賣",(I266-I265)*H266,(I265-I266)*H266)))</f>
        <v/>
      </c>
      <c r="P266" s="334">
        <f>ABS(J266)</f>
        <v/>
      </c>
      <c r="Q266" s="667" t="n"/>
      <c r="S266" s="61" t="n"/>
      <c r="T266" s="61" t="n"/>
      <c r="U266" s="61" t="n"/>
      <c r="V266" s="61" t="n"/>
      <c r="W266" s="61" t="n"/>
      <c r="X266" s="61" t="n"/>
      <c r="Y266" s="61" t="n"/>
      <c r="Z266" s="61" t="n"/>
    </row>
    <row r="267" hidden="1" outlineLevel="2" ht="17.25" customHeight="1" thickBot="1">
      <c r="B267" s="766" t="n">
        <v>43061</v>
      </c>
      <c r="C267" s="337" t="inlineStr">
        <is>
          <t>TXO</t>
        </is>
      </c>
      <c r="D267" s="338" t="inlineStr">
        <is>
          <t>TXOW4 11 10850 P</t>
        </is>
      </c>
      <c r="E267" s="338" t="inlineStr">
        <is>
          <t>平倉</t>
        </is>
      </c>
      <c r="F267" s="338" t="inlineStr">
        <is>
          <t>賣</t>
        </is>
      </c>
      <c r="G267" s="338" t="inlineStr">
        <is>
          <t>-</t>
        </is>
      </c>
      <c r="H267" s="767" t="n">
        <v>5</v>
      </c>
      <c r="I267" s="768" t="n">
        <v>160</v>
      </c>
      <c r="J267" s="767" t="n">
        <v>8000</v>
      </c>
      <c r="K267" s="769" t="n">
        <v>90</v>
      </c>
      <c r="L267" s="769" t="n">
        <v>10</v>
      </c>
      <c r="M267" s="585">
        <f>IF(C267="TXO",J267-SUM(K267:L267),IF(C267="FITX",IF(E267="新倉",-SUM(K267:L267),IF(F267="賣",(I267-I266)*H267*200-SUM(K267:L267),(I266-I267)*H267*200-SUM(K267:L267))),IF(E267="新倉",-SUM(K267:L267),IF(F267="賣",(I267-I266)*H267*50-SUM(K267:L267),(I266-I267)*H267*50-SUM(K267:L267)))))</f>
        <v/>
      </c>
      <c r="N267" s="743">
        <f>M267</f>
        <v/>
      </c>
      <c r="O267" s="686">
        <f>IF(C267="TXO","",IF(E267="新倉","",IF(F267="賣",(I267-I266)*H267,(I266-I267)*H267)))</f>
        <v/>
      </c>
      <c r="P267" s="334">
        <f>ABS(J267)</f>
        <v/>
      </c>
      <c r="Q267" s="667" t="n"/>
      <c r="S267" s="61" t="n"/>
      <c r="T267" s="61" t="n"/>
      <c r="U267" s="61" t="n"/>
      <c r="V267" s="61" t="n"/>
      <c r="W267" s="61" t="n"/>
      <c r="X267" s="61" t="n"/>
      <c r="Y267" s="61" t="n"/>
      <c r="Z267" s="61" t="n"/>
    </row>
    <row r="268" hidden="1" outlineLevel="2" ht="17.25" customHeight="1" thickBot="1">
      <c r="B268" s="766" t="n">
        <v>43061</v>
      </c>
      <c r="C268" s="337" t="inlineStr">
        <is>
          <t>TXO</t>
        </is>
      </c>
      <c r="D268" s="338" t="inlineStr">
        <is>
          <t>TXOW4 11 10850 P</t>
        </is>
      </c>
      <c r="E268" s="338" t="inlineStr">
        <is>
          <t>新倉</t>
        </is>
      </c>
      <c r="F268" s="338" t="inlineStr">
        <is>
          <t>買</t>
        </is>
      </c>
      <c r="G268" s="338" t="inlineStr">
        <is>
          <t>-</t>
        </is>
      </c>
      <c r="H268" s="767" t="n">
        <v>1</v>
      </c>
      <c r="I268" s="768" t="n">
        <v>15.5</v>
      </c>
      <c r="J268" s="767" t="n">
        <v>-775</v>
      </c>
      <c r="K268" s="769" t="n">
        <v>18</v>
      </c>
      <c r="L268" s="769" t="n">
        <v>1</v>
      </c>
      <c r="M268" s="585">
        <f>IF(C268="TXO",J268-SUM(K268:L268),IF(C268="FITX",IF(E268="新倉",-SUM(K268:L268),IF(F268="賣",(I268-I267)*H268*200-SUM(K268:L268),(I267-I268)*H268*200-SUM(K268:L268))),IF(E268="新倉",-SUM(K268:L268),IF(F268="賣",(I268-I267)*H268*50-SUM(K268:L268),(I267-I268)*H268*50-SUM(K268:L268)))))</f>
        <v/>
      </c>
      <c r="N268" s="743">
        <f>M268</f>
        <v/>
      </c>
      <c r="O268" s="686">
        <f>IF(C268="TXO","",IF(E268="新倉","",IF(F268="賣",(I268-I267)*H268,(I267-I268)*H268)))</f>
        <v/>
      </c>
      <c r="P268" s="334">
        <f>ABS(J268)</f>
        <v/>
      </c>
      <c r="Q268" s="667" t="n"/>
      <c r="S268" s="61" t="n"/>
      <c r="T268" s="61" t="n"/>
      <c r="U268" s="61" t="n"/>
      <c r="V268" s="61" t="n"/>
      <c r="W268" s="61" t="n"/>
      <c r="X268" s="61" t="n"/>
      <c r="Y268" s="61" t="n"/>
      <c r="Z268" s="61" t="n"/>
    </row>
    <row r="269" hidden="1" outlineLevel="2" ht="17.25" customHeight="1" thickBot="1">
      <c r="B269" s="766" t="n">
        <v>43061</v>
      </c>
      <c r="C269" s="337" t="inlineStr">
        <is>
          <t>TXO</t>
        </is>
      </c>
      <c r="D269" s="338" t="inlineStr">
        <is>
          <t>TXOW4 11 10850 P</t>
        </is>
      </c>
      <c r="E269" s="338" t="inlineStr">
        <is>
          <t>平倉</t>
        </is>
      </c>
      <c r="F269" s="338" t="inlineStr">
        <is>
          <t>賣</t>
        </is>
      </c>
      <c r="G269" s="338" t="inlineStr">
        <is>
          <t>-</t>
        </is>
      </c>
      <c r="H269" s="767" t="n">
        <v>1</v>
      </c>
      <c r="I269" s="768" t="n">
        <v>32</v>
      </c>
      <c r="J269" s="767" t="n">
        <v>1600</v>
      </c>
      <c r="K269" s="769" t="n">
        <v>18</v>
      </c>
      <c r="L269" s="769" t="n">
        <v>2</v>
      </c>
      <c r="M269" s="585">
        <f>IF(C269="TXO",J269-SUM(K269:L269),IF(C269="FITX",IF(E269="新倉",-SUM(K269:L269),IF(F269="賣",(I269-I268)*H269*200-SUM(K269:L269),(I268-I269)*H269*200-SUM(K269:L269))),IF(E269="新倉",-SUM(K269:L269),IF(F269="賣",(I269-I268)*H269*50-SUM(K269:L269),(I268-I269)*H269*50-SUM(K269:L269)))))</f>
        <v/>
      </c>
      <c r="N269" s="743">
        <f>M269</f>
        <v/>
      </c>
      <c r="O269" s="686">
        <f>IF(C269="TXO","",IF(E269="新倉","",IF(F269="賣",(I269-I268)*H269,(I268-I269)*H269)))</f>
        <v/>
      </c>
      <c r="P269" s="334">
        <f>ABS(J269)</f>
        <v/>
      </c>
      <c r="Q269" s="667" t="n"/>
      <c r="S269" s="61" t="n"/>
      <c r="T269" s="61" t="n"/>
      <c r="U269" s="61" t="n"/>
      <c r="V269" s="61" t="n"/>
      <c r="W269" s="61" t="n"/>
      <c r="X269" s="61" t="n"/>
      <c r="Y269" s="61" t="n"/>
      <c r="Z269" s="61" t="n"/>
    </row>
    <row r="270" hidden="1" outlineLevel="2" ht="17.25" customHeight="1" thickBot="1">
      <c r="B270" s="766" t="n">
        <v>43061</v>
      </c>
      <c r="C270" s="337" t="inlineStr">
        <is>
          <t>TXO</t>
        </is>
      </c>
      <c r="D270" s="338" t="inlineStr">
        <is>
          <t>TXOW4 11 10850 P</t>
        </is>
      </c>
      <c r="E270" s="338" t="inlineStr">
        <is>
          <t>新倉</t>
        </is>
      </c>
      <c r="F270" s="338" t="inlineStr">
        <is>
          <t>買</t>
        </is>
      </c>
      <c r="G270" s="338" t="inlineStr">
        <is>
          <t>-</t>
        </is>
      </c>
      <c r="H270" s="767" t="n">
        <v>1</v>
      </c>
      <c r="I270" s="768" t="n">
        <v>14.5</v>
      </c>
      <c r="J270" s="767" t="n">
        <v>-725</v>
      </c>
      <c r="K270" s="769" t="n">
        <v>18</v>
      </c>
      <c r="L270" s="769" t="n">
        <v>1</v>
      </c>
      <c r="M270" s="585">
        <f>IF(C270="TXO",J270-SUM(K270:L270),IF(C270="FITX",IF(E270="新倉",-SUM(K270:L270),IF(F270="賣",(I270-I269)*H270*200-SUM(K270:L270),(I269-I270)*H270*200-SUM(K270:L270))),IF(E270="新倉",-SUM(K270:L270),IF(F270="賣",(I270-I269)*H270*50-SUM(K270:L270),(I269-I270)*H270*50-SUM(K270:L270)))))</f>
        <v/>
      </c>
      <c r="N270" s="743">
        <f>M270</f>
        <v/>
      </c>
      <c r="O270" s="686">
        <f>IF(C270="TXO","",IF(E270="新倉","",IF(F270="賣",(I270-I269)*H270,(I269-I270)*H270)))</f>
        <v/>
      </c>
      <c r="P270" s="334">
        <f>ABS(J270)</f>
        <v/>
      </c>
      <c r="Q270" s="667" t="n"/>
      <c r="S270" s="61" t="n"/>
      <c r="T270" s="61" t="n"/>
      <c r="U270" s="61" t="n"/>
      <c r="V270" s="61" t="n"/>
      <c r="W270" s="61" t="n"/>
      <c r="X270" s="61" t="n"/>
      <c r="Y270" s="61" t="n"/>
      <c r="Z270" s="61" t="n"/>
    </row>
    <row r="271" hidden="1" outlineLevel="2" ht="17.25" customHeight="1" thickBot="1">
      <c r="B271" s="766" t="n">
        <v>43061</v>
      </c>
      <c r="C271" s="337" t="inlineStr">
        <is>
          <t>TXO</t>
        </is>
      </c>
      <c r="D271" s="338" t="inlineStr">
        <is>
          <t>TXOW4 11 10850 P</t>
        </is>
      </c>
      <c r="E271" s="338" t="inlineStr">
        <is>
          <t>平倉</t>
        </is>
      </c>
      <c r="F271" s="338" t="inlineStr">
        <is>
          <t>賣</t>
        </is>
      </c>
      <c r="G271" s="338" t="inlineStr">
        <is>
          <t>-</t>
        </is>
      </c>
      <c r="H271" s="767" t="n">
        <v>1</v>
      </c>
      <c r="I271" s="768" t="n">
        <v>32</v>
      </c>
      <c r="J271" s="767" t="n">
        <v>1600</v>
      </c>
      <c r="K271" s="769" t="n">
        <v>18</v>
      </c>
      <c r="L271" s="769" t="n">
        <v>2</v>
      </c>
      <c r="M271" s="585">
        <f>IF(C271="TXO",J271-SUM(K271:L271),IF(C271="FITX",IF(E271="新倉",-SUM(K271:L271),IF(F271="賣",(I271-I270)*H271*200-SUM(K271:L271),(I270-I271)*H271*200-SUM(K271:L271))),IF(E271="新倉",-SUM(K271:L271),IF(F271="賣",(I271-I270)*H271*50-SUM(K271:L271),(I270-I271)*H271*50-SUM(K271:L271)))))</f>
        <v/>
      </c>
      <c r="N271" s="743">
        <f>M271</f>
        <v/>
      </c>
      <c r="O271" s="686">
        <f>IF(C271="TXO","",IF(E271="新倉","",IF(F271="賣",(I271-I270)*H271,(I270-I271)*H271)))</f>
        <v/>
      </c>
      <c r="P271" s="334">
        <f>ABS(J271)</f>
        <v/>
      </c>
      <c r="Q271" s="667" t="n"/>
      <c r="S271" s="61" t="n"/>
      <c r="T271" s="61" t="n"/>
      <c r="U271" s="61" t="n"/>
      <c r="V271" s="61" t="n"/>
      <c r="W271" s="61" t="n"/>
      <c r="X271" s="61" t="n"/>
      <c r="Y271" s="61" t="n"/>
      <c r="Z271" s="61" t="n"/>
    </row>
    <row r="272" hidden="1" outlineLevel="2" ht="17.25" customHeight="1" thickBot="1">
      <c r="B272" s="766" t="n">
        <v>43061</v>
      </c>
      <c r="C272" s="337" t="inlineStr">
        <is>
          <t>FIMTX</t>
        </is>
      </c>
      <c r="D272" s="338" t="inlineStr">
        <is>
          <t>小指12</t>
        </is>
      </c>
      <c r="E272" s="338" t="inlineStr">
        <is>
          <t>新倉</t>
        </is>
      </c>
      <c r="F272" s="338" t="inlineStr">
        <is>
          <t>買</t>
        </is>
      </c>
      <c r="G272" s="338" t="inlineStr">
        <is>
          <t>-</t>
        </is>
      </c>
      <c r="H272" s="767" t="n">
        <v>1</v>
      </c>
      <c r="I272" s="768" t="n">
        <v>10863</v>
      </c>
      <c r="J272" s="767" t="n">
        <v>0</v>
      </c>
      <c r="K272" s="769" t="n">
        <v>23</v>
      </c>
      <c r="L272" s="769" t="n">
        <v>11</v>
      </c>
      <c r="M272" s="585">
        <f>IF(C272="TXO",J272-SUM(K272:L272),IF(C272="FITX",IF(E272="新倉",-SUM(K272:L272),IF(F272="賣",(I272-I271)*H272*200-SUM(K272:L272),(I271-I272)*H272*200-SUM(K272:L272))),IF(E272="新倉",-SUM(K272:L272),IF(F272="賣",(I272-I271)*H272*50-SUM(K272:L272),(I271-I272)*H272*50-SUM(K272:L272)))))</f>
        <v/>
      </c>
      <c r="N272" s="743">
        <f>M272</f>
        <v/>
      </c>
      <c r="O272" s="686">
        <f>IF(C272="TXO","",IF(E272="新倉","",IF(F272="賣",(I272-I271)*H272,(I271-I272)*H272)))</f>
        <v/>
      </c>
      <c r="P272" s="334">
        <f>ABS(J272)</f>
        <v/>
      </c>
      <c r="Q272" s="667" t="n"/>
      <c r="S272" s="61" t="n"/>
      <c r="T272" s="61" t="n"/>
      <c r="U272" s="61" t="n"/>
      <c r="V272" s="61" t="n"/>
      <c r="W272" s="61" t="n"/>
      <c r="X272" s="61" t="n"/>
      <c r="Y272" s="61" t="n"/>
      <c r="Z272" s="61" t="n"/>
    </row>
    <row r="273" hidden="1" outlineLevel="2" ht="17.25" customHeight="1" thickBot="1">
      <c r="B273" s="766" t="n">
        <v>43061</v>
      </c>
      <c r="C273" s="337" t="inlineStr">
        <is>
          <t>FIMTX</t>
        </is>
      </c>
      <c r="D273" s="338" t="inlineStr">
        <is>
          <t>小指12</t>
        </is>
      </c>
      <c r="E273" s="338" t="inlineStr">
        <is>
          <t>平倉</t>
        </is>
      </c>
      <c r="F273" s="338" t="inlineStr">
        <is>
          <t>賣</t>
        </is>
      </c>
      <c r="G273" s="338" t="inlineStr">
        <is>
          <t>-</t>
        </is>
      </c>
      <c r="H273" s="767" t="n">
        <v>1</v>
      </c>
      <c r="I273" s="768" t="n">
        <v>10869</v>
      </c>
      <c r="J273" s="767" t="n">
        <v>0</v>
      </c>
      <c r="K273" s="769" t="n">
        <v>23</v>
      </c>
      <c r="L273" s="769" t="n">
        <v>11</v>
      </c>
      <c r="M273" s="585">
        <f>IF(C273="TXO",J273-SUM(K273:L273),IF(C273="FITX",IF(E273="新倉",-SUM(K273:L273),IF(F273="賣",(I273-I272)*H273*200-SUM(K273:L273),(I272-I273)*H273*200-SUM(K273:L273))),IF(E273="新倉",-SUM(K273:L273),IF(F273="賣",(I273-I272)*H273*50-SUM(K273:L273),(I272-I273)*H273*50-SUM(K273:L273)))))</f>
        <v/>
      </c>
      <c r="N273" s="743">
        <f>M273</f>
        <v/>
      </c>
      <c r="O273" s="686">
        <f>IF(C273="TXO","",IF(E273="新倉","",IF(F273="賣",(I273-I272)*H273,(I272-I273)*H273)))</f>
        <v/>
      </c>
      <c r="P273" s="334">
        <f>ABS(J273)</f>
        <v/>
      </c>
      <c r="Q273" s="667" t="n"/>
      <c r="S273" s="61" t="n"/>
      <c r="T273" s="61" t="n"/>
      <c r="U273" s="61" t="n"/>
      <c r="V273" s="61" t="n"/>
      <c r="W273" s="61" t="n"/>
      <c r="X273" s="61" t="n"/>
      <c r="Y273" s="61" t="n"/>
      <c r="Z273" s="61" t="n"/>
    </row>
    <row r="274" hidden="1" outlineLevel="1" ht="17.25" customHeight="1" thickBot="1">
      <c r="B274" s="740" t="n">
        <v>43068</v>
      </c>
      <c r="C274" s="299" t="inlineStr">
        <is>
          <t>TXO</t>
        </is>
      </c>
      <c r="D274" s="300" t="inlineStr">
        <is>
          <t>台指選W5 11 10750 P</t>
        </is>
      </c>
      <c r="E274" s="300" t="inlineStr">
        <is>
          <t>新倉</t>
        </is>
      </c>
      <c r="F274" s="301" t="inlineStr">
        <is>
          <t>買</t>
        </is>
      </c>
      <c r="G274" s="300" t="inlineStr">
        <is>
          <t>-</t>
        </is>
      </c>
      <c r="H274" s="741" t="n">
        <v>1</v>
      </c>
      <c r="I274" s="765" t="n">
        <v>17.5</v>
      </c>
      <c r="J274" s="741" t="n">
        <v>-875</v>
      </c>
      <c r="K274" s="742" t="n">
        <v>18</v>
      </c>
      <c r="L274" s="742" t="n">
        <v>1</v>
      </c>
      <c r="M274" s="743">
        <f>IF(C274="TXO",J274-SUM(K274:L274),IF(C274="FITX",IF(E274="新倉",-SUM(K274:L274),IF(F274="賣",(I274-I273)*H274*200-SUM(K274:L274),(I273-I274)*H274*200-SUM(K274:L274))),IF(E274="新倉",-SUM(K274:L274),IF(F274="賣",(I274-I273)*H274*50-SUM(K274:L274),(I273-I274)*H274*50-SUM(K274:L274)))))</f>
        <v/>
      </c>
      <c r="N274" s="743">
        <f>M274</f>
        <v/>
      </c>
      <c r="O274" s="686">
        <f>IF(C274="TXO","",IF(E274="新倉","",IF(F274="賣",(I274-I273)*H274,(I273-I274)*H274)))</f>
        <v/>
      </c>
      <c r="P274" s="334">
        <f>ABS(J274)</f>
        <v/>
      </c>
      <c r="Q274" s="667">
        <f>SUM(M274:M291)</f>
        <v/>
      </c>
      <c r="S274" s="739" t="n"/>
      <c r="T274" s="61" t="n"/>
      <c r="U274" s="61" t="n"/>
      <c r="V274" s="61" t="n"/>
      <c r="W274" s="61" t="n"/>
      <c r="X274" s="61" t="n"/>
      <c r="Y274" s="61" t="n"/>
      <c r="Z274" s="61" t="n"/>
    </row>
    <row r="275" hidden="1" outlineLevel="2" collapsed="1" ht="17.25" customHeight="1" thickBot="1">
      <c r="B275" s="740" t="n">
        <v>43068</v>
      </c>
      <c r="C275" s="299" t="inlineStr">
        <is>
          <t>TXO</t>
        </is>
      </c>
      <c r="D275" s="300" t="inlineStr">
        <is>
          <t>台指選W5 11 10750 P</t>
        </is>
      </c>
      <c r="E275" s="300" t="inlineStr">
        <is>
          <t>平倉</t>
        </is>
      </c>
      <c r="F275" s="301" t="inlineStr">
        <is>
          <t>賣</t>
        </is>
      </c>
      <c r="G275" s="300" t="inlineStr">
        <is>
          <t>-</t>
        </is>
      </c>
      <c r="H275" s="741" t="n">
        <v>1</v>
      </c>
      <c r="I275" s="765" t="n">
        <v>21.5</v>
      </c>
      <c r="J275" s="741" t="n">
        <v>1075</v>
      </c>
      <c r="K275" s="742" t="n">
        <v>18</v>
      </c>
      <c r="L275" s="742" t="n">
        <v>1</v>
      </c>
      <c r="M275" s="585">
        <f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/>
      </c>
      <c r="N275" s="743">
        <f>M275</f>
        <v/>
      </c>
      <c r="O275" s="686">
        <f>IF(C275="TXO","",IF(E275="新倉","",IF(F275="賣",(I275-I274)*H275,(I274-I275)*H275)))</f>
        <v/>
      </c>
      <c r="P275" s="334">
        <f>ABS(J275)</f>
        <v/>
      </c>
      <c r="Q275" s="667" t="n"/>
      <c r="S275" s="739" t="n"/>
      <c r="T275" s="61" t="n"/>
      <c r="U275" s="61" t="n"/>
      <c r="V275" s="61" t="n"/>
      <c r="W275" s="61" t="n"/>
      <c r="X275" s="61" t="n"/>
      <c r="Y275" s="61" t="n"/>
      <c r="Z275" s="61" t="n"/>
    </row>
    <row r="276" hidden="1" outlineLevel="2" collapsed="1" ht="17.25" customHeight="1" thickBot="1">
      <c r="B276" s="740" t="n">
        <v>43068</v>
      </c>
      <c r="C276" s="299" t="inlineStr">
        <is>
          <t>TXO</t>
        </is>
      </c>
      <c r="D276" s="300" t="inlineStr">
        <is>
          <t>台指選W5 11 10750 P</t>
        </is>
      </c>
      <c r="E276" s="300" t="inlineStr">
        <is>
          <t>新倉</t>
        </is>
      </c>
      <c r="F276" s="301" t="inlineStr">
        <is>
          <t>買</t>
        </is>
      </c>
      <c r="G276" s="300" t="inlineStr">
        <is>
          <t>-</t>
        </is>
      </c>
      <c r="H276" s="741" t="n">
        <v>3</v>
      </c>
      <c r="I276" s="765" t="n">
        <v>15</v>
      </c>
      <c r="J276" s="741" t="n">
        <v>-2250</v>
      </c>
      <c r="K276" s="742" t="n">
        <v>54</v>
      </c>
      <c r="L276" s="742" t="n">
        <v>3</v>
      </c>
      <c r="M276" s="585">
        <f>IF(C276="TXO",J276-SUM(K276:L276),IF(C276="FITX",IF(E276="新倉",-SUM(K276:L276),IF(F276="賣",(I276-I275)*H276*200-SUM(K276:L276),(I275-I276)*H276*200-SUM(K276:L276))),IF(E276="新倉",-SUM(K276:L276),IF(F276="賣",(I276-I275)*H276*50-SUM(K276:L276),(I275-I276)*H276*50-SUM(K276:L276)))))</f>
        <v/>
      </c>
      <c r="N276" s="743">
        <f>M276</f>
        <v/>
      </c>
      <c r="O276" s="686">
        <f>IF(C276="TXO","",IF(E276="新倉","",IF(F276="賣",(I276-I275)*H276,(I275-I276)*H276)))</f>
        <v/>
      </c>
      <c r="P276" s="334">
        <f>ABS(J276)</f>
        <v/>
      </c>
      <c r="Q276" s="667" t="n"/>
      <c r="S276" s="739" t="n"/>
      <c r="T276" s="61" t="n"/>
      <c r="U276" s="61" t="n"/>
      <c r="V276" s="61" t="n"/>
      <c r="W276" s="61" t="n"/>
      <c r="X276" s="61" t="n"/>
      <c r="Y276" s="61" t="n"/>
      <c r="Z276" s="61" t="n"/>
    </row>
    <row r="277" hidden="1" outlineLevel="2" collapsed="1" ht="17.25" customHeight="1" thickBot="1">
      <c r="B277" s="740" t="n">
        <v>43068</v>
      </c>
      <c r="C277" s="299" t="inlineStr">
        <is>
          <t>TXO</t>
        </is>
      </c>
      <c r="D277" s="300" t="inlineStr">
        <is>
          <t>台指選W5 11 10750 P</t>
        </is>
      </c>
      <c r="E277" s="300" t="inlineStr">
        <is>
          <t>平倉</t>
        </is>
      </c>
      <c r="F277" s="301" t="inlineStr">
        <is>
          <t>賣</t>
        </is>
      </c>
      <c r="G277" s="300" t="inlineStr">
        <is>
          <t>-</t>
        </is>
      </c>
      <c r="H277" s="741" t="n">
        <v>3</v>
      </c>
      <c r="I277" s="765" t="n">
        <v>20.5</v>
      </c>
      <c r="J277" s="741" t="n">
        <v>3075</v>
      </c>
      <c r="K277" s="742" t="n">
        <v>54</v>
      </c>
      <c r="L277" s="742" t="n">
        <v>3</v>
      </c>
      <c r="M277" s="585">
        <f>IF(C277="TXO",J277-SUM(K277:L277),IF(C277="FITX",IF(E277="新倉",-SUM(K277:L277),IF(F277="賣",(I277-I276)*H277*200-SUM(K277:L277),(I276-I277)*H277*200-SUM(K277:L277))),IF(E277="新倉",-SUM(K277:L277),IF(F277="賣",(I277-I276)*H277*50-SUM(K277:L277),(I276-I277)*H277*50-SUM(K277:L277)))))</f>
        <v/>
      </c>
      <c r="N277" s="743">
        <f>M277</f>
        <v/>
      </c>
      <c r="O277" s="686">
        <f>IF(C277="TXO","",IF(E277="新倉","",IF(F277="賣",(I277-I276)*H277,(I276-I277)*H277)))</f>
        <v/>
      </c>
      <c r="P277" s="334">
        <f>ABS(J277)</f>
        <v/>
      </c>
      <c r="Q277" s="667" t="n"/>
      <c r="S277" s="739" t="n"/>
      <c r="T277" s="61" t="n"/>
      <c r="U277" s="61" t="n"/>
      <c r="V277" s="61" t="n"/>
      <c r="W277" s="61" t="n"/>
      <c r="X277" s="61" t="n"/>
      <c r="Y277" s="61" t="n"/>
      <c r="Z277" s="61" t="n"/>
    </row>
    <row r="278" hidden="1" outlineLevel="2" collapsed="1" ht="17.25" customHeight="1" thickBot="1">
      <c r="B278" s="740" t="n">
        <v>43068</v>
      </c>
      <c r="C278" s="299" t="inlineStr">
        <is>
          <t>TXO</t>
        </is>
      </c>
      <c r="D278" s="300" t="inlineStr">
        <is>
          <t>台指選W5 11 10750 P</t>
        </is>
      </c>
      <c r="E278" s="300" t="inlineStr">
        <is>
          <t>新倉</t>
        </is>
      </c>
      <c r="F278" s="301" t="inlineStr">
        <is>
          <t>買</t>
        </is>
      </c>
      <c r="G278" s="300" t="inlineStr">
        <is>
          <t>-</t>
        </is>
      </c>
      <c r="H278" s="741" t="n">
        <v>4</v>
      </c>
      <c r="I278" s="765" t="n">
        <v>13.5</v>
      </c>
      <c r="J278" s="741" t="n">
        <v>-2700</v>
      </c>
      <c r="K278" s="742" t="n">
        <v>72</v>
      </c>
      <c r="L278" s="742" t="n">
        <v>4</v>
      </c>
      <c r="M278" s="585">
        <f>IF(C278="TXO",J278-SUM(K278:L278),IF(C278="FITX",IF(E278="新倉",-SUM(K278:L278),IF(F278="賣",(I278-I277)*H278*200-SUM(K278:L278),(I277-I278)*H278*200-SUM(K278:L278))),IF(E278="新倉",-SUM(K278:L278),IF(F278="賣",(I278-I277)*H278*50-SUM(K278:L278),(I277-I278)*H278*50-SUM(K278:L278)))))</f>
        <v/>
      </c>
      <c r="N278" s="743">
        <f>M278</f>
        <v/>
      </c>
      <c r="O278" s="686">
        <f>IF(C278="TXO","",IF(E278="新倉","",IF(F278="賣",(I278-I277)*H278,(I277-I278)*H278)))</f>
        <v/>
      </c>
      <c r="P278" s="334">
        <f>ABS(J278)</f>
        <v/>
      </c>
      <c r="Q278" s="667" t="n"/>
      <c r="R278" s="230" t="inlineStr">
        <is>
          <t>小量，賭向下破箱-價內</t>
        </is>
      </c>
      <c r="S278" s="739" t="n"/>
      <c r="T278" s="61" t="n"/>
      <c r="U278" s="61" t="n"/>
      <c r="V278" s="61" t="n"/>
      <c r="W278" s="61" t="n"/>
      <c r="X278" s="61" t="n"/>
      <c r="Y278" s="61" t="n"/>
      <c r="Z278" s="61" t="n"/>
    </row>
    <row r="279" hidden="1" outlineLevel="2" collapsed="1" ht="17.25" customHeight="1" thickBot="1">
      <c r="B279" s="740" t="n">
        <v>43068</v>
      </c>
      <c r="C279" s="299" t="inlineStr">
        <is>
          <t>TXO</t>
        </is>
      </c>
      <c r="D279" s="300" t="inlineStr">
        <is>
          <t>台指選W5 11 10750 P</t>
        </is>
      </c>
      <c r="E279" s="300" t="inlineStr">
        <is>
          <t>平倉</t>
        </is>
      </c>
      <c r="F279" s="301" t="inlineStr">
        <is>
          <t>賣</t>
        </is>
      </c>
      <c r="G279" s="300" t="inlineStr">
        <is>
          <t>-</t>
        </is>
      </c>
      <c r="H279" s="741" t="n">
        <v>4</v>
      </c>
      <c r="I279" s="765" t="n">
        <v>20</v>
      </c>
      <c r="J279" s="741" t="n">
        <v>4000</v>
      </c>
      <c r="K279" s="742" t="n">
        <v>72</v>
      </c>
      <c r="L279" s="742" t="n">
        <v>4</v>
      </c>
      <c r="M279" s="585">
        <f>IF(C279="TXO",J279-SUM(K279:L279),IF(C279="FITX",IF(E279="新倉",-SUM(K279:L279),IF(F279="賣",(I279-I278)*H279*200-SUM(K279:L279),(I278-I279)*H279*200-SUM(K279:L279))),IF(E279="新倉",-SUM(K279:L279),IF(F279="賣",(I279-I278)*H279*50-SUM(K279:L279),(I278-I279)*H279*50-SUM(K279:L279)))))</f>
        <v/>
      </c>
      <c r="N279" s="743">
        <f>M279</f>
        <v/>
      </c>
      <c r="O279" s="686">
        <f>IF(C279="TXO","",IF(E279="新倉","",IF(F279="賣",(I279-I278)*H279,(I278-I279)*H279)))</f>
        <v/>
      </c>
      <c r="P279" s="334">
        <f>ABS(J279)</f>
        <v/>
      </c>
      <c r="Q279" s="667" t="n"/>
      <c r="R279" s="230" t="inlineStr">
        <is>
          <t>小量，賭向下破箱-價外</t>
        </is>
      </c>
      <c r="S279" s="739" t="n"/>
      <c r="T279" s="61" t="n"/>
      <c r="U279" s="61" t="n"/>
      <c r="V279" s="61" t="n"/>
      <c r="W279" s="61" t="n"/>
      <c r="X279" s="61" t="n"/>
      <c r="Y279" s="61" t="n"/>
      <c r="Z279" s="61" t="n"/>
    </row>
    <row r="280" hidden="1" outlineLevel="2" ht="17.25" customHeight="1" thickBot="1">
      <c r="B280" s="740" t="n">
        <v>43068</v>
      </c>
      <c r="C280" s="299" t="inlineStr">
        <is>
          <t>TXO</t>
        </is>
      </c>
      <c r="D280" s="300" t="inlineStr">
        <is>
          <t>台指選W5 11 10750 P</t>
        </is>
      </c>
      <c r="E280" s="300" t="inlineStr">
        <is>
          <t>新倉</t>
        </is>
      </c>
      <c r="F280" s="301" t="inlineStr">
        <is>
          <t>買</t>
        </is>
      </c>
      <c r="G280" s="300" t="inlineStr">
        <is>
          <t>-</t>
        </is>
      </c>
      <c r="H280" s="741" t="n">
        <v>1</v>
      </c>
      <c r="I280" s="765" t="n">
        <v>13.5</v>
      </c>
      <c r="J280" s="741" t="n">
        <v>-675</v>
      </c>
      <c r="K280" s="742" t="n">
        <v>18</v>
      </c>
      <c r="L280" s="742" t="n">
        <v>1</v>
      </c>
      <c r="M280" s="585">
        <f>IF(C280="TXO",J280-SUM(K280:L280),IF(C280="FITX",IF(E280="新倉",-SUM(K280:L280),IF(F280="賣",(I280-I279)*H280*200-SUM(K280:L280),(I279-I280)*H280*200-SUM(K280:L280))),IF(E280="新倉",-SUM(K280:L280),IF(F280="賣",(I280-I279)*H280*50-SUM(K280:L280),(I279-I280)*H280*50-SUM(K280:L280)))))</f>
        <v/>
      </c>
      <c r="N280" s="743">
        <f>M280</f>
        <v/>
      </c>
      <c r="O280" s="686">
        <f>IF(C280="TXO","",IF(E280="新倉","",IF(F280="賣",(I280-I279)*H280,(I279-I280)*H280)))</f>
        <v/>
      </c>
      <c r="P280" s="334">
        <f>ABS(J280)</f>
        <v/>
      </c>
      <c r="Q280" s="667" t="n"/>
      <c r="S280" s="739" t="n"/>
      <c r="T280" s="61" t="n"/>
      <c r="U280" s="61" t="n"/>
      <c r="V280" s="61" t="n"/>
      <c r="W280" s="61" t="n"/>
      <c r="X280" s="61" t="n"/>
      <c r="Y280" s="61" t="n"/>
      <c r="Z280" s="61" t="n"/>
    </row>
    <row r="281" hidden="1" outlineLevel="2" collapsed="1" ht="17.25" customHeight="1" thickBot="1">
      <c r="B281" s="740" t="n">
        <v>43068</v>
      </c>
      <c r="C281" s="299" t="inlineStr">
        <is>
          <t>TXO</t>
        </is>
      </c>
      <c r="D281" s="300" t="inlineStr">
        <is>
          <t>台指選W5 11 10750 P</t>
        </is>
      </c>
      <c r="E281" s="300" t="inlineStr">
        <is>
          <t>平倉</t>
        </is>
      </c>
      <c r="F281" s="301" t="inlineStr">
        <is>
          <t>賣</t>
        </is>
      </c>
      <c r="G281" s="300" t="inlineStr">
        <is>
          <t>-</t>
        </is>
      </c>
      <c r="H281" s="741" t="n">
        <v>1</v>
      </c>
      <c r="I281" s="765" t="n">
        <v>20.5</v>
      </c>
      <c r="J281" s="741" t="n">
        <v>1025</v>
      </c>
      <c r="K281" s="742" t="n">
        <v>18</v>
      </c>
      <c r="L281" s="742" t="n">
        <v>1</v>
      </c>
      <c r="M281" s="585">
        <f>IF(C281="TXO",J281-SUM(K281:L281),IF(C281="FITX",IF(E281="新倉",-SUM(K281:L281),IF(F281="賣",(I281-I280)*H281*200-SUM(K281:L281),(I280-I281)*H281*200-SUM(K281:L281))),IF(E281="新倉",-SUM(K281:L281),IF(F281="賣",(I281-I280)*H281*50-SUM(K281:L281),(I280-I281)*H281*50-SUM(K281:L281)))))</f>
        <v/>
      </c>
      <c r="N281" s="743">
        <f>M281</f>
        <v/>
      </c>
      <c r="O281" s="686">
        <f>IF(C281="TXO","",IF(E281="新倉","",IF(F281="賣",(I281-I280)*H281,(I280-I281)*H281)))</f>
        <v/>
      </c>
      <c r="P281" s="334">
        <f>ABS(J281)</f>
        <v/>
      </c>
      <c r="Q281" s="667" t="n"/>
      <c r="S281" s="739" t="n"/>
      <c r="T281" s="61" t="n"/>
      <c r="U281" s="61" t="n"/>
      <c r="V281" s="61" t="n"/>
      <c r="W281" s="61" t="n"/>
      <c r="X281" s="61" t="n"/>
      <c r="Y281" s="61" t="n"/>
      <c r="Z281" s="61" t="n"/>
    </row>
    <row r="282" hidden="1" outlineLevel="2" collapsed="1" ht="17.25" customHeight="1" thickBot="1">
      <c r="B282" s="740" t="n">
        <v>43068</v>
      </c>
      <c r="C282" s="299" t="inlineStr">
        <is>
          <t>TXO</t>
        </is>
      </c>
      <c r="D282" s="300" t="inlineStr">
        <is>
          <t>台指選W5 11 10750 P</t>
        </is>
      </c>
      <c r="E282" s="300" t="inlineStr">
        <is>
          <t>新倉</t>
        </is>
      </c>
      <c r="F282" s="301" t="inlineStr">
        <is>
          <t>買</t>
        </is>
      </c>
      <c r="G282" s="300" t="inlineStr">
        <is>
          <t>-</t>
        </is>
      </c>
      <c r="H282" s="741" t="n">
        <v>5</v>
      </c>
      <c r="I282" s="765" t="n">
        <v>11</v>
      </c>
      <c r="J282" s="741" t="n">
        <v>-2750</v>
      </c>
      <c r="K282" s="742" t="n">
        <v>90</v>
      </c>
      <c r="L282" s="742" t="n">
        <v>5</v>
      </c>
      <c r="M282" s="585">
        <f>IF(C282="TXO",J282-SUM(K282:L282),IF(C282="FITX",IF(E282="新倉",-SUM(K282:L282),IF(F282="賣",(I282-I281)*H282*200-SUM(K282:L282),(I281-I282)*H282*200-SUM(K282:L282))),IF(E282="新倉",-SUM(K282:L282),IF(F282="賣",(I282-I281)*H282*50-SUM(K282:L282),(I281-I282)*H282*50-SUM(K282:L282)))))</f>
        <v/>
      </c>
      <c r="N282" s="743">
        <f>M282</f>
        <v/>
      </c>
      <c r="O282" s="686">
        <f>IF(C282="TXO","",IF(E282="新倉","",IF(F282="賣",(I282-I281)*H282,(I281-I282)*H282)))</f>
        <v/>
      </c>
      <c r="P282" s="334">
        <f>ABS(J282)</f>
        <v/>
      </c>
      <c r="Q282" s="667" t="n"/>
      <c r="S282" s="739" t="n"/>
      <c r="T282" s="61" t="n"/>
      <c r="U282" s="61" t="n"/>
      <c r="V282" s="61" t="n"/>
      <c r="W282" s="61" t="n"/>
      <c r="X282" s="61" t="n"/>
      <c r="Y282" s="61" t="n"/>
      <c r="Z282" s="61" t="n"/>
    </row>
    <row r="283" hidden="1" outlineLevel="2" collapsed="1" ht="17.25" customHeight="1" thickBot="1">
      <c r="B283" s="740" t="n">
        <v>43068</v>
      </c>
      <c r="C283" s="299" t="inlineStr">
        <is>
          <t>TXO</t>
        </is>
      </c>
      <c r="D283" s="300" t="inlineStr">
        <is>
          <t>台指選W5 11 10750 P</t>
        </is>
      </c>
      <c r="E283" s="300" t="inlineStr">
        <is>
          <t>平倉</t>
        </is>
      </c>
      <c r="F283" s="301" t="inlineStr">
        <is>
          <t>賣</t>
        </is>
      </c>
      <c r="G283" s="300" t="inlineStr">
        <is>
          <t>-</t>
        </is>
      </c>
      <c r="H283" s="741" t="n">
        <v>5</v>
      </c>
      <c r="I283" s="765" t="n">
        <v>20.5</v>
      </c>
      <c r="J283" s="741" t="n">
        <v>5125</v>
      </c>
      <c r="K283" s="742" t="n">
        <v>90</v>
      </c>
      <c r="L283" s="742" t="n">
        <v>5</v>
      </c>
      <c r="M283" s="585">
        <f>IF(C283="TXO",J283-SUM(K283:L283),IF(C283="FITX",IF(E283="新倉",-SUM(K283:L283),IF(F283="賣",(I283-I282)*H283*200-SUM(K283:L283),(I282-I283)*H283*200-SUM(K283:L283))),IF(E283="新倉",-SUM(K283:L283),IF(F283="賣",(I283-I282)*H283*50-SUM(K283:L283),(I282-I283)*H283*50-SUM(K283:L283)))))</f>
        <v/>
      </c>
      <c r="N283" s="743">
        <f>M283</f>
        <v/>
      </c>
      <c r="O283" s="686">
        <f>IF(C283="TXO","",IF(E283="新倉","",IF(F283="賣",(I283-I282)*H283,(I282-I283)*H283)))</f>
        <v/>
      </c>
      <c r="P283" s="334">
        <f>ABS(J283)</f>
        <v/>
      </c>
      <c r="Q283" s="667" t="n"/>
      <c r="S283" s="739" t="n"/>
      <c r="T283" s="61" t="n"/>
      <c r="U283" s="61" t="n"/>
      <c r="V283" s="61" t="n"/>
      <c r="W283" s="61" t="n"/>
      <c r="X283" s="61" t="n"/>
      <c r="Y283" s="61" t="n"/>
      <c r="Z283" s="61" t="n"/>
    </row>
    <row r="284" hidden="1" outlineLevel="2" collapsed="1" ht="17.25" customHeight="1" thickBot="1">
      <c r="B284" s="740" t="n">
        <v>43068</v>
      </c>
      <c r="C284" s="299" t="inlineStr">
        <is>
          <t>TXO</t>
        </is>
      </c>
      <c r="D284" s="300" t="inlineStr">
        <is>
          <t>台指選W5 11 10750 P</t>
        </is>
      </c>
      <c r="E284" s="300" t="inlineStr">
        <is>
          <t>新倉</t>
        </is>
      </c>
      <c r="F284" s="301" t="inlineStr">
        <is>
          <t>買</t>
        </is>
      </c>
      <c r="G284" s="300" t="inlineStr">
        <is>
          <t>-</t>
        </is>
      </c>
      <c r="H284" s="741" t="n">
        <v>2</v>
      </c>
      <c r="I284" s="765" t="n">
        <v>13</v>
      </c>
      <c r="J284" s="741" t="n">
        <v>-1300</v>
      </c>
      <c r="K284" s="742" t="n">
        <v>36</v>
      </c>
      <c r="L284" s="742" t="n">
        <v>2</v>
      </c>
      <c r="M284" s="585">
        <f>IF(C284="TXO",J284-SUM(K284:L284),IF(C284="FITX",IF(E284="新倉",-SUM(K284:L284),IF(F284="賣",(I284-I283)*H284*200-SUM(K284:L284),(I283-I284)*H284*200-SUM(K284:L284))),IF(E284="新倉",-SUM(K284:L284),IF(F284="賣",(I284-I283)*H284*50-SUM(K284:L284),(I283-I284)*H284*50-SUM(K284:L284)))))</f>
        <v/>
      </c>
      <c r="N284" s="743">
        <f>M284</f>
        <v/>
      </c>
      <c r="O284" s="686">
        <f>IF(C284="TXO","",IF(E284="新倉","",IF(F284="賣",(I284-I283)*H284,(I283-I284)*H284)))</f>
        <v/>
      </c>
      <c r="P284" s="334">
        <f>ABS(J284)</f>
        <v/>
      </c>
      <c r="Q284" s="667" t="n"/>
      <c r="R284" s="230" t="inlineStr">
        <is>
          <t>小量，賭向下破箱-價內</t>
        </is>
      </c>
      <c r="S284" s="739" t="n"/>
      <c r="T284" s="61" t="n"/>
      <c r="U284" s="61" t="n"/>
      <c r="V284" s="61" t="n"/>
      <c r="W284" s="61" t="n"/>
      <c r="X284" s="61" t="n"/>
      <c r="Y284" s="61" t="n"/>
      <c r="Z284" s="61" t="n"/>
    </row>
    <row r="285" hidden="1" outlineLevel="2" collapsed="1" ht="17.25" customHeight="1" thickBot="1">
      <c r="B285" s="740" t="n">
        <v>43068</v>
      </c>
      <c r="C285" s="299" t="inlineStr">
        <is>
          <t>TXO</t>
        </is>
      </c>
      <c r="D285" s="300" t="inlineStr">
        <is>
          <t>台指選W5 11 10750 P</t>
        </is>
      </c>
      <c r="E285" s="300" t="inlineStr">
        <is>
          <t>平倉</t>
        </is>
      </c>
      <c r="F285" s="301" t="inlineStr">
        <is>
          <t>賣</t>
        </is>
      </c>
      <c r="G285" s="300" t="inlineStr">
        <is>
          <t>-</t>
        </is>
      </c>
      <c r="H285" s="741" t="n">
        <v>2</v>
      </c>
      <c r="I285" s="765" t="n">
        <v>20.5</v>
      </c>
      <c r="J285" s="741" t="n">
        <v>2050</v>
      </c>
      <c r="K285" s="742" t="n">
        <v>36</v>
      </c>
      <c r="L285" s="742" t="n">
        <v>2</v>
      </c>
      <c r="M285" s="585">
        <f>IF(C285="TXO",J285-SUM(K285:L285),IF(C285="FITX",IF(E285="新倉",-SUM(K285:L285),IF(F285="賣",(I285-I284)*H285*200-SUM(K285:L285),(I284-I285)*H285*200-SUM(K285:L285))),IF(E285="新倉",-SUM(K285:L285),IF(F285="賣",(I285-I284)*H285*50-SUM(K285:L285),(I284-I285)*H285*50-SUM(K285:L285)))))</f>
        <v/>
      </c>
      <c r="N285" s="743">
        <f>M285</f>
        <v/>
      </c>
      <c r="O285" s="686">
        <f>IF(C285="TXO","",IF(E285="新倉","",IF(F285="賣",(I285-I284)*H285,(I284-I285)*H285)))</f>
        <v/>
      </c>
      <c r="P285" s="334">
        <f>ABS(J285)</f>
        <v/>
      </c>
      <c r="Q285" s="667" t="n"/>
      <c r="R285" s="230" t="inlineStr">
        <is>
          <t>小量，賭向下破箱-價外</t>
        </is>
      </c>
      <c r="S285" s="739" t="n"/>
      <c r="T285" s="61" t="n"/>
      <c r="U285" s="61" t="n"/>
      <c r="V285" s="61" t="n"/>
      <c r="W285" s="61" t="n"/>
      <c r="X285" s="61" t="n"/>
      <c r="Y285" s="61" t="n"/>
      <c r="Z285" s="61" t="n"/>
    </row>
    <row r="286" hidden="1" outlineLevel="2" ht="17.25" customHeight="1" thickBot="1">
      <c r="B286" s="740" t="n">
        <v>43068</v>
      </c>
      <c r="C286" s="299" t="inlineStr">
        <is>
          <t>TXO</t>
        </is>
      </c>
      <c r="D286" s="300" t="inlineStr">
        <is>
          <t>台指選W5 11 10750 P</t>
        </is>
      </c>
      <c r="E286" s="300" t="inlineStr">
        <is>
          <t>新倉</t>
        </is>
      </c>
      <c r="F286" s="301" t="inlineStr">
        <is>
          <t>買</t>
        </is>
      </c>
      <c r="G286" s="300" t="inlineStr">
        <is>
          <t>-</t>
        </is>
      </c>
      <c r="H286" s="741" t="n">
        <v>3</v>
      </c>
      <c r="I286" s="765" t="n">
        <v>8</v>
      </c>
      <c r="J286" s="741" t="n">
        <v>-1200</v>
      </c>
      <c r="K286" s="742" t="n">
        <v>54</v>
      </c>
      <c r="L286" s="742" t="n">
        <v>0</v>
      </c>
      <c r="M286" s="585">
        <f>IF(C286="TXO",J286-SUM(K286:L286),IF(C286="FITX",IF(E286="新倉",-SUM(K286:L286),IF(F286="賣",(I286-I285)*H286*200-SUM(K286:L286),(I285-I286)*H286*200-SUM(K286:L286))),IF(E286="新倉",-SUM(K286:L286),IF(F286="賣",(I286-I285)*H286*50-SUM(K286:L286),(I285-I286)*H286*50-SUM(K286:L286)))))</f>
        <v/>
      </c>
      <c r="N286" s="743">
        <f>M286</f>
        <v/>
      </c>
      <c r="O286" s="686">
        <f>IF(C286="TXO","",IF(E286="新倉","",IF(F286="賣",(I286-I285)*H286,(I285-I286)*H286)))</f>
        <v/>
      </c>
      <c r="P286" s="334">
        <f>ABS(J286)</f>
        <v/>
      </c>
      <c r="Q286" s="667" t="n"/>
      <c r="S286" s="739" t="n"/>
      <c r="T286" s="61" t="n"/>
      <c r="U286" s="61" t="n"/>
      <c r="V286" s="61" t="n"/>
      <c r="W286" s="61" t="n"/>
      <c r="X286" s="61" t="n"/>
      <c r="Y286" s="61" t="n"/>
      <c r="Z286" s="61" t="n"/>
    </row>
    <row r="287" hidden="1" outlineLevel="2" collapsed="1" ht="17.25" customHeight="1" thickBot="1">
      <c r="B287" s="740" t="n">
        <v>43068</v>
      </c>
      <c r="C287" s="299" t="inlineStr">
        <is>
          <t>TXO</t>
        </is>
      </c>
      <c r="D287" s="300" t="inlineStr">
        <is>
          <t>台指選W5 11 10750 P</t>
        </is>
      </c>
      <c r="E287" s="300" t="inlineStr">
        <is>
          <t>平倉</t>
        </is>
      </c>
      <c r="F287" s="301" t="inlineStr">
        <is>
          <t>賣</t>
        </is>
      </c>
      <c r="G287" s="300" t="inlineStr">
        <is>
          <t>-</t>
        </is>
      </c>
      <c r="H287" s="741" t="n">
        <v>3</v>
      </c>
      <c r="I287" s="765" t="n">
        <v>20.5</v>
      </c>
      <c r="J287" s="741" t="n">
        <v>3075</v>
      </c>
      <c r="K287" s="742" t="n">
        <v>54</v>
      </c>
      <c r="L287" s="742" t="n">
        <v>3</v>
      </c>
      <c r="M287" s="585">
        <f>IF(C287="TXO",J287-SUM(K287:L287),IF(C287="FITX",IF(E287="新倉",-SUM(K287:L287),IF(F287="賣",(I287-I286)*H287*200-SUM(K287:L287),(I286-I287)*H287*200-SUM(K287:L287))),IF(E287="新倉",-SUM(K287:L287),IF(F287="賣",(I287-I286)*H287*50-SUM(K287:L287),(I286-I287)*H287*50-SUM(K287:L287)))))</f>
        <v/>
      </c>
      <c r="N287" s="743">
        <f>M287</f>
        <v/>
      </c>
      <c r="O287" s="686">
        <f>IF(C287="TXO","",IF(E287="新倉","",IF(F287="賣",(I287-I286)*H287,(I286-I287)*H287)))</f>
        <v/>
      </c>
      <c r="P287" s="334">
        <f>ABS(J287)</f>
        <v/>
      </c>
      <c r="Q287" s="667" t="n"/>
      <c r="S287" s="739" t="n"/>
      <c r="T287" s="61" t="n"/>
      <c r="U287" s="61" t="n"/>
      <c r="V287" s="61" t="n"/>
      <c r="W287" s="61" t="n"/>
      <c r="X287" s="61" t="n"/>
      <c r="Y287" s="61" t="n"/>
      <c r="Z287" s="61" t="n"/>
    </row>
    <row r="288" hidden="1" outlineLevel="2" collapsed="1" ht="17.25" customHeight="1" thickBot="1">
      <c r="B288" s="740" t="n">
        <v>43068</v>
      </c>
      <c r="C288" s="299" t="inlineStr">
        <is>
          <t>TXO</t>
        </is>
      </c>
      <c r="D288" s="300" t="inlineStr">
        <is>
          <t>台指選W5 11 10750 P</t>
        </is>
      </c>
      <c r="E288" s="300" t="inlineStr">
        <is>
          <t>新倉</t>
        </is>
      </c>
      <c r="F288" s="301" t="inlineStr">
        <is>
          <t>買</t>
        </is>
      </c>
      <c r="G288" s="300" t="inlineStr">
        <is>
          <t>-</t>
        </is>
      </c>
      <c r="H288" s="741" t="n">
        <v>3</v>
      </c>
      <c r="I288" s="765" t="n">
        <v>7.3</v>
      </c>
      <c r="J288" s="741" t="n">
        <v>-1095</v>
      </c>
      <c r="K288" s="742" t="n">
        <v>54</v>
      </c>
      <c r="L288" s="742" t="n">
        <v>0</v>
      </c>
      <c r="M288" s="585">
        <f>IF(C288="TXO",J288-SUM(K288:L288),IF(C288="FITX",IF(E288="新倉",-SUM(K288:L288),IF(F288="賣",(I288-I287)*H288*200-SUM(K288:L288),(I287-I288)*H288*200-SUM(K288:L288))),IF(E288="新倉",-SUM(K288:L288),IF(F288="賣",(I288-I287)*H288*50-SUM(K288:L288),(I287-I288)*H288*50-SUM(K288:L288)))))</f>
        <v/>
      </c>
      <c r="N288" s="743">
        <f>M288</f>
        <v/>
      </c>
      <c r="O288" s="686">
        <f>IF(C288="TXO","",IF(E288="新倉","",IF(F288="賣",(I288-I287)*H288,(I287-I288)*H288)))</f>
        <v/>
      </c>
      <c r="P288" s="334">
        <f>ABS(J288)</f>
        <v/>
      </c>
      <c r="Q288" s="667" t="n"/>
      <c r="S288" s="739" t="n"/>
      <c r="T288" s="61" t="n"/>
      <c r="U288" s="61" t="n"/>
      <c r="V288" s="61" t="n"/>
      <c r="W288" s="61" t="n"/>
      <c r="X288" s="61" t="n"/>
      <c r="Y288" s="61" t="n"/>
      <c r="Z288" s="61" t="n"/>
    </row>
    <row r="289" hidden="1" outlineLevel="2" collapsed="1" ht="17.25" customHeight="1" thickBot="1">
      <c r="B289" s="740" t="n">
        <v>43068</v>
      </c>
      <c r="C289" s="299" t="inlineStr">
        <is>
          <t>TXO</t>
        </is>
      </c>
      <c r="D289" s="300" t="inlineStr">
        <is>
          <t>台指選W5 11 10750 P</t>
        </is>
      </c>
      <c r="E289" s="300" t="inlineStr">
        <is>
          <t>平倉</t>
        </is>
      </c>
      <c r="F289" s="301" t="inlineStr">
        <is>
          <t>賣</t>
        </is>
      </c>
      <c r="G289" s="300" t="inlineStr">
        <is>
          <t>-</t>
        </is>
      </c>
      <c r="H289" s="741" t="n">
        <v>3</v>
      </c>
      <c r="I289" s="765" t="n">
        <v>20.5</v>
      </c>
      <c r="J289" s="741" t="n">
        <v>3075</v>
      </c>
      <c r="K289" s="742" t="n">
        <v>54</v>
      </c>
      <c r="L289" s="742" t="n">
        <v>3</v>
      </c>
      <c r="M289" s="585">
        <f>IF(C289="TXO",J289-SUM(K289:L289),IF(C289="FITX",IF(E289="新倉",-SUM(K289:L289),IF(F289="賣",(I289-I288)*H289*200-SUM(K289:L289),(I288-I289)*H289*200-SUM(K289:L289))),IF(E289="新倉",-SUM(K289:L289),IF(F289="賣",(I289-I288)*H289*50-SUM(K289:L289),(I288-I289)*H289*50-SUM(K289:L289)))))</f>
        <v/>
      </c>
      <c r="N289" s="743">
        <f>M289</f>
        <v/>
      </c>
      <c r="O289" s="686">
        <f>IF(C289="TXO","",IF(E289="新倉","",IF(F289="賣",(I289-I288)*H289,(I288-I289)*H289)))</f>
        <v/>
      </c>
      <c r="P289" s="334">
        <f>ABS(J289)</f>
        <v/>
      </c>
      <c r="Q289" s="667" t="n"/>
      <c r="S289" s="739" t="n"/>
      <c r="T289" s="61" t="n"/>
      <c r="U289" s="61" t="n"/>
      <c r="V289" s="61" t="n"/>
      <c r="W289" s="61" t="n"/>
      <c r="X289" s="61" t="n"/>
      <c r="Y289" s="61" t="n"/>
      <c r="Z289" s="61" t="n"/>
    </row>
    <row r="290" hidden="1" outlineLevel="2" collapsed="1" ht="17.25" customHeight="1" thickBot="1">
      <c r="B290" s="740" t="n">
        <v>43068</v>
      </c>
      <c r="C290" s="299" t="inlineStr">
        <is>
          <t>FIMTX</t>
        </is>
      </c>
      <c r="D290" s="300" t="inlineStr">
        <is>
          <t>小指12</t>
        </is>
      </c>
      <c r="E290" s="300" t="inlineStr">
        <is>
          <t>新倉</t>
        </is>
      </c>
      <c r="F290" s="301" t="inlineStr">
        <is>
          <t>賣</t>
        </is>
      </c>
      <c r="G290" s="300" t="inlineStr">
        <is>
          <t>-</t>
        </is>
      </c>
      <c r="H290" s="741" t="n">
        <v>1</v>
      </c>
      <c r="I290" s="765" t="n">
        <v>10722</v>
      </c>
      <c r="J290" s="741" t="n">
        <v>0</v>
      </c>
      <c r="K290" s="742" t="n">
        <v>23</v>
      </c>
      <c r="L290" s="742" t="n">
        <v>11</v>
      </c>
      <c r="M290" s="585">
        <f>IF(C290="TXO",J290-SUM(K290:L290),IF(C290="FITX",IF(E290="新倉",-SUM(K290:L290),IF(F290="賣",(I290-I289)*H290*200-SUM(K290:L290),(I289-I290)*H290*200-SUM(K290:L290))),IF(E290="新倉",-SUM(K290:L290),IF(F290="賣",(I290-I289)*H290*50-SUM(K290:L290),(I289-I290)*H290*50-SUM(K290:L290)))))</f>
        <v/>
      </c>
      <c r="N290" s="743">
        <f>M290</f>
        <v/>
      </c>
      <c r="O290" s="686">
        <f>IF(C290="TXO","",IF(E290="新倉","",IF(F290="賣",(I290-I289)*H290,(I289-I290)*H290)))</f>
        <v/>
      </c>
      <c r="P290" s="334">
        <f>ABS(J290)</f>
        <v/>
      </c>
      <c r="Q290" s="667" t="n"/>
      <c r="R290" s="230" t="inlineStr">
        <is>
          <t>小量，賭向下破箱-價內</t>
        </is>
      </c>
      <c r="S290" s="739" t="n"/>
      <c r="T290" s="61" t="n"/>
      <c r="U290" s="61" t="n"/>
      <c r="V290" s="61" t="n"/>
      <c r="W290" s="61" t="n"/>
      <c r="X290" s="61" t="n"/>
      <c r="Y290" s="61" t="n"/>
      <c r="Z290" s="61" t="n"/>
    </row>
    <row r="291" hidden="1" outlineLevel="2" collapsed="1" ht="17.25" customHeight="1" thickBot="1">
      <c r="B291" s="740" t="n">
        <v>43068</v>
      </c>
      <c r="C291" s="299" t="inlineStr">
        <is>
          <t>FIMTX</t>
        </is>
      </c>
      <c r="D291" s="300" t="inlineStr">
        <is>
          <t>小指12</t>
        </is>
      </c>
      <c r="E291" s="300" t="inlineStr">
        <is>
          <t>平倉</t>
        </is>
      </c>
      <c r="F291" s="301" t="inlineStr">
        <is>
          <t>買</t>
        </is>
      </c>
      <c r="G291" s="300" t="inlineStr">
        <is>
          <t>-</t>
        </is>
      </c>
      <c r="H291" s="741" t="n">
        <v>1</v>
      </c>
      <c r="I291" s="765" t="n">
        <v>10725</v>
      </c>
      <c r="J291" s="741" t="n">
        <v>0</v>
      </c>
      <c r="K291" s="742" t="n">
        <v>23</v>
      </c>
      <c r="L291" s="742" t="n">
        <v>11</v>
      </c>
      <c r="M291" s="585">
        <f>IF(C291="TXO",J291-SUM(K291:L291),IF(C291="FITX",IF(E291="新倉",-SUM(K291:L291),IF(F291="賣",(I291-I290)*H291*200-SUM(K291:L291),(I290-I291)*H291*200-SUM(K291:L291))),IF(E291="新倉",-SUM(K291:L291),IF(F291="賣",(I291-I290)*H291*50-SUM(K291:L291),(I290-I291)*H291*50-SUM(K291:L291)))))</f>
        <v/>
      </c>
      <c r="N291" s="743">
        <f>M291</f>
        <v/>
      </c>
      <c r="O291" s="686">
        <f>IF(C291="TXO","",IF(E291="新倉","",IF(F291="賣",(I291-I290)*H291,(I290-I291)*H291)))</f>
        <v/>
      </c>
      <c r="P291" s="334">
        <f>ABS(J291)</f>
        <v/>
      </c>
      <c r="Q291" s="667" t="n"/>
      <c r="R291" s="230" t="inlineStr">
        <is>
          <t>小量，賭向下破箱-價外</t>
        </is>
      </c>
      <c r="S291" s="739" t="n"/>
      <c r="T291" s="61" t="n"/>
      <c r="U291" s="61" t="n"/>
      <c r="V291" s="61" t="n"/>
      <c r="W291" s="61" t="n"/>
      <c r="X291" s="61" t="n"/>
      <c r="Y291" s="61" t="n"/>
      <c r="Z291" s="61" t="n"/>
    </row>
    <row r="292" ht="17.25" customHeight="1" thickBot="1">
      <c r="B292" s="718" t="n">
        <v>43046</v>
      </c>
      <c r="C292" s="292" t="n"/>
      <c r="D292" s="292" t="inlineStr">
        <is>
          <t>富邦個人信貸</t>
        </is>
      </c>
      <c r="E292" s="292" t="n"/>
      <c r="F292" s="292" t="n"/>
      <c r="G292" s="292" t="n"/>
      <c r="H292" s="719" t="n"/>
      <c r="I292" s="719" t="n"/>
      <c r="J292" s="719" t="n"/>
      <c r="K292" s="720" t="n"/>
      <c r="L292" s="719" t="n"/>
      <c r="M292" s="720" t="n"/>
      <c r="N292" s="721" t="n">
        <v>-1449</v>
      </c>
      <c r="O292" s="760" t="n"/>
      <c r="Q292" s="761" t="n"/>
      <c r="R292" s="230" t="inlineStr">
        <is>
          <t>利息</t>
        </is>
      </c>
      <c r="S292" s="739" t="n"/>
    </row>
    <row r="293" ht="17.25" customHeight="1" thickBot="1">
      <c r="B293" s="718" t="n">
        <v>43061</v>
      </c>
      <c r="C293" s="292" t="n"/>
      <c r="D293" s="292" t="inlineStr">
        <is>
          <t>阿水財經三班</t>
        </is>
      </c>
      <c r="E293" s="292" t="n"/>
      <c r="F293" s="292" t="n"/>
      <c r="G293" s="292" t="n"/>
      <c r="H293" s="719" t="n"/>
      <c r="I293" s="719" t="n"/>
      <c r="J293" s="719" t="n"/>
      <c r="K293" s="720" t="n"/>
      <c r="L293" s="719" t="n"/>
      <c r="M293" s="720" t="n"/>
      <c r="N293" s="721" t="n">
        <v>-8240</v>
      </c>
      <c r="O293" s="760" t="n"/>
      <c r="Q293" s="761" t="n"/>
      <c r="R293" s="230" t="inlineStr">
        <is>
          <t>98888分12期, 每期8240</t>
        </is>
      </c>
      <c r="S293" s="739" t="n"/>
    </row>
    <row r="294" collapsed="1" ht="17.25" customHeight="1" thickBot="1">
      <c r="B294" s="273" t="inlineStr">
        <is>
          <t>11月總計</t>
        </is>
      </c>
      <c r="C294" s="274" t="n"/>
      <c r="D294" s="274" t="n"/>
      <c r="E294" s="274" t="n"/>
      <c r="F294" s="274" t="n"/>
      <c r="G294" s="274" t="n"/>
      <c r="H294" s="715" t="n"/>
      <c r="I294" s="715" t="n"/>
      <c r="J294" s="715" t="n"/>
      <c r="K294" s="716" t="n"/>
      <c r="L294" s="715" t="n"/>
      <c r="M294" s="750">
        <f>SUM(M207:M293)</f>
        <v/>
      </c>
      <c r="N294" s="751">
        <f>SUM(N207:N293)</f>
        <v/>
      </c>
      <c r="O294" s="762" t="n"/>
      <c r="P294" s="331" t="n"/>
      <c r="Q294" s="763" t="n"/>
      <c r="S294" s="739" t="n"/>
    </row>
    <row r="295" hidden="1" outlineLevel="1" collapsed="1" ht="17.25" customHeight="1" thickBot="1">
      <c r="B295" s="766" t="n">
        <v>43070</v>
      </c>
      <c r="C295" s="337" t="inlineStr">
        <is>
          <t>FIMTX</t>
        </is>
      </c>
      <c r="D295" s="338" t="inlineStr">
        <is>
          <t>小指12</t>
        </is>
      </c>
      <c r="E295" s="338" t="inlineStr">
        <is>
          <t>新倉</t>
        </is>
      </c>
      <c r="F295" s="338" t="inlineStr">
        <is>
          <t>賣</t>
        </is>
      </c>
      <c r="G295" s="338" t="inlineStr">
        <is>
          <t>-</t>
        </is>
      </c>
      <c r="H295" s="767" t="n">
        <v>1</v>
      </c>
      <c r="I295" s="768" t="n">
        <v>10505</v>
      </c>
      <c r="J295" s="767" t="n">
        <v>0</v>
      </c>
      <c r="K295" s="769" t="n">
        <v>23</v>
      </c>
      <c r="L295" s="769" t="n">
        <v>11</v>
      </c>
      <c r="M295" s="771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/>
      </c>
      <c r="N295" s="772">
        <f>M295</f>
        <v/>
      </c>
      <c r="O295" s="686">
        <f>IF(C295="TXO","",IF(E295="新倉","",IF(F295="賣",(I295-I294)*H295,(I294-I295)*H295)))</f>
        <v/>
      </c>
      <c r="P295" s="334">
        <f>ABS(J295)</f>
        <v/>
      </c>
      <c r="Q295" s="667">
        <f>SUM(M295:M302)</f>
        <v/>
      </c>
      <c r="S295" s="61" t="n"/>
      <c r="T295" s="61" t="n"/>
      <c r="U295" s="61" t="n"/>
      <c r="V295" s="61" t="n"/>
      <c r="W295" s="61" t="n"/>
      <c r="X295" s="61" t="n"/>
      <c r="Y295" s="61" t="n"/>
      <c r="Z295" s="61" t="n"/>
    </row>
    <row r="296" hidden="1" outlineLevel="2" collapsed="1" ht="17.25" customHeight="1" thickBot="1">
      <c r="B296" s="766" t="n">
        <v>43070</v>
      </c>
      <c r="C296" s="337" t="inlineStr">
        <is>
          <t>FIMTX</t>
        </is>
      </c>
      <c r="D296" s="338" t="inlineStr">
        <is>
          <t>小指12</t>
        </is>
      </c>
      <c r="E296" s="338" t="inlineStr">
        <is>
          <t>平倉</t>
        </is>
      </c>
      <c r="F296" s="338" t="inlineStr">
        <is>
          <t>買</t>
        </is>
      </c>
      <c r="G296" s="338" t="inlineStr">
        <is>
          <t>-</t>
        </is>
      </c>
      <c r="H296" s="767" t="n">
        <v>1</v>
      </c>
      <c r="I296" s="768" t="n">
        <v>10501</v>
      </c>
      <c r="J296" s="767" t="n">
        <v>0</v>
      </c>
      <c r="K296" s="769" t="n">
        <v>23</v>
      </c>
      <c r="L296" s="769" t="n">
        <v>11</v>
      </c>
      <c r="M296" s="585">
        <f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/>
      </c>
      <c r="N296" s="699">
        <f>M296</f>
        <v/>
      </c>
      <c r="O296" s="686">
        <f>IF(C296="TXO","",IF(E296="新倉","",IF(F296="賣",(I296-I295)*H296,(I295-I296)*H296)))</f>
        <v/>
      </c>
      <c r="P296" s="334">
        <f>ABS(J296)</f>
        <v/>
      </c>
      <c r="Q296" s="667" t="n"/>
      <c r="S296" s="61" t="n"/>
      <c r="T296" s="61" t="n"/>
      <c r="U296" s="61" t="n"/>
      <c r="V296" s="61" t="n"/>
      <c r="W296" s="61" t="n"/>
      <c r="X296" s="61" t="n"/>
      <c r="Y296" s="61" t="n"/>
      <c r="Z296" s="61" t="n"/>
    </row>
    <row r="297" hidden="1" outlineLevel="2" collapsed="1" ht="17.25" customHeight="1" thickBot="1">
      <c r="B297" s="766" t="n">
        <v>43070</v>
      </c>
      <c r="C297" s="337" t="inlineStr">
        <is>
          <t>TXO</t>
        </is>
      </c>
      <c r="D297" s="338" t="inlineStr">
        <is>
          <t>台選W1 12 10500 P</t>
        </is>
      </c>
      <c r="E297" s="338" t="inlineStr">
        <is>
          <t>新倉</t>
        </is>
      </c>
      <c r="F297" s="338" t="inlineStr">
        <is>
          <t>買</t>
        </is>
      </c>
      <c r="G297" s="338" t="inlineStr">
        <is>
          <t>-</t>
        </is>
      </c>
      <c r="H297" s="767" t="n">
        <v>1</v>
      </c>
      <c r="I297" s="768" t="n">
        <v>32</v>
      </c>
      <c r="J297" s="767" t="n">
        <v>-1600</v>
      </c>
      <c r="K297" s="769" t="n">
        <v>18</v>
      </c>
      <c r="L297" s="769" t="n">
        <v>2</v>
      </c>
      <c r="M297" s="585">
        <f>IF(C297="TXO",J297-SUM(K297:L297),IF(C297="FITX",IF(E297="新倉",-SUM(K297:L297),IF(F297="賣",(I297-I296)*H297*200-SUM(K297:L297),(I296-I297)*H297*200-SUM(K297:L297))),IF(E297="新倉",-SUM(K297:L297),IF(F297="賣",(I297-I296)*H297*50-SUM(K297:L297),(I296-I297)*H297*50-SUM(K297:L297)))))</f>
        <v/>
      </c>
      <c r="N297" s="699">
        <f>M297</f>
        <v/>
      </c>
      <c r="O297" s="686">
        <f>IF(C297="TXO","",IF(E297="新倉","",IF(F297="賣",(I297-I296)*H297,(I296-I297)*H297)))</f>
        <v/>
      </c>
      <c r="P297" s="334">
        <f>ABS(J297)</f>
        <v/>
      </c>
      <c r="Q297" s="667" t="n"/>
      <c r="S297" s="61" t="n"/>
      <c r="T297" s="61" t="n"/>
      <c r="U297" s="61" t="n"/>
      <c r="V297" s="61" t="n"/>
      <c r="W297" s="61" t="n"/>
      <c r="X297" s="61" t="n"/>
      <c r="Y297" s="61" t="n"/>
      <c r="Z297" s="61" t="n"/>
    </row>
    <row r="298" hidden="1" outlineLevel="2" collapsed="1" ht="17.25" customHeight="1" thickBot="1">
      <c r="B298" s="766" t="n">
        <v>43075</v>
      </c>
      <c r="C298" s="337" t="inlineStr">
        <is>
          <t>TXO</t>
        </is>
      </c>
      <c r="D298" s="338" t="inlineStr">
        <is>
          <t>台選W1 12 10500 P</t>
        </is>
      </c>
      <c r="E298" s="338" t="inlineStr">
        <is>
          <t>平倉</t>
        </is>
      </c>
      <c r="F298" s="338" t="inlineStr">
        <is>
          <t>賣</t>
        </is>
      </c>
      <c r="G298" s="338" t="inlineStr">
        <is>
          <t>-</t>
        </is>
      </c>
      <c r="H298" s="767" t="n">
        <v>1</v>
      </c>
      <c r="I298" s="768" t="n">
        <v>11.5</v>
      </c>
      <c r="J298" s="767" t="n">
        <v>575</v>
      </c>
      <c r="K298" s="769" t="n">
        <v>18</v>
      </c>
      <c r="L298" s="769" t="n">
        <v>1</v>
      </c>
      <c r="M298" s="585">
        <f>IF(C298="TXO",J298-SUM(K298:L298),IF(C298="FITX",IF(E298="新倉",-SUM(K298:L298),IF(F298="賣",(I298-I297)*H298*200-SUM(K298:L298),(I297-I298)*H298*200-SUM(K298:L298))),IF(E298="新倉",-SUM(K298:L298),IF(F298="賣",(I298-I297)*H298*50-SUM(K298:L298),(I297-I298)*H298*50-SUM(K298:L298)))))</f>
        <v/>
      </c>
      <c r="N298" s="699">
        <f>M298</f>
        <v/>
      </c>
      <c r="O298" s="686">
        <f>IF(C298="TXO","",IF(E298="新倉","",IF(F298="賣",(I298-I297)*H298,(I297-I298)*H298)))</f>
        <v/>
      </c>
      <c r="P298" s="334">
        <f>ABS(J298)</f>
        <v/>
      </c>
      <c r="Q298" s="667" t="n"/>
      <c r="S298" s="61" t="n"/>
      <c r="T298" s="61" t="n"/>
      <c r="U298" s="61" t="n"/>
      <c r="V298" s="61" t="n"/>
      <c r="W298" s="61" t="n"/>
      <c r="X298" s="61" t="n"/>
      <c r="Y298" s="61" t="n"/>
      <c r="Z298" s="61" t="n"/>
    </row>
    <row r="299" hidden="1" outlineLevel="2" collapsed="1" ht="17.25" customHeight="1" thickBot="1">
      <c r="B299" s="766" t="n">
        <v>43070</v>
      </c>
      <c r="C299" s="337" t="inlineStr">
        <is>
          <t>TXO</t>
        </is>
      </c>
      <c r="D299" s="338" t="inlineStr">
        <is>
          <t>台選W1 12 10500 P</t>
        </is>
      </c>
      <c r="E299" s="338" t="inlineStr">
        <is>
          <t>新倉</t>
        </is>
      </c>
      <c r="F299" s="338" t="inlineStr">
        <is>
          <t>買</t>
        </is>
      </c>
      <c r="G299" s="338" t="inlineStr">
        <is>
          <t>-</t>
        </is>
      </c>
      <c r="H299" s="767" t="n">
        <v>1</v>
      </c>
      <c r="I299" s="768" t="n">
        <v>28</v>
      </c>
      <c r="J299" s="767" t="n">
        <v>-1400</v>
      </c>
      <c r="K299" s="769" t="n">
        <v>18</v>
      </c>
      <c r="L299" s="769" t="n">
        <v>1</v>
      </c>
      <c r="M299" s="585">
        <f>IF(C299="TXO",J299-SUM(K299:L299),IF(C299="FITX",IF(E299="新倉",-SUM(K299:L299),IF(F299="賣",(I299-I298)*H299*200-SUM(K299:L299),(I298-I299)*H299*200-SUM(K299:L299))),IF(E299="新倉",-SUM(K299:L299),IF(F299="賣",(I299-I298)*H299*50-SUM(K299:L299),(I298-I299)*H299*50-SUM(K299:L299)))))</f>
        <v/>
      </c>
      <c r="N299" s="699">
        <f>M299</f>
        <v/>
      </c>
      <c r="O299" s="686">
        <f>IF(C299="TXO","",IF(E299="新倉","",IF(F299="賣",(I299-I298)*H299,(I298-I299)*H299)))</f>
        <v/>
      </c>
      <c r="P299" s="334">
        <f>ABS(J299)</f>
        <v/>
      </c>
      <c r="Q299" s="667" t="n"/>
      <c r="S299" s="61" t="n"/>
      <c r="T299" s="61" t="n"/>
      <c r="U299" s="61" t="n"/>
      <c r="V299" s="61" t="n"/>
      <c r="W299" s="61" t="n"/>
      <c r="X299" s="61" t="n"/>
      <c r="Y299" s="61" t="n"/>
      <c r="Z299" s="61" t="n"/>
    </row>
    <row r="300" hidden="1" outlineLevel="2" collapsed="1" ht="17.25" customHeight="1" thickBot="1">
      <c r="B300" s="766" t="n">
        <v>43075</v>
      </c>
      <c r="C300" s="337" t="inlineStr">
        <is>
          <t>TXO</t>
        </is>
      </c>
      <c r="D300" s="338" t="inlineStr">
        <is>
          <t>台選W1 12 10500 P</t>
        </is>
      </c>
      <c r="E300" s="338" t="inlineStr">
        <is>
          <t>平倉</t>
        </is>
      </c>
      <c r="F300" s="338" t="inlineStr">
        <is>
          <t>賣</t>
        </is>
      </c>
      <c r="G300" s="338" t="inlineStr">
        <is>
          <t>-</t>
        </is>
      </c>
      <c r="H300" s="767" t="n">
        <v>1</v>
      </c>
      <c r="I300" s="768" t="n">
        <v>11.5</v>
      </c>
      <c r="J300" s="767" t="n">
        <v>575</v>
      </c>
      <c r="K300" s="769" t="n">
        <v>18</v>
      </c>
      <c r="L300" s="769" t="n">
        <v>1</v>
      </c>
      <c r="M300" s="585">
        <f>IF(C300="TXO",J300-SUM(K300:L300),IF(C300="FITX",IF(E300="新倉",-SUM(K300:L300),IF(F300="賣",(I300-I299)*H300*200-SUM(K300:L300),(I299-I300)*H300*200-SUM(K300:L300))),IF(E300="新倉",-SUM(K300:L300),IF(F300="賣",(I300-I299)*H300*50-SUM(K300:L300),(I299-I300)*H300*50-SUM(K300:L300)))))</f>
        <v/>
      </c>
      <c r="N300" s="699">
        <f>M300</f>
        <v/>
      </c>
      <c r="O300" s="686">
        <f>IF(C300="TXO","",IF(E300="新倉","",IF(F300="賣",(I300-I299)*H300,(I299-I300)*H300)))</f>
        <v/>
      </c>
      <c r="P300" s="334">
        <f>ABS(J300)</f>
        <v/>
      </c>
      <c r="Q300" s="667" t="n"/>
      <c r="S300" s="61" t="n"/>
      <c r="T300" s="61" t="n"/>
      <c r="U300" s="61" t="n"/>
      <c r="V300" s="61" t="n"/>
      <c r="W300" s="61" t="n"/>
      <c r="X300" s="61" t="n"/>
      <c r="Y300" s="61" t="n"/>
      <c r="Z300" s="61" t="n"/>
    </row>
    <row r="301" hidden="1" outlineLevel="2" collapsed="1" ht="17.25" customHeight="1" thickBot="1">
      <c r="B301" s="766" t="n">
        <v>43070</v>
      </c>
      <c r="C301" s="337" t="inlineStr">
        <is>
          <t>TXO</t>
        </is>
      </c>
      <c r="D301" s="338" t="inlineStr">
        <is>
          <t>台選W1 12 10500 P</t>
        </is>
      </c>
      <c r="E301" s="338" t="inlineStr">
        <is>
          <t>新倉</t>
        </is>
      </c>
      <c r="F301" s="338" t="inlineStr">
        <is>
          <t>買</t>
        </is>
      </c>
      <c r="G301" s="338" t="inlineStr">
        <is>
          <t>-</t>
        </is>
      </c>
      <c r="H301" s="767" t="n">
        <v>1</v>
      </c>
      <c r="I301" s="768" t="n">
        <v>20</v>
      </c>
      <c r="J301" s="767" t="n">
        <v>-1000</v>
      </c>
      <c r="K301" s="769" t="n">
        <v>18</v>
      </c>
      <c r="L301" s="769" t="n">
        <v>1</v>
      </c>
      <c r="M301" s="585">
        <f>IF(C301="TXO",J301-SUM(K301:L301),IF(C301="FITX",IF(E301="新倉",-SUM(K301:L301),IF(F301="賣",(I301-I300)*H301*200-SUM(K301:L301),(I300-I301)*H301*200-SUM(K301:L301))),IF(E301="新倉",-SUM(K301:L301),IF(F301="賣",(I301-I300)*H301*50-SUM(K301:L301),(I300-I301)*H301*50-SUM(K301:L301)))))</f>
        <v/>
      </c>
      <c r="N301" s="699">
        <f>M301</f>
        <v/>
      </c>
      <c r="O301" s="686">
        <f>IF(C301="TXO","",IF(E301="新倉","",IF(F301="賣",(I301-I300)*H301,(I300-I301)*H301)))</f>
        <v/>
      </c>
      <c r="P301" s="334">
        <f>ABS(J301)</f>
        <v/>
      </c>
      <c r="Q301" s="667" t="n"/>
      <c r="S301" s="61" t="n"/>
      <c r="T301" s="61" t="n"/>
      <c r="U301" s="61" t="n"/>
      <c r="V301" s="61" t="n"/>
      <c r="W301" s="61" t="n"/>
      <c r="X301" s="61" t="n"/>
      <c r="Y301" s="61" t="n"/>
      <c r="Z301" s="61" t="n"/>
    </row>
    <row r="302" hidden="1" outlineLevel="2" collapsed="1" ht="17.25" customHeight="1" thickBot="1">
      <c r="B302" s="766" t="n">
        <v>43075</v>
      </c>
      <c r="C302" s="337" t="inlineStr">
        <is>
          <t>TXO</t>
        </is>
      </c>
      <c r="D302" s="338" t="inlineStr">
        <is>
          <t>台選W1 12 10500 P</t>
        </is>
      </c>
      <c r="E302" s="338" t="inlineStr">
        <is>
          <t>平倉</t>
        </is>
      </c>
      <c r="F302" s="338" t="inlineStr">
        <is>
          <t>賣</t>
        </is>
      </c>
      <c r="G302" s="338" t="inlineStr">
        <is>
          <t>-</t>
        </is>
      </c>
      <c r="H302" s="767" t="n">
        <v>1</v>
      </c>
      <c r="I302" s="768" t="n">
        <v>11.5</v>
      </c>
      <c r="J302" s="767" t="n">
        <v>575</v>
      </c>
      <c r="K302" s="769" t="n">
        <v>18</v>
      </c>
      <c r="L302" s="769" t="n">
        <v>1</v>
      </c>
      <c r="M302" s="585">
        <f>IF(C302="TXO",J302-SUM(K302:L302),IF(C302="FITX",IF(E302="新倉",-SUM(K302:L302),IF(F302="賣",(I302-I301)*H302*200-SUM(K302:L302),(I301-I302)*H302*200-SUM(K302:L302))),IF(E302="新倉",-SUM(K302:L302),IF(F302="賣",(I302-I301)*H302*50-SUM(K302:L302),(I301-I302)*H302*50-SUM(K302:L302)))))</f>
        <v/>
      </c>
      <c r="N302" s="699">
        <f>M302</f>
        <v/>
      </c>
      <c r="O302" s="686">
        <f>IF(C302="TXO","",IF(E302="新倉","",IF(F302="賣",(I302-I301)*H302,(I301-I302)*H302)))</f>
        <v/>
      </c>
      <c r="P302" s="334">
        <f>ABS(J302)</f>
        <v/>
      </c>
      <c r="Q302" s="667" t="n"/>
      <c r="S302" s="61" t="n"/>
      <c r="T302" s="61" t="n"/>
      <c r="U302" s="61" t="n"/>
      <c r="V302" s="61" t="n"/>
      <c r="W302" s="61" t="n"/>
      <c r="X302" s="61" t="n"/>
      <c r="Y302" s="61" t="n"/>
      <c r="Z302" s="61" t="n"/>
    </row>
    <row r="303" hidden="1" outlineLevel="1" collapsed="1" ht="17.25" customHeight="1" thickBot="1">
      <c r="B303" s="740" t="n">
        <v>43075</v>
      </c>
      <c r="C303" s="299" t="inlineStr">
        <is>
          <t>TXO</t>
        </is>
      </c>
      <c r="D303" s="300" t="inlineStr">
        <is>
          <t>台選W1 12 10500 P</t>
        </is>
      </c>
      <c r="E303" s="300" t="inlineStr">
        <is>
          <t>新倉</t>
        </is>
      </c>
      <c r="F303" s="301" t="inlineStr">
        <is>
          <t>買</t>
        </is>
      </c>
      <c r="G303" s="300" t="inlineStr">
        <is>
          <t>-</t>
        </is>
      </c>
      <c r="H303" s="741" t="n">
        <v>3</v>
      </c>
      <c r="I303" s="765" t="n">
        <v>5.6</v>
      </c>
      <c r="J303" s="741" t="n">
        <v>-840</v>
      </c>
      <c r="K303" s="742" t="n">
        <v>54</v>
      </c>
      <c r="L303" s="742" t="n">
        <v>0</v>
      </c>
      <c r="M303" s="742">
        <f>IF(C303="TXO",J303-SUM(K303:L303),IF(C303="FITX",IF(E303="新倉",-SUM(K303:L303),IF(F303="賣",(I303-I302)*H303*200-SUM(K303:L303),(I302-I303)*H303*200-SUM(K303:L303))),IF(E303="新倉",-SUM(K303:L303),IF(F303="賣",(I303-I302)*H303*50-SUM(K303:L303),(I302-I303)*H303*50-SUM(K303:L303)))))</f>
        <v/>
      </c>
      <c r="N303" s="743">
        <f>M303</f>
        <v/>
      </c>
      <c r="O303" s="686">
        <f>IF(C303="TXO","",IF(E303="新倉","",IF(F303="賣",(I303-I302)*H303,(I302-I303)*H303)))</f>
        <v/>
      </c>
      <c r="P303" s="334">
        <f>ABS(J303)</f>
        <v/>
      </c>
      <c r="Q303" s="667">
        <f>SUM(M303:M350)</f>
        <v/>
      </c>
      <c r="S303" s="739" t="n"/>
      <c r="T303" s="61" t="n"/>
      <c r="U303" s="61" t="n"/>
      <c r="V303" s="61" t="n"/>
      <c r="W303" s="61" t="n"/>
      <c r="X303" s="61" t="n"/>
      <c r="Y303" s="61" t="n"/>
      <c r="Z303" s="61" t="n"/>
    </row>
    <row r="304" hidden="1" outlineLevel="2" collapsed="1" ht="17.25" customHeight="1" thickBot="1">
      <c r="B304" s="740" t="n">
        <v>43075</v>
      </c>
      <c r="C304" s="299" t="inlineStr">
        <is>
          <t>TXO</t>
        </is>
      </c>
      <c r="D304" s="300" t="inlineStr">
        <is>
          <t>台選W1 12 10500 P</t>
        </is>
      </c>
      <c r="E304" s="300" t="inlineStr">
        <is>
          <t>平倉</t>
        </is>
      </c>
      <c r="F304" s="301" t="inlineStr">
        <is>
          <t>賣</t>
        </is>
      </c>
      <c r="G304" s="300" t="inlineStr">
        <is>
          <t>-</t>
        </is>
      </c>
      <c r="H304" s="741" t="n">
        <v>3</v>
      </c>
      <c r="I304" s="765" t="n">
        <v>11.5</v>
      </c>
      <c r="J304" s="741" t="n">
        <v>1725</v>
      </c>
      <c r="K304" s="742" t="n">
        <v>54</v>
      </c>
      <c r="L304" s="742" t="n">
        <v>3</v>
      </c>
      <c r="M304" s="742">
        <f>IF(C304="TXO",J304-SUM(K304:L304),IF(C304="FITX",IF(E304="新倉",-SUM(K304:L304),IF(F304="賣",(I304-I303)*H304*200-SUM(K304:L304),(I303-I304)*H304*200-SUM(K304:L304))),IF(E304="新倉",-SUM(K304:L304),IF(F304="賣",(I304-I303)*H304*50-SUM(K304:L304),(I303-I304)*H304*50-SUM(K304:L304)))))</f>
        <v/>
      </c>
      <c r="N304" s="743">
        <f>M304</f>
        <v/>
      </c>
      <c r="O304" s="686">
        <f>IF(C304="TXO","",IF(E304="新倉","",IF(F304="賣",(I304-I303)*H304,(I303-I304)*H304)))</f>
        <v/>
      </c>
      <c r="P304" s="334">
        <f>ABS(J304)</f>
        <v/>
      </c>
      <c r="Q304" s="667" t="n"/>
      <c r="S304" s="739" t="n"/>
      <c r="T304" s="61" t="n"/>
      <c r="U304" s="61" t="n"/>
      <c r="V304" s="61" t="n"/>
      <c r="W304" s="61" t="n"/>
      <c r="X304" s="61" t="n"/>
      <c r="Y304" s="61" t="n"/>
      <c r="Z304" s="61" t="n"/>
    </row>
    <row r="305" hidden="1" outlineLevel="2" collapsed="1" ht="17.25" customHeight="1" thickBot="1">
      <c r="B305" s="740" t="n">
        <v>43075</v>
      </c>
      <c r="C305" s="299" t="inlineStr">
        <is>
          <t>TXO</t>
        </is>
      </c>
      <c r="D305" s="300" t="inlineStr">
        <is>
          <t>台選W1 12 10600 C</t>
        </is>
      </c>
      <c r="E305" s="300" t="inlineStr">
        <is>
          <t>新倉</t>
        </is>
      </c>
      <c r="F305" s="301" t="inlineStr">
        <is>
          <t>買</t>
        </is>
      </c>
      <c r="G305" s="300" t="inlineStr">
        <is>
          <t>-</t>
        </is>
      </c>
      <c r="H305" s="741" t="n">
        <v>1</v>
      </c>
      <c r="I305" s="765" t="n">
        <v>2.4</v>
      </c>
      <c r="J305" s="741" t="n">
        <v>-120</v>
      </c>
      <c r="K305" s="742" t="n">
        <v>18</v>
      </c>
      <c r="L305" s="742" t="n">
        <v>0</v>
      </c>
      <c r="M305" s="742">
        <f>IF(C305="TXO",J305-SUM(K305:L305),IF(C305="FITX",IF(E305="新倉",-SUM(K305:L305),IF(F305="賣",(I305-I304)*H305*200-SUM(K305:L305),(I304-I305)*H305*200-SUM(K305:L305))),IF(E305="新倉",-SUM(K305:L305),IF(F305="賣",(I305-I304)*H305*50-SUM(K305:L305),(I304-I305)*H305*50-SUM(K305:L305)))))</f>
        <v/>
      </c>
      <c r="N305" s="743">
        <f>M305</f>
        <v/>
      </c>
      <c r="O305" s="686">
        <f>IF(C305="TXO","",IF(E305="新倉","",IF(F305="賣",(I305-I304)*H305,(I304-I305)*H305)))</f>
        <v/>
      </c>
      <c r="P305" s="334">
        <f>ABS(J305)</f>
        <v/>
      </c>
      <c r="Q305" s="667" t="n"/>
      <c r="S305" s="739" t="n"/>
      <c r="T305" s="61" t="n"/>
      <c r="U305" s="61" t="n"/>
      <c r="V305" s="61" t="n"/>
      <c r="W305" s="61" t="n"/>
      <c r="X305" s="61" t="n"/>
      <c r="Y305" s="61" t="n"/>
      <c r="Z305" s="61" t="n"/>
    </row>
    <row r="306" hidden="1" outlineLevel="2" collapsed="1" ht="17.25" customHeight="1" thickBot="1">
      <c r="B306" s="740" t="n">
        <v>43075</v>
      </c>
      <c r="C306" s="299" t="inlineStr">
        <is>
          <t>TXO</t>
        </is>
      </c>
      <c r="D306" s="300" t="inlineStr">
        <is>
          <t>台選W1 12 10600 C</t>
        </is>
      </c>
      <c r="E306" s="300" t="inlineStr">
        <is>
          <t>平倉</t>
        </is>
      </c>
      <c r="F306" s="301" t="inlineStr">
        <is>
          <t>賣</t>
        </is>
      </c>
      <c r="G306" s="300" t="inlineStr">
        <is>
          <t>-</t>
        </is>
      </c>
      <c r="H306" s="741" t="n">
        <v>1</v>
      </c>
      <c r="I306" s="765" t="n">
        <v>0.1</v>
      </c>
      <c r="J306" s="741" t="n">
        <v>5</v>
      </c>
      <c r="K306" s="742" t="n">
        <v>18</v>
      </c>
      <c r="L306" s="742" t="n">
        <v>0</v>
      </c>
      <c r="M306" s="742">
        <f>IF(C306="TXO",J306-SUM(K306:L306),IF(C306="FITX",IF(E306="新倉",-SUM(K306:L306),IF(F306="賣",(I306-I305)*H306*200-SUM(K306:L306),(I305-I306)*H306*200-SUM(K306:L306))),IF(E306="新倉",-SUM(K306:L306),IF(F306="賣",(I306-I305)*H306*50-SUM(K306:L306),(I305-I306)*H306*50-SUM(K306:L306)))))</f>
        <v/>
      </c>
      <c r="N306" s="743">
        <f>M306</f>
        <v/>
      </c>
      <c r="O306" s="686">
        <f>IF(C306="TXO","",IF(E306="新倉","",IF(F306="賣",(I306-I305)*H306,(I305-I306)*H306)))</f>
        <v/>
      </c>
      <c r="P306" s="334">
        <f>ABS(J306)</f>
        <v/>
      </c>
      <c r="Q306" s="667" t="n"/>
      <c r="S306" s="739" t="n"/>
      <c r="T306" s="61" t="n"/>
      <c r="U306" s="61" t="n"/>
      <c r="V306" s="61" t="n"/>
      <c r="W306" s="61" t="n"/>
      <c r="X306" s="61" t="n"/>
      <c r="Y306" s="61" t="n"/>
      <c r="Z306" s="61" t="n"/>
    </row>
    <row r="307" hidden="1" outlineLevel="2" collapsed="1" ht="17.25" customHeight="1" thickBot="1">
      <c r="B307" s="740" t="n">
        <v>43075</v>
      </c>
      <c r="C307" s="299" t="inlineStr">
        <is>
          <t>TXO</t>
        </is>
      </c>
      <c r="D307" s="300" t="inlineStr">
        <is>
          <t>台選W1 12 10550 C</t>
        </is>
      </c>
      <c r="E307" s="300" t="inlineStr">
        <is>
          <t>新倉</t>
        </is>
      </c>
      <c r="F307" s="301" t="inlineStr">
        <is>
          <t>買</t>
        </is>
      </c>
      <c r="G307" s="300" t="inlineStr">
        <is>
          <t>-</t>
        </is>
      </c>
      <c r="H307" s="741" t="n">
        <v>2</v>
      </c>
      <c r="I307" s="765" t="n">
        <v>9.199999999999999</v>
      </c>
      <c r="J307" s="741" t="n">
        <v>-920</v>
      </c>
      <c r="K307" s="742" t="n">
        <v>36</v>
      </c>
      <c r="L307" s="742" t="n">
        <v>0</v>
      </c>
      <c r="M307" s="742">
        <f>IF(C307="TXO",J307-SUM(K307:L307),IF(C307="FITX",IF(E307="新倉",-SUM(K307:L307),IF(F307="賣",(I307-I306)*H307*200-SUM(K307:L307),(I306-I307)*H307*200-SUM(K307:L307))),IF(E307="新倉",-SUM(K307:L307),IF(F307="賣",(I307-I306)*H307*50-SUM(K307:L307),(I306-I307)*H307*50-SUM(K307:L307)))))</f>
        <v/>
      </c>
      <c r="N307" s="743">
        <f>M307</f>
        <v/>
      </c>
      <c r="O307" s="686">
        <f>IF(C307="TXO","",IF(E307="新倉","",IF(F307="賣",(I307-I306)*H307,(I306-I307)*H307)))</f>
        <v/>
      </c>
      <c r="P307" s="334">
        <f>ABS(J307)</f>
        <v/>
      </c>
      <c r="Q307" s="667" t="n"/>
      <c r="S307" s="739" t="n"/>
      <c r="T307" s="61" t="n"/>
      <c r="U307" s="61" t="n"/>
      <c r="V307" s="61" t="n"/>
      <c r="W307" s="61" t="n"/>
      <c r="X307" s="61" t="n"/>
      <c r="Y307" s="61" t="n"/>
      <c r="Z307" s="61" t="n"/>
    </row>
    <row r="308" hidden="1" outlineLevel="2" collapsed="1" ht="17.25" customHeight="1" thickBot="1">
      <c r="B308" s="740" t="n">
        <v>43075</v>
      </c>
      <c r="C308" s="299" t="inlineStr">
        <is>
          <t>TXO</t>
        </is>
      </c>
      <c r="D308" s="300" t="inlineStr">
        <is>
          <t>台選W1 12 10550 C</t>
        </is>
      </c>
      <c r="E308" s="300" t="inlineStr">
        <is>
          <t>平倉</t>
        </is>
      </c>
      <c r="F308" s="301" t="inlineStr">
        <is>
          <t>賣</t>
        </is>
      </c>
      <c r="G308" s="300" t="inlineStr">
        <is>
          <t>-</t>
        </is>
      </c>
      <c r="H308" s="741" t="n">
        <v>2</v>
      </c>
      <c r="I308" s="765" t="n">
        <v>0.1</v>
      </c>
      <c r="J308" s="741" t="n">
        <v>10</v>
      </c>
      <c r="K308" s="742" t="n">
        <v>36</v>
      </c>
      <c r="L308" s="742" t="n">
        <v>0</v>
      </c>
      <c r="M308" s="742">
        <f>IF(C308="TXO",J308-SUM(K308:L308),IF(C308="FITX",IF(E308="新倉",-SUM(K308:L308),IF(F308="賣",(I308-I307)*H308*200-SUM(K308:L308),(I307-I308)*H308*200-SUM(K308:L308))),IF(E308="新倉",-SUM(K308:L308),IF(F308="賣",(I308-I307)*H308*50-SUM(K308:L308),(I307-I308)*H308*50-SUM(K308:L308)))))</f>
        <v/>
      </c>
      <c r="N308" s="743">
        <f>M308</f>
        <v/>
      </c>
      <c r="O308" s="686">
        <f>IF(C308="TXO","",IF(E308="新倉","",IF(F308="賣",(I308-I307)*H308,(I307-I308)*H308)))</f>
        <v/>
      </c>
      <c r="P308" s="334">
        <f>ABS(J308)</f>
        <v/>
      </c>
      <c r="Q308" s="667" t="n"/>
      <c r="S308" s="739" t="n"/>
      <c r="T308" s="61" t="n"/>
      <c r="U308" s="61" t="n"/>
      <c r="V308" s="61" t="n"/>
      <c r="W308" s="61" t="n"/>
      <c r="X308" s="61" t="n"/>
      <c r="Y308" s="61" t="n"/>
      <c r="Z308" s="61" t="n"/>
    </row>
    <row r="309" hidden="1" outlineLevel="2" collapsed="1" ht="17.25" customHeight="1" thickBot="1">
      <c r="B309" s="740" t="n">
        <v>43075</v>
      </c>
      <c r="C309" s="299" t="inlineStr">
        <is>
          <t>TXO</t>
        </is>
      </c>
      <c r="D309" s="300" t="inlineStr">
        <is>
          <t>台選W1 12 10600 C</t>
        </is>
      </c>
      <c r="E309" s="300" t="inlineStr">
        <is>
          <t>新倉</t>
        </is>
      </c>
      <c r="F309" s="301" t="inlineStr">
        <is>
          <t>買</t>
        </is>
      </c>
      <c r="G309" s="300" t="inlineStr">
        <is>
          <t>-</t>
        </is>
      </c>
      <c r="H309" s="741" t="n">
        <v>10</v>
      </c>
      <c r="I309" s="765" t="n">
        <v>1.5</v>
      </c>
      <c r="J309" s="741" t="n">
        <v>-750</v>
      </c>
      <c r="K309" s="742" t="n">
        <v>180</v>
      </c>
      <c r="L309" s="742" t="n">
        <v>0</v>
      </c>
      <c r="M309" s="742">
        <f>IF(C309="TXO",J309-SUM(K309:L309),IF(C309="FITX",IF(E309="新倉",-SUM(K309:L309),IF(F309="賣",(I309-I308)*H309*200-SUM(K309:L309),(I308-I309)*H309*200-SUM(K309:L309))),IF(E309="新倉",-SUM(K309:L309),IF(F309="賣",(I309-I308)*H309*50-SUM(K309:L309),(I308-I309)*H309*50-SUM(K309:L309)))))</f>
        <v/>
      </c>
      <c r="N309" s="743">
        <f>M309</f>
        <v/>
      </c>
      <c r="O309" s="686">
        <f>IF(C309="TXO","",IF(E309="新倉","",IF(F309="賣",(I309-I308)*H309,(I308-I309)*H309)))</f>
        <v/>
      </c>
      <c r="P309" s="334">
        <f>ABS(J309)</f>
        <v/>
      </c>
      <c r="Q309" s="667" t="n"/>
      <c r="S309" s="739" t="n"/>
      <c r="T309" s="61" t="n"/>
      <c r="U309" s="61" t="n"/>
      <c r="V309" s="61" t="n"/>
      <c r="W309" s="61" t="n"/>
      <c r="X309" s="61" t="n"/>
      <c r="Y309" s="61" t="n"/>
      <c r="Z309" s="61" t="n"/>
    </row>
    <row r="310" hidden="1" outlineLevel="2" collapsed="1" ht="17.25" customHeight="1" thickBot="1">
      <c r="B310" s="740" t="n">
        <v>43075</v>
      </c>
      <c r="C310" s="299" t="inlineStr">
        <is>
          <t>TXO</t>
        </is>
      </c>
      <c r="D310" s="300" t="inlineStr">
        <is>
          <t>台選W1 12 10600 C</t>
        </is>
      </c>
      <c r="E310" s="300" t="inlineStr">
        <is>
          <t>平倉</t>
        </is>
      </c>
      <c r="F310" s="301" t="inlineStr">
        <is>
          <t>賣</t>
        </is>
      </c>
      <c r="G310" s="300" t="inlineStr">
        <is>
          <t>-</t>
        </is>
      </c>
      <c r="H310" s="741" t="n">
        <v>10</v>
      </c>
      <c r="I310" s="765" t="n">
        <v>0.1</v>
      </c>
      <c r="J310" s="741" t="n">
        <v>50</v>
      </c>
      <c r="K310" s="742" t="n">
        <v>180</v>
      </c>
      <c r="L310" s="742" t="n">
        <v>0</v>
      </c>
      <c r="M310" s="742">
        <f>IF(C310="TXO",J310-SUM(K310:L310),IF(C310="FITX",IF(E310="新倉",-SUM(K310:L310),IF(F310="賣",(I310-I309)*H310*200-SUM(K310:L310),(I309-I310)*H310*200-SUM(K310:L310))),IF(E310="新倉",-SUM(K310:L310),IF(F310="賣",(I310-I309)*H310*50-SUM(K310:L310),(I309-I310)*H310*50-SUM(K310:L310)))))</f>
        <v/>
      </c>
      <c r="N310" s="743">
        <f>M310</f>
        <v/>
      </c>
      <c r="O310" s="686">
        <f>IF(C310="TXO","",IF(E310="新倉","",IF(F310="賣",(I310-I309)*H310,(I309-I310)*H310)))</f>
        <v/>
      </c>
      <c r="P310" s="334">
        <f>ABS(J310)</f>
        <v/>
      </c>
      <c r="Q310" s="667" t="n"/>
      <c r="S310" s="739" t="n"/>
      <c r="T310" s="61" t="n"/>
      <c r="U310" s="61" t="n"/>
      <c r="V310" s="61" t="n"/>
      <c r="W310" s="61" t="n"/>
      <c r="X310" s="61" t="n"/>
      <c r="Y310" s="61" t="n"/>
      <c r="Z310" s="61" t="n"/>
    </row>
    <row r="311" hidden="1" outlineLevel="2" collapsed="1" ht="17.25" customHeight="1" thickBot="1">
      <c r="B311" s="740" t="n">
        <v>43075</v>
      </c>
      <c r="C311" s="299" t="inlineStr">
        <is>
          <t>TXO</t>
        </is>
      </c>
      <c r="D311" s="300" t="inlineStr">
        <is>
          <t>台選W1 12 10550 C</t>
        </is>
      </c>
      <c r="E311" s="300" t="inlineStr">
        <is>
          <t>新倉</t>
        </is>
      </c>
      <c r="F311" s="301" t="inlineStr">
        <is>
          <t>買</t>
        </is>
      </c>
      <c r="G311" s="300" t="inlineStr">
        <is>
          <t>-</t>
        </is>
      </c>
      <c r="H311" s="741" t="n">
        <v>5</v>
      </c>
      <c r="I311" s="765" t="n">
        <v>6.8</v>
      </c>
      <c r="J311" s="741" t="n">
        <v>-1700</v>
      </c>
      <c r="K311" s="742" t="n">
        <v>90</v>
      </c>
      <c r="L311" s="742" t="n">
        <v>0</v>
      </c>
      <c r="M311" s="742">
        <f>IF(C311="TXO",J311-SUM(K311:L311),IF(C311="FITX",IF(E311="新倉",-SUM(K311:L311),IF(F311="賣",(I311-I310)*H311*200-SUM(K311:L311),(I310-I311)*H311*200-SUM(K311:L311))),IF(E311="新倉",-SUM(K311:L311),IF(F311="賣",(I311-I310)*H311*50-SUM(K311:L311),(I310-I311)*H311*50-SUM(K311:L311)))))</f>
        <v/>
      </c>
      <c r="N311" s="743">
        <f>M311</f>
        <v/>
      </c>
      <c r="O311" s="686">
        <f>IF(C311="TXO","",IF(E311="新倉","",IF(F311="賣",(I311-I310)*H311,(I310-I311)*H311)))</f>
        <v/>
      </c>
      <c r="P311" s="334">
        <f>ABS(J311)</f>
        <v/>
      </c>
      <c r="Q311" s="667" t="n"/>
      <c r="S311" s="739" t="n"/>
      <c r="T311" s="61" t="n"/>
      <c r="U311" s="61" t="n"/>
      <c r="V311" s="61" t="n"/>
      <c r="W311" s="61" t="n"/>
      <c r="X311" s="61" t="n"/>
      <c r="Y311" s="61" t="n"/>
      <c r="Z311" s="61" t="n"/>
    </row>
    <row r="312" hidden="1" outlineLevel="2" collapsed="1" ht="17.25" customHeight="1" thickBot="1">
      <c r="B312" s="740" t="n">
        <v>43075</v>
      </c>
      <c r="C312" s="299" t="inlineStr">
        <is>
          <t>TXO</t>
        </is>
      </c>
      <c r="D312" s="300" t="inlineStr">
        <is>
          <t>台選W1 12 10550 C</t>
        </is>
      </c>
      <c r="E312" s="300" t="inlineStr">
        <is>
          <t>平倉</t>
        </is>
      </c>
      <c r="F312" s="301" t="inlineStr">
        <is>
          <t>賣</t>
        </is>
      </c>
      <c r="G312" s="300" t="inlineStr">
        <is>
          <t>-</t>
        </is>
      </c>
      <c r="H312" s="741" t="n">
        <v>5</v>
      </c>
      <c r="I312" s="765" t="n">
        <v>0.1</v>
      </c>
      <c r="J312" s="741" t="n">
        <v>25</v>
      </c>
      <c r="K312" s="742" t="n">
        <v>90</v>
      </c>
      <c r="L312" s="742" t="n">
        <v>0</v>
      </c>
      <c r="M312" s="742">
        <f>IF(C312="TXO",J312-SUM(K312:L312),IF(C312="FITX",IF(E312="新倉",-SUM(K312:L312),IF(F312="賣",(I312-I311)*H312*200-SUM(K312:L312),(I311-I312)*H312*200-SUM(K312:L312))),IF(E312="新倉",-SUM(K312:L312),IF(F312="賣",(I312-I311)*H312*50-SUM(K312:L312),(I311-I312)*H312*50-SUM(K312:L312)))))</f>
        <v/>
      </c>
      <c r="N312" s="743">
        <f>M312</f>
        <v/>
      </c>
      <c r="O312" s="686">
        <f>IF(C312="TXO","",IF(E312="新倉","",IF(F312="賣",(I312-I311)*H312,(I311-I312)*H312)))</f>
        <v/>
      </c>
      <c r="P312" s="334">
        <f>ABS(J312)</f>
        <v/>
      </c>
      <c r="Q312" s="667" t="n"/>
      <c r="S312" s="739" t="n"/>
      <c r="T312" s="61" t="n"/>
      <c r="U312" s="61" t="n"/>
      <c r="V312" s="61" t="n"/>
      <c r="W312" s="61" t="n"/>
      <c r="X312" s="61" t="n"/>
      <c r="Y312" s="61" t="n"/>
      <c r="Z312" s="61" t="n"/>
    </row>
    <row r="313" hidden="1" outlineLevel="2" collapsed="1" ht="17.25" customHeight="1" thickBot="1">
      <c r="B313" s="740" t="n">
        <v>43075</v>
      </c>
      <c r="C313" s="299" t="inlineStr">
        <is>
          <t>TXO</t>
        </is>
      </c>
      <c r="D313" s="300" t="inlineStr">
        <is>
          <t>台選W1 12 10550 C</t>
        </is>
      </c>
      <c r="E313" s="300" t="inlineStr">
        <is>
          <t>新倉</t>
        </is>
      </c>
      <c r="F313" s="301" t="inlineStr">
        <is>
          <t>買</t>
        </is>
      </c>
      <c r="G313" s="300" t="inlineStr">
        <is>
          <t>-</t>
        </is>
      </c>
      <c r="H313" s="741" t="n">
        <v>1</v>
      </c>
      <c r="I313" s="765" t="n">
        <v>5.9</v>
      </c>
      <c r="J313" s="741" t="n">
        <v>-295</v>
      </c>
      <c r="K313" s="742" t="n">
        <v>18</v>
      </c>
      <c r="L313" s="742" t="n">
        <v>0</v>
      </c>
      <c r="M313" s="742">
        <f>IF(C313="TXO",J313-SUM(K313:L313),IF(C313="FITX",IF(E313="新倉",-SUM(K313:L313),IF(F313="賣",(I313-I312)*H313*200-SUM(K313:L313),(I312-I313)*H313*200-SUM(K313:L313))),IF(E313="新倉",-SUM(K313:L313),IF(F313="賣",(I313-I312)*H313*50-SUM(K313:L313),(I312-I313)*H313*50-SUM(K313:L313)))))</f>
        <v/>
      </c>
      <c r="N313" s="743">
        <f>M313</f>
        <v/>
      </c>
      <c r="O313" s="686">
        <f>IF(C313="TXO","",IF(E313="新倉","",IF(F313="賣",(I313-I312)*H313,(I312-I313)*H313)))</f>
        <v/>
      </c>
      <c r="P313" s="334">
        <f>ABS(J313)</f>
        <v/>
      </c>
      <c r="Q313" s="667" t="n"/>
      <c r="S313" s="739" t="n"/>
      <c r="T313" s="61" t="n"/>
      <c r="U313" s="61" t="n"/>
      <c r="V313" s="61" t="n"/>
      <c r="W313" s="61" t="n"/>
      <c r="X313" s="61" t="n"/>
      <c r="Y313" s="61" t="n"/>
      <c r="Z313" s="61" t="n"/>
    </row>
    <row r="314" hidden="1" outlineLevel="2" collapsed="1" ht="17.25" customHeight="1" thickBot="1">
      <c r="B314" s="740" t="n">
        <v>43075</v>
      </c>
      <c r="C314" s="299" t="inlineStr">
        <is>
          <t>TXO</t>
        </is>
      </c>
      <c r="D314" s="300" t="inlineStr">
        <is>
          <t>台選W1 12 10550 C</t>
        </is>
      </c>
      <c r="E314" s="300" t="inlineStr">
        <is>
          <t>平倉</t>
        </is>
      </c>
      <c r="F314" s="301" t="inlineStr">
        <is>
          <t>賣</t>
        </is>
      </c>
      <c r="G314" s="300" t="inlineStr">
        <is>
          <t>-</t>
        </is>
      </c>
      <c r="H314" s="741" t="n">
        <v>1</v>
      </c>
      <c r="I314" s="765" t="n">
        <v>0.1</v>
      </c>
      <c r="J314" s="741" t="n">
        <v>5</v>
      </c>
      <c r="K314" s="742" t="n">
        <v>18</v>
      </c>
      <c r="L314" s="742" t="n">
        <v>0</v>
      </c>
      <c r="M314" s="742">
        <f>IF(C314="TXO",J314-SUM(K314:L314),IF(C314="FITX",IF(E314="新倉",-SUM(K314:L314),IF(F314="賣",(I314-I313)*H314*200-SUM(K314:L314),(I313-I314)*H314*200-SUM(K314:L314))),IF(E314="新倉",-SUM(K314:L314),IF(F314="賣",(I314-I313)*H314*50-SUM(K314:L314),(I313-I314)*H314*50-SUM(K314:L314)))))</f>
        <v/>
      </c>
      <c r="N314" s="743">
        <f>M314</f>
        <v/>
      </c>
      <c r="O314" s="686">
        <f>IF(C314="TXO","",IF(E314="新倉","",IF(F314="賣",(I314-I313)*H314,(I313-I314)*H314)))</f>
        <v/>
      </c>
      <c r="P314" s="334">
        <f>ABS(J314)</f>
        <v/>
      </c>
      <c r="Q314" s="667" t="n"/>
      <c r="S314" s="739" t="n"/>
      <c r="T314" s="61" t="n"/>
      <c r="U314" s="61" t="n"/>
      <c r="V314" s="61" t="n"/>
      <c r="W314" s="61" t="n"/>
      <c r="X314" s="61" t="n"/>
      <c r="Y314" s="61" t="n"/>
      <c r="Z314" s="61" t="n"/>
    </row>
    <row r="315" hidden="1" outlineLevel="2" collapsed="1" ht="17.25" customHeight="1" thickBot="1">
      <c r="B315" s="740" t="n">
        <v>43075</v>
      </c>
      <c r="C315" s="299" t="inlineStr">
        <is>
          <t>TXO</t>
        </is>
      </c>
      <c r="D315" s="300" t="inlineStr">
        <is>
          <t>台選W1 12 10550 C</t>
        </is>
      </c>
      <c r="E315" s="300" t="inlineStr">
        <is>
          <t>新倉</t>
        </is>
      </c>
      <c r="F315" s="301" t="inlineStr">
        <is>
          <t>買</t>
        </is>
      </c>
      <c r="G315" s="300" t="inlineStr">
        <is>
          <t>-</t>
        </is>
      </c>
      <c r="H315" s="741" t="n">
        <v>1</v>
      </c>
      <c r="I315" s="765" t="n">
        <v>5.9</v>
      </c>
      <c r="J315" s="741" t="n">
        <v>-295</v>
      </c>
      <c r="K315" s="742" t="n">
        <v>18</v>
      </c>
      <c r="L315" s="742" t="n">
        <v>0</v>
      </c>
      <c r="M315" s="742">
        <f>IF(C315="TXO",J315-SUM(K315:L315),IF(C315="FITX",IF(E315="新倉",-SUM(K315:L315),IF(F315="賣",(I315-I314)*H315*200-SUM(K315:L315),(I314-I315)*H315*200-SUM(K315:L315))),IF(E315="新倉",-SUM(K315:L315),IF(F315="賣",(I315-I314)*H315*50-SUM(K315:L315),(I314-I315)*H315*50-SUM(K315:L315)))))</f>
        <v/>
      </c>
      <c r="N315" s="743">
        <f>M315</f>
        <v/>
      </c>
      <c r="O315" s="686">
        <f>IF(C315="TXO","",IF(E315="新倉","",IF(F315="賣",(I315-I314)*H315,(I314-I315)*H315)))</f>
        <v/>
      </c>
      <c r="P315" s="334">
        <f>ABS(J315)</f>
        <v/>
      </c>
      <c r="Q315" s="667" t="n"/>
      <c r="S315" s="739" t="n"/>
      <c r="T315" s="61" t="n"/>
      <c r="U315" s="61" t="n"/>
      <c r="V315" s="61" t="n"/>
      <c r="W315" s="61" t="n"/>
      <c r="X315" s="61" t="n"/>
      <c r="Y315" s="61" t="n"/>
      <c r="Z315" s="61" t="n"/>
    </row>
    <row r="316" hidden="1" outlineLevel="2" collapsed="1" ht="17.25" customHeight="1" thickBot="1">
      <c r="B316" s="740" t="n">
        <v>43075</v>
      </c>
      <c r="C316" s="299" t="inlineStr">
        <is>
          <t>TXO</t>
        </is>
      </c>
      <c r="D316" s="300" t="inlineStr">
        <is>
          <t>台選W1 12 10550 C</t>
        </is>
      </c>
      <c r="E316" s="300" t="inlineStr">
        <is>
          <t>平倉</t>
        </is>
      </c>
      <c r="F316" s="301" t="inlineStr">
        <is>
          <t>賣</t>
        </is>
      </c>
      <c r="G316" s="300" t="inlineStr">
        <is>
          <t>-</t>
        </is>
      </c>
      <c r="H316" s="741" t="n">
        <v>1</v>
      </c>
      <c r="I316" s="765" t="n">
        <v>0.1</v>
      </c>
      <c r="J316" s="741" t="n">
        <v>5</v>
      </c>
      <c r="K316" s="742" t="n">
        <v>18</v>
      </c>
      <c r="L316" s="742" t="n">
        <v>0</v>
      </c>
      <c r="M316" s="742">
        <f>IF(C316="TXO",J316-SUM(K316:L316),IF(C316="FITX",IF(E316="新倉",-SUM(K316:L316),IF(F316="賣",(I316-I315)*H316*200-SUM(K316:L316),(I315-I316)*H316*200-SUM(K316:L316))),IF(E316="新倉",-SUM(K316:L316),IF(F316="賣",(I316-I315)*H316*50-SUM(K316:L316),(I315-I316)*H316*50-SUM(K316:L316)))))</f>
        <v/>
      </c>
      <c r="N316" s="743">
        <f>M316</f>
        <v/>
      </c>
      <c r="O316" s="686">
        <f>IF(C316="TXO","",IF(E316="新倉","",IF(F316="賣",(I316-I315)*H316,(I315-I316)*H316)))</f>
        <v/>
      </c>
      <c r="P316" s="334">
        <f>ABS(J316)</f>
        <v/>
      </c>
      <c r="Q316" s="667" t="n"/>
      <c r="S316" s="739" t="n"/>
      <c r="T316" s="61" t="n"/>
      <c r="U316" s="61" t="n"/>
      <c r="V316" s="61" t="n"/>
      <c r="W316" s="61" t="n"/>
      <c r="X316" s="61" t="n"/>
      <c r="Y316" s="61" t="n"/>
      <c r="Z316" s="61" t="n"/>
    </row>
    <row r="317" hidden="1" outlineLevel="2" collapsed="1" ht="17.25" customHeight="1" thickBot="1">
      <c r="B317" s="740" t="n">
        <v>43075</v>
      </c>
      <c r="C317" s="299" t="inlineStr">
        <is>
          <t>TXO</t>
        </is>
      </c>
      <c r="D317" s="300" t="inlineStr">
        <is>
          <t>台選W1 12 10550 C</t>
        </is>
      </c>
      <c r="E317" s="300" t="inlineStr">
        <is>
          <t>新倉</t>
        </is>
      </c>
      <c r="F317" s="301" t="inlineStr">
        <is>
          <t>買</t>
        </is>
      </c>
      <c r="G317" s="300" t="inlineStr">
        <is>
          <t>-</t>
        </is>
      </c>
      <c r="H317" s="741" t="n">
        <v>1</v>
      </c>
      <c r="I317" s="765" t="n">
        <v>5.9</v>
      </c>
      <c r="J317" s="741" t="n">
        <v>-295</v>
      </c>
      <c r="K317" s="742" t="n">
        <v>18</v>
      </c>
      <c r="L317" s="742" t="n">
        <v>0</v>
      </c>
      <c r="M317" s="742">
        <f>IF(C317="TXO",J317-SUM(K317:L317),IF(C317="FITX",IF(E317="新倉",-SUM(K317:L317),IF(F317="賣",(I317-I316)*H317*200-SUM(K317:L317),(I316-I317)*H317*200-SUM(K317:L317))),IF(E317="新倉",-SUM(K317:L317),IF(F317="賣",(I317-I316)*H317*50-SUM(K317:L317),(I316-I317)*H317*50-SUM(K317:L317)))))</f>
        <v/>
      </c>
      <c r="N317" s="743">
        <f>M317</f>
        <v/>
      </c>
      <c r="O317" s="686">
        <f>IF(C317="TXO","",IF(E317="新倉","",IF(F317="賣",(I317-I316)*H317,(I316-I317)*H317)))</f>
        <v/>
      </c>
      <c r="P317" s="334">
        <f>ABS(J317)</f>
        <v/>
      </c>
      <c r="Q317" s="667" t="n"/>
      <c r="S317" s="739" t="n"/>
      <c r="T317" s="61" t="n"/>
      <c r="U317" s="61" t="n"/>
      <c r="V317" s="61" t="n"/>
      <c r="W317" s="61" t="n"/>
      <c r="X317" s="61" t="n"/>
      <c r="Y317" s="61" t="n"/>
      <c r="Z317" s="61" t="n"/>
    </row>
    <row r="318" hidden="1" outlineLevel="2" collapsed="1" ht="17.25" customHeight="1" thickBot="1">
      <c r="B318" s="740" t="n">
        <v>43075</v>
      </c>
      <c r="C318" s="299" t="inlineStr">
        <is>
          <t>TXO</t>
        </is>
      </c>
      <c r="D318" s="300" t="inlineStr">
        <is>
          <t>台選W1 12 10550 C</t>
        </is>
      </c>
      <c r="E318" s="300" t="inlineStr">
        <is>
          <t>平倉</t>
        </is>
      </c>
      <c r="F318" s="301" t="inlineStr">
        <is>
          <t>賣</t>
        </is>
      </c>
      <c r="G318" s="300" t="inlineStr">
        <is>
          <t>-</t>
        </is>
      </c>
      <c r="H318" s="741" t="n">
        <v>1</v>
      </c>
      <c r="I318" s="765" t="n">
        <v>0.1</v>
      </c>
      <c r="J318" s="741" t="n">
        <v>5</v>
      </c>
      <c r="K318" s="742" t="n">
        <v>18</v>
      </c>
      <c r="L318" s="742" t="n">
        <v>0</v>
      </c>
      <c r="M318" s="742">
        <f>IF(C318="TXO",J318-SUM(K318:L318),IF(C318="FITX",IF(E318="新倉",-SUM(K318:L318),IF(F318="賣",(I318-I317)*H318*200-SUM(K318:L318),(I317-I318)*H318*200-SUM(K318:L318))),IF(E318="新倉",-SUM(K318:L318),IF(F318="賣",(I318-I317)*H318*50-SUM(K318:L318),(I317-I318)*H318*50-SUM(K318:L318)))))</f>
        <v/>
      </c>
      <c r="N318" s="743">
        <f>M318</f>
        <v/>
      </c>
      <c r="O318" s="686">
        <f>IF(C318="TXO","",IF(E318="新倉","",IF(F318="賣",(I318-I317)*H318,(I317-I318)*H318)))</f>
        <v/>
      </c>
      <c r="P318" s="334">
        <f>ABS(J318)</f>
        <v/>
      </c>
      <c r="Q318" s="667" t="n"/>
      <c r="S318" s="739" t="n"/>
      <c r="T318" s="61" t="n"/>
      <c r="U318" s="61" t="n"/>
      <c r="V318" s="61" t="n"/>
      <c r="W318" s="61" t="n"/>
      <c r="X318" s="61" t="n"/>
      <c r="Y318" s="61" t="n"/>
      <c r="Z318" s="61" t="n"/>
    </row>
    <row r="319" hidden="1" outlineLevel="2" collapsed="1" ht="17.25" customHeight="1" thickBot="1">
      <c r="B319" s="740" t="n">
        <v>43075</v>
      </c>
      <c r="C319" s="299" t="inlineStr">
        <is>
          <t>TXO</t>
        </is>
      </c>
      <c r="D319" s="300" t="inlineStr">
        <is>
          <t>台選W1 12 10500 P</t>
        </is>
      </c>
      <c r="E319" s="300" t="inlineStr">
        <is>
          <t>新倉</t>
        </is>
      </c>
      <c r="F319" s="301" t="inlineStr">
        <is>
          <t>買</t>
        </is>
      </c>
      <c r="G319" s="300" t="inlineStr">
        <is>
          <t>-</t>
        </is>
      </c>
      <c r="H319" s="741" t="n">
        <v>1</v>
      </c>
      <c r="I319" s="765" t="n">
        <v>8.6</v>
      </c>
      <c r="J319" s="741" t="n">
        <v>-430</v>
      </c>
      <c r="K319" s="742" t="n">
        <v>18</v>
      </c>
      <c r="L319" s="742" t="n">
        <v>0</v>
      </c>
      <c r="M319" s="742">
        <f>IF(C319="TXO",J319-SUM(K319:L319),IF(C319="FITX",IF(E319="新倉",-SUM(K319:L319),IF(F319="賣",(I319-I318)*H319*200-SUM(K319:L319),(I318-I319)*H319*200-SUM(K319:L319))),IF(E319="新倉",-SUM(K319:L319),IF(F319="賣",(I319-I318)*H319*50-SUM(K319:L319),(I318-I319)*H319*50-SUM(K319:L319)))))</f>
        <v/>
      </c>
      <c r="N319" s="743">
        <f>M319</f>
        <v/>
      </c>
      <c r="O319" s="686">
        <f>IF(C319="TXO","",IF(E319="新倉","",IF(F319="賣",(I319-I318)*H319,(I318-I319)*H319)))</f>
        <v/>
      </c>
      <c r="P319" s="334">
        <f>ABS(J319)</f>
        <v/>
      </c>
      <c r="Q319" s="667" t="n"/>
      <c r="S319" s="739" t="n"/>
      <c r="T319" s="61" t="n"/>
      <c r="U319" s="61" t="n"/>
      <c r="V319" s="61" t="n"/>
      <c r="W319" s="61" t="n"/>
      <c r="X319" s="61" t="n"/>
      <c r="Y319" s="61" t="n"/>
      <c r="Z319" s="61" t="n"/>
    </row>
    <row r="320" hidden="1" outlineLevel="2" collapsed="1" ht="17.25" customHeight="1" thickBot="1">
      <c r="B320" s="740" t="n">
        <v>43075</v>
      </c>
      <c r="C320" s="299" t="inlineStr">
        <is>
          <t>TXO</t>
        </is>
      </c>
      <c r="D320" s="300" t="inlineStr">
        <is>
          <t>台選W1 12 10500 P</t>
        </is>
      </c>
      <c r="E320" s="300" t="inlineStr">
        <is>
          <t>平倉</t>
        </is>
      </c>
      <c r="F320" s="301" t="inlineStr">
        <is>
          <t>賣</t>
        </is>
      </c>
      <c r="G320" s="300" t="inlineStr">
        <is>
          <t>-</t>
        </is>
      </c>
      <c r="H320" s="741" t="n">
        <v>1</v>
      </c>
      <c r="I320" s="765" t="n">
        <v>6.2</v>
      </c>
      <c r="J320" s="741" t="n">
        <v>310</v>
      </c>
      <c r="K320" s="742" t="n">
        <v>18</v>
      </c>
      <c r="L320" s="742" t="n">
        <v>1</v>
      </c>
      <c r="M320" s="742">
        <f>IF(C320="TXO",J320-SUM(K320:L320),IF(C320="FITX",IF(E320="新倉",-SUM(K320:L320),IF(F320="賣",(I320-I319)*H320*200-SUM(K320:L320),(I319-I320)*H320*200-SUM(K320:L320))),IF(E320="新倉",-SUM(K320:L320),IF(F320="賣",(I320-I319)*H320*50-SUM(K320:L320),(I319-I320)*H320*50-SUM(K320:L320)))))</f>
        <v/>
      </c>
      <c r="N320" s="743">
        <f>M320</f>
        <v/>
      </c>
      <c r="O320" s="686">
        <f>IF(C320="TXO","",IF(E320="新倉","",IF(F320="賣",(I320-I319)*H320,(I319-I320)*H320)))</f>
        <v/>
      </c>
      <c r="P320" s="334">
        <f>ABS(J320)</f>
        <v/>
      </c>
      <c r="Q320" s="667" t="n"/>
      <c r="S320" s="739" t="n"/>
      <c r="T320" s="61" t="n"/>
      <c r="U320" s="61" t="n"/>
      <c r="V320" s="61" t="n"/>
      <c r="W320" s="61" t="n"/>
      <c r="X320" s="61" t="n"/>
      <c r="Y320" s="61" t="n"/>
      <c r="Z320" s="61" t="n"/>
    </row>
    <row r="321" hidden="1" outlineLevel="2" collapsed="1" ht="17.25" customHeight="1" thickBot="1">
      <c r="B321" s="740" t="n">
        <v>43075</v>
      </c>
      <c r="C321" s="299" t="inlineStr">
        <is>
          <t>TXO</t>
        </is>
      </c>
      <c r="D321" s="300" t="inlineStr">
        <is>
          <t>台選W1 12 10500 P</t>
        </is>
      </c>
      <c r="E321" s="300" t="inlineStr">
        <is>
          <t>新倉</t>
        </is>
      </c>
      <c r="F321" s="301" t="inlineStr">
        <is>
          <t>買</t>
        </is>
      </c>
      <c r="G321" s="300" t="inlineStr">
        <is>
          <t>-</t>
        </is>
      </c>
      <c r="H321" s="741" t="n">
        <v>1</v>
      </c>
      <c r="I321" s="765" t="n">
        <v>7</v>
      </c>
      <c r="J321" s="741" t="n">
        <v>-350</v>
      </c>
      <c r="K321" s="742" t="n">
        <v>18</v>
      </c>
      <c r="L321" s="742" t="n">
        <v>0</v>
      </c>
      <c r="M321" s="742">
        <f>IF(C321="TXO",J321-SUM(K321:L321),IF(C321="FITX",IF(E321="新倉",-SUM(K321:L321),IF(F321="賣",(I321-I320)*H321*200-SUM(K321:L321),(I320-I321)*H321*200-SUM(K321:L321))),IF(E321="新倉",-SUM(K321:L321),IF(F321="賣",(I321-I320)*H321*50-SUM(K321:L321),(I320-I321)*H321*50-SUM(K321:L321)))))</f>
        <v/>
      </c>
      <c r="N321" s="743">
        <f>M321</f>
        <v/>
      </c>
      <c r="O321" s="686">
        <f>IF(C321="TXO","",IF(E321="新倉","",IF(F321="賣",(I321-I320)*H321,(I320-I321)*H321)))</f>
        <v/>
      </c>
      <c r="P321" s="334">
        <f>ABS(J321)</f>
        <v/>
      </c>
      <c r="Q321" s="667" t="n"/>
      <c r="S321" s="739" t="n"/>
      <c r="T321" s="61" t="n"/>
      <c r="U321" s="61" t="n"/>
      <c r="V321" s="61" t="n"/>
      <c r="W321" s="61" t="n"/>
      <c r="X321" s="61" t="n"/>
      <c r="Y321" s="61" t="n"/>
      <c r="Z321" s="61" t="n"/>
    </row>
    <row r="322" hidden="1" outlineLevel="2" collapsed="1" ht="17.25" customHeight="1" thickBot="1">
      <c r="B322" s="740" t="n">
        <v>43075</v>
      </c>
      <c r="C322" s="299" t="inlineStr">
        <is>
          <t>TXO</t>
        </is>
      </c>
      <c r="D322" s="300" t="inlineStr">
        <is>
          <t>台選W1 12 10500 P</t>
        </is>
      </c>
      <c r="E322" s="300" t="inlineStr">
        <is>
          <t>平倉</t>
        </is>
      </c>
      <c r="F322" s="301" t="inlineStr">
        <is>
          <t>賣</t>
        </is>
      </c>
      <c r="G322" s="300" t="inlineStr">
        <is>
          <t>-</t>
        </is>
      </c>
      <c r="H322" s="741" t="n">
        <v>1</v>
      </c>
      <c r="I322" s="765" t="n">
        <v>6.1</v>
      </c>
      <c r="J322" s="741" t="n">
        <v>305</v>
      </c>
      <c r="K322" s="742" t="n">
        <v>18</v>
      </c>
      <c r="L322" s="742" t="n">
        <v>0</v>
      </c>
      <c r="M322" s="742">
        <f>IF(C322="TXO",J322-SUM(K322:L322),IF(C322="FITX",IF(E322="新倉",-SUM(K322:L322),IF(F322="賣",(I322-I321)*H322*200-SUM(K322:L322),(I321-I322)*H322*200-SUM(K322:L322))),IF(E322="新倉",-SUM(K322:L322),IF(F322="賣",(I322-I321)*H322*50-SUM(K322:L322),(I321-I322)*H322*50-SUM(K322:L322)))))</f>
        <v/>
      </c>
      <c r="N322" s="743">
        <f>M322</f>
        <v/>
      </c>
      <c r="O322" s="686">
        <f>IF(C322="TXO","",IF(E322="新倉","",IF(F322="賣",(I322-I321)*H322,(I321-I322)*H322)))</f>
        <v/>
      </c>
      <c r="P322" s="334">
        <f>ABS(J322)</f>
        <v/>
      </c>
      <c r="Q322" s="667" t="n"/>
      <c r="S322" s="739" t="n"/>
      <c r="T322" s="61" t="n"/>
      <c r="U322" s="61" t="n"/>
      <c r="V322" s="61" t="n"/>
      <c r="W322" s="61" t="n"/>
      <c r="X322" s="61" t="n"/>
      <c r="Y322" s="61" t="n"/>
      <c r="Z322" s="61" t="n"/>
    </row>
    <row r="323" hidden="1" outlineLevel="2" collapsed="1" ht="17.25" customHeight="1" thickBot="1">
      <c r="B323" s="740" t="n">
        <v>43075</v>
      </c>
      <c r="C323" s="299" t="inlineStr">
        <is>
          <t>TXO</t>
        </is>
      </c>
      <c r="D323" s="300" t="inlineStr">
        <is>
          <t>台選W1 12 10550 C</t>
        </is>
      </c>
      <c r="E323" s="300" t="inlineStr">
        <is>
          <t>新倉</t>
        </is>
      </c>
      <c r="F323" s="301" t="inlineStr">
        <is>
          <t>買</t>
        </is>
      </c>
      <c r="G323" s="300" t="inlineStr">
        <is>
          <t>-</t>
        </is>
      </c>
      <c r="H323" s="741" t="n">
        <v>2</v>
      </c>
      <c r="I323" s="765" t="n">
        <v>6.8</v>
      </c>
      <c r="J323" s="741" t="n">
        <v>-680</v>
      </c>
      <c r="K323" s="742" t="n">
        <v>36</v>
      </c>
      <c r="L323" s="742" t="n">
        <v>0</v>
      </c>
      <c r="M323" s="742">
        <f>IF(C323="TXO",J323-SUM(K323:L323),IF(C323="FITX",IF(E323="新倉",-SUM(K323:L323),IF(F323="賣",(I323-I322)*H323*200-SUM(K323:L323),(I322-I323)*H323*200-SUM(K323:L323))),IF(E323="新倉",-SUM(K323:L323),IF(F323="賣",(I323-I322)*H323*50-SUM(K323:L323),(I322-I323)*H323*50-SUM(K323:L323)))))</f>
        <v/>
      </c>
      <c r="N323" s="743">
        <f>M323</f>
        <v/>
      </c>
      <c r="O323" s="686">
        <f>IF(C323="TXO","",IF(E323="新倉","",IF(F323="賣",(I323-I322)*H323,(I322-I323)*H323)))</f>
        <v/>
      </c>
      <c r="P323" s="334">
        <f>ABS(J323)</f>
        <v/>
      </c>
      <c r="Q323" s="667" t="n"/>
      <c r="S323" s="739" t="n"/>
      <c r="T323" s="61" t="n"/>
      <c r="U323" s="61" t="n"/>
      <c r="V323" s="61" t="n"/>
      <c r="W323" s="61" t="n"/>
      <c r="X323" s="61" t="n"/>
      <c r="Y323" s="61" t="n"/>
      <c r="Z323" s="61" t="n"/>
    </row>
    <row r="324" hidden="1" outlineLevel="2" collapsed="1" ht="17.25" customHeight="1" thickBot="1">
      <c r="B324" s="740" t="n">
        <v>43075</v>
      </c>
      <c r="C324" s="299" t="inlineStr">
        <is>
          <t>TXO</t>
        </is>
      </c>
      <c r="D324" s="300" t="inlineStr">
        <is>
          <t>台選W1 12 10550 C</t>
        </is>
      </c>
      <c r="E324" s="300" t="inlineStr">
        <is>
          <t>平倉</t>
        </is>
      </c>
      <c r="F324" s="301" t="inlineStr">
        <is>
          <t>賣</t>
        </is>
      </c>
      <c r="G324" s="300" t="inlineStr">
        <is>
          <t>-</t>
        </is>
      </c>
      <c r="H324" s="741" t="n">
        <v>2</v>
      </c>
      <c r="I324" s="765" t="n">
        <v>0.1</v>
      </c>
      <c r="J324" s="741" t="n">
        <v>10</v>
      </c>
      <c r="K324" s="742" t="n">
        <v>36</v>
      </c>
      <c r="L324" s="742" t="n">
        <v>0</v>
      </c>
      <c r="M324" s="742">
        <f>IF(C324="TXO",J324-SUM(K324:L324),IF(C324="FITX",IF(E324="新倉",-SUM(K324:L324),IF(F324="賣",(I324-I323)*H324*200-SUM(K324:L324),(I323-I324)*H324*200-SUM(K324:L324))),IF(E324="新倉",-SUM(K324:L324),IF(F324="賣",(I324-I323)*H324*50-SUM(K324:L324),(I323-I324)*H324*50-SUM(K324:L324)))))</f>
        <v/>
      </c>
      <c r="N324" s="743">
        <f>M324</f>
        <v/>
      </c>
      <c r="O324" s="686">
        <f>IF(C324="TXO","",IF(E324="新倉","",IF(F324="賣",(I324-I323)*H324,(I323-I324)*H324)))</f>
        <v/>
      </c>
      <c r="P324" s="334">
        <f>ABS(J324)</f>
        <v/>
      </c>
      <c r="Q324" s="667" t="n"/>
      <c r="S324" s="739" t="n"/>
      <c r="T324" s="61" t="n"/>
      <c r="U324" s="61" t="n"/>
      <c r="V324" s="61" t="n"/>
      <c r="W324" s="61" t="n"/>
      <c r="X324" s="61" t="n"/>
      <c r="Y324" s="61" t="n"/>
      <c r="Z324" s="61" t="n"/>
    </row>
    <row r="325" hidden="1" outlineLevel="2" collapsed="1" ht="17.25" customHeight="1" thickBot="1">
      <c r="B325" s="740" t="n">
        <v>43075</v>
      </c>
      <c r="C325" s="299" t="inlineStr">
        <is>
          <t>TXO</t>
        </is>
      </c>
      <c r="D325" s="300" t="inlineStr">
        <is>
          <t>台選W1 12 10550 C</t>
        </is>
      </c>
      <c r="E325" s="300" t="inlineStr">
        <is>
          <t>新倉</t>
        </is>
      </c>
      <c r="F325" s="301" t="inlineStr">
        <is>
          <t>買</t>
        </is>
      </c>
      <c r="G325" s="300" t="inlineStr">
        <is>
          <t>-</t>
        </is>
      </c>
      <c r="H325" s="741" t="n">
        <v>3</v>
      </c>
      <c r="I325" s="765" t="n">
        <v>6</v>
      </c>
      <c r="J325" s="741" t="n">
        <v>-900</v>
      </c>
      <c r="K325" s="742" t="n">
        <v>54</v>
      </c>
      <c r="L325" s="742" t="n">
        <v>0</v>
      </c>
      <c r="M325" s="742">
        <f>IF(C325="TXO",J325-SUM(K325:L325),IF(C325="FITX",IF(E325="新倉",-SUM(K325:L325),IF(F325="賣",(I325-I324)*H325*200-SUM(K325:L325),(I324-I325)*H325*200-SUM(K325:L325))),IF(E325="新倉",-SUM(K325:L325),IF(F325="賣",(I325-I324)*H325*50-SUM(K325:L325),(I324-I325)*H325*50-SUM(K325:L325)))))</f>
        <v/>
      </c>
      <c r="N325" s="743">
        <f>M325</f>
        <v/>
      </c>
      <c r="O325" s="686">
        <f>IF(C325="TXO","",IF(E325="新倉","",IF(F325="賣",(I325-I324)*H325,(I324-I325)*H325)))</f>
        <v/>
      </c>
      <c r="P325" s="334">
        <f>ABS(J325)</f>
        <v/>
      </c>
      <c r="Q325" s="667" t="n"/>
      <c r="S325" s="739" t="n"/>
      <c r="T325" s="61" t="n"/>
      <c r="U325" s="61" t="n"/>
      <c r="V325" s="61" t="n"/>
      <c r="W325" s="61" t="n"/>
      <c r="X325" s="61" t="n"/>
      <c r="Y325" s="61" t="n"/>
      <c r="Z325" s="61" t="n"/>
    </row>
    <row r="326" hidden="1" outlineLevel="2" collapsed="1" ht="17.25" customHeight="1" thickBot="1">
      <c r="B326" s="740" t="n">
        <v>43075</v>
      </c>
      <c r="C326" s="299" t="inlineStr">
        <is>
          <t>TXO</t>
        </is>
      </c>
      <c r="D326" s="300" t="inlineStr">
        <is>
          <t>台選W1 12 10550 C</t>
        </is>
      </c>
      <c r="E326" s="300" t="inlineStr">
        <is>
          <t>平倉</t>
        </is>
      </c>
      <c r="F326" s="301" t="inlineStr">
        <is>
          <t>賣</t>
        </is>
      </c>
      <c r="G326" s="300" t="inlineStr">
        <is>
          <t>-</t>
        </is>
      </c>
      <c r="H326" s="741" t="n">
        <v>3</v>
      </c>
      <c r="I326" s="765" t="n">
        <v>0.1</v>
      </c>
      <c r="J326" s="741" t="n">
        <v>15</v>
      </c>
      <c r="K326" s="742" t="n">
        <v>54</v>
      </c>
      <c r="L326" s="742" t="n">
        <v>0</v>
      </c>
      <c r="M326" s="742">
        <f>IF(C326="TXO",J326-SUM(K326:L326),IF(C326="FITX",IF(E326="新倉",-SUM(K326:L326),IF(F326="賣",(I326-I325)*H326*200-SUM(K326:L326),(I325-I326)*H326*200-SUM(K326:L326))),IF(E326="新倉",-SUM(K326:L326),IF(F326="賣",(I326-I325)*H326*50-SUM(K326:L326),(I325-I326)*H326*50-SUM(K326:L326)))))</f>
        <v/>
      </c>
      <c r="N326" s="743">
        <f>M326</f>
        <v/>
      </c>
      <c r="O326" s="686">
        <f>IF(C326="TXO","",IF(E326="新倉","",IF(F326="賣",(I326-I325)*H326,(I325-I326)*H326)))</f>
        <v/>
      </c>
      <c r="P326" s="334">
        <f>ABS(J326)</f>
        <v/>
      </c>
      <c r="Q326" s="667" t="n"/>
      <c r="S326" s="739" t="n"/>
      <c r="T326" s="61" t="n"/>
      <c r="U326" s="61" t="n"/>
      <c r="V326" s="61" t="n"/>
      <c r="W326" s="61" t="n"/>
      <c r="X326" s="61" t="n"/>
      <c r="Y326" s="61" t="n"/>
      <c r="Z326" s="61" t="n"/>
    </row>
    <row r="327" hidden="1" outlineLevel="2" collapsed="1" ht="17.25" customHeight="1" thickBot="1">
      <c r="B327" s="740" t="n">
        <v>43075</v>
      </c>
      <c r="C327" s="299" t="inlineStr">
        <is>
          <t>TXO</t>
        </is>
      </c>
      <c r="D327" s="300" t="inlineStr">
        <is>
          <t>台選W1 12 10600 C</t>
        </is>
      </c>
      <c r="E327" s="300" t="inlineStr">
        <is>
          <t>新倉</t>
        </is>
      </c>
      <c r="F327" s="301" t="inlineStr">
        <is>
          <t>買</t>
        </is>
      </c>
      <c r="G327" s="300" t="inlineStr">
        <is>
          <t>-</t>
        </is>
      </c>
      <c r="H327" s="741" t="n">
        <v>5</v>
      </c>
      <c r="I327" s="765" t="n">
        <v>1</v>
      </c>
      <c r="J327" s="741" t="n">
        <v>-250</v>
      </c>
      <c r="K327" s="742" t="n">
        <v>90</v>
      </c>
      <c r="L327" s="742" t="n">
        <v>0</v>
      </c>
      <c r="M327" s="742">
        <f>IF(C327="TXO",J327-SUM(K327:L327),IF(C327="FITX",IF(E327="新倉",-SUM(K327:L327),IF(F327="賣",(I327-I326)*H327*200-SUM(K327:L327),(I326-I327)*H327*200-SUM(K327:L327))),IF(E327="新倉",-SUM(K327:L327),IF(F327="賣",(I327-I326)*H327*50-SUM(K327:L327),(I326-I327)*H327*50-SUM(K327:L327)))))</f>
        <v/>
      </c>
      <c r="N327" s="743">
        <f>M327</f>
        <v/>
      </c>
      <c r="O327" s="686">
        <f>IF(C327="TXO","",IF(E327="新倉","",IF(F327="賣",(I327-I326)*H327,(I326-I327)*H327)))</f>
        <v/>
      </c>
      <c r="P327" s="334">
        <f>ABS(J327)</f>
        <v/>
      </c>
      <c r="Q327" s="667" t="n"/>
      <c r="S327" s="739" t="n"/>
      <c r="T327" s="61" t="n"/>
      <c r="U327" s="61" t="n"/>
      <c r="V327" s="61" t="n"/>
      <c r="W327" s="61" t="n"/>
      <c r="X327" s="61" t="n"/>
      <c r="Y327" s="61" t="n"/>
      <c r="Z327" s="61" t="n"/>
    </row>
    <row r="328" hidden="1" outlineLevel="2" collapsed="1" ht="17.25" customHeight="1" thickBot="1">
      <c r="B328" s="740" t="n">
        <v>43075</v>
      </c>
      <c r="C328" s="299" t="inlineStr">
        <is>
          <t>TXO</t>
        </is>
      </c>
      <c r="D328" s="300" t="inlineStr">
        <is>
          <t>台選W1 12 10600 C</t>
        </is>
      </c>
      <c r="E328" s="300" t="inlineStr">
        <is>
          <t>平倉</t>
        </is>
      </c>
      <c r="F328" s="301" t="inlineStr">
        <is>
          <t>賣</t>
        </is>
      </c>
      <c r="G328" s="300" t="inlineStr">
        <is>
          <t>-</t>
        </is>
      </c>
      <c r="H328" s="741" t="n">
        <v>5</v>
      </c>
      <c r="I328" s="765" t="n">
        <v>0.1</v>
      </c>
      <c r="J328" s="741" t="n">
        <v>25</v>
      </c>
      <c r="K328" s="742" t="n">
        <v>90</v>
      </c>
      <c r="L328" s="742" t="n">
        <v>0</v>
      </c>
      <c r="M328" s="742">
        <f>IF(C328="TXO",J328-SUM(K328:L328),IF(C328="FITX",IF(E328="新倉",-SUM(K328:L328),IF(F328="賣",(I328-I327)*H328*200-SUM(K328:L328),(I327-I328)*H328*200-SUM(K328:L328))),IF(E328="新倉",-SUM(K328:L328),IF(F328="賣",(I328-I327)*H328*50-SUM(K328:L328),(I327-I328)*H328*50-SUM(K328:L328)))))</f>
        <v/>
      </c>
      <c r="N328" s="743">
        <f>M328</f>
        <v/>
      </c>
      <c r="O328" s="686">
        <f>IF(C328="TXO","",IF(E328="新倉","",IF(F328="賣",(I328-I327)*H328,(I327-I328)*H328)))</f>
        <v/>
      </c>
      <c r="P328" s="334">
        <f>ABS(J328)</f>
        <v/>
      </c>
      <c r="Q328" s="667" t="n"/>
      <c r="S328" s="739" t="n"/>
      <c r="T328" s="61" t="n"/>
      <c r="U328" s="61" t="n"/>
      <c r="V328" s="61" t="n"/>
      <c r="W328" s="61" t="n"/>
      <c r="X328" s="61" t="n"/>
      <c r="Y328" s="61" t="n"/>
      <c r="Z328" s="61" t="n"/>
    </row>
    <row r="329" hidden="1" outlineLevel="2" collapsed="1" ht="17.25" customHeight="1" thickBot="1">
      <c r="B329" s="740" t="n">
        <v>43075</v>
      </c>
      <c r="C329" s="299" t="inlineStr">
        <is>
          <t>TXO</t>
        </is>
      </c>
      <c r="D329" s="300" t="inlineStr">
        <is>
          <t>台選W1 12 10500 P</t>
        </is>
      </c>
      <c r="E329" s="300" t="inlineStr">
        <is>
          <t>新倉</t>
        </is>
      </c>
      <c r="F329" s="301" t="inlineStr">
        <is>
          <t>買</t>
        </is>
      </c>
      <c r="G329" s="300" t="inlineStr">
        <is>
          <t>-</t>
        </is>
      </c>
      <c r="H329" s="741" t="n">
        <v>2</v>
      </c>
      <c r="I329" s="765" t="n">
        <v>4.7</v>
      </c>
      <c r="J329" s="741" t="n">
        <v>-470</v>
      </c>
      <c r="K329" s="742" t="n">
        <v>36</v>
      </c>
      <c r="L329" s="742" t="n">
        <v>0</v>
      </c>
      <c r="M329" s="742">
        <f>IF(C329="TXO",J329-SUM(K329:L329),IF(C329="FITX",IF(E329="新倉",-SUM(K329:L329),IF(F329="賣",(I329-I328)*H329*200-SUM(K329:L329),(I328-I329)*H329*200-SUM(K329:L329))),IF(E329="新倉",-SUM(K329:L329),IF(F329="賣",(I329-I328)*H329*50-SUM(K329:L329),(I328-I329)*H329*50-SUM(K329:L329)))))</f>
        <v/>
      </c>
      <c r="N329" s="743">
        <f>M329</f>
        <v/>
      </c>
      <c r="O329" s="686">
        <f>IF(C329="TXO","",IF(E329="新倉","",IF(F329="賣",(I329-I328)*H329,(I328-I329)*H329)))</f>
        <v/>
      </c>
      <c r="P329" s="334">
        <f>ABS(J329)</f>
        <v/>
      </c>
      <c r="Q329" s="667" t="n"/>
      <c r="S329" s="739" t="n"/>
      <c r="T329" s="61" t="n"/>
      <c r="U329" s="61" t="n"/>
      <c r="V329" s="61" t="n"/>
      <c r="W329" s="61" t="n"/>
      <c r="X329" s="61" t="n"/>
      <c r="Y329" s="61" t="n"/>
      <c r="Z329" s="61" t="n"/>
    </row>
    <row r="330" hidden="1" outlineLevel="2" collapsed="1" ht="17.25" customHeight="1" thickBot="1">
      <c r="B330" s="740" t="n">
        <v>43075</v>
      </c>
      <c r="C330" s="299" t="inlineStr">
        <is>
          <t>TXO</t>
        </is>
      </c>
      <c r="D330" s="300" t="inlineStr">
        <is>
          <t>台選W1 12 10500 P</t>
        </is>
      </c>
      <c r="E330" s="300" t="inlineStr">
        <is>
          <t>平倉</t>
        </is>
      </c>
      <c r="F330" s="301" t="inlineStr">
        <is>
          <t>賣</t>
        </is>
      </c>
      <c r="G330" s="300" t="inlineStr">
        <is>
          <t>-</t>
        </is>
      </c>
      <c r="H330" s="741" t="n">
        <v>2</v>
      </c>
      <c r="I330" s="765" t="n">
        <v>11.5</v>
      </c>
      <c r="J330" s="741" t="n">
        <v>1150</v>
      </c>
      <c r="K330" s="742" t="n">
        <v>36</v>
      </c>
      <c r="L330" s="742" t="n">
        <v>1</v>
      </c>
      <c r="M330" s="742">
        <f>IF(C330="TXO",J330-SUM(K330:L330),IF(C330="FITX",IF(E330="新倉",-SUM(K330:L330),IF(F330="賣",(I330-I329)*H330*200-SUM(K330:L330),(I329-I330)*H330*200-SUM(K330:L330))),IF(E330="新倉",-SUM(K330:L330),IF(F330="賣",(I330-I329)*H330*50-SUM(K330:L330),(I329-I330)*H330*50-SUM(K330:L330)))))</f>
        <v/>
      </c>
      <c r="N330" s="743">
        <f>M330</f>
        <v/>
      </c>
      <c r="O330" s="686">
        <f>IF(C330="TXO","",IF(E330="新倉","",IF(F330="賣",(I330-I329)*H330,(I329-I330)*H330)))</f>
        <v/>
      </c>
      <c r="P330" s="334">
        <f>ABS(J330)</f>
        <v/>
      </c>
      <c r="Q330" s="667" t="n"/>
      <c r="S330" s="739" t="n"/>
      <c r="T330" s="61" t="n"/>
      <c r="U330" s="61" t="n"/>
      <c r="V330" s="61" t="n"/>
      <c r="W330" s="61" t="n"/>
      <c r="X330" s="61" t="n"/>
      <c r="Y330" s="61" t="n"/>
      <c r="Z330" s="61" t="n"/>
    </row>
    <row r="331" hidden="1" outlineLevel="2" collapsed="1" ht="17.25" customHeight="1" thickBot="1">
      <c r="B331" s="740" t="n">
        <v>43075</v>
      </c>
      <c r="C331" s="299" t="inlineStr">
        <is>
          <t>TXO</t>
        </is>
      </c>
      <c r="D331" s="300" t="inlineStr">
        <is>
          <t>台選W1 12 10600 C</t>
        </is>
      </c>
      <c r="E331" s="300" t="inlineStr">
        <is>
          <t>新倉</t>
        </is>
      </c>
      <c r="F331" s="301" t="inlineStr">
        <is>
          <t>買</t>
        </is>
      </c>
      <c r="G331" s="300" t="inlineStr">
        <is>
          <t>-</t>
        </is>
      </c>
      <c r="H331" s="741" t="n">
        <v>5</v>
      </c>
      <c r="I331" s="765" t="n">
        <v>0.8</v>
      </c>
      <c r="J331" s="741" t="n">
        <v>-200</v>
      </c>
      <c r="K331" s="742" t="n">
        <v>90</v>
      </c>
      <c r="L331" s="742" t="n">
        <v>0</v>
      </c>
      <c r="M331" s="742">
        <f>IF(C331="TXO",J331-SUM(K331:L331),IF(C331="FITX",IF(E331="新倉",-SUM(K331:L331),IF(F331="賣",(I331-I330)*H331*200-SUM(K331:L331),(I330-I331)*H331*200-SUM(K331:L331))),IF(E331="新倉",-SUM(K331:L331),IF(F331="賣",(I331-I330)*H331*50-SUM(K331:L331),(I330-I331)*H331*50-SUM(K331:L331)))))</f>
        <v/>
      </c>
      <c r="N331" s="743">
        <f>M331</f>
        <v/>
      </c>
      <c r="O331" s="686">
        <f>IF(C331="TXO","",IF(E331="新倉","",IF(F331="賣",(I331-I330)*H331,(I330-I331)*H331)))</f>
        <v/>
      </c>
      <c r="P331" s="334">
        <f>ABS(J331)</f>
        <v/>
      </c>
      <c r="Q331" s="667" t="n"/>
      <c r="S331" s="739" t="n"/>
      <c r="T331" s="61" t="n"/>
      <c r="U331" s="61" t="n"/>
      <c r="V331" s="61" t="n"/>
      <c r="W331" s="61" t="n"/>
      <c r="X331" s="61" t="n"/>
      <c r="Y331" s="61" t="n"/>
      <c r="Z331" s="61" t="n"/>
    </row>
    <row r="332" hidden="1" outlineLevel="2" collapsed="1" ht="17.25" customHeight="1" thickBot="1">
      <c r="B332" s="740" t="n">
        <v>43075</v>
      </c>
      <c r="C332" s="299" t="inlineStr">
        <is>
          <t>TXO</t>
        </is>
      </c>
      <c r="D332" s="300" t="inlineStr">
        <is>
          <t>台選W1 12 10600 C</t>
        </is>
      </c>
      <c r="E332" s="300" t="inlineStr">
        <is>
          <t>平倉</t>
        </is>
      </c>
      <c r="F332" s="301" t="inlineStr">
        <is>
          <t>賣</t>
        </is>
      </c>
      <c r="G332" s="300" t="inlineStr">
        <is>
          <t>-</t>
        </is>
      </c>
      <c r="H332" s="741" t="n">
        <v>5</v>
      </c>
      <c r="I332" s="765" t="n">
        <v>0.1</v>
      </c>
      <c r="J332" s="741" t="n">
        <v>25</v>
      </c>
      <c r="K332" s="742" t="n">
        <v>90</v>
      </c>
      <c r="L332" s="742" t="n">
        <v>0</v>
      </c>
      <c r="M332" s="742">
        <f>IF(C332="TXO",J332-SUM(K332:L332),IF(C332="FITX",IF(E332="新倉",-SUM(K332:L332),IF(F332="賣",(I332-I331)*H332*200-SUM(K332:L332),(I331-I332)*H332*200-SUM(K332:L332))),IF(E332="新倉",-SUM(K332:L332),IF(F332="賣",(I332-I331)*H332*50-SUM(K332:L332),(I331-I332)*H332*50-SUM(K332:L332)))))</f>
        <v/>
      </c>
      <c r="N332" s="743">
        <f>M332</f>
        <v/>
      </c>
      <c r="O332" s="686">
        <f>IF(C332="TXO","",IF(E332="新倉","",IF(F332="賣",(I332-I331)*H332,(I331-I332)*H332)))</f>
        <v/>
      </c>
      <c r="P332" s="334">
        <f>ABS(J332)</f>
        <v/>
      </c>
      <c r="Q332" s="667" t="n"/>
      <c r="S332" s="739" t="n"/>
      <c r="T332" s="61" t="n"/>
      <c r="U332" s="61" t="n"/>
      <c r="V332" s="61" t="n"/>
      <c r="W332" s="61" t="n"/>
      <c r="X332" s="61" t="n"/>
      <c r="Y332" s="61" t="n"/>
      <c r="Z332" s="61" t="n"/>
    </row>
    <row r="333" hidden="1" outlineLevel="2" collapsed="1" ht="17.25" customHeight="1" thickBot="1">
      <c r="B333" s="740" t="n">
        <v>43075</v>
      </c>
      <c r="C333" s="299" t="inlineStr">
        <is>
          <t>TXO</t>
        </is>
      </c>
      <c r="D333" s="300" t="inlineStr">
        <is>
          <t>台選W1 12 10550 C</t>
        </is>
      </c>
      <c r="E333" s="300" t="inlineStr">
        <is>
          <t>新倉</t>
        </is>
      </c>
      <c r="F333" s="301" t="inlineStr">
        <is>
          <t>買</t>
        </is>
      </c>
      <c r="G333" s="300" t="inlineStr">
        <is>
          <t>-</t>
        </is>
      </c>
      <c r="H333" s="741" t="n">
        <v>7</v>
      </c>
      <c r="I333" s="765" t="n">
        <v>4.8</v>
      </c>
      <c r="J333" s="741" t="n">
        <v>-1680</v>
      </c>
      <c r="K333" s="742" t="n">
        <v>126</v>
      </c>
      <c r="L333" s="742" t="n">
        <v>0</v>
      </c>
      <c r="M333" s="742">
        <f>IF(C333="TXO",J333-SUM(K333:L333),IF(C333="FITX",IF(E333="新倉",-SUM(K333:L333),IF(F333="賣",(I333-I332)*H333*200-SUM(K333:L333),(I332-I333)*H333*200-SUM(K333:L333))),IF(E333="新倉",-SUM(K333:L333),IF(F333="賣",(I333-I332)*H333*50-SUM(K333:L333),(I332-I333)*H333*50-SUM(K333:L333)))))</f>
        <v/>
      </c>
      <c r="N333" s="743">
        <f>M333</f>
        <v/>
      </c>
      <c r="O333" s="686">
        <f>IF(C333="TXO","",IF(E333="新倉","",IF(F333="賣",(I333-I332)*H333,(I332-I333)*H333)))</f>
        <v/>
      </c>
      <c r="P333" s="334">
        <f>ABS(J333)</f>
        <v/>
      </c>
      <c r="Q333" s="667" t="n"/>
      <c r="S333" s="739" t="n"/>
      <c r="T333" s="61" t="n"/>
      <c r="U333" s="61" t="n"/>
      <c r="V333" s="61" t="n"/>
      <c r="W333" s="61" t="n"/>
      <c r="X333" s="61" t="n"/>
      <c r="Y333" s="61" t="n"/>
      <c r="Z333" s="61" t="n"/>
    </row>
    <row r="334" hidden="1" outlineLevel="2" collapsed="1" ht="17.25" customHeight="1" thickBot="1">
      <c r="B334" s="740" t="n">
        <v>43075</v>
      </c>
      <c r="C334" s="299" t="inlineStr">
        <is>
          <t>TXO</t>
        </is>
      </c>
      <c r="D334" s="300" t="inlineStr">
        <is>
          <t>台選W1 12 10550 C</t>
        </is>
      </c>
      <c r="E334" s="300" t="inlineStr">
        <is>
          <t>平倉</t>
        </is>
      </c>
      <c r="F334" s="301" t="inlineStr">
        <is>
          <t>賣</t>
        </is>
      </c>
      <c r="G334" s="300" t="inlineStr">
        <is>
          <t>-</t>
        </is>
      </c>
      <c r="H334" s="741" t="n">
        <v>7</v>
      </c>
      <c r="I334" s="765" t="n">
        <v>0.1</v>
      </c>
      <c r="J334" s="741" t="n">
        <v>35</v>
      </c>
      <c r="K334" s="742" t="n">
        <v>126</v>
      </c>
      <c r="L334" s="742" t="n">
        <v>0</v>
      </c>
      <c r="M334" s="742">
        <f>IF(C334="TXO",J334-SUM(K334:L334),IF(C334="FITX",IF(E334="新倉",-SUM(K334:L334),IF(F334="賣",(I334-I333)*H334*200-SUM(K334:L334),(I333-I334)*H334*200-SUM(K334:L334))),IF(E334="新倉",-SUM(K334:L334),IF(F334="賣",(I334-I333)*H334*50-SUM(K334:L334),(I333-I334)*H334*50-SUM(K334:L334)))))</f>
        <v/>
      </c>
      <c r="N334" s="743">
        <f>M334</f>
        <v/>
      </c>
      <c r="O334" s="686">
        <f>IF(C334="TXO","",IF(E334="新倉","",IF(F334="賣",(I334-I333)*H334,(I333-I334)*H334)))</f>
        <v/>
      </c>
      <c r="P334" s="334">
        <f>ABS(J334)</f>
        <v/>
      </c>
      <c r="Q334" s="667" t="n"/>
      <c r="S334" s="739" t="n"/>
      <c r="T334" s="61" t="n"/>
      <c r="U334" s="61" t="n"/>
      <c r="V334" s="61" t="n"/>
      <c r="W334" s="61" t="n"/>
      <c r="X334" s="61" t="n"/>
      <c r="Y334" s="61" t="n"/>
      <c r="Z334" s="61" t="n"/>
    </row>
    <row r="335" hidden="1" outlineLevel="2" collapsed="1" ht="17.25" customHeight="1" thickBot="1">
      <c r="B335" s="740" t="n">
        <v>43075</v>
      </c>
      <c r="C335" s="299" t="inlineStr">
        <is>
          <t>TXO</t>
        </is>
      </c>
      <c r="D335" s="300" t="inlineStr">
        <is>
          <t>台選W1 12 10550 C</t>
        </is>
      </c>
      <c r="E335" s="300" t="inlineStr">
        <is>
          <t>新倉</t>
        </is>
      </c>
      <c r="F335" s="301" t="inlineStr">
        <is>
          <t>買</t>
        </is>
      </c>
      <c r="G335" s="300" t="inlineStr">
        <is>
          <t>-</t>
        </is>
      </c>
      <c r="H335" s="741" t="n">
        <v>3</v>
      </c>
      <c r="I335" s="765" t="n">
        <v>4.8</v>
      </c>
      <c r="J335" s="741" t="n">
        <v>-720</v>
      </c>
      <c r="K335" s="742" t="n">
        <v>54</v>
      </c>
      <c r="L335" s="742" t="n">
        <v>0</v>
      </c>
      <c r="M335" s="742">
        <f>IF(C335="TXO",J335-SUM(K335:L335),IF(C335="FITX",IF(E335="新倉",-SUM(K335:L335),IF(F335="賣",(I335-I334)*H335*200-SUM(K335:L335),(I334-I335)*H335*200-SUM(K335:L335))),IF(E335="新倉",-SUM(K335:L335),IF(F335="賣",(I335-I334)*H335*50-SUM(K335:L335),(I334-I335)*H335*50-SUM(K335:L335)))))</f>
        <v/>
      </c>
      <c r="N335" s="743">
        <f>M335</f>
        <v/>
      </c>
      <c r="O335" s="686">
        <f>IF(C335="TXO","",IF(E335="新倉","",IF(F335="賣",(I335-I334)*H335,(I334-I335)*H335)))</f>
        <v/>
      </c>
      <c r="P335" s="334">
        <f>ABS(J335)</f>
        <v/>
      </c>
      <c r="Q335" s="667" t="n"/>
      <c r="S335" s="739" t="n"/>
      <c r="T335" s="61" t="n"/>
      <c r="U335" s="61" t="n"/>
      <c r="V335" s="61" t="n"/>
      <c r="W335" s="61" t="n"/>
      <c r="X335" s="61" t="n"/>
      <c r="Y335" s="61" t="n"/>
      <c r="Z335" s="61" t="n"/>
    </row>
    <row r="336" hidden="1" outlineLevel="2" collapsed="1" ht="17.25" customHeight="1" thickBot="1">
      <c r="B336" s="740" t="n">
        <v>43075</v>
      </c>
      <c r="C336" s="299" t="inlineStr">
        <is>
          <t>TXO</t>
        </is>
      </c>
      <c r="D336" s="300" t="inlineStr">
        <is>
          <t>台選W1 12 10550 C</t>
        </is>
      </c>
      <c r="E336" s="300" t="inlineStr">
        <is>
          <t>平倉</t>
        </is>
      </c>
      <c r="F336" s="301" t="inlineStr">
        <is>
          <t>賣</t>
        </is>
      </c>
      <c r="G336" s="300" t="inlineStr">
        <is>
          <t>-</t>
        </is>
      </c>
      <c r="H336" s="741" t="n">
        <v>3</v>
      </c>
      <c r="I336" s="765" t="n">
        <v>0.1</v>
      </c>
      <c r="J336" s="741" t="n">
        <v>15</v>
      </c>
      <c r="K336" s="742" t="n">
        <v>54</v>
      </c>
      <c r="L336" s="742" t="n">
        <v>0</v>
      </c>
      <c r="M336" s="742">
        <f>IF(C336="TXO",J336-SUM(K336:L336),IF(C336="FITX",IF(E336="新倉",-SUM(K336:L336),IF(F336="賣",(I336-I335)*H336*200-SUM(K336:L336),(I335-I336)*H336*200-SUM(K336:L336))),IF(E336="新倉",-SUM(K336:L336),IF(F336="賣",(I336-I335)*H336*50-SUM(K336:L336),(I335-I336)*H336*50-SUM(K336:L336)))))</f>
        <v/>
      </c>
      <c r="N336" s="743">
        <f>M336</f>
        <v/>
      </c>
      <c r="O336" s="686">
        <f>IF(C336="TXO","",IF(E336="新倉","",IF(F336="賣",(I336-I335)*H336,(I335-I336)*H336)))</f>
        <v/>
      </c>
      <c r="P336" s="334">
        <f>ABS(J336)</f>
        <v/>
      </c>
      <c r="Q336" s="667" t="n"/>
      <c r="S336" s="739" t="n"/>
      <c r="T336" s="61" t="n"/>
      <c r="U336" s="61" t="n"/>
      <c r="V336" s="61" t="n"/>
      <c r="W336" s="61" t="n"/>
      <c r="X336" s="61" t="n"/>
      <c r="Y336" s="61" t="n"/>
      <c r="Z336" s="61" t="n"/>
    </row>
    <row r="337" hidden="1" outlineLevel="2" collapsed="1" ht="17.25" customHeight="1" thickBot="1">
      <c r="B337" s="740" t="n">
        <v>43075</v>
      </c>
      <c r="C337" s="299" t="inlineStr">
        <is>
          <t>TXO</t>
        </is>
      </c>
      <c r="D337" s="300" t="inlineStr">
        <is>
          <t>台選W1 12 10600 C</t>
        </is>
      </c>
      <c r="E337" s="300" t="inlineStr">
        <is>
          <t>新倉</t>
        </is>
      </c>
      <c r="F337" s="301" t="inlineStr">
        <is>
          <t>買</t>
        </is>
      </c>
      <c r="G337" s="300" t="inlineStr">
        <is>
          <t>-</t>
        </is>
      </c>
      <c r="H337" s="741" t="n">
        <v>10</v>
      </c>
      <c r="I337" s="765" t="n">
        <v>0.4</v>
      </c>
      <c r="J337" s="741" t="n">
        <v>-200</v>
      </c>
      <c r="K337" s="742" t="n">
        <v>180</v>
      </c>
      <c r="L337" s="742" t="n">
        <v>0</v>
      </c>
      <c r="M337" s="742">
        <f>IF(C337="TXO",J337-SUM(K337:L337),IF(C337="FITX",IF(E337="新倉",-SUM(K337:L337),IF(F337="賣",(I337-I336)*H337*200-SUM(K337:L337),(I336-I337)*H337*200-SUM(K337:L337))),IF(E337="新倉",-SUM(K337:L337),IF(F337="賣",(I337-I336)*H337*50-SUM(K337:L337),(I336-I337)*H337*50-SUM(K337:L337)))))</f>
        <v/>
      </c>
      <c r="N337" s="743">
        <f>M337</f>
        <v/>
      </c>
      <c r="O337" s="686">
        <f>IF(C337="TXO","",IF(E337="新倉","",IF(F337="賣",(I337-I336)*H337,(I336-I337)*H337)))</f>
        <v/>
      </c>
      <c r="P337" s="334">
        <f>ABS(J337)</f>
        <v/>
      </c>
      <c r="Q337" s="667" t="n"/>
      <c r="S337" s="739" t="n"/>
      <c r="T337" s="61" t="n"/>
      <c r="U337" s="61" t="n"/>
      <c r="V337" s="61" t="n"/>
      <c r="W337" s="61" t="n"/>
      <c r="X337" s="61" t="n"/>
      <c r="Y337" s="61" t="n"/>
      <c r="Z337" s="61" t="n"/>
    </row>
    <row r="338" hidden="1" outlineLevel="2" collapsed="1" ht="17.25" customHeight="1" thickBot="1">
      <c r="B338" s="740" t="n">
        <v>43075</v>
      </c>
      <c r="C338" s="299" t="inlineStr">
        <is>
          <t>TXO</t>
        </is>
      </c>
      <c r="D338" s="300" t="inlineStr">
        <is>
          <t>台選W1 12 10600 C</t>
        </is>
      </c>
      <c r="E338" s="300" t="inlineStr">
        <is>
          <t>平倉</t>
        </is>
      </c>
      <c r="F338" s="301" t="inlineStr">
        <is>
          <t>賣</t>
        </is>
      </c>
      <c r="G338" s="300" t="inlineStr">
        <is>
          <t>-</t>
        </is>
      </c>
      <c r="H338" s="741" t="n">
        <v>10</v>
      </c>
      <c r="I338" s="765" t="n">
        <v>0.1</v>
      </c>
      <c r="J338" s="741" t="n">
        <v>50</v>
      </c>
      <c r="K338" s="742" t="n">
        <v>180</v>
      </c>
      <c r="L338" s="742" t="n">
        <v>0</v>
      </c>
      <c r="M338" s="742">
        <f>IF(C338="TXO",J338-SUM(K338:L338),IF(C338="FITX",IF(E338="新倉",-SUM(K338:L338),IF(F338="賣",(I338-I337)*H338*200-SUM(K338:L338),(I337-I338)*H338*200-SUM(K338:L338))),IF(E338="新倉",-SUM(K338:L338),IF(F338="賣",(I338-I337)*H338*50-SUM(K338:L338),(I337-I338)*H338*50-SUM(K338:L338)))))</f>
        <v/>
      </c>
      <c r="N338" s="743">
        <f>M338</f>
        <v/>
      </c>
      <c r="O338" s="686">
        <f>IF(C338="TXO","",IF(E338="新倉","",IF(F338="賣",(I338-I337)*H338,(I337-I338)*H338)))</f>
        <v/>
      </c>
      <c r="P338" s="334">
        <f>ABS(J338)</f>
        <v/>
      </c>
      <c r="Q338" s="667" t="n"/>
      <c r="S338" s="739" t="n"/>
      <c r="T338" s="61" t="n"/>
      <c r="U338" s="61" t="n"/>
      <c r="V338" s="61" t="n"/>
      <c r="W338" s="61" t="n"/>
      <c r="X338" s="61" t="n"/>
      <c r="Y338" s="61" t="n"/>
      <c r="Z338" s="61" t="n"/>
    </row>
    <row r="339" hidden="1" outlineLevel="2" collapsed="1" ht="17.25" customHeight="1" thickBot="1">
      <c r="B339" s="740" t="n">
        <v>43075</v>
      </c>
      <c r="C339" s="299" t="inlineStr">
        <is>
          <t>TXO</t>
        </is>
      </c>
      <c r="D339" s="300" t="inlineStr">
        <is>
          <t>台選W1 12 10550 C</t>
        </is>
      </c>
      <c r="E339" s="300" t="inlineStr">
        <is>
          <t>新倉</t>
        </is>
      </c>
      <c r="F339" s="301" t="inlineStr">
        <is>
          <t>買</t>
        </is>
      </c>
      <c r="G339" s="300" t="inlineStr">
        <is>
          <t>-</t>
        </is>
      </c>
      <c r="H339" s="741" t="n">
        <v>5</v>
      </c>
      <c r="I339" s="765" t="n">
        <v>2.6</v>
      </c>
      <c r="J339" s="741" t="n">
        <v>-650</v>
      </c>
      <c r="K339" s="742" t="n">
        <v>90</v>
      </c>
      <c r="L339" s="742" t="n">
        <v>0</v>
      </c>
      <c r="M339" s="742">
        <f>IF(C339="TXO",J339-SUM(K339:L339),IF(C339="FITX",IF(E339="新倉",-SUM(K339:L339),IF(F339="賣",(I339-I338)*H339*200-SUM(K339:L339),(I338-I339)*H339*200-SUM(K339:L339))),IF(E339="新倉",-SUM(K339:L339),IF(F339="賣",(I339-I338)*H339*50-SUM(K339:L339),(I338-I339)*H339*50-SUM(K339:L339)))))</f>
        <v/>
      </c>
      <c r="N339" s="743">
        <f>M339</f>
        <v/>
      </c>
      <c r="O339" s="686">
        <f>IF(C339="TXO","",IF(E339="新倉","",IF(F339="賣",(I339-I338)*H339,(I338-I339)*H339)))</f>
        <v/>
      </c>
      <c r="P339" s="334">
        <f>ABS(J339)</f>
        <v/>
      </c>
      <c r="Q339" s="667" t="n"/>
      <c r="S339" s="739" t="n"/>
      <c r="T339" s="61" t="n"/>
      <c r="U339" s="61" t="n"/>
      <c r="V339" s="61" t="n"/>
      <c r="W339" s="61" t="n"/>
      <c r="X339" s="61" t="n"/>
      <c r="Y339" s="61" t="n"/>
      <c r="Z339" s="61" t="n"/>
    </row>
    <row r="340" hidden="1" outlineLevel="2" collapsed="1" ht="17.25" customHeight="1" thickBot="1">
      <c r="B340" s="740" t="n">
        <v>43075</v>
      </c>
      <c r="C340" s="299" t="inlineStr">
        <is>
          <t>TXO</t>
        </is>
      </c>
      <c r="D340" s="300" t="inlineStr">
        <is>
          <t>台選W1 12 10550 C</t>
        </is>
      </c>
      <c r="E340" s="300" t="inlineStr">
        <is>
          <t>平倉</t>
        </is>
      </c>
      <c r="F340" s="301" t="inlineStr">
        <is>
          <t>賣</t>
        </is>
      </c>
      <c r="G340" s="300" t="inlineStr">
        <is>
          <t>-</t>
        </is>
      </c>
      <c r="H340" s="741" t="n">
        <v>5</v>
      </c>
      <c r="I340" s="765" t="n">
        <v>0.1</v>
      </c>
      <c r="J340" s="741" t="n">
        <v>25</v>
      </c>
      <c r="K340" s="742" t="n">
        <v>90</v>
      </c>
      <c r="L340" s="742" t="n">
        <v>0</v>
      </c>
      <c r="M340" s="742">
        <f>IF(C340="TXO",J340-SUM(K340:L340),IF(C340="FITX",IF(E340="新倉",-SUM(K340:L340),IF(F340="賣",(I340-I339)*H340*200-SUM(K340:L340),(I339-I340)*H340*200-SUM(K340:L340))),IF(E340="新倉",-SUM(K340:L340),IF(F340="賣",(I340-I339)*H340*50-SUM(K340:L340),(I339-I340)*H340*50-SUM(K340:L340)))))</f>
        <v/>
      </c>
      <c r="N340" s="743">
        <f>M340</f>
        <v/>
      </c>
      <c r="O340" s="686">
        <f>IF(C340="TXO","",IF(E340="新倉","",IF(F340="賣",(I340-I339)*H340,(I339-I340)*H340)))</f>
        <v/>
      </c>
      <c r="P340" s="334">
        <f>ABS(J340)</f>
        <v/>
      </c>
      <c r="Q340" s="667" t="n"/>
      <c r="S340" s="739" t="n"/>
      <c r="T340" s="61" t="n"/>
      <c r="U340" s="61" t="n"/>
      <c r="V340" s="61" t="n"/>
      <c r="W340" s="61" t="n"/>
      <c r="X340" s="61" t="n"/>
      <c r="Y340" s="61" t="n"/>
      <c r="Z340" s="61" t="n"/>
    </row>
    <row r="341" hidden="1" outlineLevel="2" collapsed="1" ht="17.25" customHeight="1" thickBot="1">
      <c r="B341" s="740" t="n">
        <v>43075</v>
      </c>
      <c r="C341" s="299" t="inlineStr">
        <is>
          <t>TXO</t>
        </is>
      </c>
      <c r="D341" s="300" t="inlineStr">
        <is>
          <t>台選W1 12 10550 C</t>
        </is>
      </c>
      <c r="E341" s="300" t="inlineStr">
        <is>
          <t>新倉</t>
        </is>
      </c>
      <c r="F341" s="301" t="inlineStr">
        <is>
          <t>買</t>
        </is>
      </c>
      <c r="G341" s="300" t="inlineStr">
        <is>
          <t>-</t>
        </is>
      </c>
      <c r="H341" s="741" t="n">
        <v>5</v>
      </c>
      <c r="I341" s="765" t="n">
        <v>2.6</v>
      </c>
      <c r="J341" s="741" t="n">
        <v>-650</v>
      </c>
      <c r="K341" s="742" t="n">
        <v>90</v>
      </c>
      <c r="L341" s="742" t="n">
        <v>0</v>
      </c>
      <c r="M341" s="742">
        <f>IF(C341="TXO",J341-SUM(K341:L341),IF(C341="FITX",IF(E341="新倉",-SUM(K341:L341),IF(F341="賣",(I341-I340)*H341*200-SUM(K341:L341),(I340-I341)*H341*200-SUM(K341:L341))),IF(E341="新倉",-SUM(K341:L341),IF(F341="賣",(I341-I340)*H341*50-SUM(K341:L341),(I340-I341)*H341*50-SUM(K341:L341)))))</f>
        <v/>
      </c>
      <c r="N341" s="743">
        <f>M341</f>
        <v/>
      </c>
      <c r="O341" s="686">
        <f>IF(C341="TXO","",IF(E341="新倉","",IF(F341="賣",(I341-I340)*H341,(I340-I341)*H341)))</f>
        <v/>
      </c>
      <c r="P341" s="334">
        <f>ABS(J341)</f>
        <v/>
      </c>
      <c r="Q341" s="667" t="n"/>
      <c r="S341" s="739" t="n"/>
      <c r="T341" s="61" t="n"/>
      <c r="U341" s="61" t="n"/>
      <c r="V341" s="61" t="n"/>
      <c r="W341" s="61" t="n"/>
      <c r="X341" s="61" t="n"/>
      <c r="Y341" s="61" t="n"/>
      <c r="Z341" s="61" t="n"/>
    </row>
    <row r="342" hidden="1" outlineLevel="2" collapsed="1" ht="17.25" customHeight="1" thickBot="1">
      <c r="B342" s="740" t="n">
        <v>43075</v>
      </c>
      <c r="C342" s="299" t="inlineStr">
        <is>
          <t>TXO</t>
        </is>
      </c>
      <c r="D342" s="300" t="inlineStr">
        <is>
          <t>台選W1 12 10550 C</t>
        </is>
      </c>
      <c r="E342" s="300" t="inlineStr">
        <is>
          <t>平倉</t>
        </is>
      </c>
      <c r="F342" s="301" t="inlineStr">
        <is>
          <t>賣</t>
        </is>
      </c>
      <c r="G342" s="300" t="inlineStr">
        <is>
          <t>-</t>
        </is>
      </c>
      <c r="H342" s="741" t="n">
        <v>5</v>
      </c>
      <c r="I342" s="765" t="n">
        <v>0.1</v>
      </c>
      <c r="J342" s="741" t="n">
        <v>25</v>
      </c>
      <c r="K342" s="742" t="n">
        <v>90</v>
      </c>
      <c r="L342" s="742" t="n">
        <v>0</v>
      </c>
      <c r="M342" s="742">
        <f>IF(C342="TXO",J342-SUM(K342:L342),IF(C342="FITX",IF(E342="新倉",-SUM(K342:L342),IF(F342="賣",(I342-I341)*H342*200-SUM(K342:L342),(I341-I342)*H342*200-SUM(K342:L342))),IF(E342="新倉",-SUM(K342:L342),IF(F342="賣",(I342-I341)*H342*50-SUM(K342:L342),(I341-I342)*H342*50-SUM(K342:L342)))))</f>
        <v/>
      </c>
      <c r="N342" s="743">
        <f>M342</f>
        <v/>
      </c>
      <c r="O342" s="686">
        <f>IF(C342="TXO","",IF(E342="新倉","",IF(F342="賣",(I342-I341)*H342,(I341-I342)*H342)))</f>
        <v/>
      </c>
      <c r="P342" s="334">
        <f>ABS(J342)</f>
        <v/>
      </c>
      <c r="Q342" s="667" t="n"/>
      <c r="S342" s="739" t="n"/>
      <c r="T342" s="61" t="n"/>
      <c r="U342" s="61" t="n"/>
      <c r="V342" s="61" t="n"/>
      <c r="W342" s="61" t="n"/>
      <c r="X342" s="61" t="n"/>
      <c r="Y342" s="61" t="n"/>
      <c r="Z342" s="61" t="n"/>
    </row>
    <row r="343" hidden="1" outlineLevel="2" collapsed="1" ht="17.25" customHeight="1" thickBot="1">
      <c r="B343" s="740" t="n">
        <v>43075</v>
      </c>
      <c r="C343" s="299" t="inlineStr">
        <is>
          <t>TXO</t>
        </is>
      </c>
      <c r="D343" s="300" t="inlineStr">
        <is>
          <t>台選W1 12 10550 C</t>
        </is>
      </c>
      <c r="E343" s="300" t="inlineStr">
        <is>
          <t>新倉</t>
        </is>
      </c>
      <c r="F343" s="301" t="inlineStr">
        <is>
          <t>買</t>
        </is>
      </c>
      <c r="G343" s="300" t="inlineStr">
        <is>
          <t>-</t>
        </is>
      </c>
      <c r="H343" s="741" t="n">
        <v>5</v>
      </c>
      <c r="I343" s="765" t="n">
        <v>2.8</v>
      </c>
      <c r="J343" s="741" t="n">
        <v>-700</v>
      </c>
      <c r="K343" s="742" t="n">
        <v>90</v>
      </c>
      <c r="L343" s="742" t="n">
        <v>0</v>
      </c>
      <c r="M343" s="742">
        <f>IF(C343="TXO",J343-SUM(K343:L343),IF(C343="FITX",IF(E343="新倉",-SUM(K343:L343),IF(F343="賣",(I343-I342)*H343*200-SUM(K343:L343),(I342-I343)*H343*200-SUM(K343:L343))),IF(E343="新倉",-SUM(K343:L343),IF(F343="賣",(I343-I342)*H343*50-SUM(K343:L343),(I342-I343)*H343*50-SUM(K343:L343)))))</f>
        <v/>
      </c>
      <c r="N343" s="743">
        <f>M343</f>
        <v/>
      </c>
      <c r="O343" s="686">
        <f>IF(C343="TXO","",IF(E343="新倉","",IF(F343="賣",(I343-I342)*H343,(I342-I343)*H343)))</f>
        <v/>
      </c>
      <c r="P343" s="334">
        <f>ABS(J343)</f>
        <v/>
      </c>
      <c r="Q343" s="667" t="n"/>
      <c r="S343" s="739" t="n"/>
      <c r="T343" s="61" t="n"/>
      <c r="U343" s="61" t="n"/>
      <c r="V343" s="61" t="n"/>
      <c r="W343" s="61" t="n"/>
      <c r="X343" s="61" t="n"/>
      <c r="Y343" s="61" t="n"/>
      <c r="Z343" s="61" t="n"/>
    </row>
    <row r="344" hidden="1" outlineLevel="2" collapsed="1" ht="17.25" customHeight="1" thickBot="1">
      <c r="B344" s="740" t="n">
        <v>43075</v>
      </c>
      <c r="C344" s="299" t="inlineStr">
        <is>
          <t>TXO</t>
        </is>
      </c>
      <c r="D344" s="300" t="inlineStr">
        <is>
          <t>台選W1 12 10550 C</t>
        </is>
      </c>
      <c r="E344" s="300" t="inlineStr">
        <is>
          <t>平倉</t>
        </is>
      </c>
      <c r="F344" s="301" t="inlineStr">
        <is>
          <t>賣</t>
        </is>
      </c>
      <c r="G344" s="300" t="inlineStr">
        <is>
          <t>-</t>
        </is>
      </c>
      <c r="H344" s="741" t="n">
        <v>5</v>
      </c>
      <c r="I344" s="765" t="n">
        <v>0.1</v>
      </c>
      <c r="J344" s="741" t="n">
        <v>25</v>
      </c>
      <c r="K344" s="742" t="n">
        <v>90</v>
      </c>
      <c r="L344" s="742" t="n">
        <v>0</v>
      </c>
      <c r="M344" s="742">
        <f>IF(C344="TXO",J344-SUM(K344:L344),IF(C344="FITX",IF(E344="新倉",-SUM(K344:L344),IF(F344="賣",(I344-I343)*H344*200-SUM(K344:L344),(I343-I344)*H344*200-SUM(K344:L344))),IF(E344="新倉",-SUM(K344:L344),IF(F344="賣",(I344-I343)*H344*50-SUM(K344:L344),(I343-I344)*H344*50-SUM(K344:L344)))))</f>
        <v/>
      </c>
      <c r="N344" s="743">
        <f>M344</f>
        <v/>
      </c>
      <c r="O344" s="686">
        <f>IF(C344="TXO","",IF(E344="新倉","",IF(F344="賣",(I344-I343)*H344,(I343-I344)*H344)))</f>
        <v/>
      </c>
      <c r="P344" s="334">
        <f>ABS(J344)</f>
        <v/>
      </c>
      <c r="Q344" s="667" t="n"/>
      <c r="S344" s="739" t="n"/>
      <c r="T344" s="61" t="n"/>
      <c r="U344" s="61" t="n"/>
      <c r="V344" s="61" t="n"/>
      <c r="W344" s="61" t="n"/>
      <c r="X344" s="61" t="n"/>
      <c r="Y344" s="61" t="n"/>
      <c r="Z344" s="61" t="n"/>
    </row>
    <row r="345" hidden="1" outlineLevel="2" collapsed="1" ht="17.25" customHeight="1" thickBot="1">
      <c r="B345" s="740" t="n">
        <v>43075</v>
      </c>
      <c r="C345" s="299" t="inlineStr">
        <is>
          <t>TXO</t>
        </is>
      </c>
      <c r="D345" s="300" t="inlineStr">
        <is>
          <t>台選W1 12 10550 C</t>
        </is>
      </c>
      <c r="E345" s="300" t="inlineStr">
        <is>
          <t>新倉</t>
        </is>
      </c>
      <c r="F345" s="301" t="inlineStr">
        <is>
          <t>買</t>
        </is>
      </c>
      <c r="G345" s="300" t="inlineStr">
        <is>
          <t>-</t>
        </is>
      </c>
      <c r="H345" s="741" t="n">
        <v>3</v>
      </c>
      <c r="I345" s="765" t="n">
        <v>1.5</v>
      </c>
      <c r="J345" s="741" t="n">
        <v>-225</v>
      </c>
      <c r="K345" s="742" t="n">
        <v>54</v>
      </c>
      <c r="L345" s="742" t="n">
        <v>0</v>
      </c>
      <c r="M345" s="742">
        <f>IF(C345="TXO",J345-SUM(K345:L345),IF(C345="FITX",IF(E345="新倉",-SUM(K345:L345),IF(F345="賣",(I345-I344)*H345*200-SUM(K345:L345),(I344-I345)*H345*200-SUM(K345:L345))),IF(E345="新倉",-SUM(K345:L345),IF(F345="賣",(I345-I344)*H345*50-SUM(K345:L345),(I344-I345)*H345*50-SUM(K345:L345)))))</f>
        <v/>
      </c>
      <c r="N345" s="743">
        <f>M345</f>
        <v/>
      </c>
      <c r="O345" s="686">
        <f>IF(C345="TXO","",IF(E345="新倉","",IF(F345="賣",(I345-I344)*H345,(I344-I345)*H345)))</f>
        <v/>
      </c>
      <c r="P345" s="334">
        <f>ABS(J345)</f>
        <v/>
      </c>
      <c r="Q345" s="667" t="n"/>
      <c r="S345" s="739" t="n"/>
      <c r="T345" s="61" t="n"/>
      <c r="U345" s="61" t="n"/>
      <c r="V345" s="61" t="n"/>
      <c r="W345" s="61" t="n"/>
      <c r="X345" s="61" t="n"/>
      <c r="Y345" s="61" t="n"/>
      <c r="Z345" s="61" t="n"/>
    </row>
    <row r="346" hidden="1" outlineLevel="2" collapsed="1" ht="17.25" customHeight="1" thickBot="1">
      <c r="B346" s="740" t="n">
        <v>43075</v>
      </c>
      <c r="C346" s="299" t="inlineStr">
        <is>
          <t>TXO</t>
        </is>
      </c>
      <c r="D346" s="300" t="inlineStr">
        <is>
          <t>台選W1 12 10550 C</t>
        </is>
      </c>
      <c r="E346" s="300" t="inlineStr">
        <is>
          <t>平倉</t>
        </is>
      </c>
      <c r="F346" s="301" t="inlineStr">
        <is>
          <t>賣</t>
        </is>
      </c>
      <c r="G346" s="300" t="inlineStr">
        <is>
          <t>-</t>
        </is>
      </c>
      <c r="H346" s="741" t="n">
        <v>3</v>
      </c>
      <c r="I346" s="765" t="n">
        <v>0.1</v>
      </c>
      <c r="J346" s="741" t="n">
        <v>15</v>
      </c>
      <c r="K346" s="742" t="n">
        <v>54</v>
      </c>
      <c r="L346" s="742" t="n">
        <v>0</v>
      </c>
      <c r="M346" s="742">
        <f>IF(C346="TXO",J346-SUM(K346:L346),IF(C346="FITX",IF(E346="新倉",-SUM(K346:L346),IF(F346="賣",(I346-I345)*H346*200-SUM(K346:L346),(I345-I346)*H346*200-SUM(K346:L346))),IF(E346="新倉",-SUM(K346:L346),IF(F346="賣",(I346-I345)*H346*50-SUM(K346:L346),(I345-I346)*H346*50-SUM(K346:L346)))))</f>
        <v/>
      </c>
      <c r="N346" s="743">
        <f>M346</f>
        <v/>
      </c>
      <c r="O346" s="686">
        <f>IF(C346="TXO","",IF(E346="新倉","",IF(F346="賣",(I346-I345)*H346,(I345-I346)*H346)))</f>
        <v/>
      </c>
      <c r="P346" s="334">
        <f>ABS(J346)</f>
        <v/>
      </c>
      <c r="Q346" s="667" t="n"/>
      <c r="S346" s="739" t="n"/>
      <c r="T346" s="61" t="n"/>
      <c r="U346" s="61" t="n"/>
      <c r="V346" s="61" t="n"/>
      <c r="W346" s="61" t="n"/>
      <c r="X346" s="61" t="n"/>
      <c r="Y346" s="61" t="n"/>
      <c r="Z346" s="61" t="n"/>
    </row>
    <row r="347" hidden="1" outlineLevel="2" collapsed="1" ht="17.25" customHeight="1" thickBot="1">
      <c r="B347" s="740" t="n">
        <v>43075</v>
      </c>
      <c r="C347" s="299" t="inlineStr">
        <is>
          <t>TXO</t>
        </is>
      </c>
      <c r="D347" s="300" t="inlineStr">
        <is>
          <t>台選W1 12 10550 C</t>
        </is>
      </c>
      <c r="E347" s="300" t="inlineStr">
        <is>
          <t>新倉</t>
        </is>
      </c>
      <c r="F347" s="301" t="inlineStr">
        <is>
          <t>買</t>
        </is>
      </c>
      <c r="G347" s="300" t="inlineStr">
        <is>
          <t>-</t>
        </is>
      </c>
      <c r="H347" s="741" t="n">
        <v>1</v>
      </c>
      <c r="I347" s="765" t="n">
        <v>1.5</v>
      </c>
      <c r="J347" s="741" t="n">
        <v>-75</v>
      </c>
      <c r="K347" s="742" t="n">
        <v>18</v>
      </c>
      <c r="L347" s="742" t="n">
        <v>0</v>
      </c>
      <c r="M347" s="742">
        <f>IF(C347="TXO",J347-SUM(K347:L347),IF(C347="FITX",IF(E347="新倉",-SUM(K347:L347),IF(F347="賣",(I347-I346)*H347*200-SUM(K347:L347),(I346-I347)*H347*200-SUM(K347:L347))),IF(E347="新倉",-SUM(K347:L347),IF(F347="賣",(I347-I346)*H347*50-SUM(K347:L347),(I346-I347)*H347*50-SUM(K347:L347)))))</f>
        <v/>
      </c>
      <c r="N347" s="743">
        <f>M347</f>
        <v/>
      </c>
      <c r="O347" s="686">
        <f>IF(C347="TXO","",IF(E347="新倉","",IF(F347="賣",(I347-I346)*H347,(I346-I347)*H347)))</f>
        <v/>
      </c>
      <c r="P347" s="334">
        <f>ABS(J347)</f>
        <v/>
      </c>
      <c r="Q347" s="667" t="n"/>
      <c r="S347" s="739" t="n"/>
      <c r="T347" s="61" t="n"/>
      <c r="U347" s="61" t="n"/>
      <c r="V347" s="61" t="n"/>
      <c r="W347" s="61" t="n"/>
      <c r="X347" s="61" t="n"/>
      <c r="Y347" s="61" t="n"/>
      <c r="Z347" s="61" t="n"/>
    </row>
    <row r="348" hidden="1" outlineLevel="2" collapsed="1" ht="17.25" customHeight="1" thickBot="1">
      <c r="B348" s="740" t="n">
        <v>43075</v>
      </c>
      <c r="C348" s="299" t="inlineStr">
        <is>
          <t>TXO</t>
        </is>
      </c>
      <c r="D348" s="300" t="inlineStr">
        <is>
          <t>台選W1 12 10550 C</t>
        </is>
      </c>
      <c r="E348" s="300" t="inlineStr">
        <is>
          <t>平倉</t>
        </is>
      </c>
      <c r="F348" s="301" t="inlineStr">
        <is>
          <t>賣</t>
        </is>
      </c>
      <c r="G348" s="300" t="inlineStr">
        <is>
          <t>-</t>
        </is>
      </c>
      <c r="H348" s="741" t="n">
        <v>1</v>
      </c>
      <c r="I348" s="765" t="n">
        <v>0.1</v>
      </c>
      <c r="J348" s="741" t="n">
        <v>5</v>
      </c>
      <c r="K348" s="742" t="n">
        <v>18</v>
      </c>
      <c r="L348" s="742" t="n">
        <v>0</v>
      </c>
      <c r="M348" s="742">
        <f>IF(C348="TXO",J348-SUM(K348:L348),IF(C348="FITX",IF(E348="新倉",-SUM(K348:L348),IF(F348="賣",(I348-I347)*H348*200-SUM(K348:L348),(I347-I348)*H348*200-SUM(K348:L348))),IF(E348="新倉",-SUM(K348:L348),IF(F348="賣",(I348-I347)*H348*50-SUM(K348:L348),(I347-I348)*H348*50-SUM(K348:L348)))))</f>
        <v/>
      </c>
      <c r="N348" s="743">
        <f>M348</f>
        <v/>
      </c>
      <c r="O348" s="686">
        <f>IF(C348="TXO","",IF(E348="新倉","",IF(F348="賣",(I348-I347)*H348,(I347-I348)*H348)))</f>
        <v/>
      </c>
      <c r="P348" s="334">
        <f>ABS(J348)</f>
        <v/>
      </c>
      <c r="Q348" s="667" t="n"/>
      <c r="S348" s="739" t="n"/>
      <c r="T348" s="61" t="n"/>
      <c r="U348" s="61" t="n"/>
      <c r="V348" s="61" t="n"/>
      <c r="W348" s="61" t="n"/>
      <c r="X348" s="61" t="n"/>
      <c r="Y348" s="61" t="n"/>
      <c r="Z348" s="61" t="n"/>
    </row>
    <row r="349" hidden="1" outlineLevel="2" collapsed="1" ht="17.25" customHeight="1" thickBot="1">
      <c r="B349" s="740" t="n">
        <v>43075</v>
      </c>
      <c r="C349" s="299" t="inlineStr">
        <is>
          <t>TXO</t>
        </is>
      </c>
      <c r="D349" s="300" t="inlineStr">
        <is>
          <t>台選W1 12 10550 C</t>
        </is>
      </c>
      <c r="E349" s="300" t="inlineStr">
        <is>
          <t>新倉</t>
        </is>
      </c>
      <c r="F349" s="301" t="inlineStr">
        <is>
          <t>買</t>
        </is>
      </c>
      <c r="G349" s="300" t="inlineStr">
        <is>
          <t>-</t>
        </is>
      </c>
      <c r="H349" s="741" t="n">
        <v>6</v>
      </c>
      <c r="I349" s="765" t="n">
        <v>1.5</v>
      </c>
      <c r="J349" s="741" t="n">
        <v>-450</v>
      </c>
      <c r="K349" s="742" t="n">
        <v>108</v>
      </c>
      <c r="L349" s="742" t="n">
        <v>0</v>
      </c>
      <c r="M349" s="742">
        <f>IF(C349="TXO",J349-SUM(K349:L349),IF(C349="FITX",IF(E349="新倉",-SUM(K349:L349),IF(F349="賣",(I349-I348)*H349*200-SUM(K349:L349),(I348-I349)*H349*200-SUM(K349:L349))),IF(E349="新倉",-SUM(K349:L349),IF(F349="賣",(I349-I348)*H349*50-SUM(K349:L349),(I348-I349)*H349*50-SUM(K349:L349)))))</f>
        <v/>
      </c>
      <c r="N349" s="743">
        <f>M349</f>
        <v/>
      </c>
      <c r="O349" s="686">
        <f>IF(C349="TXO","",IF(E349="新倉","",IF(F349="賣",(I349-I348)*H349,(I348-I349)*H349)))</f>
        <v/>
      </c>
      <c r="P349" s="334">
        <f>ABS(J349)</f>
        <v/>
      </c>
      <c r="Q349" s="667" t="n"/>
      <c r="S349" s="739" t="n"/>
      <c r="T349" s="61" t="n"/>
      <c r="U349" s="61" t="n"/>
      <c r="V349" s="61" t="n"/>
      <c r="W349" s="61" t="n"/>
      <c r="X349" s="61" t="n"/>
      <c r="Y349" s="61" t="n"/>
      <c r="Z349" s="61" t="n"/>
    </row>
    <row r="350" hidden="1" outlineLevel="2" collapsed="1" ht="17.25" customHeight="1" thickBot="1">
      <c r="B350" s="740" t="n">
        <v>43075</v>
      </c>
      <c r="C350" s="299" t="inlineStr">
        <is>
          <t>TXO</t>
        </is>
      </c>
      <c r="D350" s="300" t="inlineStr">
        <is>
          <t>台選W1 12 10550 C</t>
        </is>
      </c>
      <c r="E350" s="300" t="inlineStr">
        <is>
          <t>平倉</t>
        </is>
      </c>
      <c r="F350" s="301" t="inlineStr">
        <is>
          <t>賣</t>
        </is>
      </c>
      <c r="G350" s="300" t="inlineStr">
        <is>
          <t>-</t>
        </is>
      </c>
      <c r="H350" s="741" t="n">
        <v>6</v>
      </c>
      <c r="I350" s="765" t="n">
        <v>0.1</v>
      </c>
      <c r="J350" s="741" t="n">
        <v>30</v>
      </c>
      <c r="K350" s="742" t="n">
        <v>108</v>
      </c>
      <c r="L350" s="742" t="n">
        <v>0</v>
      </c>
      <c r="M350" s="742">
        <f>IF(C350="TXO",J350-SUM(K350:L350),IF(C350="FITX",IF(E350="新倉",-SUM(K350:L350),IF(F350="賣",(I350-I349)*H350*200-SUM(K350:L350),(I349-I350)*H350*200-SUM(K350:L350))),IF(E350="新倉",-SUM(K350:L350),IF(F350="賣",(I350-I349)*H350*50-SUM(K350:L350),(I349-I350)*H350*50-SUM(K350:L350)))))</f>
        <v/>
      </c>
      <c r="N350" s="743">
        <f>M350</f>
        <v/>
      </c>
      <c r="O350" s="686">
        <f>IF(C350="TXO","",IF(E350="新倉","",IF(F350="賣",(I350-I349)*H350,(I349-I350)*H350)))</f>
        <v/>
      </c>
      <c r="P350" s="334">
        <f>ABS(J350)</f>
        <v/>
      </c>
      <c r="Q350" s="667" t="n"/>
      <c r="S350" s="739" t="n"/>
      <c r="T350" s="61" t="n"/>
      <c r="U350" s="61" t="n"/>
      <c r="V350" s="61" t="n"/>
      <c r="W350" s="61" t="n"/>
      <c r="X350" s="61" t="n"/>
      <c r="Y350" s="61" t="n"/>
      <c r="Z350" s="61" t="n"/>
    </row>
    <row r="351" hidden="1" outlineLevel="2" collapsed="1" ht="17.25" customHeight="1" thickBot="1">
      <c r="B351" s="766" t="n">
        <v>43082</v>
      </c>
      <c r="C351" s="337" t="inlineStr">
        <is>
          <t>TXO</t>
        </is>
      </c>
      <c r="D351" s="338" t="inlineStr">
        <is>
          <t>台選W2 12 10450 P</t>
        </is>
      </c>
      <c r="E351" s="338" t="inlineStr">
        <is>
          <t>新倉</t>
        </is>
      </c>
      <c r="F351" s="338" t="inlineStr">
        <is>
          <t>買</t>
        </is>
      </c>
      <c r="G351" s="338" t="inlineStr">
        <is>
          <t>-</t>
        </is>
      </c>
      <c r="H351" s="767" t="n">
        <v>10</v>
      </c>
      <c r="I351" s="768" t="n">
        <v>11</v>
      </c>
      <c r="J351" s="767" t="n">
        <v>-5500</v>
      </c>
      <c r="K351" s="769" t="n">
        <v>180</v>
      </c>
      <c r="L351" s="769" t="n">
        <v>10</v>
      </c>
      <c r="M351" s="585">
        <f>IF(C351="TXO",J351-SUM(K351:L351),IF(C351="FITX",IF(E351="新倉",-SUM(K351:L351),IF(F351="賣",(I351-I350)*H351*200-SUM(K351:L351),(I350-I351)*H351*200-SUM(K351:L351))),IF(E351="新倉",-SUM(K351:L351),IF(F351="賣",(I351-I350)*H351*50-SUM(K351:L351),(I350-I351)*H351*50-SUM(K351:L351)))))</f>
        <v/>
      </c>
      <c r="N351" s="699">
        <f>M351</f>
        <v/>
      </c>
      <c r="O351" s="686">
        <f>IF(C351="TXO","",IF(E351="新倉","",IF(F351="賣",(I351-I350)*H351,(I350-I351)*H351)))</f>
        <v/>
      </c>
      <c r="P351" s="334">
        <f>ABS(J351)</f>
        <v/>
      </c>
      <c r="Q351" s="667">
        <f>SUM(M351:M354)</f>
        <v/>
      </c>
      <c r="S351" s="61" t="n"/>
      <c r="T351" s="61" t="n"/>
      <c r="U351" s="61" t="n"/>
      <c r="V351" s="61" t="n"/>
      <c r="W351" s="61" t="n"/>
      <c r="X351" s="61" t="n"/>
      <c r="Y351" s="61" t="n"/>
      <c r="Z351" s="61" t="n"/>
    </row>
    <row r="352" hidden="1" outlineLevel="2" collapsed="1" ht="17.25" customHeight="1" thickBot="1">
      <c r="B352" s="766" t="n">
        <v>43082</v>
      </c>
      <c r="C352" s="337" t="inlineStr">
        <is>
          <t>TXO</t>
        </is>
      </c>
      <c r="D352" s="338" t="inlineStr">
        <is>
          <t>台選W2 12 10450 P</t>
        </is>
      </c>
      <c r="E352" s="338" t="inlineStr">
        <is>
          <t>平倉</t>
        </is>
      </c>
      <c r="F352" s="338" t="inlineStr">
        <is>
          <t>賣</t>
        </is>
      </c>
      <c r="G352" s="338" t="inlineStr">
        <is>
          <t>-</t>
        </is>
      </c>
      <c r="H352" s="767" t="n">
        <v>10</v>
      </c>
      <c r="I352" s="768" t="n">
        <v>19</v>
      </c>
      <c r="J352" s="767" t="n">
        <v>9500</v>
      </c>
      <c r="K352" s="769" t="n">
        <v>180</v>
      </c>
      <c r="L352" s="769" t="n">
        <v>10</v>
      </c>
      <c r="M352" s="585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/>
      </c>
      <c r="N352" s="699">
        <f>M352</f>
        <v/>
      </c>
      <c r="O352" s="686">
        <f>IF(C352="TXO","",IF(E352="新倉","",IF(F352="賣",(I352-I351)*H352,(I351-I352)*H352)))</f>
        <v/>
      </c>
      <c r="P352" s="334">
        <f>ABS(J352)</f>
        <v/>
      </c>
      <c r="Q352" s="667" t="n"/>
      <c r="S352" s="61" t="n"/>
      <c r="T352" s="61" t="n"/>
      <c r="U352" s="61" t="n"/>
      <c r="V352" s="61" t="n"/>
      <c r="W352" s="61" t="n"/>
      <c r="X352" s="61" t="n"/>
      <c r="Y352" s="61" t="n"/>
      <c r="Z352" s="61" t="n"/>
    </row>
    <row r="353" hidden="1" outlineLevel="2" collapsed="1" ht="17.25" customHeight="1" thickBot="1">
      <c r="B353" s="766" t="n">
        <v>43082</v>
      </c>
      <c r="C353" s="337" t="inlineStr">
        <is>
          <t>TXO</t>
        </is>
      </c>
      <c r="D353" s="338" t="inlineStr">
        <is>
          <t>台選W2 12 10450 P</t>
        </is>
      </c>
      <c r="E353" s="338" t="inlineStr">
        <is>
          <t>新倉</t>
        </is>
      </c>
      <c r="F353" s="338" t="inlineStr">
        <is>
          <t>買</t>
        </is>
      </c>
      <c r="G353" s="338" t="inlineStr">
        <is>
          <t>-</t>
        </is>
      </c>
      <c r="H353" s="767" t="n">
        <v>2</v>
      </c>
      <c r="I353" s="768" t="n">
        <v>11</v>
      </c>
      <c r="J353" s="767" t="n">
        <v>-1100</v>
      </c>
      <c r="K353" s="769" t="n">
        <v>36</v>
      </c>
      <c r="L353" s="769" t="n">
        <v>2</v>
      </c>
      <c r="M353" s="585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/>
      </c>
      <c r="N353" s="699">
        <f>M353</f>
        <v/>
      </c>
      <c r="O353" s="686">
        <f>IF(C353="TXO","",IF(E353="新倉","",IF(F353="賣",(I353-I352)*H353,(I352-I353)*H353)))</f>
        <v/>
      </c>
      <c r="P353" s="334">
        <f>ABS(J353)</f>
        <v/>
      </c>
      <c r="Q353" s="667" t="n"/>
      <c r="S353" s="61" t="n"/>
      <c r="T353" s="61" t="n"/>
      <c r="U353" s="61" t="n"/>
      <c r="V353" s="61" t="n"/>
      <c r="W353" s="61" t="n"/>
      <c r="X353" s="61" t="n"/>
      <c r="Y353" s="61" t="n"/>
      <c r="Z353" s="61" t="n"/>
    </row>
    <row r="354" hidden="1" outlineLevel="2" collapsed="1" ht="17.25" customHeight="1" thickBot="1">
      <c r="B354" s="766" t="n">
        <v>43082</v>
      </c>
      <c r="C354" s="337" t="inlineStr">
        <is>
          <t>TXO</t>
        </is>
      </c>
      <c r="D354" s="338" t="inlineStr">
        <is>
          <t>台選W2 12 10450 P</t>
        </is>
      </c>
      <c r="E354" s="338" t="inlineStr">
        <is>
          <t>平倉</t>
        </is>
      </c>
      <c r="F354" s="338" t="inlineStr">
        <is>
          <t>賣</t>
        </is>
      </c>
      <c r="G354" s="338" t="inlineStr">
        <is>
          <t>-</t>
        </is>
      </c>
      <c r="H354" s="767" t="n">
        <v>2</v>
      </c>
      <c r="I354" s="768" t="n">
        <v>3.9</v>
      </c>
      <c r="J354" s="767" t="n">
        <v>390</v>
      </c>
      <c r="K354" s="769" t="n">
        <v>36</v>
      </c>
      <c r="L354" s="769" t="n">
        <v>0</v>
      </c>
      <c r="M354" s="585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/>
      </c>
      <c r="N354" s="699">
        <f>M354</f>
        <v/>
      </c>
      <c r="O354" s="686">
        <f>IF(C354="TXO","",IF(E354="新倉","",IF(F354="賣",(I354-I353)*H354,(I353-I354)*H354)))</f>
        <v/>
      </c>
      <c r="P354" s="334">
        <f>ABS(J354)</f>
        <v/>
      </c>
      <c r="Q354" s="667" t="n"/>
      <c r="S354" s="61" t="n"/>
      <c r="T354" s="61" t="n"/>
      <c r="U354" s="61" t="n"/>
      <c r="V354" s="61" t="n"/>
      <c r="W354" s="61" t="n"/>
      <c r="X354" s="61" t="n"/>
      <c r="Y354" s="61" t="n"/>
      <c r="Z354" s="61" t="n"/>
    </row>
    <row r="355" hidden="1" outlineLevel="1" collapsed="1" ht="17.25" customHeight="1" thickBot="1">
      <c r="B355" s="740" t="n">
        <v>43088</v>
      </c>
      <c r="C355" s="299" t="inlineStr">
        <is>
          <t>FIMTX</t>
        </is>
      </c>
      <c r="D355" s="300" t="inlineStr">
        <is>
          <t>小指12</t>
        </is>
      </c>
      <c r="E355" s="300" t="inlineStr">
        <is>
          <t>新倉</t>
        </is>
      </c>
      <c r="F355" s="301" t="inlineStr">
        <is>
          <t>買</t>
        </is>
      </c>
      <c r="G355" s="300" t="inlineStr">
        <is>
          <t>-</t>
        </is>
      </c>
      <c r="H355" s="741" t="n">
        <v>1</v>
      </c>
      <c r="I355" s="765" t="n">
        <v>10510</v>
      </c>
      <c r="J355" s="741" t="n">
        <v>0</v>
      </c>
      <c r="K355" s="742" t="n">
        <v>23</v>
      </c>
      <c r="L355" s="742" t="n">
        <v>11</v>
      </c>
      <c r="M355" s="742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/>
      </c>
      <c r="N355" s="743">
        <f>M355</f>
        <v/>
      </c>
      <c r="O355" s="686">
        <f>IF(C355="TXO","",IF(E355="新倉","",IF(F355="賣",(I355-I354)*H355,(I354-I355)*H355)))</f>
        <v/>
      </c>
      <c r="P355" s="334">
        <f>ABS(J355)</f>
        <v/>
      </c>
      <c r="Q355" s="667">
        <f>SUM(M355:M361)</f>
        <v/>
      </c>
      <c r="S355" s="739" t="n"/>
      <c r="T355" s="61" t="n"/>
      <c r="U355" s="61" t="n"/>
      <c r="V355" s="61" t="n"/>
      <c r="W355" s="61" t="n"/>
      <c r="X355" s="61" t="n"/>
      <c r="Y355" s="61" t="n"/>
      <c r="Z355" s="61" t="n"/>
    </row>
    <row r="356" hidden="1" outlineLevel="2" collapsed="1" ht="17.25" customHeight="1" thickBot="1">
      <c r="B356" s="740" t="n">
        <v>43088</v>
      </c>
      <c r="C356" s="299" t="inlineStr">
        <is>
          <t>FIMTX</t>
        </is>
      </c>
      <c r="D356" s="300" t="inlineStr">
        <is>
          <t>小指12</t>
        </is>
      </c>
      <c r="E356" s="300" t="inlineStr">
        <is>
          <t>平倉</t>
        </is>
      </c>
      <c r="F356" s="301" t="inlineStr">
        <is>
          <t>賣</t>
        </is>
      </c>
      <c r="G356" s="300" t="inlineStr">
        <is>
          <t>-</t>
        </is>
      </c>
      <c r="H356" s="741" t="n">
        <v>1</v>
      </c>
      <c r="I356" s="765" t="n">
        <v>10503</v>
      </c>
      <c r="J356" s="741" t="n">
        <v>0</v>
      </c>
      <c r="K356" s="742" t="n">
        <v>23</v>
      </c>
      <c r="L356" s="742" t="n">
        <v>11</v>
      </c>
      <c r="M356" s="742">
        <f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/>
      </c>
      <c r="N356" s="743">
        <f>M356</f>
        <v/>
      </c>
      <c r="O356" s="686">
        <f>IF(C356="TXO","",IF(E356="新倉","",IF(F356="賣",(I356-I355)*H356,(I355-I356)*H356)))</f>
        <v/>
      </c>
      <c r="P356" s="334">
        <f>ABS(J356)</f>
        <v/>
      </c>
      <c r="Q356" s="667" t="n"/>
      <c r="S356" s="739" t="n"/>
      <c r="T356" s="61" t="n"/>
      <c r="U356" s="61" t="n"/>
      <c r="V356" s="61" t="n"/>
      <c r="W356" s="61" t="n"/>
      <c r="X356" s="61" t="n"/>
      <c r="Y356" s="61" t="n"/>
      <c r="Z356" s="61" t="n"/>
    </row>
    <row r="357" hidden="1" outlineLevel="2" collapsed="1" ht="17.25" customHeight="1" thickBot="1">
      <c r="B357" s="740" t="n">
        <v>43088</v>
      </c>
      <c r="C357" s="299" t="inlineStr">
        <is>
          <t>FIMTX</t>
        </is>
      </c>
      <c r="D357" s="300" t="inlineStr">
        <is>
          <t>小指12</t>
        </is>
      </c>
      <c r="E357" s="300" t="inlineStr">
        <is>
          <t>新倉</t>
        </is>
      </c>
      <c r="F357" s="301" t="inlineStr">
        <is>
          <t>買</t>
        </is>
      </c>
      <c r="G357" s="300" t="inlineStr">
        <is>
          <t>-</t>
        </is>
      </c>
      <c r="H357" s="741" t="n">
        <v>1</v>
      </c>
      <c r="I357" s="765" t="n">
        <v>10520</v>
      </c>
      <c r="J357" s="741" t="n">
        <v>0</v>
      </c>
      <c r="K357" s="742" t="n">
        <v>23</v>
      </c>
      <c r="L357" s="742" t="n">
        <v>11</v>
      </c>
      <c r="M357" s="742">
        <f>IF(C357="TXO",J357-SUM(K357:L357),IF(C357="FITX",IF(E357="新倉",-SUM(K357:L357),IF(F357="賣",(I357-I356)*H357*200-SUM(K357:L357),(I356-I357)*H357*200-SUM(K357:L357))),IF(E357="新倉",-SUM(K357:L357),IF(F357="賣",(I357-I356)*H357*50-SUM(K357:L357),(I356-I357)*H357*50-SUM(K357:L357)))))</f>
        <v/>
      </c>
      <c r="N357" s="743">
        <f>M357</f>
        <v/>
      </c>
      <c r="O357" s="686">
        <f>IF(C357="TXO","",IF(E357="新倉","",IF(F357="賣",(I357-I356)*H357,(I356-I357)*H357)))</f>
        <v/>
      </c>
      <c r="P357" s="334">
        <f>ABS(J357)</f>
        <v/>
      </c>
      <c r="Q357" s="667" t="n"/>
      <c r="S357" s="739" t="n"/>
      <c r="T357" s="61" t="n"/>
      <c r="U357" s="61" t="n"/>
      <c r="V357" s="61" t="n"/>
      <c r="W357" s="61" t="n"/>
      <c r="X357" s="61" t="n"/>
      <c r="Y357" s="61" t="n"/>
      <c r="Z357" s="61" t="n"/>
    </row>
    <row r="358" hidden="1" outlineLevel="2" collapsed="1" ht="17.25" customHeight="1" thickBot="1">
      <c r="B358" s="740" t="n">
        <v>43088</v>
      </c>
      <c r="C358" s="299" t="inlineStr">
        <is>
          <t>FIMTX</t>
        </is>
      </c>
      <c r="D358" s="300" t="inlineStr">
        <is>
          <t>小指12</t>
        </is>
      </c>
      <c r="E358" s="300" t="inlineStr">
        <is>
          <t>平倉</t>
        </is>
      </c>
      <c r="F358" s="301" t="inlineStr">
        <is>
          <t>賣</t>
        </is>
      </c>
      <c r="G358" s="300" t="inlineStr">
        <is>
          <t>-</t>
        </is>
      </c>
      <c r="H358" s="741" t="n">
        <v>1</v>
      </c>
      <c r="I358" s="765" t="n">
        <v>10528</v>
      </c>
      <c r="J358" s="741" t="n">
        <v>0</v>
      </c>
      <c r="K358" s="742" t="n">
        <v>23</v>
      </c>
      <c r="L358" s="742" t="n">
        <v>11</v>
      </c>
      <c r="M358" s="742">
        <f>IF(C358="TXO",J358-SUM(K358:L358),IF(C358="FITX",IF(E358="新倉",-SUM(K358:L358),IF(F358="賣",(I358-I357)*H358*200-SUM(K358:L358),(I357-I358)*H358*200-SUM(K358:L358))),IF(E358="新倉",-SUM(K358:L358),IF(F358="賣",(I358-I357)*H358*50-SUM(K358:L358),(I357-I358)*H358*50-SUM(K358:L358)))))</f>
        <v/>
      </c>
      <c r="N358" s="743">
        <f>M358</f>
        <v/>
      </c>
      <c r="O358" s="686">
        <f>IF(C358="TXO","",IF(E358="新倉","",IF(F358="賣",(I358-I357)*H358,(I357-I358)*H358)))</f>
        <v/>
      </c>
      <c r="P358" s="334">
        <f>ABS(J358)</f>
        <v/>
      </c>
      <c r="Q358" s="667" t="n"/>
      <c r="S358" s="739" t="n"/>
      <c r="T358" s="61" t="n"/>
      <c r="U358" s="61" t="n"/>
      <c r="V358" s="61" t="n"/>
      <c r="W358" s="61" t="n"/>
      <c r="X358" s="61" t="n"/>
      <c r="Y358" s="61" t="n"/>
      <c r="Z358" s="61" t="n"/>
    </row>
    <row r="359" hidden="1" outlineLevel="2" collapsed="1" ht="17.25" customHeight="1" thickBot="1">
      <c r="B359" s="740" t="n">
        <v>43088</v>
      </c>
      <c r="C359" s="299" t="inlineStr">
        <is>
          <t>TXO</t>
        </is>
      </c>
      <c r="D359" s="300" t="inlineStr">
        <is>
          <t>台指選 12 10600 C</t>
        </is>
      </c>
      <c r="E359" s="300" t="inlineStr">
        <is>
          <t>新倉</t>
        </is>
      </c>
      <c r="F359" s="301" t="inlineStr">
        <is>
          <t>買</t>
        </is>
      </c>
      <c r="G359" s="300" t="inlineStr">
        <is>
          <t>-</t>
        </is>
      </c>
      <c r="H359" s="741" t="n">
        <v>2</v>
      </c>
      <c r="I359" s="765" t="n">
        <v>7</v>
      </c>
      <c r="J359" s="741" t="n">
        <v>-700</v>
      </c>
      <c r="K359" s="742" t="n">
        <v>36</v>
      </c>
      <c r="L359" s="742" t="n">
        <v>0</v>
      </c>
      <c r="M359" s="742">
        <f>IF(C359="TXO",J359-SUM(K359:L359),IF(C359="FITX",IF(E359="新倉",-SUM(K359:L359),IF(F359="賣",(I359-I358)*H359*200-SUM(K359:L359),(I358-I359)*H359*200-SUM(K359:L359))),IF(E359="新倉",-SUM(K359:L359),IF(F359="賣",(I359-I358)*H359*50-SUM(K359:L359),(I358-I359)*H359*50-SUM(K359:L359)))))</f>
        <v/>
      </c>
      <c r="N359" s="743">
        <f>M359</f>
        <v/>
      </c>
      <c r="O359" s="686">
        <f>IF(C359="TXO","",IF(E359="新倉","",IF(F359="賣",(I359-I358)*H359,(I358-I359)*H359)))</f>
        <v/>
      </c>
      <c r="P359" s="334">
        <f>ABS(J359)</f>
        <v/>
      </c>
      <c r="Q359" s="667" t="n"/>
      <c r="S359" s="739" t="n"/>
      <c r="T359" s="61" t="n"/>
      <c r="U359" s="61" t="n"/>
      <c r="V359" s="61" t="n"/>
      <c r="W359" s="61" t="n"/>
      <c r="X359" s="61" t="n"/>
      <c r="Y359" s="61" t="n"/>
      <c r="Z359" s="61" t="n"/>
    </row>
    <row r="360" hidden="1" outlineLevel="2" collapsed="1" ht="17.25" customHeight="1" thickBot="1">
      <c r="B360" s="740" t="n">
        <v>43088</v>
      </c>
      <c r="C360" s="299" t="inlineStr">
        <is>
          <t>TXO</t>
        </is>
      </c>
      <c r="D360" s="300" t="inlineStr">
        <is>
          <t>台指選 12 10600 C</t>
        </is>
      </c>
      <c r="E360" s="300" t="inlineStr">
        <is>
          <t>新倉</t>
        </is>
      </c>
      <c r="F360" s="301" t="inlineStr">
        <is>
          <t>買</t>
        </is>
      </c>
      <c r="G360" s="300" t="inlineStr">
        <is>
          <t>-</t>
        </is>
      </c>
      <c r="H360" s="741" t="n">
        <v>1</v>
      </c>
      <c r="I360" s="765" t="n">
        <v>5.9</v>
      </c>
      <c r="J360" s="741" t="n">
        <v>-295</v>
      </c>
      <c r="K360" s="742" t="n">
        <v>18</v>
      </c>
      <c r="L360" s="742" t="n">
        <v>0</v>
      </c>
      <c r="M360" s="742">
        <f>IF(C360="TXO",J360-SUM(K360:L360),IF(C360="FITX",IF(E360="新倉",-SUM(K360:L360),IF(F360="賣",(I360-I359)*H360*200-SUM(K360:L360),(I359-I360)*H360*200-SUM(K360:L360))),IF(E360="新倉",-SUM(K360:L360),IF(F360="賣",(I360-I359)*H360*50-SUM(K360:L360),(I359-I360)*H360*50-SUM(K360:L360)))))</f>
        <v/>
      </c>
      <c r="N360" s="743">
        <f>M360</f>
        <v/>
      </c>
      <c r="O360" s="686">
        <f>IF(C360="TXO","",IF(E360="新倉","",IF(F360="賣",(I360-I359)*H360,(I359-I360)*H360)))</f>
        <v/>
      </c>
      <c r="P360" s="334">
        <f>ABS(J360)</f>
        <v/>
      </c>
      <c r="Q360" s="667" t="n"/>
      <c r="S360" s="739" t="n"/>
      <c r="T360" s="61" t="n"/>
      <c r="U360" s="61" t="n"/>
      <c r="V360" s="61" t="n"/>
      <c r="W360" s="61" t="n"/>
      <c r="X360" s="61" t="n"/>
      <c r="Y360" s="61" t="n"/>
      <c r="Z360" s="61" t="n"/>
    </row>
    <row r="361" hidden="1" outlineLevel="2" collapsed="1" ht="17.25" customHeight="1" thickBot="1">
      <c r="B361" s="740" t="n">
        <v>43088</v>
      </c>
      <c r="C361" s="299" t="inlineStr">
        <is>
          <t>TXO</t>
        </is>
      </c>
      <c r="D361" s="300" t="inlineStr">
        <is>
          <t>台指選 12 10600 C</t>
        </is>
      </c>
      <c r="E361" s="300" t="inlineStr">
        <is>
          <t>新倉</t>
        </is>
      </c>
      <c r="F361" s="301" t="inlineStr">
        <is>
          <t>買</t>
        </is>
      </c>
      <c r="G361" s="300" t="inlineStr">
        <is>
          <t>-</t>
        </is>
      </c>
      <c r="H361" s="741" t="n">
        <v>2</v>
      </c>
      <c r="I361" s="765" t="n">
        <v>4</v>
      </c>
      <c r="J361" s="741" t="n">
        <v>-400</v>
      </c>
      <c r="K361" s="742" t="n">
        <v>36</v>
      </c>
      <c r="L361" s="742" t="n">
        <v>0</v>
      </c>
      <c r="M361" s="742">
        <f>IF(C361="TXO",J361-SUM(K361:L361),IF(C361="FITX",IF(E361="新倉",-SUM(K361:L361),IF(F361="賣",(I361-I360)*H361*200-SUM(K361:L361),(I360-I361)*H361*200-SUM(K361:L361))),IF(E361="新倉",-SUM(K361:L361),IF(F361="賣",(I361-I360)*H361*50-SUM(K361:L361),(I360-I361)*H361*50-SUM(K361:L361)))))</f>
        <v/>
      </c>
      <c r="N361" s="743">
        <f>M361</f>
        <v/>
      </c>
      <c r="O361" s="686">
        <f>IF(C361="TXO","",IF(E361="新倉","",IF(F361="賣",(I361-I360)*H361,(I360-I361)*H361)))</f>
        <v/>
      </c>
      <c r="P361" s="334">
        <f>ABS(J361)</f>
        <v/>
      </c>
      <c r="Q361" s="667" t="n"/>
      <c r="S361" s="739" t="n"/>
      <c r="T361" s="61" t="n"/>
      <c r="U361" s="61" t="n"/>
      <c r="V361" s="61" t="n"/>
      <c r="W361" s="61" t="n"/>
      <c r="X361" s="61" t="n"/>
      <c r="Y361" s="61" t="n"/>
      <c r="Z361" s="61" t="n"/>
    </row>
    <row r="362" hidden="1" outlineLevel="1" ht="17.25" customHeight="1" thickBot="1">
      <c r="B362" s="766" t="n">
        <v>43096</v>
      </c>
      <c r="C362" s="337" t="inlineStr">
        <is>
          <t>TXO</t>
        </is>
      </c>
      <c r="D362" s="338" t="inlineStr">
        <is>
          <t>台指選 01 10400 P</t>
        </is>
      </c>
      <c r="E362" s="338" t="inlineStr">
        <is>
          <t>新倉</t>
        </is>
      </c>
      <c r="F362" s="338" t="inlineStr">
        <is>
          <t>買</t>
        </is>
      </c>
      <c r="G362" s="338" t="inlineStr">
        <is>
          <t>-</t>
        </is>
      </c>
      <c r="H362" s="767" t="n">
        <v>1</v>
      </c>
      <c r="I362" s="768" t="n">
        <v>75</v>
      </c>
      <c r="J362" s="767" t="n">
        <v>-3750</v>
      </c>
      <c r="K362" s="769" t="n">
        <v>18</v>
      </c>
      <c r="L362" s="769" t="n">
        <v>4</v>
      </c>
      <c r="M362" s="585">
        <f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/>
      </c>
      <c r="N362" s="699">
        <f>M362</f>
        <v/>
      </c>
      <c r="O362" s="686">
        <f>IF(C362="TXO","",IF(E362="新倉","",IF(F362="賣",(I362-I361)*H362,(I361-I362)*H362)))</f>
        <v/>
      </c>
      <c r="P362" s="334">
        <f>ABS(J362)</f>
        <v/>
      </c>
      <c r="Q362" s="667">
        <f>SUM(M362:M367)</f>
        <v/>
      </c>
      <c r="S362" s="61" t="n"/>
      <c r="T362" s="61" t="n"/>
      <c r="U362" s="61" t="n"/>
      <c r="V362" s="61" t="n"/>
      <c r="W362" s="61" t="n"/>
      <c r="X362" s="61" t="n"/>
      <c r="Y362" s="61" t="n"/>
      <c r="Z362" s="61" t="n"/>
    </row>
    <row r="363" hidden="1" outlineLevel="2" collapsed="1" ht="17.25" customHeight="1" thickBot="1">
      <c r="B363" s="766" t="n">
        <v>43096</v>
      </c>
      <c r="C363" s="337" t="inlineStr">
        <is>
          <t>TXO</t>
        </is>
      </c>
      <c r="D363" s="338" t="inlineStr">
        <is>
          <t>台選W4 12 10450 P</t>
        </is>
      </c>
      <c r="E363" s="338" t="inlineStr">
        <is>
          <t>新倉</t>
        </is>
      </c>
      <c r="F363" s="338" t="inlineStr">
        <is>
          <t>買</t>
        </is>
      </c>
      <c r="G363" s="338" t="inlineStr">
        <is>
          <t>-</t>
        </is>
      </c>
      <c r="H363" s="767" t="n">
        <v>10</v>
      </c>
      <c r="I363" s="768" t="n">
        <v>9</v>
      </c>
      <c r="J363" s="767" t="n">
        <v>-4500</v>
      </c>
      <c r="K363" s="769" t="n">
        <v>180</v>
      </c>
      <c r="L363" s="769" t="n">
        <v>0</v>
      </c>
      <c r="M363" s="585">
        <f>IF(C363="TXO",J363-SUM(K363:L363),IF(C363="FITX",IF(E363="新倉",-SUM(K363:L363),IF(F363="賣",(I363-I362)*H363*200-SUM(K363:L363),(I362-I363)*H363*200-SUM(K363:L363))),IF(E363="新倉",-SUM(K363:L363),IF(F363="賣",(I363-I362)*H363*50-SUM(K363:L363),(I362-I363)*H363*50-SUM(K363:L363)))))</f>
        <v/>
      </c>
      <c r="N363" s="699">
        <f>M363</f>
        <v/>
      </c>
      <c r="P363" s="334" t="n"/>
      <c r="Q363" s="667" t="n"/>
      <c r="S363" s="61" t="n"/>
      <c r="T363" s="61" t="n"/>
      <c r="U363" s="61" t="n"/>
      <c r="V363" s="61" t="n"/>
      <c r="W363" s="61" t="n"/>
      <c r="X363" s="61" t="n"/>
      <c r="Y363" s="61" t="n"/>
      <c r="Z363" s="61" t="n"/>
    </row>
    <row r="364" hidden="1" outlineLevel="2" collapsed="1" ht="17.25" customHeight="1" thickBot="1">
      <c r="B364" s="766" t="n">
        <v>43096</v>
      </c>
      <c r="C364" s="337" t="inlineStr">
        <is>
          <t>TXO</t>
        </is>
      </c>
      <c r="D364" s="338" t="inlineStr">
        <is>
          <t>台選W4 12 10400 P</t>
        </is>
      </c>
      <c r="E364" s="338" t="inlineStr">
        <is>
          <t>新倉</t>
        </is>
      </c>
      <c r="F364" s="338" t="inlineStr">
        <is>
          <t>買</t>
        </is>
      </c>
      <c r="G364" s="338" t="inlineStr">
        <is>
          <t>-</t>
        </is>
      </c>
      <c r="H364" s="767" t="n">
        <v>1</v>
      </c>
      <c r="I364" s="768" t="n">
        <v>1.5</v>
      </c>
      <c r="J364" s="767" t="n">
        <v>-75</v>
      </c>
      <c r="K364" s="769" t="n">
        <v>18</v>
      </c>
      <c r="L364" s="769" t="n">
        <v>0</v>
      </c>
      <c r="M364" s="585">
        <f>IF(C364="TXO",J364-SUM(K364:L364),IF(C364="FITX",IF(E364="新倉",-SUM(K364:L364),IF(F364="賣",(I364-I363)*H364*200-SUM(K364:L364),(I363-I364)*H364*200-SUM(K364:L364))),IF(E364="新倉",-SUM(K364:L364),IF(F364="賣",(I364-I363)*H364*50-SUM(K364:L364),(I363-I364)*H364*50-SUM(K364:L364)))))</f>
        <v/>
      </c>
      <c r="N364" s="699">
        <f>M364</f>
        <v/>
      </c>
      <c r="P364" s="334" t="n"/>
      <c r="Q364" s="667" t="n"/>
      <c r="S364" s="61" t="n"/>
      <c r="T364" s="61" t="n"/>
      <c r="U364" s="61" t="n"/>
      <c r="V364" s="61" t="n"/>
      <c r="W364" s="61" t="n"/>
      <c r="X364" s="61" t="n"/>
      <c r="Y364" s="61" t="n"/>
      <c r="Z364" s="61" t="n"/>
    </row>
    <row r="365" hidden="1" outlineLevel="2" collapsed="1" ht="17.25" customHeight="1" thickBot="1">
      <c r="B365" s="766" t="n">
        <v>43096</v>
      </c>
      <c r="C365" s="337" t="inlineStr">
        <is>
          <t>TXO</t>
        </is>
      </c>
      <c r="D365" s="338" t="inlineStr">
        <is>
          <t>台選W4 12 10400 P</t>
        </is>
      </c>
      <c r="E365" s="338" t="inlineStr">
        <is>
          <t>新倉</t>
        </is>
      </c>
      <c r="F365" s="338" t="inlineStr">
        <is>
          <t>買</t>
        </is>
      </c>
      <c r="G365" s="338" t="inlineStr">
        <is>
          <t>-</t>
        </is>
      </c>
      <c r="H365" s="767" t="n">
        <v>19</v>
      </c>
      <c r="I365" s="768" t="n">
        <v>1.5</v>
      </c>
      <c r="J365" s="767" t="n">
        <v>-1425</v>
      </c>
      <c r="K365" s="769" t="n">
        <v>342</v>
      </c>
      <c r="L365" s="769" t="n">
        <v>0</v>
      </c>
      <c r="M365" s="585">
        <f>IF(C365="TXO",J365-SUM(K365:L365),IF(C365="FITX",IF(E365="新倉",-SUM(K365:L365),IF(F365="賣",(I365-I364)*H365*200-SUM(K365:L365),(I364-I365)*H365*200-SUM(K365:L365))),IF(E365="新倉",-SUM(K365:L365),IF(F365="賣",(I365-I364)*H365*50-SUM(K365:L365),(I364-I365)*H365*50-SUM(K365:L365)))))</f>
        <v/>
      </c>
      <c r="N365" s="699">
        <f>M365</f>
        <v/>
      </c>
      <c r="P365" s="334" t="n"/>
      <c r="Q365" s="667" t="n"/>
      <c r="S365" s="61" t="n"/>
      <c r="T365" s="61" t="n"/>
      <c r="U365" s="61" t="n"/>
      <c r="V365" s="61" t="n"/>
      <c r="W365" s="61" t="n"/>
      <c r="X365" s="61" t="n"/>
      <c r="Y365" s="61" t="n"/>
      <c r="Z365" s="61" t="n"/>
    </row>
    <row r="366" hidden="1" outlineLevel="2" collapsed="1" ht="17.25" customHeight="1" thickBot="1">
      <c r="B366" s="766" t="n">
        <v>43096</v>
      </c>
      <c r="C366" s="337" t="inlineStr">
        <is>
          <t>TXO</t>
        </is>
      </c>
      <c r="D366" s="338" t="inlineStr">
        <is>
          <t>台選W4 12 10450 P</t>
        </is>
      </c>
      <c r="E366" s="338" t="inlineStr">
        <is>
          <t>新倉</t>
        </is>
      </c>
      <c r="F366" s="338" t="inlineStr">
        <is>
          <t>買</t>
        </is>
      </c>
      <c r="G366" s="338" t="inlineStr">
        <is>
          <t>-</t>
        </is>
      </c>
      <c r="H366" s="767" t="n">
        <v>2</v>
      </c>
      <c r="I366" s="768" t="n">
        <v>8</v>
      </c>
      <c r="J366" s="767" t="n">
        <v>-800</v>
      </c>
      <c r="K366" s="769" t="n">
        <v>36</v>
      </c>
      <c r="L366" s="769" t="n">
        <v>0</v>
      </c>
      <c r="M366" s="585">
        <f>IF(C366="TXO",J366-SUM(K366:L366),IF(C366="FITX",IF(E366="新倉",-SUM(K366:L366),IF(F366="賣",(I366-I365)*H366*200-SUM(K366:L366),(I365-I366)*H366*200-SUM(K366:L366))),IF(E366="新倉",-SUM(K366:L366),IF(F366="賣",(I366-I365)*H366*50-SUM(K366:L366),(I365-I366)*H366*50-SUM(K366:L366)))))</f>
        <v/>
      </c>
      <c r="N366" s="699">
        <f>M366</f>
        <v/>
      </c>
      <c r="P366" s="334" t="n"/>
      <c r="Q366" s="667" t="n"/>
      <c r="S366" s="61" t="n"/>
      <c r="T366" s="61" t="n"/>
      <c r="U366" s="61" t="n"/>
      <c r="V366" s="61" t="n"/>
      <c r="W366" s="61" t="n"/>
      <c r="X366" s="61" t="n"/>
      <c r="Y366" s="61" t="n"/>
      <c r="Z366" s="61" t="n"/>
    </row>
    <row r="367" hidden="1" outlineLevel="2" collapsed="1" ht="17.25" customHeight="1" thickBot="1">
      <c r="B367" s="766" t="n">
        <v>43096</v>
      </c>
      <c r="C367" s="337" t="inlineStr">
        <is>
          <t>TXO</t>
        </is>
      </c>
      <c r="D367" s="338" t="inlineStr">
        <is>
          <t>台選W4 12 10450 P</t>
        </is>
      </c>
      <c r="E367" s="338" t="inlineStr">
        <is>
          <t>新倉</t>
        </is>
      </c>
      <c r="F367" s="338" t="inlineStr">
        <is>
          <t>買</t>
        </is>
      </c>
      <c r="G367" s="338" t="inlineStr">
        <is>
          <t>-</t>
        </is>
      </c>
      <c r="H367" s="767" t="n">
        <v>5</v>
      </c>
      <c r="I367" s="768" t="n">
        <v>5</v>
      </c>
      <c r="J367" s="767" t="n">
        <v>-1250</v>
      </c>
      <c r="K367" s="769" t="n">
        <v>90</v>
      </c>
      <c r="L367" s="769" t="n">
        <v>0</v>
      </c>
      <c r="M367" s="585">
        <f>IF(C367="TXO",J367-SUM(K367:L367),IF(C367="FITX",IF(E367="新倉",-SUM(K367:L367),IF(F367="賣",(I367-I366)*H367*200-SUM(K367:L367),(I366-I367)*H367*200-SUM(K367:L367))),IF(E367="新倉",-SUM(K367:L367),IF(F367="賣",(I367-I366)*H367*50-SUM(K367:L367),(I366-I367)*H367*50-SUM(K367:L367)))))</f>
        <v/>
      </c>
      <c r="N367" s="699">
        <f>M367</f>
        <v/>
      </c>
      <c r="P367" s="334" t="n"/>
      <c r="Q367" s="667" t="n"/>
      <c r="S367" s="61" t="n"/>
      <c r="T367" s="61" t="n"/>
      <c r="U367" s="61" t="n"/>
      <c r="V367" s="61" t="n"/>
      <c r="W367" s="61" t="n"/>
      <c r="X367" s="61" t="n"/>
      <c r="Y367" s="61" t="n"/>
      <c r="Z367" s="61" t="n"/>
    </row>
    <row r="368" ht="17.25" customHeight="1" thickBot="1">
      <c r="B368" s="718" t="n">
        <v>43075</v>
      </c>
      <c r="C368" s="292" t="n"/>
      <c r="D368" s="292" t="inlineStr">
        <is>
          <t>富邦個人信貸</t>
        </is>
      </c>
      <c r="E368" s="292" t="n"/>
      <c r="F368" s="292" t="n"/>
      <c r="G368" s="292" t="n"/>
      <c r="H368" s="719" t="n"/>
      <c r="I368" s="719" t="n"/>
      <c r="J368" s="719" t="n"/>
      <c r="K368" s="720" t="n"/>
      <c r="L368" s="719" t="n"/>
      <c r="M368" s="720" t="n"/>
      <c r="N368" s="721" t="n">
        <v>-1230</v>
      </c>
      <c r="O368" s="760" t="n"/>
      <c r="Q368" s="761" t="n"/>
      <c r="R368" s="230" t="inlineStr">
        <is>
          <t>利息</t>
        </is>
      </c>
      <c r="S368" s="739" t="n"/>
    </row>
    <row r="369" ht="17.25" customHeight="1" thickBot="1">
      <c r="B369" s="718" t="n">
        <v>43088</v>
      </c>
      <c r="C369" s="292" t="n"/>
      <c r="D369" s="292" t="inlineStr">
        <is>
          <t>阿水制霸班</t>
        </is>
      </c>
      <c r="E369" s="292" t="n"/>
      <c r="F369" s="292" t="n"/>
      <c r="G369" s="292" t="n"/>
      <c r="H369" s="719" t="n"/>
      <c r="I369" s="719" t="n"/>
      <c r="J369" s="719" t="n"/>
      <c r="K369" s="720" t="n"/>
      <c r="L369" s="719" t="n"/>
      <c r="M369" s="720" t="n"/>
      <c r="N369" s="721" t="n">
        <v>-4498</v>
      </c>
      <c r="O369" s="760" t="n"/>
      <c r="Q369" s="761" t="n"/>
      <c r="R369" s="230" t="inlineStr">
        <is>
          <t>53888分12期, 首期4498, 12-01</t>
        </is>
      </c>
      <c r="S369" s="739" t="n"/>
    </row>
    <row r="370" ht="17.25" customHeight="1" thickBot="1">
      <c r="B370" s="718" t="n">
        <v>43091</v>
      </c>
      <c r="C370" s="292" t="n"/>
      <c r="D370" s="292" t="inlineStr">
        <is>
          <t>阿水財經三班</t>
        </is>
      </c>
      <c r="E370" s="292" t="n"/>
      <c r="F370" s="292" t="n"/>
      <c r="G370" s="292" t="n"/>
      <c r="H370" s="719" t="n"/>
      <c r="I370" s="719" t="n"/>
      <c r="J370" s="719" t="n"/>
      <c r="K370" s="720" t="n"/>
      <c r="L370" s="719" t="n"/>
      <c r="M370" s="720" t="n"/>
      <c r="N370" s="721" t="n">
        <v>-8240</v>
      </c>
      <c r="O370" s="760" t="n"/>
      <c r="Q370" s="761" t="n"/>
      <c r="R370" s="230" t="inlineStr">
        <is>
          <t>98888分12期, 每期8240</t>
        </is>
      </c>
      <c r="S370" s="739" t="n"/>
    </row>
    <row r="371" collapsed="1" ht="17.25" customHeight="1" thickBot="1">
      <c r="B371" s="273" t="inlineStr">
        <is>
          <t>12月總計</t>
        </is>
      </c>
      <c r="C371" s="274" t="n"/>
      <c r="D371" s="274" t="n"/>
      <c r="E371" s="274" t="n"/>
      <c r="F371" s="274" t="n"/>
      <c r="G371" s="274" t="n"/>
      <c r="H371" s="715" t="n"/>
      <c r="I371" s="715" t="n"/>
      <c r="J371" s="715" t="n"/>
      <c r="K371" s="716" t="n"/>
      <c r="L371" s="715" t="n"/>
      <c r="M371" s="750">
        <f>SUM(M295:M370)</f>
        <v/>
      </c>
      <c r="N371" s="751">
        <f>SUM(N295:N370)</f>
        <v/>
      </c>
      <c r="O371" s="762" t="n"/>
      <c r="P371" s="331" t="n"/>
      <c r="Q371" s="763" t="n"/>
      <c r="S371" s="739" t="n"/>
    </row>
    <row r="372" ht="17.25" customHeight="1" thickBot="1">
      <c r="B372" s="241" t="n"/>
      <c r="C372" s="241" t="n"/>
      <c r="F372" s="226" t="n"/>
      <c r="K372" s="30" t="n"/>
      <c r="L372" s="31" t="n"/>
      <c r="M372" s="667" t="n"/>
      <c r="N372" s="667" t="n"/>
      <c r="Q372" s="667" t="n"/>
      <c r="S372" s="739" t="n"/>
      <c r="T372" s="61" t="n"/>
      <c r="U372" s="61" t="n"/>
      <c r="V372" s="61" t="n"/>
      <c r="W372" s="61" t="n"/>
      <c r="X372" s="61" t="n"/>
      <c r="Y372" s="61" t="n"/>
      <c r="Z372" s="61" t="n"/>
    </row>
    <row r="373" collapsed="1" ht="17.25" customFormat="1" customHeight="1" s="244" thickBot="1">
      <c r="B373" s="262" t="inlineStr">
        <is>
          <t>2017總計</t>
        </is>
      </c>
      <c r="C373" s="263" t="n"/>
      <c r="D373" s="263" t="n"/>
      <c r="E373" s="263" t="n"/>
      <c r="F373" s="263" t="n"/>
      <c r="G373" s="263" t="n"/>
      <c r="H373" s="702" t="n"/>
      <c r="I373" s="702" t="n"/>
      <c r="J373" s="702" t="n"/>
      <c r="K373" s="703" t="n"/>
      <c r="L373" s="702" t="n"/>
      <c r="M373" s="704">
        <f>SUM(M3,M16,M61,M126,M135,M138,M173,M206,M294,M371)</f>
        <v/>
      </c>
      <c r="N373" s="773">
        <f>SUM(N3,N16,N61,N126,N135,N138,N173,N206,N294,N371)</f>
        <v/>
      </c>
      <c r="O373" s="774" t="n"/>
      <c r="Q373" s="775" t="n"/>
      <c r="R373" s="242" t="n"/>
      <c r="S373" s="745" t="n"/>
    </row>
    <row r="374" ht="17.25" customHeight="1" thickBot="1">
      <c r="B374" s="241" t="n"/>
      <c r="C374" s="241" t="n"/>
      <c r="F374" s="226" t="n"/>
      <c r="K374" s="30" t="n"/>
      <c r="L374" s="31" t="n"/>
      <c r="M374" s="667" t="n"/>
      <c r="N374" s="667" t="n"/>
      <c r="Q374" s="667" t="n"/>
      <c r="S374" s="739" t="n"/>
      <c r="T374" s="61" t="n"/>
      <c r="U374" s="61" t="n"/>
      <c r="V374" s="61" t="n"/>
      <c r="W374" s="61" t="n"/>
      <c r="X374" s="61" t="n"/>
      <c r="Y374" s="61" t="n"/>
      <c r="Z374" s="61" t="n"/>
    </row>
    <row r="375" ht="17.25" customHeight="1" thickBot="1">
      <c r="F375" s="704" t="inlineStr">
        <is>
          <t>權利金</t>
        </is>
      </c>
      <c r="G375" s="723" t="inlineStr">
        <is>
          <t>手續費</t>
        </is>
      </c>
      <c r="H375" s="723" t="inlineStr">
        <is>
          <t>交易稅</t>
        </is>
      </c>
      <c r="I375" s="723" t="inlineStr">
        <is>
          <t>已實現損益</t>
        </is>
      </c>
      <c r="J375" s="724" t="inlineStr">
        <is>
          <t>報酬率</t>
        </is>
      </c>
      <c r="K375" s="724" t="inlineStr">
        <is>
          <t>總報酬率</t>
        </is>
      </c>
      <c r="O375" s="226" t="n"/>
      <c r="P375" s="686" t="n"/>
      <c r="Q375" s="226" t="n"/>
      <c r="R375" s="686" t="n"/>
      <c r="S375" s="230" t="n"/>
    </row>
    <row r="376" ht="17.25" customHeight="1" thickBot="1">
      <c r="B376" s="141" t="inlineStr">
        <is>
          <t>選擇權總計</t>
        </is>
      </c>
      <c r="C376" s="579" t="n"/>
      <c r="D376" s="143" t="n"/>
      <c r="E376" s="144" t="n"/>
      <c r="F376" s="705">
        <f>SUMIF($C5:$C373,"TXO",J5:J373)</f>
        <v/>
      </c>
      <c r="G376" s="705">
        <f>SUMIF($C5:$C373,"TXO",K5:K373)</f>
        <v/>
      </c>
      <c r="H376" s="705">
        <f>SUMIF($C5:$C373,"TXO",L5:L373)</f>
        <v/>
      </c>
      <c r="I376" s="705">
        <f>SUMIF($C5:$C373,"TXO",M5:M373)</f>
        <v/>
      </c>
      <c r="J376" s="348">
        <f>IF(I376=0,0,I376/D382)</f>
        <v/>
      </c>
      <c r="K376" s="348" t="n"/>
      <c r="L376" s="570" t="inlineStr">
        <is>
          <t>年化報酬率</t>
        </is>
      </c>
      <c r="M376" s="727">
        <f>IF(J376&lt;0,-((1+ABS(J376))^(1/((TODAY()-B5)/365.25))-1),(1+ABS(J376))^(1/((TODAY()-B5)/365.25))-1)</f>
        <v/>
      </c>
      <c r="N376" s="727" t="n"/>
      <c r="O376" s="226" t="n"/>
      <c r="P376" s="686" t="n"/>
      <c r="Q376" s="226" t="n"/>
      <c r="R376" s="686" t="n"/>
      <c r="S376" s="230" t="n"/>
      <c r="T376" s="61" t="n"/>
      <c r="U376" s="61" t="n"/>
      <c r="V376" s="61" t="n"/>
      <c r="W376" s="61" t="n"/>
      <c r="X376" s="61" t="n"/>
      <c r="Y376" s="61" t="n"/>
      <c r="Z376" s="61" t="n"/>
      <c r="AA376" s="61" t="n"/>
    </row>
    <row r="377" ht="17.25" customHeight="1" thickBot="1">
      <c r="B377" s="141" t="inlineStr">
        <is>
          <t>期貨總計</t>
        </is>
      </c>
      <c r="C377" s="579" t="n"/>
      <c r="D377" s="143" t="n"/>
      <c r="E377" s="144" t="n"/>
      <c r="F377" s="705">
        <f>SUMIF($C5:$C373,"FITX",J5:J373)</f>
        <v/>
      </c>
      <c r="G377" s="705">
        <f>SUMIF($C5:$C373,"FITX",K5:K373)</f>
        <v/>
      </c>
      <c r="H377" s="705">
        <f>SUMIF($C5:$C373,"FITX",L5:L373)</f>
        <v/>
      </c>
      <c r="I377" s="705">
        <f>SUMIF($C2:$C373,"FITX",M2:M373)+SUMIF($C2:$C373,"FIMTX",M2:M373)</f>
        <v/>
      </c>
      <c r="J377" s="726">
        <f>IF(I377=0,0,I377/$D$381)</f>
        <v/>
      </c>
      <c r="K377" s="726" t="n"/>
      <c r="L377" s="604" t="n"/>
      <c r="M377" s="727">
        <f>IF(J377&lt;0,-((1+ABS(J377))^(1/((TODAY()-B6)/365.25))-1),(1+ABS(J377))^(1/((TODAY()-B6)/365.25))-1)</f>
        <v/>
      </c>
      <c r="N377" s="727" t="n"/>
      <c r="O377" s="226" t="n"/>
      <c r="P377" s="686" t="n"/>
      <c r="Q377" s="226" t="n"/>
      <c r="R377" s="686" t="n"/>
      <c r="S377" s="230" t="n"/>
      <c r="T377" s="61" t="n"/>
      <c r="U377" s="61" t="n"/>
      <c r="V377" s="61" t="n"/>
      <c r="W377" s="61" t="n"/>
      <c r="X377" s="61" t="n"/>
      <c r="Y377" s="61" t="n"/>
      <c r="Z377" s="61" t="n"/>
      <c r="AA377" s="61" t="n"/>
    </row>
    <row r="378" ht="17.25" customHeight="1" thickBot="1">
      <c r="B378" s="141" t="inlineStr">
        <is>
          <t>2017總計</t>
        </is>
      </c>
      <c r="C378" s="579" t="n"/>
      <c r="D378" s="143" t="n"/>
      <c r="E378" s="144" t="n"/>
      <c r="F378" s="705">
        <f>SUM(F376:F377)</f>
        <v/>
      </c>
      <c r="G378" s="705">
        <f>SUM(G376:G377)</f>
        <v/>
      </c>
      <c r="H378" s="705">
        <f>SUM(H376:H377)</f>
        <v/>
      </c>
      <c r="I378" s="705">
        <f>M373</f>
        <v/>
      </c>
      <c r="J378" s="726">
        <f>IF(I378=0,0,I378/$D$381)</f>
        <v/>
      </c>
      <c r="K378" s="726">
        <f>IF(N373=0,0,N373/$D$381)</f>
        <v/>
      </c>
      <c r="L378" s="604" t="n"/>
      <c r="M378" s="727">
        <f>IF(J378&lt;0,-((1+ABS(J378))^(1/((TODAY()-B7)/365.25))-1),(1+ABS(J378))^(1/((TODAY()-B7)/365.25))-1)</f>
        <v/>
      </c>
      <c r="N378" s="727">
        <f>IF(K378&lt;0,-((1+ABS(K378))^(1/((TODAY()-B7)/365.25))-1),(1+ABS(K378))^(1/((TODAY()-B7)/365.25))-1)</f>
        <v/>
      </c>
      <c r="O378" s="226" t="n"/>
      <c r="P378" s="686" t="n"/>
      <c r="Q378" s="226" t="n"/>
      <c r="R378" s="686" t="n"/>
      <c r="S378" s="230" t="n"/>
    </row>
    <row r="379" ht="17.25" customHeight="1" thickBot="1">
      <c r="B379" s="141" t="inlineStr">
        <is>
          <t>2016總計</t>
        </is>
      </c>
      <c r="C379" s="579" t="n"/>
      <c r="D379" s="143" t="n"/>
      <c r="E379" s="144" t="n"/>
      <c r="F379" s="705">
        <f>'16期'!F692</f>
        <v/>
      </c>
      <c r="G379" s="705">
        <f>'16期'!G692</f>
        <v/>
      </c>
      <c r="H379" s="705">
        <f>'16期'!H692</f>
        <v/>
      </c>
      <c r="I379" s="705">
        <f>'16期'!I692</f>
        <v/>
      </c>
      <c r="J379" s="726">
        <f>IF(I379=0,0,I379/$D$381)</f>
        <v/>
      </c>
      <c r="K379" s="726">
        <f>J379</f>
        <v/>
      </c>
      <c r="L379" s="604" t="n"/>
      <c r="M379" s="727">
        <f>'16期'!L692</f>
        <v/>
      </c>
      <c r="N379" s="727" t="n"/>
      <c r="O379" s="226" t="n"/>
      <c r="P379" s="686" t="n"/>
      <c r="Q379" s="226" t="n"/>
      <c r="R379" s="686" t="n"/>
      <c r="S379" s="230" t="n"/>
    </row>
    <row r="380" ht="17.25" customHeight="1" thickBot="1">
      <c r="B380" s="141" t="inlineStr">
        <is>
          <t>總計</t>
        </is>
      </c>
      <c r="C380" s="579" t="n"/>
      <c r="D380" s="143" t="n"/>
      <c r="E380" s="144" t="n"/>
      <c r="F380" s="705">
        <f>SUM(F378:F379)</f>
        <v/>
      </c>
      <c r="G380" s="705">
        <f>SUM(G378:G379)</f>
        <v/>
      </c>
      <c r="H380" s="705">
        <f>SUM(H378:H379)</f>
        <v/>
      </c>
      <c r="I380" s="705">
        <f>SUM(I378:I379)</f>
        <v/>
      </c>
      <c r="J380" s="726">
        <f>IF(I380=0,0,I380/$D$381)</f>
        <v/>
      </c>
      <c r="K380" s="726">
        <f>IF(I380=0,0,(I379+N373)/$D$381)</f>
        <v/>
      </c>
      <c r="L380" s="613" t="n"/>
      <c r="M380" s="746" t="n">
        <v>-1.253829580557238</v>
      </c>
      <c r="N380" s="727">
        <f>IF(K380&lt;0,-((1+ABS(K380))^(1/((TODAY()-B9)/365.25))-1),(1+ABS(K380))^(1/((TODAY()-B9)/365.25))-1)</f>
        <v/>
      </c>
      <c r="O380" s="226" t="n"/>
      <c r="P380" s="686" t="n"/>
      <c r="Q380" s="226" t="n"/>
      <c r="R380" s="686" t="n"/>
      <c r="S380" s="230" t="n"/>
    </row>
    <row r="381" ht="17.25" customHeight="1" thickBot="1">
      <c r="B381" s="149" t="inlineStr">
        <is>
          <t>帳戶餘額</t>
        </is>
      </c>
      <c r="C381" s="141" t="n"/>
      <c r="D381" s="747" t="n">
        <v>46478</v>
      </c>
      <c r="E381" s="701" t="n"/>
    </row>
    <row r="382" ht="17.25" customHeight="1" thickBot="1">
      <c r="B382" s="149" t="inlineStr">
        <is>
          <t>平均餘額</t>
        </is>
      </c>
      <c r="C382" s="141" t="n"/>
      <c r="D382" s="748" t="n">
        <v>121098.7052362707</v>
      </c>
      <c r="E382" s="701" t="n"/>
    </row>
    <row r="383">
      <c r="B383" s="62" t="n"/>
      <c r="C383" s="62" t="n"/>
      <c r="E383" s="61" t="n"/>
      <c r="F383" s="226" t="n"/>
    </row>
    <row r="384">
      <c r="B384" s="62" t="n"/>
      <c r="C384" s="62" t="n"/>
      <c r="D384" s="226" t="n">
        <v>66937</v>
      </c>
      <c r="E384" s="61" t="n"/>
      <c r="F384" s="226" t="n"/>
    </row>
    <row r="385">
      <c r="B385" s="62" t="n"/>
      <c r="C385" s="62" t="n"/>
      <c r="E385" s="61" t="n"/>
      <c r="F385" s="226" t="n"/>
    </row>
    <row r="386">
      <c r="B386" s="62" t="n"/>
      <c r="C386" s="62" t="n"/>
      <c r="E386" s="61" t="n"/>
      <c r="F386" s="226" t="n"/>
    </row>
    <row r="387">
      <c r="B387" s="62" t="n"/>
      <c r="C387" s="62" t="n"/>
      <c r="E387" s="61" t="n"/>
      <c r="F387" s="226" t="n"/>
    </row>
    <row r="388">
      <c r="B388" s="62" t="n"/>
      <c r="C388" s="62" t="n"/>
      <c r="E388" s="61" t="n"/>
      <c r="F388" s="226" t="n"/>
    </row>
    <row r="389">
      <c r="D389" s="245" t="n"/>
      <c r="E389" s="288" t="n"/>
      <c r="F389" s="226" t="n"/>
    </row>
    <row r="390">
      <c r="D390" s="245" t="n"/>
      <c r="E390" s="288" t="n"/>
      <c r="F390" s="226" t="n"/>
    </row>
    <row r="391">
      <c r="D391" s="245" t="n"/>
      <c r="E391" s="288" t="n"/>
      <c r="F391" s="226" t="n"/>
    </row>
    <row r="392">
      <c r="D392" s="245" t="n"/>
      <c r="E392" s="288" t="n"/>
      <c r="F392" s="226" t="n"/>
    </row>
    <row r="393">
      <c r="D393" s="245" t="n"/>
      <c r="E393" s="288" t="n"/>
      <c r="F393" s="226" t="n"/>
    </row>
    <row r="394">
      <c r="D394" s="245" t="n"/>
      <c r="E394" s="288" t="n"/>
      <c r="F394" s="226" t="n"/>
    </row>
    <row r="395">
      <c r="D395" s="245" t="n"/>
      <c r="E395" s="245" t="n"/>
      <c r="F395" s="226" t="n"/>
    </row>
    <row r="396">
      <c r="D396" s="245" t="n"/>
      <c r="E396" s="245" t="n"/>
      <c r="F396" s="226" t="n"/>
    </row>
    <row r="397">
      <c r="D397" s="245" t="n"/>
      <c r="E397" s="245" t="n"/>
      <c r="F397" s="226" t="n"/>
    </row>
    <row r="398">
      <c r="D398" s="245" t="n"/>
      <c r="E398" s="245" t="n"/>
      <c r="F398" s="226" t="n"/>
    </row>
    <row r="399">
      <c r="D399" s="245" t="n"/>
      <c r="E399" s="245" t="n"/>
      <c r="F399" s="226" t="n"/>
    </row>
    <row r="400">
      <c r="D400" s="245" t="n"/>
      <c r="E400" s="245" t="n"/>
      <c r="F400" s="226" t="n"/>
    </row>
    <row r="401">
      <c r="B401" s="245" t="n"/>
      <c r="C401" s="245" t="n"/>
      <c r="D401" s="245" t="n"/>
      <c r="E401" s="245" t="n"/>
      <c r="F401" s="226" t="n"/>
    </row>
    <row r="402">
      <c r="B402" s="245" t="n"/>
      <c r="C402" s="245" t="n"/>
      <c r="D402" s="245" t="n"/>
      <c r="E402" s="245" t="n"/>
      <c r="F402" s="226" t="n"/>
    </row>
    <row r="403">
      <c r="B403" s="245" t="n"/>
      <c r="C403" s="245" t="n"/>
      <c r="D403" s="245" t="n"/>
      <c r="E403" s="245" t="n"/>
      <c r="F403" s="226" t="n"/>
    </row>
    <row r="404">
      <c r="B404" s="245" t="n"/>
      <c r="C404" s="245" t="n"/>
      <c r="D404" s="245" t="n"/>
      <c r="E404" s="245" t="n"/>
      <c r="F404" s="226" t="n"/>
    </row>
    <row r="405">
      <c r="B405" s="245" t="n"/>
      <c r="C405" s="245" t="n"/>
      <c r="D405" s="245" t="n"/>
      <c r="E405" s="245" t="n"/>
      <c r="F405" s="226" t="n"/>
    </row>
    <row r="406">
      <c r="B406" s="245" t="n"/>
      <c r="C406" s="245" t="n"/>
      <c r="D406" s="245" t="n"/>
      <c r="E406" s="245" t="n"/>
      <c r="F406" s="226" t="n"/>
    </row>
    <row r="407">
      <c r="B407" s="245" t="n"/>
      <c r="C407" s="245" t="n"/>
      <c r="D407" s="245" t="n"/>
      <c r="E407" s="245" t="n"/>
      <c r="F407" s="226" t="n"/>
    </row>
    <row r="408">
      <c r="B408" s="245" t="n"/>
      <c r="C408" s="245" t="n"/>
      <c r="D408" s="245" t="n"/>
      <c r="E408" s="245" t="n"/>
      <c r="F408" s="226" t="n"/>
    </row>
  </sheetData>
  <mergeCells count="3">
    <mergeCell ref="D381:E381"/>
    <mergeCell ref="D382:E382"/>
    <mergeCell ref="L376:L380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 codeName="Sheet8">
    <outlinePr summaryBelow="0" summaryRight="0"/>
    <pageSetUpPr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hidden="1" width="7.125" customWidth="1" style="226" min="5" max="5"/>
    <col width="9.125" customWidth="1" style="226" min="6" max="6"/>
    <col width="11.87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8.5" bestFit="1" customWidth="1" style="226" min="18" max="18"/>
    <col hidden="1" outlineLevel="1" width="10.125" customWidth="1" style="226" min="19" max="19"/>
    <col hidden="1" outlineLevel="1" width="16.87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2.875" bestFit="1" customWidth="1" style="226" min="26" max="26"/>
    <col width="10" customWidth="1" style="226" min="27" max="27"/>
    <col width="27.375" customWidth="1" style="230" min="28" max="28"/>
    <col outlineLevel="1" width="17.625" customWidth="1" style="230" min="29" max="29"/>
    <col outlineLevel="1" width="12.125" customWidth="1" style="226" min="30" max="30"/>
    <col outlineLevel="1" width="6.875" customWidth="1" style="754" min="31" max="31"/>
    <col outlineLevel="1" width="12.125" customWidth="1" style="226" min="32" max="32"/>
    <col outlineLevel="1" width="12.125" customWidth="1" style="755" min="33" max="33"/>
    <col outlineLevel="1" width="50.625" customWidth="1" style="230" min="34" max="34"/>
    <col width="9" customWidth="1" style="226" min="35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226" t="inlineStr">
        <is>
          <t>買進理由</t>
        </is>
      </c>
      <c r="AC1" s="226" t="inlineStr">
        <is>
          <t>賣出理由</t>
        </is>
      </c>
      <c r="AD1" s="227" t="inlineStr">
        <is>
          <t>一週後價格</t>
        </is>
      </c>
      <c r="AE1" s="756" t="n"/>
      <c r="AF1" s="227" t="inlineStr">
        <is>
          <t>一月後價格</t>
        </is>
      </c>
      <c r="AG1" s="757" t="n"/>
      <c r="AH1" s="230" t="n"/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 t="n"/>
      <c r="G2" s="229">
        <f>'14股'!G63</f>
        <v/>
      </c>
      <c r="H2" s="229">
        <f>'14股'!H63</f>
        <v/>
      </c>
      <c r="I2" s="229" t="n"/>
      <c r="J2" s="229" t="n"/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697">
        <f>'14股'!P63</f>
        <v/>
      </c>
      <c r="Q2" s="229">
        <f>'14股'!Q63</f>
        <v/>
      </c>
      <c r="R2" s="229">
        <f>'14股'!R63</f>
        <v/>
      </c>
      <c r="S2" s="229">
        <f>'14股'!S63</f>
        <v/>
      </c>
      <c r="T2" s="229">
        <f>'14股'!T63</f>
        <v/>
      </c>
      <c r="U2" s="229">
        <f>'14股'!U63</f>
        <v/>
      </c>
      <c r="V2" s="229">
        <f>'14股'!V63</f>
        <v/>
      </c>
      <c r="W2" s="229">
        <f>'14股'!W63</f>
        <v/>
      </c>
      <c r="X2" s="229">
        <f>'14股'!X63</f>
        <v/>
      </c>
      <c r="Y2" s="229">
        <f>'14股'!Y63</f>
        <v/>
      </c>
      <c r="Z2" s="279" t="n"/>
      <c r="AA2" s="588" t="n"/>
    </row>
    <row r="3">
      <c r="A3" s="734" t="n">
        <v>42369</v>
      </c>
      <c r="B3" s="229" t="n"/>
      <c r="C3" s="229" t="n"/>
      <c r="D3" s="229">
        <f>'15股'!D144</f>
        <v/>
      </c>
      <c r="E3" s="229">
        <f>'15股'!E144</f>
        <v/>
      </c>
      <c r="F3" s="229" t="n"/>
      <c r="G3" s="280">
        <f>'15股'!G144</f>
        <v/>
      </c>
      <c r="H3" s="280">
        <f>'15股'!H144</f>
        <v/>
      </c>
      <c r="I3" s="234" t="n"/>
      <c r="J3" s="229" t="n"/>
      <c r="K3" s="280">
        <f>'15股'!K144</f>
        <v/>
      </c>
      <c r="L3" s="280">
        <f>'15股'!L144</f>
        <v/>
      </c>
      <c r="M3" s="280">
        <f>'15股'!M144</f>
        <v/>
      </c>
      <c r="N3" s="280">
        <f>'15股'!N144</f>
        <v/>
      </c>
      <c r="O3" s="280">
        <f>'15股'!O144</f>
        <v/>
      </c>
      <c r="P3" s="697">
        <f>'15股'!P144</f>
        <v/>
      </c>
      <c r="Q3" s="280">
        <f>'15股'!Q144</f>
        <v/>
      </c>
      <c r="R3" s="280">
        <f>'15股'!R144</f>
        <v/>
      </c>
      <c r="S3" s="280">
        <f>'15股'!S144</f>
        <v/>
      </c>
      <c r="T3" s="280">
        <f>'15股'!T144</f>
        <v/>
      </c>
      <c r="U3" s="280">
        <f>'15股'!U144</f>
        <v/>
      </c>
      <c r="V3" s="280">
        <f>'15股'!V144</f>
        <v/>
      </c>
      <c r="W3" s="280">
        <f>'15股'!W144</f>
        <v/>
      </c>
      <c r="X3" s="280">
        <f>'15股'!X144</f>
        <v/>
      </c>
      <c r="Y3" s="280">
        <f>'15股'!Y144</f>
        <v/>
      </c>
      <c r="Z3" s="281" t="n"/>
      <c r="AA3" s="588" t="n"/>
    </row>
    <row r="4">
      <c r="A4" s="228" t="n">
        <v>42362</v>
      </c>
      <c r="B4" s="229" t="inlineStr">
        <is>
          <t>普通買進</t>
        </is>
      </c>
      <c r="C4" s="229" t="n">
        <v>3704</v>
      </c>
      <c r="D4" s="229">
        <f>VLOOKUP(C4,每日行情!A:B,2,FALSE)</f>
        <v/>
      </c>
      <c r="E4" s="229" t="n">
        <v>1000</v>
      </c>
      <c r="F4" s="229" t="n">
        <v>12.8</v>
      </c>
      <c r="G4" s="229">
        <f>E4*F4</f>
        <v/>
      </c>
      <c r="H4" s="229" t="n">
        <v>20</v>
      </c>
      <c r="I4" s="324" t="n">
        <v>42377</v>
      </c>
      <c r="J4" s="16" t="n">
        <v>13.55</v>
      </c>
      <c r="K4" s="229">
        <f>E4*J4</f>
        <v/>
      </c>
      <c r="L4" s="17" t="n">
        <v>20</v>
      </c>
      <c r="M4" s="229" t="n">
        <v>40</v>
      </c>
      <c r="N4" s="229" t="n">
        <v>0</v>
      </c>
      <c r="O4" s="584">
        <f>IF(I4="",E4*Y4,0)</f>
        <v/>
      </c>
      <c r="P4" s="585">
        <f>IF(I4="",R4-H4,(K4-H4-SUM(L4:N4)+R4-S4-T4)-G4)+(ROUND(R4*V4,0)-ROUND(R4*(1+V4),0)*W4)</f>
        <v/>
      </c>
      <c r="Q4" s="585">
        <f>IF(I4="",(O4-G4-(O4*0.1425%*0.65)-(O4*0.3%)-S4-T4),0)</f>
        <v/>
      </c>
      <c r="R4" s="585" t="n"/>
      <c r="S4" s="585" t="n"/>
      <c r="T4" s="585">
        <f>IF(ROUND(R4*(1+V4),0)&gt;5000,ROUND(ROUND(R4*(1+V4),0)*2%,0),0)</f>
        <v/>
      </c>
      <c r="U4" s="65">
        <f>(V4*50%)/(1+50%*V4)</f>
        <v/>
      </c>
      <c r="V4" s="65" t="n"/>
      <c r="W4" s="66" t="n"/>
      <c r="X4" s="586">
        <f>(P4+Q4)/G4</f>
        <v/>
      </c>
      <c r="Y4" s="16">
        <f>VLOOKUP(C4,#REF!,3,FALSE)</f>
        <v/>
      </c>
      <c r="Z4" s="587" t="n"/>
      <c r="AA4" s="588">
        <f>((I4-A4)*G4)/365.24</f>
        <v/>
      </c>
    </row>
    <row r="5">
      <c r="A5" s="228" t="n">
        <v>42368</v>
      </c>
      <c r="B5" s="229" t="inlineStr">
        <is>
          <t>普通買進</t>
        </is>
      </c>
      <c r="C5" s="229" t="n">
        <v>1227</v>
      </c>
      <c r="D5" s="229">
        <f>VLOOKUP(C5,每日行情!A:B,2,FALSE)</f>
        <v/>
      </c>
      <c r="E5" s="229" t="n">
        <v>1000</v>
      </c>
      <c r="F5" s="229" t="n">
        <v>82.2</v>
      </c>
      <c r="G5" s="229">
        <f>E5*F5</f>
        <v/>
      </c>
      <c r="H5" s="229" t="n">
        <v>70</v>
      </c>
      <c r="I5" s="324" t="n">
        <v>42376</v>
      </c>
      <c r="J5" s="16" t="n">
        <v>79.3</v>
      </c>
      <c r="K5" s="229">
        <f>E5*J5</f>
        <v/>
      </c>
      <c r="L5" s="17" t="n">
        <v>67</v>
      </c>
      <c r="M5" s="229" t="n">
        <v>237</v>
      </c>
      <c r="N5" s="229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/>
      <c r="S5" s="585" t="n"/>
      <c r="T5" s="585">
        <f>IF(ROUND(R5*(1+V5),0)&gt;5000,ROUND(ROUND(R5*(1+V5),0)*2%,0),0)</f>
        <v/>
      </c>
      <c r="U5" s="65">
        <f>(V5*50%)/(1+50%*V5)</f>
        <v/>
      </c>
      <c r="V5" s="65" t="n"/>
      <c r="W5" s="66" t="n"/>
      <c r="X5" s="586">
        <f>(P5+Q5)/G5</f>
        <v/>
      </c>
      <c r="Y5" s="16">
        <f>VLOOKUP(C5,#REF!,3,FALSE)</f>
        <v/>
      </c>
      <c r="Z5" s="587" t="n"/>
      <c r="AA5" s="588">
        <f>((I5-A5)*G5)/365.24</f>
        <v/>
      </c>
    </row>
    <row r="6">
      <c r="A6" s="228" t="n">
        <v>42368</v>
      </c>
      <c r="B6" s="229" t="inlineStr">
        <is>
          <t>普通買進</t>
        </is>
      </c>
      <c r="C6" s="229" t="n">
        <v>4906</v>
      </c>
      <c r="D6" s="229">
        <f>VLOOKUP(C6,每日行情!A:B,2,FALSE)</f>
        <v/>
      </c>
      <c r="E6" s="229" t="n">
        <v>1000</v>
      </c>
      <c r="F6" s="229" t="n">
        <v>17.65</v>
      </c>
      <c r="G6" s="229">
        <f>E6*F6</f>
        <v/>
      </c>
      <c r="H6" s="229" t="n">
        <v>20</v>
      </c>
      <c r="I6" s="324" t="n">
        <v>42377</v>
      </c>
      <c r="J6" s="16" t="n">
        <v>17.55</v>
      </c>
      <c r="K6" s="229">
        <f>E6*J6</f>
        <v/>
      </c>
      <c r="L6" s="17" t="n">
        <v>20</v>
      </c>
      <c r="M6" s="229" t="n">
        <v>52</v>
      </c>
      <c r="N6" s="229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/>
      <c r="T6" s="585">
        <f>IF(ROUND(R6*(1+V6),0)&gt;5000,ROUND(ROUND(R6*(1+V6),0)*2%,0),0)</f>
        <v/>
      </c>
      <c r="U6" s="65">
        <f>(V6*50%)/(1+50%*V6)</f>
        <v/>
      </c>
      <c r="V6" s="65" t="n"/>
      <c r="W6" s="66" t="n"/>
      <c r="X6" s="586">
        <f>(P6+Q6)/G6</f>
        <v/>
      </c>
      <c r="Y6" s="16">
        <f>VLOOKUP(C6,#REF!,3,FALSE)</f>
        <v/>
      </c>
      <c r="Z6" s="587" t="n"/>
      <c r="AA6" s="588">
        <f>((I6-A6)*G6)/365.24</f>
        <v/>
      </c>
    </row>
    <row r="7">
      <c r="A7" s="228" t="n">
        <v>42368</v>
      </c>
      <c r="B7" s="229" t="inlineStr">
        <is>
          <t>普通買進</t>
        </is>
      </c>
      <c r="C7" s="229" t="n">
        <v>3419</v>
      </c>
      <c r="D7" s="229">
        <f>VLOOKUP(C7,每日行情!A:B,2,FALSE)</f>
        <v/>
      </c>
      <c r="E7" s="229" t="n">
        <v>1000</v>
      </c>
      <c r="F7" s="229" t="n">
        <v>15.75</v>
      </c>
      <c r="G7" s="229">
        <f>E7*F7</f>
        <v/>
      </c>
      <c r="H7" s="229" t="n">
        <v>20</v>
      </c>
      <c r="I7" s="324" t="n">
        <v>42446</v>
      </c>
      <c r="J7" s="16" t="n">
        <v>17.95</v>
      </c>
      <c r="K7" s="229">
        <f>E7*J7</f>
        <v/>
      </c>
      <c r="L7" s="17" t="n">
        <v>20</v>
      </c>
      <c r="M7" s="229" t="n">
        <v>53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/>
      <c r="T7" s="585">
        <f>IF(ROUND(R7*(1+V7),0)&gt;5000,ROUND(ROUND(R7*(1+V7),0)*2%,0),0)</f>
        <v/>
      </c>
      <c r="U7" s="65">
        <f>(V7*50%)/(1+50%*V7)</f>
        <v/>
      </c>
      <c r="V7" s="65" t="n"/>
      <c r="W7" s="66" t="n"/>
      <c r="X7" s="586">
        <f>(P7+Q7)/G7</f>
        <v/>
      </c>
      <c r="Y7" s="16">
        <f>VLOOKUP(C7,#REF!,3,FALSE)</f>
        <v/>
      </c>
      <c r="Z7" s="587" t="n"/>
      <c r="AA7" s="588">
        <f>((I7-A7)*G7)/365.24</f>
        <v/>
      </c>
      <c r="AB7" s="230" t="inlineStr">
        <is>
          <t>阿水一式、黃綠紅成型</t>
        </is>
      </c>
      <c r="AD7" s="226" t="n">
        <v>17.03</v>
      </c>
      <c r="AE7" s="754">
        <f>IF(AD7="","",AD7-J7)</f>
        <v/>
      </c>
    </row>
    <row r="8">
      <c r="A8" s="228" t="n">
        <v>42373</v>
      </c>
      <c r="B8" s="229" t="inlineStr">
        <is>
          <t>普通買進</t>
        </is>
      </c>
      <c r="C8" s="349" t="inlineStr">
        <is>
          <t>0050</t>
        </is>
      </c>
      <c r="D8" s="229">
        <f>VLOOKUP(C8,每日行情!A:B,2,FALSE)</f>
        <v/>
      </c>
      <c r="E8" s="229" t="n">
        <v>1000</v>
      </c>
      <c r="F8" s="229" t="n">
        <v>59.45</v>
      </c>
      <c r="G8" s="229">
        <f>E8*F8</f>
        <v/>
      </c>
      <c r="H8" s="229" t="n">
        <v>20</v>
      </c>
      <c r="I8" s="324" t="n">
        <v>42375</v>
      </c>
      <c r="J8" s="16" t="n">
        <v>58.25</v>
      </c>
      <c r="K8" s="229">
        <f>E8*J8</f>
        <v/>
      </c>
      <c r="L8" s="17" t="n">
        <v>49</v>
      </c>
      <c r="M8" s="229" t="n">
        <v>58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/>
      <c r="T8" s="585">
        <f>IF(ROUND(R8*(1+V8),0)&gt;5000,ROUND(ROUND(R8*(1+V8),0)*2%,0),0)</f>
        <v/>
      </c>
      <c r="U8" s="65">
        <f>(V8*50%)/(1+50%*V8)</f>
        <v/>
      </c>
      <c r="V8" s="65" t="n"/>
      <c r="W8" s="66" t="n"/>
      <c r="X8" s="586">
        <f>(P8+Q8)/G8</f>
        <v/>
      </c>
      <c r="Y8" s="16">
        <f>VLOOKUP(C8,#REF!,3,FALSE)</f>
        <v/>
      </c>
      <c r="Z8" s="587" t="n"/>
      <c r="AA8" s="588">
        <f>((I8-A8)*G8)/365.24</f>
        <v/>
      </c>
    </row>
    <row r="9">
      <c r="A9" s="228" t="n">
        <v>42375</v>
      </c>
      <c r="B9" s="229" t="inlineStr">
        <is>
          <t>普通買進</t>
        </is>
      </c>
      <c r="C9" s="229" t="n">
        <v>2330</v>
      </c>
      <c r="D9" s="229">
        <f>VLOOKUP(C9,每日行情!A:B,2,FALSE)</f>
        <v/>
      </c>
      <c r="E9" s="229" t="n">
        <v>1000</v>
      </c>
      <c r="F9" s="229" t="n">
        <v>135</v>
      </c>
      <c r="G9" s="229">
        <f>E9*F9</f>
        <v/>
      </c>
      <c r="H9" s="229" t="n">
        <v>115</v>
      </c>
      <c r="I9" s="324" t="n">
        <v>42375</v>
      </c>
      <c r="J9" s="16" t="n">
        <v>136</v>
      </c>
      <c r="K9" s="229">
        <f>E9*J9</f>
        <v/>
      </c>
      <c r="L9" s="17" t="n">
        <v>116</v>
      </c>
      <c r="M9" s="229" t="n">
        <v>408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/>
      <c r="T9" s="585">
        <f>IF(ROUND(R9*(1+V9),0)&gt;5000,ROUND(ROUND(R9*(1+V9),0)*2%,0),0)</f>
        <v/>
      </c>
      <c r="U9" s="65">
        <f>(V9*50%)/(1+50%*V9)</f>
        <v/>
      </c>
      <c r="V9" s="65" t="n"/>
      <c r="W9" s="66" t="n"/>
      <c r="X9" s="586">
        <f>(P9+Q9)/G9</f>
        <v/>
      </c>
      <c r="Y9" s="16">
        <f>VLOOKUP(C9,#REF!,3,FALSE)</f>
        <v/>
      </c>
      <c r="Z9" s="587" t="n"/>
      <c r="AA9" s="588">
        <f>((I9-A9)*G9)/365.24</f>
        <v/>
      </c>
    </row>
    <row r="10">
      <c r="A10" s="228" t="n">
        <v>42376</v>
      </c>
      <c r="B10" s="229" t="inlineStr">
        <is>
          <t>普通買進</t>
        </is>
      </c>
      <c r="C10" s="229" t="n">
        <v>4906</v>
      </c>
      <c r="D10" s="229">
        <f>VLOOKUP(C10,每日行情!A:B,2,FALSE)</f>
        <v/>
      </c>
      <c r="E10" s="229" t="n">
        <v>1000</v>
      </c>
      <c r="F10" s="229" t="n">
        <v>17.75</v>
      </c>
      <c r="G10" s="229">
        <f>E10*F10</f>
        <v/>
      </c>
      <c r="H10" s="229" t="n">
        <v>20</v>
      </c>
      <c r="I10" s="324" t="n">
        <v>42377</v>
      </c>
      <c r="J10" s="16" t="n">
        <v>17.55</v>
      </c>
      <c r="K10" s="229">
        <f>E10*J10</f>
        <v/>
      </c>
      <c r="L10" s="17" t="n">
        <v>20</v>
      </c>
      <c r="M10" s="229" t="n">
        <v>52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/>
      <c r="T10" s="585">
        <f>IF(ROUND(R10*(1+V10),0)&gt;5000,ROUND(ROUND(R10*(1+V10),0)*2%,0),0)</f>
        <v/>
      </c>
      <c r="U10" s="65">
        <f>(V10*50%)/(1+50%*V10)</f>
        <v/>
      </c>
      <c r="V10" s="65" t="n"/>
      <c r="W10" s="66" t="n"/>
      <c r="X10" s="586">
        <f>(P10+Q10)/G10</f>
        <v/>
      </c>
      <c r="Y10" s="16">
        <f>VLOOKUP(C10,#REF!,3,FALSE)</f>
        <v/>
      </c>
      <c r="Z10" s="587" t="n"/>
      <c r="AA10" s="588">
        <f>((I10-A10)*G10)/365.24</f>
        <v/>
      </c>
    </row>
    <row r="11">
      <c r="A11" s="228" t="n">
        <v>42376</v>
      </c>
      <c r="B11" s="229" t="inlineStr">
        <is>
          <t>普通買進</t>
        </is>
      </c>
      <c r="C11" s="229" t="n">
        <v>3704</v>
      </c>
      <c r="D11" s="229">
        <f>VLOOKUP(C11,每日行情!A:B,2,FALSE)</f>
        <v/>
      </c>
      <c r="E11" s="229" t="n">
        <v>1000</v>
      </c>
      <c r="F11" s="229" t="n">
        <v>14.2</v>
      </c>
      <c r="G11" s="229">
        <f>E11*F11</f>
        <v/>
      </c>
      <c r="H11" s="229" t="n">
        <v>20</v>
      </c>
      <c r="I11" s="324" t="n">
        <v>42377</v>
      </c>
      <c r="J11" s="350" t="n">
        <v>13.55</v>
      </c>
      <c r="K11" s="229">
        <f>E11*J11</f>
        <v/>
      </c>
      <c r="L11" s="17" t="n">
        <v>20</v>
      </c>
      <c r="M11" s="229" t="n">
        <v>40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/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/>
      <c r="X11" s="586">
        <f>(P11+Q11)/G11</f>
        <v/>
      </c>
      <c r="Y11" s="16">
        <f>VLOOKUP(C11,#REF!,3,FALSE)</f>
        <v/>
      </c>
      <c r="Z11" s="587" t="n"/>
      <c r="AA11" s="588">
        <f>((I11-A11)*G11)/365.24</f>
        <v/>
      </c>
    </row>
    <row r="12">
      <c r="A12" s="228" t="n">
        <v>42376</v>
      </c>
      <c r="B12" s="229" t="inlineStr">
        <is>
          <t>普通買進</t>
        </is>
      </c>
      <c r="C12" s="229" t="n">
        <v>5478</v>
      </c>
      <c r="D12" s="229">
        <f>VLOOKUP(C12,每日行情!A:B,2,FALSE)</f>
        <v/>
      </c>
      <c r="E12" s="229" t="n">
        <v>1000</v>
      </c>
      <c r="F12" s="229" t="n">
        <v>73.09999999999999</v>
      </c>
      <c r="G12" s="229">
        <f>E12*F12</f>
        <v/>
      </c>
      <c r="H12" s="229" t="n">
        <v>62</v>
      </c>
      <c r="I12" s="324" t="n">
        <v>42444</v>
      </c>
      <c r="J12" s="16" t="n">
        <v>69.3</v>
      </c>
      <c r="K12" s="229">
        <f>E12*J12</f>
        <v/>
      </c>
      <c r="L12" s="17" t="n">
        <v>59</v>
      </c>
      <c r="M12" s="229" t="n">
        <v>207</v>
      </c>
      <c r="N12" s="229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/>
      <c r="T12" s="585">
        <f>IF(ROUND(R12*(1+V12),0)&gt;5000,ROUND(ROUND(R12*(1+V12),0)*2%,0),0)</f>
        <v/>
      </c>
      <c r="U12" s="65">
        <f>(V12*50%)/(1+50%*V12)</f>
        <v/>
      </c>
      <c r="V12" s="65" t="n"/>
      <c r="W12" s="66" t="n"/>
      <c r="X12" s="586">
        <f>(P12+Q12)/G12</f>
        <v/>
      </c>
      <c r="Y12" s="16">
        <f>VLOOKUP(C12,#REF!,3,FALSE)</f>
        <v/>
      </c>
      <c r="Z12" s="587" t="n"/>
      <c r="AA12" s="588">
        <f>((I12-A12)*G12)/365.24</f>
        <v/>
      </c>
      <c r="AB12" s="230" t="inlineStr">
        <is>
          <t>阿水一式、法人持股增加</t>
        </is>
      </c>
      <c r="AC12" s="230" t="inlineStr">
        <is>
          <t>跌破20MA</t>
        </is>
      </c>
      <c r="AD12" s="226" t="n">
        <v>70.3</v>
      </c>
      <c r="AE12" s="754">
        <f>IF(AD12="","",AD12-J12)</f>
        <v/>
      </c>
    </row>
    <row r="13">
      <c r="A13" s="228" t="n">
        <v>42373</v>
      </c>
      <c r="B13" s="229" t="inlineStr">
        <is>
          <t>普通買進</t>
        </is>
      </c>
      <c r="C13" s="229" t="n">
        <v>2330</v>
      </c>
      <c r="D13" s="229">
        <f>VLOOKUP(C13,每日行情!A:B,2,FALSE)</f>
        <v/>
      </c>
      <c r="E13" s="229" t="n">
        <v>1000</v>
      </c>
      <c r="F13" s="229" t="n">
        <v>139.5</v>
      </c>
      <c r="G13" s="229">
        <f>E13*F13</f>
        <v/>
      </c>
      <c r="H13" s="229" t="n">
        <v>119</v>
      </c>
      <c r="I13" s="324" t="n">
        <v>42376</v>
      </c>
      <c r="J13" s="16" t="n">
        <v>131.5</v>
      </c>
      <c r="K13" s="229">
        <f>E13*J13</f>
        <v/>
      </c>
      <c r="L13" s="17" t="n">
        <v>112</v>
      </c>
      <c r="M13" s="229" t="n">
        <v>394</v>
      </c>
      <c r="N13" s="229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/>
      <c r="T13" s="585">
        <f>IF(ROUND(R13*(1+V13),0)&gt;5000,ROUND(ROUND(R13*(1+V13),0)*2%,0),0)</f>
        <v/>
      </c>
      <c r="U13" s="65">
        <f>(V13*50%)/(1+50%*V13)</f>
        <v/>
      </c>
      <c r="V13" s="65" t="n"/>
      <c r="W13" s="66" t="n"/>
      <c r="X13" s="586">
        <f>(P13+Q13)/G13</f>
        <v/>
      </c>
      <c r="Y13" s="16">
        <f>VLOOKUP(C13,#REF!,3,FALSE)</f>
        <v/>
      </c>
      <c r="Z13" s="587" t="n"/>
      <c r="AA13" s="588">
        <f>((I13-A13)*G13)/365.24</f>
        <v/>
      </c>
    </row>
    <row r="14">
      <c r="A14" s="228" t="n">
        <v>42374</v>
      </c>
      <c r="B14" s="229" t="inlineStr">
        <is>
          <t>普通買進</t>
        </is>
      </c>
      <c r="C14" s="229" t="n">
        <v>2330</v>
      </c>
      <c r="D14" s="229">
        <f>VLOOKUP(C14,每日行情!A:B,2,FALSE)</f>
        <v/>
      </c>
      <c r="E14" s="229" t="n">
        <v>1000</v>
      </c>
      <c r="F14" s="229" t="n">
        <v>138</v>
      </c>
      <c r="G14" s="229">
        <f>E14*F14</f>
        <v/>
      </c>
      <c r="H14" s="229" t="n">
        <v>117</v>
      </c>
      <c r="I14" s="324" t="n">
        <v>42376</v>
      </c>
      <c r="J14" s="16" t="n">
        <v>132</v>
      </c>
      <c r="K14" s="229">
        <f>E14*J14</f>
        <v/>
      </c>
      <c r="L14" s="17" t="n">
        <v>112</v>
      </c>
      <c r="M14" s="229" t="n">
        <v>396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/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/>
      <c r="X14" s="586">
        <f>(P14+Q14)/G14</f>
        <v/>
      </c>
      <c r="Y14" s="16">
        <f>VLOOKUP(C14,#REF!,3,FALSE)</f>
        <v/>
      </c>
      <c r="Z14" s="587" t="n"/>
      <c r="AA14" s="588">
        <f>((I14-A14)*G14)/365.24</f>
        <v/>
      </c>
    </row>
    <row r="15">
      <c r="A15" s="228" t="n">
        <v>42376</v>
      </c>
      <c r="B15" s="229" t="inlineStr">
        <is>
          <t>普通買進</t>
        </is>
      </c>
      <c r="C15" s="229" t="n">
        <v>2330</v>
      </c>
      <c r="D15" s="229">
        <f>VLOOKUP(C15,每日行情!A:B,2,FALSE)</f>
        <v/>
      </c>
      <c r="E15" s="229" t="n">
        <v>1000</v>
      </c>
      <c r="F15" s="229" t="n">
        <v>132.5</v>
      </c>
      <c r="G15" s="229">
        <f>E15*F15</f>
        <v/>
      </c>
      <c r="H15" s="229" t="n">
        <v>113</v>
      </c>
      <c r="I15" s="324" t="n">
        <v>42375</v>
      </c>
      <c r="J15" s="16" t="n">
        <v>134</v>
      </c>
      <c r="K15" s="229">
        <f>E15*J15</f>
        <v/>
      </c>
      <c r="L15" s="17" t="n">
        <v>114</v>
      </c>
      <c r="M15" s="229" t="n">
        <v>402</v>
      </c>
      <c r="N15" s="229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/>
      <c r="T15" s="585">
        <f>IF(ROUND(R15*(1+V15),0)&gt;5000,ROUND(ROUND(R15*(1+V15),0)*2%,0),0)</f>
        <v/>
      </c>
      <c r="U15" s="65">
        <f>(V15*50%)/(1+50%*V15)</f>
        <v/>
      </c>
      <c r="V15" s="65" t="n"/>
      <c r="W15" s="66" t="n"/>
      <c r="X15" s="586">
        <f>(P15+Q15)/G15</f>
        <v/>
      </c>
      <c r="Y15" s="16">
        <f>VLOOKUP(C15,#REF!,3,FALSE)</f>
        <v/>
      </c>
      <c r="Z15" s="587" t="n"/>
      <c r="AA15" s="588">
        <f>((I15-A15)*G15)/365.24</f>
        <v/>
      </c>
    </row>
    <row r="16">
      <c r="A16" s="228" t="n">
        <v>42431</v>
      </c>
      <c r="B16" s="229" t="inlineStr">
        <is>
          <t>普通買進</t>
        </is>
      </c>
      <c r="C16" s="229" t="n">
        <v>4984</v>
      </c>
      <c r="D16" s="229">
        <f>VLOOKUP(C16,每日行情!A:B,2,FALSE)</f>
        <v/>
      </c>
      <c r="E16" s="229" t="n">
        <v>1000</v>
      </c>
      <c r="F16" s="229" t="n">
        <v>55.6</v>
      </c>
      <c r="G16" s="229">
        <f>E16*F16</f>
        <v/>
      </c>
      <c r="H16" s="229" t="n">
        <v>47</v>
      </c>
      <c r="I16" s="324" t="n">
        <v>42438</v>
      </c>
      <c r="J16" s="16" t="n">
        <v>49.6</v>
      </c>
      <c r="K16" s="229">
        <f>E16*J16</f>
        <v/>
      </c>
      <c r="L16" s="17" t="n">
        <v>42</v>
      </c>
      <c r="M16" s="229" t="n">
        <v>148</v>
      </c>
      <c r="N16" s="229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/>
      <c r="T16" s="585">
        <f>IF(ROUND(R16*(1+V16),0)&gt;5000,ROUND(ROUND(R16*(1+V16),0)*2%,0),0)</f>
        <v/>
      </c>
      <c r="U16" s="65">
        <f>(V16*50%)/(1+50%*V16)</f>
        <v/>
      </c>
      <c r="V16" s="65" t="n"/>
      <c r="W16" s="66" t="n"/>
      <c r="X16" s="586">
        <f>(P16+Q16)/G16</f>
        <v/>
      </c>
      <c r="Y16" s="16">
        <f>VLOOKUP(C16,#REF!,3,FALSE)</f>
        <v/>
      </c>
      <c r="Z16" s="587" t="n"/>
      <c r="AA16" s="588">
        <f>((I16-A16)*G16)/365.24</f>
        <v/>
      </c>
      <c r="AB16" s="230" t="inlineStr">
        <is>
          <t>阿水一式、黃綠紅成型</t>
        </is>
      </c>
      <c r="AC16" s="230" t="inlineStr">
        <is>
          <t>個股連跌三天、個股接近20MA、法人持股持續下滑</t>
        </is>
      </c>
      <c r="AD16" s="226" t="n">
        <v>57.2</v>
      </c>
      <c r="AE16" s="754">
        <f>IF(AD16="","",AD16-J16)</f>
        <v/>
      </c>
      <c r="AG16" s="755">
        <f>IF(AF16="","",AF16-L16)</f>
        <v/>
      </c>
      <c r="AH16" s="230" t="inlineStr">
        <is>
          <t>3/10 賣出後下一交易日漲停</t>
        </is>
      </c>
    </row>
    <row r="17">
      <c r="A17" s="228" t="n">
        <v>42431</v>
      </c>
      <c r="B17" s="229" t="inlineStr">
        <is>
          <t>普通買進</t>
        </is>
      </c>
      <c r="C17" s="229" t="n">
        <v>2455</v>
      </c>
      <c r="D17" s="229">
        <f>VLOOKUP(C17,每日行情!A:B,2,FALSE)</f>
        <v/>
      </c>
      <c r="E17" s="229" t="n">
        <v>1000</v>
      </c>
      <c r="F17" s="229" t="n">
        <v>52.8</v>
      </c>
      <c r="G17" s="229">
        <f>E17*F17</f>
        <v/>
      </c>
      <c r="H17" s="229" t="n">
        <v>45</v>
      </c>
      <c r="I17" s="324" t="n">
        <v>42458</v>
      </c>
      <c r="J17" s="16" t="n">
        <v>54.2</v>
      </c>
      <c r="K17" s="229">
        <f>E17*J17</f>
        <v/>
      </c>
      <c r="L17" s="17" t="n">
        <v>46</v>
      </c>
      <c r="M17" s="229" t="n">
        <v>162</v>
      </c>
      <c r="N17" s="229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/>
      <c r="T17" s="585">
        <f>IF(ROUND(R17*(1+V17),0)&gt;5000,ROUND(ROUND(R17*(1+V17),0)*2%,0),0)</f>
        <v/>
      </c>
      <c r="U17" s="65">
        <f>(V17*50%)/(1+50%*V17)</f>
        <v/>
      </c>
      <c r="V17" s="65" t="n"/>
      <c r="W17" s="66" t="n"/>
      <c r="X17" s="586">
        <f>(P17+Q17)/G17</f>
        <v/>
      </c>
      <c r="Y17" s="16">
        <f>VLOOKUP(C17,#REF!,3,FALSE)</f>
        <v/>
      </c>
      <c r="Z17" s="587" t="n"/>
      <c r="AA17" s="588">
        <f>((I17-A17)*G17)/365.24</f>
        <v/>
      </c>
      <c r="AB17" s="230" t="inlineStr">
        <is>
          <t>阿水一式、黃綠紅成型</t>
        </is>
      </c>
      <c r="AE17" s="754">
        <f>IF(AD17="","",AD17-J17)</f>
        <v/>
      </c>
      <c r="AH17" s="230" t="inlineStr">
        <is>
          <t>3/30 賣出後下一交易日大盤大漲119點</t>
        </is>
      </c>
    </row>
    <row r="18">
      <c r="A18" s="228" t="n">
        <v>42431</v>
      </c>
      <c r="B18" s="229" t="inlineStr">
        <is>
          <t>普通買進</t>
        </is>
      </c>
      <c r="C18" s="229" t="n">
        <v>2492</v>
      </c>
      <c r="D18" s="229">
        <f>VLOOKUP(C18,每日行情!A:B,2,FALSE)</f>
        <v/>
      </c>
      <c r="E18" s="229" t="n">
        <v>1000</v>
      </c>
      <c r="F18" s="229" t="n">
        <v>21.85</v>
      </c>
      <c r="G18" s="229">
        <f>E18*F18</f>
        <v/>
      </c>
      <c r="H18" s="229" t="n">
        <v>20</v>
      </c>
      <c r="I18" s="324" t="n">
        <v>42458</v>
      </c>
      <c r="J18" s="16" t="n">
        <v>25.1</v>
      </c>
      <c r="K18" s="229">
        <f>E18*J18</f>
        <v/>
      </c>
      <c r="L18" s="17" t="n">
        <v>21</v>
      </c>
      <c r="M18" s="229" t="n">
        <v>75</v>
      </c>
      <c r="N18" s="229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/>
      <c r="T18" s="585">
        <f>IF(ROUND(R18*(1+V18),0)&gt;5000,ROUND(ROUND(R18*(1+V18),0)*2%,0),0)</f>
        <v/>
      </c>
      <c r="U18" s="65">
        <f>(V18*50%)/(1+50%*V18)</f>
        <v/>
      </c>
      <c r="V18" s="65" t="n"/>
      <c r="W18" s="66" t="n"/>
      <c r="X18" s="586">
        <f>(P18+Q18)/G18</f>
        <v/>
      </c>
      <c r="Y18" s="16">
        <f>VLOOKUP(C18,#REF!,3,FALSE)</f>
        <v/>
      </c>
      <c r="Z18" s="587" t="n"/>
      <c r="AA18" s="588">
        <f>((I18-A18)*G18)/365.24</f>
        <v/>
      </c>
      <c r="AB18" s="230" t="inlineStr">
        <is>
          <t>阿水一式、黃綠紅成型</t>
        </is>
      </c>
      <c r="AC18" s="230" t="inlineStr">
        <is>
          <t>大盤高點震盪、個股跌破20MA</t>
        </is>
      </c>
      <c r="AE18" s="754">
        <f>IF(AD18="","",AD18-J18)</f>
        <v/>
      </c>
      <c r="AH18" s="230" t="inlineStr">
        <is>
          <t>3/30 賣出後下一交易日大盤大漲119點、個股漲停</t>
        </is>
      </c>
    </row>
    <row r="19">
      <c r="A19" s="231" t="n">
        <v>42436</v>
      </c>
      <c r="B19" s="232" t="n"/>
      <c r="C19" s="232" t="n">
        <v>93205</v>
      </c>
      <c r="D19" s="232" t="n"/>
      <c r="E19" s="232" t="n"/>
      <c r="F19" s="232" t="n"/>
      <c r="G19" s="232" t="n"/>
      <c r="H19" s="232" t="n"/>
      <c r="I19" s="233" t="n"/>
      <c r="J19" s="42" t="n"/>
      <c r="K19" s="232" t="n"/>
      <c r="L19" s="589" t="n"/>
      <c r="M19" s="232" t="n"/>
      <c r="N19" s="232" t="n"/>
      <c r="O19" s="590" t="n"/>
      <c r="P19" s="591" t="n">
        <v>-928</v>
      </c>
      <c r="Q19" s="591" t="n"/>
      <c r="R19" s="591" t="n"/>
      <c r="S19" s="591" t="n"/>
      <c r="T19" s="591" t="n"/>
      <c r="U19" s="69" t="n"/>
      <c r="V19" s="69" t="n"/>
      <c r="W19" s="71" t="n"/>
      <c r="X19" s="592" t="n"/>
      <c r="Y19" s="42" t="n"/>
      <c r="Z19" s="47" t="n"/>
      <c r="AA19" s="588">
        <f>((I19-A19)*G19)/365.24</f>
        <v/>
      </c>
      <c r="AB19" s="226" t="n"/>
      <c r="AC19" s="226" t="n"/>
      <c r="AE19" s="754">
        <f>IF(AD19="","",AD19-J19)</f>
        <v/>
      </c>
      <c r="AG19" s="755">
        <f>IF(AF19="","",AF19-L19)</f>
        <v/>
      </c>
    </row>
    <row r="20">
      <c r="A20" s="231" t="n">
        <v>42436</v>
      </c>
      <c r="B20" s="232" t="n"/>
      <c r="C20" s="232" t="n">
        <v>93207</v>
      </c>
      <c r="D20" s="232" t="n"/>
      <c r="E20" s="232" t="n"/>
      <c r="F20" s="232" t="n"/>
      <c r="G20" s="232" t="n"/>
      <c r="H20" s="232" t="n"/>
      <c r="I20" s="233" t="n"/>
      <c r="J20" s="42" t="n"/>
      <c r="K20" s="232" t="n"/>
      <c r="L20" s="589" t="n"/>
      <c r="M20" s="232" t="n"/>
      <c r="N20" s="232" t="n"/>
      <c r="O20" s="590" t="n"/>
      <c r="P20" s="591" t="n">
        <v>-2487</v>
      </c>
      <c r="Q20" s="591" t="n"/>
      <c r="R20" s="591" t="n"/>
      <c r="S20" s="591" t="n"/>
      <c r="T20" s="591" t="n"/>
      <c r="U20" s="69" t="n"/>
      <c r="V20" s="69" t="n"/>
      <c r="W20" s="71" t="n"/>
      <c r="X20" s="592" t="n"/>
      <c r="Y20" s="42" t="n"/>
      <c r="Z20" s="47" t="n"/>
      <c r="AA20" s="588">
        <f>((I20-A20)*G20)/365.24</f>
        <v/>
      </c>
      <c r="AB20" s="226" t="n"/>
      <c r="AC20" s="226" t="n"/>
      <c r="AE20" s="754">
        <f>IF(AD20="","",AD20-J20)</f>
        <v/>
      </c>
      <c r="AG20" s="755">
        <f>IF(AF20="","",AF20-L20)</f>
        <v/>
      </c>
    </row>
    <row r="21">
      <c r="A21" s="231" t="n">
        <v>42436</v>
      </c>
      <c r="B21" s="232" t="n"/>
      <c r="C21" s="232" t="n">
        <v>93211</v>
      </c>
      <c r="D21" s="232" t="n"/>
      <c r="E21" s="232" t="n"/>
      <c r="F21" s="232" t="n"/>
      <c r="G21" s="232" t="n"/>
      <c r="H21" s="232" t="n"/>
      <c r="I21" s="233" t="n"/>
      <c r="J21" s="42" t="n"/>
      <c r="K21" s="232" t="n"/>
      <c r="L21" s="589" t="n"/>
      <c r="M21" s="232" t="n"/>
      <c r="N21" s="232" t="n"/>
      <c r="O21" s="590" t="n"/>
      <c r="P21" s="591" t="n">
        <v>-1898</v>
      </c>
      <c r="Q21" s="591" t="n"/>
      <c r="R21" s="591" t="n"/>
      <c r="S21" s="591" t="n"/>
      <c r="T21" s="591" t="n"/>
      <c r="U21" s="69" t="n"/>
      <c r="V21" s="69" t="n"/>
      <c r="W21" s="71" t="n"/>
      <c r="X21" s="592" t="n"/>
      <c r="Y21" s="42" t="n"/>
      <c r="Z21" s="47" t="n"/>
      <c r="AA21" s="588">
        <f>((I21-A21)*G21)/365.24</f>
        <v/>
      </c>
      <c r="AB21" s="226" t="n"/>
      <c r="AC21" s="226" t="n"/>
      <c r="AE21" s="754">
        <f>IF(AD21="","",AD21-J21)</f>
        <v/>
      </c>
      <c r="AG21" s="755">
        <f>IF(AF21="","",AF21-L21)</f>
        <v/>
      </c>
    </row>
    <row r="22">
      <c r="A22" s="228" t="n">
        <v>42438</v>
      </c>
      <c r="B22" s="229" t="inlineStr">
        <is>
          <t>普通買進</t>
        </is>
      </c>
      <c r="C22" s="229" t="n">
        <v>1815</v>
      </c>
      <c r="D22" s="229">
        <f>VLOOKUP(C22,每日行情!A:B,2,FALSE)</f>
        <v/>
      </c>
      <c r="E22" s="229" t="n">
        <v>1000</v>
      </c>
      <c r="F22" s="229" t="n">
        <v>11.75</v>
      </c>
      <c r="G22" s="229">
        <f>E22*F22</f>
        <v/>
      </c>
      <c r="H22" s="229" t="n">
        <v>20</v>
      </c>
      <c r="I22" s="324" t="n">
        <v>42446</v>
      </c>
      <c r="J22" s="16" t="n">
        <v>11.55</v>
      </c>
      <c r="K22" s="229">
        <f>E22*J22</f>
        <v/>
      </c>
      <c r="L22" s="17" t="n">
        <v>20</v>
      </c>
      <c r="M22" s="229" t="n">
        <v>34</v>
      </c>
      <c r="N22" s="229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/>
      <c r="T22" s="585">
        <f>IF(ROUND(R22*(1+V22),0)&gt;5000,ROUND(ROUND(R22*(1+V22),0)*2%,0),0)</f>
        <v/>
      </c>
      <c r="U22" s="65">
        <f>(V22*50%)/(1+50%*V22)</f>
        <v/>
      </c>
      <c r="V22" s="65" t="n"/>
      <c r="W22" s="66" t="n"/>
      <c r="X22" s="586">
        <f>(P22+Q22)/G22</f>
        <v/>
      </c>
      <c r="Y22" s="16">
        <f>VLOOKUP(C22,#REF!,3,FALSE)</f>
        <v/>
      </c>
      <c r="Z22" s="587" t="n"/>
      <c r="AA22" s="588">
        <f>((I22-A22)*G22)/365.24</f>
        <v/>
      </c>
      <c r="AB22" s="230" t="inlineStr">
        <is>
          <t>阿水一式、法人持股增加</t>
        </is>
      </c>
      <c r="AC22" s="230" t="inlineStr">
        <is>
          <t>大盤高點震盪、個股接近20MA</t>
        </is>
      </c>
      <c r="AE22" s="754">
        <f>IF(AD22="","",AD22-J22)</f>
        <v/>
      </c>
      <c r="AG22" s="755">
        <f>IF(AF22="","",AF22-L22)</f>
        <v/>
      </c>
    </row>
    <row r="23">
      <c r="A23" s="228" t="n">
        <v>42438</v>
      </c>
      <c r="B23" s="229" t="inlineStr">
        <is>
          <t>普通買進</t>
        </is>
      </c>
      <c r="C23" s="229" t="n">
        <v>3163</v>
      </c>
      <c r="D23" s="229">
        <f>VLOOKUP(C23,每日行情!A:B,2,FALSE)</f>
        <v/>
      </c>
      <c r="E23" s="229" t="n">
        <v>1000</v>
      </c>
      <c r="F23" s="229" t="n">
        <v>47.85</v>
      </c>
      <c r="G23" s="229">
        <f>E23*F23</f>
        <v/>
      </c>
      <c r="H23" s="229" t="n">
        <v>40</v>
      </c>
      <c r="I23" s="324" t="n">
        <v>42446</v>
      </c>
      <c r="J23" s="16" t="n">
        <v>48</v>
      </c>
      <c r="K23" s="229">
        <f>E23*J23</f>
        <v/>
      </c>
      <c r="L23" s="17" t="n">
        <v>41</v>
      </c>
      <c r="M23" s="229" t="n">
        <v>144</v>
      </c>
      <c r="N23" s="229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/>
      <c r="T23" s="585">
        <f>IF(ROUND(R23*(1+V23),0)&gt;5000,ROUND(ROUND(R23*(1+V23),0)*2%,0),0)</f>
        <v/>
      </c>
      <c r="U23" s="65">
        <f>(V23*50%)/(1+50%*V23)</f>
        <v/>
      </c>
      <c r="V23" s="65" t="n"/>
      <c r="W23" s="66" t="n"/>
      <c r="X23" s="586">
        <f>(P23+Q23)/G23</f>
        <v/>
      </c>
      <c r="Y23" s="16">
        <f>VLOOKUP(C23,#REF!,3,FALSE)</f>
        <v/>
      </c>
      <c r="Z23" s="587" t="n"/>
      <c r="AA23" s="588">
        <f>((I23-A23)*G23)/365.24</f>
        <v/>
      </c>
      <c r="AB23" s="230" t="inlineStr">
        <is>
          <t>阿水一式、法人持股增加</t>
        </is>
      </c>
      <c r="AC23" s="230" t="inlineStr">
        <is>
          <t>大盤高點震盪、個股接近20MA</t>
        </is>
      </c>
      <c r="AE23" s="754">
        <f>IF(AD23="","",AD23-J23)</f>
        <v/>
      </c>
      <c r="AG23" s="755">
        <f>IF(AF23="","",AF23-L23)</f>
        <v/>
      </c>
    </row>
    <row r="24">
      <c r="A24" s="228" t="n">
        <v>42440</v>
      </c>
      <c r="B24" s="229" t="inlineStr">
        <is>
          <t>普通買進</t>
        </is>
      </c>
      <c r="C24" s="229" t="n">
        <v>2489</v>
      </c>
      <c r="D24" s="229">
        <f>VLOOKUP(C24,每日行情!A:B,2,FALSE)</f>
        <v/>
      </c>
      <c r="E24" s="229" t="n">
        <v>1000</v>
      </c>
      <c r="F24" s="229" t="n">
        <v>17.5</v>
      </c>
      <c r="G24" s="229">
        <f>E24*F24</f>
        <v/>
      </c>
      <c r="H24" s="229" t="n">
        <v>20</v>
      </c>
      <c r="I24" s="324" t="n">
        <v>42447</v>
      </c>
      <c r="J24" s="16" t="n">
        <v>16.35</v>
      </c>
      <c r="K24" s="229">
        <f>E24*J24</f>
        <v/>
      </c>
      <c r="L24" s="17" t="n">
        <v>20</v>
      </c>
      <c r="M24" s="229" t="n">
        <v>49</v>
      </c>
      <c r="N24" s="229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/>
      <c r="T24" s="585">
        <f>IF(ROUND(R24*(1+V24),0)&gt;5000,ROUND(ROUND(R24*(1+V24),0)*2%,0),0)</f>
        <v/>
      </c>
      <c r="U24" s="65">
        <f>(V24*50%)/(1+50%*V24)</f>
        <v/>
      </c>
      <c r="V24" s="65" t="n"/>
      <c r="W24" s="66" t="n"/>
      <c r="X24" s="586">
        <f>(P24+Q24)/G24</f>
        <v/>
      </c>
      <c r="Y24" s="16">
        <f>VLOOKUP(C24,#REF!,3,FALSE)</f>
        <v/>
      </c>
      <c r="Z24" s="587" t="n"/>
      <c r="AA24" s="588">
        <f>((I24-A24)*G24)/365.24</f>
        <v/>
      </c>
      <c r="AB24" s="230" t="inlineStr">
        <is>
          <t>阿水一式</t>
        </is>
      </c>
      <c r="AC24" s="230" t="inlineStr">
        <is>
          <t>跌破20MA，跌破6%停損門檻</t>
        </is>
      </c>
      <c r="AE24" s="754">
        <f>IF(AD24="","",AD24-J24)</f>
        <v/>
      </c>
      <c r="AH24" s="230" t="inlineStr">
        <is>
          <t>3/21 賣出後下一交易日漲停</t>
        </is>
      </c>
    </row>
    <row r="25">
      <c r="A25" s="228" t="n">
        <v>42443</v>
      </c>
      <c r="B25" s="229" t="inlineStr">
        <is>
          <t>普通買進</t>
        </is>
      </c>
      <c r="C25" s="229" t="n">
        <v>4728</v>
      </c>
      <c r="D25" s="229">
        <f>VLOOKUP(C25,每日行情!A:B,2,FALSE)</f>
        <v/>
      </c>
      <c r="E25" s="229" t="n">
        <v>1000</v>
      </c>
      <c r="F25" s="229" t="n">
        <v>46.85</v>
      </c>
      <c r="G25" s="229">
        <f>E25*F25</f>
        <v/>
      </c>
      <c r="H25" s="229" t="n">
        <v>40</v>
      </c>
      <c r="I25" s="324" t="n">
        <v>42458</v>
      </c>
      <c r="J25" s="16" t="n">
        <v>44.6</v>
      </c>
      <c r="K25" s="229">
        <f>E25*J25</f>
        <v/>
      </c>
      <c r="L25" s="17" t="n">
        <v>38</v>
      </c>
      <c r="M25" s="229" t="n">
        <v>133</v>
      </c>
      <c r="N25" s="229" t="n">
        <v>0</v>
      </c>
      <c r="O25" s="584">
        <f>IF(I25="",E25*Y25,0)</f>
        <v/>
      </c>
      <c r="P25" s="585">
        <f>IF(I25="",R25-H25,(K25-H25-SUM(L25:N25)+R25-S25-T25)-G25)+(ROUND(R25*V25,0)-ROUND(R25*(1+V25),0)*W25)</f>
        <v/>
      </c>
      <c r="Q25" s="585">
        <f>IF(I25="",(O25-G25-(O25*0.1425%*0.65)-(O25*0.3%)-S25-T25),0)</f>
        <v/>
      </c>
      <c r="R25" s="585" t="n"/>
      <c r="S25" s="585" t="n"/>
      <c r="T25" s="585">
        <f>IF(ROUND(R25*(1+V25),0)&gt;5000,ROUND(ROUND(R25*(1+V25),0)*2%,0),0)</f>
        <v/>
      </c>
      <c r="U25" s="65">
        <f>(V25*50%)/(1+50%*V25)</f>
        <v/>
      </c>
      <c r="V25" s="65" t="n"/>
      <c r="W25" s="66" t="n"/>
      <c r="X25" s="586">
        <f>(P25+Q25)/G25</f>
        <v/>
      </c>
      <c r="Y25" s="16">
        <f>VLOOKUP(C25,#REF!,3,FALSE)</f>
        <v/>
      </c>
      <c r="Z25" s="587" t="n"/>
      <c r="AA25" s="588">
        <f>((I25-A25)*G25)/365.24</f>
        <v/>
      </c>
      <c r="AB25" s="230" t="inlineStr">
        <is>
          <t>阿水一式、黃綠紅成型、法人持股增加、量價創百日新高</t>
        </is>
      </c>
      <c r="AC25" s="230" t="inlineStr">
        <is>
          <t>大盤高點震盪、個股跌破20MA</t>
        </is>
      </c>
      <c r="AD25" s="226" t="n">
        <v>48.5</v>
      </c>
      <c r="AE25" s="754">
        <f>IF(AD25="","",AD25-J25)</f>
        <v/>
      </c>
      <c r="AH25" s="230" t="inlineStr">
        <is>
          <t>3/30 賣出後下一交易日大盤大漲119點</t>
        </is>
      </c>
    </row>
    <row r="26">
      <c r="A26" s="228" t="n">
        <v>42444</v>
      </c>
      <c r="B26" s="229" t="inlineStr">
        <is>
          <t>普通買進</t>
        </is>
      </c>
      <c r="C26" s="229" t="n">
        <v>6213</v>
      </c>
      <c r="D26" s="229">
        <f>VLOOKUP(C26,每日行情!A:B,2,FALSE)</f>
        <v/>
      </c>
      <c r="E26" s="229" t="n">
        <v>1000</v>
      </c>
      <c r="F26" s="229" t="n">
        <v>26.6</v>
      </c>
      <c r="G26" s="229">
        <f>E26*F26</f>
        <v/>
      </c>
      <c r="H26" s="229" t="n">
        <v>22</v>
      </c>
      <c r="I26" s="324" t="n">
        <v>42446</v>
      </c>
      <c r="J26" s="16" t="n">
        <v>26.75</v>
      </c>
      <c r="K26" s="229">
        <f>E26*J26</f>
        <v/>
      </c>
      <c r="L26" s="17" t="n">
        <v>22</v>
      </c>
      <c r="M26" s="229" t="n">
        <v>80</v>
      </c>
      <c r="N26" s="229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/>
      <c r="T26" s="585">
        <f>IF(ROUND(R26*(1+V26),0)&gt;5000,ROUND(ROUND(R26*(1+V26),0)*2%,0),0)</f>
        <v/>
      </c>
      <c r="U26" s="65">
        <f>(V26*50%)/(1+50%*V26)</f>
        <v/>
      </c>
      <c r="V26" s="65" t="n"/>
      <c r="W26" s="66" t="n"/>
      <c r="X26" s="586">
        <f>(P26+Q26)/G26</f>
        <v/>
      </c>
      <c r="Y26" s="16">
        <f>VLOOKUP(C26,#REF!,3,FALSE)</f>
        <v/>
      </c>
      <c r="Z26" s="587" t="n"/>
      <c r="AA26" s="588">
        <f>((I26-A26)*G26)/365.24</f>
        <v/>
      </c>
      <c r="AB26" s="230" t="inlineStr">
        <is>
          <t>阿水一式、黃綠紅成型</t>
        </is>
      </c>
      <c r="AC26" s="230" t="inlineStr">
        <is>
          <t>大盤高點震盪、個股接近20MA</t>
        </is>
      </c>
      <c r="AE26" s="754">
        <f>IF(AD26="","",AD26-J26)</f>
        <v/>
      </c>
      <c r="AG26" s="755">
        <f>IF(AF26="","",AF26-L26)</f>
        <v/>
      </c>
    </row>
    <row r="27">
      <c r="A27" s="228" t="n">
        <v>42398</v>
      </c>
      <c r="B27" s="229" t="inlineStr">
        <is>
          <t>普通買進</t>
        </is>
      </c>
      <c r="C27" s="229" t="n">
        <v>3032</v>
      </c>
      <c r="D27" s="229">
        <f>VLOOKUP(C27,每日行情!A:B,2,FALSE)</f>
        <v/>
      </c>
      <c r="E27" s="229" t="n">
        <v>1000</v>
      </c>
      <c r="F27" s="229" t="n">
        <v>24.5</v>
      </c>
      <c r="G27" s="229">
        <f>E27*F27</f>
        <v/>
      </c>
      <c r="H27" s="229" t="n">
        <v>20</v>
      </c>
      <c r="I27" s="324" t="n">
        <v>42446</v>
      </c>
      <c r="J27" s="16" t="n">
        <v>37.05</v>
      </c>
      <c r="K27" s="229">
        <f>E27*J27</f>
        <v/>
      </c>
      <c r="L27" s="17" t="n">
        <v>31</v>
      </c>
      <c r="M27" s="229" t="n">
        <v>111</v>
      </c>
      <c r="N27" s="229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/>
      <c r="S27" s="585" t="n"/>
      <c r="T27" s="585">
        <f>IF(ROUND(R27*(1+V27),0)&gt;5000,ROUND(ROUND(R27*(1+V27),0)*2%,0),0)</f>
        <v/>
      </c>
      <c r="U27" s="65">
        <f>(V27*50%)/(1+50%*V27)</f>
        <v/>
      </c>
      <c r="V27" s="65" t="n"/>
      <c r="W27" s="66" t="n"/>
      <c r="X27" s="586">
        <f>(P27+Q27)/G27</f>
        <v/>
      </c>
      <c r="Y27" s="16">
        <f>VLOOKUP(C27,#REF!,3,FALSE)</f>
        <v/>
      </c>
      <c r="Z27" s="587" t="n"/>
      <c r="AA27" s="588">
        <f>((I27-A27)*G27)/365.24</f>
        <v/>
      </c>
      <c r="AB27" s="230" t="inlineStr">
        <is>
          <t>現買沖</t>
        </is>
      </c>
      <c r="AC27" s="230" t="inlineStr">
        <is>
          <t>現買沖</t>
        </is>
      </c>
      <c r="AE27" s="754">
        <f>IF(AD27="","",AD27-J27)</f>
        <v/>
      </c>
    </row>
    <row r="28">
      <c r="A28" s="228" t="n">
        <v>42446</v>
      </c>
      <c r="B28" s="229" t="inlineStr">
        <is>
          <t>普通買進</t>
        </is>
      </c>
      <c r="C28" s="229" t="n">
        <v>3032</v>
      </c>
      <c r="D28" s="229">
        <f>VLOOKUP(C28,每日行情!A:B,2,FALSE)</f>
        <v/>
      </c>
      <c r="E28" s="229" t="n">
        <v>1000</v>
      </c>
      <c r="F28" s="229" t="n">
        <v>36.15</v>
      </c>
      <c r="G28" s="229">
        <f>E28*F28</f>
        <v/>
      </c>
      <c r="H28" s="229" t="n">
        <v>30</v>
      </c>
      <c r="I28" s="324" t="n">
        <v>42457</v>
      </c>
      <c r="J28" s="16" t="n">
        <v>39.7</v>
      </c>
      <c r="K28" s="229">
        <f>E28*J28</f>
        <v/>
      </c>
      <c r="L28" s="17" t="n">
        <v>33</v>
      </c>
      <c r="M28" s="229" t="n">
        <v>119</v>
      </c>
      <c r="N28" s="229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/>
      <c r="T28" s="585">
        <f>IF(ROUND(R28*(1+V28),0)&gt;5000,ROUND(ROUND(R28*(1+V28),0)*2%,0),0)</f>
        <v/>
      </c>
      <c r="U28" s="65">
        <f>(V28*50%)/(1+50%*V28)</f>
        <v/>
      </c>
      <c r="V28" s="65" t="n"/>
      <c r="W28" s="66" t="n"/>
      <c r="X28" s="586">
        <f>(P28+Q28)/G28</f>
        <v/>
      </c>
      <c r="Y28" s="16">
        <f>VLOOKUP(C28,#REF!,3,FALSE)</f>
        <v/>
      </c>
      <c r="Z28" s="587" t="n"/>
      <c r="AA28" s="588">
        <f>((I28-A28)*G28)/365.24</f>
        <v/>
      </c>
      <c r="AB28" s="230" t="inlineStr">
        <is>
          <t>現買沖</t>
        </is>
      </c>
      <c r="AC28" s="230" t="inlineStr">
        <is>
          <t>現買沖</t>
        </is>
      </c>
      <c r="AD28" s="226" t="n">
        <v>38.3</v>
      </c>
      <c r="AE28" s="754">
        <f>IF(AD28="","",AD28-J28)</f>
        <v/>
      </c>
      <c r="AG28" s="755">
        <f>IF(AF28="","",AF28-L28)</f>
        <v/>
      </c>
      <c r="AH28" s="230" t="inlineStr">
        <is>
          <t>3/30 賣出後下一交易日大盤大漲119點</t>
        </is>
      </c>
    </row>
    <row r="29">
      <c r="A29" s="228" t="n">
        <v>42446</v>
      </c>
      <c r="B29" s="229" t="inlineStr">
        <is>
          <t>普通買進</t>
        </is>
      </c>
      <c r="C29" s="229" t="n">
        <v>3032</v>
      </c>
      <c r="D29" s="229">
        <f>VLOOKUP(C29,每日行情!A:B,2,FALSE)</f>
        <v/>
      </c>
      <c r="E29" s="229" t="n">
        <v>1000</v>
      </c>
      <c r="F29" s="229" t="n">
        <v>37.95</v>
      </c>
      <c r="G29" s="229">
        <f>E29*F29</f>
        <v/>
      </c>
      <c r="H29" s="229" t="n">
        <v>32</v>
      </c>
      <c r="I29" s="324" t="n">
        <v>42458</v>
      </c>
      <c r="J29" s="16" t="n">
        <v>38.45</v>
      </c>
      <c r="K29" s="229">
        <f>E29*J29</f>
        <v/>
      </c>
      <c r="L29" s="17" t="n">
        <v>32</v>
      </c>
      <c r="M29" s="229" t="n">
        <v>115</v>
      </c>
      <c r="N29" s="229" t="n">
        <v>0</v>
      </c>
      <c r="O29" s="584">
        <f>IF(I29="",E29*Y29,0)</f>
        <v/>
      </c>
      <c r="P29" s="585">
        <f>IF(I29="",R29-H29,(K29-H29-SUM(L29:N29)+R29-S29-T29)-G29)+(ROUND(R29*V29,0)-ROUND(R29*(1+V29),0)*W29)</f>
        <v/>
      </c>
      <c r="Q29" s="585">
        <f>IF(I29="",(O29-G29-(O29*0.1425%*0.65)-(O29*0.3%)-S29-T29),0)</f>
        <v/>
      </c>
      <c r="R29" s="585" t="n"/>
      <c r="S29" s="585" t="n"/>
      <c r="T29" s="585">
        <f>IF(ROUND(R29*(1+V29),0)&gt;5000,ROUND(ROUND(R29*(1+V29),0)*2%,0),0)</f>
        <v/>
      </c>
      <c r="U29" s="65">
        <f>(V29*50%)/(1+50%*V29)</f>
        <v/>
      </c>
      <c r="V29" s="65" t="n"/>
      <c r="W29" s="66" t="n"/>
      <c r="X29" s="586">
        <f>(P29+Q29)/G29</f>
        <v/>
      </c>
      <c r="Y29" s="16">
        <f>VLOOKUP(C29,#REF!,3,FALSE)</f>
        <v/>
      </c>
      <c r="Z29" s="587" t="n"/>
      <c r="AA29" s="588">
        <f>((I29-A29)*G29)/365.24</f>
        <v/>
      </c>
      <c r="AB29" s="230" t="inlineStr">
        <is>
          <t>阿水一式、黃綠紅成型</t>
        </is>
      </c>
      <c r="AD29" s="226" t="n">
        <v>39.45</v>
      </c>
      <c r="AE29" s="754">
        <f>IF(AD29="","",AD29-J29)</f>
        <v/>
      </c>
      <c r="AH29" s="230" t="inlineStr">
        <is>
          <t>3/30 賣出後下一交易日大盤大漲119點</t>
        </is>
      </c>
    </row>
    <row r="30">
      <c r="A30" s="228" t="n">
        <v>42457</v>
      </c>
      <c r="B30" s="229" t="inlineStr">
        <is>
          <t>普通買進</t>
        </is>
      </c>
      <c r="C30" s="229" t="n">
        <v>2492</v>
      </c>
      <c r="D30" s="229">
        <f>VLOOKUP(C30,每日行情!A:B,2,FALSE)</f>
        <v/>
      </c>
      <c r="E30" s="229" t="n">
        <v>1000</v>
      </c>
      <c r="F30" s="229" t="n">
        <v>24.9</v>
      </c>
      <c r="G30" s="229">
        <f>E30*F30</f>
        <v/>
      </c>
      <c r="H30" s="229" t="n">
        <v>21</v>
      </c>
      <c r="I30" s="324" t="n">
        <v>42458</v>
      </c>
      <c r="J30" s="16" t="n">
        <v>25.1</v>
      </c>
      <c r="K30" s="229">
        <f>E30*J30</f>
        <v/>
      </c>
      <c r="L30" s="17" t="n">
        <v>21</v>
      </c>
      <c r="M30" s="229" t="n">
        <v>75</v>
      </c>
      <c r="N30" s="229" t="n">
        <v>0</v>
      </c>
      <c r="O30" s="584">
        <f>IF(I30="",E30*Y30,0)</f>
        <v/>
      </c>
      <c r="P30" s="585">
        <f>IF(I30="",R30-H30,(K30-H30-SUM(L30:N30)+R30-S30-T30)-G30)+(ROUND(R30*V30,0)-ROUND(R30*(1+V30),0)*W30)</f>
        <v/>
      </c>
      <c r="Q30" s="585">
        <f>IF(I30="",(O30-G30-(O30*0.1425%*0.65)-(O30*0.3%)-S30-T30),0)</f>
        <v/>
      </c>
      <c r="R30" s="585" t="n"/>
      <c r="S30" s="585" t="n"/>
      <c r="T30" s="585">
        <f>IF(ROUND(R30*(1+V30),0)&gt;5000,ROUND(ROUND(R30*(1+V30),0)*2%,0),0)</f>
        <v/>
      </c>
      <c r="U30" s="65">
        <f>(V30*50%)/(1+50%*V30)</f>
        <v/>
      </c>
      <c r="V30" s="65" t="n"/>
      <c r="W30" s="66" t="n"/>
      <c r="X30" s="586">
        <f>(P30+Q30)/G30</f>
        <v/>
      </c>
      <c r="Y30" s="16">
        <f>VLOOKUP(C30,#REF!,3,FALSE)</f>
        <v/>
      </c>
      <c r="Z30" s="587" t="n"/>
      <c r="AA30" s="588">
        <f>((I30-A30)*G30)/365.24</f>
        <v/>
      </c>
      <c r="AB30" s="230" t="inlineStr">
        <is>
          <t>阿水一式、黃綠紅成型</t>
        </is>
      </c>
      <c r="AC30" s="230" t="inlineStr">
        <is>
          <t>大盤高點震盪、個股跌破20MA</t>
        </is>
      </c>
      <c r="AD30" s="226" t="n">
        <v>24.6</v>
      </c>
      <c r="AE30" s="754">
        <f>IF(AD30="","",AD30-J30)</f>
        <v/>
      </c>
      <c r="AH30" s="230" t="inlineStr">
        <is>
          <t>3/30 賣出後下一交易日大盤大漲119點、個股漲停</t>
        </is>
      </c>
    </row>
    <row r="31">
      <c r="A31" s="228" t="n">
        <v>42457</v>
      </c>
      <c r="B31" s="229" t="inlineStr">
        <is>
          <t>普通買進</t>
        </is>
      </c>
      <c r="C31" s="229" t="n">
        <v>4728</v>
      </c>
      <c r="D31" s="229">
        <f>VLOOKUP(C31,每日行情!A:B,2,FALSE)</f>
        <v/>
      </c>
      <c r="E31" s="229" t="n">
        <v>1000</v>
      </c>
      <c r="F31" s="229" t="n">
        <v>45.6</v>
      </c>
      <c r="G31" s="229">
        <f>E31*F31</f>
        <v/>
      </c>
      <c r="H31" s="229" t="n">
        <v>33</v>
      </c>
      <c r="I31" s="324" t="n">
        <v>42458</v>
      </c>
      <c r="J31" s="16" t="n">
        <v>44.5</v>
      </c>
      <c r="K31" s="229">
        <f>E31*J31</f>
        <v/>
      </c>
      <c r="L31" s="17" t="n">
        <v>38</v>
      </c>
      <c r="M31" s="229" t="n">
        <v>133</v>
      </c>
      <c r="N31" s="229" t="n">
        <v>0</v>
      </c>
      <c r="O31" s="584">
        <f>IF(I31="",E31*Y31,0)</f>
        <v/>
      </c>
      <c r="P31" s="585">
        <f>IF(I31="",R31-H31,(K31-H31-SUM(L31:N31)+R31-S31-T31)-G31)+(ROUND(R31*V31,0)-ROUND(R31*(1+V31),0)*W31)</f>
        <v/>
      </c>
      <c r="Q31" s="585">
        <f>IF(I31="",(O31-G31-(O31*0.1425%*0.65)-(O31*0.3%)-S31-T31),0)</f>
        <v/>
      </c>
      <c r="R31" s="585" t="n"/>
      <c r="S31" s="585" t="n"/>
      <c r="T31" s="585">
        <f>IF(ROUND(R31*(1+V31),0)&gt;5000,ROUND(ROUND(R31*(1+V31),0)*2%,0),0)</f>
        <v/>
      </c>
      <c r="U31" s="65">
        <f>(V31*50%)/(1+50%*V31)</f>
        <v/>
      </c>
      <c r="V31" s="65" t="n"/>
      <c r="W31" s="66" t="n"/>
      <c r="X31" s="586">
        <f>(P31+Q31)/G31</f>
        <v/>
      </c>
      <c r="Y31" s="16">
        <f>VLOOKUP(C31,#REF!,3,FALSE)</f>
        <v/>
      </c>
      <c r="Z31" s="587" t="n"/>
      <c r="AA31" s="588">
        <f>((I31-A31)*G31)/365.24</f>
        <v/>
      </c>
      <c r="AB31" s="230" t="inlineStr">
        <is>
          <t>黃綠紅成型、個股接近20MA</t>
        </is>
      </c>
      <c r="AC31" s="230" t="inlineStr">
        <is>
          <t>大盤高點震盪、個股跌破20MA</t>
        </is>
      </c>
      <c r="AD31" s="226" t="n">
        <v>48.5</v>
      </c>
      <c r="AE31" s="754">
        <f>IF(AD31="","",AD31-J31)</f>
        <v/>
      </c>
      <c r="AH31" s="230" t="inlineStr">
        <is>
          <t>3/30 賣出後下一交易日大盤大漲119點</t>
        </is>
      </c>
    </row>
    <row r="32">
      <c r="A32" s="228" t="n">
        <v>42457</v>
      </c>
      <c r="B32" s="229" t="inlineStr">
        <is>
          <t>普通買進</t>
        </is>
      </c>
      <c r="C32" s="229" t="n">
        <v>3032</v>
      </c>
      <c r="D32" s="229">
        <f>VLOOKUP(C32,每日行情!A:B,2,FALSE)</f>
        <v/>
      </c>
      <c r="E32" s="229" t="n">
        <v>1000</v>
      </c>
      <c r="F32" s="229" t="n">
        <v>39.5</v>
      </c>
      <c r="G32" s="229">
        <f>E32*F32</f>
        <v/>
      </c>
      <c r="H32" s="229" t="n">
        <v>38</v>
      </c>
      <c r="I32" s="324" t="n">
        <v>42481</v>
      </c>
      <c r="J32" s="16" t="n">
        <v>37.85</v>
      </c>
      <c r="K32" s="229">
        <f>E32*J32</f>
        <v/>
      </c>
      <c r="L32" s="17" t="n">
        <v>32</v>
      </c>
      <c r="M32" s="229" t="n">
        <v>113</v>
      </c>
      <c r="N32" s="229" t="n">
        <v>0</v>
      </c>
      <c r="O32" s="584">
        <f>IF(I32="",E32*Y32,0)</f>
        <v/>
      </c>
      <c r="P32" s="585">
        <f>IF(I32="",R32-H32,(K32-H32-SUM(L32:N32)+R32-S32-T32)-G32)+(ROUND(R32*V32,0)-ROUND(R32*(1+V32),0)*W32)</f>
        <v/>
      </c>
      <c r="Q32" s="585">
        <f>IF(I32="",(O32-G32-(O32*0.1425%*0.65)-(O32*0.3%)-S32-T32),0)</f>
        <v/>
      </c>
      <c r="R32" s="585" t="n"/>
      <c r="S32" s="585" t="n"/>
      <c r="T32" s="585">
        <f>IF(ROUND(R32*(1+V32),0)&gt;5000,ROUND(ROUND(R32*(1+V32),0)*2%,0),0)</f>
        <v/>
      </c>
      <c r="U32" s="65">
        <f>(V32*50%)/(1+50%*V32)</f>
        <v/>
      </c>
      <c r="V32" s="65" t="n"/>
      <c r="W32" s="66" t="n"/>
      <c r="X32" s="586">
        <f>(P32+Q32)/G32</f>
        <v/>
      </c>
      <c r="Y32" s="16">
        <f>VLOOKUP(C32,#REF!,3,FALSE)</f>
        <v/>
      </c>
      <c r="Z32" s="587" t="n"/>
      <c r="AA32" s="588">
        <f>((I32-A32)*G32)/365.24</f>
        <v/>
      </c>
      <c r="AB32" s="230" t="inlineStr">
        <is>
          <t>阿水一式、黃綠紅成型</t>
        </is>
      </c>
      <c r="AE32" s="754">
        <f>IF(AD32="","",AD32-J32)</f>
        <v/>
      </c>
    </row>
    <row r="33">
      <c r="A33" s="228" t="n">
        <v>42460</v>
      </c>
      <c r="B33" s="229" t="inlineStr">
        <is>
          <t>普通買進</t>
        </is>
      </c>
      <c r="C33" s="229" t="n">
        <v>3032</v>
      </c>
      <c r="D33" s="229">
        <f>VLOOKUP(C33,每日行情!A:B,2,FALSE)</f>
        <v/>
      </c>
      <c r="E33" s="229" t="n">
        <v>1000</v>
      </c>
      <c r="F33" s="229" t="n">
        <v>38.5</v>
      </c>
      <c r="G33" s="229">
        <f>E33*F33</f>
        <v/>
      </c>
      <c r="H33" s="229" t="n">
        <v>32</v>
      </c>
      <c r="I33" s="324" t="n">
        <v>42467</v>
      </c>
      <c r="J33" s="16" t="n">
        <v>39</v>
      </c>
      <c r="K33" s="229">
        <f>E33*J33</f>
        <v/>
      </c>
      <c r="L33" s="17" t="n">
        <v>33</v>
      </c>
      <c r="M33" s="229">
        <f>K33*0.3%</f>
        <v/>
      </c>
      <c r="N33" s="229" t="n">
        <v>0</v>
      </c>
      <c r="O33" s="584">
        <f>IF(I33="",E33*Y33,0)</f>
        <v/>
      </c>
      <c r="P33" s="585">
        <f>IF(I33="",R33-H33,(K33-H33-SUM(L33:N33)+R33-S33-T33)-G33)+(ROUND(R33*V33,0)-ROUND(R33*(1+V33),0)*W33)</f>
        <v/>
      </c>
      <c r="Q33" s="585">
        <f>IF(I33="",(O33-G33-(O33*0.1425%*0.65)-(O33*0.3%)-S33-T33),0)</f>
        <v/>
      </c>
      <c r="R33" s="585" t="n"/>
      <c r="S33" s="585" t="n"/>
      <c r="T33" s="585">
        <f>IF(ROUND(R33*(1+V33),0)&gt;5000,ROUND(ROUND(R33*(1+V33),0)*2%,0),0)</f>
        <v/>
      </c>
      <c r="U33" s="65">
        <f>(V33*50%)/(1+50%*V33)</f>
        <v/>
      </c>
      <c r="V33" s="65" t="n"/>
      <c r="W33" s="66" t="n"/>
      <c r="X33" s="586">
        <f>(P33+Q33)/G33</f>
        <v/>
      </c>
      <c r="Y33" s="16">
        <f>VLOOKUP(C33,#REF!,3,FALSE)</f>
        <v/>
      </c>
      <c r="Z33" s="587" t="n"/>
      <c r="AA33" s="588">
        <f>((I33-A33)*G33)/365.24</f>
        <v/>
      </c>
      <c r="AB33" s="230" t="inlineStr">
        <is>
          <t>阿水一式、黃綠紅成型</t>
        </is>
      </c>
      <c r="AC33" s="230" t="inlineStr">
        <is>
          <t>調節持股</t>
        </is>
      </c>
      <c r="AD33" s="226" t="n">
        <v>41.8</v>
      </c>
      <c r="AE33" s="754">
        <f>IF(AD33="","",AD33-J33)</f>
        <v/>
      </c>
    </row>
    <row r="34">
      <c r="A34" s="228" t="n">
        <v>42466</v>
      </c>
      <c r="B34" s="229" t="inlineStr">
        <is>
          <t>普通買進</t>
        </is>
      </c>
      <c r="C34" s="229" t="n">
        <v>1541</v>
      </c>
      <c r="D34" s="229">
        <f>VLOOKUP(C34,每日行情!A:B,2,FALSE)</f>
        <v/>
      </c>
      <c r="E34" s="229" t="n">
        <v>1000</v>
      </c>
      <c r="F34" s="229" t="n">
        <v>58.3</v>
      </c>
      <c r="G34" s="229">
        <f>E34*F34</f>
        <v/>
      </c>
      <c r="H34" s="229" t="n">
        <v>49</v>
      </c>
      <c r="I34" s="324" t="n">
        <v>42482</v>
      </c>
      <c r="J34" s="16" t="n">
        <v>61.2</v>
      </c>
      <c r="K34" s="229">
        <f>E34*J34</f>
        <v/>
      </c>
      <c r="L34" s="17" t="n">
        <v>52</v>
      </c>
      <c r="M34" s="229" t="n">
        <v>183</v>
      </c>
      <c r="N34" s="229" t="n">
        <v>0</v>
      </c>
      <c r="O34" s="584">
        <f>IF(I34="",E34*Y34,0)</f>
        <v/>
      </c>
      <c r="P34" s="585">
        <f>IF(I34="",R34-H34,(K34-H34-SUM(L34:N34)+R34-S34-T34)-G34)+(ROUND(R34*V34,0)-ROUND(R34*(1+V34),0)*W34)</f>
        <v/>
      </c>
      <c r="Q34" s="585">
        <f>IF(I34="",(O34-G34-(O34*0.1425%*0.65)-(O34*0.3%)-S34-T34),0)</f>
        <v/>
      </c>
      <c r="R34" s="585" t="n"/>
      <c r="S34" s="585" t="n"/>
      <c r="T34" s="585">
        <f>IF(ROUND(R34*(1+V34),0)&gt;5000,ROUND(ROUND(R34*(1+V34),0)*2%,0),0)</f>
        <v/>
      </c>
      <c r="U34" s="65">
        <f>(V34*50%)/(1+50%*V34)</f>
        <v/>
      </c>
      <c r="V34" s="65" t="n"/>
      <c r="W34" s="66" t="n"/>
      <c r="X34" s="586">
        <f>(P34+Q34)/G34</f>
        <v/>
      </c>
      <c r="Y34" s="16">
        <f>VLOOKUP(C34,#REF!,3,FALSE)</f>
        <v/>
      </c>
      <c r="Z34" s="587" t="n"/>
      <c r="AA34" s="588">
        <f>((I34-A34)*G34)/365.24</f>
        <v/>
      </c>
      <c r="AB34" s="230" t="inlineStr">
        <is>
          <t>阿水一式、黃綠紅成型</t>
        </is>
      </c>
      <c r="AE34" s="754">
        <f>IF(AD34="","",AD34-J34)</f>
        <v/>
      </c>
    </row>
    <row r="35">
      <c r="A35" s="228" t="n">
        <v>42467</v>
      </c>
      <c r="B35" s="229" t="inlineStr">
        <is>
          <t>普通買進</t>
        </is>
      </c>
      <c r="C35" s="229" t="n">
        <v>6227</v>
      </c>
      <c r="D35" s="229">
        <f>VLOOKUP(C35,每日行情!A:B,2,FALSE)</f>
        <v/>
      </c>
      <c r="E35" s="229" t="n">
        <v>1000</v>
      </c>
      <c r="F35" s="229" t="n">
        <v>46.85</v>
      </c>
      <c r="G35" s="229">
        <f>E35*F35</f>
        <v/>
      </c>
      <c r="H35" s="229" t="n">
        <v>40</v>
      </c>
      <c r="I35" s="324" t="n">
        <v>42480</v>
      </c>
      <c r="J35" s="16" t="n">
        <v>44.9</v>
      </c>
      <c r="K35" s="229">
        <f>E35*J35</f>
        <v/>
      </c>
      <c r="L35" s="17" t="n">
        <v>38</v>
      </c>
      <c r="M35" s="229" t="n">
        <v>134</v>
      </c>
      <c r="N35" s="229" t="n">
        <v>0</v>
      </c>
      <c r="O35" s="584">
        <f>IF(I35="",E35*Y35,0)</f>
        <v/>
      </c>
      <c r="P35" s="585">
        <f>IF(I35="",R35-H35,(K35-H35-SUM(L35:N35)+R35-S35-T35)-G35)+(ROUND(R35*V35,0)-ROUND(R35*(1+V35),0)*W35)</f>
        <v/>
      </c>
      <c r="Q35" s="585">
        <f>IF(I35="",(O35-G35-(O35*0.1425%*0.65)-(O35*0.3%)-S35-T35),0)</f>
        <v/>
      </c>
      <c r="R35" s="585" t="n"/>
      <c r="S35" s="585" t="n"/>
      <c r="T35" s="585">
        <f>IF(ROUND(R35*(1+V35),0)&gt;5000,ROUND(ROUND(R35*(1+V35),0)*2%,0),0)</f>
        <v/>
      </c>
      <c r="U35" s="65">
        <f>(V35*50%)/(1+50%*V35)</f>
        <v/>
      </c>
      <c r="V35" s="65" t="n"/>
      <c r="W35" s="66" t="n"/>
      <c r="X35" s="586">
        <f>(P35+Q35)/G35</f>
        <v/>
      </c>
      <c r="Y35" s="16">
        <f>VLOOKUP(C35,#REF!,3,FALSE)</f>
        <v/>
      </c>
      <c r="Z35" s="587" t="n"/>
      <c r="AA35" s="588">
        <f>((I35-A35)*G35)/365.24</f>
        <v/>
      </c>
      <c r="AB35" s="230" t="inlineStr">
        <is>
          <t>阿水一式、黃綠紅成型</t>
        </is>
      </c>
      <c r="AC35" s="230" t="inlineStr">
        <is>
          <t>跌破20MA，跌破6%停損門檻</t>
        </is>
      </c>
      <c r="AE35" s="754">
        <f>IF(AD35="","",AD35-J35)</f>
        <v/>
      </c>
    </row>
    <row r="36">
      <c r="A36" s="228" t="n">
        <v>42467</v>
      </c>
      <c r="B36" s="229" t="inlineStr">
        <is>
          <t>普通買進</t>
        </is>
      </c>
      <c r="C36" s="229" t="n">
        <v>2208</v>
      </c>
      <c r="D36" s="229">
        <f>VLOOKUP(C36,每日行情!A:B,2,FALSE)</f>
        <v/>
      </c>
      <c r="E36" s="229" t="n">
        <v>1000</v>
      </c>
      <c r="F36" s="229" t="n">
        <v>16.45</v>
      </c>
      <c r="G36" s="229">
        <f>E36*F36</f>
        <v/>
      </c>
      <c r="H36" s="229" t="n">
        <v>20</v>
      </c>
      <c r="I36" s="324" t="n">
        <v>42481</v>
      </c>
      <c r="J36" s="16" t="n">
        <v>15.8</v>
      </c>
      <c r="K36" s="229">
        <f>E36*J36</f>
        <v/>
      </c>
      <c r="L36" s="17" t="n">
        <v>20</v>
      </c>
      <c r="M36" s="229" t="n">
        <v>47</v>
      </c>
      <c r="N36" s="229" t="n">
        <v>0</v>
      </c>
      <c r="O36" s="584">
        <f>IF(I36="",E36*Y36,0)</f>
        <v/>
      </c>
      <c r="P36" s="585">
        <f>IF(I36="",R36-H36,(K36-H36-SUM(L36:N36)+R36-S36-T36)-G36)+(ROUND(R36*V36,0)-ROUND(R36*(1+V36),0)*W36)</f>
        <v/>
      </c>
      <c r="Q36" s="585">
        <f>IF(I36="",(O36-G36-(O36*0.1425%*0.65)-(O36*0.3%)-S36-T36),0)</f>
        <v/>
      </c>
      <c r="R36" s="585" t="n"/>
      <c r="S36" s="585" t="n"/>
      <c r="T36" s="585">
        <f>IF(ROUND(R36*(1+V36),0)&gt;5000,ROUND(ROUND(R36*(1+V36),0)*2%,0),0)</f>
        <v/>
      </c>
      <c r="U36" s="65">
        <f>(V36*50%)/(1+50%*V36)</f>
        <v/>
      </c>
      <c r="V36" s="65" t="n"/>
      <c r="W36" s="66" t="n"/>
      <c r="X36" s="586">
        <f>(P36+Q36)/G36</f>
        <v/>
      </c>
      <c r="Y36" s="16">
        <f>VLOOKUP(C36,#REF!,3,FALSE)</f>
        <v/>
      </c>
      <c r="Z36" s="587" t="n"/>
      <c r="AA36" s="588">
        <f>((I36-A36)*G36)/365.24</f>
        <v/>
      </c>
      <c r="AB36" s="230" t="inlineStr">
        <is>
          <t>阿水一式、黃綠紅成型</t>
        </is>
      </c>
      <c r="AE36" s="754">
        <f>IF(AD36="","",AD36-J36)</f>
        <v/>
      </c>
    </row>
    <row r="37">
      <c r="A37" s="228" t="n">
        <v>42467</v>
      </c>
      <c r="B37" s="229" t="inlineStr">
        <is>
          <t>普通買進</t>
        </is>
      </c>
      <c r="C37" s="229" t="n">
        <v>3023</v>
      </c>
      <c r="D37" s="229">
        <f>VLOOKUP(C37,每日行情!A:B,2,FALSE)</f>
        <v/>
      </c>
      <c r="E37" s="229" t="n">
        <v>1000</v>
      </c>
      <c r="F37" s="229" t="n">
        <v>66.7</v>
      </c>
      <c r="G37" s="229">
        <f>E37*F37</f>
        <v/>
      </c>
      <c r="H37" s="229" t="n">
        <v>57</v>
      </c>
      <c r="I37" s="324" t="n">
        <v>42482</v>
      </c>
      <c r="J37" s="16" t="n">
        <v>67.2</v>
      </c>
      <c r="K37" s="229">
        <f>E37*J37</f>
        <v/>
      </c>
      <c r="L37" s="17" t="n">
        <v>57</v>
      </c>
      <c r="M37" s="229" t="n">
        <v>201</v>
      </c>
      <c r="N37" s="229" t="n">
        <v>0</v>
      </c>
      <c r="O37" s="584">
        <f>IF(I37="",E37*Y37,0)</f>
        <v/>
      </c>
      <c r="P37" s="585">
        <f>IF(I37="",R37-H37,(K37-H37-SUM(L37:N37)+R37-S37-T37)-G37)+(ROUND(R37*V37,0)-ROUND(R37*(1+V37),0)*W37)</f>
        <v/>
      </c>
      <c r="Q37" s="585">
        <f>IF(I37="",(O37-G37-(O37*0.1425%*0.65)-(O37*0.3%)-S37-T37),0)</f>
        <v/>
      </c>
      <c r="R37" s="585" t="n"/>
      <c r="S37" s="585" t="n"/>
      <c r="T37" s="585">
        <f>IF(ROUND(R37*(1+V37),0)&gt;5000,ROUND(ROUND(R37*(1+V37),0)*2%,0),0)</f>
        <v/>
      </c>
      <c r="U37" s="65">
        <f>(V37*50%)/(1+50%*V37)</f>
        <v/>
      </c>
      <c r="V37" s="65" t="n"/>
      <c r="W37" s="66" t="n"/>
      <c r="X37" s="586">
        <f>(P37+Q37)/G37</f>
        <v/>
      </c>
      <c r="Y37" s="16">
        <f>VLOOKUP(C37,#REF!,3,FALSE)</f>
        <v/>
      </c>
      <c r="Z37" s="587" t="n"/>
      <c r="AA37" s="588">
        <f>((I37-A37)*G37)/365.24</f>
        <v/>
      </c>
      <c r="AB37" s="230" t="inlineStr">
        <is>
          <t>阿水一式、黃綠紅成型</t>
        </is>
      </c>
      <c r="AE37" s="754">
        <f>IF(AD37="","",AD37-J37)</f>
        <v/>
      </c>
    </row>
    <row r="38">
      <c r="A38" s="228" t="n">
        <v>42467</v>
      </c>
      <c r="B38" s="229" t="inlineStr">
        <is>
          <t>普通買進</t>
        </is>
      </c>
      <c r="C38" s="229" t="n">
        <v>3023</v>
      </c>
      <c r="D38" s="229">
        <f>VLOOKUP(C38,每日行情!A:B,2,FALSE)</f>
        <v/>
      </c>
      <c r="E38" s="229" t="n">
        <v>1000</v>
      </c>
      <c r="F38" s="229" t="n">
        <v>65.59999999999999</v>
      </c>
      <c r="G38" s="229">
        <f>E38*F38</f>
        <v/>
      </c>
      <c r="H38" s="229" t="n">
        <v>56</v>
      </c>
      <c r="I38" s="324" t="n">
        <v>42482</v>
      </c>
      <c r="J38" s="16" t="n">
        <v>65.59999999999999</v>
      </c>
      <c r="K38" s="229">
        <f>E38*J38</f>
        <v/>
      </c>
      <c r="L38" s="17" t="n">
        <v>56</v>
      </c>
      <c r="M38" s="229" t="n">
        <v>196</v>
      </c>
      <c r="N38" s="229" t="n">
        <v>0</v>
      </c>
      <c r="O38" s="584">
        <f>IF(I38="",E38*Y38,0)</f>
        <v/>
      </c>
      <c r="P38" s="585">
        <f>IF(I38="",R38-H38,(K38-H38-SUM(L38:N38)+R38-S38-T38)-G38)+(ROUND(R38*V38,0)-ROUND(R38*(1+V38),0)*W38)</f>
        <v/>
      </c>
      <c r="Q38" s="585">
        <f>IF(I38="",(O38-G38-(O38*0.1425%*0.65)-(O38*0.3%)-S38-T38),0)</f>
        <v/>
      </c>
      <c r="R38" s="585" t="n"/>
      <c r="S38" s="585" t="n"/>
      <c r="T38" s="585">
        <f>IF(ROUND(R38*(1+V38),0)&gt;5000,ROUND(ROUND(R38*(1+V38),0)*2%,0),0)</f>
        <v/>
      </c>
      <c r="U38" s="65">
        <f>(V38*50%)/(1+50%*V38)</f>
        <v/>
      </c>
      <c r="V38" s="65" t="n"/>
      <c r="W38" s="66" t="n"/>
      <c r="X38" s="586">
        <f>(P38+Q38)/G38</f>
        <v/>
      </c>
      <c r="Y38" s="16">
        <f>VLOOKUP(C38,#REF!,3,FALSE)</f>
        <v/>
      </c>
      <c r="Z38" s="587" t="n"/>
      <c r="AA38" s="588">
        <f>((I38-A38)*G38)/365.24</f>
        <v/>
      </c>
      <c r="AB38" s="230" t="inlineStr">
        <is>
          <t>阿水一式、黃綠紅成型</t>
        </is>
      </c>
      <c r="AE38" s="754">
        <f>IF(AD38="","",AD38-J38)</f>
        <v/>
      </c>
    </row>
    <row r="39">
      <c r="A39" s="228" t="n">
        <v>42467</v>
      </c>
      <c r="B39" s="229" t="inlineStr">
        <is>
          <t>普通買進</t>
        </is>
      </c>
      <c r="C39" s="229" t="n">
        <v>1524</v>
      </c>
      <c r="D39" s="229">
        <f>VLOOKUP(C39,每日行情!A:B,2,FALSE)</f>
        <v/>
      </c>
      <c r="E39" s="229" t="n">
        <v>1000</v>
      </c>
      <c r="F39" s="229" t="n">
        <v>8.43</v>
      </c>
      <c r="G39" s="229">
        <f>E39*F39</f>
        <v/>
      </c>
      <c r="H39" s="229" t="n">
        <v>20</v>
      </c>
      <c r="I39" s="324" t="n">
        <v>42493</v>
      </c>
      <c r="J39" s="16" t="n">
        <v>7.84</v>
      </c>
      <c r="K39" s="229">
        <f>E39*J39</f>
        <v/>
      </c>
      <c r="L39" s="17" t="n">
        <v>20</v>
      </c>
      <c r="M39" s="229" t="n">
        <v>23</v>
      </c>
      <c r="N39" s="229" t="n">
        <v>0</v>
      </c>
      <c r="O39" s="584">
        <f>IF(I39="",E39*Y39,0)</f>
        <v/>
      </c>
      <c r="P39" s="585">
        <f>IF(I39="",R39-H39,(K39-H39-SUM(L39:N39)+R39-S39-T39)-G39)+(ROUND(R39*V39,0)-ROUND(R39*(1+V39),0)*W39)</f>
        <v/>
      </c>
      <c r="Q39" s="585">
        <f>IF(I39="",(O39-G39-(O39*0.1425%*0.65)-(O39*0.3%)-S39-T39),0)</f>
        <v/>
      </c>
      <c r="R39" s="585" t="n"/>
      <c r="S39" s="585" t="n"/>
      <c r="T39" s="585">
        <f>IF(ROUND(R39*(1+V39),0)&gt;5000,ROUND(ROUND(R39*(1+V39),0)*2%,0),0)</f>
        <v/>
      </c>
      <c r="U39" s="65">
        <f>(V39*50%)/(1+50%*V39)</f>
        <v/>
      </c>
      <c r="V39" s="65" t="n"/>
      <c r="W39" s="66" t="n"/>
      <c r="X39" s="586">
        <f>(P39+Q39)/G39</f>
        <v/>
      </c>
      <c r="Y39" s="16">
        <f>VLOOKUP(C39,#REF!,3,FALSE)</f>
        <v/>
      </c>
      <c r="Z39" s="587" t="n"/>
      <c r="AA39" s="588">
        <f>((I39-A39)*G39)/365.24</f>
        <v/>
      </c>
      <c r="AB39" s="230" t="inlineStr">
        <is>
          <t>阿水一式、黃綠紅成型</t>
        </is>
      </c>
      <c r="AE39" s="754">
        <f>IF(AD39="","",AD39-J39)</f>
        <v/>
      </c>
    </row>
    <row r="40">
      <c r="A40" s="228" t="n">
        <v>42471</v>
      </c>
      <c r="B40" s="229" t="inlineStr">
        <is>
          <t>普通買進</t>
        </is>
      </c>
      <c r="C40" s="229" t="n">
        <v>2405</v>
      </c>
      <c r="D40" s="229">
        <f>VLOOKUP(C40,每日行情!A:B,2,FALSE)</f>
        <v/>
      </c>
      <c r="E40" s="229" t="n">
        <v>1000</v>
      </c>
      <c r="F40" s="229" t="n">
        <v>11.7</v>
      </c>
      <c r="G40" s="229">
        <f>E40*F40</f>
        <v/>
      </c>
      <c r="H40" s="229" t="n">
        <v>20</v>
      </c>
      <c r="I40" s="324" t="n">
        <v>42473</v>
      </c>
      <c r="J40" s="16" t="n">
        <v>10.45</v>
      </c>
      <c r="K40" s="229">
        <f>E40*J40</f>
        <v/>
      </c>
      <c r="L40" s="17" t="n">
        <v>20</v>
      </c>
      <c r="M40" s="229" t="n">
        <v>31</v>
      </c>
      <c r="N40" s="229" t="n">
        <v>0</v>
      </c>
      <c r="O40" s="584">
        <f>IF(I40="",E40*Y40,0)</f>
        <v/>
      </c>
      <c r="P40" s="585">
        <f>IF(I40="",R40-H40,(K40-H40-SUM(L40:N40)+R40-S40-T40)-G40)+(ROUND(R40*V40,0)-ROUND(R40*(1+V40),0)*W40)</f>
        <v/>
      </c>
      <c r="Q40" s="585">
        <f>IF(I40="",(O40-G40-(O40*0.1425%*0.65)-(O40*0.3%)-S40-T40),0)</f>
        <v/>
      </c>
      <c r="R40" s="585" t="n"/>
      <c r="S40" s="585" t="n"/>
      <c r="T40" s="585">
        <f>IF(ROUND(R40*(1+V40),0)&gt;5000,ROUND(ROUND(R40*(1+V40),0)*2%,0),0)</f>
        <v/>
      </c>
      <c r="U40" s="65">
        <f>(V40*50%)/(1+50%*V40)</f>
        <v/>
      </c>
      <c r="V40" s="65" t="n"/>
      <c r="W40" s="66" t="n"/>
      <c r="X40" s="586">
        <f>(P40+Q40)/G40</f>
        <v/>
      </c>
      <c r="Y40" s="16">
        <f>VLOOKUP(C40,#REF!,3,FALSE)</f>
        <v/>
      </c>
      <c r="Z40" s="587" t="n"/>
      <c r="AA40" s="588">
        <f>((I40-A40)*G40)/365.24</f>
        <v/>
      </c>
      <c r="AB40" s="230" t="inlineStr">
        <is>
          <t>阿水一式、黃綠紅成型</t>
        </is>
      </c>
      <c r="AC40" s="230" t="inlineStr">
        <is>
          <t>跌破20MA，跌破6%停損門檻</t>
        </is>
      </c>
      <c r="AD40" s="226" t="n">
        <v>9.550000000000001</v>
      </c>
      <c r="AE40" s="754">
        <f>IF(AD40="","",AD40-J40)</f>
        <v/>
      </c>
    </row>
    <row r="41">
      <c r="A41" s="228" t="n">
        <v>42473</v>
      </c>
      <c r="B41" s="229" t="inlineStr">
        <is>
          <t>普通買進</t>
        </is>
      </c>
      <c r="C41" s="229" t="n">
        <v>2405</v>
      </c>
      <c r="D41" s="229">
        <f>VLOOKUP(C41,每日行情!A:B,2,FALSE)</f>
        <v/>
      </c>
      <c r="E41" s="229" t="n">
        <v>1000</v>
      </c>
      <c r="F41" s="229" t="n">
        <v>10.85</v>
      </c>
      <c r="G41" s="229">
        <f>E41*F41</f>
        <v/>
      </c>
      <c r="H41" s="229" t="n">
        <v>20</v>
      </c>
      <c r="I41" s="324" t="n">
        <v>42473</v>
      </c>
      <c r="J41" s="16" t="n">
        <v>10.45</v>
      </c>
      <c r="K41" s="229">
        <f>E41*J41</f>
        <v/>
      </c>
      <c r="L41" s="17" t="n">
        <v>20</v>
      </c>
      <c r="M41" s="229" t="n">
        <v>31</v>
      </c>
      <c r="N41" s="229" t="n">
        <v>0</v>
      </c>
      <c r="O41" s="584">
        <f>IF(I41="",E41*Y41,0)</f>
        <v/>
      </c>
      <c r="P41" s="585">
        <f>IF(I41="",R41-H41,(K41-H41-SUM(L41:N41)+R41-S41-T41)-G41)+(ROUND(R41*V41,0)-ROUND(R41*(1+V41),0)*W41)</f>
        <v/>
      </c>
      <c r="Q41" s="585">
        <f>IF(I41="",(O41-G41-(O41*0.1425%*0.65)-(O41*0.3%)-S41-T41),0)</f>
        <v/>
      </c>
      <c r="R41" s="585" t="n"/>
      <c r="S41" s="585" t="n"/>
      <c r="T41" s="585">
        <f>IF(ROUND(R41*(1+V41),0)&gt;5000,ROUND(ROUND(R41*(1+V41),0)*2%,0),0)</f>
        <v/>
      </c>
      <c r="U41" s="65">
        <f>(V41*50%)/(1+50%*V41)</f>
        <v/>
      </c>
      <c r="V41" s="65" t="n"/>
      <c r="W41" s="66" t="n"/>
      <c r="X41" s="586">
        <f>(P41+Q41)/G41</f>
        <v/>
      </c>
      <c r="Y41" s="16">
        <f>VLOOKUP(C41,#REF!,3,FALSE)</f>
        <v/>
      </c>
      <c r="Z41" s="587" t="n"/>
      <c r="AA41" s="588">
        <f>((I41-A41)*G41)/365.24</f>
        <v/>
      </c>
      <c r="AB41" s="230" t="inlineStr">
        <is>
          <t>現買沖</t>
        </is>
      </c>
      <c r="AC41" s="230" t="inlineStr">
        <is>
          <t>現買沖</t>
        </is>
      </c>
      <c r="AD41" s="226" t="n">
        <v>9.550000000000001</v>
      </c>
      <c r="AE41" s="754">
        <f>IF(AD41="","",AD41-J41)</f>
        <v/>
      </c>
    </row>
    <row r="42">
      <c r="A42" s="228" t="n">
        <v>42482</v>
      </c>
      <c r="B42" s="229" t="inlineStr">
        <is>
          <t>普通買進</t>
        </is>
      </c>
      <c r="C42" s="229" t="n">
        <v>1522</v>
      </c>
      <c r="D42" s="229">
        <f>VLOOKUP(C42,每日行情!A:B,2,FALSE)</f>
        <v/>
      </c>
      <c r="E42" s="229" t="n">
        <v>1000</v>
      </c>
      <c r="F42" s="229" t="n">
        <v>27.6</v>
      </c>
      <c r="G42" s="229">
        <f>E42*F42</f>
        <v/>
      </c>
      <c r="H42" s="229" t="n">
        <v>23</v>
      </c>
      <c r="I42" s="324" t="n">
        <v>42493</v>
      </c>
      <c r="J42" s="16" t="n">
        <v>25.15</v>
      </c>
      <c r="K42" s="229">
        <f>E42*J42</f>
        <v/>
      </c>
      <c r="L42" s="17" t="n">
        <v>21</v>
      </c>
      <c r="M42" s="229" t="n">
        <v>75</v>
      </c>
      <c r="N42" s="229" t="n">
        <v>0</v>
      </c>
      <c r="O42" s="584">
        <f>IF(I42="",E42*Y42,0)</f>
        <v/>
      </c>
      <c r="P42" s="585">
        <f>IF(I42="",R42-H42,(K42-H42-SUM(L42:N42)+R42-S42-T42)-G42)+(ROUND(R42*V42,0)-ROUND(R42*(1+V42),0)*W42)</f>
        <v/>
      </c>
      <c r="Q42" s="585">
        <f>IF(I42="",(O42-G42-(O42*0.1425%*0.65)-(O42*0.3%)-S42-T42),0)</f>
        <v/>
      </c>
      <c r="R42" s="585" t="n"/>
      <c r="S42" s="585" t="n"/>
      <c r="T42" s="585">
        <f>IF(ROUND(R42*(1+V42),0)&gt;5000,ROUND(ROUND(R42*(1+V42),0)*2%,0),0)</f>
        <v/>
      </c>
      <c r="U42" s="65">
        <f>(V42*50%)/(1+50%*V42)</f>
        <v/>
      </c>
      <c r="V42" s="65" t="n"/>
      <c r="W42" s="66" t="n"/>
      <c r="X42" s="586">
        <f>(P42+Q42)/G42</f>
        <v/>
      </c>
      <c r="Y42" s="16">
        <f>VLOOKUP(C42,#REF!,3,FALSE)</f>
        <v/>
      </c>
      <c r="Z42" s="587" t="n"/>
      <c r="AA42" s="588">
        <f>((I42-A42)*G42)/365.24</f>
        <v/>
      </c>
      <c r="AB42" s="230" t="inlineStr">
        <is>
          <t>阿水一式、黃綠紅成型</t>
        </is>
      </c>
      <c r="AE42" s="754">
        <f>IF(AD42="","",AD42-J42)</f>
        <v/>
      </c>
    </row>
    <row r="43">
      <c r="A43" s="228" t="n">
        <v>42494</v>
      </c>
      <c r="B43" s="229" t="inlineStr">
        <is>
          <t>普通買進</t>
        </is>
      </c>
      <c r="C43" s="229" t="n">
        <v>2537</v>
      </c>
      <c r="D43" s="229">
        <f>VLOOKUP(C43,每日行情!A:B,2,FALSE)</f>
        <v/>
      </c>
      <c r="E43" s="229" t="n">
        <v>1000</v>
      </c>
      <c r="F43" s="229" t="n">
        <v>11.5</v>
      </c>
      <c r="G43" s="229">
        <f>E43*F43</f>
        <v/>
      </c>
      <c r="H43" s="229" t="n">
        <v>20</v>
      </c>
      <c r="I43" s="324" t="n">
        <v>42507</v>
      </c>
      <c r="J43" s="16" t="n">
        <v>11</v>
      </c>
      <c r="K43" s="229">
        <f>E43*J43</f>
        <v/>
      </c>
      <c r="L43" s="17" t="n">
        <v>20</v>
      </c>
      <c r="M43" s="229" t="n">
        <v>33</v>
      </c>
      <c r="N43" s="229" t="n">
        <v>0</v>
      </c>
      <c r="O43" s="584">
        <f>IF(I43="",E43*Y43,0)</f>
        <v/>
      </c>
      <c r="P43" s="585">
        <f>IF(I43="",R43-H43,(K43-H43-SUM(L43:N43)+R43-S43-T43)-G43)+(ROUND(R43*V43,0)-ROUND(R43*(1+V43),0)*W43)</f>
        <v/>
      </c>
      <c r="Q43" s="585">
        <f>IF(I43="",(O43-G43-(O43*0.1425%*0.65)-(O43*0.3%)-S43-T43),0)</f>
        <v/>
      </c>
      <c r="R43" s="585" t="n"/>
      <c r="S43" s="585" t="n"/>
      <c r="T43" s="585">
        <f>IF(ROUND(R43*(1+V43),0)&gt;5000,ROUND(ROUND(R43*(1+V43),0)*2%,0),0)</f>
        <v/>
      </c>
      <c r="U43" s="65">
        <f>(V43*50%)/(1+50%*V43)</f>
        <v/>
      </c>
      <c r="V43" s="65" t="n"/>
      <c r="W43" s="66" t="n"/>
      <c r="X43" s="586">
        <f>(P43+Q43)/G43</f>
        <v/>
      </c>
      <c r="Y43" s="16">
        <f>VLOOKUP(C43,#REF!,3,FALSE)</f>
        <v/>
      </c>
      <c r="Z43" s="587" t="n"/>
      <c r="AA43" s="588">
        <f>((I43-A43)*G43)/365.24</f>
        <v/>
      </c>
      <c r="AB43" s="230" t="inlineStr">
        <is>
          <t>阿水一式、黃綠紅成型</t>
        </is>
      </c>
      <c r="AE43" s="754">
        <f>IF(AD43="","",AD43-J43)</f>
        <v/>
      </c>
    </row>
    <row r="44">
      <c r="A44" s="228" t="n">
        <v>42502</v>
      </c>
      <c r="B44" s="229" t="inlineStr">
        <is>
          <t>普通買進</t>
        </is>
      </c>
      <c r="C44" s="229" t="n">
        <v>2430</v>
      </c>
      <c r="D44" s="229">
        <f>VLOOKUP(C44,每日行情!A:B,2,FALSE)</f>
        <v/>
      </c>
      <c r="E44" s="229" t="n">
        <v>1000</v>
      </c>
      <c r="F44" s="229" t="n">
        <v>22.4</v>
      </c>
      <c r="G44" s="229">
        <f>E44*F44</f>
        <v/>
      </c>
      <c r="H44" s="229" t="n">
        <v>20</v>
      </c>
      <c r="I44" s="324" t="n">
        <v>42507</v>
      </c>
      <c r="J44" s="16" t="n">
        <v>23.4</v>
      </c>
      <c r="K44" s="229">
        <f>E44*J44</f>
        <v/>
      </c>
      <c r="L44" s="17" t="n">
        <v>20</v>
      </c>
      <c r="M44" s="229" t="n">
        <v>70</v>
      </c>
      <c r="N44" s="229" t="n">
        <v>0</v>
      </c>
      <c r="O44" s="584">
        <f>IF(I44="",E44*Y44,0)</f>
        <v/>
      </c>
      <c r="P44" s="585">
        <f>IF(I44="",R44-H44,(K44-H44-SUM(L44:N44)+R44-S44-T44)-G44)+(ROUND(R44*V44,0)-ROUND(R44*(1+V44),0)*W44)</f>
        <v/>
      </c>
      <c r="Q44" s="585">
        <f>IF(I44="",(O44-G44-(O44*0.1425%*0.65)-(O44*0.3%)-S44-T44),0)</f>
        <v/>
      </c>
      <c r="R44" s="585" t="n"/>
      <c r="S44" s="585" t="n"/>
      <c r="T44" s="585">
        <f>IF(ROUND(R44*(1+V44),0)&gt;5000,ROUND(ROUND(R44*(1+V44),0)*2%,0),0)</f>
        <v/>
      </c>
      <c r="U44" s="65">
        <f>(V44*50%)/(1+50%*V44)</f>
        <v/>
      </c>
      <c r="V44" s="65" t="n"/>
      <c r="W44" s="66" t="n"/>
      <c r="X44" s="586">
        <f>(P44+Q44)/G44</f>
        <v/>
      </c>
      <c r="Y44" s="16">
        <f>VLOOKUP(C44,#REF!,3,FALSE)</f>
        <v/>
      </c>
      <c r="Z44" s="587" t="n"/>
      <c r="AA44" s="588">
        <f>((I44-A44)*G44)/365.24</f>
        <v/>
      </c>
      <c r="AB44" s="230" t="inlineStr">
        <is>
          <t>阿水一式、黃綠紅成型</t>
        </is>
      </c>
      <c r="AE44" s="754">
        <f>IF(AD44="","",AD44-J44)</f>
        <v/>
      </c>
    </row>
    <row r="45">
      <c r="A45" s="228" t="n">
        <v>42502</v>
      </c>
      <c r="B45" s="229" t="inlineStr">
        <is>
          <t>普通買進</t>
        </is>
      </c>
      <c r="C45" s="229" t="n">
        <v>3624</v>
      </c>
      <c r="D45" s="229">
        <f>VLOOKUP(C45,每日行情!A:B,2,FALSE)</f>
        <v/>
      </c>
      <c r="E45" s="229" t="n">
        <v>1000</v>
      </c>
      <c r="F45" s="229" t="n">
        <v>28.25</v>
      </c>
      <c r="G45" s="229">
        <f>E45*F45</f>
        <v/>
      </c>
      <c r="H45" s="229" t="n">
        <v>24</v>
      </c>
      <c r="I45" s="324" t="n">
        <v>42508</v>
      </c>
      <c r="J45" s="16" t="n">
        <v>27.9</v>
      </c>
      <c r="K45" s="229">
        <f>E45*J45</f>
        <v/>
      </c>
      <c r="L45" s="17" t="n">
        <v>23</v>
      </c>
      <c r="M45" s="229" t="n">
        <v>83</v>
      </c>
      <c r="N45" s="229" t="n">
        <v>0</v>
      </c>
      <c r="O45" s="584">
        <f>IF(I45="",E45*Y45,0)</f>
        <v/>
      </c>
      <c r="P45" s="585">
        <f>IF(I45="",R45-H45,(K45-H45-SUM(L45:N45)+R45-S45-T45)-G45)+(ROUND(R45*V45,0)-ROUND(R45*(1+V45),0)*W45)</f>
        <v/>
      </c>
      <c r="Q45" s="585">
        <f>IF(I45="",(O45-G45-(O45*0.1425%*0.65)-(O45*0.3%)-S45-T45),0)</f>
        <v/>
      </c>
      <c r="R45" s="585" t="n"/>
      <c r="S45" s="585" t="n"/>
      <c r="T45" s="585">
        <f>IF(ROUND(R45*(1+V45),0)&gt;5000,ROUND(ROUND(R45*(1+V45),0)*2%,0),0)</f>
        <v/>
      </c>
      <c r="U45" s="65">
        <f>(V45*50%)/(1+50%*V45)</f>
        <v/>
      </c>
      <c r="V45" s="65" t="n"/>
      <c r="W45" s="66" t="n"/>
      <c r="X45" s="586">
        <f>(P45+Q45)/G45</f>
        <v/>
      </c>
      <c r="Y45" s="16">
        <f>VLOOKUP(C45,#REF!,3,FALSE)</f>
        <v/>
      </c>
      <c r="Z45" s="587" t="n"/>
      <c r="AA45" s="588">
        <f>((I45-A45)*G45)/365.24</f>
        <v/>
      </c>
      <c r="AB45" s="230" t="inlineStr">
        <is>
          <t>阿水一式、黃綠紅成型</t>
        </is>
      </c>
      <c r="AE45" s="754">
        <f>IF(AD45="","",AD45-J45)</f>
        <v/>
      </c>
    </row>
    <row r="46">
      <c r="A46" s="734" t="n"/>
      <c r="B46" s="229" t="n"/>
      <c r="C46" s="229" t="n"/>
      <c r="D46" s="229" t="n"/>
      <c r="E46" s="229" t="n"/>
      <c r="F46" s="229" t="n"/>
      <c r="G46" s="280" t="n"/>
      <c r="H46" s="280" t="n"/>
      <c r="I46" s="234" t="n"/>
      <c r="J46" s="229" t="n"/>
      <c r="K46" s="280" t="n"/>
      <c r="L46" s="280" t="n"/>
      <c r="M46" s="280" t="n"/>
      <c r="N46" s="280" t="n"/>
      <c r="O46" s="280" t="n"/>
      <c r="P46" s="280" t="n"/>
      <c r="Q46" s="585" t="n"/>
      <c r="R46" s="280" t="n"/>
      <c r="S46" s="229" t="n"/>
      <c r="T46" s="585" t="n"/>
      <c r="U46" s="65" t="n"/>
      <c r="V46" s="285" t="n"/>
      <c r="W46" s="286" t="n"/>
      <c r="X46" s="285" t="n"/>
      <c r="Y46" s="229" t="n"/>
      <c r="Z46" s="587" t="n"/>
      <c r="AA46" s="588" t="n"/>
    </row>
    <row r="47">
      <c r="A47" s="231" t="n"/>
      <c r="B47" s="232" t="n"/>
      <c r="C47" s="232" t="n"/>
      <c r="D47" s="232" t="n"/>
      <c r="E47" s="232" t="n"/>
      <c r="F47" s="232" t="n"/>
      <c r="G47" s="232" t="n"/>
      <c r="H47" s="232" t="n"/>
      <c r="I47" s="233" t="n"/>
      <c r="J47" s="42" t="n"/>
      <c r="K47" s="232" t="n"/>
      <c r="L47" s="589" t="n"/>
      <c r="M47" s="232" t="n"/>
      <c r="N47" s="232" t="n"/>
      <c r="O47" s="590" t="n"/>
      <c r="P47" s="591" t="n"/>
      <c r="Q47" s="591" t="n"/>
      <c r="R47" s="591" t="n"/>
      <c r="S47" s="591" t="n"/>
      <c r="T47" s="591" t="n"/>
      <c r="U47" s="69" t="n"/>
      <c r="V47" s="69" t="n"/>
      <c r="W47" s="71" t="n"/>
      <c r="X47" s="592" t="n"/>
      <c r="Y47" s="42" t="n"/>
      <c r="Z47" s="47" t="n"/>
      <c r="AA47" s="588" t="n"/>
    </row>
    <row r="48">
      <c r="A48" s="228" t="n"/>
      <c r="B48" s="229" t="n"/>
      <c r="C48" s="229" t="n"/>
      <c r="D48" s="229" t="n"/>
      <c r="E48" s="229" t="n"/>
      <c r="F48" s="229" t="n"/>
      <c r="G48" s="229" t="n"/>
      <c r="H48" s="229" t="n"/>
      <c r="I48" s="234" t="n"/>
      <c r="J48" s="229" t="n"/>
      <c r="K48" s="229" t="n"/>
      <c r="L48" s="229" t="n"/>
      <c r="M48" s="229" t="n"/>
      <c r="N48" s="229" t="n"/>
      <c r="O48" s="584" t="n"/>
      <c r="P48" s="585" t="n"/>
      <c r="Q48" s="585" t="n"/>
      <c r="R48" s="585" t="n"/>
      <c r="S48" s="585" t="n"/>
      <c r="T48" s="585" t="n"/>
      <c r="U48" s="585" t="n"/>
      <c r="V48" s="65" t="n"/>
      <c r="W48" s="66" t="n"/>
      <c r="X48" s="586" t="n"/>
      <c r="Y48" s="16" t="n"/>
      <c r="Z48" s="587" t="n"/>
      <c r="AA48" s="588" t="n"/>
    </row>
    <row r="49">
      <c r="A49" s="235">
        <f>MIN(A50:A51)</f>
        <v/>
      </c>
      <c r="B49" s="236" t="n"/>
      <c r="C49" s="237" t="n"/>
      <c r="D49" s="236" t="n"/>
      <c r="E49" s="236" t="n"/>
      <c r="F49" s="236" t="n"/>
      <c r="G49" s="236" t="n"/>
      <c r="H49" s="236" t="n"/>
      <c r="I49" s="21" t="n"/>
      <c r="J49" s="22" t="n"/>
      <c r="K49" s="236" t="n"/>
      <c r="L49" s="661" t="n"/>
      <c r="M49" s="236" t="n"/>
      <c r="N49" s="236" t="n"/>
      <c r="O49" s="662" t="n"/>
      <c r="P49" s="663" t="n"/>
      <c r="Q49" s="663" t="n"/>
      <c r="R49" s="663" t="n"/>
      <c r="S49" s="663" t="n"/>
      <c r="T49" s="663" t="n"/>
      <c r="U49" s="663" t="n"/>
      <c r="V49" s="70" t="n"/>
      <c r="W49" s="72" t="n"/>
      <c r="X49" s="664" t="n"/>
      <c r="Y49" s="22" t="n"/>
      <c r="Z49" s="27" t="n"/>
      <c r="AA49" s="588" t="n"/>
    </row>
    <row r="50" hidden="1">
      <c r="A50" s="235" t="n"/>
      <c r="B50" s="236" t="n"/>
      <c r="C50" s="237" t="n"/>
      <c r="D50" s="236" t="n"/>
      <c r="E50" s="236" t="n"/>
      <c r="F50" s="236" t="n"/>
      <c r="G50" s="236" t="n"/>
      <c r="H50" s="236" t="n"/>
      <c r="I50" s="21" t="n"/>
      <c r="J50" s="22" t="n"/>
      <c r="K50" s="236" t="n"/>
      <c r="L50" s="661" t="n"/>
      <c r="M50" s="236" t="n"/>
      <c r="N50" s="236" t="n"/>
      <c r="O50" s="662" t="n"/>
      <c r="P50" s="663" t="n"/>
      <c r="Q50" s="663" t="n"/>
      <c r="R50" s="663" t="n"/>
      <c r="S50" s="663" t="n"/>
      <c r="T50" s="663" t="n"/>
      <c r="U50" s="663" t="n"/>
      <c r="V50" s="70" t="n"/>
      <c r="W50" s="72" t="n"/>
      <c r="X50" s="664" t="n"/>
      <c r="Y50" s="22" t="n"/>
      <c r="Z50" s="27" t="n"/>
      <c r="AA50" s="588">
        <f>((I50-A50)*G50)/365.24</f>
        <v/>
      </c>
    </row>
    <row r="51" ht="17.25" customHeight="1" thickBot="1">
      <c r="A51" s="238" t="n"/>
      <c r="B51" s="239" t="n"/>
      <c r="C51" s="239" t="n"/>
      <c r="D51" s="239" t="n"/>
      <c r="E51" s="239" t="n"/>
      <c r="F51" s="239" t="n"/>
      <c r="G51" s="239" t="n"/>
      <c r="H51" s="239" t="n"/>
      <c r="I51" s="240" t="n"/>
      <c r="J51" s="51" t="n"/>
      <c r="K51" s="239" t="n"/>
      <c r="L51" s="593" t="n"/>
      <c r="M51" s="239" t="n"/>
      <c r="N51" s="239" t="n"/>
      <c r="O51" s="594" t="n"/>
      <c r="P51" s="595" t="n"/>
      <c r="Q51" s="595" t="n"/>
      <c r="R51" s="595" t="n"/>
      <c r="S51" s="595" t="n"/>
      <c r="T51" s="596" t="n"/>
      <c r="U51" s="595" t="n"/>
      <c r="V51" s="595" t="n"/>
      <c r="W51" s="73" t="n"/>
      <c r="X51" s="597" t="n"/>
      <c r="Y51" s="51" t="n"/>
      <c r="Z51" s="56" t="n"/>
      <c r="AA51" s="588" t="n"/>
    </row>
    <row r="52" ht="17.25" customHeight="1" thickBot="1">
      <c r="A52" s="241" t="n"/>
      <c r="D52" s="226" t="n"/>
      <c r="I52" s="30" t="n"/>
      <c r="J52" s="31" t="n"/>
      <c r="L52" s="665" t="n"/>
      <c r="O52" s="666" t="n"/>
      <c r="P52" s="667" t="n"/>
      <c r="Q52" s="667" t="n"/>
      <c r="R52" s="667" t="n"/>
      <c r="S52" s="667" t="n"/>
      <c r="T52" s="667" t="n"/>
      <c r="U52" s="667" t="n"/>
      <c r="V52" s="667" t="n"/>
      <c r="W52" s="667" t="n"/>
      <c r="X52" s="668" t="n"/>
      <c r="Y52" s="31" t="n"/>
      <c r="Z52" s="31" t="n"/>
      <c r="AA52" s="31" t="n"/>
    </row>
    <row r="53" ht="17.25" customHeight="1" thickBot="1">
      <c r="A53" s="669" t="n"/>
      <c r="B53" s="600" t="n"/>
      <c r="C53" s="670" t="n"/>
      <c r="D53" s="569" t="inlineStr">
        <is>
          <t>持股小計</t>
        </is>
      </c>
      <c r="E53" s="736" t="n"/>
      <c r="F53" s="670" t="n"/>
      <c r="G53" s="59">
        <f>SUM(G49:G51)</f>
        <v/>
      </c>
      <c r="H53" s="59">
        <f>SUM(H49:H51)</f>
        <v/>
      </c>
      <c r="I53" s="736" t="n"/>
      <c r="J53" s="670" t="n"/>
      <c r="K53" s="59" t="n"/>
      <c r="L53" s="671" t="n"/>
      <c r="M53" s="671" t="n"/>
      <c r="N53" s="672" t="n"/>
      <c r="O53" s="59">
        <f>SUM(O49:O51)</f>
        <v/>
      </c>
      <c r="P53" s="59">
        <f>SUM(P49:P51)</f>
        <v/>
      </c>
      <c r="Q53" s="59">
        <f>SUM(Q49:Q51)</f>
        <v/>
      </c>
      <c r="R53" s="59">
        <f>SUM(R49:R51)</f>
        <v/>
      </c>
      <c r="S53" s="548" t="n"/>
      <c r="T53" s="548" t="n"/>
      <c r="U53" s="548" t="n"/>
      <c r="V53" s="548" t="n"/>
      <c r="W53" s="548" t="n"/>
      <c r="X53" s="674">
        <f>(P53+Q53)/G53</f>
        <v/>
      </c>
      <c r="Y53" s="532" t="inlineStr">
        <is>
          <t>年化報酬率</t>
        </is>
      </c>
      <c r="Z53" s="675">
        <f>IF(AA53=0,0,(P53+Q53)/(AA53))</f>
        <v/>
      </c>
      <c r="AA53" s="588">
        <f>SUM(AA49:AA51)</f>
        <v/>
      </c>
    </row>
    <row r="54" ht="17.25" customFormat="1" customHeight="1" s="244" thickBot="1">
      <c r="A54" s="602" t="n"/>
      <c r="C54" s="676" t="n"/>
      <c r="D54" s="569" t="inlineStr">
        <is>
          <t>2016總計</t>
        </is>
      </c>
      <c r="E54" s="677" t="n"/>
      <c r="F54" s="676" t="n"/>
      <c r="G54" s="60">
        <f>SUM(G4:G51)</f>
        <v/>
      </c>
      <c r="H54" s="60">
        <f>SUM(H4:H51)</f>
        <v/>
      </c>
      <c r="I54" s="677" t="n"/>
      <c r="J54" s="676" t="n"/>
      <c r="K54" s="60">
        <f>SUM(K4:K51)</f>
        <v/>
      </c>
      <c r="L54" s="60">
        <f>SUM(L4:L51)</f>
        <v/>
      </c>
      <c r="M54" s="60">
        <f>SUM(M4:M51)</f>
        <v/>
      </c>
      <c r="N54" s="60">
        <f>SUM(N4:N51)</f>
        <v/>
      </c>
      <c r="O54" s="60">
        <f>SUM(O4:O51)</f>
        <v/>
      </c>
      <c r="P54" s="60">
        <f>SUM(P4:P51)</f>
        <v/>
      </c>
      <c r="Q54" s="60">
        <f>SUM(Q4:Q51)</f>
        <v/>
      </c>
      <c r="R54" s="60">
        <f>SUM(R4:R51)</f>
        <v/>
      </c>
      <c r="S54" s="68" t="n"/>
      <c r="T54" s="68" t="n"/>
      <c r="U54" s="68" t="n"/>
      <c r="V54" s="68" t="n"/>
      <c r="W54" s="68" t="n"/>
      <c r="X54" s="674">
        <f>(P54+Q54)/G54</f>
        <v/>
      </c>
      <c r="Y54" s="604" t="n"/>
      <c r="Z54" s="675">
        <f>IF(AA54=0,0,(P54+Q54)/(AA54))</f>
        <v/>
      </c>
      <c r="AA54" s="588">
        <f>SUM(AA2:AA46)</f>
        <v/>
      </c>
      <c r="AB54" s="242" t="n"/>
      <c r="AC54" s="243" t="n"/>
      <c r="AE54" s="758" t="n"/>
      <c r="AG54" s="759" t="n"/>
      <c r="AH54" s="242" t="n"/>
    </row>
    <row r="55" ht="17.25" customFormat="1" customHeight="1" s="244" thickBot="1">
      <c r="A55" s="610" t="n"/>
      <c r="B55" s="611" t="n"/>
      <c r="C55" s="679" t="n"/>
      <c r="D55" s="569" t="inlineStr">
        <is>
          <t>總計</t>
        </is>
      </c>
      <c r="E55" s="680" t="n"/>
      <c r="F55" s="679" t="n"/>
      <c r="G55" s="60">
        <f>SUM(G2:G51)</f>
        <v/>
      </c>
      <c r="H55" s="60">
        <f>SUM(H2:H51)</f>
        <v/>
      </c>
      <c r="I55" s="680" t="n"/>
      <c r="J55" s="679" t="n"/>
      <c r="K55" s="60">
        <f>SUM(K2:K51)</f>
        <v/>
      </c>
      <c r="L55" s="60">
        <f>SUM(L2:L51)</f>
        <v/>
      </c>
      <c r="M55" s="60">
        <f>SUM(M2:M51)</f>
        <v/>
      </c>
      <c r="N55" s="60">
        <f>SUM(N2:N51)</f>
        <v/>
      </c>
      <c r="O55" s="60">
        <f>SUM(O2:O51)</f>
        <v/>
      </c>
      <c r="P55" s="60">
        <f>SUM(P2:P51)</f>
        <v/>
      </c>
      <c r="Q55" s="60">
        <f>SUM(Q2:Q51)</f>
        <v/>
      </c>
      <c r="R55" s="60">
        <f>SUM(R2:R51)</f>
        <v/>
      </c>
      <c r="S55" s="68" t="n"/>
      <c r="T55" s="68" t="n"/>
      <c r="U55" s="68" t="n"/>
      <c r="V55" s="68" t="n"/>
      <c r="W55" s="68" t="n"/>
      <c r="X55" s="674">
        <f>(P55+Q55)/G55</f>
        <v/>
      </c>
      <c r="Y55" s="613" t="n"/>
      <c r="Z55" s="675">
        <f>IF(AA55=0,0,(P55+Q55)/(AA55))</f>
        <v/>
      </c>
      <c r="AA55" s="588">
        <f>AA54+'15股'!AA145</f>
        <v/>
      </c>
      <c r="AB55" s="242" t="n"/>
      <c r="AC55" s="242" t="n"/>
      <c r="AE55" s="758" t="n"/>
      <c r="AG55" s="759" t="n"/>
      <c r="AH55" s="242" t="n"/>
    </row>
    <row r="56">
      <c r="A56" s="288" t="n"/>
      <c r="B56" s="245" t="n"/>
      <c r="C56" s="245" t="n"/>
      <c r="D56" s="226" t="n"/>
      <c r="AA56" s="588" t="n"/>
    </row>
    <row r="57" ht="17.25" customHeight="1" thickBot="1">
      <c r="A57" s="288" t="n"/>
      <c r="B57" s="245" t="n"/>
      <c r="C57" s="245" t="n"/>
      <c r="D57" s="226" t="n"/>
      <c r="AA57" s="588" t="n"/>
    </row>
    <row r="58" ht="17.25" customHeight="1" thickBot="1">
      <c r="A58" s="61" t="n"/>
      <c r="C58" s="61" t="inlineStr">
        <is>
          <t>阿水一式</t>
        </is>
      </c>
      <c r="D58" s="159" t="inlineStr">
        <is>
          <t>總計</t>
        </is>
      </c>
      <c r="E58" s="289" t="n"/>
      <c r="F58" s="289" t="n"/>
      <c r="G58" s="59">
        <f>SUM(G7,G12,G16:G18,G22:G40,G42:G44)</f>
        <v/>
      </c>
      <c r="H58" s="59">
        <f>SUM(H7,H12,H16:H18,H22:H37)</f>
        <v/>
      </c>
      <c r="I58" s="289" t="n"/>
      <c r="J58" s="289" t="n"/>
      <c r="K58" s="59" t="n"/>
      <c r="L58" s="671" t="n"/>
      <c r="M58" s="671" t="n"/>
      <c r="N58" s="672" t="n"/>
      <c r="O58" s="59">
        <f>SUM(O7,O12,O16:O18,O22:O37)</f>
        <v/>
      </c>
      <c r="P58" s="59">
        <f>SUM(P7,P12,P16:P18,P22:P40,P42:P44)</f>
        <v/>
      </c>
      <c r="Q58" s="59">
        <f>SUM(Q7,Q12,Q16:Q18,Q22:Q37)</f>
        <v/>
      </c>
      <c r="R58" s="59">
        <f>SUM(R7,R12,R16:R18,R22:R37)</f>
        <v/>
      </c>
      <c r="S58" s="548" t="n"/>
      <c r="T58" s="548" t="n"/>
      <c r="U58" s="548" t="n"/>
      <c r="V58" s="548" t="n"/>
      <c r="W58" s="548" t="n"/>
      <c r="X58" s="674">
        <f>(P58+Q58)/G58</f>
        <v/>
      </c>
      <c r="Y58" s="289" t="n"/>
      <c r="Z58" s="675">
        <f>IF(AA58=0,0,(P58+Q58)/(AA58))</f>
        <v/>
      </c>
      <c r="AA58" s="588">
        <f>SUM(AA7,AA12,AA16:AA18,AA22:AA40,AA42:AA44)</f>
        <v/>
      </c>
    </row>
    <row r="59">
      <c r="A59" s="62" t="n"/>
      <c r="C59" s="61" t="n"/>
      <c r="D59" s="226" t="n"/>
    </row>
    <row r="60">
      <c r="A60" s="62" t="n"/>
      <c r="C60" s="61" t="n"/>
      <c r="D60" s="226" t="n"/>
    </row>
    <row r="61">
      <c r="A61" s="62" t="n"/>
      <c r="C61" s="61" t="n"/>
      <c r="D61" s="226" t="n"/>
    </row>
    <row r="62">
      <c r="A62" s="62" t="n"/>
      <c r="C62" s="61" t="n"/>
      <c r="D62" s="226" t="n"/>
    </row>
    <row r="63">
      <c r="A63" s="62" t="n"/>
      <c r="C63" s="61" t="n"/>
      <c r="D63" s="226" t="n"/>
    </row>
    <row r="64">
      <c r="A64" s="62" t="n"/>
      <c r="C64" s="61" t="n"/>
      <c r="D64" s="226" t="n"/>
    </row>
    <row r="65">
      <c r="A65" s="62" t="n"/>
      <c r="C65" s="61" t="n"/>
      <c r="D65" s="226" t="n"/>
    </row>
    <row r="66">
      <c r="A66" s="62" t="n"/>
      <c r="C66" s="61" t="n"/>
      <c r="D66" s="226" t="n"/>
    </row>
    <row r="67">
      <c r="A67" s="62" t="n"/>
      <c r="C67" s="61" t="n"/>
      <c r="D67" s="226" t="n"/>
    </row>
    <row r="68">
      <c r="A68" s="62" t="n"/>
      <c r="C68" s="61" t="n"/>
      <c r="D68" s="226" t="n"/>
    </row>
    <row r="69">
      <c r="B69" s="245" t="n"/>
      <c r="C69" s="288" t="n"/>
      <c r="D69" s="226" t="n"/>
    </row>
    <row r="70">
      <c r="B70" s="245" t="n"/>
      <c r="C70" s="288" t="n"/>
      <c r="D70" s="226" t="n"/>
    </row>
    <row r="71">
      <c r="B71" s="245" t="n"/>
      <c r="C71" s="288" t="n"/>
      <c r="D71" s="226" t="n"/>
    </row>
    <row r="72">
      <c r="B72" s="245" t="n"/>
      <c r="C72" s="288" t="n"/>
      <c r="D72" s="226" t="n"/>
    </row>
    <row r="73">
      <c r="B73" s="245" t="n"/>
      <c r="C73" s="288" t="n"/>
      <c r="D73" s="226" t="n"/>
    </row>
    <row r="74">
      <c r="B74" s="245" t="n"/>
      <c r="C74" s="288" t="n"/>
      <c r="D74" s="226" t="n"/>
    </row>
    <row r="75">
      <c r="B75" s="245" t="n"/>
      <c r="C75" s="245" t="n"/>
      <c r="D75" s="226" t="n"/>
    </row>
    <row r="76">
      <c r="B76" s="245" t="n"/>
      <c r="C76" s="245" t="n"/>
      <c r="D76" s="226" t="n"/>
    </row>
    <row r="77">
      <c r="B77" s="245" t="n"/>
      <c r="C77" s="245" t="n"/>
      <c r="D77" s="226" t="n"/>
    </row>
    <row r="78">
      <c r="B78" s="245" t="n"/>
      <c r="C78" s="245" t="n"/>
      <c r="D78" s="226" t="n"/>
    </row>
    <row r="79">
      <c r="B79" s="245" t="n"/>
      <c r="C79" s="245" t="n"/>
      <c r="D79" s="226" t="n"/>
    </row>
    <row r="80">
      <c r="B80" s="245" t="n"/>
      <c r="C80" s="245" t="n"/>
      <c r="D80" s="226" t="n"/>
    </row>
    <row r="81">
      <c r="A81" s="245" t="n"/>
      <c r="B81" s="245" t="n"/>
      <c r="C81" s="245" t="n"/>
      <c r="D81" s="226" t="n"/>
    </row>
    <row r="82">
      <c r="A82" s="245" t="n"/>
      <c r="B82" s="245" t="n"/>
      <c r="C82" s="245" t="n"/>
      <c r="D82" s="226" t="n"/>
    </row>
    <row r="83">
      <c r="A83" s="245" t="n"/>
      <c r="B83" s="245" t="n"/>
      <c r="C83" s="245" t="n"/>
      <c r="D83" s="226" t="n"/>
    </row>
    <row r="84">
      <c r="A84" s="245" t="n"/>
      <c r="B84" s="245" t="n"/>
      <c r="C84" s="245" t="n"/>
      <c r="D84" s="226" t="n"/>
    </row>
    <row r="85">
      <c r="A85" s="245" t="n"/>
      <c r="B85" s="245" t="n"/>
      <c r="C85" s="245" t="n"/>
      <c r="D85" s="226" t="n"/>
    </row>
    <row r="86">
      <c r="A86" s="245" t="n"/>
      <c r="B86" s="245" t="n"/>
      <c r="C86" s="245" t="n"/>
      <c r="D86" s="226" t="n"/>
    </row>
    <row r="87">
      <c r="A87" s="245" t="n"/>
      <c r="B87" s="245" t="n"/>
      <c r="C87" s="245" t="n"/>
      <c r="D87" s="226" t="n"/>
    </row>
    <row r="88">
      <c r="A88" s="245" t="n"/>
      <c r="B88" s="245" t="n"/>
      <c r="C88" s="245" t="n"/>
      <c r="D88" s="226" t="n"/>
    </row>
  </sheetData>
  <autoFilter ref="A1:AA90"/>
  <mergeCells count="6">
    <mergeCell ref="K58:N58"/>
    <mergeCell ref="Y53:Y55"/>
    <mergeCell ref="A53:C55"/>
    <mergeCell ref="K53:N53"/>
    <mergeCell ref="E53:F55"/>
    <mergeCell ref="I53:J55"/>
  </mergeCells>
  <conditionalFormatting sqref="Z1:AA1 Z4:AA1048576 AA2:AA3">
    <cfRule type="containsText" priority="5" operator="containsText" dxfId="1" text="△">
      <formula>NOT(ISERROR(SEARCH("△",Z1)))</formula>
    </cfRule>
    <cfRule type="containsText" priority="6" operator="containsText" dxfId="0" text="▽">
      <formula>NOT(ISERROR(SEARCH("▽",Z1)))</formula>
    </cfRule>
  </conditionalFormatting>
  <conditionalFormatting sqref="AE1:AE1048576 AG1:AG1048576">
    <cfRule type="cellIs" priority="3" operator="lessThan" dxfId="9">
      <formula>0</formula>
    </cfRule>
    <cfRule type="cellIs" priority="4" operator="greaterThan" dxfId="6">
      <formula>0</formula>
    </cfRule>
  </conditionalFormatting>
  <conditionalFormatting sqref="I2:I52">
    <cfRule type="expression" priority="1" dxfId="7">
      <formula>$I2&gt;(TODAY()-7)</formula>
    </cfRule>
    <cfRule type="expression" priority="2" dxfId="6">
      <formula>$I2&gt;(TODAY()-30)</formula>
    </cfRule>
  </conditionalFormatting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 codeName="工作表11">
    <outlinePr summaryBelow="0" summaryRight="0"/>
    <pageSetUpPr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baseColWidth="8" defaultColWidth="9" defaultRowHeight="16.5" outlineLevelRow="2"/>
  <cols>
    <col width="16.125" bestFit="1" customWidth="1" style="226" min="1" max="1"/>
    <col width="10.5" bestFit="1" customWidth="1" style="226" min="2" max="2"/>
    <col width="10.5" customWidth="1" style="226" min="3" max="3"/>
    <col width="20.125" bestFit="1" customWidth="1" style="226" min="4" max="4"/>
    <col width="9.5" bestFit="1" customWidth="1" style="226" min="5" max="5"/>
    <col width="10.5" bestFit="1" customWidth="1" style="245" min="6" max="6"/>
    <col width="7.5" bestFit="1" customWidth="1" style="226" min="7" max="8"/>
    <col width="11.875" bestFit="1" customWidth="1" style="226" min="9" max="9"/>
    <col width="16.875" bestFit="1" customWidth="1" style="226" min="10" max="10"/>
    <col collapsed="1" width="11.5" bestFit="1" customWidth="1" style="226" min="11" max="11"/>
    <col width="10.5" bestFit="1" customWidth="1" style="226" min="12" max="12"/>
    <col width="13.375" customWidth="1" style="226" min="13" max="13"/>
    <col width="9.5" bestFit="1" customWidth="1" style="686" min="14" max="14"/>
    <col width="5.5" customWidth="1" style="226" min="15" max="15"/>
    <col width="13.875" bestFit="1" customWidth="1" style="686" min="16" max="16"/>
    <col width="29.375" bestFit="1" customWidth="1" style="230" min="17" max="17"/>
    <col width="9" customWidth="1" style="226" min="18" max="16384"/>
  </cols>
  <sheetData>
    <row r="1" ht="17.25" customFormat="1" customHeight="1" s="227" thickBot="1">
      <c r="B1" s="127" t="inlineStr">
        <is>
          <t>成交日期</t>
        </is>
      </c>
      <c r="C1" s="128" t="inlineStr">
        <is>
          <t>商品代號</t>
        </is>
      </c>
      <c r="D1" s="246" t="inlineStr">
        <is>
          <t>商品名稱</t>
        </is>
      </c>
      <c r="E1" s="247" t="inlineStr">
        <is>
          <t>新／平</t>
        </is>
      </c>
      <c r="F1" s="128" t="inlineStr">
        <is>
          <t>買賣別</t>
        </is>
      </c>
      <c r="G1" s="128" t="inlineStr">
        <is>
          <t>當沖</t>
        </is>
      </c>
      <c r="H1" s="128" t="inlineStr">
        <is>
          <t>成交量</t>
        </is>
      </c>
      <c r="I1" s="128" t="inlineStr">
        <is>
          <t>成交價</t>
        </is>
      </c>
      <c r="J1" s="687" t="inlineStr">
        <is>
          <t>權利金</t>
        </is>
      </c>
      <c r="K1" s="130" t="inlineStr">
        <is>
          <t>手續費</t>
        </is>
      </c>
      <c r="L1" s="130" t="inlineStr">
        <is>
          <t>交易稅</t>
        </is>
      </c>
      <c r="M1" s="776" t="inlineStr">
        <is>
          <t>已實現損益</t>
        </is>
      </c>
      <c r="N1" s="690" t="inlineStr">
        <is>
          <t>損益點數</t>
        </is>
      </c>
      <c r="P1" s="738" t="n"/>
      <c r="Q1" s="230" t="n"/>
    </row>
    <row r="2" collapsed="1" ht="17.25" customHeight="1" thickBot="1">
      <c r="B2" s="352" t="n">
        <v>42436</v>
      </c>
      <c r="C2" s="292" t="n"/>
      <c r="D2" s="292" t="n">
        <v>93205</v>
      </c>
      <c r="E2" s="292" t="n"/>
      <c r="F2" s="292" t="n"/>
      <c r="G2" s="292" t="n"/>
      <c r="H2" s="719" t="n"/>
      <c r="I2" s="719" t="n"/>
      <c r="J2" s="719" t="n"/>
      <c r="K2" s="720" t="n"/>
      <c r="L2" s="719" t="n"/>
      <c r="M2" s="721" t="n">
        <v>-15000</v>
      </c>
      <c r="N2" s="760" t="n"/>
      <c r="P2" s="761" t="inlineStr">
        <is>
          <t>阿水期權專班</t>
        </is>
      </c>
    </row>
    <row r="3" hidden="1" outlineLevel="1" ht="17.25" customHeight="1" thickBot="1">
      <c r="B3" s="353" t="n">
        <v>42507</v>
      </c>
      <c r="C3" s="354" t="inlineStr">
        <is>
          <t>TXO</t>
        </is>
      </c>
      <c r="D3" s="355" t="inlineStr">
        <is>
          <t>台指選賣 05 08000 P</t>
        </is>
      </c>
      <c r="E3" s="355" t="inlineStr">
        <is>
          <t>新倉</t>
        </is>
      </c>
      <c r="F3" s="355" t="inlineStr">
        <is>
          <t>買</t>
        </is>
      </c>
      <c r="G3" s="355" t="inlineStr">
        <is>
          <t>-</t>
        </is>
      </c>
      <c r="H3" s="777" t="n">
        <v>1</v>
      </c>
      <c r="I3" s="777" t="n">
        <v>15</v>
      </c>
      <c r="J3" s="777" t="n">
        <v>-750</v>
      </c>
      <c r="K3" s="778" t="n">
        <v>88</v>
      </c>
      <c r="L3" s="778" t="n">
        <v>1</v>
      </c>
      <c r="M3" s="779">
        <f>IF(C3="TXO",J3-SUM(K3:L3),IF(C3="FITX",IF(E3="新倉",-SUM(K3:L3),IF(F3="賣",(I3-I2)*H3*200-SUM(K3:L3),(I2-I3)*H3*200-SUM(K3:L3)))))</f>
        <v/>
      </c>
      <c r="N3" s="780">
        <f>IF(C3="TXO","",IF(C3="FITX",IF(E3="新倉","",IF(F3="賣",(I3-I2),(I2-I3)))))</f>
        <v/>
      </c>
      <c r="O3" s="334">
        <f>ABS(J3)</f>
        <v/>
      </c>
      <c r="P3" s="764">
        <f>SUM(M3:M5)</f>
        <v/>
      </c>
    </row>
    <row r="4" hidden="1" outlineLevel="1" ht="17.25" customHeight="1" thickBot="1">
      <c r="B4" s="360" t="n">
        <v>42507</v>
      </c>
      <c r="C4" s="299" t="inlineStr">
        <is>
          <t>TXO</t>
        </is>
      </c>
      <c r="D4" s="300" t="inlineStr">
        <is>
          <t>台指選買 05 08100 C</t>
        </is>
      </c>
      <c r="E4" s="300" t="inlineStr">
        <is>
          <t>平倉</t>
        </is>
      </c>
      <c r="F4" s="300" t="inlineStr">
        <is>
          <t>賣</t>
        </is>
      </c>
      <c r="G4" s="300" t="inlineStr">
        <is>
          <t>-</t>
        </is>
      </c>
      <c r="H4" s="741" t="n">
        <v>1</v>
      </c>
      <c r="I4" s="741" t="n">
        <v>53</v>
      </c>
      <c r="J4" s="741" t="n">
        <v>2650</v>
      </c>
      <c r="K4" s="742" t="n">
        <v>88</v>
      </c>
      <c r="L4" s="742" t="n">
        <v>3</v>
      </c>
      <c r="M4" s="743">
        <f>IF(C4="TXO",J4-SUM(K4:L4),IF(C4="FITX",IF(E4="新倉",-SUM(K4:L4),IF(F4="賣",(I4-I3)*H4*200-SUM(K4:L4),(I3-I4)*H4*200-SUM(K4:L4)))))</f>
        <v/>
      </c>
      <c r="N4" s="780">
        <f>IF(C4="TXO","",IF(C4="FITX",IF(E4="新倉","",IF(F4="賣",(I4-I3),(I3-I4)))))</f>
        <v/>
      </c>
      <c r="O4" s="334">
        <f>ABS(J4)</f>
        <v/>
      </c>
      <c r="P4" s="764" t="n"/>
      <c r="R4" s="61" t="n"/>
      <c r="S4" s="61" t="n"/>
      <c r="T4" s="61" t="n"/>
      <c r="U4" s="61" t="n"/>
      <c r="V4" s="61" t="n"/>
      <c r="W4" s="61" t="n"/>
      <c r="X4" s="61" t="n"/>
      <c r="Y4" s="61" t="n"/>
    </row>
    <row r="5" hidden="1" outlineLevel="1" ht="17.25" customHeight="1" thickBot="1">
      <c r="B5" s="360" t="n">
        <v>42507</v>
      </c>
      <c r="C5" s="299" t="inlineStr">
        <is>
          <t>TXO</t>
        </is>
      </c>
      <c r="D5" s="300" t="inlineStr">
        <is>
          <t>台指選買 05 08100 C</t>
        </is>
      </c>
      <c r="E5" s="300" t="inlineStr">
        <is>
          <t>新倉</t>
        </is>
      </c>
      <c r="F5" s="300" t="inlineStr">
        <is>
          <t>買</t>
        </is>
      </c>
      <c r="G5" s="300" t="inlineStr">
        <is>
          <t>-</t>
        </is>
      </c>
      <c r="H5" s="741" t="n">
        <v>1</v>
      </c>
      <c r="I5" s="741" t="n">
        <v>27</v>
      </c>
      <c r="J5" s="741" t="n">
        <v>-1350</v>
      </c>
      <c r="K5" s="742" t="n">
        <v>88</v>
      </c>
      <c r="L5" s="742" t="n">
        <v>1</v>
      </c>
      <c r="M5" s="743">
        <f>IF(C5="TXO",J5-SUM(K5:L5),IF(C5="FITX",IF(E5="新倉",-SUM(K5:L5),IF(F5="賣",(I5-I4)*H5*200-SUM(K5:L5),(I4-I5)*H5*200-SUM(K5:L5)))))</f>
        <v/>
      </c>
      <c r="N5" s="780">
        <f>IF(C5="TXO","",IF(C5="FITX",IF(E5="新倉","",IF(F5="賣",(I5-I4),(I4-I5)))))</f>
        <v/>
      </c>
      <c r="O5" s="334">
        <f>ABS(J5)</f>
        <v/>
      </c>
      <c r="P5" s="764" t="n"/>
      <c r="R5" s="61" t="n"/>
      <c r="S5" s="61" t="n"/>
      <c r="T5" s="61" t="n"/>
      <c r="U5" s="61" t="n"/>
      <c r="V5" s="61" t="n"/>
      <c r="W5" s="61" t="n"/>
      <c r="X5" s="61" t="n"/>
      <c r="Y5" s="61" t="n"/>
    </row>
    <row r="6" hidden="1" outlineLevel="1" ht="17.25" customHeight="1" thickBot="1">
      <c r="B6" s="228" t="n">
        <v>42508</v>
      </c>
      <c r="C6" s="234" t="inlineStr">
        <is>
          <t>TXO</t>
        </is>
      </c>
      <c r="D6" s="229" t="inlineStr">
        <is>
          <t>台指選賣 05 07950 P</t>
        </is>
      </c>
      <c r="E6" s="229" t="inlineStr">
        <is>
          <t>新倉</t>
        </is>
      </c>
      <c r="F6" s="229" t="inlineStr">
        <is>
          <t>買</t>
        </is>
      </c>
      <c r="G6" s="229" t="inlineStr">
        <is>
          <t>-</t>
        </is>
      </c>
      <c r="H6" s="697" t="n">
        <v>1</v>
      </c>
      <c r="I6" s="697" t="n">
        <v>1.1</v>
      </c>
      <c r="J6" s="697" t="n">
        <v>-55</v>
      </c>
      <c r="K6" s="585" t="n">
        <v>88</v>
      </c>
      <c r="L6" s="585" t="n">
        <v>0</v>
      </c>
      <c r="M6" s="699">
        <f>IF(C6="TXO",J6-SUM(K6:L6),IF(C6="FITX",IF(E6="新倉",-SUM(K6:L6),IF(F6="賣",(I6-I5)*H6*200-SUM(K6:L6),(I5-I6)*H6*200-SUM(K6:L6)))))</f>
        <v/>
      </c>
      <c r="N6" s="686">
        <f>IF(C6="TXO","",IF(C6="FITX",IF(E6="新倉","",IF(F6="賣",(I6-I5),(I5-I6)))))</f>
        <v/>
      </c>
      <c r="O6" s="334">
        <f>ABS(J6)</f>
        <v/>
      </c>
      <c r="P6" s="667">
        <f>SUM(M6)</f>
        <v/>
      </c>
      <c r="R6" s="61" t="n"/>
      <c r="S6" s="61" t="n"/>
      <c r="T6" s="61" t="n"/>
      <c r="U6" s="61" t="n"/>
      <c r="V6" s="61" t="n"/>
      <c r="W6" s="61" t="n"/>
      <c r="X6" s="61" t="n"/>
      <c r="Y6" s="61" t="n"/>
    </row>
    <row r="7" hidden="1" outlineLevel="1" ht="17.25" customHeight="1" thickBot="1">
      <c r="B7" s="360" t="n">
        <v>42517</v>
      </c>
      <c r="C7" s="299" t="inlineStr">
        <is>
          <t>FITX</t>
        </is>
      </c>
      <c r="D7" s="300" t="inlineStr">
        <is>
          <t>台指06</t>
        </is>
      </c>
      <c r="E7" s="300" t="inlineStr">
        <is>
          <t>新倉</t>
        </is>
      </c>
      <c r="F7" s="300" t="inlineStr">
        <is>
          <t>買</t>
        </is>
      </c>
      <c r="G7" s="300" t="inlineStr">
        <is>
          <t>-</t>
        </is>
      </c>
      <c r="H7" s="741" t="n">
        <v>1</v>
      </c>
      <c r="I7" s="741" t="n">
        <v>8438</v>
      </c>
      <c r="J7" s="741" t="n">
        <v>0</v>
      </c>
      <c r="K7" s="742" t="n">
        <v>250</v>
      </c>
      <c r="L7" s="742" t="n">
        <v>34</v>
      </c>
      <c r="M7" s="743">
        <f>IF(C7="TXO",J7-SUM(K7:L7),IF(C7="FITX",IF(E7="新倉",-SUM(K7:L7),IF(F7="賣",(I7-I6)*H7*200-SUM(K7:L7),(I6-I7)*H7*200-SUM(K7:L7)))))</f>
        <v/>
      </c>
      <c r="N7" s="780">
        <f>IF(C7="TXO","",IF(C7="FITX",IF(E7="新倉","",IF(F7="賣",(I7-I6),(I6-I7)))))</f>
        <v/>
      </c>
      <c r="O7" s="334">
        <f>ABS(J7)</f>
        <v/>
      </c>
      <c r="P7" s="764">
        <f>SUM(M7:M8)</f>
        <v/>
      </c>
      <c r="R7" s="61" t="n"/>
      <c r="S7" s="61" t="n"/>
      <c r="T7" s="61" t="n"/>
      <c r="U7" s="61" t="n"/>
      <c r="V7" s="61" t="n"/>
      <c r="W7" s="61" t="n"/>
      <c r="X7" s="61" t="n"/>
      <c r="Y7" s="61" t="n"/>
    </row>
    <row r="8" hidden="1" outlineLevel="1" ht="17.25" customHeight="1" thickBot="1">
      <c r="B8" s="360" t="n">
        <v>42517</v>
      </c>
      <c r="C8" s="299" t="inlineStr">
        <is>
          <t>FITX</t>
        </is>
      </c>
      <c r="D8" s="300" t="inlineStr">
        <is>
          <t>台指06</t>
        </is>
      </c>
      <c r="E8" s="361" t="inlineStr">
        <is>
          <t>平倉</t>
        </is>
      </c>
      <c r="F8" s="300" t="inlineStr">
        <is>
          <t>賣</t>
        </is>
      </c>
      <c r="G8" s="300" t="inlineStr">
        <is>
          <t>-</t>
        </is>
      </c>
      <c r="H8" s="741" t="n">
        <v>1</v>
      </c>
      <c r="I8" s="741" t="n">
        <v>8450</v>
      </c>
      <c r="J8" s="741" t="n">
        <v>0</v>
      </c>
      <c r="K8" s="742" t="n">
        <v>250</v>
      </c>
      <c r="L8" s="742" t="n">
        <v>34</v>
      </c>
      <c r="M8" s="743">
        <f>IF(C8="TXO",J8-SUM(K8:L8),IF(C8="FITX",IF(E8="新倉",-SUM(K8:L8),IF(F8="賣",(I8-I7)*H8*200-SUM(K8:L8),(I7-I8)*H8*200-SUM(K8:L8)))))</f>
        <v/>
      </c>
      <c r="N8" s="780">
        <f>IF(C8="TXO","",IF(C8="FITX",IF(E8="新倉","",IF(F8="賣",(I8-I7),(I7-I8)))))</f>
        <v/>
      </c>
      <c r="O8" s="334">
        <f>ABS(J8)</f>
        <v/>
      </c>
      <c r="P8" s="764" t="n"/>
    </row>
    <row r="9" hidden="1" outlineLevel="1" ht="17.25" customHeight="1" thickBot="1">
      <c r="B9" s="228" t="n">
        <v>42520</v>
      </c>
      <c r="C9" s="234" t="inlineStr">
        <is>
          <t>FITX</t>
        </is>
      </c>
      <c r="D9" s="229" t="inlineStr">
        <is>
          <t>台指06</t>
        </is>
      </c>
      <c r="E9" s="229" t="inlineStr">
        <is>
          <t>新倉</t>
        </is>
      </c>
      <c r="F9" s="229" t="inlineStr">
        <is>
          <t>賣</t>
        </is>
      </c>
      <c r="G9" s="229" t="inlineStr">
        <is>
          <t>-</t>
        </is>
      </c>
      <c r="H9" s="697" t="n">
        <v>1</v>
      </c>
      <c r="I9" s="697" t="n">
        <v>8445</v>
      </c>
      <c r="J9" s="697" t="n">
        <v>0</v>
      </c>
      <c r="K9" s="585" t="n">
        <v>250</v>
      </c>
      <c r="L9" s="749" t="n">
        <v>34</v>
      </c>
      <c r="M9" s="699">
        <f>IF(C9="TXO",J9-SUM(K9:L9),IF(C9="FITX",IF(E9="新倉",-SUM(K9:L9),IF(F9="賣",(I9-I8)*H9*200-SUM(K9:L9),(I8-I9)*H9*200-SUM(K9:L9)))))</f>
        <v/>
      </c>
      <c r="N9" s="686">
        <f>IF(C9="TXO","",IF(C9="FITX",IF(E9="新倉","",IF(F9="賣",(I9-I8),(I8-I9)))))</f>
        <v/>
      </c>
      <c r="O9" s="334">
        <f>ABS(J9)</f>
        <v/>
      </c>
      <c r="P9" s="667">
        <f>SUM(M9:M10)</f>
        <v/>
      </c>
    </row>
    <row r="10" hidden="1" outlineLevel="1" ht="17.25" customHeight="1" thickBot="1">
      <c r="B10" s="228" t="n">
        <v>42520</v>
      </c>
      <c r="C10" s="234" t="inlineStr">
        <is>
          <t>FITX</t>
        </is>
      </c>
      <c r="D10" s="229" t="inlineStr">
        <is>
          <t>台指06</t>
        </is>
      </c>
      <c r="E10" s="229" t="inlineStr">
        <is>
          <t>平倉</t>
        </is>
      </c>
      <c r="F10" s="229" t="inlineStr">
        <is>
          <t>買</t>
        </is>
      </c>
      <c r="G10" s="229" t="inlineStr">
        <is>
          <t>-</t>
        </is>
      </c>
      <c r="H10" s="697" t="n">
        <v>1</v>
      </c>
      <c r="I10" s="697" t="n">
        <v>8478</v>
      </c>
      <c r="J10" s="697" t="n">
        <v>0</v>
      </c>
      <c r="K10" s="585" t="n">
        <v>250</v>
      </c>
      <c r="L10" s="585" t="n">
        <v>34</v>
      </c>
      <c r="M10" s="699">
        <f>IF(C10="TXO",J10-SUM(K10:L10),IF(C10="FITX",IF(E10="新倉",-SUM(K10:L10),IF(F10="賣",(I10-I9)*H10*200-SUM(K10:L10),(I9-I10)*H10*200-SUM(K10:L10)))))</f>
        <v/>
      </c>
      <c r="N10" s="686">
        <f>IF(C10="TXO","",IF(C10="FITX",IF(E10="新倉","",IF(F10="賣",(I10-I9),(I9-I10)))))</f>
        <v/>
      </c>
      <c r="O10" s="334">
        <f>ABS(J10)</f>
        <v/>
      </c>
      <c r="P10" s="667" t="n"/>
      <c r="R10" s="61" t="n"/>
      <c r="S10" s="61" t="n"/>
      <c r="T10" s="61" t="n"/>
      <c r="U10" s="61" t="n"/>
      <c r="V10" s="61" t="n"/>
      <c r="W10" s="61" t="n"/>
      <c r="X10" s="61" t="n"/>
      <c r="Y10" s="61" t="n"/>
    </row>
    <row r="11" collapsed="1" ht="17.25" customHeight="1" thickBot="1">
      <c r="B11" s="352" t="inlineStr">
        <is>
          <t>5月總計</t>
        </is>
      </c>
      <c r="C11" s="292" t="n"/>
      <c r="D11" s="292" t="n"/>
      <c r="E11" s="292" t="n"/>
      <c r="F11" s="292" t="n"/>
      <c r="G11" s="292" t="n"/>
      <c r="H11" s="719" t="n"/>
      <c r="I11" s="719" t="n"/>
      <c r="J11" s="719" t="n"/>
      <c r="K11" s="720" t="n"/>
      <c r="L11" s="719" t="n"/>
      <c r="M11" s="721" t="n"/>
      <c r="N11" s="760" t="n"/>
      <c r="P11" s="775">
        <f>SUM(P3:P10)</f>
        <v/>
      </c>
    </row>
    <row r="12" hidden="1" outlineLevel="1" collapsed="1" ht="17.25" customHeight="1" thickBot="1">
      <c r="B12" s="353" t="n">
        <v>42522</v>
      </c>
      <c r="C12" s="354" t="inlineStr">
        <is>
          <t>FITX</t>
        </is>
      </c>
      <c r="D12" s="355" t="inlineStr">
        <is>
          <t>台指06</t>
        </is>
      </c>
      <c r="E12" s="355" t="inlineStr">
        <is>
          <t>新倉</t>
        </is>
      </c>
      <c r="F12" s="355" t="inlineStr">
        <is>
          <t>買</t>
        </is>
      </c>
      <c r="G12" s="355" t="inlineStr">
        <is>
          <t>-</t>
        </is>
      </c>
      <c r="H12" s="777" t="n">
        <v>1</v>
      </c>
      <c r="I12" s="777" t="n">
        <v>8496</v>
      </c>
      <c r="J12" s="777" t="n">
        <v>0</v>
      </c>
      <c r="K12" s="778" t="n">
        <v>250</v>
      </c>
      <c r="L12" s="778" t="n">
        <v>34</v>
      </c>
      <c r="M12" s="779">
        <f>IF(C12="TXO",J12-SUM(K12:L12),IF(C12="FITX",IF(E12="新倉",-SUM(K12:L12),IF(F12="賣",(I12-I11)*H12*200-SUM(K12:L12),(I11-I12)*H12*200-SUM(K12:L12)))))</f>
        <v/>
      </c>
      <c r="N12" s="780">
        <f>IF(C12="TXO","",IF(C12="FITX",IF(E12="新倉","",IF(F12="賣",(I12-I10),(I10-I12)))))</f>
        <v/>
      </c>
      <c r="O12" s="334">
        <f>ABS(J12)</f>
        <v/>
      </c>
      <c r="P12" s="764">
        <f>SUM(M12:M13)</f>
        <v/>
      </c>
      <c r="R12" s="61" t="n"/>
      <c r="S12" s="61" t="n"/>
      <c r="T12" s="61" t="n"/>
      <c r="U12" s="61" t="n"/>
      <c r="V12" s="61" t="n"/>
      <c r="W12" s="61" t="n"/>
      <c r="X12" s="61" t="n"/>
      <c r="Y12" s="61" t="n"/>
    </row>
    <row r="13" hidden="1" outlineLevel="1" ht="17.25" customHeight="1" thickBot="1">
      <c r="B13" s="360" t="n">
        <v>42522</v>
      </c>
      <c r="C13" s="299" t="inlineStr">
        <is>
          <t>FITX</t>
        </is>
      </c>
      <c r="D13" s="300" t="inlineStr">
        <is>
          <t>台指06</t>
        </is>
      </c>
      <c r="E13" s="300" t="inlineStr">
        <is>
          <t>平倉</t>
        </is>
      </c>
      <c r="F13" s="300" t="inlineStr">
        <is>
          <t>賣</t>
        </is>
      </c>
      <c r="G13" s="300" t="inlineStr">
        <is>
          <t>-</t>
        </is>
      </c>
      <c r="H13" s="741" t="n">
        <v>1</v>
      </c>
      <c r="I13" s="741" t="n">
        <v>8504</v>
      </c>
      <c r="J13" s="741" t="n">
        <v>0</v>
      </c>
      <c r="K13" s="742" t="n">
        <v>250</v>
      </c>
      <c r="L13" s="742" t="n">
        <v>34</v>
      </c>
      <c r="M13" s="743">
        <f>IF(C13="TXO",J13-SUM(K13:L13),IF(C13="FITX",IF(E13="新倉",-SUM(K13:L13),IF(F13="賣",(I13-I12)*H13*200-SUM(K13:L13),(I12-I13)*H13*200-SUM(K13:L13)))))</f>
        <v/>
      </c>
      <c r="N13" s="780">
        <f>IF(C13="TXO","",IF(C13="FITX",IF(E13="新倉","",IF(F13="賣",(I13-I12),(I12-I13)))))</f>
        <v/>
      </c>
      <c r="O13" s="334">
        <f>ABS(J13)</f>
        <v/>
      </c>
      <c r="P13" s="764" t="n"/>
      <c r="R13" s="61" t="n"/>
      <c r="S13" s="61" t="n"/>
      <c r="T13" s="61" t="n"/>
      <c r="U13" s="61" t="n"/>
      <c r="V13" s="61" t="n"/>
      <c r="W13" s="61" t="n"/>
      <c r="X13" s="61" t="n"/>
      <c r="Y13" s="61" t="n"/>
    </row>
    <row r="14" hidden="1" outlineLevel="1" collapsed="1" ht="17.25" customHeight="1" thickBot="1">
      <c r="B14" s="228" t="n">
        <v>42523</v>
      </c>
      <c r="C14" s="234" t="inlineStr">
        <is>
          <t>FITX</t>
        </is>
      </c>
      <c r="D14" s="229" t="inlineStr">
        <is>
          <t>台指06</t>
        </is>
      </c>
      <c r="E14" s="229" t="inlineStr">
        <is>
          <t>新倉</t>
        </is>
      </c>
      <c r="F14" s="229" t="inlineStr">
        <is>
          <t>買</t>
        </is>
      </c>
      <c r="G14" s="229" t="inlineStr">
        <is>
          <t>-</t>
        </is>
      </c>
      <c r="H14" s="697" t="n">
        <v>1</v>
      </c>
      <c r="I14" s="697" t="n">
        <v>8577</v>
      </c>
      <c r="J14" s="697" t="n">
        <v>0</v>
      </c>
      <c r="K14" s="585" t="n">
        <v>250</v>
      </c>
      <c r="L14" s="585" t="n">
        <v>34</v>
      </c>
      <c r="M14" s="699">
        <f>IF(C14="TXO",J14-SUM(K14:L14),IF(C14="FITX",IF(E14="新倉",-SUM(K14:L14),IF(F14="賣",(I14-I13)*H14*200-SUM(K14:L14),(I13-I14)*H14*200-SUM(K14:L14)))))</f>
        <v/>
      </c>
      <c r="N14" s="686">
        <f>IF(C14="TXO","",IF(C14="FITX",IF(E14="新倉","",IF(F14="賣",(I14-I13),(I13-I14)))))</f>
        <v/>
      </c>
      <c r="O14" s="334">
        <f>ABS(J14)</f>
        <v/>
      </c>
      <c r="P14" s="667">
        <f>SUM(M14:M19)</f>
        <v/>
      </c>
      <c r="R14" s="61" t="n"/>
      <c r="S14" s="61" t="n"/>
      <c r="T14" s="61" t="n"/>
      <c r="U14" s="61" t="n"/>
      <c r="V14" s="61" t="n"/>
      <c r="W14" s="61" t="n"/>
      <c r="X14" s="61" t="n"/>
      <c r="Y14" s="61" t="n"/>
    </row>
    <row r="15" hidden="1" outlineLevel="2" ht="17.25" customHeight="1" thickBot="1">
      <c r="B15" s="228" t="n">
        <v>42523</v>
      </c>
      <c r="C15" s="234" t="inlineStr">
        <is>
          <t>FITX</t>
        </is>
      </c>
      <c r="D15" s="229" t="inlineStr">
        <is>
          <t>台指06</t>
        </is>
      </c>
      <c r="E15" s="229" t="inlineStr">
        <is>
          <t>平倉</t>
        </is>
      </c>
      <c r="F15" s="229" t="inlineStr">
        <is>
          <t>賣</t>
        </is>
      </c>
      <c r="G15" s="229" t="inlineStr">
        <is>
          <t>-</t>
        </is>
      </c>
      <c r="H15" s="697" t="n">
        <v>1</v>
      </c>
      <c r="I15" s="697" t="n">
        <v>8564</v>
      </c>
      <c r="J15" s="697" t="n">
        <v>0</v>
      </c>
      <c r="K15" s="585" t="n">
        <v>250</v>
      </c>
      <c r="L15" s="585" t="n">
        <v>34</v>
      </c>
      <c r="M15" s="699">
        <f>IF(C15="TXO",J15-SUM(K15:L15),IF(C15="FITX",IF(E15="新倉",-SUM(K15:L15),IF(F15="賣",(I15-I14)*H15*200-SUM(K15:L15),(I14-I15)*H15*200-SUM(K15:L15)))))</f>
        <v/>
      </c>
      <c r="N15" s="686">
        <f>IF(C15="TXO","",IF(C15="FITX",IF(E15="新倉","",IF(F15="賣",(I15-I14),(I14-I15)))))</f>
        <v/>
      </c>
      <c r="O15" s="334">
        <f>ABS(J15)</f>
        <v/>
      </c>
      <c r="P15" s="667" t="n"/>
      <c r="R15" s="61" t="n"/>
      <c r="S15" s="61" t="n"/>
      <c r="T15" s="61" t="n"/>
      <c r="U15" s="61" t="n"/>
      <c r="V15" s="61" t="n"/>
      <c r="W15" s="61" t="n"/>
      <c r="X15" s="61" t="n"/>
      <c r="Y15" s="61" t="n"/>
    </row>
    <row r="16" hidden="1" outlineLevel="2" ht="17.25" customHeight="1" thickBot="1">
      <c r="B16" s="228" t="n">
        <v>42523</v>
      </c>
      <c r="C16" s="234" t="inlineStr">
        <is>
          <t>FITX</t>
        </is>
      </c>
      <c r="D16" s="229" t="inlineStr">
        <is>
          <t>台指06</t>
        </is>
      </c>
      <c r="E16" s="229" t="inlineStr">
        <is>
          <t>新倉</t>
        </is>
      </c>
      <c r="F16" s="229" t="inlineStr">
        <is>
          <t>賣</t>
        </is>
      </c>
      <c r="G16" s="229" t="inlineStr">
        <is>
          <t>-</t>
        </is>
      </c>
      <c r="H16" s="697" t="n">
        <v>1</v>
      </c>
      <c r="I16" s="697" t="n">
        <v>8553</v>
      </c>
      <c r="J16" s="697" t="n">
        <v>0</v>
      </c>
      <c r="K16" s="585" t="n">
        <v>250</v>
      </c>
      <c r="L16" s="585" t="n">
        <v>34</v>
      </c>
      <c r="M16" s="699">
        <f>IF(C16="TXO",J16-SUM(K16:L16),IF(C16="FITX",IF(E16="新倉",-SUM(K16:L16),IF(F16="賣",(I16-I15)*H16*200-SUM(K16:L16),(I15-I16)*H16*200-SUM(K16:L16)))))</f>
        <v/>
      </c>
      <c r="N16" s="686">
        <f>IF(C16="TXO","",IF(C16="FITX",IF(E16="新倉","",IF(F16="賣",(I16-I15),(I15-I16)))))</f>
        <v/>
      </c>
      <c r="O16" s="334">
        <f>ABS(J16)</f>
        <v/>
      </c>
      <c r="P16" s="667" t="n"/>
      <c r="R16" s="61" t="n"/>
      <c r="S16" s="61" t="n"/>
      <c r="T16" s="61" t="n"/>
      <c r="U16" s="61" t="n"/>
      <c r="V16" s="61" t="n"/>
      <c r="W16" s="61" t="n"/>
      <c r="X16" s="61" t="n"/>
      <c r="Y16" s="61" t="n"/>
    </row>
    <row r="17" hidden="1" outlineLevel="2" ht="17.25" customHeight="1" thickBot="1">
      <c r="B17" s="228" t="n">
        <v>42523</v>
      </c>
      <c r="C17" s="234" t="inlineStr">
        <is>
          <t>FITX</t>
        </is>
      </c>
      <c r="D17" s="229" t="inlineStr">
        <is>
          <t>台指06</t>
        </is>
      </c>
      <c r="E17" s="229" t="inlineStr">
        <is>
          <t>平倉</t>
        </is>
      </c>
      <c r="F17" s="229" t="inlineStr">
        <is>
          <t>買</t>
        </is>
      </c>
      <c r="G17" s="229" t="inlineStr">
        <is>
          <t>-</t>
        </is>
      </c>
      <c r="H17" s="697" t="n">
        <v>1</v>
      </c>
      <c r="I17" s="697" t="n">
        <v>8542</v>
      </c>
      <c r="J17" s="697" t="n">
        <v>0</v>
      </c>
      <c r="K17" s="585" t="n">
        <v>250</v>
      </c>
      <c r="L17" s="585" t="n">
        <v>34</v>
      </c>
      <c r="M17" s="699">
        <f>IF(C17="TXO",J17-SUM(K17:L17),IF(C17="FITX",IF(E17="新倉",-SUM(K17:L17),IF(F17="賣",(I17-I16)*H17*200-SUM(K17:L17),(I16-I17)*H17*200-SUM(K17:L17)))))</f>
        <v/>
      </c>
      <c r="N17" s="686">
        <f>IF(C17="TXO","",IF(C17="FITX",IF(E17="新倉","",IF(F17="賣",(I17-I16),(I16-I17)))))</f>
        <v/>
      </c>
      <c r="O17" s="334">
        <f>ABS(J17)</f>
        <v/>
      </c>
      <c r="P17" s="667" t="n"/>
    </row>
    <row r="18" hidden="1" outlineLevel="2" ht="17.25" customHeight="1" thickBot="1">
      <c r="B18" s="228" t="n">
        <v>42523</v>
      </c>
      <c r="C18" s="234" t="inlineStr">
        <is>
          <t>FITX</t>
        </is>
      </c>
      <c r="D18" s="229" t="inlineStr">
        <is>
          <t>台指06</t>
        </is>
      </c>
      <c r="E18" s="229" t="inlineStr">
        <is>
          <t>新倉</t>
        </is>
      </c>
      <c r="F18" s="229" t="inlineStr">
        <is>
          <t>賣</t>
        </is>
      </c>
      <c r="G18" s="229" t="inlineStr">
        <is>
          <t>-</t>
        </is>
      </c>
      <c r="H18" s="697" t="n">
        <v>1</v>
      </c>
      <c r="I18" s="697" t="n">
        <v>8542</v>
      </c>
      <c r="J18" s="697" t="n">
        <v>0</v>
      </c>
      <c r="K18" s="585" t="n">
        <v>250</v>
      </c>
      <c r="L18" s="585" t="n">
        <v>34</v>
      </c>
      <c r="M18" s="699">
        <f>IF(C18="TXO",J18-SUM(K18:L18),IF(C18="FITX",IF(E18="新倉",-SUM(K18:L18),IF(F18="賣",(I18-I17)*H18*200-SUM(K18:L18),(I17-I18)*H18*200-SUM(K18:L18)))))</f>
        <v/>
      </c>
      <c r="N18" s="686">
        <f>IF(C18="TXO","",IF(C18="FITX",IF(E18="新倉","",IF(F18="賣",(I18-I17),(I17-I18)))))</f>
        <v/>
      </c>
      <c r="O18" s="334">
        <f>ABS(J18)</f>
        <v/>
      </c>
      <c r="P18" s="667" t="n"/>
    </row>
    <row r="19" hidden="1" outlineLevel="2" ht="17.25" customHeight="1" thickBot="1">
      <c r="B19" s="228" t="n">
        <v>42523</v>
      </c>
      <c r="C19" s="234" t="inlineStr">
        <is>
          <t>FITX</t>
        </is>
      </c>
      <c r="D19" s="229" t="inlineStr">
        <is>
          <t>台指06</t>
        </is>
      </c>
      <c r="E19" s="229" t="inlineStr">
        <is>
          <t>平倉</t>
        </is>
      </c>
      <c r="F19" s="229" t="inlineStr">
        <is>
          <t>買</t>
        </is>
      </c>
      <c r="G19" s="229" t="inlineStr">
        <is>
          <t>-</t>
        </is>
      </c>
      <c r="H19" s="697" t="n">
        <v>1</v>
      </c>
      <c r="I19" s="697" t="n">
        <v>8539</v>
      </c>
      <c r="J19" s="697" t="n">
        <v>0</v>
      </c>
      <c r="K19" s="585" t="n">
        <v>250</v>
      </c>
      <c r="L19" s="585" t="n">
        <v>34</v>
      </c>
      <c r="M19" s="699">
        <f>IF(C19="TXO",J19-SUM(K19:L19),IF(C19="FITX",IF(E19="新倉",-SUM(K19:L19),IF(F19="賣",(I19-I18)*H19*200-SUM(K19:L19),(I18-I19)*H19*200-SUM(K19:L19)))))</f>
        <v/>
      </c>
      <c r="N19" s="686">
        <f>IF(C19="TXO","",IF(C19="FITX",IF(E19="新倉","",IF(F19="賣",(I19-I18),(I18-I19)))))</f>
        <v/>
      </c>
      <c r="O19" s="334">
        <f>ABS(J19)</f>
        <v/>
      </c>
      <c r="P19" s="667" t="n"/>
    </row>
    <row r="20" hidden="1" outlineLevel="1" collapsed="1" ht="17.25" customHeight="1" thickBot="1">
      <c r="B20" s="360" t="n">
        <v>42525</v>
      </c>
      <c r="C20" s="299" t="inlineStr">
        <is>
          <t>FITX</t>
        </is>
      </c>
      <c r="D20" s="300" t="inlineStr">
        <is>
          <t>台指06</t>
        </is>
      </c>
      <c r="E20" s="300" t="inlineStr">
        <is>
          <t>新倉</t>
        </is>
      </c>
      <c r="F20" s="300" t="inlineStr">
        <is>
          <t>賣</t>
        </is>
      </c>
      <c r="G20" s="300" t="inlineStr">
        <is>
          <t>-</t>
        </is>
      </c>
      <c r="H20" s="741" t="n">
        <v>1</v>
      </c>
      <c r="I20" s="741" t="n">
        <v>8565</v>
      </c>
      <c r="J20" s="741" t="n">
        <v>0</v>
      </c>
      <c r="K20" s="742" t="n">
        <v>250</v>
      </c>
      <c r="L20" s="742" t="n">
        <v>34</v>
      </c>
      <c r="M20" s="743">
        <f>IF(C20="TXO",J20-SUM(K20:L20),IF(C20="FITX",IF(E20="新倉",-SUM(K20:L20),IF(F20="賣",(I20-I19)*H20*200-SUM(K20:L20),(I19-I20)*H20*200-SUM(K20:L20)))))</f>
        <v/>
      </c>
      <c r="N20" s="780">
        <f>IF(C20="TXO","",IF(C20="FITX",IF(E20="新倉","",IF(F20="賣",(I20-I19),(I19-I20)))))</f>
        <v/>
      </c>
      <c r="O20" s="334">
        <f>ABS(J20)</f>
        <v/>
      </c>
      <c r="P20" s="764">
        <f>SUM(M20:M25)</f>
        <v/>
      </c>
    </row>
    <row r="21" hidden="1" outlineLevel="2" ht="17.25" customHeight="1" thickBot="1">
      <c r="B21" s="360" t="n">
        <v>42525</v>
      </c>
      <c r="C21" s="299" t="inlineStr">
        <is>
          <t>FITX</t>
        </is>
      </c>
      <c r="D21" s="300" t="inlineStr">
        <is>
          <t>台指06</t>
        </is>
      </c>
      <c r="E21" s="300" t="inlineStr">
        <is>
          <t>平倉</t>
        </is>
      </c>
      <c r="F21" s="300" t="inlineStr">
        <is>
          <t>買</t>
        </is>
      </c>
      <c r="G21" s="300" t="inlineStr">
        <is>
          <t>-</t>
        </is>
      </c>
      <c r="H21" s="741" t="n">
        <v>1</v>
      </c>
      <c r="I21" s="741" t="n">
        <v>8575</v>
      </c>
      <c r="J21" s="741" t="n">
        <v>0</v>
      </c>
      <c r="K21" s="742" t="n">
        <v>250</v>
      </c>
      <c r="L21" s="742" t="n">
        <v>34</v>
      </c>
      <c r="M21" s="743">
        <f>IF(C21="TXO",J21-SUM(K21:L21),IF(C21="FITX",IF(E21="新倉",-SUM(K21:L21),IF(F21="賣",(I21-I20)*H21*200-SUM(K21:L21),(I20-I21)*H21*200-SUM(K21:L21)))))</f>
        <v/>
      </c>
      <c r="N21" s="780">
        <f>IF(C21="TXO","",IF(C21="FITX",IF(E21="新倉","",IF(F21="賣",(I21-I20),(I20-I21)))))</f>
        <v/>
      </c>
      <c r="O21" s="334">
        <f>ABS(J21)</f>
        <v/>
      </c>
      <c r="P21" s="764" t="n"/>
    </row>
    <row r="22" hidden="1" outlineLevel="2" ht="17.25" customHeight="1" thickBot="1">
      <c r="B22" s="360" t="n">
        <v>42525</v>
      </c>
      <c r="C22" s="299" t="inlineStr">
        <is>
          <t>FITX</t>
        </is>
      </c>
      <c r="D22" s="300" t="inlineStr">
        <is>
          <t>台指06</t>
        </is>
      </c>
      <c r="E22" s="300" t="inlineStr">
        <is>
          <t>新倉</t>
        </is>
      </c>
      <c r="F22" s="300" t="inlineStr">
        <is>
          <t>賣</t>
        </is>
      </c>
      <c r="G22" s="300" t="inlineStr">
        <is>
          <t>-</t>
        </is>
      </c>
      <c r="H22" s="741" t="n">
        <v>1</v>
      </c>
      <c r="I22" s="741" t="n">
        <v>8577</v>
      </c>
      <c r="J22" s="741" t="n">
        <v>0</v>
      </c>
      <c r="K22" s="742" t="n">
        <v>250</v>
      </c>
      <c r="L22" s="742" t="n">
        <v>34</v>
      </c>
      <c r="M22" s="743">
        <f>IF(C22="TXO",J22-SUM(K22:L22),IF(C22="FITX",IF(E22="新倉",-SUM(K22:L22),IF(F22="賣",(I22-I21)*H22*200-SUM(K22:L22),(I21-I22)*H22*200-SUM(K22:L22)))))</f>
        <v/>
      </c>
      <c r="N22" s="780">
        <f>IF(C22="TXO","",IF(C22="FITX",IF(E22="新倉","",IF(F22="賣",(I22-I21),(I21-I22)))))</f>
        <v/>
      </c>
      <c r="O22" s="334">
        <f>ABS(J22)</f>
        <v/>
      </c>
      <c r="P22" s="764" t="n"/>
      <c r="R22" s="61" t="n"/>
      <c r="S22" s="61" t="n"/>
      <c r="T22" s="61" t="n"/>
      <c r="U22" s="61" t="n"/>
      <c r="V22" s="61" t="n"/>
      <c r="W22" s="61" t="n"/>
      <c r="X22" s="61" t="n"/>
      <c r="Y22" s="61" t="n"/>
    </row>
    <row r="23" hidden="1" outlineLevel="2" ht="17.25" customHeight="1" thickBot="1">
      <c r="B23" s="360" t="n">
        <v>42525</v>
      </c>
      <c r="C23" s="299" t="inlineStr">
        <is>
          <t>FITX</t>
        </is>
      </c>
      <c r="D23" s="300" t="inlineStr">
        <is>
          <t>台指06</t>
        </is>
      </c>
      <c r="E23" s="300" t="inlineStr">
        <is>
          <t>平倉</t>
        </is>
      </c>
      <c r="F23" s="300" t="inlineStr">
        <is>
          <t>買</t>
        </is>
      </c>
      <c r="G23" s="300" t="inlineStr">
        <is>
          <t>-</t>
        </is>
      </c>
      <c r="H23" s="741" t="n">
        <v>1</v>
      </c>
      <c r="I23" s="741" t="n">
        <v>8578</v>
      </c>
      <c r="J23" s="741" t="n">
        <v>0</v>
      </c>
      <c r="K23" s="742" t="n">
        <v>250</v>
      </c>
      <c r="L23" s="742" t="n">
        <v>34</v>
      </c>
      <c r="M23" s="743">
        <f>IF(C23="TXO",J23-SUM(K23:L23),IF(C23="FITX",IF(E23="新倉",-SUM(K23:L23),IF(F23="賣",(I23-I22)*H23*200-SUM(K23:L23),(I22-I23)*H23*200-SUM(K23:L23)))))</f>
        <v/>
      </c>
      <c r="N23" s="780">
        <f>IF(C23="TXO","",IF(C23="FITX",IF(E23="新倉","",IF(F23="賣",(I23-I22),(I22-I23)))))</f>
        <v/>
      </c>
      <c r="O23" s="334">
        <f>ABS(J23)</f>
        <v/>
      </c>
      <c r="P23" s="764" t="n"/>
      <c r="R23" s="61" t="n"/>
      <c r="S23" s="61" t="n"/>
      <c r="T23" s="61" t="n"/>
      <c r="U23" s="61" t="n"/>
      <c r="V23" s="61" t="n"/>
      <c r="W23" s="61" t="n"/>
      <c r="X23" s="61" t="n"/>
      <c r="Y23" s="61" t="n"/>
    </row>
    <row r="24" hidden="1" outlineLevel="2" ht="17.25" customHeight="1" thickBot="1">
      <c r="B24" s="360" t="n">
        <v>42525</v>
      </c>
      <c r="C24" s="299" t="inlineStr">
        <is>
          <t>FITX</t>
        </is>
      </c>
      <c r="D24" s="300" t="inlineStr">
        <is>
          <t>台指06</t>
        </is>
      </c>
      <c r="E24" s="300" t="inlineStr">
        <is>
          <t>新倉</t>
        </is>
      </c>
      <c r="F24" s="300" t="inlineStr">
        <is>
          <t>買</t>
        </is>
      </c>
      <c r="G24" s="300" t="inlineStr">
        <is>
          <t>-</t>
        </is>
      </c>
      <c r="H24" s="741" t="n">
        <v>1</v>
      </c>
      <c r="I24" s="741" t="n">
        <v>8580</v>
      </c>
      <c r="J24" s="741" t="n">
        <v>0</v>
      </c>
      <c r="K24" s="742" t="n">
        <v>250</v>
      </c>
      <c r="L24" s="742" t="n">
        <v>34</v>
      </c>
      <c r="M24" s="743">
        <f>IF(C24="TXO",J24-SUM(K24:L24),IF(C24="FITX",IF(E24="新倉",-SUM(K24:L24),IF(F24="賣",(I24-I23)*H24*200-SUM(K24:L24),(I23-I24)*H24*200-SUM(K24:L24)))))</f>
        <v/>
      </c>
      <c r="N24" s="780">
        <f>IF(C24="TXO","",IF(C24="FITX",IF(E24="新倉","",IF(F24="賣",(I24-I23),(I23-I24)))))</f>
        <v/>
      </c>
      <c r="O24" s="334">
        <f>ABS(J24)</f>
        <v/>
      </c>
      <c r="P24" s="764" t="n"/>
    </row>
    <row r="25" hidden="1" outlineLevel="2" ht="17.25" customHeight="1" thickBot="1">
      <c r="B25" s="360" t="n">
        <v>42525</v>
      </c>
      <c r="C25" s="299" t="inlineStr">
        <is>
          <t>FITX</t>
        </is>
      </c>
      <c r="D25" s="300" t="inlineStr">
        <is>
          <t>台指06</t>
        </is>
      </c>
      <c r="E25" s="300" t="inlineStr">
        <is>
          <t>平倉</t>
        </is>
      </c>
      <c r="F25" s="300" t="inlineStr">
        <is>
          <t>賣</t>
        </is>
      </c>
      <c r="G25" s="300" t="inlineStr">
        <is>
          <t>-</t>
        </is>
      </c>
      <c r="H25" s="741" t="n">
        <v>1</v>
      </c>
      <c r="I25" s="741" t="n">
        <v>8576</v>
      </c>
      <c r="J25" s="741" t="n">
        <v>0</v>
      </c>
      <c r="K25" s="742" t="n">
        <v>250</v>
      </c>
      <c r="L25" s="742" t="n">
        <v>34</v>
      </c>
      <c r="M25" s="743">
        <f>IF(C25="TXO",J25-SUM(K25:L25),IF(C25="FITX",IF(E25="新倉",-SUM(K25:L25),IF(F25="賣",(I25-I24)*H25*200-SUM(K25:L25),(I24-I25)*H25*200-SUM(K25:L25)))))</f>
        <v/>
      </c>
      <c r="N25" s="780">
        <f>IF(C25="TXO","",IF(C25="FITX",IF(E25="新倉","",IF(F25="賣",(I25-I24),(I24-I25)))))</f>
        <v/>
      </c>
      <c r="O25" s="334">
        <f>ABS(J25)</f>
        <v/>
      </c>
      <c r="P25" s="764" t="n"/>
      <c r="R25" s="61" t="n"/>
      <c r="S25" s="61" t="n"/>
      <c r="T25" s="61" t="n"/>
      <c r="U25" s="61" t="n"/>
      <c r="V25" s="61" t="n"/>
      <c r="W25" s="61" t="n"/>
      <c r="X25" s="61" t="n"/>
      <c r="Y25" s="61" t="n"/>
    </row>
    <row r="26" hidden="1" outlineLevel="1" collapsed="1" ht="17.25" customHeight="1" thickBot="1">
      <c r="B26" s="228" t="n">
        <v>42528</v>
      </c>
      <c r="C26" s="234" t="inlineStr">
        <is>
          <t>FITX</t>
        </is>
      </c>
      <c r="D26" s="229" t="inlineStr">
        <is>
          <t>台指06</t>
        </is>
      </c>
      <c r="E26" s="229" t="inlineStr">
        <is>
          <t>新倉</t>
        </is>
      </c>
      <c r="F26" s="229" t="inlineStr">
        <is>
          <t>賣</t>
        </is>
      </c>
      <c r="G26" s="229" t="inlineStr">
        <is>
          <t>-</t>
        </is>
      </c>
      <c r="H26" s="697" t="n">
        <v>1</v>
      </c>
      <c r="I26" s="697" t="n">
        <v>8625</v>
      </c>
      <c r="J26" s="697" t="n">
        <v>0</v>
      </c>
      <c r="K26" s="585" t="n">
        <v>250</v>
      </c>
      <c r="L26" s="585" t="n">
        <v>35</v>
      </c>
      <c r="M26" s="699">
        <f>IF(C26="TXO",J26-SUM(K26:L26),IF(C26="FITX",IF(E26="新倉",-SUM(K26:L26),IF(F26="賣",(I26-I25)*H26*200-SUM(K26:L26),(I25-I26)*H26*200-SUM(K26:L26)))))</f>
        <v/>
      </c>
      <c r="N26" s="686">
        <f>IF(C26="TXO","",IF(C26="FITX",IF(E26="新倉","",IF(F26="賣",(I26-I25),(I25-I26)))))</f>
        <v/>
      </c>
      <c r="O26" s="334">
        <f>ABS(J26)</f>
        <v/>
      </c>
      <c r="P26" s="667">
        <f>SUM(M26:M27)</f>
        <v/>
      </c>
      <c r="R26" s="61" t="n"/>
      <c r="S26" s="61" t="n"/>
      <c r="T26" s="61" t="n"/>
      <c r="U26" s="61" t="n"/>
      <c r="V26" s="61" t="n"/>
      <c r="W26" s="61" t="n"/>
      <c r="X26" s="61" t="n"/>
      <c r="Y26" s="61" t="n"/>
    </row>
    <row r="27" hidden="1" outlineLevel="1" ht="17.25" customHeight="1" thickBot="1">
      <c r="B27" s="228" t="n">
        <v>42528</v>
      </c>
      <c r="C27" s="234" t="inlineStr">
        <is>
          <t>FITX</t>
        </is>
      </c>
      <c r="D27" s="229" t="inlineStr">
        <is>
          <t>台指06</t>
        </is>
      </c>
      <c r="E27" s="229" t="inlineStr">
        <is>
          <t>平倉</t>
        </is>
      </c>
      <c r="F27" s="229" t="inlineStr">
        <is>
          <t>買</t>
        </is>
      </c>
      <c r="G27" s="229" t="inlineStr">
        <is>
          <t>-</t>
        </is>
      </c>
      <c r="H27" s="697" t="n">
        <v>1</v>
      </c>
      <c r="I27" s="697" t="n">
        <v>8638</v>
      </c>
      <c r="J27" s="697" t="n">
        <v>0</v>
      </c>
      <c r="K27" s="585" t="n">
        <v>250</v>
      </c>
      <c r="L27" s="585" t="n">
        <v>35</v>
      </c>
      <c r="M27" s="699">
        <f>IF(C27="TXO",J27-SUM(K27:L27),IF(C27="FITX",IF(E27="新倉",-SUM(K27:L27),IF(F27="賣",(I27-I26)*H27*200-SUM(K27:L27),(I26-I27)*H27*200-SUM(K27:L27)))))</f>
        <v/>
      </c>
      <c r="N27" s="686">
        <f>IF(C27="TXO","",IF(C27="FITX",IF(E27="新倉","",IF(F27="賣",(I27-I26),(I26-I27)))))</f>
        <v/>
      </c>
      <c r="O27" s="334">
        <f>ABS(J27)</f>
        <v/>
      </c>
      <c r="P27" s="667" t="n"/>
      <c r="R27" s="61" t="n"/>
      <c r="S27" s="61" t="n"/>
      <c r="T27" s="61" t="n"/>
      <c r="U27" s="61" t="n"/>
      <c r="V27" s="61" t="n"/>
      <c r="W27" s="61" t="n"/>
      <c r="X27" s="61" t="n"/>
      <c r="Y27" s="61" t="n"/>
    </row>
    <row r="28" hidden="1" outlineLevel="1" ht="17.25" customHeight="1" thickBot="1">
      <c r="B28" s="360" t="n">
        <v>42529</v>
      </c>
      <c r="C28" s="299" t="inlineStr">
        <is>
          <t>FITX</t>
        </is>
      </c>
      <c r="D28" s="300" t="inlineStr">
        <is>
          <t>台指06</t>
        </is>
      </c>
      <c r="E28" s="300" t="inlineStr">
        <is>
          <t>新倉</t>
        </is>
      </c>
      <c r="F28" s="300" t="inlineStr">
        <is>
          <t>買</t>
        </is>
      </c>
      <c r="G28" s="300" t="inlineStr">
        <is>
          <t>-</t>
        </is>
      </c>
      <c r="H28" s="741" t="n">
        <v>1</v>
      </c>
      <c r="I28" s="741" t="n">
        <v>8694</v>
      </c>
      <c r="J28" s="741" t="n">
        <v>0</v>
      </c>
      <c r="K28" s="742" t="n">
        <v>250</v>
      </c>
      <c r="L28" s="742" t="n">
        <v>35</v>
      </c>
      <c r="M28" s="743">
        <f>IF(C28="TXO",J28-SUM(K28:L28),IF(C28="FITX",IF(E28="新倉",-SUM(K28:L28),IF(F28="賣",(I28-I27)*H28*200-SUM(K28:L28),(I27-I28)*H28*200-SUM(K28:L28)))))</f>
        <v/>
      </c>
      <c r="N28" s="780">
        <f>IF(C28="TXO","",IF(C28="FITX",IF(E28="新倉","",IF(F28="賣",(I28-I27),(I27-I28)))))</f>
        <v/>
      </c>
      <c r="O28" s="334">
        <f>ABS(J28)</f>
        <v/>
      </c>
      <c r="P28" s="764">
        <f>SUM(M28:M29)</f>
        <v/>
      </c>
      <c r="R28" s="61" t="n"/>
      <c r="S28" s="61" t="n"/>
      <c r="T28" s="61" t="n"/>
      <c r="U28" s="61" t="n"/>
      <c r="V28" s="61" t="n"/>
      <c r="W28" s="61" t="n"/>
      <c r="X28" s="61" t="n"/>
      <c r="Y28" s="61" t="n"/>
    </row>
    <row r="29" hidden="1" outlineLevel="1" ht="17.25" customHeight="1" thickBot="1">
      <c r="B29" s="360" t="n">
        <v>42529</v>
      </c>
      <c r="C29" s="299" t="inlineStr">
        <is>
          <t>FITX</t>
        </is>
      </c>
      <c r="D29" s="300" t="inlineStr">
        <is>
          <t>台指06</t>
        </is>
      </c>
      <c r="E29" s="300" t="inlineStr">
        <is>
          <t>平倉</t>
        </is>
      </c>
      <c r="F29" s="300" t="inlineStr">
        <is>
          <t>賣</t>
        </is>
      </c>
      <c r="G29" s="300" t="inlineStr">
        <is>
          <t>-</t>
        </is>
      </c>
      <c r="H29" s="741" t="n">
        <v>1</v>
      </c>
      <c r="I29" s="741" t="n">
        <v>8708</v>
      </c>
      <c r="J29" s="741" t="n">
        <v>0</v>
      </c>
      <c r="K29" s="742" t="n">
        <v>250</v>
      </c>
      <c r="L29" s="742" t="n">
        <v>35</v>
      </c>
      <c r="M29" s="743">
        <f>IF(C29="TXO",J29-SUM(K29:L29),IF(C29="FITX",IF(E29="新倉",-SUM(K29:L29),IF(F29="賣",(I29-I28)*H29*200-SUM(K29:L29),(I28-I29)*H29*200-SUM(K29:L29)))))</f>
        <v/>
      </c>
      <c r="N29" s="780">
        <f>IF(C29="TXO","",IF(C29="FITX",IF(E29="新倉","",IF(F29="賣",(I29-I28),(I28-I29)))))</f>
        <v/>
      </c>
      <c r="O29" s="334">
        <f>ABS(J29)</f>
        <v/>
      </c>
      <c r="P29" s="764" t="n"/>
      <c r="R29" s="61" t="n"/>
      <c r="S29" s="61" t="n"/>
      <c r="T29" s="61" t="n"/>
      <c r="U29" s="61" t="n"/>
      <c r="V29" s="61" t="n"/>
      <c r="W29" s="61" t="n"/>
      <c r="X29" s="61" t="n"/>
      <c r="Y29" s="61" t="n"/>
    </row>
    <row r="30" hidden="1" outlineLevel="1" ht="17.25" customHeight="1" thickBot="1">
      <c r="B30" s="228" t="n">
        <v>42534</v>
      </c>
      <c r="C30" s="234" t="inlineStr">
        <is>
          <t>FITX</t>
        </is>
      </c>
      <c r="D30" s="229" t="inlineStr">
        <is>
          <t>台指06</t>
        </is>
      </c>
      <c r="E30" s="229" t="inlineStr">
        <is>
          <t>新倉</t>
        </is>
      </c>
      <c r="F30" s="229" t="inlineStr">
        <is>
          <t>賣</t>
        </is>
      </c>
      <c r="G30" s="229" t="inlineStr">
        <is>
          <t>-</t>
        </is>
      </c>
      <c r="H30" s="697" t="n">
        <v>1</v>
      </c>
      <c r="I30" s="697" t="n">
        <v>8600</v>
      </c>
      <c r="J30" s="697" t="n">
        <v>0</v>
      </c>
      <c r="K30" s="585" t="n">
        <v>250</v>
      </c>
      <c r="L30" s="585" t="n">
        <v>34</v>
      </c>
      <c r="M30" s="699">
        <f>IF(C30="TXO",J30-SUM(K30:L30),IF(C30="FITX",IF(E30="新倉",-SUM(K30:L30),IF(F30="賣",(I30-I29)*H30*200-SUM(K30:L30),(I29-I30)*H30*200-SUM(K30:L30)))))</f>
        <v/>
      </c>
      <c r="N30" s="686">
        <f>IF(C30="TXO","",IF(C30="FITX",IF(E30="新倉","",IF(F30="賣",(I30-I29),(I29-I30)))))</f>
        <v/>
      </c>
      <c r="O30" s="334">
        <f>ABS(J30)</f>
        <v/>
      </c>
      <c r="P30" s="667">
        <f>SUM(M30:M31)</f>
        <v/>
      </c>
      <c r="R30" s="61" t="n"/>
      <c r="S30" s="61" t="n"/>
      <c r="T30" s="61" t="n"/>
      <c r="U30" s="61" t="n"/>
      <c r="V30" s="61" t="n"/>
      <c r="W30" s="61" t="n"/>
      <c r="X30" s="61" t="n"/>
      <c r="Y30" s="61" t="n"/>
    </row>
    <row r="31" hidden="1" outlineLevel="1" ht="17.25" customHeight="1" thickBot="1">
      <c r="B31" s="228" t="n">
        <v>42534</v>
      </c>
      <c r="C31" s="234" t="inlineStr">
        <is>
          <t>FITX</t>
        </is>
      </c>
      <c r="D31" s="229" t="inlineStr">
        <is>
          <t>台指06</t>
        </is>
      </c>
      <c r="E31" s="229" t="inlineStr">
        <is>
          <t>平倉</t>
        </is>
      </c>
      <c r="F31" s="229" t="inlineStr">
        <is>
          <t>買</t>
        </is>
      </c>
      <c r="G31" s="229" t="inlineStr">
        <is>
          <t>-</t>
        </is>
      </c>
      <c r="H31" s="697" t="n">
        <v>1</v>
      </c>
      <c r="I31" s="697" t="n">
        <v>8587</v>
      </c>
      <c r="J31" s="697" t="n">
        <v>0</v>
      </c>
      <c r="K31" s="585" t="n">
        <v>250</v>
      </c>
      <c r="L31" s="585" t="n">
        <v>34</v>
      </c>
      <c r="M31" s="699">
        <f>IF(C31="TXO",J31-SUM(K31:L31),IF(C31="FITX",IF(E31="新倉",-SUM(K31:L31),IF(F31="賣",(I31-I30)*H31*200-SUM(K31:L31),(I30-I31)*H31*200-SUM(K31:L31)))))</f>
        <v/>
      </c>
      <c r="N31" s="686">
        <f>IF(C31="TXO","",IF(C31="FITX",IF(E31="新倉","",IF(F31="賣",(I31-I30),(I30-I31)))))</f>
        <v/>
      </c>
      <c r="O31" s="334">
        <f>ABS(J31)</f>
        <v/>
      </c>
      <c r="P31" s="667" t="n"/>
      <c r="R31" s="61" t="n"/>
      <c r="S31" s="61" t="n"/>
      <c r="T31" s="61" t="n"/>
      <c r="U31" s="61" t="n"/>
      <c r="V31" s="61" t="n"/>
      <c r="W31" s="61" t="n"/>
      <c r="X31" s="61" t="n"/>
      <c r="Y31" s="61" t="n"/>
    </row>
    <row r="32" hidden="1" outlineLevel="1" collapsed="1" ht="17.25" customHeight="1" thickBot="1">
      <c r="B32" s="360" t="n">
        <v>42535</v>
      </c>
      <c r="C32" s="299" t="inlineStr">
        <is>
          <t>FITX</t>
        </is>
      </c>
      <c r="D32" s="300" t="inlineStr">
        <is>
          <t>台指06</t>
        </is>
      </c>
      <c r="E32" s="300" t="inlineStr">
        <is>
          <t>新倉</t>
        </is>
      </c>
      <c r="F32" s="300" t="inlineStr">
        <is>
          <t>買</t>
        </is>
      </c>
      <c r="G32" s="300" t="inlineStr">
        <is>
          <t>-</t>
        </is>
      </c>
      <c r="H32" s="741" t="n">
        <v>1</v>
      </c>
      <c r="I32" s="741" t="n">
        <v>8517</v>
      </c>
      <c r="J32" s="741" t="n">
        <v>0</v>
      </c>
      <c r="K32" s="742" t="n">
        <v>250</v>
      </c>
      <c r="L32" s="742" t="n">
        <v>34</v>
      </c>
      <c r="M32" s="743">
        <f>IF(C32="TXO",J32-SUM(K32:L32),IF(C32="FITX",IF(E32="新倉",-SUM(K32:L32),IF(F32="賣",(I32-I31)*H32*200-SUM(K32:L32),(I31-I32)*H32*200-SUM(K32:L32)))))</f>
        <v/>
      </c>
      <c r="N32" s="780">
        <f>IF(C32="TXO","",IF(C32="FITX",IF(E32="新倉","",IF(F32="賣",(I32-I31),(I31-I32)))))</f>
        <v/>
      </c>
      <c r="O32" s="334">
        <f>ABS(J32)</f>
        <v/>
      </c>
      <c r="P32" s="764">
        <f>SUM(M32:M41)</f>
        <v/>
      </c>
      <c r="R32" s="61" t="n"/>
      <c r="S32" s="61" t="n"/>
      <c r="T32" s="61" t="n"/>
      <c r="U32" s="61" t="n"/>
      <c r="V32" s="61" t="n"/>
      <c r="W32" s="61" t="n"/>
      <c r="X32" s="61" t="n"/>
      <c r="Y32" s="61" t="n"/>
    </row>
    <row r="33" hidden="1" outlineLevel="2" ht="17.25" customHeight="1" thickBot="1">
      <c r="B33" s="360" t="n">
        <v>42535</v>
      </c>
      <c r="C33" s="299" t="inlineStr">
        <is>
          <t>FITX</t>
        </is>
      </c>
      <c r="D33" s="300" t="inlineStr">
        <is>
          <t>台指06</t>
        </is>
      </c>
      <c r="E33" s="300" t="inlineStr">
        <is>
          <t>平倉</t>
        </is>
      </c>
      <c r="F33" s="300" t="inlineStr">
        <is>
          <t>賣</t>
        </is>
      </c>
      <c r="G33" s="300" t="inlineStr">
        <is>
          <t>-</t>
        </is>
      </c>
      <c r="H33" s="741" t="n">
        <v>1</v>
      </c>
      <c r="I33" s="741" t="n">
        <v>8512</v>
      </c>
      <c r="J33" s="741" t="n">
        <v>0</v>
      </c>
      <c r="K33" s="742" t="n">
        <v>250</v>
      </c>
      <c r="L33" s="742" t="n">
        <v>34</v>
      </c>
      <c r="M33" s="743">
        <f>IF(C33="TXO",J33-SUM(K33:L33),IF(C33="FITX",IF(E33="新倉",-SUM(K33:L33),IF(F33="賣",(I33-I32)*H33*200-SUM(K33:L33),(I32-I33)*H33*200-SUM(K33:L33)))))</f>
        <v/>
      </c>
      <c r="N33" s="780">
        <f>IF(C33="TXO","",IF(C33="FITX",IF(E33="新倉","",IF(F33="賣",(I33-I32),(I32-I33)))))</f>
        <v/>
      </c>
      <c r="O33" s="334">
        <f>ABS(J33)</f>
        <v/>
      </c>
      <c r="P33" s="764" t="n"/>
      <c r="R33" s="61" t="n"/>
      <c r="S33" s="61" t="n"/>
      <c r="T33" s="61" t="n"/>
      <c r="U33" s="61" t="n"/>
      <c r="V33" s="61" t="n"/>
      <c r="W33" s="61" t="n"/>
      <c r="X33" s="61" t="n"/>
      <c r="Y33" s="61" t="n"/>
    </row>
    <row r="34" hidden="1" outlineLevel="2" ht="17.25" customHeight="1" thickBot="1">
      <c r="B34" s="360" t="n">
        <v>42535</v>
      </c>
      <c r="C34" s="299" t="inlineStr">
        <is>
          <t>FITX</t>
        </is>
      </c>
      <c r="D34" s="300" t="inlineStr">
        <is>
          <t>台指06</t>
        </is>
      </c>
      <c r="E34" s="300" t="inlineStr">
        <is>
          <t>新倉</t>
        </is>
      </c>
      <c r="F34" s="300" t="inlineStr">
        <is>
          <t>賣</t>
        </is>
      </c>
      <c r="G34" s="300" t="inlineStr">
        <is>
          <t>-</t>
        </is>
      </c>
      <c r="H34" s="741" t="n">
        <v>1</v>
      </c>
      <c r="I34" s="741" t="n">
        <v>8513</v>
      </c>
      <c r="J34" s="741" t="n">
        <v>0</v>
      </c>
      <c r="K34" s="742" t="n">
        <v>250</v>
      </c>
      <c r="L34" s="742" t="n">
        <v>34</v>
      </c>
      <c r="M34" s="743">
        <f>IF(C34="TXO",J34-SUM(K34:L34),IF(C34="FITX",IF(E34="新倉",-SUM(K34:L34),IF(F34="賣",(I34-I33)*H34*200-SUM(K34:L34),(I33-I34)*H34*200-SUM(K34:L34)))))</f>
        <v/>
      </c>
      <c r="N34" s="780">
        <f>IF(C34="TXO","",IF(C34="FITX",IF(E34="新倉","",IF(F34="賣",(I34-I33),(I33-I34)))))</f>
        <v/>
      </c>
      <c r="O34" s="334">
        <f>ABS(J34)</f>
        <v/>
      </c>
      <c r="P34" s="764" t="n"/>
      <c r="R34" s="61" t="n"/>
      <c r="S34" s="61" t="n"/>
      <c r="T34" s="61" t="n"/>
      <c r="U34" s="61" t="n"/>
      <c r="V34" s="61" t="n"/>
      <c r="W34" s="61" t="n"/>
      <c r="X34" s="61" t="n"/>
      <c r="Y34" s="61" t="n"/>
    </row>
    <row r="35" hidden="1" outlineLevel="2" ht="17.25" customHeight="1" thickBot="1">
      <c r="B35" s="360" t="n">
        <v>42535</v>
      </c>
      <c r="C35" s="299" t="inlineStr">
        <is>
          <t>FITX</t>
        </is>
      </c>
      <c r="D35" s="300" t="inlineStr">
        <is>
          <t>台指06</t>
        </is>
      </c>
      <c r="E35" s="300" t="inlineStr">
        <is>
          <t>平倉</t>
        </is>
      </c>
      <c r="F35" s="300" t="inlineStr">
        <is>
          <t>買</t>
        </is>
      </c>
      <c r="G35" s="300" t="inlineStr">
        <is>
          <t>-</t>
        </is>
      </c>
      <c r="H35" s="741" t="n">
        <v>1</v>
      </c>
      <c r="I35" s="741" t="n">
        <v>8532</v>
      </c>
      <c r="J35" s="741" t="n">
        <v>0</v>
      </c>
      <c r="K35" s="742" t="n">
        <v>250</v>
      </c>
      <c r="L35" s="742" t="n">
        <v>34</v>
      </c>
      <c r="M35" s="743">
        <f>IF(C35="TXO",J35-SUM(K35:L35),IF(C35="FITX",IF(E35="新倉",-SUM(K35:L35),IF(F35="賣",(I35-I34)*H35*200-SUM(K35:L35),(I34-I35)*H35*200-SUM(K35:L35)))))</f>
        <v/>
      </c>
      <c r="N35" s="780">
        <f>IF(C35="TXO","",IF(C35="FITX",IF(E35="新倉","",IF(F35="賣",(I35-I34),(I34-I35)))))</f>
        <v/>
      </c>
      <c r="O35" s="334">
        <f>ABS(J35)</f>
        <v/>
      </c>
      <c r="P35" s="764" t="n"/>
      <c r="R35" s="61" t="n"/>
      <c r="S35" s="61" t="n"/>
      <c r="T35" s="61" t="n"/>
      <c r="U35" s="61" t="n"/>
      <c r="V35" s="61" t="n"/>
      <c r="W35" s="61" t="n"/>
      <c r="X35" s="61" t="n"/>
      <c r="Y35" s="61" t="n"/>
    </row>
    <row r="36" hidden="1" outlineLevel="2" ht="17.25" customHeight="1" thickBot="1">
      <c r="B36" s="360" t="n">
        <v>42535</v>
      </c>
      <c r="C36" s="299" t="inlineStr">
        <is>
          <t>FITX</t>
        </is>
      </c>
      <c r="D36" s="300" t="inlineStr">
        <is>
          <t>台指06</t>
        </is>
      </c>
      <c r="E36" s="300" t="inlineStr">
        <is>
          <t>新倉</t>
        </is>
      </c>
      <c r="F36" s="300" t="inlineStr">
        <is>
          <t>買</t>
        </is>
      </c>
      <c r="G36" s="300" t="inlineStr">
        <is>
          <t>-</t>
        </is>
      </c>
      <c r="H36" s="741" t="n">
        <v>1</v>
      </c>
      <c r="I36" s="741" t="n">
        <v>8539</v>
      </c>
      <c r="J36" s="741" t="n">
        <v>0</v>
      </c>
      <c r="K36" s="742" t="n">
        <v>250</v>
      </c>
      <c r="L36" s="742" t="n">
        <v>34</v>
      </c>
      <c r="M36" s="743">
        <f>IF(C36="TXO",J36-SUM(K36:L36),IF(C36="FITX",IF(E36="新倉",-SUM(K36:L36),IF(F36="賣",(I36-I35)*H36*200-SUM(K36:L36),(I35-I36)*H36*200-SUM(K36:L36)))))</f>
        <v/>
      </c>
      <c r="N36" s="780">
        <f>IF(C36="TXO","",IF(C36="FITX",IF(E36="新倉","",IF(F36="賣",(I36-I35),(I35-I36)))))</f>
        <v/>
      </c>
      <c r="O36" s="334">
        <f>ABS(J36)</f>
        <v/>
      </c>
      <c r="P36" s="764" t="n"/>
      <c r="R36" s="61" t="n"/>
      <c r="S36" s="61" t="n"/>
      <c r="T36" s="61" t="n"/>
      <c r="U36" s="61" t="n"/>
      <c r="V36" s="61" t="n"/>
      <c r="W36" s="61" t="n"/>
      <c r="X36" s="61" t="n"/>
      <c r="Y36" s="61" t="n"/>
    </row>
    <row r="37" hidden="1" outlineLevel="2" ht="17.25" customHeight="1" thickBot="1">
      <c r="B37" s="360" t="n">
        <v>42535</v>
      </c>
      <c r="C37" s="299" t="inlineStr">
        <is>
          <t>FITX</t>
        </is>
      </c>
      <c r="D37" s="300" t="inlineStr">
        <is>
          <t>台指06</t>
        </is>
      </c>
      <c r="E37" s="300" t="inlineStr">
        <is>
          <t>平倉</t>
        </is>
      </c>
      <c r="F37" s="300" t="inlineStr">
        <is>
          <t>賣</t>
        </is>
      </c>
      <c r="G37" s="300" t="inlineStr">
        <is>
          <t>-</t>
        </is>
      </c>
      <c r="H37" s="741" t="n">
        <v>1</v>
      </c>
      <c r="I37" s="741" t="n">
        <v>8544</v>
      </c>
      <c r="J37" s="741" t="n">
        <v>0</v>
      </c>
      <c r="K37" s="742" t="n">
        <v>250</v>
      </c>
      <c r="L37" s="742" t="n">
        <v>34</v>
      </c>
      <c r="M37" s="743">
        <f>IF(C37="TXO",J37-SUM(K37:L37),IF(C37="FITX",IF(E37="新倉",-SUM(K37:L37),IF(F37="賣",(I37-I36)*H37*200-SUM(K37:L37),(I36-I37)*H37*200-SUM(K37:L37)))))</f>
        <v/>
      </c>
      <c r="N37" s="780">
        <f>IF(C37="TXO","",IF(C37="FITX",IF(E37="新倉","",IF(F37="賣",(I37-I36),(I36-I37)))))</f>
        <v/>
      </c>
      <c r="O37" s="334">
        <f>ABS(J37)</f>
        <v/>
      </c>
      <c r="P37" s="764" t="n"/>
      <c r="R37" s="61" t="n"/>
      <c r="S37" s="61" t="n"/>
      <c r="T37" s="61" t="n"/>
      <c r="U37" s="61" t="n"/>
      <c r="V37" s="61" t="n"/>
      <c r="W37" s="61" t="n"/>
      <c r="X37" s="61" t="n"/>
      <c r="Y37" s="61" t="n"/>
    </row>
    <row r="38" hidden="1" outlineLevel="2" ht="17.25" customHeight="1" thickBot="1">
      <c r="B38" s="360" t="n">
        <v>42535</v>
      </c>
      <c r="C38" s="299" t="inlineStr">
        <is>
          <t>FITX</t>
        </is>
      </c>
      <c r="D38" s="300" t="inlineStr">
        <is>
          <t>台指06</t>
        </is>
      </c>
      <c r="E38" s="300" t="inlineStr">
        <is>
          <t>新倉</t>
        </is>
      </c>
      <c r="F38" s="300" t="inlineStr">
        <is>
          <t>買</t>
        </is>
      </c>
      <c r="G38" s="300" t="inlineStr">
        <is>
          <t>-</t>
        </is>
      </c>
      <c r="H38" s="741" t="n">
        <v>1</v>
      </c>
      <c r="I38" s="741" t="n">
        <v>8550</v>
      </c>
      <c r="J38" s="741" t="n">
        <v>0</v>
      </c>
      <c r="K38" s="742" t="n">
        <v>250</v>
      </c>
      <c r="L38" s="742" t="n">
        <v>34</v>
      </c>
      <c r="M38" s="743">
        <f>IF(C38="TXO",J38-SUM(K38:L38),IF(C38="FITX",IF(E38="新倉",-SUM(K38:L38),IF(F38="賣",(I38-I37)*H38*200-SUM(K38:L38),(I37-I38)*H38*200-SUM(K38:L38)))))</f>
        <v/>
      </c>
      <c r="N38" s="780">
        <f>IF(C38="TXO","",IF(C38="FITX",IF(E38="新倉","",IF(F38="賣",(I38-I37),(I37-I38)))))</f>
        <v/>
      </c>
      <c r="O38" s="334">
        <f>ABS(J38)</f>
        <v/>
      </c>
      <c r="P38" s="764" t="n"/>
      <c r="R38" s="61" t="n"/>
      <c r="S38" s="61" t="n"/>
      <c r="T38" s="61" t="n"/>
      <c r="U38" s="61" t="n"/>
      <c r="V38" s="61" t="n"/>
      <c r="W38" s="61" t="n"/>
      <c r="X38" s="61" t="n"/>
      <c r="Y38" s="61" t="n"/>
    </row>
    <row r="39" hidden="1" outlineLevel="2" ht="17.25" customHeight="1" thickBot="1">
      <c r="B39" s="360" t="n">
        <v>42535</v>
      </c>
      <c r="C39" s="299" t="inlineStr">
        <is>
          <t>FITX</t>
        </is>
      </c>
      <c r="D39" s="300" t="inlineStr">
        <is>
          <t>台指06</t>
        </is>
      </c>
      <c r="E39" s="300" t="inlineStr">
        <is>
          <t>平倉</t>
        </is>
      </c>
      <c r="F39" s="300" t="inlineStr">
        <is>
          <t>賣</t>
        </is>
      </c>
      <c r="G39" s="300" t="inlineStr">
        <is>
          <t>-</t>
        </is>
      </c>
      <c r="H39" s="741" t="n">
        <v>1</v>
      </c>
      <c r="I39" s="741" t="n">
        <v>8541</v>
      </c>
      <c r="J39" s="741" t="n">
        <v>0</v>
      </c>
      <c r="K39" s="742" t="n">
        <v>250</v>
      </c>
      <c r="L39" s="742" t="n">
        <v>34</v>
      </c>
      <c r="M39" s="743">
        <f>IF(C39="TXO",J39-SUM(K39:L39),IF(C39="FITX",IF(E39="新倉",-SUM(K39:L39),IF(F39="賣",(I39-I38)*H39*200-SUM(K39:L39),(I38-I39)*H39*200-SUM(K39:L39)))))</f>
        <v/>
      </c>
      <c r="N39" s="780">
        <f>IF(C39="TXO","",IF(C39="FITX",IF(E39="新倉","",IF(F39="賣",(I39-I38),(I38-I39)))))</f>
        <v/>
      </c>
      <c r="O39" s="334">
        <f>ABS(J39)</f>
        <v/>
      </c>
      <c r="P39" s="764" t="n"/>
      <c r="R39" s="61" t="n"/>
      <c r="S39" s="61" t="n"/>
      <c r="T39" s="61" t="n"/>
      <c r="U39" s="61" t="n"/>
      <c r="V39" s="61" t="n"/>
      <c r="W39" s="61" t="n"/>
      <c r="X39" s="61" t="n"/>
      <c r="Y39" s="61" t="n"/>
    </row>
    <row r="40" hidden="1" outlineLevel="2" ht="17.25" customHeight="1" thickBot="1">
      <c r="B40" s="360" t="n">
        <v>42535</v>
      </c>
      <c r="C40" s="299" t="inlineStr">
        <is>
          <t>TXO</t>
        </is>
      </c>
      <c r="D40" s="300" t="inlineStr">
        <is>
          <t>台指選 06 08600 C</t>
        </is>
      </c>
      <c r="E40" s="300" t="inlineStr">
        <is>
          <t>新倉</t>
        </is>
      </c>
      <c r="F40" s="300" t="inlineStr">
        <is>
          <t>買</t>
        </is>
      </c>
      <c r="G40" s="300" t="inlineStr">
        <is>
          <t>-</t>
        </is>
      </c>
      <c r="H40" s="741" t="n">
        <v>1</v>
      </c>
      <c r="I40" s="741" t="n">
        <v>16</v>
      </c>
      <c r="J40" s="741" t="n">
        <v>-800</v>
      </c>
      <c r="K40" s="742" t="n">
        <v>88</v>
      </c>
      <c r="L40" s="742" t="n">
        <v>1</v>
      </c>
      <c r="M40" s="743">
        <f>IF(C40="TXO",J40-SUM(K40:L40),IF(C40="FITX",IF(E40="新倉",-SUM(K40:L40),IF(F40="賣",(I40-I39)*H40*200-SUM(K40:L40),(I39-I40)*H40*200-SUM(K40:L40)))))</f>
        <v/>
      </c>
      <c r="N40" s="780">
        <f>IF(C40="TXO","",IF(C40="FITX",IF(E40="新倉","",IF(F40="賣",(I40-I39),(I39-I40)))))</f>
        <v/>
      </c>
      <c r="O40" s="334">
        <f>ABS(J40)</f>
        <v/>
      </c>
      <c r="P40" s="764" t="n"/>
      <c r="R40" s="61" t="n"/>
      <c r="S40" s="61" t="n"/>
      <c r="T40" s="61" t="n"/>
      <c r="U40" s="61" t="n"/>
      <c r="V40" s="61" t="n"/>
      <c r="W40" s="61" t="n"/>
      <c r="X40" s="61" t="n"/>
      <c r="Y40" s="61" t="n"/>
    </row>
    <row r="41" hidden="1" outlineLevel="2" ht="17.25" customHeight="1" thickBot="1">
      <c r="B41" s="360" t="n">
        <v>42535</v>
      </c>
      <c r="C41" s="299" t="inlineStr">
        <is>
          <t>TXO</t>
        </is>
      </c>
      <c r="D41" s="300" t="inlineStr">
        <is>
          <t>台指選 06 08500 P</t>
        </is>
      </c>
      <c r="E41" s="300" t="inlineStr">
        <is>
          <t>新倉</t>
        </is>
      </c>
      <c r="F41" s="300" t="inlineStr">
        <is>
          <t>買</t>
        </is>
      </c>
      <c r="G41" s="300" t="inlineStr">
        <is>
          <t>-</t>
        </is>
      </c>
      <c r="H41" s="741" t="n">
        <v>1</v>
      </c>
      <c r="I41" s="741" t="n">
        <v>8.5</v>
      </c>
      <c r="J41" s="741" t="n">
        <v>-425</v>
      </c>
      <c r="K41" s="742" t="n">
        <v>88</v>
      </c>
      <c r="L41" s="742" t="n">
        <v>0</v>
      </c>
      <c r="M41" s="743">
        <f>IF(C41="TXO",J41-SUM(K41:L41),IF(C41="FITX",IF(E41="新倉",-SUM(K41:L41),IF(F41="賣",(I41-I40)*H41*200-SUM(K41:L41),(I40-I41)*H41*200-SUM(K41:L41)))))</f>
        <v/>
      </c>
      <c r="N41" s="780">
        <f>IF(C41="TXO","",IF(C41="FITX",IF(E41="新倉","",IF(F41="賣",(I41-I40),(I40-I41)))))</f>
        <v/>
      </c>
      <c r="O41" s="334">
        <f>ABS(J41)</f>
        <v/>
      </c>
      <c r="P41" s="764" t="n"/>
      <c r="R41" s="61" t="n"/>
      <c r="S41" s="61" t="n"/>
      <c r="T41" s="61" t="n"/>
      <c r="U41" s="61" t="n"/>
      <c r="V41" s="61" t="n"/>
      <c r="W41" s="61" t="n"/>
      <c r="X41" s="61" t="n"/>
      <c r="Y41" s="61" t="n"/>
    </row>
    <row r="42" hidden="1" outlineLevel="1" collapsed="1" ht="17.25" customHeight="1" thickBot="1">
      <c r="B42" s="228" t="n">
        <v>42536</v>
      </c>
      <c r="C42" s="234" t="inlineStr">
        <is>
          <t>FITX</t>
        </is>
      </c>
      <c r="D42" s="229" t="inlineStr">
        <is>
          <t>台指06</t>
        </is>
      </c>
      <c r="E42" s="229" t="inlineStr">
        <is>
          <t>新倉</t>
        </is>
      </c>
      <c r="F42" s="229" t="inlineStr">
        <is>
          <t>買</t>
        </is>
      </c>
      <c r="G42" s="229" t="inlineStr">
        <is>
          <t>-</t>
        </is>
      </c>
      <c r="H42" s="697" t="n">
        <v>1</v>
      </c>
      <c r="I42" s="697" t="n">
        <v>8578</v>
      </c>
      <c r="J42" s="697" t="n">
        <v>0</v>
      </c>
      <c r="K42" s="585" t="n">
        <v>100</v>
      </c>
      <c r="L42" s="585" t="n">
        <v>34</v>
      </c>
      <c r="M42" s="699">
        <f>IF(C42="TXO",J42-SUM(K42:L42),IF(C42="FITX",IF(E42="新倉",-SUM(K42:L42),IF(F42="賣",(I42-I41)*H42*200-SUM(K42:L42),(I41-I42)*H42*200-SUM(K42:L42)))))</f>
        <v/>
      </c>
      <c r="N42" s="686">
        <f>IF(C42="TXO","",IF(C42="FITX",IF(E42="新倉","",IF(F42="賣",(I42-I41),(I41-I42)))))</f>
        <v/>
      </c>
      <c r="O42" s="334">
        <f>ABS(J42)</f>
        <v/>
      </c>
      <c r="P42" s="667">
        <f>SUM(M42:M50)</f>
        <v/>
      </c>
      <c r="R42" s="61" t="n"/>
      <c r="S42" s="61" t="n"/>
      <c r="T42" s="61" t="n"/>
      <c r="U42" s="61" t="n"/>
      <c r="V42" s="61" t="n"/>
      <c r="W42" s="61" t="n"/>
      <c r="X42" s="61" t="n"/>
      <c r="Y42" s="61" t="n"/>
    </row>
    <row r="43" hidden="1" outlineLevel="2" ht="17.25" customHeight="1" thickBot="1">
      <c r="B43" s="228" t="n">
        <v>42536</v>
      </c>
      <c r="C43" s="234" t="inlineStr">
        <is>
          <t>FITX</t>
        </is>
      </c>
      <c r="D43" s="229" t="inlineStr">
        <is>
          <t>台指06</t>
        </is>
      </c>
      <c r="E43" s="229" t="inlineStr">
        <is>
          <t>平倉</t>
        </is>
      </c>
      <c r="F43" s="229" t="inlineStr">
        <is>
          <t>賣</t>
        </is>
      </c>
      <c r="G43" s="229" t="inlineStr">
        <is>
          <t>-</t>
        </is>
      </c>
      <c r="H43" s="697" t="n">
        <v>1</v>
      </c>
      <c r="I43" s="697" t="n">
        <v>8553</v>
      </c>
      <c r="J43" s="697" t="n">
        <v>0</v>
      </c>
      <c r="K43" s="585" t="n">
        <v>100</v>
      </c>
      <c r="L43" s="585" t="n">
        <v>34</v>
      </c>
      <c r="M43" s="699">
        <f>IF(C43="TXO",J43-SUM(K43:L43),IF(C43="FITX",IF(E43="新倉",-SUM(K43:L43),IF(F43="賣",(I43-I42)*H43*200-SUM(K43:L43),(I42-I43)*H43*200-SUM(K43:L43)))))</f>
        <v/>
      </c>
      <c r="N43" s="686">
        <f>IF(C43="TXO","",IF(C43="FITX",IF(E43="新倉","",IF(F43="賣",(I43-I42),(I42-I43)))))</f>
        <v/>
      </c>
      <c r="O43" s="334">
        <f>ABS(J43)</f>
        <v/>
      </c>
      <c r="P43" s="667" t="n"/>
      <c r="R43" s="61" t="n"/>
      <c r="S43" s="61" t="n"/>
      <c r="T43" s="61" t="n"/>
      <c r="U43" s="61" t="n"/>
      <c r="V43" s="61" t="n"/>
      <c r="W43" s="61" t="n"/>
      <c r="X43" s="61" t="n"/>
      <c r="Y43" s="61" t="n"/>
    </row>
    <row r="44" hidden="1" outlineLevel="2" ht="17.25" customHeight="1" thickBot="1">
      <c r="B44" s="228" t="n">
        <v>42536</v>
      </c>
      <c r="C44" s="234" t="inlineStr">
        <is>
          <t>FITX</t>
        </is>
      </c>
      <c r="D44" s="229" t="inlineStr">
        <is>
          <t>台指06</t>
        </is>
      </c>
      <c r="E44" s="229" t="inlineStr">
        <is>
          <t>新倉</t>
        </is>
      </c>
      <c r="F44" s="229" t="inlineStr">
        <is>
          <t>賣</t>
        </is>
      </c>
      <c r="G44" s="229" t="inlineStr">
        <is>
          <t>-</t>
        </is>
      </c>
      <c r="H44" s="697" t="n">
        <v>1</v>
      </c>
      <c r="I44" s="697" t="n">
        <v>8549</v>
      </c>
      <c r="J44" s="697" t="n">
        <v>0</v>
      </c>
      <c r="K44" s="585" t="n">
        <v>100</v>
      </c>
      <c r="L44" s="585" t="n">
        <v>34</v>
      </c>
      <c r="M44" s="699">
        <f>IF(C44="TXO",J44-SUM(K44:L44),IF(C44="FITX",IF(E44="新倉",-SUM(K44:L44),IF(F44="賣",(I44-I43)*H44*200-SUM(K44:L44),(I43-I44)*H44*200-SUM(K44:L44)))))</f>
        <v/>
      </c>
      <c r="N44" s="686">
        <f>IF(C44="TXO","",IF(C44="FITX",IF(E44="新倉","",IF(F44="賣",(I44-I43),(I43-I44)))))</f>
        <v/>
      </c>
      <c r="O44" s="334">
        <f>ABS(J44)</f>
        <v/>
      </c>
      <c r="P44" s="667" t="n"/>
      <c r="R44" s="61" t="n"/>
      <c r="S44" s="61" t="n"/>
      <c r="T44" s="61" t="n"/>
      <c r="U44" s="61" t="n"/>
      <c r="V44" s="61" t="n"/>
      <c r="W44" s="61" t="n"/>
      <c r="X44" s="61" t="n"/>
      <c r="Y44" s="61" t="n"/>
    </row>
    <row r="45" hidden="1" outlineLevel="2" ht="17.25" customHeight="1" thickBot="1">
      <c r="B45" s="228" t="n">
        <v>42536</v>
      </c>
      <c r="C45" s="234" t="inlineStr">
        <is>
          <t>FITX</t>
        </is>
      </c>
      <c r="D45" s="229" t="inlineStr">
        <is>
          <t>台指06</t>
        </is>
      </c>
      <c r="E45" s="229" t="inlineStr">
        <is>
          <t>平倉</t>
        </is>
      </c>
      <c r="F45" s="229" t="inlineStr">
        <is>
          <t>買</t>
        </is>
      </c>
      <c r="G45" s="229" t="inlineStr">
        <is>
          <t>-</t>
        </is>
      </c>
      <c r="H45" s="697" t="n">
        <v>1</v>
      </c>
      <c r="I45" s="697" t="n">
        <v>8535</v>
      </c>
      <c r="J45" s="697" t="n">
        <v>0</v>
      </c>
      <c r="K45" s="585" t="n">
        <v>100</v>
      </c>
      <c r="L45" s="585" t="n">
        <v>34</v>
      </c>
      <c r="M45" s="699">
        <f>IF(C45="TXO",J45-SUM(K45:L45),IF(C45="FITX",IF(E45="新倉",-SUM(K45:L45),IF(F45="賣",(I45-I44)*H45*200-SUM(K45:L45),(I44-I45)*H45*200-SUM(K45:L45)))))</f>
        <v/>
      </c>
      <c r="N45" s="686">
        <f>IF(C45="TXO","",IF(C45="FITX",IF(E45="新倉","",IF(F45="賣",(I45-I44),(I44-I45)))))</f>
        <v/>
      </c>
      <c r="O45" s="334">
        <f>ABS(J45)</f>
        <v/>
      </c>
      <c r="P45" s="667" t="n"/>
      <c r="R45" s="61" t="n"/>
      <c r="S45" s="61" t="n"/>
      <c r="T45" s="61" t="n"/>
      <c r="U45" s="61" t="n"/>
      <c r="V45" s="61" t="n"/>
      <c r="W45" s="61" t="n"/>
      <c r="X45" s="61" t="n"/>
      <c r="Y45" s="61" t="n"/>
    </row>
    <row r="46" hidden="1" outlineLevel="2" ht="17.25" customHeight="1" thickBot="1">
      <c r="B46" s="228" t="n">
        <v>42535</v>
      </c>
      <c r="C46" s="234" t="inlineStr">
        <is>
          <t>TXO</t>
        </is>
      </c>
      <c r="D46" s="229" t="inlineStr">
        <is>
          <t>台指選 06 08600 C</t>
        </is>
      </c>
      <c r="E46" s="229" t="inlineStr">
        <is>
          <t>結算</t>
        </is>
      </c>
      <c r="F46" s="229" t="inlineStr">
        <is>
          <t>賣</t>
        </is>
      </c>
      <c r="G46" s="229" t="inlineStr">
        <is>
          <t>-</t>
        </is>
      </c>
      <c r="H46" s="697" t="n">
        <v>1</v>
      </c>
      <c r="I46" s="697" t="n">
        <v>2</v>
      </c>
      <c r="J46" s="697" t="n">
        <v>100</v>
      </c>
      <c r="K46" s="585" t="n">
        <v>40</v>
      </c>
      <c r="L46" s="585" t="n">
        <v>9</v>
      </c>
      <c r="M46" s="699">
        <f>IF(C46="TXO",J46-SUM(K46:L46),IF(C46="FITX",IF(E46="新倉",-SUM(K46:L46),IF(F46="賣",(I46-I45)*H46*200-SUM(K46:L46),(I45-I46)*H46*200-SUM(K46:L46)))))</f>
        <v/>
      </c>
      <c r="N46" s="686">
        <f>IF(C46="TXO","",IF(C46="FITX",IF(E46="新倉","",IF(F46="賣",(I46-I45),(I45-I46)))))</f>
        <v/>
      </c>
      <c r="O46" s="334">
        <f>ABS(J46)</f>
        <v/>
      </c>
      <c r="P46" s="667" t="n"/>
      <c r="R46" s="61" t="n"/>
      <c r="S46" s="61" t="n"/>
      <c r="T46" s="61" t="n"/>
      <c r="U46" s="61" t="n"/>
      <c r="V46" s="61" t="n"/>
      <c r="W46" s="61" t="n"/>
      <c r="X46" s="61" t="n"/>
      <c r="Y46" s="61" t="n"/>
    </row>
    <row r="47" hidden="1" outlineLevel="2" ht="17.25" customHeight="1" thickBot="1">
      <c r="B47" s="228" t="n">
        <v>42537</v>
      </c>
      <c r="C47" s="234" t="inlineStr">
        <is>
          <t>FITX</t>
        </is>
      </c>
      <c r="D47" s="229" t="inlineStr">
        <is>
          <t>台指06</t>
        </is>
      </c>
      <c r="E47" s="229" t="inlineStr">
        <is>
          <t>新倉</t>
        </is>
      </c>
      <c r="F47" s="229" t="inlineStr">
        <is>
          <t>賣</t>
        </is>
      </c>
      <c r="G47" s="229" t="inlineStr">
        <is>
          <t>-</t>
        </is>
      </c>
      <c r="H47" s="697" t="n">
        <v>1</v>
      </c>
      <c r="I47" s="697" t="n">
        <v>8379</v>
      </c>
      <c r="J47" s="697" t="n">
        <v>0</v>
      </c>
      <c r="K47" s="585" t="n">
        <v>100</v>
      </c>
      <c r="L47" s="585" t="n">
        <v>34</v>
      </c>
      <c r="M47" s="699">
        <f>IF(C47="TXO",J47-SUM(K47:L47),IF(C47="FITX",IF(E47="新倉",-SUM(K47:L47),IF(F47="賣",(I47-I46)*H47*200-SUM(K47:L47),(I46-I47)*H47*200-SUM(K47:L47)))))</f>
        <v/>
      </c>
      <c r="N47" s="686">
        <f>IF(C47="TXO","",IF(C47="FITX",IF(E47="新倉","",IF(F47="賣",(I47-I46),(I46-I47)))))</f>
        <v/>
      </c>
      <c r="O47" s="334">
        <f>ABS(J47)</f>
        <v/>
      </c>
      <c r="P47" s="667" t="n"/>
      <c r="R47" s="61" t="n"/>
      <c r="S47" s="61" t="n"/>
      <c r="T47" s="61" t="n"/>
      <c r="U47" s="61" t="n"/>
      <c r="V47" s="61" t="n"/>
      <c r="W47" s="61" t="n"/>
      <c r="X47" s="61" t="n"/>
      <c r="Y47" s="61" t="n"/>
    </row>
    <row r="48" hidden="1" outlineLevel="2" ht="17.25" customHeight="1" thickBot="1">
      <c r="B48" s="228" t="n">
        <v>42537</v>
      </c>
      <c r="C48" s="234" t="inlineStr">
        <is>
          <t>FITX</t>
        </is>
      </c>
      <c r="D48" s="229" t="inlineStr">
        <is>
          <t>台指06</t>
        </is>
      </c>
      <c r="E48" s="229" t="inlineStr">
        <is>
          <t>平倉</t>
        </is>
      </c>
      <c r="F48" s="229" t="inlineStr">
        <is>
          <t>買</t>
        </is>
      </c>
      <c r="G48" s="229" t="inlineStr">
        <is>
          <t>-</t>
        </is>
      </c>
      <c r="H48" s="697" t="n">
        <v>1</v>
      </c>
      <c r="I48" s="697" t="n">
        <v>8339</v>
      </c>
      <c r="J48" s="697" t="n">
        <v>0</v>
      </c>
      <c r="K48" s="585" t="n">
        <v>100</v>
      </c>
      <c r="L48" s="585" t="n">
        <v>33</v>
      </c>
      <c r="M48" s="699">
        <f>IF(C48="TXO",J48-SUM(K48:L48),IF(C48="FITX",IF(E48="新倉",-SUM(K48:L48),IF(F48="賣",(I48-I47)*H48*200-SUM(K48:L48),(I47-I48)*H48*200-SUM(K48:L48)))))</f>
        <v/>
      </c>
      <c r="N48" s="686">
        <f>IF(C48="TXO","",IF(C48="FITX",IF(E48="新倉","",IF(F48="賣",(I48-I47),(I47-I48)))))</f>
        <v/>
      </c>
      <c r="O48" s="334">
        <f>ABS(J48)</f>
        <v/>
      </c>
      <c r="P48" s="667" t="n"/>
      <c r="R48" s="61" t="n"/>
      <c r="S48" s="61" t="n"/>
      <c r="T48" s="61" t="n"/>
      <c r="U48" s="61" t="n"/>
      <c r="V48" s="61" t="n"/>
      <c r="W48" s="61" t="n"/>
      <c r="X48" s="61" t="n"/>
      <c r="Y48" s="61" t="n"/>
    </row>
    <row r="49" hidden="1" outlineLevel="2" ht="17.25" customHeight="1" thickBot="1">
      <c r="B49" s="228" t="n">
        <v>42537</v>
      </c>
      <c r="C49" s="234" t="inlineStr">
        <is>
          <t>FITX</t>
        </is>
      </c>
      <c r="D49" s="229" t="inlineStr">
        <is>
          <t>台指06</t>
        </is>
      </c>
      <c r="E49" s="229" t="inlineStr">
        <is>
          <t>新倉</t>
        </is>
      </c>
      <c r="F49" s="229" t="inlineStr">
        <is>
          <t>賣</t>
        </is>
      </c>
      <c r="G49" s="229" t="inlineStr">
        <is>
          <t>-</t>
        </is>
      </c>
      <c r="H49" s="697" t="n">
        <v>1</v>
      </c>
      <c r="I49" s="697" t="n">
        <v>8369</v>
      </c>
      <c r="J49" s="697" t="n">
        <v>0</v>
      </c>
      <c r="K49" s="585" t="n">
        <v>100</v>
      </c>
      <c r="L49" s="585" t="n">
        <v>34</v>
      </c>
      <c r="M49" s="699">
        <f>IF(C49="TXO",J49-SUM(K49:L49),IF(C49="FITX",IF(E49="新倉",-SUM(K49:L49),IF(F49="賣",(I49-I48)*H49*200-SUM(K49:L49),(I48-I49)*H49*200-SUM(K49:L49)))))</f>
        <v/>
      </c>
      <c r="N49" s="686">
        <f>IF(C49="TXO","",IF(C49="FITX",IF(E49="新倉","",IF(F49="賣",(I49-I48),(I48-I49)))))</f>
        <v/>
      </c>
      <c r="O49" s="334">
        <f>ABS(J49)</f>
        <v/>
      </c>
      <c r="P49" s="667" t="n"/>
      <c r="R49" s="61" t="n"/>
      <c r="S49" s="61" t="n"/>
      <c r="T49" s="61" t="n"/>
      <c r="U49" s="61" t="n"/>
      <c r="V49" s="61" t="n"/>
      <c r="W49" s="61" t="n"/>
      <c r="X49" s="61" t="n"/>
      <c r="Y49" s="61" t="n"/>
    </row>
    <row r="50" hidden="1" outlineLevel="2" ht="17.25" customHeight="1" thickBot="1">
      <c r="B50" s="228" t="n">
        <v>42537</v>
      </c>
      <c r="C50" s="234" t="inlineStr">
        <is>
          <t>FITX</t>
        </is>
      </c>
      <c r="D50" s="229" t="inlineStr">
        <is>
          <t>台指06</t>
        </is>
      </c>
      <c r="E50" s="229" t="inlineStr">
        <is>
          <t>平倉</t>
        </is>
      </c>
      <c r="F50" s="229" t="inlineStr">
        <is>
          <t>買</t>
        </is>
      </c>
      <c r="G50" s="229" t="inlineStr">
        <is>
          <t>-</t>
        </is>
      </c>
      <c r="H50" s="697" t="n">
        <v>1</v>
      </c>
      <c r="I50" s="697" t="n">
        <v>8382</v>
      </c>
      <c r="J50" s="697" t="n">
        <v>0</v>
      </c>
      <c r="K50" s="585" t="n">
        <v>100</v>
      </c>
      <c r="L50" s="585" t="n">
        <v>33</v>
      </c>
      <c r="M50" s="699">
        <f>IF(C50="TXO",J50-SUM(K50:L50),IF(C50="FITX",IF(E50="新倉",-SUM(K50:L50),IF(F50="賣",(I50-I49)*H50*200-SUM(K50:L50),(I49-I50)*H50*200-SUM(K50:L50)))))</f>
        <v/>
      </c>
      <c r="N50" s="686">
        <f>IF(C50="TXO","",IF(C50="FITX",IF(E50="新倉","",IF(F50="賣",(I50-I49),(I49-I50)))))</f>
        <v/>
      </c>
      <c r="O50" s="334">
        <f>ABS(J50)</f>
        <v/>
      </c>
      <c r="P50" s="667" t="n"/>
      <c r="R50" s="61" t="n"/>
      <c r="S50" s="61" t="n"/>
      <c r="T50" s="61" t="n"/>
      <c r="U50" s="61" t="n"/>
      <c r="V50" s="61" t="n"/>
      <c r="W50" s="61" t="n"/>
      <c r="X50" s="61" t="n"/>
      <c r="Y50" s="61" t="n"/>
    </row>
    <row r="51" hidden="1" outlineLevel="1" collapsed="1" ht="17.25" customHeight="1" thickBot="1">
      <c r="B51" s="360" t="n">
        <v>42545</v>
      </c>
      <c r="C51" s="299" t="inlineStr">
        <is>
          <t>FITX</t>
        </is>
      </c>
      <c r="D51" s="300" t="inlineStr">
        <is>
          <t>台指07</t>
        </is>
      </c>
      <c r="E51" s="300" t="inlineStr">
        <is>
          <t>新倉</t>
        </is>
      </c>
      <c r="F51" s="300" t="inlineStr">
        <is>
          <t>賣</t>
        </is>
      </c>
      <c r="G51" s="300" t="inlineStr">
        <is>
          <t>-</t>
        </is>
      </c>
      <c r="H51" s="741" t="n">
        <v>1</v>
      </c>
      <c r="I51" s="741" t="n">
        <v>8200</v>
      </c>
      <c r="J51" s="741" t="n">
        <v>0</v>
      </c>
      <c r="K51" s="742" t="n">
        <v>100</v>
      </c>
      <c r="L51" s="742" t="n">
        <v>33</v>
      </c>
      <c r="M51" s="743">
        <f>IF(C51="TXO",J51-SUM(K51:L51),IF(C51="FITX",IF(E51="新倉",-SUM(K51:L51),IF(F51="賣",(I51-I50)*H51*200-SUM(K51:L51),(I50-I51)*H51*200-SUM(K51:L51)))))</f>
        <v/>
      </c>
      <c r="N51" s="780">
        <f>IF(C51="TXO","",IF(C51="FITX",IF(E51="新倉","",IF(F51="賣",(I51-I50),(I50-I51)))))</f>
        <v/>
      </c>
      <c r="O51" s="334">
        <f>ABS(J51)</f>
        <v/>
      </c>
      <c r="P51" s="764">
        <f>SUM(M51:M55)</f>
        <v/>
      </c>
      <c r="R51" s="61" t="n"/>
      <c r="S51" s="61" t="n"/>
      <c r="T51" s="61" t="n"/>
      <c r="U51" s="61" t="n"/>
      <c r="V51" s="61" t="n"/>
      <c r="W51" s="61" t="n"/>
      <c r="X51" s="61" t="n"/>
      <c r="Y51" s="61" t="n"/>
    </row>
    <row r="52" hidden="1" outlineLevel="2" ht="17.25" customHeight="1" thickBot="1">
      <c r="B52" s="360" t="n">
        <v>42545</v>
      </c>
      <c r="C52" s="299" t="inlineStr">
        <is>
          <t>FITX</t>
        </is>
      </c>
      <c r="D52" s="300" t="inlineStr">
        <is>
          <t>台指07</t>
        </is>
      </c>
      <c r="E52" s="300" t="inlineStr">
        <is>
          <t>平倉</t>
        </is>
      </c>
      <c r="F52" s="300" t="inlineStr">
        <is>
          <t>買</t>
        </is>
      </c>
      <c r="G52" s="300" t="inlineStr">
        <is>
          <t>-</t>
        </is>
      </c>
      <c r="H52" s="741" t="n">
        <v>1</v>
      </c>
      <c r="I52" s="741" t="n">
        <v>8213</v>
      </c>
      <c r="J52" s="741" t="n">
        <v>0</v>
      </c>
      <c r="K52" s="742" t="n">
        <v>100</v>
      </c>
      <c r="L52" s="742" t="n">
        <v>33</v>
      </c>
      <c r="M52" s="743">
        <f>IF(C52="TXO",J52-SUM(K52:L52),IF(C52="FITX",IF(E52="新倉",-SUM(K52:L52),IF(F52="賣",(I52-I51)*H52*200-SUM(K52:L52),(I51-I52)*H52*200-SUM(K52:L52)))))</f>
        <v/>
      </c>
      <c r="N52" s="780">
        <f>IF(C52="TXO","",IF(C52="FITX",IF(E52="新倉","",IF(F52="賣",(I52-I51),(I51-I52)))))</f>
        <v/>
      </c>
      <c r="O52" s="334">
        <f>ABS(J52)</f>
        <v/>
      </c>
      <c r="P52" s="764" t="n"/>
      <c r="R52" s="61" t="n"/>
      <c r="S52" s="61" t="n"/>
      <c r="T52" s="61" t="n"/>
      <c r="U52" s="61" t="n"/>
      <c r="V52" s="61" t="n"/>
      <c r="W52" s="61" t="n"/>
      <c r="X52" s="61" t="n"/>
      <c r="Y52" s="61" t="n"/>
    </row>
    <row r="53" hidden="1" outlineLevel="2" ht="17.25" customHeight="1" thickBot="1">
      <c r="B53" s="360" t="n">
        <v>42545</v>
      </c>
      <c r="C53" s="299" t="inlineStr">
        <is>
          <t>FITX</t>
        </is>
      </c>
      <c r="D53" s="300" t="inlineStr">
        <is>
          <t>台指07</t>
        </is>
      </c>
      <c r="E53" s="300" t="inlineStr">
        <is>
          <t>新倉</t>
        </is>
      </c>
      <c r="F53" s="300" t="inlineStr">
        <is>
          <t>賣</t>
        </is>
      </c>
      <c r="G53" s="300" t="inlineStr">
        <is>
          <t>-</t>
        </is>
      </c>
      <c r="H53" s="741" t="n">
        <v>1</v>
      </c>
      <c r="I53" s="741" t="n">
        <v>8224</v>
      </c>
      <c r="J53" s="741" t="n">
        <v>0</v>
      </c>
      <c r="K53" s="742" t="n">
        <v>100</v>
      </c>
      <c r="L53" s="742" t="n">
        <v>33</v>
      </c>
      <c r="M53" s="743">
        <f>IF(C53="TXO",J53-SUM(K53:L53),IF(C53="FITX",IF(E53="新倉",-SUM(K53:L53),IF(F53="賣",(I53-I52)*H53*200-SUM(K53:L53),(I52-I53)*H53*200-SUM(K53:L53)))))</f>
        <v/>
      </c>
      <c r="N53" s="780">
        <f>IF(C53="TXO","",IF(C53="FITX",IF(E53="新倉","",IF(F53="賣",(I53-I52),(I52-I53)))))</f>
        <v/>
      </c>
      <c r="O53" s="334">
        <f>ABS(J53)</f>
        <v/>
      </c>
      <c r="P53" s="764" t="n"/>
      <c r="R53" s="61" t="n"/>
      <c r="S53" s="61" t="n"/>
      <c r="T53" s="61" t="n"/>
      <c r="U53" s="61" t="n"/>
      <c r="V53" s="61" t="n"/>
      <c r="W53" s="61" t="n"/>
      <c r="X53" s="61" t="n"/>
      <c r="Y53" s="61" t="n"/>
    </row>
    <row r="54" hidden="1" outlineLevel="2" ht="17.25" customHeight="1" thickBot="1">
      <c r="B54" s="360" t="n">
        <v>42545</v>
      </c>
      <c r="C54" s="299" t="inlineStr">
        <is>
          <t>FITX</t>
        </is>
      </c>
      <c r="D54" s="300" t="inlineStr">
        <is>
          <t>台指07</t>
        </is>
      </c>
      <c r="E54" s="300" t="inlineStr">
        <is>
          <t>平倉</t>
        </is>
      </c>
      <c r="F54" s="300" t="inlineStr">
        <is>
          <t>買</t>
        </is>
      </c>
      <c r="G54" s="300" t="inlineStr">
        <is>
          <t>-</t>
        </is>
      </c>
      <c r="H54" s="741" t="n">
        <v>1</v>
      </c>
      <c r="I54" s="741" t="n">
        <v>8237</v>
      </c>
      <c r="J54" s="741" t="n">
        <v>0</v>
      </c>
      <c r="K54" s="742" t="n">
        <v>100</v>
      </c>
      <c r="L54" s="742" t="n">
        <v>33</v>
      </c>
      <c r="M54" s="743">
        <f>IF(C54="TXO",J54-SUM(K54:L54),IF(C54="FITX",IF(E54="新倉",-SUM(K54:L54),IF(F54="賣",(I54-I53)*H54*200-SUM(K54:L54),(I53-I54)*H54*200-SUM(K54:L54)))))</f>
        <v/>
      </c>
      <c r="N54" s="780">
        <f>IF(C54="TXO","",IF(C54="FITX",IF(E54="新倉","",IF(F54="賣",(I54-I53),(I53-I54)))))</f>
        <v/>
      </c>
      <c r="O54" s="334">
        <f>ABS(J54)</f>
        <v/>
      </c>
      <c r="P54" s="764" t="n"/>
      <c r="R54" s="61" t="n"/>
      <c r="S54" s="61" t="n"/>
      <c r="T54" s="61" t="n"/>
      <c r="U54" s="61" t="n"/>
      <c r="V54" s="61" t="n"/>
      <c r="W54" s="61" t="n"/>
      <c r="X54" s="61" t="n"/>
      <c r="Y54" s="61" t="n"/>
    </row>
    <row r="55" hidden="1" outlineLevel="2" ht="17.25" customHeight="1" thickBot="1">
      <c r="B55" s="360" t="n">
        <v>42545</v>
      </c>
      <c r="C55" s="299" t="inlineStr">
        <is>
          <t>TXO</t>
        </is>
      </c>
      <c r="D55" s="300" t="inlineStr">
        <is>
          <t>台指選 07 08600 C</t>
        </is>
      </c>
      <c r="E55" s="300" t="inlineStr">
        <is>
          <t>新倉</t>
        </is>
      </c>
      <c r="F55" s="300" t="inlineStr">
        <is>
          <t>買</t>
        </is>
      </c>
      <c r="G55" s="300" t="inlineStr">
        <is>
          <t>-</t>
        </is>
      </c>
      <c r="H55" s="741" t="n">
        <v>1</v>
      </c>
      <c r="I55" s="741" t="n">
        <v>42</v>
      </c>
      <c r="J55" s="741" t="n">
        <v>-2100</v>
      </c>
      <c r="K55" s="742" t="n">
        <v>40</v>
      </c>
      <c r="L55" s="742" t="n">
        <v>2</v>
      </c>
      <c r="M55" s="743">
        <f>IF(C55="TXO",J55-SUM(K55:L55),IF(C55="FITX",IF(E55="新倉",-SUM(K55:L55),IF(F55="賣",(I55-I54)*H55*200-SUM(K55:L55),(I54-I55)*H55*200-SUM(K55:L55)))))</f>
        <v/>
      </c>
      <c r="N55" s="780">
        <f>IF(C55="TXO","",IF(C55="FITX",IF(E55="新倉","",IF(F55="賣",(I55-I54),(I54-I55)))))</f>
        <v/>
      </c>
      <c r="O55" s="334">
        <f>ABS(J55)</f>
        <v/>
      </c>
      <c r="P55" s="764" t="n"/>
      <c r="R55" s="61" t="n"/>
      <c r="S55" s="61" t="n"/>
      <c r="T55" s="61" t="n"/>
      <c r="U55" s="61" t="n"/>
      <c r="V55" s="61" t="n"/>
      <c r="W55" s="61" t="n"/>
      <c r="X55" s="61" t="n"/>
      <c r="Y55" s="61" t="n"/>
    </row>
    <row r="56" hidden="1" outlineLevel="1" collapsed="1" ht="17.25" customHeight="1" thickBot="1">
      <c r="B56" s="228" t="n">
        <v>42548</v>
      </c>
      <c r="C56" s="234" t="inlineStr">
        <is>
          <t>FITX</t>
        </is>
      </c>
      <c r="D56" s="229" t="inlineStr">
        <is>
          <t>台指07</t>
        </is>
      </c>
      <c r="E56" s="229" t="inlineStr">
        <is>
          <t>新倉</t>
        </is>
      </c>
      <c r="F56" s="229" t="inlineStr">
        <is>
          <t>買</t>
        </is>
      </c>
      <c r="G56" s="229" t="inlineStr">
        <is>
          <t>-</t>
        </is>
      </c>
      <c r="H56" s="697" t="n">
        <v>1</v>
      </c>
      <c r="I56" s="697" t="n">
        <v>8250</v>
      </c>
      <c r="J56" s="697" t="n">
        <v>0</v>
      </c>
      <c r="K56" s="585" t="n">
        <v>100</v>
      </c>
      <c r="L56" s="585" t="n">
        <v>33</v>
      </c>
      <c r="M56" s="699">
        <f>IF(C56="TXO",J56-SUM(K56:L56),IF(C56="FITX",IF(E56="新倉",-SUM(K56:L56),IF(F56="賣",(I56-I55)*H56*200-SUM(K56:L56),(I55-I56)*H56*200-SUM(K56:L56)))))</f>
        <v/>
      </c>
      <c r="N56" s="686">
        <f>IF(C56="TXO","",IF(C56="FITX",IF(E56="新倉","",IF(F56="賣",(I56-I55),(I55-I56)))))</f>
        <v/>
      </c>
      <c r="O56" s="334">
        <f>ABS(J56)</f>
        <v/>
      </c>
      <c r="P56" s="667">
        <f>SUM(M56:M59)</f>
        <v/>
      </c>
      <c r="R56" s="61" t="n"/>
      <c r="S56" s="61" t="n"/>
      <c r="T56" s="61" t="n"/>
      <c r="U56" s="61" t="n"/>
      <c r="V56" s="61" t="n"/>
      <c r="W56" s="61" t="n"/>
      <c r="X56" s="61" t="n"/>
      <c r="Y56" s="61" t="n"/>
    </row>
    <row r="57" hidden="1" outlineLevel="2" ht="17.25" customHeight="1" thickBot="1">
      <c r="B57" s="228" t="n">
        <v>42548</v>
      </c>
      <c r="C57" s="234" t="inlineStr">
        <is>
          <t>FITX</t>
        </is>
      </c>
      <c r="D57" s="229" t="inlineStr">
        <is>
          <t>台指07</t>
        </is>
      </c>
      <c r="E57" s="229" t="inlineStr">
        <is>
          <t>平倉</t>
        </is>
      </c>
      <c r="F57" s="229" t="inlineStr">
        <is>
          <t>賣</t>
        </is>
      </c>
      <c r="G57" s="229" t="inlineStr">
        <is>
          <t>-</t>
        </is>
      </c>
      <c r="H57" s="697" t="n">
        <v>1</v>
      </c>
      <c r="I57" s="697" t="n">
        <v>8270</v>
      </c>
      <c r="J57" s="697" t="n">
        <v>0</v>
      </c>
      <c r="K57" s="585" t="n">
        <v>100</v>
      </c>
      <c r="L57" s="585" t="n">
        <v>33</v>
      </c>
      <c r="M57" s="699">
        <f>IF(C57="TXO",J57-SUM(K57:L57),IF(C57="FITX",IF(E57="新倉",-SUM(K57:L57),IF(F57="賣",(I57-I56)*H57*200-SUM(K57:L57),(I56-I57)*H57*200-SUM(K57:L57)))))</f>
        <v/>
      </c>
      <c r="N57" s="686">
        <f>IF(C57="TXO","",IF(C57="FITX",IF(E57="新倉","",IF(F57="賣",(I57-I56),(I56-I57)))))</f>
        <v/>
      </c>
      <c r="O57" s="334">
        <f>ABS(J57)</f>
        <v/>
      </c>
      <c r="P57" s="667" t="n"/>
      <c r="R57" s="61" t="n"/>
      <c r="S57" s="61" t="n"/>
      <c r="T57" s="61" t="n"/>
      <c r="U57" s="61" t="n"/>
      <c r="V57" s="61" t="n"/>
      <c r="W57" s="61" t="n"/>
      <c r="X57" s="61" t="n"/>
      <c r="Y57" s="61" t="n"/>
    </row>
    <row r="58" hidden="1" outlineLevel="2" ht="17.25" customHeight="1" thickBot="1">
      <c r="B58" s="228" t="n">
        <v>42548</v>
      </c>
      <c r="C58" s="234" t="inlineStr">
        <is>
          <t>FITX</t>
        </is>
      </c>
      <c r="D58" s="229" t="inlineStr">
        <is>
          <t>台指07</t>
        </is>
      </c>
      <c r="E58" s="229" t="inlineStr">
        <is>
          <t>新倉</t>
        </is>
      </c>
      <c r="F58" s="229" t="inlineStr">
        <is>
          <t>買</t>
        </is>
      </c>
      <c r="G58" s="229" t="inlineStr">
        <is>
          <t>-</t>
        </is>
      </c>
      <c r="H58" s="697" t="n">
        <v>1</v>
      </c>
      <c r="I58" s="697" t="n">
        <v>8316</v>
      </c>
      <c r="J58" s="697" t="n">
        <v>0</v>
      </c>
      <c r="K58" s="585" t="n">
        <v>100</v>
      </c>
      <c r="L58" s="585" t="n">
        <v>33</v>
      </c>
      <c r="M58" s="699">
        <f>IF(C58="TXO",J58-SUM(K58:L58),IF(C58="FITX",IF(E58="新倉",-SUM(K58:L58),IF(F58="賣",(I58-I57)*H58*200-SUM(K58:L58),(I57-I58)*H58*200-SUM(K58:L58)))))</f>
        <v/>
      </c>
      <c r="N58" s="686">
        <f>IF(C58="TXO","",IF(C58="FITX",IF(E58="新倉","",IF(F58="賣",(I58-I57),(I57-I58)))))</f>
        <v/>
      </c>
      <c r="O58" s="334">
        <f>ABS(J58)</f>
        <v/>
      </c>
      <c r="P58" s="667" t="n"/>
      <c r="R58" s="61" t="n"/>
      <c r="S58" s="61" t="n"/>
      <c r="T58" s="61" t="n"/>
      <c r="U58" s="61" t="n"/>
      <c r="V58" s="61" t="n"/>
      <c r="W58" s="61" t="n"/>
      <c r="X58" s="61" t="n"/>
      <c r="Y58" s="61" t="n"/>
    </row>
    <row r="59" hidden="1" outlineLevel="2" ht="17.25" customHeight="1" thickBot="1">
      <c r="B59" s="228" t="n">
        <v>42548</v>
      </c>
      <c r="C59" s="234" t="inlineStr">
        <is>
          <t>FITX</t>
        </is>
      </c>
      <c r="D59" s="229" t="inlineStr">
        <is>
          <t>台指07</t>
        </is>
      </c>
      <c r="E59" s="229" t="inlineStr">
        <is>
          <t>平倉</t>
        </is>
      </c>
      <c r="F59" s="229" t="inlineStr">
        <is>
          <t>賣</t>
        </is>
      </c>
      <c r="G59" s="229" t="inlineStr">
        <is>
          <t>-</t>
        </is>
      </c>
      <c r="H59" s="697" t="n">
        <v>1</v>
      </c>
      <c r="I59" s="697" t="n">
        <v>8330</v>
      </c>
      <c r="J59" s="697" t="n">
        <v>0</v>
      </c>
      <c r="K59" s="585" t="n">
        <v>100</v>
      </c>
      <c r="L59" s="585" t="n">
        <v>33</v>
      </c>
      <c r="M59" s="699">
        <f>IF(C59="TXO",J59-SUM(K59:L59),IF(C59="FITX",IF(E59="新倉",-SUM(K59:L59),IF(F59="賣",(I59-I58)*H59*200-SUM(K59:L59),(I58-I59)*H59*200-SUM(K59:L59)))))</f>
        <v/>
      </c>
      <c r="N59" s="686">
        <f>IF(C59="TXO","",IF(C59="FITX",IF(E59="新倉","",IF(F59="賣",(I59-I58),(I58-I59)))))</f>
        <v/>
      </c>
      <c r="O59" s="334">
        <f>ABS(J59)</f>
        <v/>
      </c>
      <c r="P59" s="667" t="n"/>
      <c r="R59" s="61" t="n"/>
      <c r="S59" s="61" t="n"/>
      <c r="T59" s="61" t="n"/>
      <c r="U59" s="61" t="n"/>
      <c r="V59" s="61" t="n"/>
      <c r="W59" s="61" t="n"/>
      <c r="X59" s="61" t="n"/>
      <c r="Y59" s="61" t="n"/>
    </row>
    <row r="60" hidden="1" outlineLevel="1" ht="17.25" customHeight="1" thickBot="1">
      <c r="B60" s="360" t="n">
        <v>42549</v>
      </c>
      <c r="C60" s="299" t="inlineStr">
        <is>
          <t>FITX</t>
        </is>
      </c>
      <c r="D60" s="300" t="inlineStr">
        <is>
          <t>台指07</t>
        </is>
      </c>
      <c r="E60" s="300" t="inlineStr">
        <is>
          <t>新倉</t>
        </is>
      </c>
      <c r="F60" s="300" t="inlineStr">
        <is>
          <t>買</t>
        </is>
      </c>
      <c r="G60" s="300" t="inlineStr">
        <is>
          <t>-</t>
        </is>
      </c>
      <c r="H60" s="741" t="n">
        <v>1</v>
      </c>
      <c r="I60" s="741" t="n">
        <v>8330</v>
      </c>
      <c r="J60" s="741" t="n">
        <v>0</v>
      </c>
      <c r="K60" s="742" t="n">
        <v>100</v>
      </c>
      <c r="L60" s="742" t="n">
        <v>33</v>
      </c>
      <c r="M60" s="743">
        <f>IF(C60="TXO",J60-SUM(K60:L60),IF(C60="FITX",IF(E60="新倉",-SUM(K60:L60),IF(F60="賣",(I60-I59)*H60*200-SUM(K60:L60),(I59-I60)*H60*200-SUM(K60:L60)))))</f>
        <v/>
      </c>
      <c r="N60" s="780">
        <f>IF(C60="TXO","",IF(C60="FITX",IF(E60="新倉","",IF(F60="賣",(I60-I59),(I59-I60)))))</f>
        <v/>
      </c>
      <c r="O60" s="334">
        <f>ABS(J60)</f>
        <v/>
      </c>
      <c r="P60" s="764">
        <f>SUM(M60:M62)</f>
        <v/>
      </c>
      <c r="R60" s="61" t="n"/>
      <c r="S60" s="61" t="n"/>
      <c r="T60" s="61" t="n"/>
      <c r="U60" s="61" t="n"/>
      <c r="V60" s="61" t="n"/>
      <c r="W60" s="61" t="n"/>
      <c r="X60" s="61" t="n"/>
      <c r="Y60" s="61" t="n"/>
    </row>
    <row r="61" hidden="1" outlineLevel="1" ht="17.25" customHeight="1" thickBot="1">
      <c r="B61" s="360" t="n">
        <v>42549</v>
      </c>
      <c r="C61" s="299" t="inlineStr">
        <is>
          <t>FITX</t>
        </is>
      </c>
      <c r="D61" s="300" t="inlineStr">
        <is>
          <t>台指07</t>
        </is>
      </c>
      <c r="E61" s="300" t="inlineStr">
        <is>
          <t>平倉</t>
        </is>
      </c>
      <c r="F61" s="300" t="inlineStr">
        <is>
          <t>賣</t>
        </is>
      </c>
      <c r="G61" s="300" t="inlineStr">
        <is>
          <t>-</t>
        </is>
      </c>
      <c r="H61" s="741" t="n">
        <v>1</v>
      </c>
      <c r="I61" s="741" t="n">
        <v>8345</v>
      </c>
      <c r="J61" s="741" t="n">
        <v>0</v>
      </c>
      <c r="K61" s="742" t="n">
        <v>100</v>
      </c>
      <c r="L61" s="742" t="n">
        <v>33</v>
      </c>
      <c r="M61" s="743">
        <f>IF(C61="TXO",J61-SUM(K61:L61),IF(C61="FITX",IF(E61="新倉",-SUM(K61:L61),IF(F61="賣",(I61-I60)*H61*200-SUM(K61:L61),(I60-I61)*H61*200-SUM(K61:L61)))))</f>
        <v/>
      </c>
      <c r="N61" s="780">
        <f>IF(C61="TXO","",IF(C61="FITX",IF(E61="新倉","",IF(F61="賣",(I61-I60),(I60-I61)))))</f>
        <v/>
      </c>
      <c r="O61" s="334">
        <f>ABS(J61)</f>
        <v/>
      </c>
      <c r="P61" s="764" t="n"/>
      <c r="R61" s="61" t="n"/>
      <c r="S61" s="61" t="n"/>
      <c r="T61" s="61" t="n"/>
      <c r="U61" s="61" t="n"/>
      <c r="V61" s="61" t="n"/>
      <c r="W61" s="61" t="n"/>
      <c r="X61" s="61" t="n"/>
      <c r="Y61" s="61" t="n"/>
    </row>
    <row r="62" hidden="1" outlineLevel="1" ht="17.25" customHeight="1" thickBot="1">
      <c r="B62" s="360" t="n">
        <v>42549</v>
      </c>
      <c r="C62" s="299" t="inlineStr">
        <is>
          <t>TXO</t>
        </is>
      </c>
      <c r="D62" s="300" t="inlineStr">
        <is>
          <t>台指選 07 08600 C</t>
        </is>
      </c>
      <c r="E62" s="300" t="inlineStr">
        <is>
          <t>平倉</t>
        </is>
      </c>
      <c r="F62" s="300" t="inlineStr">
        <is>
          <t>賣</t>
        </is>
      </c>
      <c r="G62" s="300" t="inlineStr">
        <is>
          <t>-</t>
        </is>
      </c>
      <c r="H62" s="741" t="n">
        <v>1</v>
      </c>
      <c r="I62" s="741" t="n">
        <v>54</v>
      </c>
      <c r="J62" s="741" t="n">
        <v>2700</v>
      </c>
      <c r="K62" s="742" t="n">
        <v>40</v>
      </c>
      <c r="L62" s="742" t="n">
        <v>3</v>
      </c>
      <c r="M62" s="743">
        <f>IF(C62="TXO",J62-SUM(K62:L62),IF(C62="FITX",IF(E62="新倉",-SUM(K62:L62),IF(F62="賣",(I62-I61)*H62*200-SUM(K62:L62),(I61-I62)*H62*200-SUM(K62:L62)))))</f>
        <v/>
      </c>
      <c r="N62" s="780">
        <f>IF(C62="TXO","",IF(C62="FITX",IF(E62="新倉","",IF(F62="賣",(I62-I61),(I61-I62)))))</f>
        <v/>
      </c>
      <c r="O62" s="334">
        <f>ABS(J62)</f>
        <v/>
      </c>
      <c r="P62" s="764" t="n"/>
      <c r="R62" s="61" t="n"/>
      <c r="S62" s="61" t="n"/>
      <c r="T62" s="61" t="n"/>
      <c r="U62" s="61" t="n"/>
      <c r="V62" s="61" t="n"/>
      <c r="W62" s="61" t="n"/>
      <c r="X62" s="61" t="n"/>
      <c r="Y62" s="61" t="n"/>
    </row>
    <row r="63" hidden="1" outlineLevel="1" collapsed="1" ht="17.25" customHeight="1" thickBot="1">
      <c r="B63" s="228" t="n">
        <v>42550</v>
      </c>
      <c r="C63" s="234" t="inlineStr">
        <is>
          <t>FITX</t>
        </is>
      </c>
      <c r="D63" s="229" t="inlineStr">
        <is>
          <t>台指07</t>
        </is>
      </c>
      <c r="E63" s="229" t="inlineStr">
        <is>
          <t>新倉</t>
        </is>
      </c>
      <c r="F63" s="229" t="inlineStr">
        <is>
          <t>買</t>
        </is>
      </c>
      <c r="G63" s="229" t="inlineStr">
        <is>
          <t>-</t>
        </is>
      </c>
      <c r="H63" s="697" t="n">
        <v>1</v>
      </c>
      <c r="I63" s="697" t="n">
        <v>8442</v>
      </c>
      <c r="J63" s="697" t="n">
        <v>0</v>
      </c>
      <c r="K63" s="585" t="n">
        <v>100</v>
      </c>
      <c r="L63" s="585" t="n">
        <v>34</v>
      </c>
      <c r="M63" s="699">
        <f>IF(C63="TXO",J63-SUM(K63:L63),IF(C63="FITX",IF(E63="新倉",-SUM(K63:L63),IF(F63="賣",(I63-I62)*H63*200-SUM(K63:L63),(I62-I63)*H63*200-SUM(K63:L63)))))</f>
        <v/>
      </c>
      <c r="N63" s="686">
        <f>IF(C63="TXO","",IF(C63="FITX",IF(E63="新倉","",IF(F63="賣",(I63-I62),(I62-I63)))))</f>
        <v/>
      </c>
      <c r="O63" s="334">
        <f>ABS(J63)</f>
        <v/>
      </c>
      <c r="P63" s="667">
        <f>SUM(M63:M66)</f>
        <v/>
      </c>
      <c r="R63" s="61" t="n"/>
      <c r="S63" s="61" t="n"/>
      <c r="T63" s="61" t="n"/>
      <c r="U63" s="61" t="n"/>
      <c r="V63" s="61" t="n"/>
      <c r="W63" s="61" t="n"/>
      <c r="X63" s="61" t="n"/>
      <c r="Y63" s="61" t="n"/>
    </row>
    <row r="64" hidden="1" outlineLevel="2" ht="17.25" customHeight="1" thickBot="1">
      <c r="B64" s="228" t="n">
        <v>42550</v>
      </c>
      <c r="C64" s="234" t="inlineStr">
        <is>
          <t>FITX</t>
        </is>
      </c>
      <c r="D64" s="229" t="inlineStr">
        <is>
          <t>台指07</t>
        </is>
      </c>
      <c r="E64" s="229" t="inlineStr">
        <is>
          <t>平倉</t>
        </is>
      </c>
      <c r="F64" s="229" t="inlineStr">
        <is>
          <t>賣</t>
        </is>
      </c>
      <c r="G64" s="229" t="inlineStr">
        <is>
          <t>-</t>
        </is>
      </c>
      <c r="H64" s="697" t="n">
        <v>1</v>
      </c>
      <c r="I64" s="697" t="n">
        <v>8453</v>
      </c>
      <c r="J64" s="697" t="n">
        <v>0</v>
      </c>
      <c r="K64" s="585" t="n">
        <v>100</v>
      </c>
      <c r="L64" s="585" t="n">
        <v>34</v>
      </c>
      <c r="M64" s="699">
        <f>IF(C64="TXO",J64-SUM(K64:L64),IF(C64="FITX",IF(E64="新倉",-SUM(K64:L64),IF(F64="賣",(I64-I63)*H64*200-SUM(K64:L64),(I63-I64)*H64*200-SUM(K64:L64)))))</f>
        <v/>
      </c>
      <c r="N64" s="686">
        <f>IF(C64="TXO","",IF(C64="FITX",IF(E64="新倉","",IF(F64="賣",(I64-I63),(I63-I64)))))</f>
        <v/>
      </c>
      <c r="O64" s="334">
        <f>ABS(J64)</f>
        <v/>
      </c>
      <c r="P64" s="667" t="n"/>
      <c r="R64" s="61" t="n"/>
      <c r="S64" s="61" t="n"/>
      <c r="T64" s="61" t="n"/>
      <c r="U64" s="61" t="n"/>
      <c r="V64" s="61" t="n"/>
      <c r="W64" s="61" t="n"/>
      <c r="X64" s="61" t="n"/>
      <c r="Y64" s="61" t="n"/>
    </row>
    <row r="65" hidden="1" outlineLevel="2" ht="17.25" customHeight="1" thickBot="1">
      <c r="B65" s="228" t="n">
        <v>42550</v>
      </c>
      <c r="C65" s="234" t="inlineStr">
        <is>
          <t>FITX</t>
        </is>
      </c>
      <c r="D65" s="229" t="inlineStr">
        <is>
          <t>台指07</t>
        </is>
      </c>
      <c r="E65" s="229" t="inlineStr">
        <is>
          <t>新倉</t>
        </is>
      </c>
      <c r="F65" s="229" t="inlineStr">
        <is>
          <t>買</t>
        </is>
      </c>
      <c r="G65" s="229" t="inlineStr">
        <is>
          <t>-</t>
        </is>
      </c>
      <c r="H65" s="697" t="n">
        <v>1</v>
      </c>
      <c r="I65" s="697" t="n">
        <v>8450</v>
      </c>
      <c r="J65" s="697" t="n">
        <v>0</v>
      </c>
      <c r="K65" s="585" t="n">
        <v>100</v>
      </c>
      <c r="L65" s="585" t="n">
        <v>34</v>
      </c>
      <c r="M65" s="699">
        <f>IF(C65="TXO",J65-SUM(K65:L65),IF(C65="FITX",IF(E65="新倉",-SUM(K65:L65),IF(F65="賣",(I65-I64)*H65*200-SUM(K65:L65),(I64-I65)*H65*200-SUM(K65:L65)))))</f>
        <v/>
      </c>
      <c r="N65" s="686">
        <f>IF(C65="TXO","",IF(C65="FITX",IF(E65="新倉","",IF(F65="賣",(I65-I64),(I64-I65)))))</f>
        <v/>
      </c>
      <c r="O65" s="334">
        <f>ABS(J65)</f>
        <v/>
      </c>
      <c r="P65" s="667" t="n"/>
      <c r="R65" s="61" t="n"/>
      <c r="S65" s="61" t="n"/>
      <c r="T65" s="61" t="n"/>
      <c r="U65" s="61" t="n"/>
      <c r="V65" s="61" t="n"/>
      <c r="W65" s="61" t="n"/>
      <c r="X65" s="61" t="n"/>
      <c r="Y65" s="61" t="n"/>
    </row>
    <row r="66" hidden="1" outlineLevel="2" ht="17.25" customHeight="1" thickBot="1">
      <c r="B66" s="228" t="n">
        <v>42550</v>
      </c>
      <c r="C66" s="234" t="inlineStr">
        <is>
          <t>FITX</t>
        </is>
      </c>
      <c r="D66" s="229" t="inlineStr">
        <is>
          <t>台指07</t>
        </is>
      </c>
      <c r="E66" s="229" t="inlineStr">
        <is>
          <t>平倉</t>
        </is>
      </c>
      <c r="F66" s="229" t="inlineStr">
        <is>
          <t>賣</t>
        </is>
      </c>
      <c r="G66" s="229" t="inlineStr">
        <is>
          <t>-</t>
        </is>
      </c>
      <c r="H66" s="697" t="n">
        <v>1</v>
      </c>
      <c r="I66" s="697" t="n">
        <v>8477</v>
      </c>
      <c r="J66" s="697" t="n">
        <v>0</v>
      </c>
      <c r="K66" s="585" t="n">
        <v>100</v>
      </c>
      <c r="L66" s="585" t="n">
        <v>34</v>
      </c>
      <c r="M66" s="699">
        <f>IF(C66="TXO",J66-SUM(K66:L66),IF(C66="FITX",IF(E66="新倉",-SUM(K66:L66),IF(F66="賣",(I66-I65)*H66*200-SUM(K66:L66),(I65-I66)*H66*200-SUM(K66:L66)))))</f>
        <v/>
      </c>
      <c r="N66" s="686">
        <f>IF(C66="TXO","",IF(C66="FITX",IF(E66="新倉","",IF(F66="賣",(I66-I65),(I65-I66)))))</f>
        <v/>
      </c>
      <c r="O66" s="334">
        <f>ABS(J66)</f>
        <v/>
      </c>
      <c r="P66" s="667" t="n"/>
      <c r="R66" s="61" t="n"/>
      <c r="S66" s="61" t="n"/>
      <c r="T66" s="61" t="n"/>
      <c r="U66" s="61" t="n"/>
      <c r="V66" s="61" t="n"/>
      <c r="W66" s="61" t="n"/>
      <c r="X66" s="61" t="n"/>
      <c r="Y66" s="61" t="n"/>
    </row>
    <row r="67" collapsed="1" ht="17.25" customHeight="1" thickBot="1">
      <c r="B67" s="362" t="n">
        <v>42551</v>
      </c>
      <c r="C67" s="363" t="n"/>
      <c r="D67" s="363" t="inlineStr">
        <is>
          <t>手續費折扣</t>
        </is>
      </c>
      <c r="E67" s="363" t="n"/>
      <c r="F67" s="363" t="n"/>
      <c r="G67" s="363" t="n"/>
      <c r="H67" s="781" t="n"/>
      <c r="I67" s="781" t="n"/>
      <c r="J67" s="781" t="n"/>
      <c r="K67" s="782" t="n">
        <v>-4296</v>
      </c>
      <c r="L67" s="781" t="n"/>
      <c r="M67" s="783" t="n">
        <v>4296</v>
      </c>
      <c r="N67" s="760" t="n"/>
      <c r="P67" s="784" t="n"/>
    </row>
    <row r="68" collapsed="1" ht="17.25" customHeight="1" thickBot="1">
      <c r="B68" s="352" t="inlineStr">
        <is>
          <t>6月總計</t>
        </is>
      </c>
      <c r="C68" s="292" t="n"/>
      <c r="D68" s="292" t="n"/>
      <c r="E68" s="292" t="n"/>
      <c r="F68" s="292" t="n"/>
      <c r="G68" s="292" t="n"/>
      <c r="H68" s="719" t="n"/>
      <c r="I68" s="719" t="n"/>
      <c r="J68" s="719" t="n"/>
      <c r="K68" s="720" t="n"/>
      <c r="L68" s="719" t="n"/>
      <c r="M68" s="721" t="n"/>
      <c r="N68" s="760" t="n"/>
      <c r="P68" s="775">
        <f>SUM(P12:P67)</f>
        <v/>
      </c>
    </row>
    <row r="69" hidden="1" outlineLevel="1" collapsed="1" ht="17.25" customHeight="1" thickBot="1">
      <c r="B69" s="353" t="n">
        <v>42552</v>
      </c>
      <c r="C69" s="354" t="inlineStr">
        <is>
          <t>FITX</t>
        </is>
      </c>
      <c r="D69" s="355" t="inlineStr">
        <is>
          <t>台指07</t>
        </is>
      </c>
      <c r="E69" s="355" t="inlineStr">
        <is>
          <t>新倉</t>
        </is>
      </c>
      <c r="F69" s="355" t="inlineStr">
        <is>
          <t>買</t>
        </is>
      </c>
      <c r="G69" s="355" t="inlineStr">
        <is>
          <t>-</t>
        </is>
      </c>
      <c r="H69" s="777" t="n">
        <v>1</v>
      </c>
      <c r="I69" s="777" t="n">
        <v>8607</v>
      </c>
      <c r="J69" s="777" t="n">
        <v>0</v>
      </c>
      <c r="K69" s="778" t="n">
        <v>100</v>
      </c>
      <c r="L69" s="778" t="n">
        <v>34</v>
      </c>
      <c r="M69" s="779">
        <f>IF(C69="TXO",J69-SUM(K69:L69),IF(C69="FITX",IF(E69="新倉",-SUM(K69:L69),IF(F69="賣",(I69-I68)*H69*200-SUM(K69:L69),(I68-I69)*H69*200-SUM(K69:L69)))))</f>
        <v/>
      </c>
      <c r="N69" s="780">
        <f>IF(C69="TXO","",IF(C69="FITX",IF(E69="新倉","",IF(F69="賣",(I69-I66),(I66-I69)))))</f>
        <v/>
      </c>
      <c r="O69" s="334">
        <f>ABS(J69)</f>
        <v/>
      </c>
      <c r="P69" s="764">
        <f>SUM(M69:M70)</f>
        <v/>
      </c>
      <c r="R69" s="61" t="n"/>
      <c r="S69" s="61" t="n"/>
      <c r="T69" s="61" t="n"/>
      <c r="U69" s="61" t="n"/>
      <c r="V69" s="61" t="n"/>
      <c r="W69" s="61" t="n"/>
      <c r="X69" s="61" t="n"/>
      <c r="Y69" s="61" t="n"/>
    </row>
    <row r="70" hidden="1" outlineLevel="1" ht="17.25" customHeight="1" thickBot="1">
      <c r="B70" s="360" t="n">
        <v>42552</v>
      </c>
      <c r="C70" s="299" t="inlineStr">
        <is>
          <t>FITX</t>
        </is>
      </c>
      <c r="D70" s="300" t="inlineStr">
        <is>
          <t>台指07</t>
        </is>
      </c>
      <c r="E70" s="300" t="inlineStr">
        <is>
          <t>平倉</t>
        </is>
      </c>
      <c r="F70" s="300" t="inlineStr">
        <is>
          <t>賣</t>
        </is>
      </c>
      <c r="G70" s="300" t="inlineStr">
        <is>
          <t>-</t>
        </is>
      </c>
      <c r="H70" s="741" t="n">
        <v>1</v>
      </c>
      <c r="I70" s="741" t="n">
        <v>8589</v>
      </c>
      <c r="J70" s="741" t="n">
        <v>0</v>
      </c>
      <c r="K70" s="742" t="n">
        <v>100</v>
      </c>
      <c r="L70" s="742" t="n">
        <v>34</v>
      </c>
      <c r="M70" s="743">
        <f>IF(C70="TXO",J70-SUM(K70:L70),IF(C70="FITX",IF(E70="新倉",-SUM(K70:L70),IF(F70="賣",(I70-I69)*H70*200-SUM(K70:L70),(I69-I70)*H70*200-SUM(K70:L70)))))</f>
        <v/>
      </c>
      <c r="N70" s="780">
        <f>IF(C70="TXO","",IF(C70="FITX",IF(E70="新倉","",IF(F70="賣",(I70-I69),(I69-I70)))))</f>
        <v/>
      </c>
      <c r="O70" s="334">
        <f>ABS(J70)</f>
        <v/>
      </c>
      <c r="P70" s="764" t="n"/>
      <c r="R70" s="61" t="n"/>
      <c r="S70" s="61" t="n"/>
      <c r="T70" s="61" t="n"/>
      <c r="U70" s="61" t="n"/>
      <c r="V70" s="61" t="n"/>
      <c r="W70" s="61" t="n"/>
      <c r="X70" s="61" t="n"/>
      <c r="Y70" s="61" t="n"/>
    </row>
    <row r="71" hidden="1" outlineLevel="1" collapsed="1" ht="17.25" customHeight="1" thickBot="1">
      <c r="B71" s="368" t="n">
        <v>42557</v>
      </c>
      <c r="C71" s="337" t="inlineStr">
        <is>
          <t>FITX</t>
        </is>
      </c>
      <c r="D71" s="338" t="inlineStr">
        <is>
          <t>台指07</t>
        </is>
      </c>
      <c r="E71" s="338" t="inlineStr">
        <is>
          <t>新倉</t>
        </is>
      </c>
      <c r="F71" s="338" t="inlineStr">
        <is>
          <t>賣</t>
        </is>
      </c>
      <c r="G71" s="338" t="inlineStr">
        <is>
          <t>-</t>
        </is>
      </c>
      <c r="H71" s="767" t="n">
        <v>1</v>
      </c>
      <c r="I71" s="767" t="n">
        <v>8464</v>
      </c>
      <c r="J71" s="767" t="n">
        <v>0</v>
      </c>
      <c r="K71" s="769" t="n">
        <v>100</v>
      </c>
      <c r="L71" s="769" t="n">
        <v>34</v>
      </c>
      <c r="M71" s="699">
        <f>IF(C71="TXO",J71-SUM(K71:L71),IF(C71="FITX",IF(E71="新倉",-SUM(K71:L71),IF(F71="賣",(I71-I70)*H71*200-SUM(K71:L71),(I70-I71)*H71*200-SUM(K71:L71)))))</f>
        <v/>
      </c>
      <c r="N71" s="686">
        <f>IF(C71="TXO","",IF(C71="FITX",IF(E71="新倉","",IF(F71="賣",(I71-I70),(I70-I71)))))</f>
        <v/>
      </c>
      <c r="O71" s="334">
        <f>ABS(J71)</f>
        <v/>
      </c>
      <c r="P71" s="667">
        <f>SUM(M71:M82)</f>
        <v/>
      </c>
      <c r="R71" s="61" t="n"/>
      <c r="S71" s="61" t="n"/>
      <c r="T71" s="61" t="n"/>
      <c r="U71" s="61" t="n"/>
      <c r="V71" s="61" t="n"/>
      <c r="W71" s="61" t="n"/>
      <c r="X71" s="61" t="n"/>
      <c r="Y71" s="61" t="n"/>
    </row>
    <row r="72" hidden="1" outlineLevel="2" ht="17.25" customHeight="1" thickBot="1">
      <c r="B72" s="368" t="n">
        <v>42557</v>
      </c>
      <c r="C72" s="337" t="inlineStr">
        <is>
          <t>FITX</t>
        </is>
      </c>
      <c r="D72" s="338" t="inlineStr">
        <is>
          <t>台指07</t>
        </is>
      </c>
      <c r="E72" s="338" t="inlineStr">
        <is>
          <t>平倉</t>
        </is>
      </c>
      <c r="F72" s="338" t="inlineStr">
        <is>
          <t>買</t>
        </is>
      </c>
      <c r="G72" s="338" t="inlineStr">
        <is>
          <t>-</t>
        </is>
      </c>
      <c r="H72" s="767" t="n">
        <v>1</v>
      </c>
      <c r="I72" s="767" t="n">
        <v>8459</v>
      </c>
      <c r="J72" s="767" t="n">
        <v>0</v>
      </c>
      <c r="K72" s="769" t="n">
        <v>100</v>
      </c>
      <c r="L72" s="769" t="n">
        <v>34</v>
      </c>
      <c r="M72" s="699">
        <f>IF(C72="TXO",J72-SUM(K72:L72),IF(C72="FITX",IF(E72="新倉",-SUM(K72:L72),IF(F72="賣",(I72-I71)*H72*200-SUM(K72:L72),(I71-I72)*H72*200-SUM(K72:L72)))))</f>
        <v/>
      </c>
      <c r="N72" s="686">
        <f>IF(C72="TXO","",IF(C72="FITX",IF(E72="新倉","",IF(F72="賣",(I72-I71),(I71-I72)))))</f>
        <v/>
      </c>
      <c r="O72" s="334">
        <f>ABS(J72)</f>
        <v/>
      </c>
      <c r="P72" s="667" t="n"/>
      <c r="R72" s="61" t="n"/>
      <c r="S72" s="61" t="n"/>
      <c r="T72" s="61" t="n"/>
      <c r="U72" s="61" t="n"/>
      <c r="V72" s="61" t="n"/>
      <c r="W72" s="61" t="n"/>
      <c r="X72" s="61" t="n"/>
      <c r="Y72" s="61" t="n"/>
    </row>
    <row r="73" hidden="1" outlineLevel="2" ht="17.25" customHeight="1" thickBot="1">
      <c r="B73" s="368" t="n">
        <v>42557</v>
      </c>
      <c r="C73" s="337" t="inlineStr">
        <is>
          <t>FITX</t>
        </is>
      </c>
      <c r="D73" s="338" t="inlineStr">
        <is>
          <t>台指07</t>
        </is>
      </c>
      <c r="E73" s="338" t="inlineStr">
        <is>
          <t>新倉</t>
        </is>
      </c>
      <c r="F73" s="338" t="inlineStr">
        <is>
          <t>賣</t>
        </is>
      </c>
      <c r="G73" s="338" t="inlineStr">
        <is>
          <t>-</t>
        </is>
      </c>
      <c r="H73" s="767" t="n">
        <v>1</v>
      </c>
      <c r="I73" s="767" t="n">
        <v>8460</v>
      </c>
      <c r="J73" s="767" t="n">
        <v>0</v>
      </c>
      <c r="K73" s="769" t="n">
        <v>100</v>
      </c>
      <c r="L73" s="769" t="n">
        <v>34</v>
      </c>
      <c r="M73" s="699">
        <f>IF(C73="TXO",J73-SUM(K73:L73),IF(C73="FITX",IF(E73="新倉",-SUM(K73:L73),IF(F73="賣",(I73-I72)*H73*200-SUM(K73:L73),(I72-I73)*H73*200-SUM(K73:L73)))))</f>
        <v/>
      </c>
      <c r="N73" s="686">
        <f>IF(C73="TXO","",IF(C73="FITX",IF(E73="新倉","",IF(F73="賣",(I73-I72),(I72-I73)))))</f>
        <v/>
      </c>
      <c r="O73" s="334">
        <f>ABS(J73)</f>
        <v/>
      </c>
      <c r="P73" s="667" t="n"/>
      <c r="R73" s="61" t="n"/>
      <c r="S73" s="61" t="n"/>
      <c r="T73" s="61" t="n"/>
      <c r="U73" s="61" t="n"/>
      <c r="V73" s="61" t="n"/>
      <c r="W73" s="61" t="n"/>
      <c r="X73" s="61" t="n"/>
      <c r="Y73" s="61" t="n"/>
    </row>
    <row r="74" hidden="1" outlineLevel="2" ht="17.25" customHeight="1" thickBot="1">
      <c r="B74" s="368" t="n">
        <v>42557</v>
      </c>
      <c r="C74" s="337" t="inlineStr">
        <is>
          <t>FITX</t>
        </is>
      </c>
      <c r="D74" s="338" t="inlineStr">
        <is>
          <t>台指07</t>
        </is>
      </c>
      <c r="E74" s="338" t="inlineStr">
        <is>
          <t>平倉</t>
        </is>
      </c>
      <c r="F74" s="338" t="inlineStr">
        <is>
          <t>買</t>
        </is>
      </c>
      <c r="G74" s="338" t="inlineStr">
        <is>
          <t>-</t>
        </is>
      </c>
      <c r="H74" s="767" t="n">
        <v>1</v>
      </c>
      <c r="I74" s="767" t="n">
        <v>8463</v>
      </c>
      <c r="J74" s="767" t="n">
        <v>0</v>
      </c>
      <c r="K74" s="769" t="n">
        <v>100</v>
      </c>
      <c r="L74" s="769" t="n">
        <v>34</v>
      </c>
      <c r="M74" s="699">
        <f>IF(C74="TXO",J74-SUM(K74:L74),IF(C74="FITX",IF(E74="新倉",-SUM(K74:L74),IF(F74="賣",(I74-I73)*H74*200-SUM(K74:L74),(I73-I74)*H74*200-SUM(K74:L74)))))</f>
        <v/>
      </c>
      <c r="N74" s="686">
        <f>IF(C74="TXO","",IF(C74="FITX",IF(E74="新倉","",IF(F74="賣",(I74-I73),(I73-I74)))))</f>
        <v/>
      </c>
      <c r="O74" s="334">
        <f>ABS(J74)</f>
        <v/>
      </c>
      <c r="P74" s="667" t="n"/>
      <c r="R74" s="61" t="n"/>
      <c r="S74" s="61" t="n"/>
      <c r="T74" s="61" t="n"/>
      <c r="U74" s="61" t="n"/>
      <c r="V74" s="61" t="n"/>
      <c r="W74" s="61" t="n"/>
      <c r="X74" s="61" t="n"/>
      <c r="Y74" s="61" t="n"/>
    </row>
    <row r="75" hidden="1" outlineLevel="2" ht="17.25" customHeight="1" thickBot="1">
      <c r="B75" s="368" t="n">
        <v>42557</v>
      </c>
      <c r="C75" s="337" t="inlineStr">
        <is>
          <t>FITX</t>
        </is>
      </c>
      <c r="D75" s="338" t="inlineStr">
        <is>
          <t>台指07</t>
        </is>
      </c>
      <c r="E75" s="338" t="inlineStr">
        <is>
          <t>新倉</t>
        </is>
      </c>
      <c r="F75" s="338" t="inlineStr">
        <is>
          <t>買</t>
        </is>
      </c>
      <c r="G75" s="338" t="inlineStr">
        <is>
          <t>-</t>
        </is>
      </c>
      <c r="H75" s="767" t="n">
        <v>1</v>
      </c>
      <c r="I75" s="767" t="n">
        <v>8459</v>
      </c>
      <c r="J75" s="767" t="n">
        <v>0</v>
      </c>
      <c r="K75" s="769" t="n">
        <v>100</v>
      </c>
      <c r="L75" s="769" t="n">
        <v>34</v>
      </c>
      <c r="M75" s="699">
        <f>IF(C75="TXO",J75-SUM(K75:L75),IF(C75="FITX",IF(E75="新倉",-SUM(K75:L75),IF(F75="賣",(I75-I74)*H75*200-SUM(K75:L75),(I74-I75)*H75*200-SUM(K75:L75)))))</f>
        <v/>
      </c>
      <c r="N75" s="686">
        <f>IF(C75="TXO","",IF(C75="FITX",IF(E75="新倉","",IF(F75="賣",(I75-I74),(I74-I75)))))</f>
        <v/>
      </c>
      <c r="O75" s="334">
        <f>ABS(J75)</f>
        <v/>
      </c>
      <c r="P75" s="667" t="n"/>
      <c r="R75" s="61" t="n"/>
      <c r="S75" s="61" t="n"/>
      <c r="T75" s="61" t="n"/>
      <c r="U75" s="61" t="n"/>
      <c r="V75" s="61" t="n"/>
      <c r="W75" s="61" t="n"/>
      <c r="X75" s="61" t="n"/>
      <c r="Y75" s="61" t="n"/>
    </row>
    <row r="76" hidden="1" outlineLevel="2" ht="17.25" customHeight="1" thickBot="1">
      <c r="B76" s="368" t="n">
        <v>42557</v>
      </c>
      <c r="C76" s="337" t="inlineStr">
        <is>
          <t>FITX</t>
        </is>
      </c>
      <c r="D76" s="338" t="inlineStr">
        <is>
          <t>台指07</t>
        </is>
      </c>
      <c r="E76" s="338" t="inlineStr">
        <is>
          <t>平倉</t>
        </is>
      </c>
      <c r="F76" s="338" t="inlineStr">
        <is>
          <t>賣</t>
        </is>
      </c>
      <c r="G76" s="338" t="inlineStr">
        <is>
          <t>-</t>
        </is>
      </c>
      <c r="H76" s="767" t="n">
        <v>1</v>
      </c>
      <c r="I76" s="767" t="n">
        <v>8466</v>
      </c>
      <c r="J76" s="767" t="n">
        <v>0</v>
      </c>
      <c r="K76" s="769" t="n">
        <v>100</v>
      </c>
      <c r="L76" s="769" t="n">
        <v>34</v>
      </c>
      <c r="M76" s="699">
        <f>IF(C76="TXO",J76-SUM(K76:L76),IF(C76="FITX",IF(E76="新倉",-SUM(K76:L76),IF(F76="賣",(I76-I75)*H76*200-SUM(K76:L76),(I75-I76)*H76*200-SUM(K76:L76)))))</f>
        <v/>
      </c>
      <c r="N76" s="686">
        <f>IF(C76="TXO","",IF(C76="FITX",IF(E76="新倉","",IF(F76="賣",(I76-I75),(I75-I76)))))</f>
        <v/>
      </c>
      <c r="O76" s="334">
        <f>ABS(J76)</f>
        <v/>
      </c>
      <c r="P76" s="667" t="n"/>
      <c r="R76" s="61" t="n"/>
      <c r="S76" s="61" t="n"/>
      <c r="T76" s="61" t="n"/>
      <c r="U76" s="61" t="n"/>
      <c r="V76" s="61" t="n"/>
      <c r="W76" s="61" t="n"/>
      <c r="X76" s="61" t="n"/>
      <c r="Y76" s="61" t="n"/>
    </row>
    <row r="77" hidden="1" outlineLevel="2" ht="17.25" customHeight="1" thickBot="1">
      <c r="B77" s="368" t="n">
        <v>42557</v>
      </c>
      <c r="C77" s="337" t="inlineStr">
        <is>
          <t>FITX</t>
        </is>
      </c>
      <c r="D77" s="338" t="inlineStr">
        <is>
          <t>台指07</t>
        </is>
      </c>
      <c r="E77" s="338" t="inlineStr">
        <is>
          <t>新倉</t>
        </is>
      </c>
      <c r="F77" s="338" t="inlineStr">
        <is>
          <t>買</t>
        </is>
      </c>
      <c r="G77" s="338" t="inlineStr">
        <is>
          <t>-</t>
        </is>
      </c>
      <c r="H77" s="767" t="n">
        <v>1</v>
      </c>
      <c r="I77" s="767" t="n">
        <v>8460</v>
      </c>
      <c r="J77" s="767" t="n">
        <v>0</v>
      </c>
      <c r="K77" s="769" t="n">
        <v>100</v>
      </c>
      <c r="L77" s="769" t="n">
        <v>34</v>
      </c>
      <c r="M77" s="699">
        <f>IF(C77="TXO",J77-SUM(K77:L77),IF(C77="FITX",IF(E77="新倉",-SUM(K77:L77),IF(F77="賣",(I77-I76)*H77*200-SUM(K77:L77),(I76-I77)*H77*200-SUM(K77:L77)))))</f>
        <v/>
      </c>
      <c r="N77" s="686">
        <f>IF(C77="TXO","",IF(C77="FITX",IF(E77="新倉","",IF(F77="賣",(I77-I76),(I76-I77)))))</f>
        <v/>
      </c>
      <c r="O77" s="334">
        <f>ABS(J77)</f>
        <v/>
      </c>
      <c r="P77" s="667" t="n"/>
      <c r="R77" s="61" t="n"/>
      <c r="S77" s="61" t="n"/>
      <c r="T77" s="61" t="n"/>
      <c r="U77" s="61" t="n"/>
      <c r="V77" s="61" t="n"/>
      <c r="W77" s="61" t="n"/>
      <c r="X77" s="61" t="n"/>
      <c r="Y77" s="61" t="n"/>
    </row>
    <row r="78" hidden="1" outlineLevel="2" ht="17.25" customHeight="1" thickBot="1">
      <c r="B78" s="368" t="n">
        <v>42557</v>
      </c>
      <c r="C78" s="337" t="inlineStr">
        <is>
          <t>FITX</t>
        </is>
      </c>
      <c r="D78" s="338" t="inlineStr">
        <is>
          <t>台指07</t>
        </is>
      </c>
      <c r="E78" s="338" t="inlineStr">
        <is>
          <t>平倉</t>
        </is>
      </c>
      <c r="F78" s="338" t="inlineStr">
        <is>
          <t>賣</t>
        </is>
      </c>
      <c r="G78" s="338" t="inlineStr">
        <is>
          <t>-</t>
        </is>
      </c>
      <c r="H78" s="767" t="n">
        <v>1</v>
      </c>
      <c r="I78" s="767" t="n">
        <v>8457</v>
      </c>
      <c r="J78" s="767" t="n">
        <v>0</v>
      </c>
      <c r="K78" s="769" t="n">
        <v>100</v>
      </c>
      <c r="L78" s="769" t="n">
        <v>34</v>
      </c>
      <c r="M78" s="699">
        <f>IF(C78="TXO",J78-SUM(K78:L78),IF(C78="FITX",IF(E78="新倉",-SUM(K78:L78),IF(F78="賣",(I78-I77)*H78*200-SUM(K78:L78),(I77-I78)*H78*200-SUM(K78:L78)))))</f>
        <v/>
      </c>
      <c r="N78" s="686">
        <f>IF(C78="TXO","",IF(C78="FITX",IF(E78="新倉","",IF(F78="賣",(I78-I77),(I77-I78)))))</f>
        <v/>
      </c>
      <c r="O78" s="334">
        <f>ABS(J78)</f>
        <v/>
      </c>
      <c r="P78" s="667" t="n"/>
      <c r="R78" s="61" t="n"/>
      <c r="S78" s="61" t="n"/>
      <c r="T78" s="61" t="n"/>
      <c r="U78" s="61" t="n"/>
      <c r="V78" s="61" t="n"/>
      <c r="W78" s="61" t="n"/>
      <c r="X78" s="61" t="n"/>
      <c r="Y78" s="61" t="n"/>
    </row>
    <row r="79" hidden="1" outlineLevel="2" ht="17.25" customHeight="1" thickBot="1">
      <c r="B79" s="368" t="n">
        <v>42557</v>
      </c>
      <c r="C79" s="337" t="inlineStr">
        <is>
          <t>FITX</t>
        </is>
      </c>
      <c r="D79" s="338" t="inlineStr">
        <is>
          <t>台指07</t>
        </is>
      </c>
      <c r="E79" s="338" t="inlineStr">
        <is>
          <t>新倉</t>
        </is>
      </c>
      <c r="F79" s="338" t="inlineStr">
        <is>
          <t>買</t>
        </is>
      </c>
      <c r="G79" s="338" t="inlineStr">
        <is>
          <t>-</t>
        </is>
      </c>
      <c r="H79" s="767" t="n">
        <v>1</v>
      </c>
      <c r="I79" s="767" t="n">
        <v>8465</v>
      </c>
      <c r="J79" s="767" t="n">
        <v>0</v>
      </c>
      <c r="K79" s="769" t="n">
        <v>100</v>
      </c>
      <c r="L79" s="769" t="n">
        <v>34</v>
      </c>
      <c r="M79" s="699">
        <f>IF(C79="TXO",J79-SUM(K79:L79),IF(C79="FITX",IF(E79="新倉",-SUM(K79:L79),IF(F79="賣",(I79-I78)*H79*200-SUM(K79:L79),(I78-I79)*H79*200-SUM(K79:L79)))))</f>
        <v/>
      </c>
      <c r="N79" s="686">
        <f>IF(C79="TXO","",IF(C79="FITX",IF(E79="新倉","",IF(F79="賣",(I79-I78),(I78-I79)))))</f>
        <v/>
      </c>
      <c r="O79" s="334">
        <f>ABS(J79)</f>
        <v/>
      </c>
      <c r="P79" s="667" t="n"/>
      <c r="R79" s="61" t="n"/>
      <c r="S79" s="61" t="n"/>
      <c r="T79" s="61" t="n"/>
      <c r="U79" s="61" t="n"/>
      <c r="V79" s="61" t="n"/>
      <c r="W79" s="61" t="n"/>
      <c r="X79" s="61" t="n"/>
      <c r="Y79" s="61" t="n"/>
    </row>
    <row r="80" hidden="1" outlineLevel="2" ht="17.25" customHeight="1" thickBot="1">
      <c r="B80" s="368" t="n">
        <v>42557</v>
      </c>
      <c r="C80" s="337" t="inlineStr">
        <is>
          <t>FITX</t>
        </is>
      </c>
      <c r="D80" s="338" t="inlineStr">
        <is>
          <t>台指07</t>
        </is>
      </c>
      <c r="E80" s="338" t="inlineStr">
        <is>
          <t>平倉</t>
        </is>
      </c>
      <c r="F80" s="338" t="inlineStr">
        <is>
          <t>賣</t>
        </is>
      </c>
      <c r="G80" s="338" t="inlineStr">
        <is>
          <t>-</t>
        </is>
      </c>
      <c r="H80" s="767" t="n">
        <v>1</v>
      </c>
      <c r="I80" s="767" t="n">
        <v>8458</v>
      </c>
      <c r="J80" s="767" t="n">
        <v>0</v>
      </c>
      <c r="K80" s="769" t="n">
        <v>100</v>
      </c>
      <c r="L80" s="769" t="n">
        <v>34</v>
      </c>
      <c r="M80" s="699">
        <f>IF(C80="TXO",J80-SUM(K80:L80),IF(C80="FITX",IF(E80="新倉",-SUM(K80:L80),IF(F80="賣",(I80-I79)*H80*200-SUM(K80:L80),(I79-I80)*H80*200-SUM(K80:L80)))))</f>
        <v/>
      </c>
      <c r="N80" s="686">
        <f>IF(C80="TXO","",IF(C80="FITX",IF(E80="新倉","",IF(F80="賣",(I80-I79),(I79-I80)))))</f>
        <v/>
      </c>
      <c r="O80" s="334">
        <f>ABS(J80)</f>
        <v/>
      </c>
      <c r="P80" s="667" t="n"/>
      <c r="R80" s="61" t="n"/>
      <c r="S80" s="61" t="n"/>
      <c r="T80" s="61" t="n"/>
      <c r="U80" s="61" t="n"/>
      <c r="V80" s="61" t="n"/>
      <c r="W80" s="61" t="n"/>
      <c r="X80" s="61" t="n"/>
      <c r="Y80" s="61" t="n"/>
    </row>
    <row r="81" hidden="1" outlineLevel="2" ht="17.25" customHeight="1" thickBot="1">
      <c r="B81" s="368" t="n">
        <v>42557</v>
      </c>
      <c r="C81" s="337" t="inlineStr">
        <is>
          <t>FITX</t>
        </is>
      </c>
      <c r="D81" s="338" t="inlineStr">
        <is>
          <t>台指07</t>
        </is>
      </c>
      <c r="E81" s="338" t="inlineStr">
        <is>
          <t>新倉</t>
        </is>
      </c>
      <c r="F81" s="338" t="inlineStr">
        <is>
          <t>賣</t>
        </is>
      </c>
      <c r="G81" s="338" t="inlineStr">
        <is>
          <t>-</t>
        </is>
      </c>
      <c r="H81" s="767" t="n">
        <v>1</v>
      </c>
      <c r="I81" s="767" t="n">
        <v>8459</v>
      </c>
      <c r="J81" s="767" t="n">
        <v>0</v>
      </c>
      <c r="K81" s="769" t="n">
        <v>100</v>
      </c>
      <c r="L81" s="769" t="n">
        <v>34</v>
      </c>
      <c r="M81" s="699">
        <f>IF(C81="TXO",J81-SUM(K81:L81),IF(C81="FITX",IF(E81="新倉",-SUM(K81:L81),IF(F81="賣",(I81-I80)*H81*200-SUM(K81:L81),(I80-I81)*H81*200-SUM(K81:L81)))))</f>
        <v/>
      </c>
      <c r="N81" s="686">
        <f>IF(C81="TXO","",IF(C81="FITX",IF(E81="新倉","",IF(F81="賣",(I81-I80),(I80-I81)))))</f>
        <v/>
      </c>
      <c r="O81" s="334">
        <f>ABS(J81)</f>
        <v/>
      </c>
      <c r="P81" s="667" t="n"/>
      <c r="R81" s="61" t="n"/>
      <c r="S81" s="61" t="n"/>
      <c r="T81" s="61" t="n"/>
      <c r="U81" s="61" t="n"/>
      <c r="V81" s="61" t="n"/>
      <c r="W81" s="61" t="n"/>
      <c r="X81" s="61" t="n"/>
      <c r="Y81" s="61" t="n"/>
    </row>
    <row r="82" hidden="1" outlineLevel="2" ht="17.25" customHeight="1" thickBot="1">
      <c r="B82" s="368" t="n">
        <v>42557</v>
      </c>
      <c r="C82" s="337" t="inlineStr">
        <is>
          <t>FITX</t>
        </is>
      </c>
      <c r="D82" s="338" t="inlineStr">
        <is>
          <t>台指07</t>
        </is>
      </c>
      <c r="E82" s="338" t="inlineStr">
        <is>
          <t>平倉</t>
        </is>
      </c>
      <c r="F82" s="338" t="inlineStr">
        <is>
          <t>買</t>
        </is>
      </c>
      <c r="G82" s="338" t="inlineStr">
        <is>
          <t>-</t>
        </is>
      </c>
      <c r="H82" s="767" t="n">
        <v>1</v>
      </c>
      <c r="I82" s="767" t="n">
        <v>8457</v>
      </c>
      <c r="J82" s="767" t="n">
        <v>0</v>
      </c>
      <c r="K82" s="769" t="n">
        <v>100</v>
      </c>
      <c r="L82" s="769" t="n">
        <v>34</v>
      </c>
      <c r="M82" s="699">
        <f>IF(C82="TXO",J82-SUM(K82:L82),IF(C82="FITX",IF(E82="新倉",-SUM(K82:L82),IF(F82="賣",(I82-I81)*H82*200-SUM(K82:L82),(I81-I82)*H82*200-SUM(K82:L82)))))</f>
        <v/>
      </c>
      <c r="N82" s="686">
        <f>IF(C82="TXO","",IF(C82="FITX",IF(E82="新倉","",IF(F82="賣",(I82-I81),(I81-I82)))))</f>
        <v/>
      </c>
      <c r="O82" s="334">
        <f>ABS(J82)</f>
        <v/>
      </c>
      <c r="P82" s="667" t="n"/>
      <c r="R82" s="61" t="n"/>
      <c r="S82" s="61" t="n"/>
      <c r="T82" s="61" t="n"/>
      <c r="U82" s="61" t="n"/>
      <c r="V82" s="61" t="n"/>
      <c r="W82" s="61" t="n"/>
      <c r="X82" s="61" t="n"/>
      <c r="Y82" s="61" t="n"/>
    </row>
    <row r="83" hidden="1" outlineLevel="1" collapsed="1" ht="17.25" customHeight="1" thickBot="1">
      <c r="B83" s="369" t="n">
        <v>42558</v>
      </c>
      <c r="C83" s="370" t="inlineStr">
        <is>
          <t>FITX</t>
        </is>
      </c>
      <c r="D83" s="371" t="inlineStr">
        <is>
          <t>台指07</t>
        </is>
      </c>
      <c r="E83" s="371" t="inlineStr">
        <is>
          <t>新倉</t>
        </is>
      </c>
      <c r="F83" s="371" t="inlineStr">
        <is>
          <t>買</t>
        </is>
      </c>
      <c r="G83" s="371" t="inlineStr">
        <is>
          <t>-</t>
        </is>
      </c>
      <c r="H83" s="785" t="n">
        <v>1</v>
      </c>
      <c r="I83" s="785" t="n">
        <v>8527</v>
      </c>
      <c r="J83" s="785" t="n">
        <v>0</v>
      </c>
      <c r="K83" s="786" t="n">
        <v>100</v>
      </c>
      <c r="L83" s="786" t="n">
        <v>34</v>
      </c>
      <c r="M83" s="743">
        <f>IF(C83="TXO",J83-SUM(K83:L83),IF(C83="FITX",IF(E83="新倉",-SUM(K83:L83),IF(F83="賣",(I83-I82)*H83*200-SUM(K83:L83),(I82-I83)*H83*200-SUM(K83:L83)))))</f>
        <v/>
      </c>
      <c r="N83" s="780">
        <f>IF(C83="TXO","",IF(C83="FITX",IF(E83="新倉","",IF(F83="賣",(I83-I82),(I82-I83)))))</f>
        <v/>
      </c>
      <c r="O83" s="334">
        <f>ABS(J83)</f>
        <v/>
      </c>
      <c r="P83" s="764">
        <f>SUM(M83:M88)</f>
        <v/>
      </c>
      <c r="R83" s="61" t="n"/>
      <c r="S83" s="61" t="n"/>
      <c r="T83" s="61" t="n"/>
      <c r="U83" s="61" t="n"/>
      <c r="V83" s="61" t="n"/>
      <c r="W83" s="61" t="n"/>
      <c r="X83" s="61" t="n"/>
      <c r="Y83" s="61" t="n"/>
    </row>
    <row r="84" hidden="1" outlineLevel="2" ht="17.25" customHeight="1" thickBot="1">
      <c r="B84" s="369" t="n">
        <v>42558</v>
      </c>
      <c r="C84" s="370" t="inlineStr">
        <is>
          <t>FITX</t>
        </is>
      </c>
      <c r="D84" s="371" t="inlineStr">
        <is>
          <t>台指07</t>
        </is>
      </c>
      <c r="E84" s="371" t="inlineStr">
        <is>
          <t>平倉</t>
        </is>
      </c>
      <c r="F84" s="371" t="inlineStr">
        <is>
          <t>賣</t>
        </is>
      </c>
      <c r="G84" s="371" t="inlineStr">
        <is>
          <t>-</t>
        </is>
      </c>
      <c r="H84" s="785" t="n">
        <v>1</v>
      </c>
      <c r="I84" s="785" t="n">
        <v>8544</v>
      </c>
      <c r="J84" s="785" t="n">
        <v>0</v>
      </c>
      <c r="K84" s="786" t="n">
        <v>100</v>
      </c>
      <c r="L84" s="786" t="n">
        <v>34</v>
      </c>
      <c r="M84" s="743">
        <f>IF(C84="TXO",J84-SUM(K84:L84),IF(C84="FITX",IF(E84="新倉",-SUM(K84:L84),IF(F84="賣",(I84-I83)*H84*200-SUM(K84:L84),(I83-I84)*H84*200-SUM(K84:L84)))))</f>
        <v/>
      </c>
      <c r="N84" s="780">
        <f>IF(C84="TXO","",IF(C84="FITX",IF(E84="新倉","",IF(F84="賣",(I84-I83),(I83-I84)))))</f>
        <v/>
      </c>
      <c r="O84" s="334">
        <f>ABS(J84)</f>
        <v/>
      </c>
      <c r="P84" s="764" t="n"/>
      <c r="R84" s="61" t="n"/>
      <c r="S84" s="61" t="n"/>
      <c r="T84" s="61" t="n"/>
      <c r="U84" s="61" t="n"/>
      <c r="V84" s="61" t="n"/>
      <c r="W84" s="61" t="n"/>
      <c r="X84" s="61" t="n"/>
      <c r="Y84" s="61" t="n"/>
    </row>
    <row r="85" hidden="1" outlineLevel="2" ht="17.25" customHeight="1" thickBot="1">
      <c r="B85" s="369" t="n">
        <v>42558</v>
      </c>
      <c r="C85" s="370" t="inlineStr">
        <is>
          <t>FITX</t>
        </is>
      </c>
      <c r="D85" s="371" t="inlineStr">
        <is>
          <t>台指07</t>
        </is>
      </c>
      <c r="E85" s="371" t="inlineStr">
        <is>
          <t>新倉</t>
        </is>
      </c>
      <c r="F85" s="371" t="inlineStr">
        <is>
          <t>買</t>
        </is>
      </c>
      <c r="G85" s="371" t="inlineStr">
        <is>
          <t>-</t>
        </is>
      </c>
      <c r="H85" s="785" t="n">
        <v>1</v>
      </c>
      <c r="I85" s="785" t="n">
        <v>8543</v>
      </c>
      <c r="J85" s="785" t="n">
        <v>0</v>
      </c>
      <c r="K85" s="786" t="n">
        <v>100</v>
      </c>
      <c r="L85" s="786" t="n">
        <v>34</v>
      </c>
      <c r="M85" s="743">
        <f>IF(C85="TXO",J85-SUM(K85:L85),IF(C85="FITX",IF(E85="新倉",-SUM(K85:L85),IF(F85="賣",(I85-I84)*H85*200-SUM(K85:L85),(I84-I85)*H85*200-SUM(K85:L85)))))</f>
        <v/>
      </c>
      <c r="N85" s="780">
        <f>IF(C85="TXO","",IF(C85="FITX",IF(E85="新倉","",IF(F85="賣",(I85-I84),(I84-I85)))))</f>
        <v/>
      </c>
      <c r="O85" s="334">
        <f>ABS(J85)</f>
        <v/>
      </c>
      <c r="P85" s="764" t="n"/>
      <c r="R85" s="61" t="n"/>
      <c r="S85" s="61" t="n"/>
      <c r="T85" s="61" t="n"/>
      <c r="U85" s="61" t="n"/>
      <c r="V85" s="61" t="n"/>
      <c r="W85" s="61" t="n"/>
      <c r="X85" s="61" t="n"/>
      <c r="Y85" s="61" t="n"/>
    </row>
    <row r="86" hidden="1" outlineLevel="2" ht="17.25" customHeight="1" thickBot="1">
      <c r="B86" s="369" t="n">
        <v>42558</v>
      </c>
      <c r="C86" s="370" t="inlineStr">
        <is>
          <t>FITX</t>
        </is>
      </c>
      <c r="D86" s="371" t="inlineStr">
        <is>
          <t>台指07</t>
        </is>
      </c>
      <c r="E86" s="371" t="inlineStr">
        <is>
          <t>平倉</t>
        </is>
      </c>
      <c r="F86" s="371" t="inlineStr">
        <is>
          <t>賣</t>
        </is>
      </c>
      <c r="G86" s="371" t="inlineStr">
        <is>
          <t>-</t>
        </is>
      </c>
      <c r="H86" s="785" t="n">
        <v>1</v>
      </c>
      <c r="I86" s="785" t="n">
        <v>8560</v>
      </c>
      <c r="J86" s="785" t="n">
        <v>0</v>
      </c>
      <c r="K86" s="786" t="n">
        <v>100</v>
      </c>
      <c r="L86" s="786" t="n">
        <v>34</v>
      </c>
      <c r="M86" s="743">
        <f>IF(C86="TXO",J86-SUM(K86:L86),IF(C86="FITX",IF(E86="新倉",-SUM(K86:L86),IF(F86="賣",(I86-I85)*H86*200-SUM(K86:L86),(I85-I86)*H86*200-SUM(K86:L86)))))</f>
        <v/>
      </c>
      <c r="N86" s="780">
        <f>IF(C86="TXO","",IF(C86="FITX",IF(E86="新倉","",IF(F86="賣",(I86-I85),(I85-I86)))))</f>
        <v/>
      </c>
      <c r="O86" s="334">
        <f>ABS(J86)</f>
        <v/>
      </c>
      <c r="P86" s="764" t="n"/>
      <c r="R86" s="61" t="n"/>
      <c r="S86" s="61" t="n"/>
      <c r="T86" s="61" t="n"/>
      <c r="U86" s="61" t="n"/>
      <c r="V86" s="61" t="n"/>
      <c r="W86" s="61" t="n"/>
      <c r="X86" s="61" t="n"/>
      <c r="Y86" s="61" t="n"/>
    </row>
    <row r="87" hidden="1" outlineLevel="2" ht="17.25" customHeight="1" thickBot="1">
      <c r="B87" s="369" t="n">
        <v>42558</v>
      </c>
      <c r="C87" s="370" t="inlineStr">
        <is>
          <t>FITX</t>
        </is>
      </c>
      <c r="D87" s="371" t="inlineStr">
        <is>
          <t>台指07</t>
        </is>
      </c>
      <c r="E87" s="371" t="inlineStr">
        <is>
          <t>新倉</t>
        </is>
      </c>
      <c r="F87" s="371" t="inlineStr">
        <is>
          <t>買</t>
        </is>
      </c>
      <c r="G87" s="371" t="inlineStr">
        <is>
          <t>-</t>
        </is>
      </c>
      <c r="H87" s="785" t="n">
        <v>1</v>
      </c>
      <c r="I87" s="785" t="n">
        <v>8555</v>
      </c>
      <c r="J87" s="785" t="n">
        <v>0</v>
      </c>
      <c r="K87" s="786" t="n">
        <v>100</v>
      </c>
      <c r="L87" s="786" t="n">
        <v>34</v>
      </c>
      <c r="M87" s="743">
        <f>IF(C87="TXO",J87-SUM(K87:L87),IF(C87="FITX",IF(E87="新倉",-SUM(K87:L87),IF(F87="賣",(I87-I86)*H87*200-SUM(K87:L87),(I86-I87)*H87*200-SUM(K87:L87)))))</f>
        <v/>
      </c>
      <c r="N87" s="780">
        <f>IF(C87="TXO","",IF(C87="FITX",IF(E87="新倉","",IF(F87="賣",(I87-I86),(I86-I87)))))</f>
        <v/>
      </c>
      <c r="O87" s="334">
        <f>ABS(J87)</f>
        <v/>
      </c>
      <c r="P87" s="764" t="n"/>
      <c r="R87" s="61" t="n"/>
      <c r="S87" s="61" t="n"/>
      <c r="T87" s="61" t="n"/>
      <c r="U87" s="61" t="n"/>
      <c r="V87" s="61" t="n"/>
      <c r="W87" s="61" t="n"/>
      <c r="X87" s="61" t="n"/>
      <c r="Y87" s="61" t="n"/>
    </row>
    <row r="88" hidden="1" outlineLevel="2" ht="17.25" customHeight="1" thickBot="1">
      <c r="B88" s="369" t="n">
        <v>42558</v>
      </c>
      <c r="C88" s="370" t="inlineStr">
        <is>
          <t>FITX</t>
        </is>
      </c>
      <c r="D88" s="371" t="inlineStr">
        <is>
          <t>台指07</t>
        </is>
      </c>
      <c r="E88" s="371" t="inlineStr">
        <is>
          <t>平倉</t>
        </is>
      </c>
      <c r="F88" s="371" t="inlineStr">
        <is>
          <t>賣</t>
        </is>
      </c>
      <c r="G88" s="371" t="inlineStr">
        <is>
          <t>-</t>
        </is>
      </c>
      <c r="H88" s="785" t="n">
        <v>1</v>
      </c>
      <c r="I88" s="785" t="n">
        <v>8562</v>
      </c>
      <c r="J88" s="785" t="n">
        <v>0</v>
      </c>
      <c r="K88" s="786" t="n">
        <v>100</v>
      </c>
      <c r="L88" s="786" t="n">
        <v>34</v>
      </c>
      <c r="M88" s="743">
        <f>IF(C88="TXO",J88-SUM(K88:L88),IF(C88="FITX",IF(E88="新倉",-SUM(K88:L88),IF(F88="賣",(I88-I87)*H88*200-SUM(K88:L88),(I87-I88)*H88*200-SUM(K88:L88)))))</f>
        <v/>
      </c>
      <c r="N88" s="780">
        <f>IF(C88="TXO","",IF(C88="FITX",IF(E88="新倉","",IF(F88="賣",(I88-I87),(I87-I88)))))</f>
        <v/>
      </c>
      <c r="O88" s="334">
        <f>ABS(J88)</f>
        <v/>
      </c>
      <c r="P88" s="764" t="n"/>
      <c r="R88" s="61" t="n"/>
      <c r="S88" s="61" t="n"/>
      <c r="T88" s="61" t="n"/>
      <c r="U88" s="61" t="n"/>
      <c r="V88" s="61" t="n"/>
      <c r="W88" s="61" t="n"/>
      <c r="X88" s="61" t="n"/>
      <c r="Y88" s="61" t="n"/>
    </row>
    <row r="89" hidden="1" outlineLevel="1" collapsed="1" ht="17.25" customHeight="1" thickBot="1">
      <c r="B89" s="368" t="n">
        <v>42562</v>
      </c>
      <c r="C89" s="337" t="inlineStr">
        <is>
          <t>TXO</t>
        </is>
      </c>
      <c r="D89" s="338" t="inlineStr">
        <is>
          <t>台指選 07 08500 P</t>
        </is>
      </c>
      <c r="E89" s="338" t="inlineStr">
        <is>
          <t>新倉</t>
        </is>
      </c>
      <c r="F89" s="338" t="inlineStr">
        <is>
          <t>買</t>
        </is>
      </c>
      <c r="G89" s="338" t="inlineStr">
        <is>
          <t>-</t>
        </is>
      </c>
      <c r="H89" s="767" t="n">
        <v>1</v>
      </c>
      <c r="I89" s="767" t="n">
        <v>14</v>
      </c>
      <c r="J89" s="767" t="n">
        <v>-700</v>
      </c>
      <c r="K89" s="769" t="n">
        <v>40</v>
      </c>
      <c r="L89" s="769" t="n">
        <v>1</v>
      </c>
      <c r="M89" s="699">
        <f>IF(C89="TXO",J89-SUM(K89:L89),IF(C89="FITX",IF(E89="新倉",-SUM(K89:L89),IF(F89="賣",(I89-I88)*H89*200-SUM(K89:L89),(I88-I89)*H89*200-SUM(K89:L89)))))</f>
        <v/>
      </c>
      <c r="N89" s="686">
        <f>IF(C89="TXO","",IF(C89="FITX",IF(E89="新倉","",IF(F89="賣",(I89-I88),(I88-I89)))))</f>
        <v/>
      </c>
      <c r="O89" s="334">
        <f>ABS(J89)</f>
        <v/>
      </c>
      <c r="P89" s="667">
        <f>SUM(M89:M98)</f>
        <v/>
      </c>
      <c r="R89" s="61" t="n"/>
      <c r="S89" s="61" t="n"/>
      <c r="T89" s="61" t="n"/>
      <c r="U89" s="61" t="n"/>
      <c r="V89" s="61" t="n"/>
      <c r="W89" s="61" t="n"/>
      <c r="X89" s="61" t="n"/>
      <c r="Y89" s="61" t="n"/>
    </row>
    <row r="90" hidden="1" outlineLevel="2" ht="17.25" customHeight="1" thickBot="1">
      <c r="B90" s="368" t="n">
        <v>42562</v>
      </c>
      <c r="C90" s="337" t="inlineStr">
        <is>
          <t>TXO</t>
        </is>
      </c>
      <c r="D90" s="338" t="inlineStr">
        <is>
          <t>台指選 07 08500 P</t>
        </is>
      </c>
      <c r="E90" s="338" t="inlineStr">
        <is>
          <t>平倉</t>
        </is>
      </c>
      <c r="F90" s="338" t="inlineStr">
        <is>
          <t>賣</t>
        </is>
      </c>
      <c r="G90" s="338" t="inlineStr">
        <is>
          <t>-</t>
        </is>
      </c>
      <c r="H90" s="767" t="n">
        <v>1</v>
      </c>
      <c r="I90" s="767" t="n">
        <v>15.5</v>
      </c>
      <c r="J90" s="767" t="n">
        <v>775</v>
      </c>
      <c r="K90" s="769" t="n">
        <v>40</v>
      </c>
      <c r="L90" s="769" t="n">
        <v>1</v>
      </c>
      <c r="M90" s="699">
        <f>IF(C90="TXO",J90-SUM(K90:L90),IF(C90="FITX",IF(E90="新倉",-SUM(K90:L90),IF(F90="賣",(I90-I89)*H90*200-SUM(K90:L90),(I89-I90)*H90*200-SUM(K90:L90)))))</f>
        <v/>
      </c>
      <c r="N90" s="686">
        <f>IF(C90="TXO","",IF(C90="FITX",IF(E90="新倉","",IF(F90="賣",(I90-I89),(I89-I90)))))</f>
        <v/>
      </c>
      <c r="O90" s="334">
        <f>ABS(J90)</f>
        <v/>
      </c>
      <c r="P90" s="667" t="n"/>
      <c r="R90" s="61" t="n"/>
      <c r="S90" s="61" t="n"/>
      <c r="T90" s="61" t="n"/>
      <c r="U90" s="61" t="n"/>
      <c r="V90" s="61" t="n"/>
      <c r="W90" s="61" t="n"/>
      <c r="X90" s="61" t="n"/>
      <c r="Y90" s="61" t="n"/>
    </row>
    <row r="91" hidden="1" outlineLevel="2" ht="17.25" customHeight="1" thickBot="1">
      <c r="B91" s="368" t="n">
        <v>42562</v>
      </c>
      <c r="C91" s="337" t="inlineStr">
        <is>
          <t>FITX</t>
        </is>
      </c>
      <c r="D91" s="338" t="inlineStr">
        <is>
          <t>台指07</t>
        </is>
      </c>
      <c r="E91" s="338" t="inlineStr">
        <is>
          <t>新倉</t>
        </is>
      </c>
      <c r="F91" s="338" t="inlineStr">
        <is>
          <t>賣</t>
        </is>
      </c>
      <c r="G91" s="338" t="inlineStr">
        <is>
          <t>-</t>
        </is>
      </c>
      <c r="H91" s="767" t="n">
        <v>1</v>
      </c>
      <c r="I91" s="767" t="n">
        <v>8720</v>
      </c>
      <c r="J91" s="767" t="n">
        <v>0</v>
      </c>
      <c r="K91" s="769" t="n">
        <v>100</v>
      </c>
      <c r="L91" s="769" t="n">
        <v>35</v>
      </c>
      <c r="M91" s="699">
        <f>IF(C91="TXO",J91-SUM(K91:L91),IF(C91="FITX",IF(E91="新倉",-SUM(K91:L91),IF(F91="賣",(I91-I90)*H91*200-SUM(K91:L91),(I90-I91)*H91*200-SUM(K91:L91)))))</f>
        <v/>
      </c>
      <c r="N91" s="686">
        <f>IF(C91="TXO","",IF(C91="FITX",IF(E91="新倉","",IF(F91="賣",(I91-I90),(I90-I91)))))</f>
        <v/>
      </c>
      <c r="O91" s="334">
        <f>ABS(J91)</f>
        <v/>
      </c>
      <c r="P91" s="667" t="n"/>
      <c r="R91" s="61" t="n"/>
      <c r="S91" s="61" t="n"/>
      <c r="T91" s="61" t="n"/>
      <c r="U91" s="61" t="n"/>
      <c r="V91" s="61" t="n"/>
      <c r="W91" s="61" t="n"/>
      <c r="X91" s="61" t="n"/>
      <c r="Y91" s="61" t="n"/>
    </row>
    <row r="92" hidden="1" outlineLevel="2" ht="17.25" customHeight="1" thickBot="1">
      <c r="B92" s="368" t="n">
        <v>42562</v>
      </c>
      <c r="C92" s="337" t="inlineStr">
        <is>
          <t>FITX</t>
        </is>
      </c>
      <c r="D92" s="338" t="inlineStr">
        <is>
          <t>台指07</t>
        </is>
      </c>
      <c r="E92" s="338" t="inlineStr">
        <is>
          <t>平倉</t>
        </is>
      </c>
      <c r="F92" s="338" t="inlineStr">
        <is>
          <t>買</t>
        </is>
      </c>
      <c r="G92" s="338" t="inlineStr">
        <is>
          <t>-</t>
        </is>
      </c>
      <c r="H92" s="767" t="n">
        <v>1</v>
      </c>
      <c r="I92" s="767" t="n">
        <v>8724</v>
      </c>
      <c r="J92" s="767" t="n">
        <v>0</v>
      </c>
      <c r="K92" s="769" t="n">
        <v>100</v>
      </c>
      <c r="L92" s="769" t="n">
        <v>35</v>
      </c>
      <c r="M92" s="699">
        <f>IF(C92="TXO",J92-SUM(K92:L92),IF(C92="FITX",IF(E92="新倉",-SUM(K92:L92),IF(F92="賣",(I92-I91)*H92*200-SUM(K92:L92),(I91-I92)*H92*200-SUM(K92:L92)))))</f>
        <v/>
      </c>
      <c r="N92" s="686">
        <f>IF(C92="TXO","",IF(C92="FITX",IF(E92="新倉","",IF(F92="賣",(I92-I91),(I91-I92)))))</f>
        <v/>
      </c>
      <c r="O92" s="334">
        <f>ABS(J92)</f>
        <v/>
      </c>
      <c r="P92" s="667" t="n"/>
      <c r="R92" s="61" t="n"/>
      <c r="S92" s="61" t="n"/>
      <c r="T92" s="61" t="n"/>
      <c r="U92" s="61" t="n"/>
      <c r="V92" s="61" t="n"/>
      <c r="W92" s="61" t="n"/>
      <c r="X92" s="61" t="n"/>
      <c r="Y92" s="61" t="n"/>
    </row>
    <row r="93" hidden="1" outlineLevel="2" ht="17.25" customHeight="1" thickBot="1">
      <c r="B93" s="368" t="n">
        <v>42562</v>
      </c>
      <c r="C93" s="337" t="inlineStr">
        <is>
          <t>FITX</t>
        </is>
      </c>
      <c r="D93" s="338" t="inlineStr">
        <is>
          <t>台指07</t>
        </is>
      </c>
      <c r="E93" s="338" t="inlineStr">
        <is>
          <t>新倉</t>
        </is>
      </c>
      <c r="F93" s="338" t="inlineStr">
        <is>
          <t>買</t>
        </is>
      </c>
      <c r="G93" s="338" t="inlineStr">
        <is>
          <t>-</t>
        </is>
      </c>
      <c r="H93" s="767" t="n">
        <v>1</v>
      </c>
      <c r="I93" s="767" t="n">
        <v>8722</v>
      </c>
      <c r="J93" s="767" t="n">
        <v>0</v>
      </c>
      <c r="K93" s="769" t="n">
        <v>100</v>
      </c>
      <c r="L93" s="769" t="n">
        <v>35</v>
      </c>
      <c r="M93" s="699">
        <f>IF(C93="TXO",J93-SUM(K93:L93),IF(C93="FITX",IF(E93="新倉",-SUM(K93:L93),IF(F93="賣",(I93-I92)*H93*200-SUM(K93:L93),(I92-I93)*H93*200-SUM(K93:L93)))))</f>
        <v/>
      </c>
      <c r="N93" s="686">
        <f>IF(C93="TXO","",IF(C93="FITX",IF(E93="新倉","",IF(F93="賣",(I93-I92),(I92-I93)))))</f>
        <v/>
      </c>
      <c r="O93" s="334">
        <f>ABS(J93)</f>
        <v/>
      </c>
      <c r="P93" s="667" t="n"/>
      <c r="R93" s="61" t="n"/>
      <c r="S93" s="61" t="n"/>
      <c r="T93" s="61" t="n"/>
      <c r="U93" s="61" t="n"/>
      <c r="V93" s="61" t="n"/>
      <c r="W93" s="61" t="n"/>
      <c r="X93" s="61" t="n"/>
      <c r="Y93" s="61" t="n"/>
    </row>
    <row r="94" hidden="1" outlineLevel="2" ht="17.25" customHeight="1" thickBot="1">
      <c r="B94" s="368" t="n">
        <v>42562</v>
      </c>
      <c r="C94" s="337" t="inlineStr">
        <is>
          <t>FITX</t>
        </is>
      </c>
      <c r="D94" s="338" t="inlineStr">
        <is>
          <t>台指07</t>
        </is>
      </c>
      <c r="E94" s="338" t="inlineStr">
        <is>
          <t>平倉</t>
        </is>
      </c>
      <c r="F94" s="338" t="inlineStr">
        <is>
          <t>賣</t>
        </is>
      </c>
      <c r="G94" s="338" t="inlineStr">
        <is>
          <t>-</t>
        </is>
      </c>
      <c r="H94" s="767" t="n">
        <v>1</v>
      </c>
      <c r="I94" s="767" t="n">
        <v>8735</v>
      </c>
      <c r="J94" s="767" t="n">
        <v>0</v>
      </c>
      <c r="K94" s="769" t="n">
        <v>100</v>
      </c>
      <c r="L94" s="769" t="n">
        <v>35</v>
      </c>
      <c r="M94" s="699">
        <f>IF(C94="TXO",J94-SUM(K94:L94),IF(C94="FITX",IF(E94="新倉",-SUM(K94:L94),IF(F94="賣",(I94-I93)*H94*200-SUM(K94:L94),(I93-I94)*H94*200-SUM(K94:L94)))))</f>
        <v/>
      </c>
      <c r="N94" s="686">
        <f>IF(C94="TXO","",IF(C94="FITX",IF(E94="新倉","",IF(F94="賣",(I94-I93),(I93-I94)))))</f>
        <v/>
      </c>
      <c r="O94" s="334">
        <f>ABS(J94)</f>
        <v/>
      </c>
      <c r="P94" s="667" t="n"/>
      <c r="R94" s="61" t="n"/>
      <c r="S94" s="61" t="n"/>
      <c r="T94" s="61" t="n"/>
      <c r="U94" s="61" t="n"/>
      <c r="V94" s="61" t="n"/>
      <c r="W94" s="61" t="n"/>
      <c r="X94" s="61" t="n"/>
      <c r="Y94" s="61" t="n"/>
    </row>
    <row r="95" hidden="1" outlineLevel="2" ht="17.25" customHeight="1" thickBot="1">
      <c r="B95" s="368" t="n">
        <v>42562</v>
      </c>
      <c r="C95" s="337" t="inlineStr">
        <is>
          <t>FITX</t>
        </is>
      </c>
      <c r="D95" s="338" t="inlineStr">
        <is>
          <t>台指07</t>
        </is>
      </c>
      <c r="E95" s="338" t="inlineStr">
        <is>
          <t>新倉</t>
        </is>
      </c>
      <c r="F95" s="338" t="inlineStr">
        <is>
          <t>買</t>
        </is>
      </c>
      <c r="G95" s="338" t="inlineStr">
        <is>
          <t>-</t>
        </is>
      </c>
      <c r="H95" s="767" t="n">
        <v>1</v>
      </c>
      <c r="I95" s="767" t="n">
        <v>8733</v>
      </c>
      <c r="J95" s="767" t="n">
        <v>0</v>
      </c>
      <c r="K95" s="769" t="n">
        <v>100</v>
      </c>
      <c r="L95" s="769" t="n">
        <v>35</v>
      </c>
      <c r="M95" s="699">
        <f>IF(C95="TXO",J95-SUM(K95:L95),IF(C95="FITX",IF(E95="新倉",-SUM(K95:L95),IF(F95="賣",(I95-I94)*H95*200-SUM(K95:L95),(I94-I95)*H95*200-SUM(K95:L95)))))</f>
        <v/>
      </c>
      <c r="N95" s="686">
        <f>IF(C95="TXO","",IF(C95="FITX",IF(E95="新倉","",IF(F95="賣",(I95-I94),(I94-I95)))))</f>
        <v/>
      </c>
      <c r="O95" s="334">
        <f>ABS(J95)</f>
        <v/>
      </c>
      <c r="P95" s="667" t="n"/>
      <c r="R95" s="61" t="n"/>
      <c r="S95" s="61" t="n"/>
      <c r="T95" s="61" t="n"/>
      <c r="U95" s="61" t="n"/>
      <c r="V95" s="61" t="n"/>
      <c r="W95" s="61" t="n"/>
      <c r="X95" s="61" t="n"/>
      <c r="Y95" s="61" t="n"/>
    </row>
    <row r="96" hidden="1" outlineLevel="2" ht="17.25" customHeight="1" thickBot="1">
      <c r="B96" s="368" t="n">
        <v>42562</v>
      </c>
      <c r="C96" s="337" t="inlineStr">
        <is>
          <t>FITX</t>
        </is>
      </c>
      <c r="D96" s="338" t="inlineStr">
        <is>
          <t>台指07</t>
        </is>
      </c>
      <c r="E96" s="338" t="inlineStr">
        <is>
          <t>平倉</t>
        </is>
      </c>
      <c r="F96" s="338" t="inlineStr">
        <is>
          <t>賣</t>
        </is>
      </c>
      <c r="G96" s="338" t="inlineStr">
        <is>
          <t>-</t>
        </is>
      </c>
      <c r="H96" s="767" t="n">
        <v>1</v>
      </c>
      <c r="I96" s="767" t="n">
        <v>8735</v>
      </c>
      <c r="J96" s="767" t="n">
        <v>0</v>
      </c>
      <c r="K96" s="769" t="n">
        <v>100</v>
      </c>
      <c r="L96" s="769" t="n">
        <v>35</v>
      </c>
      <c r="M96" s="699">
        <f>IF(C96="TXO",J96-SUM(K96:L96),IF(C96="FITX",IF(E96="新倉",-SUM(K96:L96),IF(F96="賣",(I96-I95)*H96*200-SUM(K96:L96),(I95-I96)*H96*200-SUM(K96:L96)))))</f>
        <v/>
      </c>
      <c r="N96" s="686">
        <f>IF(C96="TXO","",IF(C96="FITX",IF(E96="新倉","",IF(F96="賣",(I96-I95),(I95-I96)))))</f>
        <v/>
      </c>
      <c r="O96" s="334">
        <f>ABS(J96)</f>
        <v/>
      </c>
      <c r="P96" s="667" t="n"/>
      <c r="R96" s="61" t="n"/>
      <c r="S96" s="61" t="n"/>
      <c r="T96" s="61" t="n"/>
      <c r="U96" s="61" t="n"/>
      <c r="V96" s="61" t="n"/>
      <c r="W96" s="61" t="n"/>
      <c r="X96" s="61" t="n"/>
      <c r="Y96" s="61" t="n"/>
    </row>
    <row r="97" hidden="1" outlineLevel="2" ht="17.25" customHeight="1" thickBot="1">
      <c r="B97" s="368" t="n">
        <v>42562</v>
      </c>
      <c r="C97" s="337" t="inlineStr">
        <is>
          <t>TXO</t>
        </is>
      </c>
      <c r="D97" s="338" t="inlineStr">
        <is>
          <t>台指選 07 08500 P</t>
        </is>
      </c>
      <c r="E97" s="338" t="inlineStr">
        <is>
          <t>新倉</t>
        </is>
      </c>
      <c r="F97" s="338" t="inlineStr">
        <is>
          <t>買</t>
        </is>
      </c>
      <c r="G97" s="338" t="inlineStr">
        <is>
          <t>-</t>
        </is>
      </c>
      <c r="H97" s="767" t="n">
        <v>1</v>
      </c>
      <c r="I97" s="767" t="n">
        <v>15</v>
      </c>
      <c r="J97" s="767" t="n">
        <v>-750</v>
      </c>
      <c r="K97" s="769" t="n">
        <v>40</v>
      </c>
      <c r="L97" s="769" t="n">
        <v>1</v>
      </c>
      <c r="M97" s="699">
        <f>IF(C97="TXO",J97-SUM(K97:L97),IF(C97="FITX",IF(E97="新倉",-SUM(K97:L97),IF(F97="賣",(I97-I96)*H97*200-SUM(K97:L97),(I96-I97)*H97*200-SUM(K97:L97)))))</f>
        <v/>
      </c>
      <c r="N97" s="686">
        <f>IF(C97="TXO","",IF(C97="FITX",IF(E97="新倉","",IF(F97="賣",(I97-I96),(I96-I97)))))</f>
        <v/>
      </c>
      <c r="O97" s="334">
        <f>ABS(J97)</f>
        <v/>
      </c>
      <c r="P97" s="667" t="n"/>
      <c r="R97" s="61" t="n"/>
      <c r="S97" s="61" t="n"/>
      <c r="T97" s="61" t="n"/>
      <c r="U97" s="61" t="n"/>
      <c r="V97" s="61" t="n"/>
      <c r="W97" s="61" t="n"/>
      <c r="X97" s="61" t="n"/>
      <c r="Y97" s="61" t="n"/>
    </row>
    <row r="98" hidden="1" outlineLevel="2" ht="17.25" customHeight="1" thickBot="1">
      <c r="B98" s="368" t="n">
        <v>42564</v>
      </c>
      <c r="C98" s="337" t="inlineStr">
        <is>
          <t>TXO</t>
        </is>
      </c>
      <c r="D98" s="338" t="inlineStr">
        <is>
          <t>台指選 07 08500 P</t>
        </is>
      </c>
      <c r="E98" s="338" t="inlineStr">
        <is>
          <t>平倉</t>
        </is>
      </c>
      <c r="F98" s="338" t="inlineStr">
        <is>
          <t>賣</t>
        </is>
      </c>
      <c r="G98" s="338" t="inlineStr">
        <is>
          <t>-</t>
        </is>
      </c>
      <c r="H98" s="767" t="n">
        <v>1</v>
      </c>
      <c r="I98" s="767" t="n">
        <v>11.5</v>
      </c>
      <c r="J98" s="767" t="n">
        <v>575</v>
      </c>
      <c r="K98" s="769" t="n">
        <v>40</v>
      </c>
      <c r="L98" s="769" t="n">
        <v>1</v>
      </c>
      <c r="M98" s="699">
        <f>IF(C98="TXO",J98-SUM(K98:L98),IF(C98="FITX",IF(E98="新倉",-SUM(K98:L98),IF(F98="賣",(I98-I97)*H98*200-SUM(K98:L98),(I97-I98)*H98*200-SUM(K98:L98)))))</f>
        <v/>
      </c>
      <c r="N98" s="686">
        <f>IF(C98="TXO","",IF(C98="FITX",IF(E98="新倉","",IF(F98="賣",(I98-I97),(I97-I98)))))</f>
        <v/>
      </c>
      <c r="O98" s="334">
        <f>ABS(J98)</f>
        <v/>
      </c>
      <c r="P98" s="667" t="n"/>
      <c r="R98" s="61" t="n"/>
      <c r="S98" s="61" t="n"/>
      <c r="T98" s="61" t="n"/>
      <c r="U98" s="61" t="n"/>
      <c r="V98" s="61" t="n"/>
      <c r="W98" s="61" t="n"/>
      <c r="X98" s="61" t="n"/>
      <c r="Y98" s="61" t="n"/>
    </row>
    <row r="99" hidden="1" outlineLevel="1" collapsed="1" ht="17.25" customHeight="1" thickBot="1">
      <c r="B99" s="369" t="n">
        <v>42563</v>
      </c>
      <c r="C99" s="370" t="inlineStr">
        <is>
          <t>FITX</t>
        </is>
      </c>
      <c r="D99" s="371" t="inlineStr">
        <is>
          <t>台指07</t>
        </is>
      </c>
      <c r="E99" s="371" t="inlineStr">
        <is>
          <t>新倉</t>
        </is>
      </c>
      <c r="F99" s="371" t="inlineStr">
        <is>
          <t>買</t>
        </is>
      </c>
      <c r="G99" s="371" t="inlineStr">
        <is>
          <t>-</t>
        </is>
      </c>
      <c r="H99" s="785" t="n">
        <v>1</v>
      </c>
      <c r="I99" s="785" t="n">
        <v>8754</v>
      </c>
      <c r="J99" s="785" t="n">
        <v>0</v>
      </c>
      <c r="K99" s="786" t="n">
        <v>100</v>
      </c>
      <c r="L99" s="786" t="n">
        <v>35</v>
      </c>
      <c r="M99" s="743">
        <f>IF(C99="TXO",J99-SUM(K99:L99),IF(C99="FITX",IF(E99="新倉",-SUM(K99:L99),IF(F99="賣",(I99-I98)*H99*200-SUM(K99:L99),(I98-I99)*H99*200-SUM(K99:L99)))))</f>
        <v/>
      </c>
      <c r="N99" s="780">
        <f>IF(C99="TXO","",IF(C99="FITX",IF(E99="新倉","",IF(F99="賣",(I99-I98),(I98-I99)))))</f>
        <v/>
      </c>
      <c r="O99" s="334">
        <f>ABS(J99)</f>
        <v/>
      </c>
      <c r="P99" s="764">
        <f>SUM(M99:M112)</f>
        <v/>
      </c>
      <c r="R99" s="61" t="n"/>
      <c r="S99" s="61" t="n"/>
      <c r="T99" s="61" t="n"/>
      <c r="U99" s="61" t="n"/>
      <c r="V99" s="61" t="n"/>
      <c r="W99" s="61" t="n"/>
      <c r="X99" s="61" t="n"/>
      <c r="Y99" s="61" t="n"/>
    </row>
    <row r="100" hidden="1" outlineLevel="2" ht="17.25" customHeight="1" thickBot="1">
      <c r="B100" s="369" t="n">
        <v>42563</v>
      </c>
      <c r="C100" s="370" t="inlineStr">
        <is>
          <t>FITX</t>
        </is>
      </c>
      <c r="D100" s="371" t="inlineStr">
        <is>
          <t>台指07</t>
        </is>
      </c>
      <c r="E100" s="371" t="inlineStr">
        <is>
          <t>平倉</t>
        </is>
      </c>
      <c r="F100" s="371" t="inlineStr">
        <is>
          <t>賣</t>
        </is>
      </c>
      <c r="G100" s="371" t="inlineStr">
        <is>
          <t>-</t>
        </is>
      </c>
      <c r="H100" s="785" t="n">
        <v>1</v>
      </c>
      <c r="I100" s="785" t="n">
        <v>8757</v>
      </c>
      <c r="J100" s="785" t="n">
        <v>0</v>
      </c>
      <c r="K100" s="786" t="n">
        <v>100</v>
      </c>
      <c r="L100" s="786" t="n">
        <v>35</v>
      </c>
      <c r="M100" s="743">
        <f>IF(C100="TXO",J100-SUM(K100:L100),IF(C100="FITX",IF(E100="新倉",-SUM(K100:L100),IF(F100="賣",(I100-I99)*H100*200-SUM(K100:L100),(I99-I100)*H100*200-SUM(K100:L100)))))</f>
        <v/>
      </c>
      <c r="N100" s="780">
        <f>IF(C100="TXO","",IF(C100="FITX",IF(E100="新倉","",IF(F100="賣",(I100-I99),(I99-I100)))))</f>
        <v/>
      </c>
      <c r="O100" s="334">
        <f>ABS(J100)</f>
        <v/>
      </c>
      <c r="P100" s="764" t="n"/>
      <c r="R100" s="61" t="n"/>
      <c r="S100" s="61" t="n"/>
      <c r="T100" s="61" t="n"/>
      <c r="U100" s="61" t="n"/>
      <c r="V100" s="61" t="n"/>
      <c r="W100" s="61" t="n"/>
      <c r="X100" s="61" t="n"/>
      <c r="Y100" s="61" t="n"/>
    </row>
    <row r="101" hidden="1" outlineLevel="2" ht="17.25" customHeight="1" thickBot="1">
      <c r="B101" s="369" t="n">
        <v>42563</v>
      </c>
      <c r="C101" s="370" t="inlineStr">
        <is>
          <t>FITX</t>
        </is>
      </c>
      <c r="D101" s="371" t="inlineStr">
        <is>
          <t>台指07</t>
        </is>
      </c>
      <c r="E101" s="371" t="inlineStr">
        <is>
          <t>新倉</t>
        </is>
      </c>
      <c r="F101" s="371" t="inlineStr">
        <is>
          <t>賣</t>
        </is>
      </c>
      <c r="G101" s="371" t="inlineStr">
        <is>
          <t>-</t>
        </is>
      </c>
      <c r="H101" s="785" t="n">
        <v>1</v>
      </c>
      <c r="I101" s="785" t="n">
        <v>8774</v>
      </c>
      <c r="J101" s="785" t="n">
        <v>0</v>
      </c>
      <c r="K101" s="786" t="n">
        <v>100</v>
      </c>
      <c r="L101" s="786" t="n">
        <v>35</v>
      </c>
      <c r="M101" s="743">
        <f>IF(C101="TXO",J101-SUM(K101:L101),IF(C101="FITX",IF(E101="新倉",-SUM(K101:L101),IF(F101="賣",(I101-I100)*H101*200-SUM(K101:L101),(I100-I101)*H101*200-SUM(K101:L101)))))</f>
        <v/>
      </c>
      <c r="N101" s="780">
        <f>IF(C101="TXO","",IF(C101="FITX",IF(E101="新倉","",IF(F101="賣",(I101-I100),(I100-I101)))))</f>
        <v/>
      </c>
      <c r="O101" s="334">
        <f>ABS(J101)</f>
        <v/>
      </c>
      <c r="P101" s="764" t="n"/>
      <c r="R101" s="61" t="n"/>
      <c r="S101" s="61" t="n"/>
      <c r="T101" s="61" t="n"/>
      <c r="U101" s="61" t="n"/>
      <c r="V101" s="61" t="n"/>
      <c r="W101" s="61" t="n"/>
      <c r="X101" s="61" t="n"/>
      <c r="Y101" s="61" t="n"/>
    </row>
    <row r="102" hidden="1" outlineLevel="2" ht="17.25" customHeight="1" thickBot="1">
      <c r="B102" s="369" t="n">
        <v>42563</v>
      </c>
      <c r="C102" s="370" t="inlineStr">
        <is>
          <t>FITX</t>
        </is>
      </c>
      <c r="D102" s="371" t="inlineStr">
        <is>
          <t>台指07</t>
        </is>
      </c>
      <c r="E102" s="371" t="inlineStr">
        <is>
          <t>平倉</t>
        </is>
      </c>
      <c r="F102" s="371" t="inlineStr">
        <is>
          <t>買</t>
        </is>
      </c>
      <c r="G102" s="371" t="inlineStr">
        <is>
          <t>-</t>
        </is>
      </c>
      <c r="H102" s="785" t="n">
        <v>1</v>
      </c>
      <c r="I102" s="785" t="n">
        <v>8780</v>
      </c>
      <c r="J102" s="785" t="n">
        <v>0</v>
      </c>
      <c r="K102" s="786" t="n">
        <v>100</v>
      </c>
      <c r="L102" s="786" t="n">
        <v>35</v>
      </c>
      <c r="M102" s="743">
        <f>IF(C102="TXO",J102-SUM(K102:L102),IF(C102="FITX",IF(E102="新倉",-SUM(K102:L102),IF(F102="賣",(I102-I101)*H102*200-SUM(K102:L102),(I101-I102)*H102*200-SUM(K102:L102)))))</f>
        <v/>
      </c>
      <c r="N102" s="780">
        <f>IF(C102="TXO","",IF(C102="FITX",IF(E102="新倉","",IF(F102="賣",(I102-I101),(I101-I102)))))</f>
        <v/>
      </c>
      <c r="O102" s="334">
        <f>ABS(J102)</f>
        <v/>
      </c>
      <c r="P102" s="764" t="n"/>
      <c r="R102" s="61" t="n"/>
      <c r="S102" s="61" t="n"/>
      <c r="T102" s="61" t="n"/>
      <c r="U102" s="61" t="n"/>
      <c r="V102" s="61" t="n"/>
      <c r="W102" s="61" t="n"/>
      <c r="X102" s="61" t="n"/>
      <c r="Y102" s="61" t="n"/>
    </row>
    <row r="103" hidden="1" outlineLevel="2" ht="17.25" customHeight="1" thickBot="1">
      <c r="B103" s="369" t="n">
        <v>42563</v>
      </c>
      <c r="C103" s="370" t="inlineStr">
        <is>
          <t>FITX</t>
        </is>
      </c>
      <c r="D103" s="371" t="inlineStr">
        <is>
          <t>台指07</t>
        </is>
      </c>
      <c r="E103" s="371" t="inlineStr">
        <is>
          <t>新倉</t>
        </is>
      </c>
      <c r="F103" s="371" t="inlineStr">
        <is>
          <t>買</t>
        </is>
      </c>
      <c r="G103" s="371" t="inlineStr">
        <is>
          <t>-</t>
        </is>
      </c>
      <c r="H103" s="785" t="n">
        <v>1</v>
      </c>
      <c r="I103" s="785" t="n">
        <v>8779</v>
      </c>
      <c r="J103" s="785" t="n">
        <v>0</v>
      </c>
      <c r="K103" s="786" t="n">
        <v>100</v>
      </c>
      <c r="L103" s="786" t="n">
        <v>35</v>
      </c>
      <c r="M103" s="743">
        <f>IF(C103="TXO",J103-SUM(K103:L103),IF(C103="FITX",IF(E103="新倉",-SUM(K103:L103),IF(F103="賣",(I103-I102)*H103*200-SUM(K103:L103),(I102-I103)*H103*200-SUM(K103:L103)))))</f>
        <v/>
      </c>
      <c r="N103" s="780">
        <f>IF(C103="TXO","",IF(C103="FITX",IF(E103="新倉","",IF(F103="賣",(I103-I102),(I102-I103)))))</f>
        <v/>
      </c>
      <c r="O103" s="334">
        <f>ABS(J103)</f>
        <v/>
      </c>
      <c r="P103" s="764" t="n"/>
      <c r="R103" s="61" t="n"/>
      <c r="S103" s="61" t="n"/>
      <c r="T103" s="61" t="n"/>
      <c r="U103" s="61" t="n"/>
      <c r="V103" s="61" t="n"/>
      <c r="W103" s="61" t="n"/>
      <c r="X103" s="61" t="n"/>
      <c r="Y103" s="61" t="n"/>
    </row>
    <row r="104" hidden="1" outlineLevel="2" ht="17.25" customHeight="1" thickBot="1">
      <c r="B104" s="369" t="n">
        <v>42563</v>
      </c>
      <c r="C104" s="370" t="inlineStr">
        <is>
          <t>FITX</t>
        </is>
      </c>
      <c r="D104" s="371" t="inlineStr">
        <is>
          <t>台指07</t>
        </is>
      </c>
      <c r="E104" s="371" t="inlineStr">
        <is>
          <t>平倉</t>
        </is>
      </c>
      <c r="F104" s="371" t="inlineStr">
        <is>
          <t>賣</t>
        </is>
      </c>
      <c r="G104" s="371" t="inlineStr">
        <is>
          <t>-</t>
        </is>
      </c>
      <c r="H104" s="785" t="n">
        <v>1</v>
      </c>
      <c r="I104" s="785" t="n">
        <v>8779</v>
      </c>
      <c r="J104" s="785" t="n">
        <v>0</v>
      </c>
      <c r="K104" s="786" t="n">
        <v>100</v>
      </c>
      <c r="L104" s="786" t="n">
        <v>35</v>
      </c>
      <c r="M104" s="743">
        <f>IF(C104="TXO",J104-SUM(K104:L104),IF(C104="FITX",IF(E104="新倉",-SUM(K104:L104),IF(F104="賣",(I104-I103)*H104*200-SUM(K104:L104),(I103-I104)*H104*200-SUM(K104:L104)))))</f>
        <v/>
      </c>
      <c r="N104" s="780">
        <f>IF(C104="TXO","",IF(C104="FITX",IF(E104="新倉","",IF(F104="賣",(I104-I103),(I103-I104)))))</f>
        <v/>
      </c>
      <c r="O104" s="334">
        <f>ABS(J104)</f>
        <v/>
      </c>
      <c r="P104" s="764" t="n"/>
      <c r="R104" s="61" t="n"/>
      <c r="S104" s="61" t="n"/>
      <c r="T104" s="61" t="n"/>
      <c r="U104" s="61" t="n"/>
      <c r="V104" s="61" t="n"/>
      <c r="W104" s="61" t="n"/>
      <c r="X104" s="61" t="n"/>
      <c r="Y104" s="61" t="n"/>
    </row>
    <row r="105" hidden="1" outlineLevel="2" ht="17.25" customHeight="1" thickBot="1">
      <c r="B105" s="369" t="n">
        <v>42563</v>
      </c>
      <c r="C105" s="370" t="inlineStr">
        <is>
          <t>FITX</t>
        </is>
      </c>
      <c r="D105" s="371" t="inlineStr">
        <is>
          <t>台指07</t>
        </is>
      </c>
      <c r="E105" s="371" t="inlineStr">
        <is>
          <t>新倉</t>
        </is>
      </c>
      <c r="F105" s="371" t="inlineStr">
        <is>
          <t>賣</t>
        </is>
      </c>
      <c r="G105" s="371" t="inlineStr">
        <is>
          <t>-</t>
        </is>
      </c>
      <c r="H105" s="785" t="n">
        <v>1</v>
      </c>
      <c r="I105" s="785" t="n">
        <v>8788</v>
      </c>
      <c r="J105" s="785" t="n">
        <v>0</v>
      </c>
      <c r="K105" s="786" t="n">
        <v>100</v>
      </c>
      <c r="L105" s="786" t="n">
        <v>35</v>
      </c>
      <c r="M105" s="743">
        <f>IF(C105="TXO",J105-SUM(K105:L105),IF(C105="FITX",IF(E105="新倉",-SUM(K105:L105),IF(F105="賣",(I105-I104)*H105*200-SUM(K105:L105),(I104-I105)*H105*200-SUM(K105:L105)))))</f>
        <v/>
      </c>
      <c r="N105" s="780">
        <f>IF(C105="TXO","",IF(C105="FITX",IF(E105="新倉","",IF(F105="賣",(I105-I104),(I104-I105)))))</f>
        <v/>
      </c>
      <c r="O105" s="334">
        <f>ABS(J105)</f>
        <v/>
      </c>
      <c r="P105" s="764" t="n"/>
      <c r="R105" s="61" t="n"/>
      <c r="S105" s="61" t="n"/>
      <c r="T105" s="61" t="n"/>
      <c r="U105" s="61" t="n"/>
      <c r="V105" s="61" t="n"/>
      <c r="W105" s="61" t="n"/>
      <c r="X105" s="61" t="n"/>
      <c r="Y105" s="61" t="n"/>
    </row>
    <row r="106" hidden="1" outlineLevel="2" ht="17.25" customHeight="1" thickBot="1">
      <c r="B106" s="369" t="n">
        <v>42563</v>
      </c>
      <c r="C106" s="370" t="inlineStr">
        <is>
          <t>FITX</t>
        </is>
      </c>
      <c r="D106" s="371" t="inlineStr">
        <is>
          <t>台指07</t>
        </is>
      </c>
      <c r="E106" s="371" t="inlineStr">
        <is>
          <t>平倉</t>
        </is>
      </c>
      <c r="F106" s="371" t="inlineStr">
        <is>
          <t>買</t>
        </is>
      </c>
      <c r="G106" s="371" t="inlineStr">
        <is>
          <t>-</t>
        </is>
      </c>
      <c r="H106" s="785" t="n">
        <v>1</v>
      </c>
      <c r="I106" s="785" t="n">
        <v>8785</v>
      </c>
      <c r="J106" s="785" t="n">
        <v>0</v>
      </c>
      <c r="K106" s="786" t="n">
        <v>100</v>
      </c>
      <c r="L106" s="786" t="n">
        <v>35</v>
      </c>
      <c r="M106" s="743">
        <f>IF(C106="TXO",J106-SUM(K106:L106),IF(C106="FITX",IF(E106="新倉",-SUM(K106:L106),IF(F106="賣",(I106-I105)*H106*200-SUM(K106:L106),(I105-I106)*H106*200-SUM(K106:L106)))))</f>
        <v/>
      </c>
      <c r="N106" s="780">
        <f>IF(C106="TXO","",IF(C106="FITX",IF(E106="新倉","",IF(F106="賣",(I106-I105),(I105-I106)))))</f>
        <v/>
      </c>
      <c r="O106" s="334">
        <f>ABS(J106)</f>
        <v/>
      </c>
      <c r="P106" s="764" t="n"/>
      <c r="R106" s="61" t="n"/>
      <c r="S106" s="61" t="n"/>
      <c r="T106" s="61" t="n"/>
      <c r="U106" s="61" t="n"/>
      <c r="V106" s="61" t="n"/>
      <c r="W106" s="61" t="n"/>
      <c r="X106" s="61" t="n"/>
      <c r="Y106" s="61" t="n"/>
    </row>
    <row r="107" hidden="1" outlineLevel="2" ht="17.25" customHeight="1" thickBot="1">
      <c r="B107" s="369" t="n">
        <v>42563</v>
      </c>
      <c r="C107" s="370" t="inlineStr">
        <is>
          <t>FITX</t>
        </is>
      </c>
      <c r="D107" s="371" t="inlineStr">
        <is>
          <t>台指07</t>
        </is>
      </c>
      <c r="E107" s="371" t="inlineStr">
        <is>
          <t>新倉</t>
        </is>
      </c>
      <c r="F107" s="371" t="inlineStr">
        <is>
          <t>買</t>
        </is>
      </c>
      <c r="G107" s="371" t="inlineStr">
        <is>
          <t>-</t>
        </is>
      </c>
      <c r="H107" s="785" t="n">
        <v>1</v>
      </c>
      <c r="I107" s="785" t="n">
        <v>8787</v>
      </c>
      <c r="J107" s="785" t="n">
        <v>0</v>
      </c>
      <c r="K107" s="786" t="n">
        <v>100</v>
      </c>
      <c r="L107" s="786" t="n">
        <v>35</v>
      </c>
      <c r="M107" s="743">
        <f>IF(C107="TXO",J107-SUM(K107:L107),IF(C107="FITX",IF(E107="新倉",-SUM(K107:L107),IF(F107="賣",(I107-I106)*H107*200-SUM(K107:L107),(I106-I107)*H107*200-SUM(K107:L107)))))</f>
        <v/>
      </c>
      <c r="N107" s="780">
        <f>IF(C107="TXO","",IF(C107="FITX",IF(E107="新倉","",IF(F107="賣",(I107-I106),(I106-I107)))))</f>
        <v/>
      </c>
      <c r="O107" s="334">
        <f>ABS(J107)</f>
        <v/>
      </c>
      <c r="P107" s="764" t="n"/>
      <c r="R107" s="61" t="n"/>
      <c r="S107" s="61" t="n"/>
      <c r="T107" s="61" t="n"/>
      <c r="U107" s="61" t="n"/>
      <c r="V107" s="61" t="n"/>
      <c r="W107" s="61" t="n"/>
      <c r="X107" s="61" t="n"/>
      <c r="Y107" s="61" t="n"/>
    </row>
    <row r="108" hidden="1" outlineLevel="2" ht="17.25" customHeight="1" thickBot="1">
      <c r="B108" s="369" t="n">
        <v>42563</v>
      </c>
      <c r="C108" s="370" t="inlineStr">
        <is>
          <t>FITX</t>
        </is>
      </c>
      <c r="D108" s="371" t="inlineStr">
        <is>
          <t>台指07</t>
        </is>
      </c>
      <c r="E108" s="371" t="inlineStr">
        <is>
          <t>平倉</t>
        </is>
      </c>
      <c r="F108" s="371" t="inlineStr">
        <is>
          <t>賣</t>
        </is>
      </c>
      <c r="G108" s="371" t="inlineStr">
        <is>
          <t>-</t>
        </is>
      </c>
      <c r="H108" s="785" t="n">
        <v>1</v>
      </c>
      <c r="I108" s="785" t="n">
        <v>8784</v>
      </c>
      <c r="J108" s="785" t="n">
        <v>0</v>
      </c>
      <c r="K108" s="786" t="n">
        <v>100</v>
      </c>
      <c r="L108" s="786" t="n">
        <v>35</v>
      </c>
      <c r="M108" s="743">
        <f>IF(C108="TXO",J108-SUM(K108:L108),IF(C108="FITX",IF(E108="新倉",-SUM(K108:L108),IF(F108="賣",(I108-I107)*H108*200-SUM(K108:L108),(I107-I108)*H108*200-SUM(K108:L108)))))</f>
        <v/>
      </c>
      <c r="N108" s="780">
        <f>IF(C108="TXO","",IF(C108="FITX",IF(E108="新倉","",IF(F108="賣",(I108-I107),(I107-I108)))))</f>
        <v/>
      </c>
      <c r="O108" s="334">
        <f>ABS(J108)</f>
        <v/>
      </c>
      <c r="P108" s="764" t="n"/>
      <c r="R108" s="61" t="n"/>
      <c r="S108" s="61" t="n"/>
      <c r="T108" s="61" t="n"/>
      <c r="U108" s="61" t="n"/>
      <c r="V108" s="61" t="n"/>
      <c r="W108" s="61" t="n"/>
      <c r="X108" s="61" t="n"/>
      <c r="Y108" s="61" t="n"/>
    </row>
    <row r="109" hidden="1" outlineLevel="2" ht="17.25" customHeight="1" thickBot="1">
      <c r="B109" s="369" t="n">
        <v>42563</v>
      </c>
      <c r="C109" s="370" t="inlineStr">
        <is>
          <t>FITX</t>
        </is>
      </c>
      <c r="D109" s="371" t="inlineStr">
        <is>
          <t>台指07</t>
        </is>
      </c>
      <c r="E109" s="371" t="inlineStr">
        <is>
          <t>新倉</t>
        </is>
      </c>
      <c r="F109" s="371" t="inlineStr">
        <is>
          <t>買</t>
        </is>
      </c>
      <c r="G109" s="371" t="inlineStr">
        <is>
          <t>-</t>
        </is>
      </c>
      <c r="H109" s="785" t="n">
        <v>1</v>
      </c>
      <c r="I109" s="785" t="n">
        <v>8781</v>
      </c>
      <c r="J109" s="785" t="n">
        <v>0</v>
      </c>
      <c r="K109" s="786" t="n">
        <v>100</v>
      </c>
      <c r="L109" s="786" t="n">
        <v>35</v>
      </c>
      <c r="M109" s="743">
        <f>IF(C109="TXO",J109-SUM(K109:L109),IF(C109="FITX",IF(E109="新倉",-SUM(K109:L109),IF(F109="賣",(I109-I108)*H109*200-SUM(K109:L109),(I108-I109)*H109*200-SUM(K109:L109)))))</f>
        <v/>
      </c>
      <c r="N109" s="780">
        <f>IF(C109="TXO","",IF(C109="FITX",IF(E109="新倉","",IF(F109="賣",(I109-I108),(I108-I109)))))</f>
        <v/>
      </c>
      <c r="O109" s="334">
        <f>ABS(J109)</f>
        <v/>
      </c>
      <c r="P109" s="764" t="n"/>
      <c r="R109" s="61" t="n"/>
      <c r="S109" s="61" t="n"/>
      <c r="T109" s="61" t="n"/>
      <c r="U109" s="61" t="n"/>
      <c r="V109" s="61" t="n"/>
      <c r="W109" s="61" t="n"/>
      <c r="X109" s="61" t="n"/>
      <c r="Y109" s="61" t="n"/>
    </row>
    <row r="110" hidden="1" outlineLevel="2" ht="17.25" customHeight="1" thickBot="1">
      <c r="B110" s="369" t="n">
        <v>42563</v>
      </c>
      <c r="C110" s="370" t="inlineStr">
        <is>
          <t>FITX</t>
        </is>
      </c>
      <c r="D110" s="371" t="inlineStr">
        <is>
          <t>台指07</t>
        </is>
      </c>
      <c r="E110" s="371" t="inlineStr">
        <is>
          <t>平倉</t>
        </is>
      </c>
      <c r="F110" s="371" t="inlineStr">
        <is>
          <t>賣</t>
        </is>
      </c>
      <c r="G110" s="371" t="inlineStr">
        <is>
          <t>-</t>
        </is>
      </c>
      <c r="H110" s="785" t="n">
        <v>1</v>
      </c>
      <c r="I110" s="785" t="n">
        <v>8786</v>
      </c>
      <c r="J110" s="785" t="n">
        <v>0</v>
      </c>
      <c r="K110" s="786" t="n">
        <v>100</v>
      </c>
      <c r="L110" s="786" t="n">
        <v>35</v>
      </c>
      <c r="M110" s="743">
        <f>IF(C110="TXO",J110-SUM(K110:L110),IF(C110="FITX",IF(E110="新倉",-SUM(K110:L110),IF(F110="賣",(I110-I109)*H110*200-SUM(K110:L110),(I109-I110)*H110*200-SUM(K110:L110)))))</f>
        <v/>
      </c>
      <c r="N110" s="780">
        <f>IF(C110="TXO","",IF(C110="FITX",IF(E110="新倉","",IF(F110="賣",(I110-I109),(I109-I110)))))</f>
        <v/>
      </c>
      <c r="O110" s="334">
        <f>ABS(J110)</f>
        <v/>
      </c>
      <c r="P110" s="764" t="n"/>
      <c r="R110" s="61" t="n"/>
      <c r="S110" s="61" t="n"/>
      <c r="T110" s="61" t="n"/>
      <c r="U110" s="61" t="n"/>
      <c r="V110" s="61" t="n"/>
      <c r="W110" s="61" t="n"/>
      <c r="X110" s="61" t="n"/>
      <c r="Y110" s="61" t="n"/>
    </row>
    <row r="111" hidden="1" outlineLevel="2" ht="17.25" customHeight="1" thickBot="1">
      <c r="B111" s="369" t="n">
        <v>42563</v>
      </c>
      <c r="C111" s="370" t="inlineStr">
        <is>
          <t>FITX</t>
        </is>
      </c>
      <c r="D111" s="371" t="inlineStr">
        <is>
          <t>台指07</t>
        </is>
      </c>
      <c r="E111" s="371" t="inlineStr">
        <is>
          <t>新倉</t>
        </is>
      </c>
      <c r="F111" s="371" t="inlineStr">
        <is>
          <t>賣</t>
        </is>
      </c>
      <c r="G111" s="371" t="inlineStr">
        <is>
          <t>-</t>
        </is>
      </c>
      <c r="H111" s="785" t="n">
        <v>1</v>
      </c>
      <c r="I111" s="785" t="n">
        <v>8779</v>
      </c>
      <c r="J111" s="785" t="n">
        <v>0</v>
      </c>
      <c r="K111" s="786" t="n">
        <v>100</v>
      </c>
      <c r="L111" s="786" t="n">
        <v>35</v>
      </c>
      <c r="M111" s="743">
        <f>IF(C111="TXO",J111-SUM(K111:L111),IF(C111="FITX",IF(E111="新倉",-SUM(K111:L111),IF(F111="賣",(I111-I110)*H111*200-SUM(K111:L111),(I110-I111)*H111*200-SUM(K111:L111)))))</f>
        <v/>
      </c>
      <c r="N111" s="780">
        <f>IF(C111="TXO","",IF(C111="FITX",IF(E111="新倉","",IF(F111="賣",(I111-I110),(I110-I111)))))</f>
        <v/>
      </c>
      <c r="O111" s="334">
        <f>ABS(J111)</f>
        <v/>
      </c>
      <c r="P111" s="764" t="n"/>
      <c r="R111" s="61" t="n"/>
      <c r="S111" s="61" t="n"/>
      <c r="T111" s="61" t="n"/>
      <c r="U111" s="61" t="n"/>
      <c r="V111" s="61" t="n"/>
      <c r="W111" s="61" t="n"/>
      <c r="X111" s="61" t="n"/>
      <c r="Y111" s="61" t="n"/>
    </row>
    <row r="112" hidden="1" outlineLevel="2" ht="17.25" customHeight="1" thickBot="1">
      <c r="B112" s="369" t="n">
        <v>42563</v>
      </c>
      <c r="C112" s="370" t="inlineStr">
        <is>
          <t>FITX</t>
        </is>
      </c>
      <c r="D112" s="371" t="inlineStr">
        <is>
          <t>台指07</t>
        </is>
      </c>
      <c r="E112" s="371" t="inlineStr">
        <is>
          <t>平倉</t>
        </is>
      </c>
      <c r="F112" s="371" t="inlineStr">
        <is>
          <t>買</t>
        </is>
      </c>
      <c r="G112" s="371" t="inlineStr">
        <is>
          <t>-</t>
        </is>
      </c>
      <c r="H112" s="785" t="n">
        <v>1</v>
      </c>
      <c r="I112" s="785" t="n">
        <v>8781</v>
      </c>
      <c r="J112" s="785" t="n">
        <v>0</v>
      </c>
      <c r="K112" s="786" t="n">
        <v>100</v>
      </c>
      <c r="L112" s="786" t="n">
        <v>35</v>
      </c>
      <c r="M112" s="743">
        <f>IF(C112="TXO",J112-SUM(K112:L112),IF(C112="FITX",IF(E112="新倉",-SUM(K112:L112),IF(F112="賣",(I112-I111)*H112*200-SUM(K112:L112),(I111-I112)*H112*200-SUM(K112:L112)))))</f>
        <v/>
      </c>
      <c r="N112" s="780">
        <f>IF(C112="TXO","",IF(C112="FITX",IF(E112="新倉","",IF(F112="賣",(I112-I111),(I111-I112)))))</f>
        <v/>
      </c>
      <c r="O112" s="334">
        <f>ABS(J112)</f>
        <v/>
      </c>
      <c r="P112" s="764" t="n"/>
      <c r="R112" s="61" t="n"/>
      <c r="S112" s="61" t="n"/>
      <c r="T112" s="61" t="n"/>
      <c r="U112" s="61" t="n"/>
      <c r="V112" s="61" t="n"/>
      <c r="W112" s="61" t="n"/>
      <c r="X112" s="61" t="n"/>
      <c r="Y112" s="61" t="n"/>
    </row>
    <row r="113" hidden="1" outlineLevel="1" collapsed="1" ht="17.25" customHeight="1" thickBot="1">
      <c r="B113" s="368" t="n">
        <v>42564</v>
      </c>
      <c r="C113" s="337" t="inlineStr">
        <is>
          <t>TXO</t>
        </is>
      </c>
      <c r="D113" s="338" t="inlineStr">
        <is>
          <t>台指選 07 08800 P</t>
        </is>
      </c>
      <c r="E113" s="338" t="inlineStr">
        <is>
          <t>新倉</t>
        </is>
      </c>
      <c r="F113" s="338" t="inlineStr">
        <is>
          <t>買</t>
        </is>
      </c>
      <c r="G113" s="338" t="inlineStr">
        <is>
          <t>-</t>
        </is>
      </c>
      <c r="H113" s="767" t="n">
        <v>1</v>
      </c>
      <c r="I113" s="767" t="n">
        <v>53</v>
      </c>
      <c r="J113" s="767" t="n">
        <v>-2650</v>
      </c>
      <c r="K113" s="769" t="n">
        <v>40</v>
      </c>
      <c r="L113" s="769" t="n">
        <v>3</v>
      </c>
      <c r="M113" s="699">
        <f>IF(C113="TXO",J113-SUM(K113:L113),IF(C113="FITX",IF(E113="新倉",-SUM(K113:L113),IF(F113="賣",(I113-I112)*H113*200-SUM(K113:L113),(I112-I113)*H113*200-SUM(K113:L113)))))</f>
        <v/>
      </c>
      <c r="N113" s="686">
        <f>IF(C113="TXO","",IF(C113="FITX",IF(E113="新倉","",IF(F113="賣",(I113-I112),(I112-I113)))))</f>
        <v/>
      </c>
      <c r="O113" s="334">
        <f>ABS(J113)</f>
        <v/>
      </c>
      <c r="P113" s="667">
        <f>SUM(M113:M140)</f>
        <v/>
      </c>
      <c r="R113" s="61" t="n"/>
      <c r="S113" s="61" t="n"/>
      <c r="T113" s="61" t="n"/>
      <c r="U113" s="61" t="n"/>
      <c r="V113" s="61" t="n"/>
      <c r="W113" s="61" t="n"/>
      <c r="X113" s="61" t="n"/>
      <c r="Y113" s="61" t="n"/>
    </row>
    <row r="114" hidden="1" outlineLevel="2" ht="17.25" customHeight="1" thickBot="1">
      <c r="B114" s="368" t="n">
        <v>42564</v>
      </c>
      <c r="C114" s="337" t="inlineStr">
        <is>
          <t>TXO</t>
        </is>
      </c>
      <c r="D114" s="338" t="inlineStr">
        <is>
          <t>台指選 07 08800 P</t>
        </is>
      </c>
      <c r="E114" s="338" t="inlineStr">
        <is>
          <t>平倉</t>
        </is>
      </c>
      <c r="F114" s="338" t="inlineStr">
        <is>
          <t>賣</t>
        </is>
      </c>
      <c r="G114" s="338" t="inlineStr">
        <is>
          <t>-</t>
        </is>
      </c>
      <c r="H114" s="767" t="n">
        <v>1</v>
      </c>
      <c r="I114" s="767" t="n">
        <v>75</v>
      </c>
      <c r="J114" s="767" t="n">
        <v>3750</v>
      </c>
      <c r="K114" s="769" t="n">
        <v>40</v>
      </c>
      <c r="L114" s="769" t="n">
        <v>4</v>
      </c>
      <c r="M114" s="699">
        <f>IF(C114="TXO",J114-SUM(K114:L114),IF(C114="FITX",IF(E114="新倉",-SUM(K114:L114),IF(F114="賣",(I114-I113)*H114*200-SUM(K114:L114),(I113-I114)*H114*200-SUM(K114:L114)))))</f>
        <v/>
      </c>
      <c r="N114" s="686">
        <f>IF(C114="TXO","",IF(C114="FITX",IF(E114="新倉","",IF(F114="賣",(I114-I113),(I113-I114)))))</f>
        <v/>
      </c>
      <c r="O114" s="334">
        <f>ABS(J114)</f>
        <v/>
      </c>
      <c r="P114" s="667" t="n"/>
      <c r="R114" s="61" t="n"/>
      <c r="S114" s="61" t="n"/>
      <c r="T114" s="61" t="n"/>
      <c r="U114" s="61" t="n"/>
      <c r="V114" s="61" t="n"/>
      <c r="W114" s="61" t="n"/>
      <c r="X114" s="61" t="n"/>
      <c r="Y114" s="61" t="n"/>
    </row>
    <row r="115" hidden="1" outlineLevel="2" ht="17.25" customHeight="1" thickBot="1">
      <c r="B115" s="368" t="n">
        <v>42564</v>
      </c>
      <c r="C115" s="337" t="inlineStr">
        <is>
          <t>FITX</t>
        </is>
      </c>
      <c r="D115" s="338" t="inlineStr">
        <is>
          <t>台指07</t>
        </is>
      </c>
      <c r="E115" s="338" t="inlineStr">
        <is>
          <t>新倉</t>
        </is>
      </c>
      <c r="F115" s="338" t="inlineStr">
        <is>
          <t>買</t>
        </is>
      </c>
      <c r="G115" s="338" t="inlineStr">
        <is>
          <t>-</t>
        </is>
      </c>
      <c r="H115" s="767" t="n">
        <v>1</v>
      </c>
      <c r="I115" s="767" t="n">
        <v>8833</v>
      </c>
      <c r="J115" s="767" t="n">
        <v>0</v>
      </c>
      <c r="K115" s="769" t="n">
        <v>100</v>
      </c>
      <c r="L115" s="769" t="n">
        <v>35</v>
      </c>
      <c r="M115" s="699">
        <f>IF(C115="TXO",J115-SUM(K115:L115),IF(C115="FITX",IF(E115="新倉",-SUM(K115:L115),IF(F115="賣",(I115-I114)*H115*200-SUM(K115:L115),(I114-I115)*H115*200-SUM(K115:L115)))))</f>
        <v/>
      </c>
      <c r="N115" s="686">
        <f>IF(C115="TXO","",IF(C115="FITX",IF(E115="新倉","",IF(F115="賣",(I115-I114),(I114-I115)))))</f>
        <v/>
      </c>
      <c r="O115" s="334">
        <f>ABS(J115)</f>
        <v/>
      </c>
      <c r="P115" s="667" t="n"/>
      <c r="R115" s="61" t="n"/>
      <c r="S115" s="61" t="n"/>
      <c r="T115" s="61" t="n"/>
      <c r="U115" s="61" t="n"/>
      <c r="V115" s="61" t="n"/>
      <c r="W115" s="61" t="n"/>
      <c r="X115" s="61" t="n"/>
      <c r="Y115" s="61" t="n"/>
    </row>
    <row r="116" hidden="1" outlineLevel="2" ht="17.25" customHeight="1" thickBot="1">
      <c r="B116" s="368" t="n">
        <v>42564</v>
      </c>
      <c r="C116" s="337" t="inlineStr">
        <is>
          <t>FITX</t>
        </is>
      </c>
      <c r="D116" s="338" t="inlineStr">
        <is>
          <t>台指07</t>
        </is>
      </c>
      <c r="E116" s="338" t="inlineStr">
        <is>
          <t>平倉</t>
        </is>
      </c>
      <c r="F116" s="338" t="inlineStr">
        <is>
          <t>賣</t>
        </is>
      </c>
      <c r="G116" s="338" t="inlineStr">
        <is>
          <t>-</t>
        </is>
      </c>
      <c r="H116" s="767" t="n">
        <v>1</v>
      </c>
      <c r="I116" s="767" t="n">
        <v>8820</v>
      </c>
      <c r="J116" s="767" t="n">
        <v>0</v>
      </c>
      <c r="K116" s="769" t="n">
        <v>100</v>
      </c>
      <c r="L116" s="769" t="n">
        <v>35</v>
      </c>
      <c r="M116" s="699">
        <f>IF(C116="TXO",J116-SUM(K116:L116),IF(C116="FITX",IF(E116="新倉",-SUM(K116:L116),IF(F116="賣",(I116-I115)*H116*200-SUM(K116:L116),(I115-I116)*H116*200-SUM(K116:L116)))))</f>
        <v/>
      </c>
      <c r="N116" s="686">
        <f>IF(C116="TXO","",IF(C116="FITX",IF(E116="新倉","",IF(F116="賣",(I116-I115),(I115-I116)))))</f>
        <v/>
      </c>
      <c r="O116" s="334">
        <f>ABS(J116)</f>
        <v/>
      </c>
      <c r="P116" s="667" t="n"/>
      <c r="R116" s="61" t="n"/>
      <c r="S116" s="61" t="n"/>
      <c r="T116" s="61" t="n"/>
      <c r="U116" s="61" t="n"/>
      <c r="V116" s="61" t="n"/>
      <c r="W116" s="61" t="n"/>
      <c r="X116" s="61" t="n"/>
      <c r="Y116" s="61" t="n"/>
    </row>
    <row r="117" hidden="1" outlineLevel="2" ht="17.25" customHeight="1" thickBot="1">
      <c r="B117" s="368" t="n">
        <v>42564</v>
      </c>
      <c r="C117" s="337" t="inlineStr">
        <is>
          <t>FITX</t>
        </is>
      </c>
      <c r="D117" s="338" t="inlineStr">
        <is>
          <t>台指07</t>
        </is>
      </c>
      <c r="E117" s="338" t="inlineStr">
        <is>
          <t>新倉</t>
        </is>
      </c>
      <c r="F117" s="338" t="inlineStr">
        <is>
          <t>賣</t>
        </is>
      </c>
      <c r="G117" s="338" t="inlineStr">
        <is>
          <t>-</t>
        </is>
      </c>
      <c r="H117" s="767" t="n">
        <v>1</v>
      </c>
      <c r="I117" s="767" t="n">
        <v>8797</v>
      </c>
      <c r="J117" s="767" t="n">
        <v>0</v>
      </c>
      <c r="K117" s="769" t="n">
        <v>100</v>
      </c>
      <c r="L117" s="769" t="n">
        <v>35</v>
      </c>
      <c r="M117" s="699">
        <f>IF(C117="TXO",J117-SUM(K117:L117),IF(C117="FITX",IF(E117="新倉",-SUM(K117:L117),IF(F117="賣",(I117-I116)*H117*200-SUM(K117:L117),(I116-I117)*H117*200-SUM(K117:L117)))))</f>
        <v/>
      </c>
      <c r="N117" s="686">
        <f>IF(C117="TXO","",IF(C117="FITX",IF(E117="新倉","",IF(F117="賣",(I117-I116),(I116-I117)))))</f>
        <v/>
      </c>
      <c r="O117" s="334">
        <f>ABS(J117)</f>
        <v/>
      </c>
      <c r="P117" s="667" t="n"/>
      <c r="R117" s="61" t="n"/>
      <c r="S117" s="61" t="n"/>
      <c r="T117" s="61" t="n"/>
      <c r="U117" s="61" t="n"/>
      <c r="V117" s="61" t="n"/>
      <c r="W117" s="61" t="n"/>
      <c r="X117" s="61" t="n"/>
      <c r="Y117" s="61" t="n"/>
    </row>
    <row r="118" hidden="1" outlineLevel="2" ht="17.25" customHeight="1" thickBot="1">
      <c r="B118" s="368" t="n">
        <v>42564</v>
      </c>
      <c r="C118" s="337" t="inlineStr">
        <is>
          <t>FITX</t>
        </is>
      </c>
      <c r="D118" s="338" t="inlineStr">
        <is>
          <t>台指07</t>
        </is>
      </c>
      <c r="E118" s="338" t="inlineStr">
        <is>
          <t>平倉</t>
        </is>
      </c>
      <c r="F118" s="338" t="inlineStr">
        <is>
          <t>買</t>
        </is>
      </c>
      <c r="G118" s="338" t="inlineStr">
        <is>
          <t>-</t>
        </is>
      </c>
      <c r="H118" s="767" t="n">
        <v>1</v>
      </c>
      <c r="I118" s="767" t="n">
        <v>8782</v>
      </c>
      <c r="J118" s="767" t="n">
        <v>0</v>
      </c>
      <c r="K118" s="769" t="n">
        <v>100</v>
      </c>
      <c r="L118" s="769" t="n">
        <v>35</v>
      </c>
      <c r="M118" s="699">
        <f>IF(C118="TXO",J118-SUM(K118:L118),IF(C118="FITX",IF(E118="新倉",-SUM(K118:L118),IF(F118="賣",(I118-I117)*H118*200-SUM(K118:L118),(I117-I118)*H118*200-SUM(K118:L118)))))</f>
        <v/>
      </c>
      <c r="N118" s="686">
        <f>IF(C118="TXO","",IF(C118="FITX",IF(E118="新倉","",IF(F118="賣",(I118-I117),(I117-I118)))))</f>
        <v/>
      </c>
      <c r="O118" s="334">
        <f>ABS(J118)</f>
        <v/>
      </c>
      <c r="P118" s="667" t="n"/>
      <c r="R118" s="61" t="n"/>
      <c r="S118" s="61" t="n"/>
      <c r="T118" s="61" t="n"/>
      <c r="U118" s="61" t="n"/>
      <c r="V118" s="61" t="n"/>
      <c r="W118" s="61" t="n"/>
      <c r="X118" s="61" t="n"/>
      <c r="Y118" s="61" t="n"/>
    </row>
    <row r="119" hidden="1" outlineLevel="2" ht="17.25" customHeight="1" thickBot="1">
      <c r="B119" s="368" t="n">
        <v>42564</v>
      </c>
      <c r="C119" s="337" t="inlineStr">
        <is>
          <t>FITX</t>
        </is>
      </c>
      <c r="D119" s="338" t="inlineStr">
        <is>
          <t>台指07</t>
        </is>
      </c>
      <c r="E119" s="338" t="inlineStr">
        <is>
          <t>新倉</t>
        </is>
      </c>
      <c r="F119" s="338" t="inlineStr">
        <is>
          <t>賣</t>
        </is>
      </c>
      <c r="G119" s="338" t="inlineStr">
        <is>
          <t>-</t>
        </is>
      </c>
      <c r="H119" s="767" t="n">
        <v>1</v>
      </c>
      <c r="I119" s="767" t="n">
        <v>8787</v>
      </c>
      <c r="J119" s="767" t="n">
        <v>0</v>
      </c>
      <c r="K119" s="769" t="n">
        <v>100</v>
      </c>
      <c r="L119" s="769" t="n">
        <v>35</v>
      </c>
      <c r="M119" s="699">
        <f>IF(C119="TXO",J119-SUM(K119:L119),IF(C119="FITX",IF(E119="新倉",-SUM(K119:L119),IF(F119="賣",(I119-I118)*H119*200-SUM(K119:L119),(I118-I119)*H119*200-SUM(K119:L119)))))</f>
        <v/>
      </c>
      <c r="N119" s="686">
        <f>IF(C119="TXO","",IF(C119="FITX",IF(E119="新倉","",IF(F119="賣",(I119-I118),(I118-I119)))))</f>
        <v/>
      </c>
      <c r="O119" s="334">
        <f>ABS(J119)</f>
        <v/>
      </c>
      <c r="P119" s="667" t="n"/>
      <c r="R119" s="61" t="n"/>
      <c r="S119" s="61" t="n"/>
      <c r="T119" s="61" t="n"/>
      <c r="U119" s="61" t="n"/>
      <c r="V119" s="61" t="n"/>
      <c r="W119" s="61" t="n"/>
      <c r="X119" s="61" t="n"/>
      <c r="Y119" s="61" t="n"/>
    </row>
    <row r="120" hidden="1" outlineLevel="2" ht="17.25" customHeight="1" thickBot="1">
      <c r="B120" s="368" t="n">
        <v>42564</v>
      </c>
      <c r="C120" s="337" t="inlineStr">
        <is>
          <t>FITX</t>
        </is>
      </c>
      <c r="D120" s="338" t="inlineStr">
        <is>
          <t>台指07</t>
        </is>
      </c>
      <c r="E120" s="338" t="inlineStr">
        <is>
          <t>平倉</t>
        </is>
      </c>
      <c r="F120" s="338" t="inlineStr">
        <is>
          <t>買</t>
        </is>
      </c>
      <c r="G120" s="338" t="inlineStr">
        <is>
          <t>-</t>
        </is>
      </c>
      <c r="H120" s="767" t="n">
        <v>1</v>
      </c>
      <c r="I120" s="767" t="n">
        <v>8778</v>
      </c>
      <c r="J120" s="767" t="n">
        <v>0</v>
      </c>
      <c r="K120" s="769" t="n">
        <v>100</v>
      </c>
      <c r="L120" s="769" t="n">
        <v>35</v>
      </c>
      <c r="M120" s="699">
        <f>IF(C120="TXO",J120-SUM(K120:L120),IF(C120="FITX",IF(E120="新倉",-SUM(K120:L120),IF(F120="賣",(I120-I119)*H120*200-SUM(K120:L120),(I119-I120)*H120*200-SUM(K120:L120)))))</f>
        <v/>
      </c>
      <c r="N120" s="686">
        <f>IF(C120="TXO","",IF(C120="FITX",IF(E120="新倉","",IF(F120="賣",(I120-I119),(I119-I120)))))</f>
        <v/>
      </c>
      <c r="O120" s="334">
        <f>ABS(J120)</f>
        <v/>
      </c>
      <c r="P120" s="667" t="n"/>
      <c r="R120" s="61" t="n"/>
      <c r="S120" s="61" t="n"/>
      <c r="T120" s="61" t="n"/>
      <c r="U120" s="61" t="n"/>
      <c r="V120" s="61" t="n"/>
      <c r="W120" s="61" t="n"/>
      <c r="X120" s="61" t="n"/>
      <c r="Y120" s="61" t="n"/>
    </row>
    <row r="121" hidden="1" outlineLevel="2" ht="17.25" customHeight="1" thickBot="1">
      <c r="B121" s="368" t="n">
        <v>42564</v>
      </c>
      <c r="C121" s="337" t="inlineStr">
        <is>
          <t>FITX</t>
        </is>
      </c>
      <c r="D121" s="338" t="inlineStr">
        <is>
          <t>台指07</t>
        </is>
      </c>
      <c r="E121" s="338" t="inlineStr">
        <is>
          <t>新倉</t>
        </is>
      </c>
      <c r="F121" s="338" t="inlineStr">
        <is>
          <t>賣</t>
        </is>
      </c>
      <c r="G121" s="338" t="inlineStr">
        <is>
          <t>-</t>
        </is>
      </c>
      <c r="H121" s="767" t="n">
        <v>1</v>
      </c>
      <c r="I121" s="767" t="n">
        <v>8790</v>
      </c>
      <c r="J121" s="767" t="n">
        <v>0</v>
      </c>
      <c r="K121" s="769" t="n">
        <v>100</v>
      </c>
      <c r="L121" s="769" t="n">
        <v>35</v>
      </c>
      <c r="M121" s="699">
        <f>IF(C121="TXO",J121-SUM(K121:L121),IF(C121="FITX",IF(E121="新倉",-SUM(K121:L121),IF(F121="賣",(I121-I120)*H121*200-SUM(K121:L121),(I120-I121)*H121*200-SUM(K121:L121)))))</f>
        <v/>
      </c>
      <c r="N121" s="686">
        <f>IF(C121="TXO","",IF(C121="FITX",IF(E121="新倉","",IF(F121="賣",(I121-I120),(I120-I121)))))</f>
        <v/>
      </c>
      <c r="O121" s="334">
        <f>ABS(J121)</f>
        <v/>
      </c>
      <c r="P121" s="667" t="n"/>
      <c r="R121" s="61" t="n"/>
      <c r="S121" s="61" t="n"/>
      <c r="T121" s="61" t="n"/>
      <c r="U121" s="61" t="n"/>
      <c r="V121" s="61" t="n"/>
      <c r="W121" s="61" t="n"/>
      <c r="X121" s="61" t="n"/>
      <c r="Y121" s="61" t="n"/>
    </row>
    <row r="122" hidden="1" outlineLevel="2" ht="17.25" customHeight="1" thickBot="1">
      <c r="B122" s="368" t="n">
        <v>42564</v>
      </c>
      <c r="C122" s="337" t="inlineStr">
        <is>
          <t>FITX</t>
        </is>
      </c>
      <c r="D122" s="338" t="inlineStr">
        <is>
          <t>台指07</t>
        </is>
      </c>
      <c r="E122" s="338" t="inlineStr">
        <is>
          <t>平倉</t>
        </is>
      </c>
      <c r="F122" s="338" t="inlineStr">
        <is>
          <t>買</t>
        </is>
      </c>
      <c r="G122" s="338" t="inlineStr">
        <is>
          <t>-</t>
        </is>
      </c>
      <c r="H122" s="767" t="n">
        <v>1</v>
      </c>
      <c r="I122" s="767" t="n">
        <v>8778</v>
      </c>
      <c r="J122" s="767" t="n">
        <v>0</v>
      </c>
      <c r="K122" s="769" t="n">
        <v>100</v>
      </c>
      <c r="L122" s="769" t="n">
        <v>35</v>
      </c>
      <c r="M122" s="699">
        <f>IF(C122="TXO",J122-SUM(K122:L122),IF(C122="FITX",IF(E122="新倉",-SUM(K122:L122),IF(F122="賣",(I122-I121)*H122*200-SUM(K122:L122),(I121-I122)*H122*200-SUM(K122:L122)))))</f>
        <v/>
      </c>
      <c r="N122" s="686">
        <f>IF(C122="TXO","",IF(C122="FITX",IF(E122="新倉","",IF(F122="賣",(I122-I121),(I121-I122)))))</f>
        <v/>
      </c>
      <c r="O122" s="334">
        <f>ABS(J122)</f>
        <v/>
      </c>
      <c r="P122" s="667" t="n"/>
      <c r="R122" s="61" t="n"/>
      <c r="S122" s="61" t="n"/>
      <c r="T122" s="61" t="n"/>
      <c r="U122" s="61" t="n"/>
      <c r="V122" s="61" t="n"/>
      <c r="W122" s="61" t="n"/>
      <c r="X122" s="61" t="n"/>
      <c r="Y122" s="61" t="n"/>
    </row>
    <row r="123" hidden="1" outlineLevel="2" ht="17.25" customHeight="1" thickBot="1">
      <c r="B123" s="368" t="n">
        <v>42564</v>
      </c>
      <c r="C123" s="337" t="inlineStr">
        <is>
          <t>FITX</t>
        </is>
      </c>
      <c r="D123" s="338" t="inlineStr">
        <is>
          <t>台指07</t>
        </is>
      </c>
      <c r="E123" s="338" t="inlineStr">
        <is>
          <t>新倉</t>
        </is>
      </c>
      <c r="F123" s="338" t="inlineStr">
        <is>
          <t>賣</t>
        </is>
      </c>
      <c r="G123" s="338" t="inlineStr">
        <is>
          <t>-</t>
        </is>
      </c>
      <c r="H123" s="767" t="n">
        <v>1</v>
      </c>
      <c r="I123" s="767" t="n">
        <v>8758</v>
      </c>
      <c r="J123" s="767" t="n">
        <v>0</v>
      </c>
      <c r="K123" s="769" t="n">
        <v>100</v>
      </c>
      <c r="L123" s="769" t="n">
        <v>35</v>
      </c>
      <c r="M123" s="699">
        <f>IF(C123="TXO",J123-SUM(K123:L123),IF(C123="FITX",IF(E123="新倉",-SUM(K123:L123),IF(F123="賣",(I123-I122)*H123*200-SUM(K123:L123),(I122-I123)*H123*200-SUM(K123:L123)))))</f>
        <v/>
      </c>
      <c r="N123" s="686">
        <f>IF(C123="TXO","",IF(C123="FITX",IF(E123="新倉","",IF(F123="賣",(I123-I122),(I122-I123)))))</f>
        <v/>
      </c>
      <c r="O123" s="334">
        <f>ABS(J123)</f>
        <v/>
      </c>
      <c r="P123" s="667" t="n"/>
      <c r="R123" s="61" t="n"/>
      <c r="S123" s="61" t="n"/>
      <c r="T123" s="61" t="n"/>
      <c r="U123" s="61" t="n"/>
      <c r="V123" s="61" t="n"/>
      <c r="W123" s="61" t="n"/>
      <c r="X123" s="61" t="n"/>
      <c r="Y123" s="61" t="n"/>
    </row>
    <row r="124" hidden="1" outlineLevel="2" ht="17.25" customHeight="1" thickBot="1">
      <c r="B124" s="368" t="n">
        <v>42564</v>
      </c>
      <c r="C124" s="337" t="inlineStr">
        <is>
          <t>FITX</t>
        </is>
      </c>
      <c r="D124" s="338" t="inlineStr">
        <is>
          <t>台指07</t>
        </is>
      </c>
      <c r="E124" s="338" t="inlineStr">
        <is>
          <t>平倉</t>
        </is>
      </c>
      <c r="F124" s="338" t="inlineStr">
        <is>
          <t>買</t>
        </is>
      </c>
      <c r="G124" s="338" t="inlineStr">
        <is>
          <t>-</t>
        </is>
      </c>
      <c r="H124" s="767" t="n">
        <v>1</v>
      </c>
      <c r="I124" s="767" t="n">
        <v>8773</v>
      </c>
      <c r="J124" s="767" t="n">
        <v>0</v>
      </c>
      <c r="K124" s="769" t="n">
        <v>100</v>
      </c>
      <c r="L124" s="769" t="n">
        <v>35</v>
      </c>
      <c r="M124" s="699">
        <f>IF(C124="TXO",J124-SUM(K124:L124),IF(C124="FITX",IF(E124="新倉",-SUM(K124:L124),IF(F124="賣",(I124-I123)*H124*200-SUM(K124:L124),(I123-I124)*H124*200-SUM(K124:L124)))))</f>
        <v/>
      </c>
      <c r="N124" s="686">
        <f>IF(C124="TXO","",IF(C124="FITX",IF(E124="新倉","",IF(F124="賣",(I124-I123),(I123-I124)))))</f>
        <v/>
      </c>
      <c r="O124" s="334">
        <f>ABS(J124)</f>
        <v/>
      </c>
      <c r="P124" s="667" t="n"/>
      <c r="R124" s="61" t="n"/>
      <c r="S124" s="61" t="n"/>
      <c r="T124" s="61" t="n"/>
      <c r="U124" s="61" t="n"/>
      <c r="V124" s="61" t="n"/>
      <c r="W124" s="61" t="n"/>
      <c r="X124" s="61" t="n"/>
      <c r="Y124" s="61" t="n"/>
    </row>
    <row r="125" hidden="1" outlineLevel="2" ht="17.25" customHeight="1" thickBot="1">
      <c r="B125" s="368" t="n">
        <v>42564</v>
      </c>
      <c r="C125" s="337" t="inlineStr">
        <is>
          <t>FITX</t>
        </is>
      </c>
      <c r="D125" s="338" t="inlineStr">
        <is>
          <t>台指07</t>
        </is>
      </c>
      <c r="E125" s="338" t="inlineStr">
        <is>
          <t>新倉</t>
        </is>
      </c>
      <c r="F125" s="338" t="inlineStr">
        <is>
          <t>賣</t>
        </is>
      </c>
      <c r="G125" s="338" t="inlineStr">
        <is>
          <t>-</t>
        </is>
      </c>
      <c r="H125" s="767" t="n">
        <v>1</v>
      </c>
      <c r="I125" s="767" t="n">
        <v>8762</v>
      </c>
      <c r="J125" s="767" t="n">
        <v>0</v>
      </c>
      <c r="K125" s="769" t="n">
        <v>100</v>
      </c>
      <c r="L125" s="769" t="n">
        <v>35</v>
      </c>
      <c r="M125" s="699">
        <f>IF(C125="TXO",J125-SUM(K125:L125),IF(C125="FITX",IF(E125="新倉",-SUM(K125:L125),IF(F125="賣",(I125-I124)*H125*200-SUM(K125:L125),(I124-I125)*H125*200-SUM(K125:L125)))))</f>
        <v/>
      </c>
      <c r="N125" s="686">
        <f>IF(C125="TXO","",IF(C125="FITX",IF(E125="新倉","",IF(F125="賣",(I125-I124),(I124-I125)))))</f>
        <v/>
      </c>
      <c r="O125" s="334">
        <f>ABS(J125)</f>
        <v/>
      </c>
      <c r="P125" s="667" t="n"/>
      <c r="R125" s="61" t="n"/>
      <c r="S125" s="61" t="n"/>
      <c r="T125" s="61" t="n"/>
      <c r="U125" s="61" t="n"/>
      <c r="V125" s="61" t="n"/>
      <c r="W125" s="61" t="n"/>
      <c r="X125" s="61" t="n"/>
      <c r="Y125" s="61" t="n"/>
    </row>
    <row r="126" hidden="1" outlineLevel="2" ht="17.25" customHeight="1" thickBot="1">
      <c r="B126" s="368" t="n">
        <v>42564</v>
      </c>
      <c r="C126" s="337" t="inlineStr">
        <is>
          <t>FITX</t>
        </is>
      </c>
      <c r="D126" s="338" t="inlineStr">
        <is>
          <t>台指07</t>
        </is>
      </c>
      <c r="E126" s="338" t="inlineStr">
        <is>
          <t>平倉</t>
        </is>
      </c>
      <c r="F126" s="338" t="inlineStr">
        <is>
          <t>買</t>
        </is>
      </c>
      <c r="G126" s="338" t="inlineStr">
        <is>
          <t>-</t>
        </is>
      </c>
      <c r="H126" s="767" t="n">
        <v>1</v>
      </c>
      <c r="I126" s="767" t="n">
        <v>8775</v>
      </c>
      <c r="J126" s="767" t="n">
        <v>0</v>
      </c>
      <c r="K126" s="769" t="n">
        <v>100</v>
      </c>
      <c r="L126" s="769" t="n">
        <v>35</v>
      </c>
      <c r="M126" s="699">
        <f>IF(C126="TXO",J126-SUM(K126:L126),IF(C126="FITX",IF(E126="新倉",-SUM(K126:L126),IF(F126="賣",(I126-I125)*H126*200-SUM(K126:L126),(I125-I126)*H126*200-SUM(K126:L126)))))</f>
        <v/>
      </c>
      <c r="N126" s="686">
        <f>IF(C126="TXO","",IF(C126="FITX",IF(E126="新倉","",IF(F126="賣",(I126-I125),(I125-I126)))))</f>
        <v/>
      </c>
      <c r="O126" s="334">
        <f>ABS(J126)</f>
        <v/>
      </c>
      <c r="P126" s="667" t="n"/>
      <c r="R126" s="61" t="n"/>
      <c r="S126" s="61" t="n"/>
      <c r="T126" s="61" t="n"/>
      <c r="U126" s="61" t="n"/>
      <c r="V126" s="61" t="n"/>
      <c r="W126" s="61" t="n"/>
      <c r="X126" s="61" t="n"/>
      <c r="Y126" s="61" t="n"/>
    </row>
    <row r="127" hidden="1" outlineLevel="2" ht="17.25" customHeight="1" thickBot="1">
      <c r="B127" s="368" t="n">
        <v>42564</v>
      </c>
      <c r="C127" s="337" t="inlineStr">
        <is>
          <t>FITX</t>
        </is>
      </c>
      <c r="D127" s="338" t="inlineStr">
        <is>
          <t>台指07</t>
        </is>
      </c>
      <c r="E127" s="338" t="inlineStr">
        <is>
          <t>新倉</t>
        </is>
      </c>
      <c r="F127" s="338" t="inlineStr">
        <is>
          <t>買</t>
        </is>
      </c>
      <c r="G127" s="338" t="inlineStr">
        <is>
          <t>-</t>
        </is>
      </c>
      <c r="H127" s="767" t="n">
        <v>1</v>
      </c>
      <c r="I127" s="767" t="n">
        <v>8801</v>
      </c>
      <c r="J127" s="767" t="n">
        <v>0</v>
      </c>
      <c r="K127" s="769" t="n">
        <v>100</v>
      </c>
      <c r="L127" s="769" t="n">
        <v>35</v>
      </c>
      <c r="M127" s="699">
        <f>IF(C127="TXO",J127-SUM(K127:L127),IF(C127="FITX",IF(E127="新倉",-SUM(K127:L127),IF(F127="賣",(I127-I126)*H127*200-SUM(K127:L127),(I126-I127)*H127*200-SUM(K127:L127)))))</f>
        <v/>
      </c>
      <c r="N127" s="686">
        <f>IF(C127="TXO","",IF(C127="FITX",IF(E127="新倉","",IF(F127="賣",(I127-I126),(I126-I127)))))</f>
        <v/>
      </c>
      <c r="O127" s="334">
        <f>ABS(J127)</f>
        <v/>
      </c>
      <c r="P127" s="667" t="n"/>
      <c r="R127" s="61" t="n"/>
      <c r="S127" s="61" t="n"/>
      <c r="T127" s="61" t="n"/>
      <c r="U127" s="61" t="n"/>
      <c r="V127" s="61" t="n"/>
      <c r="W127" s="61" t="n"/>
      <c r="X127" s="61" t="n"/>
      <c r="Y127" s="61" t="n"/>
    </row>
    <row r="128" hidden="1" outlineLevel="2" ht="17.25" customHeight="1" thickBot="1">
      <c r="B128" s="368" t="n">
        <v>42564</v>
      </c>
      <c r="C128" s="337" t="inlineStr">
        <is>
          <t>FITX</t>
        </is>
      </c>
      <c r="D128" s="338" t="inlineStr">
        <is>
          <t>台指07</t>
        </is>
      </c>
      <c r="E128" s="338" t="inlineStr">
        <is>
          <t>平倉</t>
        </is>
      </c>
      <c r="F128" s="338" t="inlineStr">
        <is>
          <t>賣</t>
        </is>
      </c>
      <c r="G128" s="338" t="inlineStr">
        <is>
          <t>-</t>
        </is>
      </c>
      <c r="H128" s="767" t="n">
        <v>1</v>
      </c>
      <c r="I128" s="767" t="n">
        <v>8786</v>
      </c>
      <c r="J128" s="767" t="n">
        <v>0</v>
      </c>
      <c r="K128" s="769" t="n">
        <v>100</v>
      </c>
      <c r="L128" s="769" t="n">
        <v>35</v>
      </c>
      <c r="M128" s="699">
        <f>IF(C128="TXO",J128-SUM(K128:L128),IF(C128="FITX",IF(E128="新倉",-SUM(K128:L128),IF(F128="賣",(I128-I127)*H128*200-SUM(K128:L128),(I127-I128)*H128*200-SUM(K128:L128)))))</f>
        <v/>
      </c>
      <c r="N128" s="686">
        <f>IF(C128="TXO","",IF(C128="FITX",IF(E128="新倉","",IF(F128="賣",(I128-I127),(I127-I128)))))</f>
        <v/>
      </c>
      <c r="O128" s="334">
        <f>ABS(J128)</f>
        <v/>
      </c>
      <c r="P128" s="667" t="n"/>
      <c r="R128" s="61" t="n"/>
      <c r="S128" s="61" t="n"/>
      <c r="T128" s="61" t="n"/>
      <c r="U128" s="61" t="n"/>
      <c r="V128" s="61" t="n"/>
      <c r="W128" s="61" t="n"/>
      <c r="X128" s="61" t="n"/>
      <c r="Y128" s="61" t="n"/>
    </row>
    <row r="129" hidden="1" outlineLevel="2" ht="17.25" customHeight="1" thickBot="1">
      <c r="B129" s="368" t="n">
        <v>42564</v>
      </c>
      <c r="C129" s="337" t="inlineStr">
        <is>
          <t>FITX</t>
        </is>
      </c>
      <c r="D129" s="338" t="inlineStr">
        <is>
          <t>台指07</t>
        </is>
      </c>
      <c r="E129" s="338" t="inlineStr">
        <is>
          <t>新倉</t>
        </is>
      </c>
      <c r="F129" s="338" t="inlineStr">
        <is>
          <t>買</t>
        </is>
      </c>
      <c r="G129" s="338" t="inlineStr">
        <is>
          <t>-</t>
        </is>
      </c>
      <c r="H129" s="767" t="n">
        <v>1</v>
      </c>
      <c r="I129" s="767" t="n">
        <v>8795</v>
      </c>
      <c r="J129" s="767" t="n">
        <v>0</v>
      </c>
      <c r="K129" s="769" t="n">
        <v>100</v>
      </c>
      <c r="L129" s="769" t="n">
        <v>35</v>
      </c>
      <c r="M129" s="699">
        <f>IF(C129="TXO",J129-SUM(K129:L129),IF(C129="FITX",IF(E129="新倉",-SUM(K129:L129),IF(F129="賣",(I129-I128)*H129*200-SUM(K129:L129),(I128-I129)*H129*200-SUM(K129:L129)))))</f>
        <v/>
      </c>
      <c r="N129" s="686">
        <f>IF(C129="TXO","",IF(C129="FITX",IF(E129="新倉","",IF(F129="賣",(I129-I128),(I128-I129)))))</f>
        <v/>
      </c>
      <c r="O129" s="334">
        <f>ABS(J129)</f>
        <v/>
      </c>
      <c r="P129" s="667" t="n"/>
      <c r="R129" s="61" t="n"/>
      <c r="S129" s="61" t="n"/>
      <c r="T129" s="61" t="n"/>
      <c r="U129" s="61" t="n"/>
      <c r="V129" s="61" t="n"/>
      <c r="W129" s="61" t="n"/>
      <c r="X129" s="61" t="n"/>
      <c r="Y129" s="61" t="n"/>
    </row>
    <row r="130" hidden="1" outlineLevel="2" ht="17.25" customHeight="1" thickBot="1">
      <c r="B130" s="368" t="n">
        <v>42564</v>
      </c>
      <c r="C130" s="337" t="inlineStr">
        <is>
          <t>FITX</t>
        </is>
      </c>
      <c r="D130" s="338" t="inlineStr">
        <is>
          <t>台指07</t>
        </is>
      </c>
      <c r="E130" s="338" t="inlineStr">
        <is>
          <t>平倉</t>
        </is>
      </c>
      <c r="F130" s="338" t="inlineStr">
        <is>
          <t>賣</t>
        </is>
      </c>
      <c r="G130" s="338" t="inlineStr">
        <is>
          <t>-</t>
        </is>
      </c>
      <c r="H130" s="767" t="n">
        <v>1</v>
      </c>
      <c r="I130" s="767" t="n">
        <v>8782</v>
      </c>
      <c r="J130" s="767" t="n">
        <v>0</v>
      </c>
      <c r="K130" s="769" t="n">
        <v>100</v>
      </c>
      <c r="L130" s="769" t="n">
        <v>35</v>
      </c>
      <c r="M130" s="699">
        <f>IF(C130="TXO",J130-SUM(K130:L130),IF(C130="FITX",IF(E130="新倉",-SUM(K130:L130),IF(F130="賣",(I130-I129)*H130*200-SUM(K130:L130),(I129-I130)*H130*200-SUM(K130:L130)))))</f>
        <v/>
      </c>
      <c r="N130" s="686">
        <f>IF(C130="TXO","",IF(C130="FITX",IF(E130="新倉","",IF(F130="賣",(I130-I129),(I129-I130)))))</f>
        <v/>
      </c>
      <c r="O130" s="334">
        <f>ABS(J130)</f>
        <v/>
      </c>
      <c r="P130" s="667" t="n"/>
      <c r="R130" s="61" t="n"/>
      <c r="S130" s="61" t="n"/>
      <c r="T130" s="61" t="n"/>
      <c r="U130" s="61" t="n"/>
      <c r="V130" s="61" t="n"/>
      <c r="W130" s="61" t="n"/>
      <c r="X130" s="61" t="n"/>
      <c r="Y130" s="61" t="n"/>
    </row>
    <row r="131" hidden="1" outlineLevel="2" ht="17.25" customHeight="1" thickBot="1">
      <c r="B131" s="368" t="n">
        <v>42564</v>
      </c>
      <c r="C131" s="337" t="inlineStr">
        <is>
          <t>FITX</t>
        </is>
      </c>
      <c r="D131" s="338" t="inlineStr">
        <is>
          <t>台指07</t>
        </is>
      </c>
      <c r="E131" s="338" t="inlineStr">
        <is>
          <t>新倉</t>
        </is>
      </c>
      <c r="F131" s="338" t="inlineStr">
        <is>
          <t>賣</t>
        </is>
      </c>
      <c r="G131" s="338" t="inlineStr">
        <is>
          <t>-</t>
        </is>
      </c>
      <c r="H131" s="767" t="n">
        <v>1</v>
      </c>
      <c r="I131" s="767" t="n">
        <v>8776</v>
      </c>
      <c r="J131" s="767" t="n">
        <v>0</v>
      </c>
      <c r="K131" s="769" t="n">
        <v>100</v>
      </c>
      <c r="L131" s="769" t="n">
        <v>35</v>
      </c>
      <c r="M131" s="699">
        <f>IF(C131="TXO",J131-SUM(K131:L131),IF(C131="FITX",IF(E131="新倉",-SUM(K131:L131),IF(F131="賣",(I131-I130)*H131*200-SUM(K131:L131),(I130-I131)*H131*200-SUM(K131:L131)))))</f>
        <v/>
      </c>
      <c r="N131" s="686">
        <f>IF(C131="TXO","",IF(C131="FITX",IF(E131="新倉","",IF(F131="賣",(I131-I130),(I130-I131)))))</f>
        <v/>
      </c>
      <c r="O131" s="334">
        <f>ABS(J131)</f>
        <v/>
      </c>
      <c r="P131" s="667" t="n"/>
      <c r="R131" s="61" t="n"/>
      <c r="S131" s="61" t="n"/>
      <c r="T131" s="61" t="n"/>
      <c r="U131" s="61" t="n"/>
      <c r="V131" s="61" t="n"/>
      <c r="W131" s="61" t="n"/>
      <c r="X131" s="61" t="n"/>
      <c r="Y131" s="61" t="n"/>
    </row>
    <row r="132" hidden="1" outlineLevel="2" ht="17.25" customHeight="1" thickBot="1">
      <c r="B132" s="368" t="n">
        <v>42564</v>
      </c>
      <c r="C132" s="337" t="inlineStr">
        <is>
          <t>FITX</t>
        </is>
      </c>
      <c r="D132" s="338" t="inlineStr">
        <is>
          <t>台指07</t>
        </is>
      </c>
      <c r="E132" s="338" t="inlineStr">
        <is>
          <t>平倉</t>
        </is>
      </c>
      <c r="F132" s="338" t="inlineStr">
        <is>
          <t>買</t>
        </is>
      </c>
      <c r="G132" s="338" t="inlineStr">
        <is>
          <t>-</t>
        </is>
      </c>
      <c r="H132" s="767" t="n">
        <v>1</v>
      </c>
      <c r="I132" s="767" t="n">
        <v>8784</v>
      </c>
      <c r="J132" s="767" t="n">
        <v>0</v>
      </c>
      <c r="K132" s="769" t="n">
        <v>100</v>
      </c>
      <c r="L132" s="769" t="n">
        <v>35</v>
      </c>
      <c r="M132" s="699">
        <f>IF(C132="TXO",J132-SUM(K132:L132),IF(C132="FITX",IF(E132="新倉",-SUM(K132:L132),IF(F132="賣",(I132-I131)*H132*200-SUM(K132:L132),(I131-I132)*H132*200-SUM(K132:L132)))))</f>
        <v/>
      </c>
      <c r="N132" s="686">
        <f>IF(C132="TXO","",IF(C132="FITX",IF(E132="新倉","",IF(F132="賣",(I132-I131),(I131-I132)))))</f>
        <v/>
      </c>
      <c r="O132" s="334">
        <f>ABS(J132)</f>
        <v/>
      </c>
      <c r="P132" s="667" t="n"/>
      <c r="R132" s="61" t="n"/>
      <c r="S132" s="61" t="n"/>
      <c r="T132" s="61" t="n"/>
      <c r="U132" s="61" t="n"/>
      <c r="V132" s="61" t="n"/>
      <c r="W132" s="61" t="n"/>
      <c r="X132" s="61" t="n"/>
      <c r="Y132" s="61" t="n"/>
    </row>
    <row r="133" hidden="1" outlineLevel="2" ht="17.25" customHeight="1" thickBot="1">
      <c r="B133" s="368" t="n">
        <v>42564</v>
      </c>
      <c r="C133" s="337" t="inlineStr">
        <is>
          <t>FITX</t>
        </is>
      </c>
      <c r="D133" s="338" t="inlineStr">
        <is>
          <t>台指07</t>
        </is>
      </c>
      <c r="E133" s="338" t="inlineStr">
        <is>
          <t>新倉</t>
        </is>
      </c>
      <c r="F133" s="338" t="inlineStr">
        <is>
          <t>賣</t>
        </is>
      </c>
      <c r="G133" s="338" t="inlineStr">
        <is>
          <t>-</t>
        </is>
      </c>
      <c r="H133" s="767" t="n">
        <v>1</v>
      </c>
      <c r="I133" s="767" t="n">
        <v>8775</v>
      </c>
      <c r="J133" s="767" t="n">
        <v>0</v>
      </c>
      <c r="K133" s="769" t="n">
        <v>100</v>
      </c>
      <c r="L133" s="769" t="n">
        <v>35</v>
      </c>
      <c r="M133" s="699">
        <f>IF(C133="TXO",J133-SUM(K133:L133),IF(C133="FITX",IF(E133="新倉",-SUM(K133:L133),IF(F133="賣",(I133-I132)*H133*200-SUM(K133:L133),(I132-I133)*H133*200-SUM(K133:L133)))))</f>
        <v/>
      </c>
      <c r="N133" s="686">
        <f>IF(C133="TXO","",IF(C133="FITX",IF(E133="新倉","",IF(F133="賣",(I133-I132),(I132-I133)))))</f>
        <v/>
      </c>
      <c r="O133" s="334">
        <f>ABS(J133)</f>
        <v/>
      </c>
      <c r="P133" s="667" t="n"/>
      <c r="R133" s="61" t="n"/>
      <c r="S133" s="61" t="n"/>
      <c r="T133" s="61" t="n"/>
      <c r="U133" s="61" t="n"/>
      <c r="V133" s="61" t="n"/>
      <c r="W133" s="61" t="n"/>
      <c r="X133" s="61" t="n"/>
      <c r="Y133" s="61" t="n"/>
    </row>
    <row r="134" hidden="1" outlineLevel="2" ht="17.25" customHeight="1" thickBot="1">
      <c r="B134" s="368" t="n">
        <v>42564</v>
      </c>
      <c r="C134" s="337" t="inlineStr">
        <is>
          <t>FITX</t>
        </is>
      </c>
      <c r="D134" s="338" t="inlineStr">
        <is>
          <t>台指07</t>
        </is>
      </c>
      <c r="E134" s="338" t="inlineStr">
        <is>
          <t>平倉</t>
        </is>
      </c>
      <c r="F134" s="338" t="inlineStr">
        <is>
          <t>買</t>
        </is>
      </c>
      <c r="G134" s="338" t="inlineStr">
        <is>
          <t>-</t>
        </is>
      </c>
      <c r="H134" s="767" t="n">
        <v>1</v>
      </c>
      <c r="I134" s="767" t="n">
        <v>8776</v>
      </c>
      <c r="J134" s="767" t="n">
        <v>0</v>
      </c>
      <c r="K134" s="769" t="n">
        <v>100</v>
      </c>
      <c r="L134" s="769" t="n">
        <v>35</v>
      </c>
      <c r="M134" s="699">
        <f>IF(C134="TXO",J134-SUM(K134:L134),IF(C134="FITX",IF(E134="新倉",-SUM(K134:L134),IF(F134="賣",(I134-I133)*H134*200-SUM(K134:L134),(I133-I134)*H134*200-SUM(K134:L134)))))</f>
        <v/>
      </c>
      <c r="N134" s="686">
        <f>IF(C134="TXO","",IF(C134="FITX",IF(E134="新倉","",IF(F134="賣",(I134-I133),(I133-I134)))))</f>
        <v/>
      </c>
      <c r="O134" s="334">
        <f>ABS(J134)</f>
        <v/>
      </c>
      <c r="P134" s="667" t="n"/>
      <c r="R134" s="61" t="n"/>
      <c r="S134" s="61" t="n"/>
      <c r="T134" s="61" t="n"/>
      <c r="U134" s="61" t="n"/>
      <c r="V134" s="61" t="n"/>
      <c r="W134" s="61" t="n"/>
      <c r="X134" s="61" t="n"/>
      <c r="Y134" s="61" t="n"/>
    </row>
    <row r="135" hidden="1" outlineLevel="2" ht="17.25" customHeight="1" thickBot="1">
      <c r="B135" s="368" t="n">
        <v>42564</v>
      </c>
      <c r="C135" s="337" t="inlineStr">
        <is>
          <t>FITX</t>
        </is>
      </c>
      <c r="D135" s="338" t="inlineStr">
        <is>
          <t>台指07</t>
        </is>
      </c>
      <c r="E135" s="338" t="inlineStr">
        <is>
          <t>新倉</t>
        </is>
      </c>
      <c r="F135" s="338" t="inlineStr">
        <is>
          <t>賣</t>
        </is>
      </c>
      <c r="G135" s="338" t="inlineStr">
        <is>
          <t>-</t>
        </is>
      </c>
      <c r="H135" s="767" t="n">
        <v>1</v>
      </c>
      <c r="I135" s="767" t="n">
        <v>8778</v>
      </c>
      <c r="J135" s="767" t="n">
        <v>0</v>
      </c>
      <c r="K135" s="769" t="n">
        <v>100</v>
      </c>
      <c r="L135" s="769" t="n">
        <v>35</v>
      </c>
      <c r="M135" s="699">
        <f>IF(C135="TXO",J135-SUM(K135:L135),IF(C135="FITX",IF(E135="新倉",-SUM(K135:L135),IF(F135="賣",(I135-I134)*H135*200-SUM(K135:L135),(I134-I135)*H135*200-SUM(K135:L135)))))</f>
        <v/>
      </c>
      <c r="N135" s="686">
        <f>IF(C135="TXO","",IF(C135="FITX",IF(E135="新倉","",IF(F135="賣",(I135-I134),(I134-I135)))))</f>
        <v/>
      </c>
      <c r="O135" s="334">
        <f>ABS(J135)</f>
        <v/>
      </c>
      <c r="P135" s="667" t="n"/>
      <c r="R135" s="61" t="n"/>
      <c r="S135" s="61" t="n"/>
      <c r="T135" s="61" t="n"/>
      <c r="U135" s="61" t="n"/>
      <c r="V135" s="61" t="n"/>
      <c r="W135" s="61" t="n"/>
      <c r="X135" s="61" t="n"/>
      <c r="Y135" s="61" t="n"/>
    </row>
    <row r="136" hidden="1" outlineLevel="2" ht="17.25" customHeight="1" thickBot="1">
      <c r="B136" s="368" t="n">
        <v>42564</v>
      </c>
      <c r="C136" s="337" t="inlineStr">
        <is>
          <t>FITX</t>
        </is>
      </c>
      <c r="D136" s="338" t="inlineStr">
        <is>
          <t>台指07</t>
        </is>
      </c>
      <c r="E136" s="338" t="inlineStr">
        <is>
          <t>平倉</t>
        </is>
      </c>
      <c r="F136" s="338" t="inlineStr">
        <is>
          <t>買</t>
        </is>
      </c>
      <c r="G136" s="338" t="inlineStr">
        <is>
          <t>-</t>
        </is>
      </c>
      <c r="H136" s="767" t="n">
        <v>1</v>
      </c>
      <c r="I136" s="767" t="n">
        <v>8775</v>
      </c>
      <c r="J136" s="767" t="n">
        <v>0</v>
      </c>
      <c r="K136" s="769" t="n">
        <v>100</v>
      </c>
      <c r="L136" s="769" t="n">
        <v>35</v>
      </c>
      <c r="M136" s="699">
        <f>IF(C136="TXO",J136-SUM(K136:L136),IF(C136="FITX",IF(E136="新倉",-SUM(K136:L136),IF(F136="賣",(I136-I135)*H136*200-SUM(K136:L136),(I135-I136)*H136*200-SUM(K136:L136)))))</f>
        <v/>
      </c>
      <c r="N136" s="686">
        <f>IF(C136="TXO","",IF(C136="FITX",IF(E136="新倉","",IF(F136="賣",(I136-I135),(I135-I136)))))</f>
        <v/>
      </c>
      <c r="O136" s="334">
        <f>ABS(J136)</f>
        <v/>
      </c>
      <c r="P136" s="667" t="n"/>
      <c r="R136" s="61" t="n"/>
      <c r="S136" s="61" t="n"/>
      <c r="T136" s="61" t="n"/>
      <c r="U136" s="61" t="n"/>
      <c r="V136" s="61" t="n"/>
      <c r="W136" s="61" t="n"/>
      <c r="X136" s="61" t="n"/>
      <c r="Y136" s="61" t="n"/>
    </row>
    <row r="137" hidden="1" outlineLevel="2" ht="17.25" customHeight="1" thickBot="1">
      <c r="B137" s="368" t="n">
        <v>42564</v>
      </c>
      <c r="C137" s="337" t="inlineStr">
        <is>
          <t>FITX</t>
        </is>
      </c>
      <c r="D137" s="338" t="inlineStr">
        <is>
          <t>台指07</t>
        </is>
      </c>
      <c r="E137" s="338" t="inlineStr">
        <is>
          <t>新倉</t>
        </is>
      </c>
      <c r="F137" s="338" t="inlineStr">
        <is>
          <t>賣</t>
        </is>
      </c>
      <c r="G137" s="338" t="inlineStr">
        <is>
          <t>-</t>
        </is>
      </c>
      <c r="H137" s="767" t="n">
        <v>1</v>
      </c>
      <c r="I137" s="767" t="n">
        <v>8741</v>
      </c>
      <c r="J137" s="767" t="n">
        <v>0</v>
      </c>
      <c r="K137" s="769" t="n">
        <v>100</v>
      </c>
      <c r="L137" s="769" t="n">
        <v>35</v>
      </c>
      <c r="M137" s="699">
        <f>IF(C137="TXO",J137-SUM(K137:L137),IF(C137="FITX",IF(E137="新倉",-SUM(K137:L137),IF(F137="賣",(I137-I136)*H137*200-SUM(K137:L137),(I136-I137)*H137*200-SUM(K137:L137)))))</f>
        <v/>
      </c>
      <c r="N137" s="686">
        <f>IF(C137="TXO","",IF(C137="FITX",IF(E137="新倉","",IF(F137="賣",(I137-I136),(I136-I137)))))</f>
        <v/>
      </c>
      <c r="O137" s="334">
        <f>ABS(J137)</f>
        <v/>
      </c>
      <c r="P137" s="667" t="n"/>
      <c r="R137" s="61" t="n"/>
      <c r="S137" s="61" t="n"/>
      <c r="T137" s="61" t="n"/>
      <c r="U137" s="61" t="n"/>
      <c r="V137" s="61" t="n"/>
      <c r="W137" s="61" t="n"/>
      <c r="X137" s="61" t="n"/>
      <c r="Y137" s="61" t="n"/>
    </row>
    <row r="138" hidden="1" outlineLevel="2" ht="17.25" customHeight="1" thickBot="1">
      <c r="B138" s="368" t="n">
        <v>42564</v>
      </c>
      <c r="C138" s="337" t="inlineStr">
        <is>
          <t>FITX</t>
        </is>
      </c>
      <c r="D138" s="338" t="inlineStr">
        <is>
          <t>台指07</t>
        </is>
      </c>
      <c r="E138" s="338" t="inlineStr">
        <is>
          <t>平倉</t>
        </is>
      </c>
      <c r="F138" s="338" t="inlineStr">
        <is>
          <t>買</t>
        </is>
      </c>
      <c r="G138" s="338" t="inlineStr">
        <is>
          <t>-</t>
        </is>
      </c>
      <c r="H138" s="767" t="n">
        <v>1</v>
      </c>
      <c r="I138" s="767" t="n">
        <v>8733</v>
      </c>
      <c r="J138" s="767" t="n">
        <v>0</v>
      </c>
      <c r="K138" s="769" t="n">
        <v>100</v>
      </c>
      <c r="L138" s="769" t="n">
        <v>35</v>
      </c>
      <c r="M138" s="699">
        <f>IF(C138="TXO",J138-SUM(K138:L138),IF(C138="FITX",IF(E138="新倉",-SUM(K138:L138),IF(F138="賣",(I138-I137)*H138*200-SUM(K138:L138),(I137-I138)*H138*200-SUM(K138:L138)))))</f>
        <v/>
      </c>
      <c r="N138" s="686">
        <f>IF(C138="TXO","",IF(C138="FITX",IF(E138="新倉","",IF(F138="賣",(I138-I137),(I137-I138)))))</f>
        <v/>
      </c>
      <c r="O138" s="334">
        <f>ABS(J138)</f>
        <v/>
      </c>
      <c r="P138" s="667" t="n"/>
      <c r="R138" s="61" t="n"/>
      <c r="S138" s="61" t="n"/>
      <c r="T138" s="61" t="n"/>
      <c r="U138" s="61" t="n"/>
      <c r="V138" s="61" t="n"/>
      <c r="W138" s="61" t="n"/>
      <c r="X138" s="61" t="n"/>
      <c r="Y138" s="61" t="n"/>
    </row>
    <row r="139" hidden="1" outlineLevel="2" ht="17.25" customHeight="1" thickBot="1">
      <c r="B139" s="368" t="n">
        <v>42564</v>
      </c>
      <c r="C139" s="337" t="inlineStr">
        <is>
          <t>FITX</t>
        </is>
      </c>
      <c r="D139" s="338" t="inlineStr">
        <is>
          <t>台指07</t>
        </is>
      </c>
      <c r="E139" s="338" t="inlineStr">
        <is>
          <t>新倉</t>
        </is>
      </c>
      <c r="F139" s="338" t="inlineStr">
        <is>
          <t>賣</t>
        </is>
      </c>
      <c r="G139" s="338" t="inlineStr">
        <is>
          <t>-</t>
        </is>
      </c>
      <c r="H139" s="767" t="n">
        <v>1</v>
      </c>
      <c r="I139" s="767" t="n">
        <v>8730</v>
      </c>
      <c r="J139" s="767" t="n">
        <v>0</v>
      </c>
      <c r="K139" s="769" t="n">
        <v>100</v>
      </c>
      <c r="L139" s="769" t="n">
        <v>35</v>
      </c>
      <c r="M139" s="699">
        <f>IF(C139="TXO",J139-SUM(K139:L139),IF(C139="FITX",IF(E139="新倉",-SUM(K139:L139),IF(F139="賣",(I139-I138)*H139*200-SUM(K139:L139),(I138-I139)*H139*200-SUM(K139:L139)))))</f>
        <v/>
      </c>
      <c r="N139" s="686">
        <f>IF(C139="TXO","",IF(C139="FITX",IF(E139="新倉","",IF(F139="賣",(I139-I138),(I138-I139)))))</f>
        <v/>
      </c>
      <c r="O139" s="334">
        <f>ABS(J139)</f>
        <v/>
      </c>
      <c r="P139" s="667" t="n"/>
      <c r="R139" s="61" t="n"/>
      <c r="S139" s="61" t="n"/>
      <c r="T139" s="61" t="n"/>
      <c r="U139" s="61" t="n"/>
      <c r="V139" s="61" t="n"/>
      <c r="W139" s="61" t="n"/>
      <c r="X139" s="61" t="n"/>
      <c r="Y139" s="61" t="n"/>
    </row>
    <row r="140" hidden="1" outlineLevel="2" ht="17.25" customHeight="1" thickBot="1">
      <c r="B140" s="368" t="n">
        <v>42564</v>
      </c>
      <c r="C140" s="337" t="inlineStr">
        <is>
          <t>FITX</t>
        </is>
      </c>
      <c r="D140" s="338" t="inlineStr">
        <is>
          <t>台指07</t>
        </is>
      </c>
      <c r="E140" s="338" t="inlineStr">
        <is>
          <t>平倉</t>
        </is>
      </c>
      <c r="F140" s="338" t="inlineStr">
        <is>
          <t>買</t>
        </is>
      </c>
      <c r="G140" s="338" t="inlineStr">
        <is>
          <t>-</t>
        </is>
      </c>
      <c r="H140" s="767" t="n">
        <v>1</v>
      </c>
      <c r="I140" s="767" t="n">
        <v>8743</v>
      </c>
      <c r="J140" s="767" t="n">
        <v>0</v>
      </c>
      <c r="K140" s="769" t="n">
        <v>100</v>
      </c>
      <c r="L140" s="769" t="n">
        <v>35</v>
      </c>
      <c r="M140" s="699">
        <f>IF(C140="TXO",J140-SUM(K140:L140),IF(C140="FITX",IF(E140="新倉",-SUM(K140:L140),IF(F140="賣",(I140-I139)*H140*200-SUM(K140:L140),(I139-I140)*H140*200-SUM(K140:L140)))))</f>
        <v/>
      </c>
      <c r="N140" s="686">
        <f>IF(C140="TXO","",IF(C140="FITX",IF(E140="新倉","",IF(F140="賣",(I140-I139),(I139-I140)))))</f>
        <v/>
      </c>
      <c r="O140" s="334">
        <f>ABS(J140)</f>
        <v/>
      </c>
      <c r="P140" s="667" t="n"/>
      <c r="R140" s="61" t="n"/>
      <c r="S140" s="61" t="n"/>
      <c r="T140" s="61" t="n"/>
      <c r="U140" s="61" t="n"/>
      <c r="V140" s="61" t="n"/>
      <c r="W140" s="61" t="n"/>
      <c r="X140" s="61" t="n"/>
      <c r="Y140" s="61" t="n"/>
    </row>
    <row r="141" hidden="1" outlineLevel="1" collapsed="1" ht="17.25" customHeight="1" thickBot="1">
      <c r="B141" s="369" t="n">
        <v>42565</v>
      </c>
      <c r="C141" s="370" t="inlineStr">
        <is>
          <t>FITX</t>
        </is>
      </c>
      <c r="D141" s="371" t="inlineStr">
        <is>
          <t>台指07</t>
        </is>
      </c>
      <c r="E141" s="371" t="inlineStr">
        <is>
          <t>新倉</t>
        </is>
      </c>
      <c r="F141" s="371" t="inlineStr">
        <is>
          <t>賣</t>
        </is>
      </c>
      <c r="G141" s="371" t="inlineStr">
        <is>
          <t>-</t>
        </is>
      </c>
      <c r="H141" s="785" t="n">
        <v>1</v>
      </c>
      <c r="I141" s="785" t="n">
        <v>8779</v>
      </c>
      <c r="J141" s="785" t="n">
        <v>0</v>
      </c>
      <c r="K141" s="786" t="n">
        <v>100</v>
      </c>
      <c r="L141" s="786" t="n">
        <v>35</v>
      </c>
      <c r="M141" s="743">
        <f>IF(C141="TXO",J141-SUM(K141:L141),IF(C141="FITX",IF(E141="新倉",-SUM(K141:L141),IF(F141="賣",(I141-I140)*H141*200-SUM(K141:L141),(I140-I141)*H141*200-SUM(K141:L141)))))</f>
        <v/>
      </c>
      <c r="N141" s="780">
        <f>IF(C141="TXO","",IF(C141="FITX",IF(E141="新倉","",IF(F141="賣",(I141-I140),(I140-I141)))))</f>
        <v/>
      </c>
      <c r="O141" s="334">
        <f>ABS(J141)</f>
        <v/>
      </c>
      <c r="P141" s="764">
        <f>SUM(M141:M154)</f>
        <v/>
      </c>
      <c r="R141" s="61" t="n"/>
      <c r="S141" s="61" t="n"/>
      <c r="T141" s="61" t="n"/>
      <c r="U141" s="61" t="n"/>
      <c r="V141" s="61" t="n"/>
      <c r="W141" s="61" t="n"/>
      <c r="X141" s="61" t="n"/>
      <c r="Y141" s="61" t="n"/>
    </row>
    <row r="142" hidden="1" outlineLevel="2" ht="17.25" customHeight="1" thickBot="1">
      <c r="B142" s="369" t="n">
        <v>42565</v>
      </c>
      <c r="C142" s="370" t="inlineStr">
        <is>
          <t>FITX</t>
        </is>
      </c>
      <c r="D142" s="371" t="inlineStr">
        <is>
          <t>台指07</t>
        </is>
      </c>
      <c r="E142" s="371" t="inlineStr">
        <is>
          <t>平倉</t>
        </is>
      </c>
      <c r="F142" s="371" t="inlineStr">
        <is>
          <t>買</t>
        </is>
      </c>
      <c r="G142" s="371" t="inlineStr">
        <is>
          <t>-</t>
        </is>
      </c>
      <c r="H142" s="785" t="n">
        <v>1</v>
      </c>
      <c r="I142" s="785" t="n">
        <v>8793</v>
      </c>
      <c r="J142" s="785" t="n">
        <v>0</v>
      </c>
      <c r="K142" s="786" t="n">
        <v>100</v>
      </c>
      <c r="L142" s="786" t="n">
        <v>35</v>
      </c>
      <c r="M142" s="743">
        <f>IF(C142="TXO",J142-SUM(K142:L142),IF(C142="FITX",IF(E142="新倉",-SUM(K142:L142),IF(F142="賣",(I142-I141)*H142*200-SUM(K142:L142),(I141-I142)*H142*200-SUM(K142:L142)))))</f>
        <v/>
      </c>
      <c r="N142" s="780">
        <f>IF(C142="TXO","",IF(C142="FITX",IF(E142="新倉","",IF(F142="賣",(I142-I141),(I141-I142)))))</f>
        <v/>
      </c>
      <c r="O142" s="334">
        <f>ABS(J142)</f>
        <v/>
      </c>
      <c r="P142" s="764" t="n"/>
      <c r="R142" s="61" t="n"/>
      <c r="S142" s="61" t="n"/>
      <c r="T142" s="61" t="n"/>
      <c r="U142" s="61" t="n"/>
      <c r="V142" s="61" t="n"/>
      <c r="W142" s="61" t="n"/>
      <c r="X142" s="61" t="n"/>
      <c r="Y142" s="61" t="n"/>
    </row>
    <row r="143" hidden="1" outlineLevel="2" ht="17.25" customHeight="1" thickBot="1">
      <c r="B143" s="369" t="n">
        <v>42565</v>
      </c>
      <c r="C143" s="370" t="inlineStr">
        <is>
          <t>FITX</t>
        </is>
      </c>
      <c r="D143" s="371" t="inlineStr">
        <is>
          <t>台指07</t>
        </is>
      </c>
      <c r="E143" s="371" t="inlineStr">
        <is>
          <t>新倉</t>
        </is>
      </c>
      <c r="F143" s="371" t="inlineStr">
        <is>
          <t>賣</t>
        </is>
      </c>
      <c r="G143" s="371" t="inlineStr">
        <is>
          <t>-</t>
        </is>
      </c>
      <c r="H143" s="785" t="n">
        <v>1</v>
      </c>
      <c r="I143" s="785" t="n">
        <v>8814</v>
      </c>
      <c r="J143" s="785" t="n">
        <v>0</v>
      </c>
      <c r="K143" s="786" t="n">
        <v>100</v>
      </c>
      <c r="L143" s="786" t="n">
        <v>35</v>
      </c>
      <c r="M143" s="743">
        <f>IF(C143="TXO",J143-SUM(K143:L143),IF(C143="FITX",IF(E143="新倉",-SUM(K143:L143),IF(F143="賣",(I143-I142)*H143*200-SUM(K143:L143),(I142-I143)*H143*200-SUM(K143:L143)))))</f>
        <v/>
      </c>
      <c r="N143" s="780">
        <f>IF(C143="TXO","",IF(C143="FITX",IF(E143="新倉","",IF(F143="賣",(I143-I142),(I142-I143)))))</f>
        <v/>
      </c>
      <c r="O143" s="334">
        <f>ABS(J143)</f>
        <v/>
      </c>
      <c r="P143" s="764" t="n"/>
      <c r="R143" s="61" t="n"/>
      <c r="S143" s="61" t="n"/>
      <c r="T143" s="61" t="n"/>
      <c r="U143" s="61" t="n"/>
      <c r="V143" s="61" t="n"/>
      <c r="W143" s="61" t="n"/>
      <c r="X143" s="61" t="n"/>
      <c r="Y143" s="61" t="n"/>
    </row>
    <row r="144" hidden="1" outlineLevel="2" ht="17.25" customHeight="1" thickBot="1">
      <c r="B144" s="369" t="n">
        <v>42565</v>
      </c>
      <c r="C144" s="370" t="inlineStr">
        <is>
          <t>FITX</t>
        </is>
      </c>
      <c r="D144" s="371" t="inlineStr">
        <is>
          <t>台指07</t>
        </is>
      </c>
      <c r="E144" s="371" t="inlineStr">
        <is>
          <t>平倉</t>
        </is>
      </c>
      <c r="F144" s="371" t="inlineStr">
        <is>
          <t>買</t>
        </is>
      </c>
      <c r="G144" s="371" t="inlineStr">
        <is>
          <t>-</t>
        </is>
      </c>
      <c r="H144" s="785" t="n">
        <v>1</v>
      </c>
      <c r="I144" s="785" t="n">
        <v>8822</v>
      </c>
      <c r="J144" s="785" t="n">
        <v>0</v>
      </c>
      <c r="K144" s="786" t="n">
        <v>100</v>
      </c>
      <c r="L144" s="786" t="n">
        <v>35</v>
      </c>
      <c r="M144" s="743">
        <f>IF(C144="TXO",J144-SUM(K144:L144),IF(C144="FITX",IF(E144="新倉",-SUM(K144:L144),IF(F144="賣",(I144-I143)*H144*200-SUM(K144:L144),(I143-I144)*H144*200-SUM(K144:L144)))))</f>
        <v/>
      </c>
      <c r="N144" s="780">
        <f>IF(C144="TXO","",IF(C144="FITX",IF(E144="新倉","",IF(F144="賣",(I144-I143),(I143-I144)))))</f>
        <v/>
      </c>
      <c r="O144" s="334">
        <f>ABS(J144)</f>
        <v/>
      </c>
      <c r="P144" s="764" t="n"/>
      <c r="R144" s="61" t="n"/>
      <c r="S144" s="61" t="n"/>
      <c r="T144" s="61" t="n"/>
      <c r="U144" s="61" t="n"/>
      <c r="V144" s="61" t="n"/>
      <c r="W144" s="61" t="n"/>
      <c r="X144" s="61" t="n"/>
      <c r="Y144" s="61" t="n"/>
    </row>
    <row r="145" hidden="1" outlineLevel="2" ht="17.25" customHeight="1" thickBot="1">
      <c r="B145" s="369" t="n">
        <v>42565</v>
      </c>
      <c r="C145" s="370" t="inlineStr">
        <is>
          <t>FITX</t>
        </is>
      </c>
      <c r="D145" s="371" t="inlineStr">
        <is>
          <t>台指07</t>
        </is>
      </c>
      <c r="E145" s="371" t="inlineStr">
        <is>
          <t>新倉</t>
        </is>
      </c>
      <c r="F145" s="371" t="inlineStr">
        <is>
          <t>買</t>
        </is>
      </c>
      <c r="G145" s="371" t="inlineStr">
        <is>
          <t>-</t>
        </is>
      </c>
      <c r="H145" s="785" t="n">
        <v>1</v>
      </c>
      <c r="I145" s="785" t="n">
        <v>8812</v>
      </c>
      <c r="J145" s="785" t="n">
        <v>0</v>
      </c>
      <c r="K145" s="786" t="n">
        <v>100</v>
      </c>
      <c r="L145" s="786" t="n">
        <v>35</v>
      </c>
      <c r="M145" s="743">
        <f>IF(C145="TXO",J145-SUM(K145:L145),IF(C145="FITX",IF(E145="新倉",-SUM(K145:L145),IF(F145="賣",(I145-I144)*H145*200-SUM(K145:L145),(I144-I145)*H145*200-SUM(K145:L145)))))</f>
        <v/>
      </c>
      <c r="N145" s="780">
        <f>IF(C145="TXO","",IF(C145="FITX",IF(E145="新倉","",IF(F145="賣",(I145-I144),(I144-I145)))))</f>
        <v/>
      </c>
      <c r="O145" s="334">
        <f>ABS(J145)</f>
        <v/>
      </c>
      <c r="P145" s="764" t="n"/>
      <c r="R145" s="61" t="n"/>
      <c r="S145" s="61" t="n"/>
      <c r="T145" s="61" t="n"/>
      <c r="U145" s="61" t="n"/>
      <c r="V145" s="61" t="n"/>
      <c r="W145" s="61" t="n"/>
      <c r="X145" s="61" t="n"/>
      <c r="Y145" s="61" t="n"/>
    </row>
    <row r="146" hidden="1" outlineLevel="2" ht="17.25" customHeight="1" thickBot="1">
      <c r="B146" s="369" t="n">
        <v>42565</v>
      </c>
      <c r="C146" s="370" t="inlineStr">
        <is>
          <t>FITX</t>
        </is>
      </c>
      <c r="D146" s="371" t="inlineStr">
        <is>
          <t>台指07</t>
        </is>
      </c>
      <c r="E146" s="371" t="inlineStr">
        <is>
          <t>平倉</t>
        </is>
      </c>
      <c r="F146" s="371" t="inlineStr">
        <is>
          <t>賣</t>
        </is>
      </c>
      <c r="G146" s="371" t="inlineStr">
        <is>
          <t>-</t>
        </is>
      </c>
      <c r="H146" s="785" t="n">
        <v>1</v>
      </c>
      <c r="I146" s="785" t="n">
        <v>8816</v>
      </c>
      <c r="J146" s="785" t="n">
        <v>0</v>
      </c>
      <c r="K146" s="786" t="n">
        <v>100</v>
      </c>
      <c r="L146" s="786" t="n">
        <v>35</v>
      </c>
      <c r="M146" s="743">
        <f>IF(C146="TXO",J146-SUM(K146:L146),IF(C146="FITX",IF(E146="新倉",-SUM(K146:L146),IF(F146="賣",(I146-I145)*H146*200-SUM(K146:L146),(I145-I146)*H146*200-SUM(K146:L146)))))</f>
        <v/>
      </c>
      <c r="N146" s="780">
        <f>IF(C146="TXO","",IF(C146="FITX",IF(E146="新倉","",IF(F146="賣",(I146-I145),(I145-I146)))))</f>
        <v/>
      </c>
      <c r="O146" s="334">
        <f>ABS(J146)</f>
        <v/>
      </c>
      <c r="P146" s="764" t="n"/>
      <c r="R146" s="61" t="n"/>
      <c r="S146" s="61" t="n"/>
      <c r="T146" s="61" t="n"/>
      <c r="U146" s="61" t="n"/>
      <c r="V146" s="61" t="n"/>
      <c r="W146" s="61" t="n"/>
      <c r="X146" s="61" t="n"/>
      <c r="Y146" s="61" t="n"/>
    </row>
    <row r="147" hidden="1" outlineLevel="2" ht="17.25" customHeight="1" thickBot="1">
      <c r="B147" s="369" t="n">
        <v>42565</v>
      </c>
      <c r="C147" s="370" t="inlineStr">
        <is>
          <t>FITX</t>
        </is>
      </c>
      <c r="D147" s="371" t="inlineStr">
        <is>
          <t>台指07</t>
        </is>
      </c>
      <c r="E147" s="371" t="inlineStr">
        <is>
          <t>新倉</t>
        </is>
      </c>
      <c r="F147" s="371" t="inlineStr">
        <is>
          <t>買</t>
        </is>
      </c>
      <c r="G147" s="371" t="inlineStr">
        <is>
          <t>-</t>
        </is>
      </c>
      <c r="H147" s="785" t="n">
        <v>1</v>
      </c>
      <c r="I147" s="785" t="n">
        <v>8834</v>
      </c>
      <c r="J147" s="785" t="n">
        <v>0</v>
      </c>
      <c r="K147" s="786" t="n">
        <v>100</v>
      </c>
      <c r="L147" s="786" t="n">
        <v>35</v>
      </c>
      <c r="M147" s="743">
        <f>IF(C147="TXO",J147-SUM(K147:L147),IF(C147="FITX",IF(E147="新倉",-SUM(K147:L147),IF(F147="賣",(I147-I146)*H147*200-SUM(K147:L147),(I146-I147)*H147*200-SUM(K147:L147)))))</f>
        <v/>
      </c>
      <c r="N147" s="780">
        <f>IF(C147="TXO","",IF(C147="FITX",IF(E147="新倉","",IF(F147="賣",(I147-I146),(I146-I147)))))</f>
        <v/>
      </c>
      <c r="O147" s="334">
        <f>ABS(J147)</f>
        <v/>
      </c>
      <c r="P147" s="764" t="n"/>
      <c r="R147" s="61" t="n"/>
      <c r="S147" s="61" t="n"/>
      <c r="T147" s="61" t="n"/>
      <c r="U147" s="61" t="n"/>
      <c r="V147" s="61" t="n"/>
      <c r="W147" s="61" t="n"/>
      <c r="X147" s="61" t="n"/>
      <c r="Y147" s="61" t="n"/>
    </row>
    <row r="148" hidden="1" outlineLevel="2" ht="17.25" customHeight="1" thickBot="1">
      <c r="B148" s="369" t="n">
        <v>42565</v>
      </c>
      <c r="C148" s="370" t="inlineStr">
        <is>
          <t>FITX</t>
        </is>
      </c>
      <c r="D148" s="371" t="inlineStr">
        <is>
          <t>台指07</t>
        </is>
      </c>
      <c r="E148" s="371" t="inlineStr">
        <is>
          <t>平倉</t>
        </is>
      </c>
      <c r="F148" s="371" t="inlineStr">
        <is>
          <t>賣</t>
        </is>
      </c>
      <c r="G148" s="371" t="inlineStr">
        <is>
          <t>-</t>
        </is>
      </c>
      <c r="H148" s="785" t="n">
        <v>1</v>
      </c>
      <c r="I148" s="785" t="n">
        <v>8826</v>
      </c>
      <c r="J148" s="785" t="n">
        <v>0</v>
      </c>
      <c r="K148" s="786" t="n">
        <v>100</v>
      </c>
      <c r="L148" s="786" t="n">
        <v>35</v>
      </c>
      <c r="M148" s="743">
        <f>IF(C148="TXO",J148-SUM(K148:L148),IF(C148="FITX",IF(E148="新倉",-SUM(K148:L148),IF(F148="賣",(I148-I147)*H148*200-SUM(K148:L148),(I147-I148)*H148*200-SUM(K148:L148)))))</f>
        <v/>
      </c>
      <c r="N148" s="780">
        <f>IF(C148="TXO","",IF(C148="FITX",IF(E148="新倉","",IF(F148="賣",(I148-I147),(I147-I148)))))</f>
        <v/>
      </c>
      <c r="O148" s="334">
        <f>ABS(J148)</f>
        <v/>
      </c>
      <c r="P148" s="764" t="n"/>
      <c r="R148" s="61" t="n"/>
      <c r="S148" s="61" t="n"/>
      <c r="T148" s="61" t="n"/>
      <c r="U148" s="61" t="n"/>
      <c r="V148" s="61" t="n"/>
      <c r="W148" s="61" t="n"/>
      <c r="X148" s="61" t="n"/>
      <c r="Y148" s="61" t="n"/>
    </row>
    <row r="149" hidden="1" outlineLevel="2" ht="17.25" customHeight="1" thickBot="1">
      <c r="B149" s="369" t="n">
        <v>42565</v>
      </c>
      <c r="C149" s="370" t="inlineStr">
        <is>
          <t>FITX</t>
        </is>
      </c>
      <c r="D149" s="371" t="inlineStr">
        <is>
          <t>台指07</t>
        </is>
      </c>
      <c r="E149" s="371" t="inlineStr">
        <is>
          <t>新倉</t>
        </is>
      </c>
      <c r="F149" s="371" t="inlineStr">
        <is>
          <t>買</t>
        </is>
      </c>
      <c r="G149" s="371" t="inlineStr">
        <is>
          <t>-</t>
        </is>
      </c>
      <c r="H149" s="785" t="n">
        <v>1</v>
      </c>
      <c r="I149" s="785" t="n">
        <v>8821</v>
      </c>
      <c r="J149" s="785" t="n">
        <v>0</v>
      </c>
      <c r="K149" s="786" t="n">
        <v>100</v>
      </c>
      <c r="L149" s="786" t="n">
        <v>35</v>
      </c>
      <c r="M149" s="743">
        <f>IF(C149="TXO",J149-SUM(K149:L149),IF(C149="FITX",IF(E149="新倉",-SUM(K149:L149),IF(F149="賣",(I149-I148)*H149*200-SUM(K149:L149),(I148-I149)*H149*200-SUM(K149:L149)))))</f>
        <v/>
      </c>
      <c r="N149" s="780">
        <f>IF(C149="TXO","",IF(C149="FITX",IF(E149="新倉","",IF(F149="賣",(I149-I148),(I148-I149)))))</f>
        <v/>
      </c>
      <c r="O149" s="334">
        <f>ABS(J149)</f>
        <v/>
      </c>
      <c r="P149" s="764" t="n"/>
      <c r="R149" s="61" t="n"/>
      <c r="S149" s="61" t="n"/>
      <c r="T149" s="61" t="n"/>
      <c r="U149" s="61" t="n"/>
      <c r="V149" s="61" t="n"/>
      <c r="W149" s="61" t="n"/>
      <c r="X149" s="61" t="n"/>
      <c r="Y149" s="61" t="n"/>
    </row>
    <row r="150" hidden="1" outlineLevel="2" ht="17.25" customHeight="1" thickBot="1">
      <c r="B150" s="369" t="n">
        <v>42565</v>
      </c>
      <c r="C150" s="370" t="inlineStr">
        <is>
          <t>FITX</t>
        </is>
      </c>
      <c r="D150" s="371" t="inlineStr">
        <is>
          <t>台指07</t>
        </is>
      </c>
      <c r="E150" s="371" t="inlineStr">
        <is>
          <t>平倉</t>
        </is>
      </c>
      <c r="F150" s="371" t="inlineStr">
        <is>
          <t>賣</t>
        </is>
      </c>
      <c r="G150" s="371" t="inlineStr">
        <is>
          <t>-</t>
        </is>
      </c>
      <c r="H150" s="785" t="n">
        <v>1</v>
      </c>
      <c r="I150" s="785" t="n">
        <v>8808</v>
      </c>
      <c r="J150" s="785" t="n">
        <v>0</v>
      </c>
      <c r="K150" s="786" t="n">
        <v>100</v>
      </c>
      <c r="L150" s="786" t="n">
        <v>35</v>
      </c>
      <c r="M150" s="743">
        <f>IF(C150="TXO",J150-SUM(K150:L150),IF(C150="FITX",IF(E150="新倉",-SUM(K150:L150),IF(F150="賣",(I150-I149)*H150*200-SUM(K150:L150),(I149-I150)*H150*200-SUM(K150:L150)))))</f>
        <v/>
      </c>
      <c r="N150" s="780">
        <f>IF(C150="TXO","",IF(C150="FITX",IF(E150="新倉","",IF(F150="賣",(I150-I149),(I149-I150)))))</f>
        <v/>
      </c>
      <c r="O150" s="334">
        <f>ABS(J150)</f>
        <v/>
      </c>
      <c r="P150" s="764" t="n"/>
      <c r="R150" s="61" t="n"/>
      <c r="S150" s="61" t="n"/>
      <c r="T150" s="61" t="n"/>
      <c r="U150" s="61" t="n"/>
      <c r="V150" s="61" t="n"/>
      <c r="W150" s="61" t="n"/>
      <c r="X150" s="61" t="n"/>
      <c r="Y150" s="61" t="n"/>
    </row>
    <row r="151" hidden="1" outlineLevel="2" ht="17.25" customHeight="1" thickBot="1">
      <c r="B151" s="369" t="n">
        <v>42565</v>
      </c>
      <c r="C151" s="370" t="inlineStr">
        <is>
          <t>FITX</t>
        </is>
      </c>
      <c r="D151" s="371" t="inlineStr">
        <is>
          <t>台指07</t>
        </is>
      </c>
      <c r="E151" s="371" t="inlineStr">
        <is>
          <t>新倉</t>
        </is>
      </c>
      <c r="F151" s="371" t="inlineStr">
        <is>
          <t>買</t>
        </is>
      </c>
      <c r="G151" s="371" t="inlineStr">
        <is>
          <t>-</t>
        </is>
      </c>
      <c r="H151" s="785" t="n">
        <v>1</v>
      </c>
      <c r="I151" s="785" t="n">
        <v>8827</v>
      </c>
      <c r="J151" s="785" t="n">
        <v>0</v>
      </c>
      <c r="K151" s="786" t="n">
        <v>100</v>
      </c>
      <c r="L151" s="786" t="n">
        <v>35</v>
      </c>
      <c r="M151" s="743">
        <f>IF(C151="TXO",J151-SUM(K151:L151),IF(C151="FITX",IF(E151="新倉",-SUM(K151:L151),IF(F151="賣",(I151-I150)*H151*200-SUM(K151:L151),(I150-I151)*H151*200-SUM(K151:L151)))))</f>
        <v/>
      </c>
      <c r="N151" s="780">
        <f>IF(C151="TXO","",IF(C151="FITX",IF(E151="新倉","",IF(F151="賣",(I151-I150),(I150-I151)))))</f>
        <v/>
      </c>
      <c r="O151" s="334">
        <f>ABS(J151)</f>
        <v/>
      </c>
      <c r="P151" s="764" t="n"/>
      <c r="R151" s="61" t="n"/>
      <c r="S151" s="61" t="n"/>
      <c r="T151" s="61" t="n"/>
      <c r="U151" s="61" t="n"/>
      <c r="V151" s="61" t="n"/>
      <c r="W151" s="61" t="n"/>
      <c r="X151" s="61" t="n"/>
      <c r="Y151" s="61" t="n"/>
    </row>
    <row r="152" hidden="1" outlineLevel="2" ht="17.25" customHeight="1" thickBot="1">
      <c r="B152" s="369" t="n">
        <v>42565</v>
      </c>
      <c r="C152" s="370" t="inlineStr">
        <is>
          <t>FITX</t>
        </is>
      </c>
      <c r="D152" s="371" t="inlineStr">
        <is>
          <t>台指07</t>
        </is>
      </c>
      <c r="E152" s="371" t="inlineStr">
        <is>
          <t>平倉</t>
        </is>
      </c>
      <c r="F152" s="371" t="inlineStr">
        <is>
          <t>賣</t>
        </is>
      </c>
      <c r="G152" s="371" t="inlineStr">
        <is>
          <t>-</t>
        </is>
      </c>
      <c r="H152" s="785" t="n">
        <v>1</v>
      </c>
      <c r="I152" s="785" t="n">
        <v>8818</v>
      </c>
      <c r="J152" s="785" t="n">
        <v>0</v>
      </c>
      <c r="K152" s="786" t="n">
        <v>100</v>
      </c>
      <c r="L152" s="786" t="n">
        <v>35</v>
      </c>
      <c r="M152" s="743">
        <f>IF(C152="TXO",J152-SUM(K152:L152),IF(C152="FITX",IF(E152="新倉",-SUM(K152:L152),IF(F152="賣",(I152-I151)*H152*200-SUM(K152:L152),(I151-I152)*H152*200-SUM(K152:L152)))))</f>
        <v/>
      </c>
      <c r="N152" s="780">
        <f>IF(C152="TXO","",IF(C152="FITX",IF(E152="新倉","",IF(F152="賣",(I152-I151),(I151-I152)))))</f>
        <v/>
      </c>
      <c r="O152" s="334">
        <f>ABS(J152)</f>
        <v/>
      </c>
      <c r="P152" s="764" t="n"/>
      <c r="R152" s="61" t="n"/>
      <c r="S152" s="61" t="n"/>
      <c r="T152" s="61" t="n"/>
      <c r="U152" s="61" t="n"/>
      <c r="V152" s="61" t="n"/>
      <c r="W152" s="61" t="n"/>
      <c r="X152" s="61" t="n"/>
      <c r="Y152" s="61" t="n"/>
    </row>
    <row r="153" hidden="1" outlineLevel="2" ht="17.25" customHeight="1" thickBot="1">
      <c r="B153" s="369" t="n">
        <v>42565</v>
      </c>
      <c r="C153" s="370" t="inlineStr">
        <is>
          <t>FITX</t>
        </is>
      </c>
      <c r="D153" s="371" t="inlineStr">
        <is>
          <t>台指07</t>
        </is>
      </c>
      <c r="E153" s="371" t="inlineStr">
        <is>
          <t>新倉</t>
        </is>
      </c>
      <c r="F153" s="371" t="inlineStr">
        <is>
          <t>賣</t>
        </is>
      </c>
      <c r="G153" s="371" t="inlineStr">
        <is>
          <t>-</t>
        </is>
      </c>
      <c r="H153" s="785" t="n">
        <v>1</v>
      </c>
      <c r="I153" s="785" t="n">
        <v>8782</v>
      </c>
      <c r="J153" s="785" t="n">
        <v>0</v>
      </c>
      <c r="K153" s="786" t="n">
        <v>100</v>
      </c>
      <c r="L153" s="786" t="n">
        <v>35</v>
      </c>
      <c r="M153" s="743">
        <f>IF(C153="TXO",J153-SUM(K153:L153),IF(C153="FITX",IF(E153="新倉",-SUM(K153:L153),IF(F153="賣",(I153-I152)*H153*200-SUM(K153:L153),(I152-I153)*H153*200-SUM(K153:L153)))))</f>
        <v/>
      </c>
      <c r="N153" s="780">
        <f>IF(C153="TXO","",IF(C153="FITX",IF(E153="新倉","",IF(F153="賣",(I153-I152),(I152-I153)))))</f>
        <v/>
      </c>
      <c r="O153" s="334">
        <f>ABS(J153)</f>
        <v/>
      </c>
      <c r="P153" s="764" t="n"/>
      <c r="R153" s="61" t="n"/>
      <c r="S153" s="61" t="n"/>
      <c r="T153" s="61" t="n"/>
      <c r="U153" s="61" t="n"/>
      <c r="V153" s="61" t="n"/>
      <c r="W153" s="61" t="n"/>
      <c r="X153" s="61" t="n"/>
      <c r="Y153" s="61" t="n"/>
    </row>
    <row r="154" hidden="1" outlineLevel="2" ht="17.25" customHeight="1" thickBot="1">
      <c r="B154" s="369" t="n">
        <v>42565</v>
      </c>
      <c r="C154" s="370" t="inlineStr">
        <is>
          <t>FITX</t>
        </is>
      </c>
      <c r="D154" s="371" t="inlineStr">
        <is>
          <t>台指07</t>
        </is>
      </c>
      <c r="E154" s="371" t="inlineStr">
        <is>
          <t>平倉</t>
        </is>
      </c>
      <c r="F154" s="371" t="inlineStr">
        <is>
          <t>買</t>
        </is>
      </c>
      <c r="G154" s="371" t="inlineStr">
        <is>
          <t>-</t>
        </is>
      </c>
      <c r="H154" s="785" t="n">
        <v>1</v>
      </c>
      <c r="I154" s="785" t="n">
        <v>8795</v>
      </c>
      <c r="J154" s="785" t="n">
        <v>0</v>
      </c>
      <c r="K154" s="786" t="n">
        <v>100</v>
      </c>
      <c r="L154" s="786" t="n">
        <v>35</v>
      </c>
      <c r="M154" s="743">
        <f>IF(C154="TXO",J154-SUM(K154:L154),IF(C154="FITX",IF(E154="新倉",-SUM(K154:L154),IF(F154="賣",(I154-I153)*H154*200-SUM(K154:L154),(I153-I154)*H154*200-SUM(K154:L154)))))</f>
        <v/>
      </c>
      <c r="N154" s="780">
        <f>IF(C154="TXO","",IF(C154="FITX",IF(E154="新倉","",IF(F154="賣",(I154-I153),(I153-I154)))))</f>
        <v/>
      </c>
      <c r="O154" s="334">
        <f>ABS(J154)</f>
        <v/>
      </c>
      <c r="P154" s="764" t="n"/>
      <c r="R154" s="61" t="n"/>
      <c r="S154" s="61" t="n"/>
      <c r="T154" s="61" t="n"/>
      <c r="U154" s="61" t="n"/>
      <c r="V154" s="61" t="n"/>
      <c r="W154" s="61" t="n"/>
      <c r="X154" s="61" t="n"/>
      <c r="Y154" s="61" t="n"/>
    </row>
    <row r="155" hidden="1" outlineLevel="1" collapsed="1" ht="17.25" customHeight="1" thickBot="1">
      <c r="B155" s="368" t="n">
        <v>42566</v>
      </c>
      <c r="C155" s="337" t="inlineStr">
        <is>
          <t>FITX</t>
        </is>
      </c>
      <c r="D155" s="338" t="inlineStr">
        <is>
          <t>台指07</t>
        </is>
      </c>
      <c r="E155" s="338" t="inlineStr">
        <is>
          <t>新倉</t>
        </is>
      </c>
      <c r="F155" s="338" t="inlineStr">
        <is>
          <t>買</t>
        </is>
      </c>
      <c r="G155" s="338" t="inlineStr">
        <is>
          <t>-</t>
        </is>
      </c>
      <c r="H155" s="767" t="n">
        <v>1</v>
      </c>
      <c r="I155" s="767" t="n">
        <v>8833</v>
      </c>
      <c r="J155" s="767" t="n">
        <v>0</v>
      </c>
      <c r="K155" s="769" t="n">
        <v>100</v>
      </c>
      <c r="L155" s="769" t="n">
        <v>35</v>
      </c>
      <c r="M155" s="699">
        <f>IF(C155="TXO",J155-SUM(K155:L155),IF(C155="FITX",IF(E155="新倉",-SUM(K155:L155),IF(F155="賣",(I155-I154)*H155*200-SUM(K155:L155),(I154-I155)*H155*200-SUM(K155:L155)))))</f>
        <v/>
      </c>
      <c r="N155" s="686">
        <f>IF(C155="TXO","",IF(C155="FITX",IF(E155="新倉","",IF(F155="賣",(I155-I154),(I154-I155)))))</f>
        <v/>
      </c>
      <c r="O155" s="334">
        <f>ABS(J155)</f>
        <v/>
      </c>
      <c r="P155" s="667">
        <f>SUM(M155:M165)</f>
        <v/>
      </c>
      <c r="R155" s="61" t="n"/>
      <c r="S155" s="61" t="n"/>
      <c r="T155" s="61" t="n"/>
      <c r="U155" s="61" t="n"/>
      <c r="V155" s="61" t="n"/>
      <c r="W155" s="61" t="n"/>
      <c r="X155" s="61" t="n"/>
      <c r="Y155" s="61" t="n"/>
    </row>
    <row r="156" hidden="1" outlineLevel="2" ht="17.25" customHeight="1" thickBot="1">
      <c r="B156" s="368" t="n">
        <v>42566</v>
      </c>
      <c r="C156" s="337" t="inlineStr">
        <is>
          <t>FITX</t>
        </is>
      </c>
      <c r="D156" s="338" t="inlineStr">
        <is>
          <t>台指07</t>
        </is>
      </c>
      <c r="E156" s="338" t="inlineStr">
        <is>
          <t>平倉</t>
        </is>
      </c>
      <c r="F156" s="338" t="inlineStr">
        <is>
          <t>賣</t>
        </is>
      </c>
      <c r="G156" s="338" t="inlineStr">
        <is>
          <t>-</t>
        </is>
      </c>
      <c r="H156" s="767" t="n">
        <v>1</v>
      </c>
      <c r="I156" s="767" t="n">
        <v>8842</v>
      </c>
      <c r="J156" s="767" t="n">
        <v>0</v>
      </c>
      <c r="K156" s="769" t="n">
        <v>100</v>
      </c>
      <c r="L156" s="769" t="n">
        <v>35</v>
      </c>
      <c r="M156" s="699">
        <f>IF(C156="TXO",J156-SUM(K156:L156),IF(C156="FITX",IF(E156="新倉",-SUM(K156:L156),IF(F156="賣",(I156-I155)*H156*200-SUM(K156:L156),(I155-I156)*H156*200-SUM(K156:L156)))))</f>
        <v/>
      </c>
      <c r="N156" s="686">
        <f>IF(C156="TXO","",IF(C156="FITX",IF(E156="新倉","",IF(F156="賣",(I156-I155),(I155-I156)))))</f>
        <v/>
      </c>
      <c r="O156" s="334">
        <f>ABS(J156)</f>
        <v/>
      </c>
      <c r="P156" s="667" t="n"/>
      <c r="R156" s="61" t="n"/>
      <c r="S156" s="61" t="n"/>
      <c r="T156" s="61" t="n"/>
      <c r="U156" s="61" t="n"/>
      <c r="V156" s="61" t="n"/>
      <c r="W156" s="61" t="n"/>
      <c r="X156" s="61" t="n"/>
      <c r="Y156" s="61" t="n"/>
    </row>
    <row r="157" hidden="1" outlineLevel="2" ht="17.25" customHeight="1" thickBot="1">
      <c r="B157" s="368" t="n">
        <v>42566</v>
      </c>
      <c r="C157" s="337" t="inlineStr">
        <is>
          <t>FITX</t>
        </is>
      </c>
      <c r="D157" s="338" t="inlineStr">
        <is>
          <t>台指07</t>
        </is>
      </c>
      <c r="E157" s="338" t="inlineStr">
        <is>
          <t>新倉</t>
        </is>
      </c>
      <c r="F157" s="338" t="inlineStr">
        <is>
          <t>買</t>
        </is>
      </c>
      <c r="G157" s="338" t="inlineStr">
        <is>
          <t>-</t>
        </is>
      </c>
      <c r="H157" s="767" t="n">
        <v>1</v>
      </c>
      <c r="I157" s="767" t="n">
        <v>8834</v>
      </c>
      <c r="J157" s="767" t="n">
        <v>0</v>
      </c>
      <c r="K157" s="769" t="n">
        <v>100</v>
      </c>
      <c r="L157" s="769" t="n">
        <v>35</v>
      </c>
      <c r="M157" s="699">
        <f>IF(C157="TXO",J157-SUM(K157:L157),IF(C157="FITX",IF(E157="新倉",-SUM(K157:L157),IF(F157="賣",(I157-I156)*H157*200-SUM(K157:L157),(I156-I157)*H157*200-SUM(K157:L157)))))</f>
        <v/>
      </c>
      <c r="N157" s="686">
        <f>IF(C157="TXO","",IF(C157="FITX",IF(E157="新倉","",IF(F157="賣",(I157-I156),(I156-I157)))))</f>
        <v/>
      </c>
      <c r="O157" s="334">
        <f>ABS(J157)</f>
        <v/>
      </c>
      <c r="P157" s="667" t="n"/>
      <c r="R157" s="61" t="n"/>
      <c r="S157" s="61" t="n"/>
      <c r="T157" s="61" t="n"/>
      <c r="U157" s="61" t="n"/>
      <c r="V157" s="61" t="n"/>
      <c r="W157" s="61" t="n"/>
      <c r="X157" s="61" t="n"/>
      <c r="Y157" s="61" t="n"/>
    </row>
    <row r="158" hidden="1" outlineLevel="2" ht="17.25" customHeight="1" thickBot="1">
      <c r="B158" s="368" t="n">
        <v>42566</v>
      </c>
      <c r="C158" s="337" t="inlineStr">
        <is>
          <t>FITX</t>
        </is>
      </c>
      <c r="D158" s="338" t="inlineStr">
        <is>
          <t>台指07</t>
        </is>
      </c>
      <c r="E158" s="338" t="inlineStr">
        <is>
          <t>平倉</t>
        </is>
      </c>
      <c r="F158" s="338" t="inlineStr">
        <is>
          <t>賣</t>
        </is>
      </c>
      <c r="G158" s="338" t="inlineStr">
        <is>
          <t>-</t>
        </is>
      </c>
      <c r="H158" s="767" t="n">
        <v>1</v>
      </c>
      <c r="I158" s="767" t="n">
        <v>8839</v>
      </c>
      <c r="J158" s="767" t="n">
        <v>0</v>
      </c>
      <c r="K158" s="769" t="n">
        <v>100</v>
      </c>
      <c r="L158" s="769" t="n">
        <v>35</v>
      </c>
      <c r="M158" s="699">
        <f>IF(C158="TXO",J158-SUM(K158:L158),IF(C158="FITX",IF(E158="新倉",-SUM(K158:L158),IF(F158="賣",(I158-I157)*H158*200-SUM(K158:L158),(I157-I158)*H158*200-SUM(K158:L158)))))</f>
        <v/>
      </c>
      <c r="N158" s="686">
        <f>IF(C158="TXO","",IF(C158="FITX",IF(E158="新倉","",IF(F158="賣",(I158-I157),(I157-I158)))))</f>
        <v/>
      </c>
      <c r="O158" s="334">
        <f>ABS(J158)</f>
        <v/>
      </c>
      <c r="P158" s="667" t="n"/>
      <c r="R158" s="61" t="n"/>
      <c r="S158" s="61" t="n"/>
      <c r="T158" s="61" t="n"/>
      <c r="U158" s="61" t="n"/>
      <c r="V158" s="61" t="n"/>
      <c r="W158" s="61" t="n"/>
      <c r="X158" s="61" t="n"/>
      <c r="Y158" s="61" t="n"/>
    </row>
    <row r="159" hidden="1" outlineLevel="2" ht="17.25" customHeight="1" thickBot="1">
      <c r="B159" s="368" t="n">
        <v>42566</v>
      </c>
      <c r="C159" s="337" t="inlineStr">
        <is>
          <t>FITX</t>
        </is>
      </c>
      <c r="D159" s="338" t="inlineStr">
        <is>
          <t>台指07</t>
        </is>
      </c>
      <c r="E159" s="338" t="inlineStr">
        <is>
          <t>新倉</t>
        </is>
      </c>
      <c r="F159" s="338" t="inlineStr">
        <is>
          <t>買</t>
        </is>
      </c>
      <c r="G159" s="338" t="inlineStr">
        <is>
          <t>-</t>
        </is>
      </c>
      <c r="H159" s="767" t="n">
        <v>1</v>
      </c>
      <c r="I159" s="767" t="n">
        <v>8890</v>
      </c>
      <c r="J159" s="767" t="n">
        <v>0</v>
      </c>
      <c r="K159" s="769" t="n">
        <v>100</v>
      </c>
      <c r="L159" s="769" t="n">
        <v>36</v>
      </c>
      <c r="M159" s="699">
        <f>IF(C159="TXO",J159-SUM(K159:L159),IF(C159="FITX",IF(E159="新倉",-SUM(K159:L159),IF(F159="賣",(I159-I158)*H159*200-SUM(K159:L159),(I158-I159)*H159*200-SUM(K159:L159)))))</f>
        <v/>
      </c>
      <c r="N159" s="686">
        <f>IF(C159="TXO","",IF(C159="FITX",IF(E159="新倉","",IF(F159="賣",(I159-I158),(I158-I159)))))</f>
        <v/>
      </c>
      <c r="O159" s="334">
        <f>ABS(J159)</f>
        <v/>
      </c>
      <c r="P159" s="667" t="n"/>
      <c r="R159" s="61" t="n"/>
      <c r="S159" s="61" t="n"/>
      <c r="T159" s="61" t="n"/>
      <c r="U159" s="61" t="n"/>
      <c r="V159" s="61" t="n"/>
      <c r="W159" s="61" t="n"/>
      <c r="X159" s="61" t="n"/>
      <c r="Y159" s="61" t="n"/>
    </row>
    <row r="160" hidden="1" outlineLevel="2" ht="17.25" customHeight="1" thickBot="1">
      <c r="B160" s="368" t="n">
        <v>42566</v>
      </c>
      <c r="C160" s="337" t="inlineStr">
        <is>
          <t>FITX</t>
        </is>
      </c>
      <c r="D160" s="338" t="inlineStr">
        <is>
          <t>台指07</t>
        </is>
      </c>
      <c r="E160" s="338" t="inlineStr">
        <is>
          <t>平倉</t>
        </is>
      </c>
      <c r="F160" s="338" t="inlineStr">
        <is>
          <t>賣</t>
        </is>
      </c>
      <c r="G160" s="338" t="inlineStr">
        <is>
          <t>-</t>
        </is>
      </c>
      <c r="H160" s="767" t="n">
        <v>1</v>
      </c>
      <c r="I160" s="767" t="n">
        <v>8891</v>
      </c>
      <c r="J160" s="767" t="n">
        <v>0</v>
      </c>
      <c r="K160" s="769" t="n">
        <v>100</v>
      </c>
      <c r="L160" s="769" t="n">
        <v>36</v>
      </c>
      <c r="M160" s="699">
        <f>IF(C160="TXO",J160-SUM(K160:L160),IF(C160="FITX",IF(E160="新倉",-SUM(K160:L160),IF(F160="賣",(I160-I159)*H160*200-SUM(K160:L160),(I159-I160)*H160*200-SUM(K160:L160)))))</f>
        <v/>
      </c>
      <c r="N160" s="686">
        <f>IF(C160="TXO","",IF(C160="FITX",IF(E160="新倉","",IF(F160="賣",(I160-I159),(I159-I160)))))</f>
        <v/>
      </c>
      <c r="O160" s="334">
        <f>ABS(J160)</f>
        <v/>
      </c>
      <c r="P160" s="667" t="n"/>
      <c r="R160" s="61" t="n"/>
      <c r="S160" s="61" t="n"/>
      <c r="T160" s="61" t="n"/>
      <c r="U160" s="61" t="n"/>
      <c r="V160" s="61" t="n"/>
      <c r="W160" s="61" t="n"/>
      <c r="X160" s="61" t="n"/>
      <c r="Y160" s="61" t="n"/>
    </row>
    <row r="161" hidden="1" outlineLevel="2" ht="17.25" customHeight="1" thickBot="1">
      <c r="B161" s="368" t="n">
        <v>42566</v>
      </c>
      <c r="C161" s="337" t="inlineStr">
        <is>
          <t>FITX</t>
        </is>
      </c>
      <c r="D161" s="338" t="inlineStr">
        <is>
          <t>台指07</t>
        </is>
      </c>
      <c r="E161" s="338" t="inlineStr">
        <is>
          <t>新倉</t>
        </is>
      </c>
      <c r="F161" s="338" t="inlineStr">
        <is>
          <t>買</t>
        </is>
      </c>
      <c r="G161" s="338" t="inlineStr">
        <is>
          <t>-</t>
        </is>
      </c>
      <c r="H161" s="767" t="n">
        <v>1</v>
      </c>
      <c r="I161" s="767" t="n">
        <v>8886</v>
      </c>
      <c r="J161" s="767" t="n">
        <v>0</v>
      </c>
      <c r="K161" s="769" t="n">
        <v>100</v>
      </c>
      <c r="L161" s="769" t="n">
        <v>36</v>
      </c>
      <c r="M161" s="699">
        <f>IF(C161="TXO",J161-SUM(K161:L161),IF(C161="FITX",IF(E161="新倉",-SUM(K161:L161),IF(F161="賣",(I161-I160)*H161*200-SUM(K161:L161),(I160-I161)*H161*200-SUM(K161:L161)))))</f>
        <v/>
      </c>
      <c r="N161" s="686">
        <f>IF(C161="TXO","",IF(C161="FITX",IF(E161="新倉","",IF(F161="賣",(I161-I160),(I160-I161)))))</f>
        <v/>
      </c>
      <c r="O161" s="334">
        <f>ABS(J161)</f>
        <v/>
      </c>
      <c r="P161" s="667" t="n"/>
      <c r="R161" s="61" t="n"/>
      <c r="S161" s="61" t="n"/>
      <c r="T161" s="61" t="n"/>
      <c r="U161" s="61" t="n"/>
      <c r="V161" s="61" t="n"/>
      <c r="W161" s="61" t="n"/>
      <c r="X161" s="61" t="n"/>
      <c r="Y161" s="61" t="n"/>
    </row>
    <row r="162" hidden="1" outlineLevel="2" ht="17.25" customHeight="1" thickBot="1">
      <c r="B162" s="368" t="n">
        <v>42566</v>
      </c>
      <c r="C162" s="337" t="inlineStr">
        <is>
          <t>FITX</t>
        </is>
      </c>
      <c r="D162" s="338" t="inlineStr">
        <is>
          <t>台指07</t>
        </is>
      </c>
      <c r="E162" s="338" t="inlineStr">
        <is>
          <t>平倉</t>
        </is>
      </c>
      <c r="F162" s="338" t="inlineStr">
        <is>
          <t>賣</t>
        </is>
      </c>
      <c r="G162" s="338" t="inlineStr">
        <is>
          <t>-</t>
        </is>
      </c>
      <c r="H162" s="767" t="n">
        <v>1</v>
      </c>
      <c r="I162" s="767" t="n">
        <v>8891</v>
      </c>
      <c r="J162" s="767" t="n">
        <v>0</v>
      </c>
      <c r="K162" s="769" t="n">
        <v>100</v>
      </c>
      <c r="L162" s="769" t="n">
        <v>36</v>
      </c>
      <c r="M162" s="699">
        <f>IF(C162="TXO",J162-SUM(K162:L162),IF(C162="FITX",IF(E162="新倉",-SUM(K162:L162),IF(F162="賣",(I162-I161)*H162*200-SUM(K162:L162),(I161-I162)*H162*200-SUM(K162:L162)))))</f>
        <v/>
      </c>
      <c r="N162" s="686">
        <f>IF(C162="TXO","",IF(C162="FITX",IF(E162="新倉","",IF(F162="賣",(I162-I161),(I161-I162)))))</f>
        <v/>
      </c>
      <c r="O162" s="334">
        <f>ABS(J162)</f>
        <v/>
      </c>
      <c r="P162" s="667" t="n"/>
      <c r="R162" s="61" t="n"/>
      <c r="S162" s="61" t="n"/>
      <c r="T162" s="61" t="n"/>
      <c r="U162" s="61" t="n"/>
      <c r="V162" s="61" t="n"/>
      <c r="W162" s="61" t="n"/>
      <c r="X162" s="61" t="n"/>
      <c r="Y162" s="61" t="n"/>
    </row>
    <row r="163" hidden="1" outlineLevel="2" ht="17.25" customHeight="1" thickBot="1">
      <c r="B163" s="368" t="n">
        <v>42566</v>
      </c>
      <c r="C163" s="337" t="inlineStr">
        <is>
          <t>FITX</t>
        </is>
      </c>
      <c r="D163" s="338" t="inlineStr">
        <is>
          <t>台指07</t>
        </is>
      </c>
      <c r="E163" s="338" t="inlineStr">
        <is>
          <t>新倉</t>
        </is>
      </c>
      <c r="F163" s="338" t="inlineStr">
        <is>
          <t>買</t>
        </is>
      </c>
      <c r="G163" s="338" t="inlineStr">
        <is>
          <t>-</t>
        </is>
      </c>
      <c r="H163" s="767" t="n">
        <v>1</v>
      </c>
      <c r="I163" s="767" t="n">
        <v>8903</v>
      </c>
      <c r="J163" s="767" t="n">
        <v>0</v>
      </c>
      <c r="K163" s="769" t="n">
        <v>100</v>
      </c>
      <c r="L163" s="769" t="n">
        <v>36</v>
      </c>
      <c r="M163" s="699">
        <f>IF(C163="TXO",J163-SUM(K163:L163),IF(C163="FITX",IF(E163="新倉",-SUM(K163:L163),IF(F163="賣",(I163-I162)*H163*200-SUM(K163:L163),(I162-I163)*H163*200-SUM(K163:L163)))))</f>
        <v/>
      </c>
      <c r="N163" s="686">
        <f>IF(C163="TXO","",IF(C163="FITX",IF(E163="新倉","",IF(F163="賣",(I163-I162),(I162-I163)))))</f>
        <v/>
      </c>
      <c r="O163" s="334">
        <f>ABS(J163)</f>
        <v/>
      </c>
      <c r="P163" s="667" t="n"/>
      <c r="R163" s="61" t="n"/>
      <c r="S163" s="61" t="n"/>
      <c r="T163" s="61" t="n"/>
      <c r="U163" s="61" t="n"/>
      <c r="V163" s="61" t="n"/>
      <c r="W163" s="61" t="n"/>
      <c r="X163" s="61" t="n"/>
      <c r="Y163" s="61" t="n"/>
    </row>
    <row r="164" hidden="1" outlineLevel="2" ht="17.25" customHeight="1" thickBot="1">
      <c r="B164" s="368" t="n">
        <v>42566</v>
      </c>
      <c r="C164" s="337" t="inlineStr">
        <is>
          <t>FITX</t>
        </is>
      </c>
      <c r="D164" s="338" t="inlineStr">
        <is>
          <t>台指07</t>
        </is>
      </c>
      <c r="E164" s="338" t="inlineStr">
        <is>
          <t>平倉</t>
        </is>
      </c>
      <c r="F164" s="338" t="inlineStr">
        <is>
          <t>賣</t>
        </is>
      </c>
      <c r="G164" s="338" t="inlineStr">
        <is>
          <t>-</t>
        </is>
      </c>
      <c r="H164" s="767" t="n">
        <v>1</v>
      </c>
      <c r="I164" s="767" t="n">
        <v>8909</v>
      </c>
      <c r="J164" s="767" t="n">
        <v>0</v>
      </c>
      <c r="K164" s="769" t="n">
        <v>100</v>
      </c>
      <c r="L164" s="769" t="n">
        <v>36</v>
      </c>
      <c r="M164" s="699">
        <f>IF(C164="TXO",J164-SUM(K164:L164),IF(C164="FITX",IF(E164="新倉",-SUM(K164:L164),IF(F164="賣",(I164-I163)*H164*200-SUM(K164:L164),(I163-I164)*H164*200-SUM(K164:L164)))))</f>
        <v/>
      </c>
      <c r="N164" s="686">
        <f>IF(C164="TXO","",IF(C164="FITX",IF(E164="新倉","",IF(F164="賣",(I164-I163),(I163-I164)))))</f>
        <v/>
      </c>
      <c r="O164" s="334">
        <f>ABS(J164)</f>
        <v/>
      </c>
      <c r="P164" s="667" t="n"/>
      <c r="R164" s="61" t="n"/>
      <c r="S164" s="61" t="n"/>
      <c r="T164" s="61" t="n"/>
      <c r="U164" s="61" t="n"/>
      <c r="V164" s="61" t="n"/>
      <c r="W164" s="61" t="n"/>
      <c r="X164" s="61" t="n"/>
      <c r="Y164" s="61" t="n"/>
    </row>
    <row r="165" hidden="1" outlineLevel="2" ht="17.25" customHeight="1" thickBot="1">
      <c r="B165" s="368" t="n">
        <v>42566</v>
      </c>
      <c r="C165" s="337" t="inlineStr">
        <is>
          <t>TXO</t>
        </is>
      </c>
      <c r="D165" s="338" t="inlineStr">
        <is>
          <t>台指選 07 09050 C</t>
        </is>
      </c>
      <c r="E165" s="338" t="inlineStr">
        <is>
          <t>新倉</t>
        </is>
      </c>
      <c r="F165" s="338" t="inlineStr">
        <is>
          <t>買</t>
        </is>
      </c>
      <c r="G165" s="338" t="inlineStr">
        <is>
          <t>-</t>
        </is>
      </c>
      <c r="H165" s="767" t="n">
        <v>1</v>
      </c>
      <c r="I165" s="767" t="n">
        <v>7.7</v>
      </c>
      <c r="J165" s="767" t="n">
        <v>-385</v>
      </c>
      <c r="K165" s="769" t="n">
        <v>40</v>
      </c>
      <c r="L165" s="769" t="n">
        <v>0</v>
      </c>
      <c r="M165" s="699">
        <f>IF(C165="TXO",J165-SUM(K165:L165),IF(C165="FITX",IF(E165="新倉",-SUM(K165:L165),IF(F165="賣",(I165-I164)*H165*200-SUM(K165:L165),(I164-I165)*H165*200-SUM(K165:L165)))))</f>
        <v/>
      </c>
      <c r="N165" s="686">
        <f>IF(C165="TXO","",IF(C165="FITX",IF(E165="新倉","",IF(F165="賣",(I165-I164),(I164-I165)))))</f>
        <v/>
      </c>
      <c r="O165" s="334">
        <f>ABS(J165)</f>
        <v/>
      </c>
      <c r="P165" s="667" t="n"/>
      <c r="R165" s="61" t="n"/>
      <c r="S165" s="61" t="n"/>
      <c r="T165" s="61" t="n"/>
      <c r="U165" s="61" t="n"/>
      <c r="V165" s="61" t="n"/>
      <c r="W165" s="61" t="n"/>
      <c r="X165" s="61" t="n"/>
      <c r="Y165" s="61" t="n"/>
    </row>
    <row r="166" hidden="1" outlineLevel="1" collapsed="1" ht="17.25" customHeight="1" thickBot="1">
      <c r="B166" s="369" t="n">
        <v>42569</v>
      </c>
      <c r="C166" s="370" t="inlineStr">
        <is>
          <t>TXO</t>
        </is>
      </c>
      <c r="D166" s="371" t="inlineStr">
        <is>
          <t>台指選 07 09050 C</t>
        </is>
      </c>
      <c r="E166" s="371" t="inlineStr">
        <is>
          <t>平倉</t>
        </is>
      </c>
      <c r="F166" s="371" t="inlineStr">
        <is>
          <t>賣</t>
        </is>
      </c>
      <c r="G166" s="371" t="inlineStr">
        <is>
          <t>-</t>
        </is>
      </c>
      <c r="H166" s="785" t="n">
        <v>1</v>
      </c>
      <c r="I166" s="785" t="n">
        <v>13</v>
      </c>
      <c r="J166" s="785" t="n">
        <v>650</v>
      </c>
      <c r="K166" s="786" t="n">
        <v>40</v>
      </c>
      <c r="L166" s="786" t="n">
        <v>1</v>
      </c>
      <c r="M166" s="743">
        <f>IF(C166="TXO",J166-SUM(K166:L166),IF(C166="FITX",IF(E166="新倉",-SUM(K166:L166),IF(F166="賣",(I166-I165)*H166*200-SUM(K166:L166),(I165-I166)*H166*200-SUM(K166:L166)))))</f>
        <v/>
      </c>
      <c r="N166" s="780">
        <f>IF(C166="TXO","",IF(C166="FITX",IF(E166="新倉","",IF(F166="賣",(I166-I165),(I165-I166)))))</f>
        <v/>
      </c>
      <c r="O166" s="334">
        <f>ABS(J166)</f>
        <v/>
      </c>
      <c r="P166" s="764">
        <f>SUM(M166:M170)</f>
        <v/>
      </c>
      <c r="R166" s="61" t="n"/>
      <c r="S166" s="61" t="n"/>
      <c r="T166" s="61" t="n"/>
      <c r="U166" s="61" t="n"/>
      <c r="V166" s="61" t="n"/>
      <c r="W166" s="61" t="n"/>
      <c r="X166" s="61" t="n"/>
      <c r="Y166" s="61" t="n"/>
    </row>
    <row r="167" hidden="1" outlineLevel="2" ht="17.25" customHeight="1" thickBot="1">
      <c r="B167" s="369" t="n">
        <v>42569</v>
      </c>
      <c r="C167" s="370" t="inlineStr">
        <is>
          <t>FITX</t>
        </is>
      </c>
      <c r="D167" s="371" t="inlineStr">
        <is>
          <t>台指07</t>
        </is>
      </c>
      <c r="E167" s="371" t="inlineStr">
        <is>
          <t>新倉</t>
        </is>
      </c>
      <c r="F167" s="371" t="inlineStr">
        <is>
          <t>買</t>
        </is>
      </c>
      <c r="G167" s="371" t="inlineStr">
        <is>
          <t>-</t>
        </is>
      </c>
      <c r="H167" s="785" t="n">
        <v>1</v>
      </c>
      <c r="I167" s="785" t="n">
        <v>8968</v>
      </c>
      <c r="J167" s="785" t="n">
        <v>0</v>
      </c>
      <c r="K167" s="786" t="n">
        <v>100</v>
      </c>
      <c r="L167" s="786" t="n">
        <v>36</v>
      </c>
      <c r="M167" s="743">
        <f>IF(C167="TXO",J167-SUM(K167:L167),IF(C167="FITX",IF(E167="新倉",-SUM(K167:L167),IF(F167="賣",(I167-I166)*H167*200-SUM(K167:L167),(I166-I167)*H167*200-SUM(K167:L167)))))</f>
        <v/>
      </c>
      <c r="N167" s="780">
        <f>IF(C167="TXO","",IF(C167="FITX",IF(E167="新倉","",IF(F167="賣",(I167-I166),(I166-I167)))))</f>
        <v/>
      </c>
      <c r="O167" s="334">
        <f>ABS(J167)</f>
        <v/>
      </c>
      <c r="P167" s="764" t="n"/>
      <c r="R167" s="61" t="n"/>
      <c r="S167" s="61" t="n"/>
      <c r="T167" s="61" t="n"/>
      <c r="U167" s="61" t="n"/>
      <c r="V167" s="61" t="n"/>
      <c r="W167" s="61" t="n"/>
      <c r="X167" s="61" t="n"/>
      <c r="Y167" s="61" t="n"/>
    </row>
    <row r="168" hidden="1" outlineLevel="2" ht="17.25" customHeight="1" thickBot="1">
      <c r="B168" s="369" t="n">
        <v>42569</v>
      </c>
      <c r="C168" s="370" t="inlineStr">
        <is>
          <t>FITX</t>
        </is>
      </c>
      <c r="D168" s="371" t="inlineStr">
        <is>
          <t>台指07</t>
        </is>
      </c>
      <c r="E168" s="371" t="inlineStr">
        <is>
          <t>平倉</t>
        </is>
      </c>
      <c r="F168" s="371" t="inlineStr">
        <is>
          <t>賣</t>
        </is>
      </c>
      <c r="G168" s="371" t="inlineStr">
        <is>
          <t>-</t>
        </is>
      </c>
      <c r="H168" s="785" t="n">
        <v>1</v>
      </c>
      <c r="I168" s="785" t="n">
        <v>8978</v>
      </c>
      <c r="J168" s="785" t="n">
        <v>0</v>
      </c>
      <c r="K168" s="786" t="n">
        <v>100</v>
      </c>
      <c r="L168" s="786" t="n">
        <v>36</v>
      </c>
      <c r="M168" s="743">
        <f>IF(C168="TXO",J168-SUM(K168:L168),IF(C168="FITX",IF(E168="新倉",-SUM(K168:L168),IF(F168="賣",(I168-I167)*H168*200-SUM(K168:L168),(I167-I168)*H168*200-SUM(K168:L168)))))</f>
        <v/>
      </c>
      <c r="N168" s="780">
        <f>IF(C168="TXO","",IF(C168="FITX",IF(E168="新倉","",IF(F168="賣",(I168-I167),(I167-I168)))))</f>
        <v/>
      </c>
      <c r="O168" s="334">
        <f>ABS(J168)</f>
        <v/>
      </c>
      <c r="P168" s="764" t="n"/>
      <c r="R168" s="61" t="n"/>
      <c r="S168" s="61" t="n"/>
      <c r="T168" s="61" t="n"/>
      <c r="U168" s="61" t="n"/>
      <c r="V168" s="61" t="n"/>
      <c r="W168" s="61" t="n"/>
      <c r="X168" s="61" t="n"/>
      <c r="Y168" s="61" t="n"/>
    </row>
    <row r="169" hidden="1" outlineLevel="2" ht="17.25" customHeight="1" thickBot="1">
      <c r="B169" s="369" t="n">
        <v>42569</v>
      </c>
      <c r="C169" s="370" t="inlineStr">
        <is>
          <t>FITX</t>
        </is>
      </c>
      <c r="D169" s="371" t="inlineStr">
        <is>
          <t>台指07</t>
        </is>
      </c>
      <c r="E169" s="371" t="inlineStr">
        <is>
          <t>新倉</t>
        </is>
      </c>
      <c r="F169" s="371" t="inlineStr">
        <is>
          <t>買</t>
        </is>
      </c>
      <c r="G169" s="371" t="inlineStr">
        <is>
          <t>-</t>
        </is>
      </c>
      <c r="H169" s="785" t="n">
        <v>1</v>
      </c>
      <c r="I169" s="785" t="n">
        <v>8986</v>
      </c>
      <c r="J169" s="785" t="n">
        <v>0</v>
      </c>
      <c r="K169" s="786" t="n">
        <v>100</v>
      </c>
      <c r="L169" s="786" t="n">
        <v>36</v>
      </c>
      <c r="M169" s="743">
        <f>IF(C169="TXO",J169-SUM(K169:L169),IF(C169="FITX",IF(E169="新倉",-SUM(K169:L169),IF(F169="賣",(I169-I168)*H169*200-SUM(K169:L169),(I168-I169)*H169*200-SUM(K169:L169)))))</f>
        <v/>
      </c>
      <c r="N169" s="780">
        <f>IF(C169="TXO","",IF(C169="FITX",IF(E169="新倉","",IF(F169="賣",(I169-I168),(I168-I169)))))</f>
        <v/>
      </c>
      <c r="O169" s="334">
        <f>ABS(J169)</f>
        <v/>
      </c>
      <c r="P169" s="764" t="n"/>
      <c r="R169" s="61" t="n"/>
      <c r="S169" s="61" t="n"/>
      <c r="T169" s="61" t="n"/>
      <c r="U169" s="61" t="n"/>
      <c r="V169" s="61" t="n"/>
      <c r="W169" s="61" t="n"/>
      <c r="X169" s="61" t="n"/>
      <c r="Y169" s="61" t="n"/>
    </row>
    <row r="170" hidden="1" outlineLevel="1" ht="17.25" customHeight="1" thickBot="1">
      <c r="B170" s="369" t="n">
        <v>42569</v>
      </c>
      <c r="C170" s="370" t="inlineStr">
        <is>
          <t>FITX</t>
        </is>
      </c>
      <c r="D170" s="371" t="inlineStr">
        <is>
          <t>台指07</t>
        </is>
      </c>
      <c r="E170" s="371" t="inlineStr">
        <is>
          <t>平倉</t>
        </is>
      </c>
      <c r="F170" s="371" t="inlineStr">
        <is>
          <t>賣</t>
        </is>
      </c>
      <c r="G170" s="371" t="inlineStr">
        <is>
          <t>-</t>
        </is>
      </c>
      <c r="H170" s="785" t="n">
        <v>1</v>
      </c>
      <c r="I170" s="785" t="n">
        <v>8988</v>
      </c>
      <c r="J170" s="785" t="n">
        <v>0</v>
      </c>
      <c r="K170" s="786" t="n">
        <v>100</v>
      </c>
      <c r="L170" s="786" t="n">
        <v>36</v>
      </c>
      <c r="M170" s="743">
        <f>IF(C170="TXO",J170-SUM(K170:L170),IF(C170="FITX",IF(E170="新倉",-SUM(K170:L170),IF(F170="賣",(I170-I169)*H170*200-SUM(K170:L170),(I169-I170)*H170*200-SUM(K170:L170)))))</f>
        <v/>
      </c>
      <c r="N170" s="780">
        <f>IF(C170="TXO","",IF(C170="FITX",IF(E170="新倉","",IF(F170="賣",(I170-I169),(I169-I170)))))</f>
        <v/>
      </c>
      <c r="O170" s="334">
        <f>ABS(J170)</f>
        <v/>
      </c>
      <c r="P170" s="764" t="n"/>
      <c r="R170" s="61" t="n"/>
      <c r="S170" s="61" t="n"/>
      <c r="T170" s="61" t="n"/>
      <c r="U170" s="61" t="n"/>
      <c r="V170" s="61" t="n"/>
      <c r="W170" s="61" t="n"/>
      <c r="X170" s="61" t="n"/>
      <c r="Y170" s="61" t="n"/>
    </row>
    <row r="171" hidden="1" outlineLevel="1" collapsed="1" ht="17.25" customHeight="1" thickBot="1">
      <c r="B171" s="368" t="n">
        <v>42570</v>
      </c>
      <c r="C171" s="337" t="inlineStr">
        <is>
          <t>FITX</t>
        </is>
      </c>
      <c r="D171" s="338" t="inlineStr">
        <is>
          <t>台指07</t>
        </is>
      </c>
      <c r="E171" s="338" t="inlineStr">
        <is>
          <t>新倉</t>
        </is>
      </c>
      <c r="F171" s="338" t="inlineStr">
        <is>
          <t>買</t>
        </is>
      </c>
      <c r="G171" s="338" t="inlineStr">
        <is>
          <t>-</t>
        </is>
      </c>
      <c r="H171" s="767" t="n">
        <v>1</v>
      </c>
      <c r="I171" s="767" t="n">
        <v>8983</v>
      </c>
      <c r="J171" s="767" t="n">
        <v>0</v>
      </c>
      <c r="K171" s="769" t="n">
        <v>100</v>
      </c>
      <c r="L171" s="769" t="n">
        <v>36</v>
      </c>
      <c r="M171" s="699">
        <f>IF(C171="TXO",J171-SUM(K171:L171),IF(C171="FITX",IF(E171="新倉",-SUM(K171:L171),IF(F171="賣",(I171-I170)*H171*200-SUM(K171:L171),(I170-I171)*H171*200-SUM(K171:L171)))))</f>
        <v/>
      </c>
      <c r="N171" s="686">
        <f>IF(C171="TXO","",IF(C171="FITX",IF(E171="新倉","",IF(F171="賣",(I171-I170),(I170-I171)))))</f>
        <v/>
      </c>
      <c r="O171" s="334">
        <f>ABS(J171)</f>
        <v/>
      </c>
      <c r="P171" s="667">
        <f>SUM(M171:M210)</f>
        <v/>
      </c>
      <c r="R171" s="61" t="n"/>
      <c r="S171" s="61" t="n"/>
      <c r="T171" s="61" t="n"/>
      <c r="U171" s="61" t="n"/>
      <c r="V171" s="61" t="n"/>
      <c r="W171" s="61" t="n"/>
      <c r="X171" s="61" t="n"/>
      <c r="Y171" s="61" t="n"/>
    </row>
    <row r="172" hidden="1" outlineLevel="2" ht="17.25" customHeight="1" thickBot="1">
      <c r="B172" s="368" t="n">
        <v>42570</v>
      </c>
      <c r="C172" s="337" t="inlineStr">
        <is>
          <t>FITX</t>
        </is>
      </c>
      <c r="D172" s="338" t="inlineStr">
        <is>
          <t>台指07</t>
        </is>
      </c>
      <c r="E172" s="338" t="inlineStr">
        <is>
          <t>平倉</t>
        </is>
      </c>
      <c r="F172" s="338" t="inlineStr">
        <is>
          <t>賣</t>
        </is>
      </c>
      <c r="G172" s="338" t="inlineStr">
        <is>
          <t>-</t>
        </is>
      </c>
      <c r="H172" s="767" t="n">
        <v>1</v>
      </c>
      <c r="I172" s="767" t="n">
        <v>8975</v>
      </c>
      <c r="J172" s="767" t="n">
        <v>0</v>
      </c>
      <c r="K172" s="769" t="n">
        <v>100</v>
      </c>
      <c r="L172" s="769" t="n">
        <v>36</v>
      </c>
      <c r="M172" s="699">
        <f>IF(C172="TXO",J172-SUM(K172:L172),IF(C172="FITX",IF(E172="新倉",-SUM(K172:L172),IF(F172="賣",(I172-I171)*H172*200-SUM(K172:L172),(I171-I172)*H172*200-SUM(K172:L172)))))</f>
        <v/>
      </c>
      <c r="N172" s="686">
        <f>IF(C172="TXO","",IF(C172="FITX",IF(E172="新倉","",IF(F172="賣",(I172-I171),(I171-I172)))))</f>
        <v/>
      </c>
      <c r="O172" s="334">
        <f>ABS(J172)</f>
        <v/>
      </c>
      <c r="P172" s="667" t="n"/>
      <c r="R172" s="61" t="n"/>
      <c r="S172" s="61" t="n"/>
      <c r="T172" s="61" t="n"/>
      <c r="U172" s="61" t="n"/>
      <c r="V172" s="61" t="n"/>
      <c r="W172" s="61" t="n"/>
      <c r="X172" s="61" t="n"/>
      <c r="Y172" s="61" t="n"/>
    </row>
    <row r="173" hidden="1" outlineLevel="2" ht="17.25" customHeight="1" thickBot="1">
      <c r="B173" s="368" t="n">
        <v>42570</v>
      </c>
      <c r="C173" s="337" t="inlineStr">
        <is>
          <t>FITX</t>
        </is>
      </c>
      <c r="D173" s="338" t="inlineStr">
        <is>
          <t>台指07</t>
        </is>
      </c>
      <c r="E173" s="338" t="inlineStr">
        <is>
          <t>新倉</t>
        </is>
      </c>
      <c r="F173" s="338" t="inlineStr">
        <is>
          <t>賣</t>
        </is>
      </c>
      <c r="G173" s="338" t="inlineStr">
        <is>
          <t>-</t>
        </is>
      </c>
      <c r="H173" s="767" t="n">
        <v>1</v>
      </c>
      <c r="I173" s="767" t="n">
        <v>8971</v>
      </c>
      <c r="J173" s="767" t="n">
        <v>0</v>
      </c>
      <c r="K173" s="769" t="n">
        <v>100</v>
      </c>
      <c r="L173" s="769" t="n">
        <v>36</v>
      </c>
      <c r="M173" s="699">
        <f>IF(C173="TXO",J173-SUM(K173:L173),IF(C173="FITX",IF(E173="新倉",-SUM(K173:L173),IF(F173="賣",(I173-I172)*H173*200-SUM(K173:L173),(I172-I173)*H173*200-SUM(K173:L173)))))</f>
        <v/>
      </c>
      <c r="N173" s="686">
        <f>IF(C173="TXO","",IF(C173="FITX",IF(E173="新倉","",IF(F173="賣",(I173-I172),(I172-I173)))))</f>
        <v/>
      </c>
      <c r="O173" s="334">
        <f>ABS(J173)</f>
        <v/>
      </c>
      <c r="P173" s="667" t="n"/>
      <c r="R173" s="61" t="n"/>
      <c r="S173" s="61" t="n"/>
      <c r="T173" s="61" t="n"/>
      <c r="U173" s="61" t="n"/>
      <c r="V173" s="61" t="n"/>
      <c r="W173" s="61" t="n"/>
      <c r="X173" s="61" t="n"/>
      <c r="Y173" s="61" t="n"/>
    </row>
    <row r="174" hidden="1" outlineLevel="2" ht="17.25" customHeight="1" thickBot="1">
      <c r="B174" s="368" t="n">
        <v>42570</v>
      </c>
      <c r="C174" s="337" t="inlineStr">
        <is>
          <t>FITX</t>
        </is>
      </c>
      <c r="D174" s="338" t="inlineStr">
        <is>
          <t>台指07</t>
        </is>
      </c>
      <c r="E174" s="338" t="inlineStr">
        <is>
          <t>平倉</t>
        </is>
      </c>
      <c r="F174" s="338" t="inlineStr">
        <is>
          <t>買</t>
        </is>
      </c>
      <c r="G174" s="338" t="inlineStr">
        <is>
          <t>-</t>
        </is>
      </c>
      <c r="H174" s="767" t="n">
        <v>1</v>
      </c>
      <c r="I174" s="767" t="n">
        <v>8977</v>
      </c>
      <c r="J174" s="767" t="n">
        <v>0</v>
      </c>
      <c r="K174" s="769" t="n">
        <v>100</v>
      </c>
      <c r="L174" s="769" t="n">
        <v>36</v>
      </c>
      <c r="M174" s="699">
        <f>IF(C174="TXO",J174-SUM(K174:L174),IF(C174="FITX",IF(E174="新倉",-SUM(K174:L174),IF(F174="賣",(I174-I173)*H174*200-SUM(K174:L174),(I173-I174)*H174*200-SUM(K174:L174)))))</f>
        <v/>
      </c>
      <c r="N174" s="686">
        <f>IF(C174="TXO","",IF(C174="FITX",IF(E174="新倉","",IF(F174="賣",(I174-I173),(I173-I174)))))</f>
        <v/>
      </c>
      <c r="O174" s="334">
        <f>ABS(J174)</f>
        <v/>
      </c>
      <c r="P174" s="667" t="n"/>
      <c r="R174" s="61" t="n"/>
      <c r="S174" s="61" t="n"/>
      <c r="T174" s="61" t="n"/>
      <c r="U174" s="61" t="n"/>
      <c r="V174" s="61" t="n"/>
      <c r="W174" s="61" t="n"/>
      <c r="X174" s="61" t="n"/>
      <c r="Y174" s="61" t="n"/>
    </row>
    <row r="175" hidden="1" outlineLevel="2" ht="17.25" customHeight="1" thickBot="1">
      <c r="B175" s="368" t="n">
        <v>42570</v>
      </c>
      <c r="C175" s="337" t="inlineStr">
        <is>
          <t>FITX</t>
        </is>
      </c>
      <c r="D175" s="338" t="inlineStr">
        <is>
          <t>台指07</t>
        </is>
      </c>
      <c r="E175" s="338" t="inlineStr">
        <is>
          <t>新倉</t>
        </is>
      </c>
      <c r="F175" s="338" t="inlineStr">
        <is>
          <t>買</t>
        </is>
      </c>
      <c r="G175" s="338" t="inlineStr">
        <is>
          <t>-</t>
        </is>
      </c>
      <c r="H175" s="767" t="n">
        <v>1</v>
      </c>
      <c r="I175" s="767" t="n">
        <v>8973</v>
      </c>
      <c r="J175" s="767" t="n">
        <v>0</v>
      </c>
      <c r="K175" s="769" t="n">
        <v>100</v>
      </c>
      <c r="L175" s="769" t="n">
        <v>36</v>
      </c>
      <c r="M175" s="699">
        <f>IF(C175="TXO",J175-SUM(K175:L175),IF(C175="FITX",IF(E175="新倉",-SUM(K175:L175),IF(F175="賣",(I175-I174)*H175*200-SUM(K175:L175),(I174-I175)*H175*200-SUM(K175:L175)))))</f>
        <v/>
      </c>
      <c r="N175" s="686">
        <f>IF(C175="TXO","",IF(C175="FITX",IF(E175="新倉","",IF(F175="賣",(I175-I174),(I174-I175)))))</f>
        <v/>
      </c>
      <c r="O175" s="334">
        <f>ABS(J175)</f>
        <v/>
      </c>
      <c r="P175" s="667" t="n"/>
      <c r="R175" s="61" t="n"/>
      <c r="S175" s="61" t="n"/>
      <c r="T175" s="61" t="n"/>
      <c r="U175" s="61" t="n"/>
      <c r="V175" s="61" t="n"/>
      <c r="W175" s="61" t="n"/>
      <c r="X175" s="61" t="n"/>
      <c r="Y175" s="61" t="n"/>
    </row>
    <row r="176" hidden="1" outlineLevel="2" ht="17.25" customHeight="1" thickBot="1">
      <c r="B176" s="368" t="n">
        <v>42570</v>
      </c>
      <c r="C176" s="337" t="inlineStr">
        <is>
          <t>FITX</t>
        </is>
      </c>
      <c r="D176" s="338" t="inlineStr">
        <is>
          <t>台指07</t>
        </is>
      </c>
      <c r="E176" s="338" t="inlineStr">
        <is>
          <t>平倉</t>
        </is>
      </c>
      <c r="F176" s="338" t="inlineStr">
        <is>
          <t>賣</t>
        </is>
      </c>
      <c r="G176" s="338" t="inlineStr">
        <is>
          <t>-</t>
        </is>
      </c>
      <c r="H176" s="767" t="n">
        <v>1</v>
      </c>
      <c r="I176" s="767" t="n">
        <v>8967</v>
      </c>
      <c r="J176" s="767" t="n">
        <v>0</v>
      </c>
      <c r="K176" s="769" t="n">
        <v>100</v>
      </c>
      <c r="L176" s="769" t="n">
        <v>36</v>
      </c>
      <c r="M176" s="699">
        <f>IF(C176="TXO",J176-SUM(K176:L176),IF(C176="FITX",IF(E176="新倉",-SUM(K176:L176),IF(F176="賣",(I176-I175)*H176*200-SUM(K176:L176),(I175-I176)*H176*200-SUM(K176:L176)))))</f>
        <v/>
      </c>
      <c r="N176" s="686">
        <f>IF(C176="TXO","",IF(C176="FITX",IF(E176="新倉","",IF(F176="賣",(I176-I175),(I175-I176)))))</f>
        <v/>
      </c>
      <c r="O176" s="334">
        <f>ABS(J176)</f>
        <v/>
      </c>
      <c r="P176" s="667" t="n"/>
      <c r="R176" s="61" t="n"/>
      <c r="S176" s="61" t="n"/>
      <c r="T176" s="61" t="n"/>
      <c r="U176" s="61" t="n"/>
      <c r="V176" s="61" t="n"/>
      <c r="W176" s="61" t="n"/>
      <c r="X176" s="61" t="n"/>
      <c r="Y176" s="61" t="n"/>
    </row>
    <row r="177" hidden="1" outlineLevel="2" ht="17.25" customHeight="1" thickBot="1">
      <c r="B177" s="368" t="n">
        <v>42570</v>
      </c>
      <c r="C177" s="337" t="inlineStr">
        <is>
          <t>FITX</t>
        </is>
      </c>
      <c r="D177" s="338" t="inlineStr">
        <is>
          <t>台指07</t>
        </is>
      </c>
      <c r="E177" s="338" t="inlineStr">
        <is>
          <t>新倉</t>
        </is>
      </c>
      <c r="F177" s="338" t="inlineStr">
        <is>
          <t>賣</t>
        </is>
      </c>
      <c r="G177" s="338" t="inlineStr">
        <is>
          <t>-</t>
        </is>
      </c>
      <c r="H177" s="767" t="n">
        <v>1</v>
      </c>
      <c r="I177" s="767" t="n">
        <v>8972</v>
      </c>
      <c r="J177" s="767" t="n">
        <v>0</v>
      </c>
      <c r="K177" s="769" t="n">
        <v>100</v>
      </c>
      <c r="L177" s="769" t="n">
        <v>36</v>
      </c>
      <c r="M177" s="699">
        <f>IF(C177="TXO",J177-SUM(K177:L177),IF(C177="FITX",IF(E177="新倉",-SUM(K177:L177),IF(F177="賣",(I177-I176)*H177*200-SUM(K177:L177),(I176-I177)*H177*200-SUM(K177:L177)))))</f>
        <v/>
      </c>
      <c r="N177" s="686">
        <f>IF(C177="TXO","",IF(C177="FITX",IF(E177="新倉","",IF(F177="賣",(I177-I176),(I176-I177)))))</f>
        <v/>
      </c>
      <c r="O177" s="334">
        <f>ABS(J177)</f>
        <v/>
      </c>
      <c r="P177" s="667" t="n"/>
      <c r="R177" s="61" t="n"/>
      <c r="S177" s="61" t="n"/>
      <c r="T177" s="61" t="n"/>
      <c r="U177" s="61" t="n"/>
      <c r="V177" s="61" t="n"/>
      <c r="W177" s="61" t="n"/>
      <c r="X177" s="61" t="n"/>
      <c r="Y177" s="61" t="n"/>
    </row>
    <row r="178" hidden="1" outlineLevel="2" ht="17.25" customHeight="1" thickBot="1">
      <c r="B178" s="368" t="n">
        <v>42570</v>
      </c>
      <c r="C178" s="337" t="inlineStr">
        <is>
          <t>FITX</t>
        </is>
      </c>
      <c r="D178" s="338" t="inlineStr">
        <is>
          <t>台指07</t>
        </is>
      </c>
      <c r="E178" s="338" t="inlineStr">
        <is>
          <t>平倉</t>
        </is>
      </c>
      <c r="F178" s="338" t="inlineStr">
        <is>
          <t>買</t>
        </is>
      </c>
      <c r="G178" s="338" t="inlineStr">
        <is>
          <t>-</t>
        </is>
      </c>
      <c r="H178" s="767" t="n">
        <v>1</v>
      </c>
      <c r="I178" s="767" t="n">
        <v>8984</v>
      </c>
      <c r="J178" s="767" t="n">
        <v>0</v>
      </c>
      <c r="K178" s="769" t="n">
        <v>100</v>
      </c>
      <c r="L178" s="769" t="n">
        <v>36</v>
      </c>
      <c r="M178" s="699">
        <f>IF(C178="TXO",J178-SUM(K178:L178),IF(C178="FITX",IF(E178="新倉",-SUM(K178:L178),IF(F178="賣",(I178-I177)*H178*200-SUM(K178:L178),(I177-I178)*H178*200-SUM(K178:L178)))))</f>
        <v/>
      </c>
      <c r="N178" s="686">
        <f>IF(C178="TXO","",IF(C178="FITX",IF(E178="新倉","",IF(F178="賣",(I178-I177),(I177-I178)))))</f>
        <v/>
      </c>
      <c r="O178" s="334">
        <f>ABS(J178)</f>
        <v/>
      </c>
      <c r="P178" s="667" t="n"/>
      <c r="R178" s="61" t="n"/>
      <c r="S178" s="61" t="n"/>
      <c r="T178" s="61" t="n"/>
      <c r="U178" s="61" t="n"/>
      <c r="V178" s="61" t="n"/>
      <c r="W178" s="61" t="n"/>
      <c r="X178" s="61" t="n"/>
      <c r="Y178" s="61" t="n"/>
    </row>
    <row r="179" hidden="1" outlineLevel="2" ht="17.25" customHeight="1" thickBot="1">
      <c r="B179" s="368" t="n">
        <v>42570</v>
      </c>
      <c r="C179" s="337" t="inlineStr">
        <is>
          <t>FITX</t>
        </is>
      </c>
      <c r="D179" s="338" t="inlineStr">
        <is>
          <t>台指07</t>
        </is>
      </c>
      <c r="E179" s="338" t="inlineStr">
        <is>
          <t>新倉</t>
        </is>
      </c>
      <c r="F179" s="338" t="inlineStr">
        <is>
          <t>賣</t>
        </is>
      </c>
      <c r="G179" s="338" t="inlineStr">
        <is>
          <t>-</t>
        </is>
      </c>
      <c r="H179" s="767" t="n">
        <v>1</v>
      </c>
      <c r="I179" s="767" t="n">
        <v>8985</v>
      </c>
      <c r="J179" s="767" t="n">
        <v>0</v>
      </c>
      <c r="K179" s="769" t="n">
        <v>100</v>
      </c>
      <c r="L179" s="769" t="n">
        <v>36</v>
      </c>
      <c r="M179" s="699">
        <f>IF(C179="TXO",J179-SUM(K179:L179),IF(C179="FITX",IF(E179="新倉",-SUM(K179:L179),IF(F179="賣",(I179-I178)*H179*200-SUM(K179:L179),(I178-I179)*H179*200-SUM(K179:L179)))))</f>
        <v/>
      </c>
      <c r="N179" s="686">
        <f>IF(C179="TXO","",IF(C179="FITX",IF(E179="新倉","",IF(F179="賣",(I179-I178),(I178-I179)))))</f>
        <v/>
      </c>
      <c r="O179" s="334">
        <f>ABS(J179)</f>
        <v/>
      </c>
      <c r="P179" s="667" t="n"/>
      <c r="R179" s="61" t="n"/>
      <c r="S179" s="61" t="n"/>
      <c r="T179" s="61" t="n"/>
      <c r="U179" s="61" t="n"/>
      <c r="V179" s="61" t="n"/>
      <c r="W179" s="61" t="n"/>
      <c r="X179" s="61" t="n"/>
      <c r="Y179" s="61" t="n"/>
    </row>
    <row r="180" hidden="1" outlineLevel="2" ht="17.25" customHeight="1" thickBot="1">
      <c r="B180" s="368" t="n">
        <v>42570</v>
      </c>
      <c r="C180" s="337" t="inlineStr">
        <is>
          <t>FITX</t>
        </is>
      </c>
      <c r="D180" s="338" t="inlineStr">
        <is>
          <t>台指07</t>
        </is>
      </c>
      <c r="E180" s="338" t="inlineStr">
        <is>
          <t>平倉</t>
        </is>
      </c>
      <c r="F180" s="338" t="inlineStr">
        <is>
          <t>買</t>
        </is>
      </c>
      <c r="G180" s="338" t="inlineStr">
        <is>
          <t>-</t>
        </is>
      </c>
      <c r="H180" s="767" t="n">
        <v>1</v>
      </c>
      <c r="I180" s="767" t="n">
        <v>8997</v>
      </c>
      <c r="J180" s="767" t="n">
        <v>0</v>
      </c>
      <c r="K180" s="769" t="n">
        <v>100</v>
      </c>
      <c r="L180" s="769" t="n">
        <v>36</v>
      </c>
      <c r="M180" s="699">
        <f>IF(C180="TXO",J180-SUM(K180:L180),IF(C180="FITX",IF(E180="新倉",-SUM(K180:L180),IF(F180="賣",(I180-I179)*H180*200-SUM(K180:L180),(I179-I180)*H180*200-SUM(K180:L180)))))</f>
        <v/>
      </c>
      <c r="N180" s="686">
        <f>IF(C180="TXO","",IF(C180="FITX",IF(E180="新倉","",IF(F180="賣",(I180-I179),(I179-I180)))))</f>
        <v/>
      </c>
      <c r="O180" s="334">
        <f>ABS(J180)</f>
        <v/>
      </c>
      <c r="P180" s="667" t="n"/>
      <c r="R180" s="61" t="n"/>
      <c r="S180" s="61" t="n"/>
      <c r="T180" s="61" t="n"/>
      <c r="U180" s="61" t="n"/>
      <c r="V180" s="61" t="n"/>
      <c r="W180" s="61" t="n"/>
      <c r="X180" s="61" t="n"/>
      <c r="Y180" s="61" t="n"/>
    </row>
    <row r="181" hidden="1" outlineLevel="2" ht="17.25" customHeight="1" thickBot="1">
      <c r="B181" s="368" t="n">
        <v>42570</v>
      </c>
      <c r="C181" s="337" t="inlineStr">
        <is>
          <t>FITX</t>
        </is>
      </c>
      <c r="D181" s="338" t="inlineStr">
        <is>
          <t>台指07</t>
        </is>
      </c>
      <c r="E181" s="338" t="inlineStr">
        <is>
          <t>新倉</t>
        </is>
      </c>
      <c r="F181" s="338" t="inlineStr">
        <is>
          <t>賣</t>
        </is>
      </c>
      <c r="G181" s="338" t="inlineStr">
        <is>
          <t>-</t>
        </is>
      </c>
      <c r="H181" s="767" t="n">
        <v>1</v>
      </c>
      <c r="I181" s="767" t="n">
        <v>8996</v>
      </c>
      <c r="J181" s="767" t="n">
        <v>0</v>
      </c>
      <c r="K181" s="769" t="n">
        <v>100</v>
      </c>
      <c r="L181" s="769" t="n">
        <v>36</v>
      </c>
      <c r="M181" s="699">
        <f>IF(C181="TXO",J181-SUM(K181:L181),IF(C181="FITX",IF(E181="新倉",-SUM(K181:L181),IF(F181="賣",(I181-I180)*H181*200-SUM(K181:L181),(I180-I181)*H181*200-SUM(K181:L181)))))</f>
        <v/>
      </c>
      <c r="N181" s="686">
        <f>IF(C181="TXO","",IF(C181="FITX",IF(E181="新倉","",IF(F181="賣",(I181-I180),(I180-I181)))))</f>
        <v/>
      </c>
      <c r="O181" s="334">
        <f>ABS(J181)</f>
        <v/>
      </c>
      <c r="P181" s="667" t="n"/>
      <c r="R181" s="61" t="n"/>
      <c r="S181" s="61" t="n"/>
      <c r="T181" s="61" t="n"/>
      <c r="U181" s="61" t="n"/>
      <c r="V181" s="61" t="n"/>
      <c r="W181" s="61" t="n"/>
      <c r="X181" s="61" t="n"/>
      <c r="Y181" s="61" t="n"/>
    </row>
    <row r="182" hidden="1" outlineLevel="2" ht="17.25" customHeight="1" thickBot="1">
      <c r="B182" s="368" t="n">
        <v>42570</v>
      </c>
      <c r="C182" s="337" t="inlineStr">
        <is>
          <t>FITX</t>
        </is>
      </c>
      <c r="D182" s="338" t="inlineStr">
        <is>
          <t>台指07</t>
        </is>
      </c>
      <c r="E182" s="338" t="inlineStr">
        <is>
          <t>平倉</t>
        </is>
      </c>
      <c r="F182" s="338" t="inlineStr">
        <is>
          <t>買</t>
        </is>
      </c>
      <c r="G182" s="338" t="inlineStr">
        <is>
          <t>-</t>
        </is>
      </c>
      <c r="H182" s="767" t="n">
        <v>1</v>
      </c>
      <c r="I182" s="767" t="n">
        <v>8980</v>
      </c>
      <c r="J182" s="767" t="n">
        <v>0</v>
      </c>
      <c r="K182" s="769" t="n">
        <v>100</v>
      </c>
      <c r="L182" s="769" t="n">
        <v>36</v>
      </c>
      <c r="M182" s="699">
        <f>IF(C182="TXO",J182-SUM(K182:L182),IF(C182="FITX",IF(E182="新倉",-SUM(K182:L182),IF(F182="賣",(I182-I181)*H182*200-SUM(K182:L182),(I181-I182)*H182*200-SUM(K182:L182)))))</f>
        <v/>
      </c>
      <c r="N182" s="686">
        <f>IF(C182="TXO","",IF(C182="FITX",IF(E182="新倉","",IF(F182="賣",(I182-I181),(I181-I182)))))</f>
        <v/>
      </c>
      <c r="O182" s="334">
        <f>ABS(J182)</f>
        <v/>
      </c>
      <c r="P182" s="667" t="n"/>
      <c r="R182" s="61" t="n"/>
      <c r="S182" s="61" t="n"/>
      <c r="T182" s="61" t="n"/>
      <c r="U182" s="61" t="n"/>
      <c r="V182" s="61" t="n"/>
      <c r="W182" s="61" t="n"/>
      <c r="X182" s="61" t="n"/>
      <c r="Y182" s="61" t="n"/>
    </row>
    <row r="183" hidden="1" outlineLevel="2" ht="17.25" customHeight="1" thickBot="1">
      <c r="B183" s="368" t="n">
        <v>42570</v>
      </c>
      <c r="C183" s="337" t="inlineStr">
        <is>
          <t>FITX</t>
        </is>
      </c>
      <c r="D183" s="338" t="inlineStr">
        <is>
          <t>台指07</t>
        </is>
      </c>
      <c r="E183" s="338" t="inlineStr">
        <is>
          <t>新倉</t>
        </is>
      </c>
      <c r="F183" s="338" t="inlineStr">
        <is>
          <t>賣</t>
        </is>
      </c>
      <c r="G183" s="338" t="inlineStr">
        <is>
          <t>-</t>
        </is>
      </c>
      <c r="H183" s="767" t="n">
        <v>1</v>
      </c>
      <c r="I183" s="767" t="n">
        <v>8982</v>
      </c>
      <c r="J183" s="767" t="n">
        <v>0</v>
      </c>
      <c r="K183" s="769" t="n">
        <v>100</v>
      </c>
      <c r="L183" s="769" t="n">
        <v>36</v>
      </c>
      <c r="M183" s="699">
        <f>IF(C183="TXO",J183-SUM(K183:L183),IF(C183="FITX",IF(E183="新倉",-SUM(K183:L183),IF(F183="賣",(I183-I182)*H183*200-SUM(K183:L183),(I182-I183)*H183*200-SUM(K183:L183)))))</f>
        <v/>
      </c>
      <c r="N183" s="686">
        <f>IF(C183="TXO","",IF(C183="FITX",IF(E183="新倉","",IF(F183="賣",(I183-I182),(I182-I183)))))</f>
        <v/>
      </c>
      <c r="O183" s="334">
        <f>ABS(J183)</f>
        <v/>
      </c>
      <c r="P183" s="667" t="n"/>
      <c r="R183" s="61" t="n"/>
      <c r="S183" s="61" t="n"/>
      <c r="T183" s="61" t="n"/>
      <c r="U183" s="61" t="n"/>
      <c r="V183" s="61" t="n"/>
      <c r="W183" s="61" t="n"/>
      <c r="X183" s="61" t="n"/>
      <c r="Y183" s="61" t="n"/>
    </row>
    <row r="184" hidden="1" outlineLevel="2" ht="17.25" customHeight="1" thickBot="1">
      <c r="B184" s="368" t="n">
        <v>42570</v>
      </c>
      <c r="C184" s="337" t="inlineStr">
        <is>
          <t>FITX</t>
        </is>
      </c>
      <c r="D184" s="338" t="inlineStr">
        <is>
          <t>台指07</t>
        </is>
      </c>
      <c r="E184" s="338" t="inlineStr">
        <is>
          <t>平倉</t>
        </is>
      </c>
      <c r="F184" s="338" t="inlineStr">
        <is>
          <t>買</t>
        </is>
      </c>
      <c r="G184" s="338" t="inlineStr">
        <is>
          <t>-</t>
        </is>
      </c>
      <c r="H184" s="767" t="n">
        <v>1</v>
      </c>
      <c r="I184" s="767" t="n">
        <v>8987</v>
      </c>
      <c r="J184" s="767" t="n">
        <v>0</v>
      </c>
      <c r="K184" s="769" t="n">
        <v>100</v>
      </c>
      <c r="L184" s="769" t="n">
        <v>36</v>
      </c>
      <c r="M184" s="699">
        <f>IF(C184="TXO",J184-SUM(K184:L184),IF(C184="FITX",IF(E184="新倉",-SUM(K184:L184),IF(F184="賣",(I184-I183)*H184*200-SUM(K184:L184),(I183-I184)*H184*200-SUM(K184:L184)))))</f>
        <v/>
      </c>
      <c r="N184" s="686">
        <f>IF(C184="TXO","",IF(C184="FITX",IF(E184="新倉","",IF(F184="賣",(I184-I183),(I183-I184)))))</f>
        <v/>
      </c>
      <c r="O184" s="334">
        <f>ABS(J184)</f>
        <v/>
      </c>
      <c r="P184" s="667" t="n"/>
      <c r="R184" s="61" t="n"/>
      <c r="S184" s="61" t="n"/>
      <c r="T184" s="61" t="n"/>
      <c r="U184" s="61" t="n"/>
      <c r="V184" s="61" t="n"/>
      <c r="W184" s="61" t="n"/>
      <c r="X184" s="61" t="n"/>
      <c r="Y184" s="61" t="n"/>
    </row>
    <row r="185" hidden="1" outlineLevel="2" ht="17.25" customHeight="1" thickBot="1">
      <c r="B185" s="368" t="n">
        <v>42570</v>
      </c>
      <c r="C185" s="337" t="inlineStr">
        <is>
          <t>FITX</t>
        </is>
      </c>
      <c r="D185" s="338" t="inlineStr">
        <is>
          <t>台指07</t>
        </is>
      </c>
      <c r="E185" s="338" t="inlineStr">
        <is>
          <t>新倉</t>
        </is>
      </c>
      <c r="F185" s="338" t="inlineStr">
        <is>
          <t>買</t>
        </is>
      </c>
      <c r="G185" s="338" t="inlineStr">
        <is>
          <t>-</t>
        </is>
      </c>
      <c r="H185" s="767" t="n">
        <v>1</v>
      </c>
      <c r="I185" s="767" t="n">
        <v>8983</v>
      </c>
      <c r="J185" s="767" t="n">
        <v>0</v>
      </c>
      <c r="K185" s="769" t="n">
        <v>100</v>
      </c>
      <c r="L185" s="769" t="n">
        <v>36</v>
      </c>
      <c r="M185" s="699">
        <f>IF(C185="TXO",J185-SUM(K185:L185),IF(C185="FITX",IF(E185="新倉",-SUM(K185:L185),IF(F185="賣",(I185-I184)*H185*200-SUM(K185:L185),(I184-I185)*H185*200-SUM(K185:L185)))))</f>
        <v/>
      </c>
      <c r="N185" s="686">
        <f>IF(C185="TXO","",IF(C185="FITX",IF(E185="新倉","",IF(F185="賣",(I185-I184),(I184-I185)))))</f>
        <v/>
      </c>
      <c r="O185" s="334">
        <f>ABS(J185)</f>
        <v/>
      </c>
      <c r="P185" s="667" t="n"/>
      <c r="R185" s="61" t="n"/>
      <c r="S185" s="61" t="n"/>
      <c r="T185" s="61" t="n"/>
      <c r="U185" s="61" t="n"/>
      <c r="V185" s="61" t="n"/>
      <c r="W185" s="61" t="n"/>
      <c r="X185" s="61" t="n"/>
      <c r="Y185" s="61" t="n"/>
    </row>
    <row r="186" hidden="1" outlineLevel="2" ht="17.25" customHeight="1" thickBot="1">
      <c r="B186" s="368" t="n">
        <v>42570</v>
      </c>
      <c r="C186" s="337" t="inlineStr">
        <is>
          <t>FITX</t>
        </is>
      </c>
      <c r="D186" s="338" t="inlineStr">
        <is>
          <t>台指07</t>
        </is>
      </c>
      <c r="E186" s="338" t="inlineStr">
        <is>
          <t>平倉</t>
        </is>
      </c>
      <c r="F186" s="338" t="inlineStr">
        <is>
          <t>賣</t>
        </is>
      </c>
      <c r="G186" s="338" t="inlineStr">
        <is>
          <t>-</t>
        </is>
      </c>
      <c r="H186" s="767" t="n">
        <v>1</v>
      </c>
      <c r="I186" s="767" t="n">
        <v>8983</v>
      </c>
      <c r="J186" s="767" t="n">
        <v>0</v>
      </c>
      <c r="K186" s="769" t="n">
        <v>100</v>
      </c>
      <c r="L186" s="769" t="n">
        <v>36</v>
      </c>
      <c r="M186" s="699">
        <f>IF(C186="TXO",J186-SUM(K186:L186),IF(C186="FITX",IF(E186="新倉",-SUM(K186:L186),IF(F186="賣",(I186-I185)*H186*200-SUM(K186:L186),(I185-I186)*H186*200-SUM(K186:L186)))))</f>
        <v/>
      </c>
      <c r="N186" s="686">
        <f>IF(C186="TXO","",IF(C186="FITX",IF(E186="新倉","",IF(F186="賣",(I186-I185),(I185-I186)))))</f>
        <v/>
      </c>
      <c r="O186" s="334">
        <f>ABS(J186)</f>
        <v/>
      </c>
      <c r="P186" s="667" t="n"/>
      <c r="R186" s="61" t="n"/>
      <c r="S186" s="61" t="n"/>
      <c r="T186" s="61" t="n"/>
      <c r="U186" s="61" t="n"/>
      <c r="V186" s="61" t="n"/>
      <c r="W186" s="61" t="n"/>
      <c r="X186" s="61" t="n"/>
      <c r="Y186" s="61" t="n"/>
    </row>
    <row r="187" hidden="1" outlineLevel="2" ht="17.25" customHeight="1" thickBot="1">
      <c r="B187" s="368" t="n">
        <v>42570</v>
      </c>
      <c r="C187" s="337" t="inlineStr">
        <is>
          <t>FITX</t>
        </is>
      </c>
      <c r="D187" s="338" t="inlineStr">
        <is>
          <t>台指07</t>
        </is>
      </c>
      <c r="E187" s="338" t="inlineStr">
        <is>
          <t>新倉</t>
        </is>
      </c>
      <c r="F187" s="338" t="inlineStr">
        <is>
          <t>賣</t>
        </is>
      </c>
      <c r="G187" s="338" t="inlineStr">
        <is>
          <t>-</t>
        </is>
      </c>
      <c r="H187" s="767" t="n">
        <v>1</v>
      </c>
      <c r="I187" s="767" t="n">
        <v>8983</v>
      </c>
      <c r="J187" s="767" t="n">
        <v>0</v>
      </c>
      <c r="K187" s="769" t="n">
        <v>100</v>
      </c>
      <c r="L187" s="769" t="n">
        <v>36</v>
      </c>
      <c r="M187" s="699">
        <f>IF(C187="TXO",J187-SUM(K187:L187),IF(C187="FITX",IF(E187="新倉",-SUM(K187:L187),IF(F187="賣",(I187-I186)*H187*200-SUM(K187:L187),(I186-I187)*H187*200-SUM(K187:L187)))))</f>
        <v/>
      </c>
      <c r="N187" s="686">
        <f>IF(C187="TXO","",IF(C187="FITX",IF(E187="新倉","",IF(F187="賣",(I187-I186),(I186-I187)))))</f>
        <v/>
      </c>
      <c r="O187" s="334">
        <f>ABS(J187)</f>
        <v/>
      </c>
      <c r="P187" s="667" t="n"/>
      <c r="R187" s="61" t="n"/>
      <c r="S187" s="61" t="n"/>
      <c r="T187" s="61" t="n"/>
      <c r="U187" s="61" t="n"/>
      <c r="V187" s="61" t="n"/>
      <c r="W187" s="61" t="n"/>
      <c r="X187" s="61" t="n"/>
      <c r="Y187" s="61" t="n"/>
    </row>
    <row r="188" hidden="1" outlineLevel="2" ht="17.25" customHeight="1" thickBot="1">
      <c r="B188" s="368" t="n">
        <v>42570</v>
      </c>
      <c r="C188" s="337" t="inlineStr">
        <is>
          <t>FITX</t>
        </is>
      </c>
      <c r="D188" s="338" t="inlineStr">
        <is>
          <t>台指07</t>
        </is>
      </c>
      <c r="E188" s="338" t="inlineStr">
        <is>
          <t>平倉</t>
        </is>
      </c>
      <c r="F188" s="338" t="inlineStr">
        <is>
          <t>買</t>
        </is>
      </c>
      <c r="G188" s="338" t="inlineStr">
        <is>
          <t>-</t>
        </is>
      </c>
      <c r="H188" s="767" t="n">
        <v>1</v>
      </c>
      <c r="I188" s="767" t="n">
        <v>8995</v>
      </c>
      <c r="J188" s="767" t="n">
        <v>0</v>
      </c>
      <c r="K188" s="769" t="n">
        <v>100</v>
      </c>
      <c r="L188" s="769" t="n">
        <v>36</v>
      </c>
      <c r="M188" s="699">
        <f>IF(C188="TXO",J188-SUM(K188:L188),IF(C188="FITX",IF(E188="新倉",-SUM(K188:L188),IF(F188="賣",(I188-I187)*H188*200-SUM(K188:L188),(I187-I188)*H188*200-SUM(K188:L188)))))</f>
        <v/>
      </c>
      <c r="N188" s="686">
        <f>IF(C188="TXO","",IF(C188="FITX",IF(E188="新倉","",IF(F188="賣",(I188-I187),(I187-I188)))))</f>
        <v/>
      </c>
      <c r="O188" s="334">
        <f>ABS(J188)</f>
        <v/>
      </c>
      <c r="P188" s="667" t="n"/>
      <c r="R188" s="61" t="n"/>
      <c r="S188" s="61" t="n"/>
      <c r="T188" s="61" t="n"/>
      <c r="U188" s="61" t="n"/>
      <c r="V188" s="61" t="n"/>
      <c r="W188" s="61" t="n"/>
      <c r="X188" s="61" t="n"/>
      <c r="Y188" s="61" t="n"/>
    </row>
    <row r="189" hidden="1" outlineLevel="2" ht="17.25" customHeight="1" thickBot="1">
      <c r="B189" s="368" t="n">
        <v>42570</v>
      </c>
      <c r="C189" s="337" t="inlineStr">
        <is>
          <t>FITX</t>
        </is>
      </c>
      <c r="D189" s="338" t="inlineStr">
        <is>
          <t>台指07</t>
        </is>
      </c>
      <c r="E189" s="338" t="inlineStr">
        <is>
          <t>新倉</t>
        </is>
      </c>
      <c r="F189" s="338" t="inlineStr">
        <is>
          <t>買</t>
        </is>
      </c>
      <c r="G189" s="338" t="inlineStr">
        <is>
          <t>-</t>
        </is>
      </c>
      <c r="H189" s="767" t="n">
        <v>1</v>
      </c>
      <c r="I189" s="767" t="n">
        <v>8994</v>
      </c>
      <c r="J189" s="767" t="n">
        <v>0</v>
      </c>
      <c r="K189" s="769" t="n">
        <v>100</v>
      </c>
      <c r="L189" s="769" t="n">
        <v>36</v>
      </c>
      <c r="M189" s="699">
        <f>IF(C189="TXO",J189-SUM(K189:L189),IF(C189="FITX",IF(E189="新倉",-SUM(K189:L189),IF(F189="賣",(I189-I188)*H189*200-SUM(K189:L189),(I188-I189)*H189*200-SUM(K189:L189)))))</f>
        <v/>
      </c>
      <c r="N189" s="686">
        <f>IF(C189="TXO","",IF(C189="FITX",IF(E189="新倉","",IF(F189="賣",(I189-I188),(I188-I189)))))</f>
        <v/>
      </c>
      <c r="O189" s="334">
        <f>ABS(J189)</f>
        <v/>
      </c>
      <c r="P189" s="667" t="n"/>
      <c r="R189" s="61" t="n"/>
      <c r="S189" s="61" t="n"/>
      <c r="T189" s="61" t="n"/>
      <c r="U189" s="61" t="n"/>
      <c r="V189" s="61" t="n"/>
      <c r="W189" s="61" t="n"/>
      <c r="X189" s="61" t="n"/>
      <c r="Y189" s="61" t="n"/>
    </row>
    <row r="190" hidden="1" outlineLevel="2" ht="17.25" customHeight="1" thickBot="1">
      <c r="B190" s="368" t="n">
        <v>42570</v>
      </c>
      <c r="C190" s="337" t="inlineStr">
        <is>
          <t>FITX</t>
        </is>
      </c>
      <c r="D190" s="338" t="inlineStr">
        <is>
          <t>台指07</t>
        </is>
      </c>
      <c r="E190" s="338" t="inlineStr">
        <is>
          <t>平倉</t>
        </is>
      </c>
      <c r="F190" s="338" t="inlineStr">
        <is>
          <t>賣</t>
        </is>
      </c>
      <c r="G190" s="338" t="inlineStr">
        <is>
          <t>-</t>
        </is>
      </c>
      <c r="H190" s="767" t="n">
        <v>1</v>
      </c>
      <c r="I190" s="767" t="n">
        <v>8996</v>
      </c>
      <c r="J190" s="767" t="n">
        <v>0</v>
      </c>
      <c r="K190" s="769" t="n">
        <v>100</v>
      </c>
      <c r="L190" s="769" t="n">
        <v>36</v>
      </c>
      <c r="M190" s="699">
        <f>IF(C190="TXO",J190-SUM(K190:L190),IF(C190="FITX",IF(E190="新倉",-SUM(K190:L190),IF(F190="賣",(I190-I189)*H190*200-SUM(K190:L190),(I189-I190)*H190*200-SUM(K190:L190)))))</f>
        <v/>
      </c>
      <c r="N190" s="686">
        <f>IF(C190="TXO","",IF(C190="FITX",IF(E190="新倉","",IF(F190="賣",(I190-I189),(I189-I190)))))</f>
        <v/>
      </c>
      <c r="O190" s="334">
        <f>ABS(J190)</f>
        <v/>
      </c>
      <c r="P190" s="667" t="n"/>
      <c r="R190" s="61" t="n"/>
      <c r="S190" s="61" t="n"/>
      <c r="T190" s="61" t="n"/>
      <c r="U190" s="61" t="n"/>
      <c r="V190" s="61" t="n"/>
      <c r="W190" s="61" t="n"/>
      <c r="X190" s="61" t="n"/>
      <c r="Y190" s="61" t="n"/>
    </row>
    <row r="191" hidden="1" outlineLevel="2" ht="17.25" customHeight="1" thickBot="1">
      <c r="B191" s="368" t="n">
        <v>42570</v>
      </c>
      <c r="C191" s="337" t="inlineStr">
        <is>
          <t>FITX</t>
        </is>
      </c>
      <c r="D191" s="338" t="inlineStr">
        <is>
          <t>台指07</t>
        </is>
      </c>
      <c r="E191" s="338" t="inlineStr">
        <is>
          <t>新倉</t>
        </is>
      </c>
      <c r="F191" s="338" t="inlineStr">
        <is>
          <t>賣</t>
        </is>
      </c>
      <c r="G191" s="338" t="inlineStr">
        <is>
          <t>-</t>
        </is>
      </c>
      <c r="H191" s="767" t="n">
        <v>1</v>
      </c>
      <c r="I191" s="767" t="n">
        <v>8999</v>
      </c>
      <c r="J191" s="767" t="n">
        <v>0</v>
      </c>
      <c r="K191" s="769" t="n">
        <v>100</v>
      </c>
      <c r="L191" s="769" t="n">
        <v>36</v>
      </c>
      <c r="M191" s="699">
        <f>IF(C191="TXO",J191-SUM(K191:L191),IF(C191="FITX",IF(E191="新倉",-SUM(K191:L191),IF(F191="賣",(I191-I190)*H191*200-SUM(K191:L191),(I190-I191)*H191*200-SUM(K191:L191)))))</f>
        <v/>
      </c>
      <c r="N191" s="686">
        <f>IF(C191="TXO","",IF(C191="FITX",IF(E191="新倉","",IF(F191="賣",(I191-I190),(I190-I191)))))</f>
        <v/>
      </c>
      <c r="O191" s="334">
        <f>ABS(J191)</f>
        <v/>
      </c>
      <c r="P191" s="667" t="n"/>
      <c r="R191" s="61" t="n"/>
      <c r="S191" s="61" t="n"/>
      <c r="T191" s="61" t="n"/>
      <c r="U191" s="61" t="n"/>
      <c r="V191" s="61" t="n"/>
      <c r="W191" s="61" t="n"/>
      <c r="X191" s="61" t="n"/>
      <c r="Y191" s="61" t="n"/>
    </row>
    <row r="192" hidden="1" outlineLevel="2" ht="17.25" customHeight="1" thickBot="1">
      <c r="B192" s="368" t="n">
        <v>42570</v>
      </c>
      <c r="C192" s="337" t="inlineStr">
        <is>
          <t>FITX</t>
        </is>
      </c>
      <c r="D192" s="338" t="inlineStr">
        <is>
          <t>台指07</t>
        </is>
      </c>
      <c r="E192" s="338" t="inlineStr">
        <is>
          <t>平倉</t>
        </is>
      </c>
      <c r="F192" s="338" t="inlineStr">
        <is>
          <t>買</t>
        </is>
      </c>
      <c r="G192" s="338" t="inlineStr">
        <is>
          <t>-</t>
        </is>
      </c>
      <c r="H192" s="767" t="n">
        <v>1</v>
      </c>
      <c r="I192" s="767" t="n">
        <v>8996</v>
      </c>
      <c r="J192" s="767" t="n">
        <v>0</v>
      </c>
      <c r="K192" s="769" t="n">
        <v>100</v>
      </c>
      <c r="L192" s="769" t="n">
        <v>36</v>
      </c>
      <c r="M192" s="699">
        <f>IF(C192="TXO",J192-SUM(K192:L192),IF(C192="FITX",IF(E192="新倉",-SUM(K192:L192),IF(F192="賣",(I192-I191)*H192*200-SUM(K192:L192),(I191-I192)*H192*200-SUM(K192:L192)))))</f>
        <v/>
      </c>
      <c r="N192" s="686">
        <f>IF(C192="TXO","",IF(C192="FITX",IF(E192="新倉","",IF(F192="賣",(I192-I191),(I191-I192)))))</f>
        <v/>
      </c>
      <c r="O192" s="334">
        <f>ABS(J192)</f>
        <v/>
      </c>
      <c r="P192" s="667" t="n"/>
      <c r="R192" s="61" t="n"/>
      <c r="S192" s="61" t="n"/>
      <c r="T192" s="61" t="n"/>
      <c r="U192" s="61" t="n"/>
      <c r="V192" s="61" t="n"/>
      <c r="W192" s="61" t="n"/>
      <c r="X192" s="61" t="n"/>
      <c r="Y192" s="61" t="n"/>
    </row>
    <row r="193" hidden="1" outlineLevel="2" ht="17.25" customHeight="1" thickBot="1">
      <c r="B193" s="368" t="n">
        <v>42570</v>
      </c>
      <c r="C193" s="337" t="inlineStr">
        <is>
          <t>FITX</t>
        </is>
      </c>
      <c r="D193" s="338" t="inlineStr">
        <is>
          <t>台指07</t>
        </is>
      </c>
      <c r="E193" s="338" t="inlineStr">
        <is>
          <t>新倉</t>
        </is>
      </c>
      <c r="F193" s="338" t="inlineStr">
        <is>
          <t>賣</t>
        </is>
      </c>
      <c r="G193" s="338" t="inlineStr">
        <is>
          <t>-</t>
        </is>
      </c>
      <c r="H193" s="767" t="n">
        <v>1</v>
      </c>
      <c r="I193" s="767" t="n">
        <v>8999</v>
      </c>
      <c r="J193" s="767" t="n">
        <v>0</v>
      </c>
      <c r="K193" s="769" t="n">
        <v>100</v>
      </c>
      <c r="L193" s="769" t="n">
        <v>36</v>
      </c>
      <c r="M193" s="699">
        <f>IF(C193="TXO",J193-SUM(K193:L193),IF(C193="FITX",IF(E193="新倉",-SUM(K193:L193),IF(F193="賣",(I193-I192)*H193*200-SUM(K193:L193),(I192-I193)*H193*200-SUM(K193:L193)))))</f>
        <v/>
      </c>
      <c r="N193" s="686">
        <f>IF(C193="TXO","",IF(C193="FITX",IF(E193="新倉","",IF(F193="賣",(I193-I192),(I192-I193)))))</f>
        <v/>
      </c>
      <c r="O193" s="334">
        <f>ABS(J193)</f>
        <v/>
      </c>
      <c r="P193" s="667" t="n"/>
      <c r="R193" s="61" t="n"/>
      <c r="S193" s="61" t="n"/>
      <c r="T193" s="61" t="n"/>
      <c r="U193" s="61" t="n"/>
      <c r="V193" s="61" t="n"/>
      <c r="W193" s="61" t="n"/>
      <c r="X193" s="61" t="n"/>
      <c r="Y193" s="61" t="n"/>
    </row>
    <row r="194" hidden="1" outlineLevel="2" ht="17.25" customHeight="1" thickBot="1">
      <c r="B194" s="368" t="n">
        <v>42570</v>
      </c>
      <c r="C194" s="337" t="inlineStr">
        <is>
          <t>FITX</t>
        </is>
      </c>
      <c r="D194" s="338" t="inlineStr">
        <is>
          <t>台指07</t>
        </is>
      </c>
      <c r="E194" s="338" t="inlineStr">
        <is>
          <t>平倉</t>
        </is>
      </c>
      <c r="F194" s="338" t="inlineStr">
        <is>
          <t>買</t>
        </is>
      </c>
      <c r="G194" s="338" t="inlineStr">
        <is>
          <t>-</t>
        </is>
      </c>
      <c r="H194" s="767" t="n">
        <v>1</v>
      </c>
      <c r="I194" s="767" t="n">
        <v>8997</v>
      </c>
      <c r="J194" s="767" t="n">
        <v>0</v>
      </c>
      <c r="K194" s="769" t="n">
        <v>100</v>
      </c>
      <c r="L194" s="769" t="n">
        <v>36</v>
      </c>
      <c r="M194" s="699">
        <f>IF(C194="TXO",J194-SUM(K194:L194),IF(C194="FITX",IF(E194="新倉",-SUM(K194:L194),IF(F194="賣",(I194-I193)*H194*200-SUM(K194:L194),(I193-I194)*H194*200-SUM(K194:L194)))))</f>
        <v/>
      </c>
      <c r="N194" s="686">
        <f>IF(C194="TXO","",IF(C194="FITX",IF(E194="新倉","",IF(F194="賣",(I194-I193),(I193-I194)))))</f>
        <v/>
      </c>
      <c r="O194" s="334">
        <f>ABS(J194)</f>
        <v/>
      </c>
      <c r="P194" s="667" t="n"/>
      <c r="R194" s="61" t="n"/>
      <c r="S194" s="61" t="n"/>
      <c r="T194" s="61" t="n"/>
      <c r="U194" s="61" t="n"/>
      <c r="V194" s="61" t="n"/>
      <c r="W194" s="61" t="n"/>
      <c r="X194" s="61" t="n"/>
      <c r="Y194" s="61" t="n"/>
    </row>
    <row r="195" hidden="1" outlineLevel="2" ht="17.25" customHeight="1" thickBot="1">
      <c r="B195" s="368" t="n">
        <v>42570</v>
      </c>
      <c r="C195" s="337" t="inlineStr">
        <is>
          <t>FITX</t>
        </is>
      </c>
      <c r="D195" s="338" t="inlineStr">
        <is>
          <t>台指07</t>
        </is>
      </c>
      <c r="E195" s="338" t="inlineStr">
        <is>
          <t>新倉</t>
        </is>
      </c>
      <c r="F195" s="338" t="inlineStr">
        <is>
          <t>賣</t>
        </is>
      </c>
      <c r="G195" s="338" t="inlineStr">
        <is>
          <t>-</t>
        </is>
      </c>
      <c r="H195" s="767" t="n">
        <v>1</v>
      </c>
      <c r="I195" s="767" t="n">
        <v>8986</v>
      </c>
      <c r="J195" s="767" t="n">
        <v>0</v>
      </c>
      <c r="K195" s="769" t="n">
        <v>100</v>
      </c>
      <c r="L195" s="769" t="n">
        <v>36</v>
      </c>
      <c r="M195" s="699">
        <f>IF(C195="TXO",J195-SUM(K195:L195),IF(C195="FITX",IF(E195="新倉",-SUM(K195:L195),IF(F195="賣",(I195-I194)*H195*200-SUM(K195:L195),(I194-I195)*H195*200-SUM(K195:L195)))))</f>
        <v/>
      </c>
      <c r="N195" s="686">
        <f>IF(C195="TXO","",IF(C195="FITX",IF(E195="新倉","",IF(F195="賣",(I195-I194),(I194-I195)))))</f>
        <v/>
      </c>
      <c r="O195" s="334">
        <f>ABS(J195)</f>
        <v/>
      </c>
      <c r="P195" s="667" t="n"/>
      <c r="R195" s="61" t="n"/>
      <c r="S195" s="61" t="n"/>
      <c r="T195" s="61" t="n"/>
      <c r="U195" s="61" t="n"/>
      <c r="V195" s="61" t="n"/>
      <c r="W195" s="61" t="n"/>
      <c r="X195" s="61" t="n"/>
      <c r="Y195" s="61" t="n"/>
    </row>
    <row r="196" hidden="1" outlineLevel="2" ht="17.25" customHeight="1" thickBot="1">
      <c r="B196" s="368" t="n">
        <v>42570</v>
      </c>
      <c r="C196" s="337" t="inlineStr">
        <is>
          <t>FITX</t>
        </is>
      </c>
      <c r="D196" s="338" t="inlineStr">
        <is>
          <t>台指07</t>
        </is>
      </c>
      <c r="E196" s="338" t="inlineStr">
        <is>
          <t>平倉</t>
        </is>
      </c>
      <c r="F196" s="338" t="inlineStr">
        <is>
          <t>買</t>
        </is>
      </c>
      <c r="G196" s="338" t="inlineStr">
        <is>
          <t>-</t>
        </is>
      </c>
      <c r="H196" s="767" t="n">
        <v>1</v>
      </c>
      <c r="I196" s="767" t="n">
        <v>8984</v>
      </c>
      <c r="J196" s="767" t="n">
        <v>0</v>
      </c>
      <c r="K196" s="769" t="n">
        <v>100</v>
      </c>
      <c r="L196" s="769" t="n">
        <v>36</v>
      </c>
      <c r="M196" s="699">
        <f>IF(C196="TXO",J196-SUM(K196:L196),IF(C196="FITX",IF(E196="新倉",-SUM(K196:L196),IF(F196="賣",(I196-I195)*H196*200-SUM(K196:L196),(I195-I196)*H196*200-SUM(K196:L196)))))</f>
        <v/>
      </c>
      <c r="N196" s="686">
        <f>IF(C196="TXO","",IF(C196="FITX",IF(E196="新倉","",IF(F196="賣",(I196-I195),(I195-I196)))))</f>
        <v/>
      </c>
      <c r="O196" s="334">
        <f>ABS(J196)</f>
        <v/>
      </c>
      <c r="P196" s="667" t="n"/>
      <c r="R196" s="61" t="n"/>
      <c r="S196" s="61" t="n"/>
      <c r="T196" s="61" t="n"/>
      <c r="U196" s="61" t="n"/>
      <c r="V196" s="61" t="n"/>
      <c r="W196" s="61" t="n"/>
      <c r="X196" s="61" t="n"/>
      <c r="Y196" s="61" t="n"/>
    </row>
    <row r="197" hidden="1" outlineLevel="2" ht="17.25" customHeight="1" thickBot="1">
      <c r="B197" s="368" t="n">
        <v>42570</v>
      </c>
      <c r="C197" s="337" t="inlineStr">
        <is>
          <t>FITX</t>
        </is>
      </c>
      <c r="D197" s="338" t="inlineStr">
        <is>
          <t>台指07</t>
        </is>
      </c>
      <c r="E197" s="338" t="inlineStr">
        <is>
          <t>新倉</t>
        </is>
      </c>
      <c r="F197" s="338" t="inlineStr">
        <is>
          <t>賣</t>
        </is>
      </c>
      <c r="G197" s="338" t="inlineStr">
        <is>
          <t>-</t>
        </is>
      </c>
      <c r="H197" s="767" t="n">
        <v>1</v>
      </c>
      <c r="I197" s="767" t="n">
        <v>8999</v>
      </c>
      <c r="J197" s="767" t="n">
        <v>0</v>
      </c>
      <c r="K197" s="769" t="n">
        <v>100</v>
      </c>
      <c r="L197" s="769" t="n">
        <v>36</v>
      </c>
      <c r="M197" s="699">
        <f>IF(C197="TXO",J197-SUM(K197:L197),IF(C197="FITX",IF(E197="新倉",-SUM(K197:L197),IF(F197="賣",(I197-I196)*H197*200-SUM(K197:L197),(I196-I197)*H197*200-SUM(K197:L197)))))</f>
        <v/>
      </c>
      <c r="N197" s="686">
        <f>IF(C197="TXO","",IF(C197="FITX",IF(E197="新倉","",IF(F197="賣",(I197-I196),(I196-I197)))))</f>
        <v/>
      </c>
      <c r="O197" s="334">
        <f>ABS(J197)</f>
        <v/>
      </c>
      <c r="P197" s="667" t="n"/>
      <c r="R197" s="61" t="n"/>
      <c r="S197" s="61" t="n"/>
      <c r="T197" s="61" t="n"/>
      <c r="U197" s="61" t="n"/>
      <c r="V197" s="61" t="n"/>
      <c r="W197" s="61" t="n"/>
      <c r="X197" s="61" t="n"/>
      <c r="Y197" s="61" t="n"/>
    </row>
    <row r="198" hidden="1" outlineLevel="2" ht="17.25" customHeight="1" thickBot="1">
      <c r="B198" s="368" t="n">
        <v>42570</v>
      </c>
      <c r="C198" s="337" t="inlineStr">
        <is>
          <t>FITX</t>
        </is>
      </c>
      <c r="D198" s="338" t="inlineStr">
        <is>
          <t>台指07</t>
        </is>
      </c>
      <c r="E198" s="338" t="inlineStr">
        <is>
          <t>平倉</t>
        </is>
      </c>
      <c r="F198" s="338" t="inlineStr">
        <is>
          <t>買</t>
        </is>
      </c>
      <c r="G198" s="338" t="inlineStr">
        <is>
          <t>-</t>
        </is>
      </c>
      <c r="H198" s="767" t="n">
        <v>1</v>
      </c>
      <c r="I198" s="767" t="n">
        <v>9003</v>
      </c>
      <c r="J198" s="767" t="n">
        <v>0</v>
      </c>
      <c r="K198" s="769" t="n">
        <v>100</v>
      </c>
      <c r="L198" s="769" t="n">
        <v>36</v>
      </c>
      <c r="M198" s="699">
        <f>IF(C198="TXO",J198-SUM(K198:L198),IF(C198="FITX",IF(E198="新倉",-SUM(K198:L198),IF(F198="賣",(I198-I197)*H198*200-SUM(K198:L198),(I197-I198)*H198*200-SUM(K198:L198)))))</f>
        <v/>
      </c>
      <c r="N198" s="686">
        <f>IF(C198="TXO","",IF(C198="FITX",IF(E198="新倉","",IF(F198="賣",(I198-I197),(I197-I198)))))</f>
        <v/>
      </c>
      <c r="O198" s="334">
        <f>ABS(J198)</f>
        <v/>
      </c>
      <c r="P198" s="667" t="n"/>
      <c r="R198" s="61" t="n"/>
      <c r="S198" s="61" t="n"/>
      <c r="T198" s="61" t="n"/>
      <c r="U198" s="61" t="n"/>
      <c r="V198" s="61" t="n"/>
      <c r="W198" s="61" t="n"/>
      <c r="X198" s="61" t="n"/>
      <c r="Y198" s="61" t="n"/>
    </row>
    <row r="199" hidden="1" outlineLevel="2" ht="17.25" customHeight="1" thickBot="1">
      <c r="B199" s="368" t="n">
        <v>42570</v>
      </c>
      <c r="C199" s="337" t="inlineStr">
        <is>
          <t>FITX</t>
        </is>
      </c>
      <c r="D199" s="338" t="inlineStr">
        <is>
          <t>台指07</t>
        </is>
      </c>
      <c r="E199" s="338" t="inlineStr">
        <is>
          <t>新倉</t>
        </is>
      </c>
      <c r="F199" s="338" t="inlineStr">
        <is>
          <t>賣</t>
        </is>
      </c>
      <c r="G199" s="338" t="inlineStr">
        <is>
          <t>-</t>
        </is>
      </c>
      <c r="H199" s="767" t="n">
        <v>1</v>
      </c>
      <c r="I199" s="767" t="n">
        <v>9006</v>
      </c>
      <c r="J199" s="767" t="n">
        <v>0</v>
      </c>
      <c r="K199" s="769" t="n">
        <v>100</v>
      </c>
      <c r="L199" s="769" t="n">
        <v>36</v>
      </c>
      <c r="M199" s="699">
        <f>IF(C199="TXO",J199-SUM(K199:L199),IF(C199="FITX",IF(E199="新倉",-SUM(K199:L199),IF(F199="賣",(I199-I198)*H199*200-SUM(K199:L199),(I198-I199)*H199*200-SUM(K199:L199)))))</f>
        <v/>
      </c>
      <c r="N199" s="686">
        <f>IF(C199="TXO","",IF(C199="FITX",IF(E199="新倉","",IF(F199="賣",(I199-I198),(I198-I199)))))</f>
        <v/>
      </c>
      <c r="O199" s="334">
        <f>ABS(J199)</f>
        <v/>
      </c>
      <c r="P199" s="667" t="n"/>
      <c r="R199" s="61" t="n"/>
      <c r="S199" s="61" t="n"/>
      <c r="T199" s="61" t="n"/>
      <c r="U199" s="61" t="n"/>
      <c r="V199" s="61" t="n"/>
      <c r="W199" s="61" t="n"/>
      <c r="X199" s="61" t="n"/>
      <c r="Y199" s="61" t="n"/>
    </row>
    <row r="200" hidden="1" outlineLevel="2" ht="17.25" customHeight="1" thickBot="1">
      <c r="B200" s="368" t="n">
        <v>42570</v>
      </c>
      <c r="C200" s="337" t="inlineStr">
        <is>
          <t>FITX</t>
        </is>
      </c>
      <c r="D200" s="338" t="inlineStr">
        <is>
          <t>台指07</t>
        </is>
      </c>
      <c r="E200" s="338" t="inlineStr">
        <is>
          <t>平倉</t>
        </is>
      </c>
      <c r="F200" s="338" t="inlineStr">
        <is>
          <t>買</t>
        </is>
      </c>
      <c r="G200" s="338" t="inlineStr">
        <is>
          <t>-</t>
        </is>
      </c>
      <c r="H200" s="767" t="n">
        <v>1</v>
      </c>
      <c r="I200" s="767" t="n">
        <v>9010</v>
      </c>
      <c r="J200" s="767" t="n">
        <v>0</v>
      </c>
      <c r="K200" s="769" t="n">
        <v>100</v>
      </c>
      <c r="L200" s="769" t="n">
        <v>36</v>
      </c>
      <c r="M200" s="699">
        <f>IF(C200="TXO",J200-SUM(K200:L200),IF(C200="FITX",IF(E200="新倉",-SUM(K200:L200),IF(F200="賣",(I200-I199)*H200*200-SUM(K200:L200),(I199-I200)*H200*200-SUM(K200:L200)))))</f>
        <v/>
      </c>
      <c r="N200" s="686">
        <f>IF(C200="TXO","",IF(C200="FITX",IF(E200="新倉","",IF(F200="賣",(I200-I199),(I199-I200)))))</f>
        <v/>
      </c>
      <c r="O200" s="334">
        <f>ABS(J200)</f>
        <v/>
      </c>
      <c r="P200" s="667" t="n"/>
      <c r="R200" s="61" t="n"/>
      <c r="S200" s="61" t="n"/>
      <c r="T200" s="61" t="n"/>
      <c r="U200" s="61" t="n"/>
      <c r="V200" s="61" t="n"/>
      <c r="W200" s="61" t="n"/>
      <c r="X200" s="61" t="n"/>
      <c r="Y200" s="61" t="n"/>
    </row>
    <row r="201" hidden="1" outlineLevel="2" ht="17.25" customHeight="1" thickBot="1">
      <c r="B201" s="368" t="n">
        <v>42570</v>
      </c>
      <c r="C201" s="337" t="inlineStr">
        <is>
          <t>FITX</t>
        </is>
      </c>
      <c r="D201" s="338" t="inlineStr">
        <is>
          <t>台指07</t>
        </is>
      </c>
      <c r="E201" s="338" t="inlineStr">
        <is>
          <t>新倉</t>
        </is>
      </c>
      <c r="F201" s="338" t="inlineStr">
        <is>
          <t>賣</t>
        </is>
      </c>
      <c r="G201" s="338" t="inlineStr">
        <is>
          <t>-</t>
        </is>
      </c>
      <c r="H201" s="767" t="n">
        <v>1</v>
      </c>
      <c r="I201" s="767" t="n">
        <v>9011</v>
      </c>
      <c r="J201" s="767" t="n">
        <v>0</v>
      </c>
      <c r="K201" s="769" t="n">
        <v>100</v>
      </c>
      <c r="L201" s="769" t="n">
        <v>36</v>
      </c>
      <c r="M201" s="699">
        <f>IF(C201="TXO",J201-SUM(K201:L201),IF(C201="FITX",IF(E201="新倉",-SUM(K201:L201),IF(F201="賣",(I201-I200)*H201*200-SUM(K201:L201),(I200-I201)*H201*200-SUM(K201:L201)))))</f>
        <v/>
      </c>
      <c r="N201" s="686">
        <f>IF(C201="TXO","",IF(C201="FITX",IF(E201="新倉","",IF(F201="賣",(I201-I200),(I200-I201)))))</f>
        <v/>
      </c>
      <c r="O201" s="334">
        <f>ABS(J201)</f>
        <v/>
      </c>
      <c r="P201" s="667" t="n"/>
      <c r="R201" s="61" t="n"/>
      <c r="S201" s="61" t="n"/>
      <c r="T201" s="61" t="n"/>
      <c r="U201" s="61" t="n"/>
      <c r="V201" s="61" t="n"/>
      <c r="W201" s="61" t="n"/>
      <c r="X201" s="61" t="n"/>
      <c r="Y201" s="61" t="n"/>
    </row>
    <row r="202" hidden="1" outlineLevel="2" ht="17.25" customHeight="1" thickBot="1">
      <c r="B202" s="368" t="n">
        <v>42570</v>
      </c>
      <c r="C202" s="337" t="inlineStr">
        <is>
          <t>FITX</t>
        </is>
      </c>
      <c r="D202" s="338" t="inlineStr">
        <is>
          <t>台指07</t>
        </is>
      </c>
      <c r="E202" s="338" t="inlineStr">
        <is>
          <t>平倉</t>
        </is>
      </c>
      <c r="F202" s="338" t="inlineStr">
        <is>
          <t>買</t>
        </is>
      </c>
      <c r="G202" s="338" t="inlineStr">
        <is>
          <t>-</t>
        </is>
      </c>
      <c r="H202" s="767" t="n">
        <v>1</v>
      </c>
      <c r="I202" s="767" t="n">
        <v>9017</v>
      </c>
      <c r="J202" s="767" t="n">
        <v>0</v>
      </c>
      <c r="K202" s="769" t="n">
        <v>100</v>
      </c>
      <c r="L202" s="769" t="n">
        <v>36</v>
      </c>
      <c r="M202" s="699">
        <f>IF(C202="TXO",J202-SUM(K202:L202),IF(C202="FITX",IF(E202="新倉",-SUM(K202:L202),IF(F202="賣",(I202-I201)*H202*200-SUM(K202:L202),(I201-I202)*H202*200-SUM(K202:L202)))))</f>
        <v/>
      </c>
      <c r="N202" s="686">
        <f>IF(C202="TXO","",IF(C202="FITX",IF(E202="新倉","",IF(F202="賣",(I202-I201),(I201-I202)))))</f>
        <v/>
      </c>
      <c r="O202" s="334">
        <f>ABS(J202)</f>
        <v/>
      </c>
      <c r="P202" s="667" t="n"/>
      <c r="R202" s="61" t="n"/>
      <c r="S202" s="61" t="n"/>
      <c r="T202" s="61" t="n"/>
      <c r="U202" s="61" t="n"/>
      <c r="V202" s="61" t="n"/>
      <c r="W202" s="61" t="n"/>
      <c r="X202" s="61" t="n"/>
      <c r="Y202" s="61" t="n"/>
    </row>
    <row r="203" hidden="1" outlineLevel="2" ht="17.25" customHeight="1" thickBot="1">
      <c r="B203" s="368" t="n">
        <v>42570</v>
      </c>
      <c r="C203" s="337" t="inlineStr">
        <is>
          <t>FITX</t>
        </is>
      </c>
      <c r="D203" s="338" t="inlineStr">
        <is>
          <t>台指07</t>
        </is>
      </c>
      <c r="E203" s="338" t="inlineStr">
        <is>
          <t>新倉</t>
        </is>
      </c>
      <c r="F203" s="338" t="inlineStr">
        <is>
          <t>買</t>
        </is>
      </c>
      <c r="G203" s="338" t="inlineStr">
        <is>
          <t>-</t>
        </is>
      </c>
      <c r="H203" s="767" t="n">
        <v>1</v>
      </c>
      <c r="I203" s="767" t="n">
        <v>9026</v>
      </c>
      <c r="J203" s="767" t="n">
        <v>0</v>
      </c>
      <c r="K203" s="769" t="n">
        <v>100</v>
      </c>
      <c r="L203" s="769" t="n">
        <v>36</v>
      </c>
      <c r="M203" s="699">
        <f>IF(C203="TXO",J203-SUM(K203:L203),IF(C203="FITX",IF(E203="新倉",-SUM(K203:L203),IF(F203="賣",(I203-I202)*H203*200-SUM(K203:L203),(I202-I203)*H203*200-SUM(K203:L203)))))</f>
        <v/>
      </c>
      <c r="N203" s="686">
        <f>IF(C203="TXO","",IF(C203="FITX",IF(E203="新倉","",IF(F203="賣",(I203-I202),(I202-I203)))))</f>
        <v/>
      </c>
      <c r="O203" s="334">
        <f>ABS(J203)</f>
        <v/>
      </c>
      <c r="P203" s="667" t="n"/>
      <c r="R203" s="61" t="n"/>
      <c r="S203" s="61" t="n"/>
      <c r="T203" s="61" t="n"/>
      <c r="U203" s="61" t="n"/>
      <c r="V203" s="61" t="n"/>
      <c r="W203" s="61" t="n"/>
      <c r="X203" s="61" t="n"/>
      <c r="Y203" s="61" t="n"/>
    </row>
    <row r="204" hidden="1" outlineLevel="2" ht="17.25" customHeight="1" thickBot="1">
      <c r="B204" s="368" t="n">
        <v>42570</v>
      </c>
      <c r="C204" s="337" t="inlineStr">
        <is>
          <t>FITX</t>
        </is>
      </c>
      <c r="D204" s="338" t="inlineStr">
        <is>
          <t>台指07</t>
        </is>
      </c>
      <c r="E204" s="338" t="inlineStr">
        <is>
          <t>平倉</t>
        </is>
      </c>
      <c r="F204" s="338" t="inlineStr">
        <is>
          <t>賣</t>
        </is>
      </c>
      <c r="G204" s="338" t="inlineStr">
        <is>
          <t>-</t>
        </is>
      </c>
      <c r="H204" s="767" t="n">
        <v>1</v>
      </c>
      <c r="I204" s="767" t="n">
        <v>9022</v>
      </c>
      <c r="J204" s="767" t="n">
        <v>0</v>
      </c>
      <c r="K204" s="769" t="n">
        <v>100</v>
      </c>
      <c r="L204" s="769" t="n">
        <v>36</v>
      </c>
      <c r="M204" s="699">
        <f>IF(C204="TXO",J204-SUM(K204:L204),IF(C204="FITX",IF(E204="新倉",-SUM(K204:L204),IF(F204="賣",(I204-I203)*H204*200-SUM(K204:L204),(I203-I204)*H204*200-SUM(K204:L204)))))</f>
        <v/>
      </c>
      <c r="N204" s="686">
        <f>IF(C204="TXO","",IF(C204="FITX",IF(E204="新倉","",IF(F204="賣",(I204-I203),(I203-I204)))))</f>
        <v/>
      </c>
      <c r="O204" s="334">
        <f>ABS(J204)</f>
        <v/>
      </c>
      <c r="P204" s="667" t="n"/>
      <c r="R204" s="61" t="n"/>
      <c r="S204" s="61" t="n"/>
      <c r="T204" s="61" t="n"/>
      <c r="U204" s="61" t="n"/>
      <c r="V204" s="61" t="n"/>
      <c r="W204" s="61" t="n"/>
      <c r="X204" s="61" t="n"/>
      <c r="Y204" s="61" t="n"/>
    </row>
    <row r="205" hidden="1" outlineLevel="2" ht="17.25" customHeight="1" thickBot="1">
      <c r="B205" s="368" t="n">
        <v>42570</v>
      </c>
      <c r="C205" s="337" t="inlineStr">
        <is>
          <t>FITX</t>
        </is>
      </c>
      <c r="D205" s="338" t="inlineStr">
        <is>
          <t>台指07</t>
        </is>
      </c>
      <c r="E205" s="338" t="inlineStr">
        <is>
          <t>新倉</t>
        </is>
      </c>
      <c r="F205" s="338" t="inlineStr">
        <is>
          <t>買</t>
        </is>
      </c>
      <c r="G205" s="338" t="inlineStr">
        <is>
          <t>-</t>
        </is>
      </c>
      <c r="H205" s="767" t="n">
        <v>1</v>
      </c>
      <c r="I205" s="767" t="n">
        <v>9014</v>
      </c>
      <c r="J205" s="767" t="n">
        <v>0</v>
      </c>
      <c r="K205" s="769" t="n">
        <v>100</v>
      </c>
      <c r="L205" s="769" t="n">
        <v>36</v>
      </c>
      <c r="M205" s="699">
        <f>IF(C205="TXO",J205-SUM(K205:L205),IF(C205="FITX",IF(E205="新倉",-SUM(K205:L205),IF(F205="賣",(I205-I204)*H205*200-SUM(K205:L205),(I204-I205)*H205*200-SUM(K205:L205)))))</f>
        <v/>
      </c>
      <c r="N205" s="686">
        <f>IF(C205="TXO","",IF(C205="FITX",IF(E205="新倉","",IF(F205="賣",(I205-I204),(I204-I205)))))</f>
        <v/>
      </c>
      <c r="O205" s="334">
        <f>ABS(J205)</f>
        <v/>
      </c>
      <c r="P205" s="667" t="n"/>
      <c r="R205" s="61" t="n"/>
      <c r="S205" s="61" t="n"/>
      <c r="T205" s="61" t="n"/>
      <c r="U205" s="61" t="n"/>
      <c r="V205" s="61" t="n"/>
      <c r="W205" s="61" t="n"/>
      <c r="X205" s="61" t="n"/>
      <c r="Y205" s="61" t="n"/>
    </row>
    <row r="206" hidden="1" outlineLevel="2" ht="17.25" customHeight="1" thickBot="1">
      <c r="B206" s="368" t="n">
        <v>42570</v>
      </c>
      <c r="C206" s="337" t="inlineStr">
        <is>
          <t>FITX</t>
        </is>
      </c>
      <c r="D206" s="338" t="inlineStr">
        <is>
          <t>台指07</t>
        </is>
      </c>
      <c r="E206" s="338" t="inlineStr">
        <is>
          <t>平倉</t>
        </is>
      </c>
      <c r="F206" s="338" t="inlineStr">
        <is>
          <t>賣</t>
        </is>
      </c>
      <c r="G206" s="338" t="inlineStr">
        <is>
          <t>-</t>
        </is>
      </c>
      <c r="H206" s="767" t="n">
        <v>1</v>
      </c>
      <c r="I206" s="767" t="n">
        <v>9021</v>
      </c>
      <c r="J206" s="767" t="n">
        <v>0</v>
      </c>
      <c r="K206" s="769" t="n">
        <v>100</v>
      </c>
      <c r="L206" s="769" t="n">
        <v>36</v>
      </c>
      <c r="M206" s="699">
        <f>IF(C206="TXO",J206-SUM(K206:L206),IF(C206="FITX",IF(E206="新倉",-SUM(K206:L206),IF(F206="賣",(I206-I205)*H206*200-SUM(K206:L206),(I205-I206)*H206*200-SUM(K206:L206)))))</f>
        <v/>
      </c>
      <c r="N206" s="686">
        <f>IF(C206="TXO","",IF(C206="FITX",IF(E206="新倉","",IF(F206="賣",(I206-I205),(I205-I206)))))</f>
        <v/>
      </c>
      <c r="O206" s="334">
        <f>ABS(J206)</f>
        <v/>
      </c>
      <c r="P206" s="667" t="n"/>
      <c r="R206" s="61" t="n"/>
      <c r="S206" s="61" t="n"/>
      <c r="T206" s="61" t="n"/>
      <c r="U206" s="61" t="n"/>
      <c r="V206" s="61" t="n"/>
      <c r="W206" s="61" t="n"/>
      <c r="X206" s="61" t="n"/>
      <c r="Y206" s="61" t="n"/>
    </row>
    <row r="207" hidden="1" outlineLevel="2" ht="17.25" customHeight="1" thickBot="1">
      <c r="B207" s="368" t="n">
        <v>42570</v>
      </c>
      <c r="C207" s="337" t="inlineStr">
        <is>
          <t>FITX</t>
        </is>
      </c>
      <c r="D207" s="338" t="inlineStr">
        <is>
          <t>台指07</t>
        </is>
      </c>
      <c r="E207" s="338" t="inlineStr">
        <is>
          <t>新倉</t>
        </is>
      </c>
      <c r="F207" s="338" t="inlineStr">
        <is>
          <t>賣</t>
        </is>
      </c>
      <c r="G207" s="338" t="inlineStr">
        <is>
          <t>-</t>
        </is>
      </c>
      <c r="H207" s="767" t="n">
        <v>1</v>
      </c>
      <c r="I207" s="767" t="n">
        <v>9015</v>
      </c>
      <c r="J207" s="767" t="n">
        <v>0</v>
      </c>
      <c r="K207" s="769" t="n">
        <v>100</v>
      </c>
      <c r="L207" s="769" t="n">
        <v>36</v>
      </c>
      <c r="M207" s="699">
        <f>IF(C207="TXO",J207-SUM(K207:L207),IF(C207="FITX",IF(E207="新倉",-SUM(K207:L207),IF(F207="賣",(I207-I206)*H207*200-SUM(K207:L207),(I206-I207)*H207*200-SUM(K207:L207)))))</f>
        <v/>
      </c>
      <c r="N207" s="686">
        <f>IF(C207="TXO","",IF(C207="FITX",IF(E207="新倉","",IF(F207="賣",(I207-I206),(I206-I207)))))</f>
        <v/>
      </c>
      <c r="O207" s="334">
        <f>ABS(J207)</f>
        <v/>
      </c>
      <c r="P207" s="667" t="n"/>
      <c r="R207" s="61" t="n"/>
      <c r="S207" s="61" t="n"/>
      <c r="T207" s="61" t="n"/>
      <c r="U207" s="61" t="n"/>
      <c r="V207" s="61" t="n"/>
      <c r="W207" s="61" t="n"/>
      <c r="X207" s="61" t="n"/>
      <c r="Y207" s="61" t="n"/>
    </row>
    <row r="208" hidden="1" outlineLevel="2" ht="17.25" customHeight="1" thickBot="1">
      <c r="B208" s="368" t="n">
        <v>42570</v>
      </c>
      <c r="C208" s="337" t="inlineStr">
        <is>
          <t>FITX</t>
        </is>
      </c>
      <c r="D208" s="338" t="inlineStr">
        <is>
          <t>台指07</t>
        </is>
      </c>
      <c r="E208" s="338" t="inlineStr">
        <is>
          <t>平倉</t>
        </is>
      </c>
      <c r="F208" s="338" t="inlineStr">
        <is>
          <t>買</t>
        </is>
      </c>
      <c r="G208" s="338" t="inlineStr">
        <is>
          <t>-</t>
        </is>
      </c>
      <c r="H208" s="767" t="n">
        <v>1</v>
      </c>
      <c r="I208" s="767" t="n">
        <v>9017</v>
      </c>
      <c r="J208" s="767" t="n">
        <v>0</v>
      </c>
      <c r="K208" s="769" t="n">
        <v>100</v>
      </c>
      <c r="L208" s="769" t="n">
        <v>36</v>
      </c>
      <c r="M208" s="699">
        <f>IF(C208="TXO",J208-SUM(K208:L208),IF(C208="FITX",IF(E208="新倉",-SUM(K208:L208),IF(F208="賣",(I208-I207)*H208*200-SUM(K208:L208),(I207-I208)*H208*200-SUM(K208:L208)))))</f>
        <v/>
      </c>
      <c r="N208" s="686">
        <f>IF(C208="TXO","",IF(C208="FITX",IF(E208="新倉","",IF(F208="賣",(I208-I207),(I207-I208)))))</f>
        <v/>
      </c>
      <c r="O208" s="334">
        <f>ABS(J208)</f>
        <v/>
      </c>
      <c r="P208" s="667" t="n"/>
      <c r="R208" s="61" t="n"/>
      <c r="S208" s="61" t="n"/>
      <c r="T208" s="61" t="n"/>
      <c r="U208" s="61" t="n"/>
      <c r="V208" s="61" t="n"/>
      <c r="W208" s="61" t="n"/>
      <c r="X208" s="61" t="n"/>
      <c r="Y208" s="61" t="n"/>
    </row>
    <row r="209" hidden="1" outlineLevel="2" ht="17.25" customHeight="1" thickBot="1">
      <c r="B209" s="368" t="n">
        <v>42570</v>
      </c>
      <c r="C209" s="337" t="inlineStr">
        <is>
          <t>FITX</t>
        </is>
      </c>
      <c r="D209" s="338" t="inlineStr">
        <is>
          <t>台指07</t>
        </is>
      </c>
      <c r="E209" s="338" t="inlineStr">
        <is>
          <t>新倉</t>
        </is>
      </c>
      <c r="F209" s="338" t="inlineStr">
        <is>
          <t>買</t>
        </is>
      </c>
      <c r="G209" s="338" t="inlineStr">
        <is>
          <t>-</t>
        </is>
      </c>
      <c r="H209" s="767" t="n">
        <v>1</v>
      </c>
      <c r="I209" s="767" t="n">
        <v>9013</v>
      </c>
      <c r="J209" s="767" t="n">
        <v>0</v>
      </c>
      <c r="K209" s="769" t="n">
        <v>100</v>
      </c>
      <c r="L209" s="769" t="n">
        <v>36</v>
      </c>
      <c r="M209" s="699">
        <f>IF(C209="TXO",J209-SUM(K209:L209),IF(C209="FITX",IF(E209="新倉",-SUM(K209:L209),IF(F209="賣",(I209-I208)*H209*200-SUM(K209:L209),(I208-I209)*H209*200-SUM(K209:L209)))))</f>
        <v/>
      </c>
      <c r="N209" s="686">
        <f>IF(C209="TXO","",IF(C209="FITX",IF(E209="新倉","",IF(F209="賣",(I209-I208),(I208-I209)))))</f>
        <v/>
      </c>
      <c r="O209" s="334">
        <f>ABS(J209)</f>
        <v/>
      </c>
      <c r="P209" s="667" t="n"/>
      <c r="R209" s="61" t="n"/>
      <c r="S209" s="61" t="n"/>
      <c r="T209" s="61" t="n"/>
      <c r="U209" s="61" t="n"/>
      <c r="V209" s="61" t="n"/>
      <c r="W209" s="61" t="n"/>
      <c r="X209" s="61" t="n"/>
      <c r="Y209" s="61" t="n"/>
    </row>
    <row r="210" hidden="1" outlineLevel="2" ht="17.25" customHeight="1" thickBot="1">
      <c r="B210" s="368" t="n">
        <v>42570</v>
      </c>
      <c r="C210" s="337" t="inlineStr">
        <is>
          <t>FITX</t>
        </is>
      </c>
      <c r="D210" s="338" t="inlineStr">
        <is>
          <t>台指07</t>
        </is>
      </c>
      <c r="E210" s="338" t="inlineStr">
        <is>
          <t>平倉</t>
        </is>
      </c>
      <c r="F210" s="338" t="inlineStr">
        <is>
          <t>賣</t>
        </is>
      </c>
      <c r="G210" s="338" t="inlineStr">
        <is>
          <t>-</t>
        </is>
      </c>
      <c r="H210" s="767" t="n">
        <v>1</v>
      </c>
      <c r="I210" s="767" t="n">
        <v>9013</v>
      </c>
      <c r="J210" s="767" t="n">
        <v>0</v>
      </c>
      <c r="K210" s="769" t="n">
        <v>100</v>
      </c>
      <c r="L210" s="769" t="n">
        <v>36</v>
      </c>
      <c r="M210" s="699">
        <f>IF(C210="TXO",J210-SUM(K210:L210),IF(C210="FITX",IF(E210="新倉",-SUM(K210:L210),IF(F210="賣",(I210-I209)*H210*200-SUM(K210:L210),(I209-I210)*H210*200-SUM(K210:L210)))))</f>
        <v/>
      </c>
      <c r="N210" s="686">
        <f>IF(C210="TXO","",IF(C210="FITX",IF(E210="新倉","",IF(F210="賣",(I210-I209),(I209-I210)))))</f>
        <v/>
      </c>
      <c r="O210" s="334">
        <f>ABS(J210)</f>
        <v/>
      </c>
      <c r="P210" s="667" t="n"/>
      <c r="R210" s="61" t="n"/>
      <c r="S210" s="61" t="n"/>
      <c r="T210" s="61" t="n"/>
      <c r="U210" s="61" t="n"/>
      <c r="V210" s="61" t="n"/>
      <c r="W210" s="61" t="n"/>
      <c r="X210" s="61" t="n"/>
      <c r="Y210" s="61" t="n"/>
    </row>
    <row r="211" hidden="1" outlineLevel="1" collapsed="1" ht="17.25" customHeight="1" thickBot="1">
      <c r="B211" s="369" t="n">
        <v>42571</v>
      </c>
      <c r="C211" s="370" t="inlineStr">
        <is>
          <t>TXO</t>
        </is>
      </c>
      <c r="D211" s="371" t="inlineStr">
        <is>
          <t>台指選 07 09050 C</t>
        </is>
      </c>
      <c r="E211" s="371" t="inlineStr">
        <is>
          <t>新倉</t>
        </is>
      </c>
      <c r="F211" s="371" t="inlineStr">
        <is>
          <t>買</t>
        </is>
      </c>
      <c r="G211" s="371" t="inlineStr">
        <is>
          <t>-</t>
        </is>
      </c>
      <c r="H211" s="785" t="n">
        <v>3</v>
      </c>
      <c r="I211" s="785" t="n">
        <v>8</v>
      </c>
      <c r="J211" s="785" t="n">
        <v>-1200</v>
      </c>
      <c r="K211" s="786" t="n">
        <v>120</v>
      </c>
      <c r="L211" s="786" t="n">
        <v>0</v>
      </c>
      <c r="M211" s="743">
        <f>IF(C211="TXO",J211-SUM(K211:L211),IF(C211="FITX",IF(E211="新倉",-SUM(K211:L211),IF(F211="賣",(I211-I210)*H211*200-SUM(K211:L211),(I210-I211)*H211*200-SUM(K211:L211)))))</f>
        <v/>
      </c>
      <c r="N211" s="780">
        <f>IF(C211="TXO","",IF(C211="FITX",IF(E211="新倉","",IF(F211="賣",(I211-I210),(I210-I211)))))</f>
        <v/>
      </c>
      <c r="O211" s="334">
        <f>ABS(J211)</f>
        <v/>
      </c>
      <c r="P211" s="764">
        <f>SUM(M211:M246)</f>
        <v/>
      </c>
      <c r="R211" s="61" t="n"/>
      <c r="S211" s="61" t="n"/>
      <c r="T211" s="61" t="n"/>
      <c r="U211" s="61" t="n"/>
      <c r="V211" s="61" t="n"/>
      <c r="W211" s="61" t="n"/>
      <c r="X211" s="61" t="n"/>
      <c r="Y211" s="61" t="n"/>
    </row>
    <row r="212" hidden="1" outlineLevel="2" ht="17.25" customHeight="1" thickBot="1">
      <c r="B212" s="369" t="n">
        <v>42571</v>
      </c>
      <c r="C212" s="370" t="inlineStr">
        <is>
          <t>TXO</t>
        </is>
      </c>
      <c r="D212" s="371" t="inlineStr">
        <is>
          <t>台指選 07 09050 C</t>
        </is>
      </c>
      <c r="E212" s="371" t="inlineStr">
        <is>
          <t>平倉</t>
        </is>
      </c>
      <c r="F212" s="371" t="inlineStr">
        <is>
          <t>賣</t>
        </is>
      </c>
      <c r="G212" s="371" t="inlineStr">
        <is>
          <t>-</t>
        </is>
      </c>
      <c r="H212" s="785" t="n">
        <v>3</v>
      </c>
      <c r="I212" s="785" t="n">
        <v>9.4</v>
      </c>
      <c r="J212" s="785" t="n">
        <v>1410</v>
      </c>
      <c r="K212" s="786" t="n">
        <v>120</v>
      </c>
      <c r="L212" s="786" t="n">
        <v>0</v>
      </c>
      <c r="M212" s="743">
        <f>IF(C212="TXO",J212-SUM(K212:L212),IF(C212="FITX",IF(E212="新倉",-SUM(K212:L212),IF(F212="賣",(I212-I211)*H212*200-SUM(K212:L212),(I211-I212)*H212*200-SUM(K212:L212)))))</f>
        <v/>
      </c>
      <c r="N212" s="780">
        <f>IF(C212="TXO","",IF(C212="FITX",IF(E212="新倉","",IF(F212="賣",(I212-I211),(I211-I212)))))</f>
        <v/>
      </c>
      <c r="O212" s="334">
        <f>ABS(J212)</f>
        <v/>
      </c>
      <c r="P212" s="764" t="n"/>
      <c r="R212" s="61" t="n"/>
      <c r="S212" s="61" t="n"/>
      <c r="T212" s="61" t="n"/>
      <c r="U212" s="61" t="n"/>
      <c r="V212" s="61" t="n"/>
      <c r="W212" s="61" t="n"/>
      <c r="X212" s="61" t="n"/>
      <c r="Y212" s="61" t="n"/>
    </row>
    <row r="213" hidden="1" outlineLevel="2" ht="17.25" customHeight="1" thickBot="1">
      <c r="B213" s="369" t="n">
        <v>42571</v>
      </c>
      <c r="C213" s="370" t="inlineStr">
        <is>
          <t>TXO</t>
        </is>
      </c>
      <c r="D213" s="371" t="inlineStr">
        <is>
          <t>台指選 07 09050 C</t>
        </is>
      </c>
      <c r="E213" s="371" t="inlineStr">
        <is>
          <t>新倉</t>
        </is>
      </c>
      <c r="F213" s="371" t="inlineStr">
        <is>
          <t>買</t>
        </is>
      </c>
      <c r="G213" s="371" t="inlineStr">
        <is>
          <t>-</t>
        </is>
      </c>
      <c r="H213" s="785" t="n">
        <v>3</v>
      </c>
      <c r="I213" s="785" t="n">
        <v>3.5</v>
      </c>
      <c r="J213" s="785" t="n">
        <v>-525</v>
      </c>
      <c r="K213" s="786" t="n">
        <v>120</v>
      </c>
      <c r="L213" s="786" t="n">
        <v>0</v>
      </c>
      <c r="M213" s="743">
        <f>IF(C213="TXO",J213-SUM(K213:L213),IF(C213="FITX",IF(E213="新倉",-SUM(K213:L213),IF(F213="賣",(I213-I212)*H213*200-SUM(K213:L213),(I212-I213)*H213*200-SUM(K213:L213)))))</f>
        <v/>
      </c>
      <c r="N213" s="780">
        <f>IF(C213="TXO","",IF(C213="FITX",IF(E213="新倉","",IF(F213="賣",(I213-I212),(I212-I213)))))</f>
        <v/>
      </c>
      <c r="O213" s="334">
        <f>ABS(J213)</f>
        <v/>
      </c>
      <c r="P213" s="764" t="n"/>
      <c r="R213" s="61" t="n"/>
      <c r="S213" s="61" t="n"/>
      <c r="T213" s="61" t="n"/>
      <c r="U213" s="61" t="n"/>
      <c r="V213" s="61" t="n"/>
      <c r="W213" s="61" t="n"/>
      <c r="X213" s="61" t="n"/>
      <c r="Y213" s="61" t="n"/>
    </row>
    <row r="214" hidden="1" outlineLevel="2" ht="17.25" customHeight="1" thickBot="1">
      <c r="B214" s="369" t="n">
        <v>42571</v>
      </c>
      <c r="C214" s="370" t="inlineStr">
        <is>
          <t>TXO</t>
        </is>
      </c>
      <c r="D214" s="371" t="inlineStr">
        <is>
          <t>台指選 07 09050 C</t>
        </is>
      </c>
      <c r="E214" s="371" t="inlineStr">
        <is>
          <t>新倉</t>
        </is>
      </c>
      <c r="F214" s="371" t="inlineStr">
        <is>
          <t>買</t>
        </is>
      </c>
      <c r="G214" s="371" t="inlineStr">
        <is>
          <t>-</t>
        </is>
      </c>
      <c r="H214" s="785" t="n">
        <v>3</v>
      </c>
      <c r="I214" s="785" t="n">
        <v>6.5</v>
      </c>
      <c r="J214" s="785" t="n">
        <v>-975</v>
      </c>
      <c r="K214" s="786" t="n">
        <v>120</v>
      </c>
      <c r="L214" s="786" t="n">
        <v>0</v>
      </c>
      <c r="M214" s="743">
        <f>IF(C214="TXO",J214-SUM(K214:L214),IF(C214="FITX",IF(E214="新倉",-SUM(K214:L214),IF(F214="賣",(I214-I213)*H214*200-SUM(K214:L214),(I213-I214)*H214*200-SUM(K214:L214)))))</f>
        <v/>
      </c>
      <c r="N214" s="780">
        <f>IF(C214="TXO","",IF(C214="FITX",IF(E214="新倉","",IF(F214="賣",(I214-I213),(I213-I214)))))</f>
        <v/>
      </c>
      <c r="O214" s="334">
        <f>ABS(J214)</f>
        <v/>
      </c>
      <c r="P214" s="764" t="n"/>
      <c r="R214" s="61" t="n"/>
      <c r="S214" s="61" t="n"/>
      <c r="T214" s="61" t="n"/>
      <c r="U214" s="61" t="n"/>
      <c r="V214" s="61" t="n"/>
      <c r="W214" s="61" t="n"/>
      <c r="X214" s="61" t="n"/>
      <c r="Y214" s="61" t="n"/>
    </row>
    <row r="215" hidden="1" outlineLevel="2" ht="17.25" customHeight="1" thickBot="1">
      <c r="B215" s="369" t="n">
        <v>42571</v>
      </c>
      <c r="C215" s="370" t="inlineStr">
        <is>
          <t>TXO</t>
        </is>
      </c>
      <c r="D215" s="371" t="inlineStr">
        <is>
          <t>台指選 07 09050 C</t>
        </is>
      </c>
      <c r="E215" s="371" t="inlineStr">
        <is>
          <t>新倉</t>
        </is>
      </c>
      <c r="F215" s="371" t="inlineStr">
        <is>
          <t>買</t>
        </is>
      </c>
      <c r="G215" s="371" t="inlineStr">
        <is>
          <t>-</t>
        </is>
      </c>
      <c r="H215" s="785" t="n">
        <v>3</v>
      </c>
      <c r="I215" s="785" t="n">
        <v>8.1</v>
      </c>
      <c r="J215" s="785" t="n">
        <v>-1215</v>
      </c>
      <c r="K215" s="786" t="n">
        <v>120</v>
      </c>
      <c r="L215" s="786" t="n">
        <v>0</v>
      </c>
      <c r="M215" s="743">
        <f>IF(C215="TXO",J215-SUM(K215:L215),IF(C215="FITX",IF(E215="新倉",-SUM(K215:L215),IF(F215="賣",(I215-I214)*H215*200-SUM(K215:L215),(I214-I215)*H215*200-SUM(K215:L215)))))</f>
        <v/>
      </c>
      <c r="N215" s="780">
        <f>IF(C215="TXO","",IF(C215="FITX",IF(E215="新倉","",IF(F215="賣",(I215-I214),(I214-I215)))))</f>
        <v/>
      </c>
      <c r="O215" s="334">
        <f>ABS(J215)</f>
        <v/>
      </c>
      <c r="P215" s="764" t="n"/>
      <c r="R215" s="61" t="n"/>
      <c r="S215" s="61" t="n"/>
      <c r="T215" s="61" t="n"/>
      <c r="U215" s="61" t="n"/>
      <c r="V215" s="61" t="n"/>
      <c r="W215" s="61" t="n"/>
      <c r="X215" s="61" t="n"/>
      <c r="Y215" s="61" t="n"/>
    </row>
    <row r="216" hidden="1" outlineLevel="2" ht="17.25" customHeight="1" thickBot="1">
      <c r="B216" s="369" t="n">
        <v>42571</v>
      </c>
      <c r="C216" s="370" t="inlineStr">
        <is>
          <t>FITX</t>
        </is>
      </c>
      <c r="D216" s="371" t="inlineStr">
        <is>
          <t>台指07</t>
        </is>
      </c>
      <c r="E216" s="371" t="inlineStr">
        <is>
          <t>新倉</t>
        </is>
      </c>
      <c r="F216" s="371" t="inlineStr">
        <is>
          <t>買</t>
        </is>
      </c>
      <c r="G216" s="371" t="inlineStr">
        <is>
          <t>-</t>
        </is>
      </c>
      <c r="H216" s="785" t="n">
        <v>1</v>
      </c>
      <c r="I216" s="785" t="n">
        <v>9031</v>
      </c>
      <c r="J216" s="785" t="n">
        <v>0</v>
      </c>
      <c r="K216" s="786" t="n">
        <v>100</v>
      </c>
      <c r="L216" s="786" t="n">
        <v>36</v>
      </c>
      <c r="M216" s="743">
        <f>IF(C216="TXO",J216-SUM(K216:L216),IF(C216="FITX",IF(E216="新倉",-SUM(K216:L216),IF(F216="賣",(I216-I215)*H216*200-SUM(K216:L216),(I215-I216)*H216*200-SUM(K216:L216)))))</f>
        <v/>
      </c>
      <c r="N216" s="780">
        <f>IF(C216="TXO","",IF(C216="FITX",IF(E216="新倉","",IF(F216="賣",(I216-I215),(I215-I216)))))</f>
        <v/>
      </c>
      <c r="O216" s="334">
        <f>ABS(J216)</f>
        <v/>
      </c>
      <c r="P216" s="764" t="n"/>
      <c r="R216" s="61" t="n"/>
      <c r="S216" s="61" t="n"/>
      <c r="T216" s="61" t="n"/>
      <c r="U216" s="61" t="n"/>
      <c r="V216" s="61" t="n"/>
      <c r="W216" s="61" t="n"/>
      <c r="X216" s="61" t="n"/>
      <c r="Y216" s="61" t="n"/>
    </row>
    <row r="217" hidden="1" outlineLevel="2" ht="17.25" customHeight="1" thickBot="1">
      <c r="B217" s="369" t="n">
        <v>42571</v>
      </c>
      <c r="C217" s="370" t="inlineStr">
        <is>
          <t>FITX</t>
        </is>
      </c>
      <c r="D217" s="371" t="inlineStr">
        <is>
          <t>台指07</t>
        </is>
      </c>
      <c r="E217" s="371" t="inlineStr">
        <is>
          <t>平倉</t>
        </is>
      </c>
      <c r="F217" s="371" t="inlineStr">
        <is>
          <t>賣</t>
        </is>
      </c>
      <c r="G217" s="371" t="inlineStr">
        <is>
          <t>-</t>
        </is>
      </c>
      <c r="H217" s="785" t="n">
        <v>1</v>
      </c>
      <c r="I217" s="785" t="n">
        <v>9025</v>
      </c>
      <c r="J217" s="785" t="n">
        <v>0</v>
      </c>
      <c r="K217" s="786" t="n">
        <v>100</v>
      </c>
      <c r="L217" s="786" t="n">
        <v>36</v>
      </c>
      <c r="M217" s="743">
        <f>IF(C217="TXO",J217-SUM(K217:L217),IF(C217="FITX",IF(E217="新倉",-SUM(K217:L217),IF(F217="賣",(I217-I216)*H217*200-SUM(K217:L217),(I216-I217)*H217*200-SUM(K217:L217)))))</f>
        <v/>
      </c>
      <c r="N217" s="780">
        <f>IF(C217="TXO","",IF(C217="FITX",IF(E217="新倉","",IF(F217="賣",(I217-I216),(I216-I217)))))</f>
        <v/>
      </c>
      <c r="O217" s="334">
        <f>ABS(J217)</f>
        <v/>
      </c>
      <c r="P217" s="764" t="n"/>
      <c r="R217" s="61" t="n"/>
      <c r="S217" s="61" t="n"/>
      <c r="T217" s="61" t="n"/>
      <c r="U217" s="61" t="n"/>
      <c r="V217" s="61" t="n"/>
      <c r="W217" s="61" t="n"/>
      <c r="X217" s="61" t="n"/>
      <c r="Y217" s="61" t="n"/>
    </row>
    <row r="218" hidden="1" outlineLevel="2" ht="17.25" customHeight="1" thickBot="1">
      <c r="B218" s="369" t="n">
        <v>42571</v>
      </c>
      <c r="C218" s="370" t="inlineStr">
        <is>
          <t>FITX</t>
        </is>
      </c>
      <c r="D218" s="371" t="inlineStr">
        <is>
          <t>台指07</t>
        </is>
      </c>
      <c r="E218" s="371" t="inlineStr">
        <is>
          <t>新倉</t>
        </is>
      </c>
      <c r="F218" s="371" t="inlineStr">
        <is>
          <t>賣</t>
        </is>
      </c>
      <c r="G218" s="371" t="inlineStr">
        <is>
          <t>-</t>
        </is>
      </c>
      <c r="H218" s="785" t="n">
        <v>1</v>
      </c>
      <c r="I218" s="785" t="n">
        <v>9028</v>
      </c>
      <c r="J218" s="785" t="n">
        <v>0</v>
      </c>
      <c r="K218" s="786" t="n">
        <v>100</v>
      </c>
      <c r="L218" s="786" t="n">
        <v>36</v>
      </c>
      <c r="M218" s="743">
        <f>IF(C218="TXO",J218-SUM(K218:L218),IF(C218="FITX",IF(E218="新倉",-SUM(K218:L218),IF(F218="賣",(I218-I217)*H218*200-SUM(K218:L218),(I217-I218)*H218*200-SUM(K218:L218)))))</f>
        <v/>
      </c>
      <c r="N218" s="780">
        <f>IF(C218="TXO","",IF(C218="FITX",IF(E218="新倉","",IF(F218="賣",(I218-I217),(I217-I218)))))</f>
        <v/>
      </c>
      <c r="O218" s="334">
        <f>ABS(J218)</f>
        <v/>
      </c>
      <c r="P218" s="764" t="n"/>
      <c r="R218" s="61" t="n"/>
      <c r="S218" s="61" t="n"/>
      <c r="T218" s="61" t="n"/>
      <c r="U218" s="61" t="n"/>
      <c r="V218" s="61" t="n"/>
      <c r="W218" s="61" t="n"/>
      <c r="X218" s="61" t="n"/>
      <c r="Y218" s="61" t="n"/>
    </row>
    <row r="219" hidden="1" outlineLevel="2" ht="17.25" customHeight="1" thickBot="1">
      <c r="B219" s="369" t="n">
        <v>42571</v>
      </c>
      <c r="C219" s="370" t="inlineStr">
        <is>
          <t>FITX</t>
        </is>
      </c>
      <c r="D219" s="371" t="inlineStr">
        <is>
          <t>台指07</t>
        </is>
      </c>
      <c r="E219" s="371" t="inlineStr">
        <is>
          <t>平倉</t>
        </is>
      </c>
      <c r="F219" s="371" t="inlineStr">
        <is>
          <t>買</t>
        </is>
      </c>
      <c r="G219" s="371" t="inlineStr">
        <is>
          <t>-</t>
        </is>
      </c>
      <c r="H219" s="785" t="n">
        <v>1</v>
      </c>
      <c r="I219" s="785" t="n">
        <v>9028</v>
      </c>
      <c r="J219" s="785" t="n">
        <v>0</v>
      </c>
      <c r="K219" s="786" t="n">
        <v>100</v>
      </c>
      <c r="L219" s="786" t="n">
        <v>36</v>
      </c>
      <c r="M219" s="743">
        <f>IF(C219="TXO",J219-SUM(K219:L219),IF(C219="FITX",IF(E219="新倉",-SUM(K219:L219),IF(F219="賣",(I219-I218)*H219*200-SUM(K219:L219),(I218-I219)*H219*200-SUM(K219:L219)))))</f>
        <v/>
      </c>
      <c r="N219" s="780">
        <f>IF(C219="TXO","",IF(C219="FITX",IF(E219="新倉","",IF(F219="賣",(I219-I218),(I218-I219)))))</f>
        <v/>
      </c>
      <c r="O219" s="334">
        <f>ABS(J219)</f>
        <v/>
      </c>
      <c r="P219" s="764" t="n"/>
      <c r="R219" s="61" t="n"/>
      <c r="S219" s="61" t="n"/>
      <c r="T219" s="61" t="n"/>
      <c r="U219" s="61" t="n"/>
      <c r="V219" s="61" t="n"/>
      <c r="W219" s="61" t="n"/>
      <c r="X219" s="61" t="n"/>
      <c r="Y219" s="61" t="n"/>
    </row>
    <row r="220" hidden="1" outlineLevel="2" ht="17.25" customHeight="1" thickBot="1">
      <c r="B220" s="369" t="n">
        <v>42571</v>
      </c>
      <c r="C220" s="370" t="inlineStr">
        <is>
          <t>FITX</t>
        </is>
      </c>
      <c r="D220" s="371" t="inlineStr">
        <is>
          <t>台指07</t>
        </is>
      </c>
      <c r="E220" s="371" t="inlineStr">
        <is>
          <t>新倉</t>
        </is>
      </c>
      <c r="F220" s="371" t="inlineStr">
        <is>
          <t>買</t>
        </is>
      </c>
      <c r="G220" s="371" t="inlineStr">
        <is>
          <t>-</t>
        </is>
      </c>
      <c r="H220" s="785" t="n">
        <v>1</v>
      </c>
      <c r="I220" s="785" t="n">
        <v>9025</v>
      </c>
      <c r="J220" s="785" t="n">
        <v>0</v>
      </c>
      <c r="K220" s="786" t="n">
        <v>100</v>
      </c>
      <c r="L220" s="786" t="n">
        <v>36</v>
      </c>
      <c r="M220" s="743">
        <f>IF(C220="TXO",J220-SUM(K220:L220),IF(C220="FITX",IF(E220="新倉",-SUM(K220:L220),IF(F220="賣",(I220-I219)*H220*200-SUM(K220:L220),(I219-I220)*H220*200-SUM(K220:L220)))))</f>
        <v/>
      </c>
      <c r="N220" s="780">
        <f>IF(C220="TXO","",IF(C220="FITX",IF(E220="新倉","",IF(F220="賣",(I220-I219),(I219-I220)))))</f>
        <v/>
      </c>
      <c r="O220" s="334">
        <f>ABS(J220)</f>
        <v/>
      </c>
      <c r="P220" s="764" t="n"/>
      <c r="R220" s="61" t="n"/>
      <c r="S220" s="61" t="n"/>
      <c r="T220" s="61" t="n"/>
      <c r="U220" s="61" t="n"/>
      <c r="V220" s="61" t="n"/>
      <c r="W220" s="61" t="n"/>
      <c r="X220" s="61" t="n"/>
      <c r="Y220" s="61" t="n"/>
    </row>
    <row r="221" hidden="1" outlineLevel="2" ht="17.25" customHeight="1" thickBot="1">
      <c r="B221" s="369" t="n">
        <v>42571</v>
      </c>
      <c r="C221" s="370" t="inlineStr">
        <is>
          <t>FITX</t>
        </is>
      </c>
      <c r="D221" s="371" t="inlineStr">
        <is>
          <t>台指07</t>
        </is>
      </c>
      <c r="E221" s="371" t="inlineStr">
        <is>
          <t>平倉</t>
        </is>
      </c>
      <c r="F221" s="371" t="inlineStr">
        <is>
          <t>賣</t>
        </is>
      </c>
      <c r="G221" s="371" t="inlineStr">
        <is>
          <t>-</t>
        </is>
      </c>
      <c r="H221" s="785" t="n">
        <v>1</v>
      </c>
      <c r="I221" s="785" t="n">
        <v>9003</v>
      </c>
      <c r="J221" s="785" t="n">
        <v>0</v>
      </c>
      <c r="K221" s="786" t="n">
        <v>100</v>
      </c>
      <c r="L221" s="786" t="n">
        <v>36</v>
      </c>
      <c r="M221" s="743">
        <f>IF(C221="TXO",J221-SUM(K221:L221),IF(C221="FITX",IF(E221="新倉",-SUM(K221:L221),IF(F221="賣",(I221-I220)*H221*200-SUM(K221:L221),(I220-I221)*H221*200-SUM(K221:L221)))))</f>
        <v/>
      </c>
      <c r="N221" s="780">
        <f>IF(C221="TXO","",IF(C221="FITX",IF(E221="新倉","",IF(F221="賣",(I221-I220),(I220-I221)))))</f>
        <v/>
      </c>
      <c r="O221" s="334">
        <f>ABS(J221)</f>
        <v/>
      </c>
      <c r="P221" s="764" t="n"/>
      <c r="R221" s="61" t="n"/>
      <c r="S221" s="61" t="n"/>
      <c r="T221" s="61" t="n"/>
      <c r="U221" s="61" t="n"/>
      <c r="V221" s="61" t="n"/>
      <c r="W221" s="61" t="n"/>
      <c r="X221" s="61" t="n"/>
      <c r="Y221" s="61" t="n"/>
    </row>
    <row r="222" hidden="1" outlineLevel="2" ht="17.25" customHeight="1" thickBot="1">
      <c r="B222" s="369" t="n">
        <v>42571</v>
      </c>
      <c r="C222" s="370" t="inlineStr">
        <is>
          <t>FITX</t>
        </is>
      </c>
      <c r="D222" s="371" t="inlineStr">
        <is>
          <t>台指07</t>
        </is>
      </c>
      <c r="E222" s="371" t="inlineStr">
        <is>
          <t>新倉</t>
        </is>
      </c>
      <c r="F222" s="371" t="inlineStr">
        <is>
          <t>買</t>
        </is>
      </c>
      <c r="G222" s="371" t="inlineStr">
        <is>
          <t>-</t>
        </is>
      </c>
      <c r="H222" s="785" t="n">
        <v>1</v>
      </c>
      <c r="I222" s="785" t="n">
        <v>9025</v>
      </c>
      <c r="J222" s="785" t="n">
        <v>0</v>
      </c>
      <c r="K222" s="786" t="n">
        <v>100</v>
      </c>
      <c r="L222" s="786" t="n">
        <v>36</v>
      </c>
      <c r="M222" s="743">
        <f>IF(C222="TXO",J222-SUM(K222:L222),IF(C222="FITX",IF(E222="新倉",-SUM(K222:L222),IF(F222="賣",(I222-I221)*H222*200-SUM(K222:L222),(I221-I222)*H222*200-SUM(K222:L222)))))</f>
        <v/>
      </c>
      <c r="N222" s="780">
        <f>IF(C222="TXO","",IF(C222="FITX",IF(E222="新倉","",IF(F222="賣",(I222-I221),(I221-I222)))))</f>
        <v/>
      </c>
      <c r="O222" s="334">
        <f>ABS(J222)</f>
        <v/>
      </c>
      <c r="P222" s="764" t="n"/>
      <c r="R222" s="61" t="n"/>
      <c r="S222" s="61" t="n"/>
      <c r="T222" s="61" t="n"/>
      <c r="U222" s="61" t="n"/>
      <c r="V222" s="61" t="n"/>
      <c r="W222" s="61" t="n"/>
      <c r="X222" s="61" t="n"/>
      <c r="Y222" s="61" t="n"/>
    </row>
    <row r="223" hidden="1" outlineLevel="2" ht="17.25" customHeight="1" thickBot="1">
      <c r="B223" s="369" t="n">
        <v>42571</v>
      </c>
      <c r="C223" s="370" t="inlineStr">
        <is>
          <t>FITX</t>
        </is>
      </c>
      <c r="D223" s="371" t="inlineStr">
        <is>
          <t>台指07</t>
        </is>
      </c>
      <c r="E223" s="371" t="inlineStr">
        <is>
          <t>平倉</t>
        </is>
      </c>
      <c r="F223" s="371" t="inlineStr">
        <is>
          <t>賣</t>
        </is>
      </c>
      <c r="G223" s="371" t="inlineStr">
        <is>
          <t>-</t>
        </is>
      </c>
      <c r="H223" s="785" t="n">
        <v>1</v>
      </c>
      <c r="I223" s="785" t="n">
        <v>9004</v>
      </c>
      <c r="J223" s="785" t="n">
        <v>0</v>
      </c>
      <c r="K223" s="786" t="n">
        <v>100</v>
      </c>
      <c r="L223" s="786" t="n">
        <v>36</v>
      </c>
      <c r="M223" s="743">
        <f>IF(C223="TXO",J223-SUM(K223:L223),IF(C223="FITX",IF(E223="新倉",-SUM(K223:L223),IF(F223="賣",(I223-I222)*H223*200-SUM(K223:L223),(I222-I223)*H223*200-SUM(K223:L223)))))</f>
        <v/>
      </c>
      <c r="N223" s="780">
        <f>IF(C223="TXO","",IF(C223="FITX",IF(E223="新倉","",IF(F223="賣",(I223-I222),(I222-I223)))))</f>
        <v/>
      </c>
      <c r="O223" s="334">
        <f>ABS(J223)</f>
        <v/>
      </c>
      <c r="P223" s="764" t="n"/>
      <c r="R223" s="61" t="n"/>
      <c r="S223" s="61" t="n"/>
      <c r="T223" s="61" t="n"/>
      <c r="U223" s="61" t="n"/>
      <c r="V223" s="61" t="n"/>
      <c r="W223" s="61" t="n"/>
      <c r="X223" s="61" t="n"/>
      <c r="Y223" s="61" t="n"/>
    </row>
    <row r="224" hidden="1" outlineLevel="2" ht="17.25" customHeight="1" thickBot="1">
      <c r="B224" s="369" t="n">
        <v>42571</v>
      </c>
      <c r="C224" s="370" t="inlineStr">
        <is>
          <t>TXO</t>
        </is>
      </c>
      <c r="D224" s="371" t="inlineStr">
        <is>
          <t>台指選 07 09050 C</t>
        </is>
      </c>
      <c r="E224" s="371" t="inlineStr">
        <is>
          <t>新倉</t>
        </is>
      </c>
      <c r="F224" s="371" t="inlineStr">
        <is>
          <t>買</t>
        </is>
      </c>
      <c r="G224" s="371" t="inlineStr">
        <is>
          <t>-</t>
        </is>
      </c>
      <c r="H224" s="785" t="n">
        <v>3</v>
      </c>
      <c r="I224" s="785" t="n">
        <v>2.1</v>
      </c>
      <c r="J224" s="785" t="n">
        <v>-315</v>
      </c>
      <c r="K224" s="786" t="n">
        <v>120</v>
      </c>
      <c r="L224" s="786" t="n">
        <v>0</v>
      </c>
      <c r="M224" s="743">
        <f>IF(C224="TXO",J224-SUM(K224:L224),IF(C224="FITX",IF(E224="新倉",-SUM(K224:L224),IF(F224="賣",(I224-I223)*H224*200-SUM(K224:L224),(I223-I224)*H224*200-SUM(K224:L224)))))</f>
        <v/>
      </c>
      <c r="N224" s="780">
        <f>IF(C224="TXO","",IF(C224="FITX",IF(E224="新倉","",IF(F224="賣",(I224-I223),(I223-I224)))))</f>
        <v/>
      </c>
      <c r="O224" s="334">
        <f>ABS(J224)</f>
        <v/>
      </c>
      <c r="P224" s="764" t="n"/>
      <c r="R224" s="61" t="n"/>
      <c r="S224" s="61" t="n"/>
      <c r="T224" s="61" t="n"/>
      <c r="U224" s="61" t="n"/>
      <c r="V224" s="61" t="n"/>
      <c r="W224" s="61" t="n"/>
      <c r="X224" s="61" t="n"/>
      <c r="Y224" s="61" t="n"/>
    </row>
    <row r="225" hidden="1" outlineLevel="2" ht="17.25" customHeight="1" thickBot="1">
      <c r="B225" s="369" t="n">
        <v>42571</v>
      </c>
      <c r="C225" s="370" t="inlineStr">
        <is>
          <t>FITX</t>
        </is>
      </c>
      <c r="D225" s="371" t="inlineStr">
        <is>
          <t>台指07</t>
        </is>
      </c>
      <c r="E225" s="371" t="inlineStr">
        <is>
          <t>新倉</t>
        </is>
      </c>
      <c r="F225" s="371" t="inlineStr">
        <is>
          <t>買</t>
        </is>
      </c>
      <c r="G225" s="371" t="inlineStr">
        <is>
          <t>-</t>
        </is>
      </c>
      <c r="H225" s="785" t="n">
        <v>1</v>
      </c>
      <c r="I225" s="785" t="n">
        <v>9010</v>
      </c>
      <c r="J225" s="785" t="n">
        <v>0</v>
      </c>
      <c r="K225" s="786" t="n">
        <v>100</v>
      </c>
      <c r="L225" s="786" t="n">
        <v>36</v>
      </c>
      <c r="M225" s="743">
        <f>IF(C225="TXO",J225-SUM(K225:L225),IF(C225="FITX",IF(E225="新倉",-SUM(K225:L225),IF(F225="賣",(I225-I224)*H225*200-SUM(K225:L225),(I224-I225)*H225*200-SUM(K225:L225)))))</f>
        <v/>
      </c>
      <c r="N225" s="780">
        <f>IF(C225="TXO","",IF(C225="FITX",IF(E225="新倉","",IF(F225="賣",(I225-I224),(I224-I225)))))</f>
        <v/>
      </c>
      <c r="O225" s="334">
        <f>ABS(J225)</f>
        <v/>
      </c>
      <c r="P225" s="764" t="n"/>
      <c r="R225" s="61" t="n"/>
      <c r="S225" s="61" t="n"/>
      <c r="T225" s="61" t="n"/>
      <c r="U225" s="61" t="n"/>
      <c r="V225" s="61" t="n"/>
      <c r="W225" s="61" t="n"/>
      <c r="X225" s="61" t="n"/>
      <c r="Y225" s="61" t="n"/>
    </row>
    <row r="226" hidden="1" outlineLevel="2" ht="17.25" customHeight="1" thickBot="1">
      <c r="B226" s="369" t="n">
        <v>42571</v>
      </c>
      <c r="C226" s="370" t="inlineStr">
        <is>
          <t>FITX</t>
        </is>
      </c>
      <c r="D226" s="371" t="inlineStr">
        <is>
          <t>台指07</t>
        </is>
      </c>
      <c r="E226" s="371" t="inlineStr">
        <is>
          <t>平倉</t>
        </is>
      </c>
      <c r="F226" s="371" t="inlineStr">
        <is>
          <t>賣</t>
        </is>
      </c>
      <c r="G226" s="371" t="inlineStr">
        <is>
          <t>-</t>
        </is>
      </c>
      <c r="H226" s="785" t="n">
        <v>1</v>
      </c>
      <c r="I226" s="785" t="n">
        <v>9002</v>
      </c>
      <c r="J226" s="785" t="n">
        <v>0</v>
      </c>
      <c r="K226" s="786" t="n">
        <v>100</v>
      </c>
      <c r="L226" s="786" t="n">
        <v>36</v>
      </c>
      <c r="M226" s="743">
        <f>IF(C226="TXO",J226-SUM(K226:L226),IF(C226="FITX",IF(E226="新倉",-SUM(K226:L226),IF(F226="賣",(I226-I225)*H226*200-SUM(K226:L226),(I225-I226)*H226*200-SUM(K226:L226)))))</f>
        <v/>
      </c>
      <c r="N226" s="780">
        <f>IF(C226="TXO","",IF(C226="FITX",IF(E226="新倉","",IF(F226="賣",(I226-I225),(I225-I226)))))</f>
        <v/>
      </c>
      <c r="O226" s="334">
        <f>ABS(J226)</f>
        <v/>
      </c>
      <c r="P226" s="764" t="n"/>
      <c r="R226" s="61" t="n"/>
      <c r="S226" s="61" t="n"/>
      <c r="T226" s="61" t="n"/>
      <c r="U226" s="61" t="n"/>
      <c r="V226" s="61" t="n"/>
      <c r="W226" s="61" t="n"/>
      <c r="X226" s="61" t="n"/>
      <c r="Y226" s="61" t="n"/>
    </row>
    <row r="227" hidden="1" outlineLevel="2" ht="17.25" customHeight="1" thickBot="1">
      <c r="B227" s="369" t="n">
        <v>42571</v>
      </c>
      <c r="C227" s="370" t="inlineStr">
        <is>
          <t>TXO</t>
        </is>
      </c>
      <c r="D227" s="371" t="inlineStr">
        <is>
          <t>台指選 07 09050 C</t>
        </is>
      </c>
      <c r="E227" s="371" t="inlineStr">
        <is>
          <t>新倉</t>
        </is>
      </c>
      <c r="F227" s="371" t="inlineStr">
        <is>
          <t>買</t>
        </is>
      </c>
      <c r="G227" s="371" t="inlineStr">
        <is>
          <t>-</t>
        </is>
      </c>
      <c r="H227" s="785" t="n">
        <v>3</v>
      </c>
      <c r="I227" s="785" t="n">
        <v>5.4</v>
      </c>
      <c r="J227" s="785" t="n">
        <v>-270</v>
      </c>
      <c r="K227" s="786" t="n">
        <v>120</v>
      </c>
      <c r="L227" s="786" t="n">
        <v>0</v>
      </c>
      <c r="M227" s="743">
        <f>IF(C227="TXO",J227-SUM(K227:L227),IF(C227="FITX",IF(E227="新倉",-SUM(K227:L227),IF(F227="賣",(I227-I226)*H227*200-SUM(K227:L227),(I226-I227)*H227*200-SUM(K227:L227)))))</f>
        <v/>
      </c>
      <c r="N227" s="780">
        <f>IF(C227="TXO","",IF(C227="FITX",IF(E227="新倉","",IF(F227="賣",(I227-I226),(I226-I227)))))</f>
        <v/>
      </c>
      <c r="O227" s="334">
        <f>ABS(J227)</f>
        <v/>
      </c>
      <c r="P227" s="764" t="n"/>
      <c r="R227" s="61" t="n"/>
      <c r="S227" s="61" t="n"/>
      <c r="T227" s="61" t="n"/>
      <c r="U227" s="61" t="n"/>
      <c r="V227" s="61" t="n"/>
      <c r="W227" s="61" t="n"/>
      <c r="X227" s="61" t="n"/>
      <c r="Y227" s="61" t="n"/>
    </row>
    <row r="228" hidden="1" outlineLevel="2" ht="17.25" customHeight="1" thickBot="1">
      <c r="B228" s="369" t="n">
        <v>42571</v>
      </c>
      <c r="C228" s="370" t="inlineStr">
        <is>
          <t>FITX</t>
        </is>
      </c>
      <c r="D228" s="371" t="inlineStr">
        <is>
          <t>台指07</t>
        </is>
      </c>
      <c r="E228" s="371" t="inlineStr">
        <is>
          <t>新倉</t>
        </is>
      </c>
      <c r="F228" s="371" t="inlineStr">
        <is>
          <t>賣</t>
        </is>
      </c>
      <c r="G228" s="371" t="inlineStr">
        <is>
          <t>-</t>
        </is>
      </c>
      <c r="H228" s="785" t="n">
        <v>1</v>
      </c>
      <c r="I228" s="785" t="n">
        <v>9001</v>
      </c>
      <c r="J228" s="785" t="n">
        <v>0</v>
      </c>
      <c r="K228" s="786" t="n">
        <v>100</v>
      </c>
      <c r="L228" s="786" t="n">
        <v>36</v>
      </c>
      <c r="M228" s="743">
        <f>IF(C228="TXO",J228-SUM(K228:L228),IF(C228="FITX",IF(E228="新倉",-SUM(K228:L228),IF(F228="賣",(I228-I227)*H228*200-SUM(K228:L228),(I227-I228)*H228*200-SUM(K228:L228)))))</f>
        <v/>
      </c>
      <c r="N228" s="780">
        <f>IF(C228="TXO","",IF(C228="FITX",IF(E228="新倉","",IF(F228="賣",(I228-I227),(I227-I228)))))</f>
        <v/>
      </c>
      <c r="O228" s="334">
        <f>ABS(J228)</f>
        <v/>
      </c>
      <c r="P228" s="764" t="n"/>
      <c r="R228" s="61" t="n"/>
      <c r="S228" s="61" t="n"/>
      <c r="T228" s="61" t="n"/>
      <c r="U228" s="61" t="n"/>
      <c r="V228" s="61" t="n"/>
      <c r="W228" s="61" t="n"/>
      <c r="X228" s="61" t="n"/>
      <c r="Y228" s="61" t="n"/>
    </row>
    <row r="229" hidden="1" outlineLevel="2" ht="17.25" customHeight="1" thickBot="1">
      <c r="B229" s="369" t="n">
        <v>42571</v>
      </c>
      <c r="C229" s="370" t="inlineStr">
        <is>
          <t>FITX</t>
        </is>
      </c>
      <c r="D229" s="371" t="inlineStr">
        <is>
          <t>台指07</t>
        </is>
      </c>
      <c r="E229" s="371" t="inlineStr">
        <is>
          <t>平倉</t>
        </is>
      </c>
      <c r="F229" s="371" t="inlineStr">
        <is>
          <t>買</t>
        </is>
      </c>
      <c r="G229" s="371" t="inlineStr">
        <is>
          <t>-</t>
        </is>
      </c>
      <c r="H229" s="785" t="n">
        <v>1</v>
      </c>
      <c r="I229" s="785" t="n">
        <v>8995</v>
      </c>
      <c r="J229" s="785" t="n">
        <v>0</v>
      </c>
      <c r="K229" s="786" t="n">
        <v>100</v>
      </c>
      <c r="L229" s="786" t="n">
        <v>36</v>
      </c>
      <c r="M229" s="743">
        <f>IF(C229="TXO",J229-SUM(K229:L229),IF(C229="FITX",IF(E229="新倉",-SUM(K229:L229),IF(F229="賣",(I229-I228)*H229*200-SUM(K229:L229),(I228-I229)*H229*200-SUM(K229:L229)))))</f>
        <v/>
      </c>
      <c r="N229" s="780">
        <f>IF(C229="TXO","",IF(C229="FITX",IF(E229="新倉","",IF(F229="賣",(I229-I228),(I228-I229)))))</f>
        <v/>
      </c>
      <c r="O229" s="334">
        <f>ABS(J229)</f>
        <v/>
      </c>
      <c r="P229" s="764" t="n"/>
      <c r="R229" s="61" t="n"/>
      <c r="S229" s="61" t="n"/>
      <c r="T229" s="61" t="n"/>
      <c r="U229" s="61" t="n"/>
      <c r="V229" s="61" t="n"/>
      <c r="W229" s="61" t="n"/>
      <c r="X229" s="61" t="n"/>
      <c r="Y229" s="61" t="n"/>
    </row>
    <row r="230" hidden="1" outlineLevel="2" ht="17.25" customHeight="1" thickBot="1">
      <c r="B230" s="369" t="n">
        <v>42571</v>
      </c>
      <c r="C230" s="370" t="inlineStr">
        <is>
          <t>TXO</t>
        </is>
      </c>
      <c r="D230" s="371" t="inlineStr">
        <is>
          <t>台指選 07 09050 C</t>
        </is>
      </c>
      <c r="E230" s="371" t="inlineStr">
        <is>
          <t>新倉</t>
        </is>
      </c>
      <c r="F230" s="371" t="inlineStr">
        <is>
          <t>買</t>
        </is>
      </c>
      <c r="G230" s="371" t="inlineStr">
        <is>
          <t>-</t>
        </is>
      </c>
      <c r="H230" s="785" t="n">
        <v>3</v>
      </c>
      <c r="I230" s="785" t="n">
        <v>0.5</v>
      </c>
      <c r="J230" s="785" t="n">
        <v>-75</v>
      </c>
      <c r="K230" s="786" t="n">
        <v>120</v>
      </c>
      <c r="L230" s="786" t="n">
        <v>0</v>
      </c>
      <c r="M230" s="743">
        <f>IF(C230="TXO",J230-SUM(K230:L230),IF(C230="FITX",IF(E230="新倉",-SUM(K230:L230),IF(F230="賣",(I230-I229)*H230*200-SUM(K230:L230),(I229-I230)*H230*200-SUM(K230:L230)))))</f>
        <v/>
      </c>
      <c r="N230" s="780">
        <f>IF(C230="TXO","",IF(C230="FITX",IF(E230="新倉","",IF(F230="賣",(I230-I229),(I229-I230)))))</f>
        <v/>
      </c>
      <c r="O230" s="334">
        <f>ABS(J230)</f>
        <v/>
      </c>
      <c r="P230" s="764" t="n"/>
      <c r="R230" s="61" t="n"/>
      <c r="S230" s="61" t="n"/>
      <c r="T230" s="61" t="n"/>
      <c r="U230" s="61" t="n"/>
      <c r="V230" s="61" t="n"/>
      <c r="W230" s="61" t="n"/>
      <c r="X230" s="61" t="n"/>
      <c r="Y230" s="61" t="n"/>
    </row>
    <row r="231" hidden="1" outlineLevel="2" ht="17.25" customHeight="1" thickBot="1">
      <c r="B231" s="369" t="n">
        <v>42571</v>
      </c>
      <c r="C231" s="370" t="inlineStr">
        <is>
          <t>FITX</t>
        </is>
      </c>
      <c r="D231" s="371" t="inlineStr">
        <is>
          <t>台指07</t>
        </is>
      </c>
      <c r="E231" s="371" t="inlineStr">
        <is>
          <t>新倉</t>
        </is>
      </c>
      <c r="F231" s="371" t="inlineStr">
        <is>
          <t>買</t>
        </is>
      </c>
      <c r="G231" s="371" t="inlineStr">
        <is>
          <t>-</t>
        </is>
      </c>
      <c r="H231" s="785" t="n">
        <v>1</v>
      </c>
      <c r="I231" s="785" t="n">
        <v>8984</v>
      </c>
      <c r="J231" s="785" t="n">
        <v>0</v>
      </c>
      <c r="K231" s="786" t="n">
        <v>100</v>
      </c>
      <c r="L231" s="786" t="n">
        <v>36</v>
      </c>
      <c r="M231" s="743">
        <f>IF(C231="TXO",J231-SUM(K231:L231),IF(C231="FITX",IF(E231="新倉",-SUM(K231:L231),IF(F231="賣",(I231-I230)*H231*200-SUM(K231:L231),(I230-I231)*H231*200-SUM(K231:L231)))))</f>
        <v/>
      </c>
      <c r="N231" s="780">
        <f>IF(C231="TXO","",IF(C231="FITX",IF(E231="新倉","",IF(F231="賣",(I231-I230),(I230-I231)))))</f>
        <v/>
      </c>
      <c r="O231" s="334">
        <f>ABS(J231)</f>
        <v/>
      </c>
      <c r="P231" s="764" t="n"/>
      <c r="R231" s="61" t="n"/>
      <c r="S231" s="61" t="n"/>
      <c r="T231" s="61" t="n"/>
      <c r="U231" s="61" t="n"/>
      <c r="V231" s="61" t="n"/>
      <c r="W231" s="61" t="n"/>
      <c r="X231" s="61" t="n"/>
      <c r="Y231" s="61" t="n"/>
    </row>
    <row r="232" hidden="1" outlineLevel="2" ht="17.25" customHeight="1" thickBot="1">
      <c r="B232" s="369" t="n">
        <v>42571</v>
      </c>
      <c r="C232" s="370" t="inlineStr">
        <is>
          <t>FITX</t>
        </is>
      </c>
      <c r="D232" s="371" t="inlineStr">
        <is>
          <t>台指07</t>
        </is>
      </c>
      <c r="E232" s="371" t="inlineStr">
        <is>
          <t>平倉</t>
        </is>
      </c>
      <c r="F232" s="371" t="inlineStr">
        <is>
          <t>賣</t>
        </is>
      </c>
      <c r="G232" s="371" t="inlineStr">
        <is>
          <t>-</t>
        </is>
      </c>
      <c r="H232" s="785" t="n">
        <v>1</v>
      </c>
      <c r="I232" s="785" t="n">
        <v>8978</v>
      </c>
      <c r="J232" s="785" t="n">
        <v>0</v>
      </c>
      <c r="K232" s="786" t="n">
        <v>100</v>
      </c>
      <c r="L232" s="786" t="n">
        <v>36</v>
      </c>
      <c r="M232" s="743">
        <f>IF(C232="TXO",J232-SUM(K232:L232),IF(C232="FITX",IF(E232="新倉",-SUM(K232:L232),IF(F232="賣",(I232-I231)*H232*200-SUM(K232:L232),(I231-I232)*H232*200-SUM(K232:L232)))))</f>
        <v/>
      </c>
      <c r="N232" s="780">
        <f>IF(C232="TXO","",IF(C232="FITX",IF(E232="新倉","",IF(F232="賣",(I232-I231),(I231-I232)))))</f>
        <v/>
      </c>
      <c r="O232" s="334">
        <f>ABS(J232)</f>
        <v/>
      </c>
      <c r="P232" s="764" t="n"/>
      <c r="R232" s="61" t="n"/>
      <c r="S232" s="61" t="n"/>
      <c r="T232" s="61" t="n"/>
      <c r="U232" s="61" t="n"/>
      <c r="V232" s="61" t="n"/>
      <c r="W232" s="61" t="n"/>
      <c r="X232" s="61" t="n"/>
      <c r="Y232" s="61" t="n"/>
    </row>
    <row r="233" hidden="1" outlineLevel="2" ht="17.25" customHeight="1" thickBot="1">
      <c r="B233" s="369" t="n">
        <v>42571</v>
      </c>
      <c r="C233" s="370" t="inlineStr">
        <is>
          <t>FITX</t>
        </is>
      </c>
      <c r="D233" s="371" t="inlineStr">
        <is>
          <t>台指07</t>
        </is>
      </c>
      <c r="E233" s="371" t="inlineStr">
        <is>
          <t>新倉</t>
        </is>
      </c>
      <c r="F233" s="371" t="inlineStr">
        <is>
          <t>賣</t>
        </is>
      </c>
      <c r="G233" s="371" t="inlineStr">
        <is>
          <t>-</t>
        </is>
      </c>
      <c r="H233" s="785" t="n">
        <v>1</v>
      </c>
      <c r="I233" s="785" t="n">
        <v>8977</v>
      </c>
      <c r="J233" s="785" t="n">
        <v>0</v>
      </c>
      <c r="K233" s="786" t="n">
        <v>100</v>
      </c>
      <c r="L233" s="786" t="n">
        <v>36</v>
      </c>
      <c r="M233" s="743">
        <f>IF(C233="TXO",J233-SUM(K233:L233),IF(C233="FITX",IF(E233="新倉",-SUM(K233:L233),IF(F233="賣",(I233-I232)*H233*200-SUM(K233:L233),(I232-I233)*H233*200-SUM(K233:L233)))))</f>
        <v/>
      </c>
      <c r="N233" s="780">
        <f>IF(C233="TXO","",IF(C233="FITX",IF(E233="新倉","",IF(F233="賣",(I233-I232),(I232-I233)))))</f>
        <v/>
      </c>
      <c r="O233" s="334">
        <f>ABS(J233)</f>
        <v/>
      </c>
      <c r="P233" s="764" t="n"/>
      <c r="R233" s="61" t="n"/>
      <c r="S233" s="61" t="n"/>
      <c r="T233" s="61" t="n"/>
      <c r="U233" s="61" t="n"/>
      <c r="V233" s="61" t="n"/>
      <c r="W233" s="61" t="n"/>
      <c r="X233" s="61" t="n"/>
      <c r="Y233" s="61" t="n"/>
    </row>
    <row r="234" hidden="1" outlineLevel="2" ht="17.25" customHeight="1" thickBot="1">
      <c r="B234" s="369" t="n">
        <v>42571</v>
      </c>
      <c r="C234" s="370" t="inlineStr">
        <is>
          <t>FITX</t>
        </is>
      </c>
      <c r="D234" s="371" t="inlineStr">
        <is>
          <t>台指07</t>
        </is>
      </c>
      <c r="E234" s="371" t="inlineStr">
        <is>
          <t>平倉</t>
        </is>
      </c>
      <c r="F234" s="371" t="inlineStr">
        <is>
          <t>買</t>
        </is>
      </c>
      <c r="G234" s="371" t="inlineStr">
        <is>
          <t>-</t>
        </is>
      </c>
      <c r="H234" s="785" t="n">
        <v>1</v>
      </c>
      <c r="I234" s="785" t="n">
        <v>8983</v>
      </c>
      <c r="J234" s="785" t="n">
        <v>0</v>
      </c>
      <c r="K234" s="786" t="n">
        <v>100</v>
      </c>
      <c r="L234" s="786" t="n">
        <v>36</v>
      </c>
      <c r="M234" s="743">
        <f>IF(C234="TXO",J234-SUM(K234:L234),IF(C234="FITX",IF(E234="新倉",-SUM(K234:L234),IF(F234="賣",(I234-I233)*H234*200-SUM(K234:L234),(I233-I234)*H234*200-SUM(K234:L234)))))</f>
        <v/>
      </c>
      <c r="N234" s="780">
        <f>IF(C234="TXO","",IF(C234="FITX",IF(E234="新倉","",IF(F234="賣",(I234-I233),(I233-I234)))))</f>
        <v/>
      </c>
      <c r="O234" s="334">
        <f>ABS(J234)</f>
        <v/>
      </c>
      <c r="P234" s="764" t="n"/>
      <c r="R234" s="61" t="n"/>
      <c r="S234" s="61" t="n"/>
      <c r="T234" s="61" t="n"/>
      <c r="U234" s="61" t="n"/>
      <c r="V234" s="61" t="n"/>
      <c r="W234" s="61" t="n"/>
      <c r="X234" s="61" t="n"/>
      <c r="Y234" s="61" t="n"/>
    </row>
    <row r="235" hidden="1" outlineLevel="2" ht="17.25" customHeight="1" thickBot="1">
      <c r="B235" s="369" t="n">
        <v>42571</v>
      </c>
      <c r="C235" s="370" t="inlineStr">
        <is>
          <t>FITX</t>
        </is>
      </c>
      <c r="D235" s="371" t="inlineStr">
        <is>
          <t>台指07</t>
        </is>
      </c>
      <c r="E235" s="371" t="inlineStr">
        <is>
          <t>新倉</t>
        </is>
      </c>
      <c r="F235" s="371" t="inlineStr">
        <is>
          <t>買</t>
        </is>
      </c>
      <c r="G235" s="371" t="inlineStr">
        <is>
          <t>-</t>
        </is>
      </c>
      <c r="H235" s="785" t="n">
        <v>1</v>
      </c>
      <c r="I235" s="785" t="n">
        <v>8983</v>
      </c>
      <c r="J235" s="785" t="n">
        <v>0</v>
      </c>
      <c r="K235" s="786" t="n">
        <v>100</v>
      </c>
      <c r="L235" s="786" t="n">
        <v>36</v>
      </c>
      <c r="M235" s="743">
        <f>IF(C235="TXO",J235-SUM(K235:L235),IF(C235="FITX",IF(E235="新倉",-SUM(K235:L235),IF(F235="賣",(I235-I234)*H235*200-SUM(K235:L235),(I234-I235)*H235*200-SUM(K235:L235)))))</f>
        <v/>
      </c>
      <c r="N235" s="780">
        <f>IF(C235="TXO","",IF(C235="FITX",IF(E235="新倉","",IF(F235="賣",(I235-I234),(I234-I235)))))</f>
        <v/>
      </c>
      <c r="O235" s="334">
        <f>ABS(J235)</f>
        <v/>
      </c>
      <c r="P235" s="764" t="n"/>
      <c r="R235" s="61" t="n"/>
      <c r="S235" s="61" t="n"/>
      <c r="T235" s="61" t="n"/>
      <c r="U235" s="61" t="n"/>
      <c r="V235" s="61" t="n"/>
      <c r="W235" s="61" t="n"/>
      <c r="X235" s="61" t="n"/>
      <c r="Y235" s="61" t="n"/>
    </row>
    <row r="236" hidden="1" outlineLevel="2" ht="17.25" customHeight="1" thickBot="1">
      <c r="B236" s="369" t="n">
        <v>42571</v>
      </c>
      <c r="C236" s="370" t="inlineStr">
        <is>
          <t>FITX</t>
        </is>
      </c>
      <c r="D236" s="371" t="inlineStr">
        <is>
          <t>台指07</t>
        </is>
      </c>
      <c r="E236" s="371" t="inlineStr">
        <is>
          <t>平倉</t>
        </is>
      </c>
      <c r="F236" s="371" t="inlineStr">
        <is>
          <t>賣</t>
        </is>
      </c>
      <c r="G236" s="371" t="inlineStr">
        <is>
          <t>-</t>
        </is>
      </c>
      <c r="H236" s="785" t="n">
        <v>1</v>
      </c>
      <c r="I236" s="785" t="n">
        <v>8988</v>
      </c>
      <c r="J236" s="785" t="n">
        <v>0</v>
      </c>
      <c r="K236" s="786" t="n">
        <v>100</v>
      </c>
      <c r="L236" s="786" t="n">
        <v>36</v>
      </c>
      <c r="M236" s="743">
        <f>IF(C236="TXO",J236-SUM(K236:L236),IF(C236="FITX",IF(E236="新倉",-SUM(K236:L236),IF(F236="賣",(I236-I235)*H236*200-SUM(K236:L236),(I235-I236)*H236*200-SUM(K236:L236)))))</f>
        <v/>
      </c>
      <c r="N236" s="780">
        <f>IF(C236="TXO","",IF(C236="FITX",IF(E236="新倉","",IF(F236="賣",(I236-I235),(I235-I236)))))</f>
        <v/>
      </c>
      <c r="O236" s="334">
        <f>ABS(J236)</f>
        <v/>
      </c>
      <c r="P236" s="764" t="n"/>
      <c r="R236" s="61" t="n"/>
      <c r="S236" s="61" t="n"/>
      <c r="T236" s="61" t="n"/>
      <c r="U236" s="61" t="n"/>
      <c r="V236" s="61" t="n"/>
      <c r="W236" s="61" t="n"/>
      <c r="X236" s="61" t="n"/>
      <c r="Y236" s="61" t="n"/>
    </row>
    <row r="237" hidden="1" outlineLevel="2" ht="17.25" customHeight="1" thickBot="1">
      <c r="B237" s="369" t="n">
        <v>42571</v>
      </c>
      <c r="C237" s="370" t="inlineStr">
        <is>
          <t>FITX</t>
        </is>
      </c>
      <c r="D237" s="371" t="inlineStr">
        <is>
          <t>台指07</t>
        </is>
      </c>
      <c r="E237" s="371" t="inlineStr">
        <is>
          <t>新倉</t>
        </is>
      </c>
      <c r="F237" s="371" t="inlineStr">
        <is>
          <t>賣</t>
        </is>
      </c>
      <c r="G237" s="371" t="inlineStr">
        <is>
          <t>-</t>
        </is>
      </c>
      <c r="H237" s="785" t="n">
        <v>1</v>
      </c>
      <c r="I237" s="785" t="n">
        <v>8988</v>
      </c>
      <c r="J237" s="785" t="n">
        <v>0</v>
      </c>
      <c r="K237" s="786" t="n">
        <v>100</v>
      </c>
      <c r="L237" s="786" t="n">
        <v>36</v>
      </c>
      <c r="M237" s="743">
        <f>IF(C237="TXO",J237-SUM(K237:L237),IF(C237="FITX",IF(E237="新倉",-SUM(K237:L237),IF(F237="賣",(I237-I236)*H237*200-SUM(K237:L237),(I236-I237)*H237*200-SUM(K237:L237)))))</f>
        <v/>
      </c>
      <c r="N237" s="780">
        <f>IF(C237="TXO","",IF(C237="FITX",IF(E237="新倉","",IF(F237="賣",(I237-I236),(I236-I237)))))</f>
        <v/>
      </c>
      <c r="O237" s="334">
        <f>ABS(J237)</f>
        <v/>
      </c>
      <c r="P237" s="764" t="n"/>
      <c r="R237" s="61" t="n"/>
      <c r="S237" s="61" t="n"/>
      <c r="T237" s="61" t="n"/>
      <c r="U237" s="61" t="n"/>
      <c r="V237" s="61" t="n"/>
      <c r="W237" s="61" t="n"/>
      <c r="X237" s="61" t="n"/>
      <c r="Y237" s="61" t="n"/>
    </row>
    <row r="238" hidden="1" outlineLevel="2" ht="17.25" customHeight="1" thickBot="1">
      <c r="B238" s="369" t="n">
        <v>42571</v>
      </c>
      <c r="C238" s="370" t="inlineStr">
        <is>
          <t>FITX</t>
        </is>
      </c>
      <c r="D238" s="371" t="inlineStr">
        <is>
          <t>台指07</t>
        </is>
      </c>
      <c r="E238" s="371" t="inlineStr">
        <is>
          <t>平倉</t>
        </is>
      </c>
      <c r="F238" s="371" t="inlineStr">
        <is>
          <t>買</t>
        </is>
      </c>
      <c r="G238" s="371" t="inlineStr">
        <is>
          <t>-</t>
        </is>
      </c>
      <c r="H238" s="785" t="n">
        <v>1</v>
      </c>
      <c r="I238" s="785" t="n">
        <v>8992</v>
      </c>
      <c r="J238" s="785" t="n">
        <v>0</v>
      </c>
      <c r="K238" s="786" t="n">
        <v>100</v>
      </c>
      <c r="L238" s="786" t="n">
        <v>36</v>
      </c>
      <c r="M238" s="743">
        <f>IF(C238="TXO",J238-SUM(K238:L238),IF(C238="FITX",IF(E238="新倉",-SUM(K238:L238),IF(F238="賣",(I238-I237)*H238*200-SUM(K238:L238),(I237-I238)*H238*200-SUM(K238:L238)))))</f>
        <v/>
      </c>
      <c r="N238" s="780">
        <f>IF(C238="TXO","",IF(C238="FITX",IF(E238="新倉","",IF(F238="賣",(I238-I237),(I237-I238)))))</f>
        <v/>
      </c>
      <c r="O238" s="334">
        <f>ABS(J238)</f>
        <v/>
      </c>
      <c r="P238" s="764" t="n"/>
      <c r="R238" s="61" t="n"/>
      <c r="S238" s="61" t="n"/>
      <c r="T238" s="61" t="n"/>
      <c r="U238" s="61" t="n"/>
      <c r="V238" s="61" t="n"/>
      <c r="W238" s="61" t="n"/>
      <c r="X238" s="61" t="n"/>
      <c r="Y238" s="61" t="n"/>
    </row>
    <row r="239" hidden="1" outlineLevel="2" ht="17.25" customHeight="1" thickBot="1">
      <c r="B239" s="369" t="n">
        <v>42571</v>
      </c>
      <c r="C239" s="370" t="inlineStr">
        <is>
          <t>FITX</t>
        </is>
      </c>
      <c r="D239" s="371" t="inlineStr">
        <is>
          <t>台指07</t>
        </is>
      </c>
      <c r="E239" s="371" t="inlineStr">
        <is>
          <t>新倉</t>
        </is>
      </c>
      <c r="F239" s="371" t="inlineStr">
        <is>
          <t>買</t>
        </is>
      </c>
      <c r="G239" s="371" t="inlineStr">
        <is>
          <t>-</t>
        </is>
      </c>
      <c r="H239" s="785" t="n">
        <v>1</v>
      </c>
      <c r="I239" s="785" t="n">
        <v>8993</v>
      </c>
      <c r="J239" s="785" t="n">
        <v>0</v>
      </c>
      <c r="K239" s="786" t="n">
        <v>100</v>
      </c>
      <c r="L239" s="786" t="n">
        <v>36</v>
      </c>
      <c r="M239" s="743">
        <f>IF(C239="TXO",J239-SUM(K239:L239),IF(C239="FITX",IF(E239="新倉",-SUM(K239:L239),IF(F239="賣",(I239-I238)*H239*200-SUM(K239:L239),(I238-I239)*H239*200-SUM(K239:L239)))))</f>
        <v/>
      </c>
      <c r="N239" s="780">
        <f>IF(C239="TXO","",IF(C239="FITX",IF(E239="新倉","",IF(F239="賣",(I239-I238),(I238-I239)))))</f>
        <v/>
      </c>
      <c r="O239" s="334">
        <f>ABS(J239)</f>
        <v/>
      </c>
      <c r="P239" s="764" t="n"/>
      <c r="R239" s="61" t="n"/>
      <c r="S239" s="61" t="n"/>
      <c r="T239" s="61" t="n"/>
      <c r="U239" s="61" t="n"/>
      <c r="V239" s="61" t="n"/>
      <c r="W239" s="61" t="n"/>
      <c r="X239" s="61" t="n"/>
      <c r="Y239" s="61" t="n"/>
    </row>
    <row r="240" hidden="1" outlineLevel="2" ht="17.25" customHeight="1" thickBot="1">
      <c r="B240" s="369" t="n">
        <v>42571</v>
      </c>
      <c r="C240" s="370" t="inlineStr">
        <is>
          <t>FITX</t>
        </is>
      </c>
      <c r="D240" s="371" t="inlineStr">
        <is>
          <t>台指07</t>
        </is>
      </c>
      <c r="E240" s="371" t="inlineStr">
        <is>
          <t>平倉</t>
        </is>
      </c>
      <c r="F240" s="371" t="inlineStr">
        <is>
          <t>賣</t>
        </is>
      </c>
      <c r="G240" s="371" t="inlineStr">
        <is>
          <t>-</t>
        </is>
      </c>
      <c r="H240" s="785" t="n">
        <v>1</v>
      </c>
      <c r="I240" s="785" t="n">
        <v>8987</v>
      </c>
      <c r="J240" s="785" t="n">
        <v>0</v>
      </c>
      <c r="K240" s="786" t="n">
        <v>100</v>
      </c>
      <c r="L240" s="786" t="n">
        <v>36</v>
      </c>
      <c r="M240" s="743">
        <f>IF(C240="TXO",J240-SUM(K240:L240),IF(C240="FITX",IF(E240="新倉",-SUM(K240:L240),IF(F240="賣",(I240-I239)*H240*200-SUM(K240:L240),(I239-I240)*H240*200-SUM(K240:L240)))))</f>
        <v/>
      </c>
      <c r="N240" s="780">
        <f>IF(C240="TXO","",IF(C240="FITX",IF(E240="新倉","",IF(F240="賣",(I240-I239),(I239-I240)))))</f>
        <v/>
      </c>
      <c r="O240" s="334">
        <f>ABS(J240)</f>
        <v/>
      </c>
      <c r="P240" s="764" t="n"/>
      <c r="R240" s="61" t="n"/>
      <c r="S240" s="61" t="n"/>
      <c r="T240" s="61" t="n"/>
      <c r="U240" s="61" t="n"/>
      <c r="V240" s="61" t="n"/>
      <c r="W240" s="61" t="n"/>
      <c r="X240" s="61" t="n"/>
      <c r="Y240" s="61" t="n"/>
    </row>
    <row r="241" hidden="1" outlineLevel="2" ht="17.25" customHeight="1" thickBot="1">
      <c r="B241" s="369" t="n">
        <v>42571</v>
      </c>
      <c r="C241" s="370" t="inlineStr">
        <is>
          <t>FITX</t>
        </is>
      </c>
      <c r="D241" s="371" t="inlineStr">
        <is>
          <t>台指07</t>
        </is>
      </c>
      <c r="E241" s="371" t="inlineStr">
        <is>
          <t>新倉</t>
        </is>
      </c>
      <c r="F241" s="371" t="inlineStr">
        <is>
          <t>賣</t>
        </is>
      </c>
      <c r="G241" s="371" t="inlineStr">
        <is>
          <t>-</t>
        </is>
      </c>
      <c r="H241" s="785" t="n">
        <v>1</v>
      </c>
      <c r="I241" s="785" t="n">
        <v>8982</v>
      </c>
      <c r="J241" s="785" t="n">
        <v>0</v>
      </c>
      <c r="K241" s="786" t="n">
        <v>100</v>
      </c>
      <c r="L241" s="786" t="n">
        <v>36</v>
      </c>
      <c r="M241" s="743">
        <f>IF(C241="TXO",J241-SUM(K241:L241),IF(C241="FITX",IF(E241="新倉",-SUM(K241:L241),IF(F241="賣",(I241-I240)*H241*200-SUM(K241:L241),(I240-I241)*H241*200-SUM(K241:L241)))))</f>
        <v/>
      </c>
      <c r="N241" s="780">
        <f>IF(C241="TXO","",IF(C241="FITX",IF(E241="新倉","",IF(F241="賣",(I241-I240),(I240-I241)))))</f>
        <v/>
      </c>
      <c r="O241" s="334">
        <f>ABS(J241)</f>
        <v/>
      </c>
      <c r="P241" s="764" t="n"/>
      <c r="R241" s="61" t="n"/>
      <c r="S241" s="61" t="n"/>
      <c r="T241" s="61" t="n"/>
      <c r="U241" s="61" t="n"/>
      <c r="V241" s="61" t="n"/>
      <c r="W241" s="61" t="n"/>
      <c r="X241" s="61" t="n"/>
      <c r="Y241" s="61" t="n"/>
    </row>
    <row r="242" hidden="1" outlineLevel="2" ht="17.25" customHeight="1" thickBot="1">
      <c r="B242" s="369" t="n">
        <v>42571</v>
      </c>
      <c r="C242" s="370" t="inlineStr">
        <is>
          <t>FITX</t>
        </is>
      </c>
      <c r="D242" s="371" t="inlineStr">
        <is>
          <t>台指07</t>
        </is>
      </c>
      <c r="E242" s="371" t="inlineStr">
        <is>
          <t>平倉</t>
        </is>
      </c>
      <c r="F242" s="371" t="inlineStr">
        <is>
          <t>買</t>
        </is>
      </c>
      <c r="G242" s="371" t="inlineStr">
        <is>
          <t>-</t>
        </is>
      </c>
      <c r="H242" s="785" t="n">
        <v>1</v>
      </c>
      <c r="I242" s="785" t="n">
        <v>8986</v>
      </c>
      <c r="J242" s="785" t="n">
        <v>0</v>
      </c>
      <c r="K242" s="786" t="n">
        <v>100</v>
      </c>
      <c r="L242" s="786" t="n">
        <v>36</v>
      </c>
      <c r="M242" s="743">
        <f>IF(C242="TXO",J242-SUM(K242:L242),IF(C242="FITX",IF(E242="新倉",-SUM(K242:L242),IF(F242="賣",(I242-I241)*H242*200-SUM(K242:L242),(I241-I242)*H242*200-SUM(K242:L242)))))</f>
        <v/>
      </c>
      <c r="N242" s="780">
        <f>IF(C242="TXO","",IF(C242="FITX",IF(E242="新倉","",IF(F242="賣",(I242-I241),(I241-I242)))))</f>
        <v/>
      </c>
      <c r="O242" s="334">
        <f>ABS(J242)</f>
        <v/>
      </c>
      <c r="P242" s="764" t="n"/>
      <c r="R242" s="61" t="n"/>
      <c r="S242" s="61" t="n"/>
      <c r="T242" s="61" t="n"/>
      <c r="U242" s="61" t="n"/>
      <c r="V242" s="61" t="n"/>
      <c r="W242" s="61" t="n"/>
      <c r="X242" s="61" t="n"/>
      <c r="Y242" s="61" t="n"/>
    </row>
    <row r="243" hidden="1" outlineLevel="2" ht="17.25" customHeight="1" thickBot="1">
      <c r="B243" s="369" t="n">
        <v>42571</v>
      </c>
      <c r="C243" s="370" t="inlineStr">
        <is>
          <t>FITX</t>
        </is>
      </c>
      <c r="D243" s="371" t="inlineStr">
        <is>
          <t>台指07</t>
        </is>
      </c>
      <c r="E243" s="371" t="inlineStr">
        <is>
          <t>新倉</t>
        </is>
      </c>
      <c r="F243" s="371" t="inlineStr">
        <is>
          <t>賣</t>
        </is>
      </c>
      <c r="G243" s="371" t="inlineStr">
        <is>
          <t>-</t>
        </is>
      </c>
      <c r="H243" s="785" t="n">
        <v>1</v>
      </c>
      <c r="I243" s="785" t="n">
        <v>8991</v>
      </c>
      <c r="J243" s="785" t="n">
        <v>0</v>
      </c>
      <c r="K243" s="786" t="n">
        <v>100</v>
      </c>
      <c r="L243" s="786" t="n">
        <v>36</v>
      </c>
      <c r="M243" s="743">
        <f>IF(C243="TXO",J243-SUM(K243:L243),IF(C243="FITX",IF(E243="新倉",-SUM(K243:L243),IF(F243="賣",(I243-I242)*H243*200-SUM(K243:L243),(I242-I243)*H243*200-SUM(K243:L243)))))</f>
        <v/>
      </c>
      <c r="N243" s="780">
        <f>IF(C243="TXO","",IF(C243="FITX",IF(E243="新倉","",IF(F243="賣",(I243-I242),(I242-I243)))))</f>
        <v/>
      </c>
      <c r="O243" s="334">
        <f>ABS(J243)</f>
        <v/>
      </c>
      <c r="P243" s="764" t="n"/>
      <c r="R243" s="61" t="n"/>
      <c r="S243" s="61" t="n"/>
      <c r="T243" s="61" t="n"/>
      <c r="U243" s="61" t="n"/>
      <c r="V243" s="61" t="n"/>
      <c r="W243" s="61" t="n"/>
      <c r="X243" s="61" t="n"/>
      <c r="Y243" s="61" t="n"/>
    </row>
    <row r="244" hidden="1" outlineLevel="2" ht="17.25" customHeight="1" thickBot="1">
      <c r="B244" s="369" t="n">
        <v>42571</v>
      </c>
      <c r="C244" s="370" t="inlineStr">
        <is>
          <t>FITX</t>
        </is>
      </c>
      <c r="D244" s="371" t="inlineStr">
        <is>
          <t>台指07</t>
        </is>
      </c>
      <c r="E244" s="371" t="inlineStr">
        <is>
          <t>平倉</t>
        </is>
      </c>
      <c r="F244" s="371" t="inlineStr">
        <is>
          <t>買</t>
        </is>
      </c>
      <c r="G244" s="371" t="inlineStr">
        <is>
          <t>-</t>
        </is>
      </c>
      <c r="H244" s="785" t="n">
        <v>1</v>
      </c>
      <c r="I244" s="785" t="n">
        <v>8993</v>
      </c>
      <c r="J244" s="785" t="n">
        <v>0</v>
      </c>
      <c r="K244" s="786" t="n">
        <v>100</v>
      </c>
      <c r="L244" s="786" t="n">
        <v>36</v>
      </c>
      <c r="M244" s="743">
        <f>IF(C244="TXO",J244-SUM(K244:L244),IF(C244="FITX",IF(E244="新倉",-SUM(K244:L244),IF(F244="賣",(I244-I243)*H244*200-SUM(K244:L244),(I243-I244)*H244*200-SUM(K244:L244)))))</f>
        <v/>
      </c>
      <c r="N244" s="780">
        <f>IF(C244="TXO","",IF(C244="FITX",IF(E244="新倉","",IF(F244="賣",(I244-I243),(I243-I244)))))</f>
        <v/>
      </c>
      <c r="O244" s="334">
        <f>ABS(J244)</f>
        <v/>
      </c>
      <c r="P244" s="764" t="n"/>
      <c r="R244" s="61" t="n"/>
      <c r="S244" s="61" t="n"/>
      <c r="T244" s="61" t="n"/>
      <c r="U244" s="61" t="n"/>
      <c r="V244" s="61" t="n"/>
      <c r="W244" s="61" t="n"/>
      <c r="X244" s="61" t="n"/>
      <c r="Y244" s="61" t="n"/>
    </row>
    <row r="245" hidden="1" outlineLevel="2" ht="17.25" customHeight="1" thickBot="1">
      <c r="B245" s="369" t="n">
        <v>42571</v>
      </c>
      <c r="C245" s="370" t="inlineStr">
        <is>
          <t>FITX</t>
        </is>
      </c>
      <c r="D245" s="371" t="inlineStr">
        <is>
          <t>台指07</t>
        </is>
      </c>
      <c r="E245" s="371" t="inlineStr">
        <is>
          <t>新倉</t>
        </is>
      </c>
      <c r="F245" s="371" t="inlineStr">
        <is>
          <t>買</t>
        </is>
      </c>
      <c r="G245" s="371" t="inlineStr">
        <is>
          <t>-</t>
        </is>
      </c>
      <c r="H245" s="785" t="n">
        <v>1</v>
      </c>
      <c r="I245" s="785" t="n">
        <v>8995</v>
      </c>
      <c r="J245" s="785" t="n">
        <v>0</v>
      </c>
      <c r="K245" s="786" t="n">
        <v>100</v>
      </c>
      <c r="L245" s="786" t="n">
        <v>36</v>
      </c>
      <c r="M245" s="743">
        <f>IF(C245="TXO",J245-SUM(K245:L245),IF(C245="FITX",IF(E245="新倉",-SUM(K245:L245),IF(F245="賣",(I245-I244)*H245*200-SUM(K245:L245),(I244-I245)*H245*200-SUM(K245:L245)))))</f>
        <v/>
      </c>
      <c r="N245" s="780">
        <f>IF(C245="TXO","",IF(C245="FITX",IF(E245="新倉","",IF(F245="賣",(I245-I244),(I244-I245)))))</f>
        <v/>
      </c>
      <c r="O245" s="334">
        <f>ABS(J245)</f>
        <v/>
      </c>
      <c r="P245" s="764" t="n"/>
      <c r="R245" s="61" t="n"/>
      <c r="S245" s="61" t="n"/>
      <c r="T245" s="61" t="n"/>
      <c r="U245" s="61" t="n"/>
      <c r="V245" s="61" t="n"/>
      <c r="W245" s="61" t="n"/>
      <c r="X245" s="61" t="n"/>
      <c r="Y245" s="61" t="n"/>
    </row>
    <row r="246" hidden="1" outlineLevel="2" ht="17.25" customHeight="1" thickBot="1">
      <c r="B246" s="369" t="n">
        <v>42571</v>
      </c>
      <c r="C246" s="370" t="inlineStr">
        <is>
          <t>FITX</t>
        </is>
      </c>
      <c r="D246" s="371" t="inlineStr">
        <is>
          <t>台指07</t>
        </is>
      </c>
      <c r="E246" s="371" t="inlineStr">
        <is>
          <t>平倉</t>
        </is>
      </c>
      <c r="F246" s="371" t="inlineStr">
        <is>
          <t>賣</t>
        </is>
      </c>
      <c r="G246" s="371" t="inlineStr">
        <is>
          <t>-</t>
        </is>
      </c>
      <c r="H246" s="785" t="n">
        <v>1</v>
      </c>
      <c r="I246" s="785" t="n">
        <v>8997</v>
      </c>
      <c r="J246" s="785" t="n">
        <v>0</v>
      </c>
      <c r="K246" s="786" t="n">
        <v>100</v>
      </c>
      <c r="L246" s="786" t="n">
        <v>36</v>
      </c>
      <c r="M246" s="743">
        <f>IF(C246="TXO",J246-SUM(K246:L246),IF(C246="FITX",IF(E246="新倉",-SUM(K246:L246),IF(F246="賣",(I246-I245)*H246*200-SUM(K246:L246),(I245-I246)*H246*200-SUM(K246:L246)))))</f>
        <v/>
      </c>
      <c r="N246" s="780">
        <f>IF(C246="TXO","",IF(C246="FITX",IF(E246="新倉","",IF(F246="賣",(I246-I245),(I245-I246)))))</f>
        <v/>
      </c>
      <c r="O246" s="334">
        <f>ABS(J246)</f>
        <v/>
      </c>
      <c r="P246" s="764" t="n"/>
      <c r="R246" s="61" t="n"/>
      <c r="S246" s="61" t="n"/>
      <c r="T246" s="61" t="n"/>
      <c r="U246" s="61" t="n"/>
      <c r="V246" s="61" t="n"/>
      <c r="W246" s="61" t="n"/>
      <c r="X246" s="61" t="n"/>
      <c r="Y246" s="61" t="n"/>
    </row>
    <row r="247" hidden="1" outlineLevel="1" collapsed="1" ht="17.25" customHeight="1" thickBot="1">
      <c r="B247" s="368" t="n">
        <v>42572</v>
      </c>
      <c r="C247" s="337" t="inlineStr">
        <is>
          <t>FITX</t>
        </is>
      </c>
      <c r="D247" s="338" t="inlineStr">
        <is>
          <t>台指08</t>
        </is>
      </c>
      <c r="E247" s="338" t="inlineStr">
        <is>
          <t>新倉</t>
        </is>
      </c>
      <c r="F247" s="338" t="inlineStr">
        <is>
          <t>買</t>
        </is>
      </c>
      <c r="G247" s="338" t="inlineStr">
        <is>
          <t>-</t>
        </is>
      </c>
      <c r="H247" s="767" t="n">
        <v>1</v>
      </c>
      <c r="I247" s="767" t="n">
        <v>8941</v>
      </c>
      <c r="J247" s="767" t="n">
        <v>0</v>
      </c>
      <c r="K247" s="769" t="n">
        <v>100</v>
      </c>
      <c r="L247" s="769" t="n">
        <v>36</v>
      </c>
      <c r="M247" s="699">
        <f>IF(C247="TXO",J247-SUM(K247:L247),IF(C247="FITX",IF(E247="新倉",-SUM(K247:L247),IF(F247="賣",(I247-I246)*H247*200-SUM(K247:L247),(I246-I247)*H247*200-SUM(K247:L247)))))</f>
        <v/>
      </c>
      <c r="N247" s="686">
        <f>IF(C247="TXO","",IF(C247="FITX",IF(E247="新倉","",IF(F247="賣",(I247-I246),(I246-I247)))))</f>
        <v/>
      </c>
      <c r="O247" s="334">
        <f>ABS(J247)</f>
        <v/>
      </c>
      <c r="P247" s="667">
        <f>SUM(M247:M250)</f>
        <v/>
      </c>
      <c r="R247" s="61" t="n"/>
      <c r="S247" s="61" t="n"/>
      <c r="T247" s="61" t="n"/>
      <c r="U247" s="61" t="n"/>
      <c r="V247" s="61" t="n"/>
      <c r="W247" s="61" t="n"/>
      <c r="X247" s="61" t="n"/>
      <c r="Y247" s="61" t="n"/>
    </row>
    <row r="248" hidden="1" outlineLevel="1" collapsed="1" ht="17.25" customHeight="1" thickBot="1">
      <c r="B248" s="368" t="n">
        <v>42572</v>
      </c>
      <c r="C248" s="337" t="inlineStr">
        <is>
          <t>FITX</t>
        </is>
      </c>
      <c r="D248" s="338" t="inlineStr">
        <is>
          <t>台指08</t>
        </is>
      </c>
      <c r="E248" s="338" t="inlineStr">
        <is>
          <t>平倉</t>
        </is>
      </c>
      <c r="F248" s="338" t="inlineStr">
        <is>
          <t>賣</t>
        </is>
      </c>
      <c r="G248" s="338" t="inlineStr">
        <is>
          <t>-</t>
        </is>
      </c>
      <c r="H248" s="767" t="n">
        <v>1</v>
      </c>
      <c r="I248" s="767" t="n">
        <v>8957</v>
      </c>
      <c r="J248" s="767" t="n">
        <v>0</v>
      </c>
      <c r="K248" s="769" t="n">
        <v>100</v>
      </c>
      <c r="L248" s="769" t="n">
        <v>36</v>
      </c>
      <c r="M248" s="699">
        <f>IF(C248="TXO",J248-SUM(K248:L248),IF(C248="FITX",IF(E248="新倉",-SUM(K248:L248),IF(F248="賣",(I248-I247)*H248*200-SUM(K248:L248),(I247-I248)*H248*200-SUM(K248:L248)))))</f>
        <v/>
      </c>
      <c r="N248" s="686">
        <f>IF(C248="TXO","",IF(C248="FITX",IF(E248="新倉","",IF(F248="賣",(I248-I247),(I247-I248)))))</f>
        <v/>
      </c>
      <c r="O248" s="334">
        <f>ABS(J248)</f>
        <v/>
      </c>
      <c r="P248" s="667" t="n"/>
      <c r="R248" s="61" t="n"/>
      <c r="S248" s="61" t="n"/>
      <c r="T248" s="61" t="n"/>
      <c r="U248" s="61" t="n"/>
      <c r="V248" s="61" t="n"/>
      <c r="W248" s="61" t="n"/>
      <c r="X248" s="61" t="n"/>
      <c r="Y248" s="61" t="n"/>
    </row>
    <row r="249" hidden="1" outlineLevel="1" collapsed="1" ht="17.25" customHeight="1" thickBot="1">
      <c r="B249" s="368" t="n">
        <v>42572</v>
      </c>
      <c r="C249" s="337" t="inlineStr">
        <is>
          <t>FITX</t>
        </is>
      </c>
      <c r="D249" s="338" t="inlineStr">
        <is>
          <t>台指08</t>
        </is>
      </c>
      <c r="E249" s="338" t="inlineStr">
        <is>
          <t>新倉</t>
        </is>
      </c>
      <c r="F249" s="338" t="inlineStr">
        <is>
          <t>買</t>
        </is>
      </c>
      <c r="G249" s="338" t="inlineStr">
        <is>
          <t>-</t>
        </is>
      </c>
      <c r="H249" s="767" t="n">
        <v>1</v>
      </c>
      <c r="I249" s="767" t="n">
        <v>8993</v>
      </c>
      <c r="J249" s="767" t="n">
        <v>0</v>
      </c>
      <c r="K249" s="769" t="n">
        <v>100</v>
      </c>
      <c r="L249" s="769" t="n">
        <v>36</v>
      </c>
      <c r="M249" s="699">
        <f>IF(C249="TXO",J249-SUM(K249:L249),IF(C249="FITX",IF(E249="新倉",-SUM(K249:L249),IF(F249="賣",(I249-I248)*H249*200-SUM(K249:L249),(I248-I249)*H249*200-SUM(K249:L249)))))</f>
        <v/>
      </c>
      <c r="N249" s="686">
        <f>IF(C249="TXO","",IF(C249="FITX",IF(E249="新倉","",IF(F249="賣",(I249-I248),(I248-I249)))))</f>
        <v/>
      </c>
      <c r="O249" s="334">
        <f>ABS(J249)</f>
        <v/>
      </c>
      <c r="P249" s="667" t="n"/>
      <c r="R249" s="61" t="n"/>
      <c r="S249" s="61" t="n"/>
      <c r="T249" s="61" t="n"/>
      <c r="U249" s="61" t="n"/>
      <c r="V249" s="61" t="n"/>
      <c r="W249" s="61" t="n"/>
      <c r="X249" s="61" t="n"/>
      <c r="Y249" s="61" t="n"/>
    </row>
    <row r="250" hidden="1" outlineLevel="1" ht="17.25" customHeight="1" thickBot="1">
      <c r="B250" s="368" t="n">
        <v>42572</v>
      </c>
      <c r="C250" s="337" t="inlineStr">
        <is>
          <t>FITX</t>
        </is>
      </c>
      <c r="D250" s="338" t="inlineStr">
        <is>
          <t>台指08</t>
        </is>
      </c>
      <c r="E250" s="338" t="inlineStr">
        <is>
          <t>平倉</t>
        </is>
      </c>
      <c r="F250" s="338" t="inlineStr">
        <is>
          <t>賣</t>
        </is>
      </c>
      <c r="G250" s="338" t="inlineStr">
        <is>
          <t>-</t>
        </is>
      </c>
      <c r="H250" s="767" t="n">
        <v>1</v>
      </c>
      <c r="I250" s="767" t="n">
        <v>8994</v>
      </c>
      <c r="J250" s="767" t="n">
        <v>0</v>
      </c>
      <c r="K250" s="769" t="n">
        <v>100</v>
      </c>
      <c r="L250" s="769" t="n">
        <v>36</v>
      </c>
      <c r="M250" s="699">
        <f>IF(C250="TXO",J250-SUM(K250:L250),IF(C250="FITX",IF(E250="新倉",-SUM(K250:L250),IF(F250="賣",(I250-I249)*H250*200-SUM(K250:L250),(I249-I250)*H250*200-SUM(K250:L250)))))</f>
        <v/>
      </c>
      <c r="N250" s="686">
        <f>IF(C250="TXO","",IF(C250="FITX",IF(E250="新倉","",IF(F250="賣",(I250-I249),(I249-I250)))))</f>
        <v/>
      </c>
      <c r="O250" s="334">
        <f>ABS(J250)</f>
        <v/>
      </c>
      <c r="P250" s="667" t="n"/>
      <c r="R250" s="61" t="n"/>
      <c r="S250" s="61" t="n"/>
      <c r="T250" s="61" t="n"/>
      <c r="U250" s="61" t="n"/>
      <c r="V250" s="61" t="n"/>
      <c r="W250" s="61" t="n"/>
      <c r="X250" s="61" t="n"/>
      <c r="Y250" s="61" t="n"/>
    </row>
    <row r="251" hidden="1" outlineLevel="1" collapsed="1" ht="17.25" customHeight="1" thickBot="1">
      <c r="B251" s="369" t="n">
        <v>42573</v>
      </c>
      <c r="C251" s="370" t="inlineStr">
        <is>
          <t>FITX</t>
        </is>
      </c>
      <c r="D251" s="371" t="inlineStr">
        <is>
          <t>台指08</t>
        </is>
      </c>
      <c r="E251" s="371" t="inlineStr">
        <is>
          <t>新倉</t>
        </is>
      </c>
      <c r="F251" s="371" t="inlineStr">
        <is>
          <t>賣</t>
        </is>
      </c>
      <c r="G251" s="371" t="inlineStr">
        <is>
          <t>-</t>
        </is>
      </c>
      <c r="H251" s="785" t="n">
        <v>1</v>
      </c>
      <c r="I251" s="785" t="n">
        <v>8967</v>
      </c>
      <c r="J251" s="785" t="n">
        <v>0</v>
      </c>
      <c r="K251" s="786" t="n">
        <v>100</v>
      </c>
      <c r="L251" s="786" t="n">
        <v>36</v>
      </c>
      <c r="M251" s="743">
        <f>IF(C251="TXO",J251-SUM(K251:L251),IF(C251="FITX",IF(E251="新倉",-SUM(K251:L251),IF(F251="賣",(I251-I250)*H251*200-SUM(K251:L251),(I250-I251)*H251*200-SUM(K251:L251)))))</f>
        <v/>
      </c>
      <c r="N251" s="780">
        <f>IF(C251="TXO","",IF(C251="FITX",IF(E251="新倉","",IF(F251="賣",(I251-I250),(I250-I251)))))</f>
        <v/>
      </c>
      <c r="O251" s="334">
        <f>ABS(J251)</f>
        <v/>
      </c>
      <c r="P251" s="764">
        <f>SUM(M251:M276)</f>
        <v/>
      </c>
      <c r="R251" s="61" t="n"/>
      <c r="S251" s="61" t="n"/>
      <c r="T251" s="61" t="n"/>
      <c r="U251" s="61" t="n"/>
      <c r="V251" s="61" t="n"/>
      <c r="W251" s="61" t="n"/>
      <c r="X251" s="61" t="n"/>
      <c r="Y251" s="61" t="n"/>
    </row>
    <row r="252" hidden="1" outlineLevel="2" ht="17.25" customHeight="1" thickBot="1">
      <c r="B252" s="369" t="n">
        <v>42573</v>
      </c>
      <c r="C252" s="370" t="inlineStr">
        <is>
          <t>FITX</t>
        </is>
      </c>
      <c r="D252" s="371" t="inlineStr">
        <is>
          <t>台指08</t>
        </is>
      </c>
      <c r="E252" s="371" t="inlineStr">
        <is>
          <t>平倉</t>
        </is>
      </c>
      <c r="F252" s="371" t="inlineStr">
        <is>
          <t>買</t>
        </is>
      </c>
      <c r="G252" s="371" t="inlineStr">
        <is>
          <t>-</t>
        </is>
      </c>
      <c r="H252" s="785" t="n">
        <v>1</v>
      </c>
      <c r="I252" s="785" t="n">
        <v>8983</v>
      </c>
      <c r="J252" s="785" t="n">
        <v>0</v>
      </c>
      <c r="K252" s="786" t="n">
        <v>100</v>
      </c>
      <c r="L252" s="786" t="n">
        <v>36</v>
      </c>
      <c r="M252" s="743">
        <f>IF(C252="TXO",J252-SUM(K252:L252),IF(C252="FITX",IF(E252="新倉",-SUM(K252:L252),IF(F252="賣",(I252-I251)*H252*200-SUM(K252:L252),(I251-I252)*H252*200-SUM(K252:L252)))))</f>
        <v/>
      </c>
      <c r="N252" s="780">
        <f>IF(C252="TXO","",IF(C252="FITX",IF(E252="新倉","",IF(F252="賣",(I252-I251),(I251-I252)))))</f>
        <v/>
      </c>
      <c r="O252" s="334">
        <f>ABS(J252)</f>
        <v/>
      </c>
      <c r="P252" s="764" t="n"/>
      <c r="R252" s="61" t="n"/>
      <c r="S252" s="61" t="n"/>
      <c r="T252" s="61" t="n"/>
      <c r="U252" s="61" t="n"/>
      <c r="V252" s="61" t="n"/>
      <c r="W252" s="61" t="n"/>
      <c r="X252" s="61" t="n"/>
      <c r="Y252" s="61" t="n"/>
    </row>
    <row r="253" hidden="1" outlineLevel="2" ht="17.25" customHeight="1" thickBot="1">
      <c r="B253" s="369" t="n">
        <v>42573</v>
      </c>
      <c r="C253" s="370" t="inlineStr">
        <is>
          <t>FITX</t>
        </is>
      </c>
      <c r="D253" s="371" t="inlineStr">
        <is>
          <t>台指08</t>
        </is>
      </c>
      <c r="E253" s="371" t="inlineStr">
        <is>
          <t>新倉</t>
        </is>
      </c>
      <c r="F253" s="371" t="inlineStr">
        <is>
          <t>買</t>
        </is>
      </c>
      <c r="G253" s="371" t="inlineStr">
        <is>
          <t>-</t>
        </is>
      </c>
      <c r="H253" s="785" t="n">
        <v>1</v>
      </c>
      <c r="I253" s="785" t="n">
        <v>8982</v>
      </c>
      <c r="J253" s="785" t="n">
        <v>0</v>
      </c>
      <c r="K253" s="786" t="n">
        <v>100</v>
      </c>
      <c r="L253" s="786" t="n">
        <v>36</v>
      </c>
      <c r="M253" s="743">
        <f>IF(C253="TXO",J253-SUM(K253:L253),IF(C253="FITX",IF(E253="新倉",-SUM(K253:L253),IF(F253="賣",(I253-I252)*H253*200-SUM(K253:L253),(I252-I253)*H253*200-SUM(K253:L253)))))</f>
        <v/>
      </c>
      <c r="N253" s="780">
        <f>IF(C253="TXO","",IF(C253="FITX",IF(E253="新倉","",IF(F253="賣",(I253-I252),(I252-I253)))))</f>
        <v/>
      </c>
      <c r="O253" s="334">
        <f>ABS(J253)</f>
        <v/>
      </c>
      <c r="P253" s="764" t="n"/>
      <c r="R253" s="61" t="n"/>
      <c r="S253" s="61" t="n"/>
      <c r="T253" s="61" t="n"/>
      <c r="U253" s="61" t="n"/>
      <c r="V253" s="61" t="n"/>
      <c r="W253" s="61" t="n"/>
      <c r="X253" s="61" t="n"/>
      <c r="Y253" s="61" t="n"/>
    </row>
    <row r="254" hidden="1" outlineLevel="2" ht="17.25" customHeight="1" thickBot="1">
      <c r="B254" s="369" t="n">
        <v>42573</v>
      </c>
      <c r="C254" s="370" t="inlineStr">
        <is>
          <t>FITX</t>
        </is>
      </c>
      <c r="D254" s="371" t="inlineStr">
        <is>
          <t>台指08</t>
        </is>
      </c>
      <c r="E254" s="371" t="inlineStr">
        <is>
          <t>平倉</t>
        </is>
      </c>
      <c r="F254" s="371" t="inlineStr">
        <is>
          <t>賣</t>
        </is>
      </c>
      <c r="G254" s="371" t="inlineStr">
        <is>
          <t>-</t>
        </is>
      </c>
      <c r="H254" s="785" t="n">
        <v>1</v>
      </c>
      <c r="I254" s="785" t="n">
        <v>8970</v>
      </c>
      <c r="J254" s="785" t="n">
        <v>0</v>
      </c>
      <c r="K254" s="786" t="n">
        <v>100</v>
      </c>
      <c r="L254" s="786" t="n">
        <v>36</v>
      </c>
      <c r="M254" s="743">
        <f>IF(C254="TXO",J254-SUM(K254:L254),IF(C254="FITX",IF(E254="新倉",-SUM(K254:L254),IF(F254="賣",(I254-I253)*H254*200-SUM(K254:L254),(I253-I254)*H254*200-SUM(K254:L254)))))</f>
        <v/>
      </c>
      <c r="N254" s="780">
        <f>IF(C254="TXO","",IF(C254="FITX",IF(E254="新倉","",IF(F254="賣",(I254-I253),(I253-I254)))))</f>
        <v/>
      </c>
      <c r="O254" s="334">
        <f>ABS(J254)</f>
        <v/>
      </c>
      <c r="P254" s="764" t="n"/>
      <c r="R254" s="61" t="n"/>
      <c r="S254" s="61" t="n"/>
      <c r="T254" s="61" t="n"/>
      <c r="U254" s="61" t="n"/>
      <c r="V254" s="61" t="n"/>
      <c r="W254" s="61" t="n"/>
      <c r="X254" s="61" t="n"/>
      <c r="Y254" s="61" t="n"/>
    </row>
    <row r="255" hidden="1" outlineLevel="2" ht="17.25" customHeight="1" thickBot="1">
      <c r="B255" s="369" t="n">
        <v>42573</v>
      </c>
      <c r="C255" s="370" t="inlineStr">
        <is>
          <t>FITX</t>
        </is>
      </c>
      <c r="D255" s="371" t="inlineStr">
        <is>
          <t>台指08</t>
        </is>
      </c>
      <c r="E255" s="371" t="inlineStr">
        <is>
          <t>新倉</t>
        </is>
      </c>
      <c r="F255" s="371" t="inlineStr">
        <is>
          <t>賣</t>
        </is>
      </c>
      <c r="G255" s="371" t="inlineStr">
        <is>
          <t>-</t>
        </is>
      </c>
      <c r="H255" s="785" t="n">
        <v>1</v>
      </c>
      <c r="I255" s="785" t="n">
        <v>8940</v>
      </c>
      <c r="J255" s="785" t="n">
        <v>0</v>
      </c>
      <c r="K255" s="786" t="n">
        <v>100</v>
      </c>
      <c r="L255" s="786" t="n">
        <v>36</v>
      </c>
      <c r="M255" s="743">
        <f>IF(C255="TXO",J255-SUM(K255:L255),IF(C255="FITX",IF(E255="新倉",-SUM(K255:L255),IF(F255="賣",(I255-I254)*H255*200-SUM(K255:L255),(I254-I255)*H255*200-SUM(K255:L255)))))</f>
        <v/>
      </c>
      <c r="N255" s="780">
        <f>IF(C255="TXO","",IF(C255="FITX",IF(E255="新倉","",IF(F255="賣",(I255-I254),(I254-I255)))))</f>
        <v/>
      </c>
      <c r="O255" s="334">
        <f>ABS(J255)</f>
        <v/>
      </c>
      <c r="P255" s="764" t="n"/>
      <c r="R255" s="61" t="n"/>
      <c r="S255" s="61" t="n"/>
      <c r="T255" s="61" t="n"/>
      <c r="U255" s="61" t="n"/>
      <c r="V255" s="61" t="n"/>
      <c r="W255" s="61" t="n"/>
      <c r="X255" s="61" t="n"/>
      <c r="Y255" s="61" t="n"/>
    </row>
    <row r="256" hidden="1" outlineLevel="2" ht="17.25" customHeight="1" thickBot="1">
      <c r="B256" s="369" t="n">
        <v>42573</v>
      </c>
      <c r="C256" s="370" t="inlineStr">
        <is>
          <t>FITX</t>
        </is>
      </c>
      <c r="D256" s="371" t="inlineStr">
        <is>
          <t>台指08</t>
        </is>
      </c>
      <c r="E256" s="371" t="inlineStr">
        <is>
          <t>平倉</t>
        </is>
      </c>
      <c r="F256" s="371" t="inlineStr">
        <is>
          <t>買</t>
        </is>
      </c>
      <c r="G256" s="371" t="inlineStr">
        <is>
          <t>-</t>
        </is>
      </c>
      <c r="H256" s="785" t="n">
        <v>1</v>
      </c>
      <c r="I256" s="785" t="n">
        <v>8944</v>
      </c>
      <c r="J256" s="785" t="n">
        <v>0</v>
      </c>
      <c r="K256" s="786" t="n">
        <v>100</v>
      </c>
      <c r="L256" s="786" t="n">
        <v>36</v>
      </c>
      <c r="M256" s="743">
        <f>IF(C256="TXO",J256-SUM(K256:L256),IF(C256="FITX",IF(E256="新倉",-SUM(K256:L256),IF(F256="賣",(I256-I255)*H256*200-SUM(K256:L256),(I255-I256)*H256*200-SUM(K256:L256)))))</f>
        <v/>
      </c>
      <c r="N256" s="780">
        <f>IF(C256="TXO","",IF(C256="FITX",IF(E256="新倉","",IF(F256="賣",(I256-I255),(I255-I256)))))</f>
        <v/>
      </c>
      <c r="O256" s="334">
        <f>ABS(J256)</f>
        <v/>
      </c>
      <c r="P256" s="764" t="n"/>
      <c r="R256" s="61" t="n"/>
      <c r="S256" s="61" t="n"/>
      <c r="T256" s="61" t="n"/>
      <c r="U256" s="61" t="n"/>
      <c r="V256" s="61" t="n"/>
      <c r="W256" s="61" t="n"/>
      <c r="X256" s="61" t="n"/>
      <c r="Y256" s="61" t="n"/>
    </row>
    <row r="257" hidden="1" outlineLevel="2" ht="17.25" customHeight="1" thickBot="1">
      <c r="B257" s="369" t="n">
        <v>42573</v>
      </c>
      <c r="C257" s="370" t="inlineStr">
        <is>
          <t>FITX</t>
        </is>
      </c>
      <c r="D257" s="371" t="inlineStr">
        <is>
          <t>台指08</t>
        </is>
      </c>
      <c r="E257" s="371" t="inlineStr">
        <is>
          <t>新倉</t>
        </is>
      </c>
      <c r="F257" s="371" t="inlineStr">
        <is>
          <t>買</t>
        </is>
      </c>
      <c r="G257" s="371" t="inlineStr">
        <is>
          <t>-</t>
        </is>
      </c>
      <c r="H257" s="785" t="n">
        <v>1</v>
      </c>
      <c r="I257" s="785" t="n">
        <v>8973</v>
      </c>
      <c r="J257" s="785" t="n">
        <v>0</v>
      </c>
      <c r="K257" s="786" t="n">
        <v>100</v>
      </c>
      <c r="L257" s="786" t="n">
        <v>36</v>
      </c>
      <c r="M257" s="743">
        <f>IF(C257="TXO",J257-SUM(K257:L257),IF(C257="FITX",IF(E257="新倉",-SUM(K257:L257),IF(F257="賣",(I257-I256)*H257*200-SUM(K257:L257),(I256-I257)*H257*200-SUM(K257:L257)))))</f>
        <v/>
      </c>
      <c r="N257" s="780">
        <f>IF(C257="TXO","",IF(C257="FITX",IF(E257="新倉","",IF(F257="賣",(I257-I256),(I256-I257)))))</f>
        <v/>
      </c>
      <c r="O257" s="334">
        <f>ABS(J257)</f>
        <v/>
      </c>
      <c r="P257" s="764" t="n"/>
      <c r="R257" s="61" t="n"/>
      <c r="S257" s="61" t="n"/>
      <c r="T257" s="61" t="n"/>
      <c r="U257" s="61" t="n"/>
      <c r="V257" s="61" t="n"/>
      <c r="W257" s="61" t="n"/>
      <c r="X257" s="61" t="n"/>
      <c r="Y257" s="61" t="n"/>
    </row>
    <row r="258" hidden="1" outlineLevel="2" ht="17.25" customHeight="1" thickBot="1">
      <c r="B258" s="369" t="n">
        <v>42573</v>
      </c>
      <c r="C258" s="370" t="inlineStr">
        <is>
          <t>FITX</t>
        </is>
      </c>
      <c r="D258" s="371" t="inlineStr">
        <is>
          <t>台指08</t>
        </is>
      </c>
      <c r="E258" s="371" t="inlineStr">
        <is>
          <t>平倉</t>
        </is>
      </c>
      <c r="F258" s="371" t="inlineStr">
        <is>
          <t>賣</t>
        </is>
      </c>
      <c r="G258" s="371" t="inlineStr">
        <is>
          <t>-</t>
        </is>
      </c>
      <c r="H258" s="785" t="n">
        <v>1</v>
      </c>
      <c r="I258" s="785" t="n">
        <v>8974</v>
      </c>
      <c r="J258" s="785" t="n">
        <v>0</v>
      </c>
      <c r="K258" s="786" t="n">
        <v>100</v>
      </c>
      <c r="L258" s="786" t="n">
        <v>36</v>
      </c>
      <c r="M258" s="743">
        <f>IF(C258="TXO",J258-SUM(K258:L258),IF(C258="FITX",IF(E258="新倉",-SUM(K258:L258),IF(F258="賣",(I258-I257)*H258*200-SUM(K258:L258),(I257-I258)*H258*200-SUM(K258:L258)))))</f>
        <v/>
      </c>
      <c r="N258" s="780">
        <f>IF(C258="TXO","",IF(C258="FITX",IF(E258="新倉","",IF(F258="賣",(I258-I257),(I257-I258)))))</f>
        <v/>
      </c>
      <c r="O258" s="334">
        <f>ABS(J258)</f>
        <v/>
      </c>
      <c r="P258" s="764" t="n"/>
      <c r="R258" s="61" t="n"/>
      <c r="S258" s="61" t="n"/>
      <c r="T258" s="61" t="n"/>
      <c r="U258" s="61" t="n"/>
      <c r="V258" s="61" t="n"/>
      <c r="W258" s="61" t="n"/>
      <c r="X258" s="61" t="n"/>
      <c r="Y258" s="61" t="n"/>
    </row>
    <row r="259" hidden="1" outlineLevel="2" ht="17.25" customHeight="1" thickBot="1">
      <c r="B259" s="369" t="n">
        <v>42573</v>
      </c>
      <c r="C259" s="370" t="inlineStr">
        <is>
          <t>FITX</t>
        </is>
      </c>
      <c r="D259" s="371" t="inlineStr">
        <is>
          <t>台指08</t>
        </is>
      </c>
      <c r="E259" s="371" t="inlineStr">
        <is>
          <t>新倉</t>
        </is>
      </c>
      <c r="F259" s="371" t="inlineStr">
        <is>
          <t>賣</t>
        </is>
      </c>
      <c r="G259" s="371" t="inlineStr">
        <is>
          <t>-</t>
        </is>
      </c>
      <c r="H259" s="785" t="n">
        <v>1</v>
      </c>
      <c r="I259" s="785" t="n">
        <v>8963</v>
      </c>
      <c r="J259" s="785" t="n">
        <v>0</v>
      </c>
      <c r="K259" s="786" t="n">
        <v>100</v>
      </c>
      <c r="L259" s="786" t="n">
        <v>36</v>
      </c>
      <c r="M259" s="743">
        <f>IF(C259="TXO",J259-SUM(K259:L259),IF(C259="FITX",IF(E259="新倉",-SUM(K259:L259),IF(F259="賣",(I259-I258)*H259*200-SUM(K259:L259),(I258-I259)*H259*200-SUM(K259:L259)))))</f>
        <v/>
      </c>
      <c r="N259" s="780">
        <f>IF(C259="TXO","",IF(C259="FITX",IF(E259="新倉","",IF(F259="賣",(I259-I258),(I258-I259)))))</f>
        <v/>
      </c>
      <c r="O259" s="334">
        <f>ABS(J259)</f>
        <v/>
      </c>
      <c r="P259" s="764" t="n"/>
      <c r="R259" s="61" t="n"/>
      <c r="S259" s="61" t="n"/>
      <c r="T259" s="61" t="n"/>
      <c r="U259" s="61" t="n"/>
      <c r="V259" s="61" t="n"/>
      <c r="W259" s="61" t="n"/>
      <c r="X259" s="61" t="n"/>
      <c r="Y259" s="61" t="n"/>
    </row>
    <row r="260" hidden="1" outlineLevel="2" ht="17.25" customHeight="1" thickBot="1">
      <c r="B260" s="369" t="n">
        <v>42573</v>
      </c>
      <c r="C260" s="370" t="inlineStr">
        <is>
          <t>FITX</t>
        </is>
      </c>
      <c r="D260" s="371" t="inlineStr">
        <is>
          <t>台指08</t>
        </is>
      </c>
      <c r="E260" s="371" t="inlineStr">
        <is>
          <t>平倉</t>
        </is>
      </c>
      <c r="F260" s="371" t="inlineStr">
        <is>
          <t>買</t>
        </is>
      </c>
      <c r="G260" s="371" t="inlineStr">
        <is>
          <t>-</t>
        </is>
      </c>
      <c r="H260" s="785" t="n">
        <v>1</v>
      </c>
      <c r="I260" s="785" t="n">
        <v>8963</v>
      </c>
      <c r="J260" s="785" t="n">
        <v>0</v>
      </c>
      <c r="K260" s="786" t="n">
        <v>100</v>
      </c>
      <c r="L260" s="786" t="n">
        <v>36</v>
      </c>
      <c r="M260" s="743">
        <f>IF(C260="TXO",J260-SUM(K260:L260),IF(C260="FITX",IF(E260="新倉",-SUM(K260:L260),IF(F260="賣",(I260-I259)*H260*200-SUM(K260:L260),(I259-I260)*H260*200-SUM(K260:L260)))))</f>
        <v/>
      </c>
      <c r="N260" s="780">
        <f>IF(C260="TXO","",IF(C260="FITX",IF(E260="新倉","",IF(F260="賣",(I260-I259),(I259-I260)))))</f>
        <v/>
      </c>
      <c r="O260" s="334">
        <f>ABS(J260)</f>
        <v/>
      </c>
      <c r="P260" s="764" t="n"/>
      <c r="R260" s="61" t="n"/>
      <c r="S260" s="61" t="n"/>
      <c r="T260" s="61" t="n"/>
      <c r="U260" s="61" t="n"/>
      <c r="V260" s="61" t="n"/>
      <c r="W260" s="61" t="n"/>
      <c r="X260" s="61" t="n"/>
      <c r="Y260" s="61" t="n"/>
    </row>
    <row r="261" hidden="1" outlineLevel="2" ht="17.25" customHeight="1" thickBot="1">
      <c r="B261" s="369" t="n">
        <v>42573</v>
      </c>
      <c r="C261" s="370" t="inlineStr">
        <is>
          <t>FITX</t>
        </is>
      </c>
      <c r="D261" s="371" t="inlineStr">
        <is>
          <t>台指08</t>
        </is>
      </c>
      <c r="E261" s="371" t="inlineStr">
        <is>
          <t>新倉</t>
        </is>
      </c>
      <c r="F261" s="371" t="inlineStr">
        <is>
          <t>賣</t>
        </is>
      </c>
      <c r="G261" s="371" t="inlineStr">
        <is>
          <t>-</t>
        </is>
      </c>
      <c r="H261" s="785" t="n">
        <v>1</v>
      </c>
      <c r="I261" s="785" t="n">
        <v>8957</v>
      </c>
      <c r="J261" s="785" t="n">
        <v>0</v>
      </c>
      <c r="K261" s="786" t="n">
        <v>100</v>
      </c>
      <c r="L261" s="786" t="n">
        <v>36</v>
      </c>
      <c r="M261" s="743">
        <f>IF(C261="TXO",J261-SUM(K261:L261),IF(C261="FITX",IF(E261="新倉",-SUM(K261:L261),IF(F261="賣",(I261-I260)*H261*200-SUM(K261:L261),(I260-I261)*H261*200-SUM(K261:L261)))))</f>
        <v/>
      </c>
      <c r="N261" s="780">
        <f>IF(C261="TXO","",IF(C261="FITX",IF(E261="新倉","",IF(F261="賣",(I261-I260),(I260-I261)))))</f>
        <v/>
      </c>
      <c r="O261" s="334">
        <f>ABS(J261)</f>
        <v/>
      </c>
      <c r="P261" s="764" t="n"/>
      <c r="R261" s="61" t="n"/>
      <c r="S261" s="61" t="n"/>
      <c r="T261" s="61" t="n"/>
      <c r="U261" s="61" t="n"/>
      <c r="V261" s="61" t="n"/>
      <c r="W261" s="61" t="n"/>
      <c r="X261" s="61" t="n"/>
      <c r="Y261" s="61" t="n"/>
    </row>
    <row r="262" hidden="1" outlineLevel="2" ht="17.25" customHeight="1" thickBot="1">
      <c r="B262" s="369" t="n">
        <v>42573</v>
      </c>
      <c r="C262" s="370" t="inlineStr">
        <is>
          <t>FITX</t>
        </is>
      </c>
      <c r="D262" s="371" t="inlineStr">
        <is>
          <t>台指08</t>
        </is>
      </c>
      <c r="E262" s="371" t="inlineStr">
        <is>
          <t>平倉</t>
        </is>
      </c>
      <c r="F262" s="371" t="inlineStr">
        <is>
          <t>買</t>
        </is>
      </c>
      <c r="G262" s="371" t="inlineStr">
        <is>
          <t>-</t>
        </is>
      </c>
      <c r="H262" s="785" t="n">
        <v>1</v>
      </c>
      <c r="I262" s="785" t="n">
        <v>8960</v>
      </c>
      <c r="J262" s="785" t="n">
        <v>0</v>
      </c>
      <c r="K262" s="786" t="n">
        <v>100</v>
      </c>
      <c r="L262" s="786" t="n">
        <v>36</v>
      </c>
      <c r="M262" s="743">
        <f>IF(C262="TXO",J262-SUM(K262:L262),IF(C262="FITX",IF(E262="新倉",-SUM(K262:L262),IF(F262="賣",(I262-I261)*H262*200-SUM(K262:L262),(I261-I262)*H262*200-SUM(K262:L262)))))</f>
        <v/>
      </c>
      <c r="N262" s="780">
        <f>IF(C262="TXO","",IF(C262="FITX",IF(E262="新倉","",IF(F262="賣",(I262-I261),(I261-I262)))))</f>
        <v/>
      </c>
      <c r="O262" s="334">
        <f>ABS(J262)</f>
        <v/>
      </c>
      <c r="P262" s="764" t="n"/>
      <c r="R262" s="61" t="n"/>
      <c r="S262" s="61" t="n"/>
      <c r="T262" s="61" t="n"/>
      <c r="U262" s="61" t="n"/>
      <c r="V262" s="61" t="n"/>
      <c r="W262" s="61" t="n"/>
      <c r="X262" s="61" t="n"/>
      <c r="Y262" s="61" t="n"/>
    </row>
    <row r="263" hidden="1" outlineLevel="2" ht="17.25" customHeight="1" thickBot="1">
      <c r="B263" s="369" t="n">
        <v>42573</v>
      </c>
      <c r="C263" s="370" t="inlineStr">
        <is>
          <t>FITX</t>
        </is>
      </c>
      <c r="D263" s="371" t="inlineStr">
        <is>
          <t>台指08</t>
        </is>
      </c>
      <c r="E263" s="371" t="inlineStr">
        <is>
          <t>新倉</t>
        </is>
      </c>
      <c r="F263" s="371" t="inlineStr">
        <is>
          <t>賣</t>
        </is>
      </c>
      <c r="G263" s="371" t="inlineStr">
        <is>
          <t>-</t>
        </is>
      </c>
      <c r="H263" s="785" t="n">
        <v>1</v>
      </c>
      <c r="I263" s="785" t="n">
        <v>8941</v>
      </c>
      <c r="J263" s="785" t="n">
        <v>0</v>
      </c>
      <c r="K263" s="786" t="n">
        <v>100</v>
      </c>
      <c r="L263" s="786" t="n">
        <v>36</v>
      </c>
      <c r="M263" s="743">
        <f>IF(C263="TXO",J263-SUM(K263:L263),IF(C263="FITX",IF(E263="新倉",-SUM(K263:L263),IF(F263="賣",(I263-I262)*H263*200-SUM(K263:L263),(I262-I263)*H263*200-SUM(K263:L263)))))</f>
        <v/>
      </c>
      <c r="N263" s="780">
        <f>IF(C263="TXO","",IF(C263="FITX",IF(E263="新倉","",IF(F263="賣",(I263-I262),(I262-I263)))))</f>
        <v/>
      </c>
      <c r="O263" s="334">
        <f>ABS(J263)</f>
        <v/>
      </c>
      <c r="P263" s="764" t="n"/>
      <c r="R263" s="61" t="n"/>
      <c r="S263" s="61" t="n"/>
      <c r="T263" s="61" t="n"/>
      <c r="U263" s="61" t="n"/>
      <c r="V263" s="61" t="n"/>
      <c r="W263" s="61" t="n"/>
      <c r="X263" s="61" t="n"/>
      <c r="Y263" s="61" t="n"/>
    </row>
    <row r="264" hidden="1" outlineLevel="2" ht="17.25" customHeight="1" thickBot="1">
      <c r="B264" s="369" t="n">
        <v>42573</v>
      </c>
      <c r="C264" s="370" t="inlineStr">
        <is>
          <t>FITX</t>
        </is>
      </c>
      <c r="D264" s="371" t="inlineStr">
        <is>
          <t>台指08</t>
        </is>
      </c>
      <c r="E264" s="371" t="inlineStr">
        <is>
          <t>平倉</t>
        </is>
      </c>
      <c r="F264" s="371" t="inlineStr">
        <is>
          <t>買</t>
        </is>
      </c>
      <c r="G264" s="371" t="inlineStr">
        <is>
          <t>-</t>
        </is>
      </c>
      <c r="H264" s="785" t="n">
        <v>1</v>
      </c>
      <c r="I264" s="785" t="n">
        <v>8940</v>
      </c>
      <c r="J264" s="785" t="n">
        <v>0</v>
      </c>
      <c r="K264" s="786" t="n">
        <v>100</v>
      </c>
      <c r="L264" s="786" t="n">
        <v>36</v>
      </c>
      <c r="M264" s="743">
        <f>IF(C264="TXO",J264-SUM(K264:L264),IF(C264="FITX",IF(E264="新倉",-SUM(K264:L264),IF(F264="賣",(I264-I263)*H264*200-SUM(K264:L264),(I263-I264)*H264*200-SUM(K264:L264)))))</f>
        <v/>
      </c>
      <c r="N264" s="780">
        <f>IF(C264="TXO","",IF(C264="FITX",IF(E264="新倉","",IF(F264="賣",(I264-I263),(I263-I264)))))</f>
        <v/>
      </c>
      <c r="O264" s="334">
        <f>ABS(J264)</f>
        <v/>
      </c>
      <c r="P264" s="764" t="n"/>
      <c r="R264" s="61" t="n"/>
      <c r="S264" s="61" t="n"/>
      <c r="T264" s="61" t="n"/>
      <c r="U264" s="61" t="n"/>
      <c r="V264" s="61" t="n"/>
      <c r="W264" s="61" t="n"/>
      <c r="X264" s="61" t="n"/>
      <c r="Y264" s="61" t="n"/>
    </row>
    <row r="265" hidden="1" outlineLevel="2" ht="17.25" customHeight="1" thickBot="1">
      <c r="B265" s="369" t="n">
        <v>42573</v>
      </c>
      <c r="C265" s="370" t="inlineStr">
        <is>
          <t>FITX</t>
        </is>
      </c>
      <c r="D265" s="371" t="inlineStr">
        <is>
          <t>台指08</t>
        </is>
      </c>
      <c r="E265" s="371" t="inlineStr">
        <is>
          <t>新倉</t>
        </is>
      </c>
      <c r="F265" s="371" t="inlineStr">
        <is>
          <t>賣</t>
        </is>
      </c>
      <c r="G265" s="371" t="inlineStr">
        <is>
          <t>-</t>
        </is>
      </c>
      <c r="H265" s="785" t="n">
        <v>1</v>
      </c>
      <c r="I265" s="785" t="n">
        <v>8953</v>
      </c>
      <c r="J265" s="785" t="n">
        <v>0</v>
      </c>
      <c r="K265" s="786" t="n">
        <v>100</v>
      </c>
      <c r="L265" s="786" t="n">
        <v>36</v>
      </c>
      <c r="M265" s="743">
        <f>IF(C265="TXO",J265-SUM(K265:L265),IF(C265="FITX",IF(E265="新倉",-SUM(K265:L265),IF(F265="賣",(I265-I264)*H265*200-SUM(K265:L265),(I264-I265)*H265*200-SUM(K265:L265)))))</f>
        <v/>
      </c>
      <c r="N265" s="780">
        <f>IF(C265="TXO","",IF(C265="FITX",IF(E265="新倉","",IF(F265="賣",(I265-I264),(I264-I265)))))</f>
        <v/>
      </c>
      <c r="O265" s="334">
        <f>ABS(J265)</f>
        <v/>
      </c>
      <c r="P265" s="764" t="n"/>
      <c r="R265" s="61" t="n"/>
      <c r="S265" s="61" t="n"/>
      <c r="T265" s="61" t="n"/>
      <c r="U265" s="61" t="n"/>
      <c r="V265" s="61" t="n"/>
      <c r="W265" s="61" t="n"/>
      <c r="X265" s="61" t="n"/>
      <c r="Y265" s="61" t="n"/>
    </row>
    <row r="266" hidden="1" outlineLevel="2" ht="17.25" customHeight="1" thickBot="1">
      <c r="B266" s="369" t="n">
        <v>42573</v>
      </c>
      <c r="C266" s="370" t="inlineStr">
        <is>
          <t>FITX</t>
        </is>
      </c>
      <c r="D266" s="371" t="inlineStr">
        <is>
          <t>台指08</t>
        </is>
      </c>
      <c r="E266" s="371" t="inlineStr">
        <is>
          <t>平倉</t>
        </is>
      </c>
      <c r="F266" s="371" t="inlineStr">
        <is>
          <t>買</t>
        </is>
      </c>
      <c r="G266" s="371" t="inlineStr">
        <is>
          <t>-</t>
        </is>
      </c>
      <c r="H266" s="785" t="n">
        <v>1</v>
      </c>
      <c r="I266" s="785" t="n">
        <v>8966</v>
      </c>
      <c r="J266" s="785" t="n">
        <v>0</v>
      </c>
      <c r="K266" s="786" t="n">
        <v>100</v>
      </c>
      <c r="L266" s="786" t="n">
        <v>36</v>
      </c>
      <c r="M266" s="743">
        <f>IF(C266="TXO",J266-SUM(K266:L266),IF(C266="FITX",IF(E266="新倉",-SUM(K266:L266),IF(F266="賣",(I266-I265)*H266*200-SUM(K266:L266),(I265-I266)*H266*200-SUM(K266:L266)))))</f>
        <v/>
      </c>
      <c r="N266" s="780">
        <f>IF(C266="TXO","",IF(C266="FITX",IF(E266="新倉","",IF(F266="賣",(I266-I265),(I265-I266)))))</f>
        <v/>
      </c>
      <c r="O266" s="334">
        <f>ABS(J266)</f>
        <v/>
      </c>
      <c r="P266" s="764" t="n"/>
      <c r="R266" s="61" t="n"/>
      <c r="S266" s="61" t="n"/>
      <c r="T266" s="61" t="n"/>
      <c r="U266" s="61" t="n"/>
      <c r="V266" s="61" t="n"/>
      <c r="W266" s="61" t="n"/>
      <c r="X266" s="61" t="n"/>
      <c r="Y266" s="61" t="n"/>
    </row>
    <row r="267" hidden="1" outlineLevel="2" ht="17.25" customHeight="1" thickBot="1">
      <c r="B267" s="369" t="n">
        <v>42573</v>
      </c>
      <c r="C267" s="370" t="inlineStr">
        <is>
          <t>FITX</t>
        </is>
      </c>
      <c r="D267" s="371" t="inlineStr">
        <is>
          <t>台指08</t>
        </is>
      </c>
      <c r="E267" s="371" t="inlineStr">
        <is>
          <t>新倉</t>
        </is>
      </c>
      <c r="F267" s="371" t="inlineStr">
        <is>
          <t>賣</t>
        </is>
      </c>
      <c r="G267" s="371" t="inlineStr">
        <is>
          <t>-</t>
        </is>
      </c>
      <c r="H267" s="785" t="n">
        <v>1</v>
      </c>
      <c r="I267" s="785" t="n">
        <v>8966</v>
      </c>
      <c r="J267" s="785" t="n">
        <v>0</v>
      </c>
      <c r="K267" s="786" t="n">
        <v>100</v>
      </c>
      <c r="L267" s="786" t="n">
        <v>36</v>
      </c>
      <c r="M267" s="743">
        <f>IF(C267="TXO",J267-SUM(K267:L267),IF(C267="FITX",IF(E267="新倉",-SUM(K267:L267),IF(F267="賣",(I267-I266)*H267*200-SUM(K267:L267),(I266-I267)*H267*200-SUM(K267:L267)))))</f>
        <v/>
      </c>
      <c r="N267" s="780">
        <f>IF(C267="TXO","",IF(C267="FITX",IF(E267="新倉","",IF(F267="賣",(I267-I266),(I266-I267)))))</f>
        <v/>
      </c>
      <c r="O267" s="334">
        <f>ABS(J267)</f>
        <v/>
      </c>
      <c r="P267" s="764" t="n"/>
      <c r="R267" s="61" t="n"/>
      <c r="S267" s="61" t="n"/>
      <c r="T267" s="61" t="n"/>
      <c r="U267" s="61" t="n"/>
      <c r="V267" s="61" t="n"/>
      <c r="W267" s="61" t="n"/>
      <c r="X267" s="61" t="n"/>
      <c r="Y267" s="61" t="n"/>
    </row>
    <row r="268" hidden="1" outlineLevel="2" ht="17.25" customHeight="1" thickBot="1">
      <c r="B268" s="369" t="n">
        <v>42573</v>
      </c>
      <c r="C268" s="370" t="inlineStr">
        <is>
          <t>FITX</t>
        </is>
      </c>
      <c r="D268" s="371" t="inlineStr">
        <is>
          <t>台指08</t>
        </is>
      </c>
      <c r="E268" s="371" t="inlineStr">
        <is>
          <t>平倉</t>
        </is>
      </c>
      <c r="F268" s="371" t="inlineStr">
        <is>
          <t>買</t>
        </is>
      </c>
      <c r="G268" s="371" t="inlineStr">
        <is>
          <t>-</t>
        </is>
      </c>
      <c r="H268" s="785" t="n">
        <v>1</v>
      </c>
      <c r="I268" s="785" t="n">
        <v>8979</v>
      </c>
      <c r="J268" s="785" t="n">
        <v>0</v>
      </c>
      <c r="K268" s="786" t="n">
        <v>100</v>
      </c>
      <c r="L268" s="786" t="n">
        <v>36</v>
      </c>
      <c r="M268" s="743">
        <f>IF(C268="TXO",J268-SUM(K268:L268),IF(C268="FITX",IF(E268="新倉",-SUM(K268:L268),IF(F268="賣",(I268-I267)*H268*200-SUM(K268:L268),(I267-I268)*H268*200-SUM(K268:L268)))))</f>
        <v/>
      </c>
      <c r="N268" s="780">
        <f>IF(C268="TXO","",IF(C268="FITX",IF(E268="新倉","",IF(F268="賣",(I268-I267),(I267-I268)))))</f>
        <v/>
      </c>
      <c r="O268" s="334">
        <f>ABS(J268)</f>
        <v/>
      </c>
      <c r="P268" s="764" t="n"/>
      <c r="R268" s="61" t="n"/>
      <c r="S268" s="61" t="n"/>
      <c r="T268" s="61" t="n"/>
      <c r="U268" s="61" t="n"/>
      <c r="V268" s="61" t="n"/>
      <c r="W268" s="61" t="n"/>
      <c r="X268" s="61" t="n"/>
      <c r="Y268" s="61" t="n"/>
    </row>
    <row r="269" hidden="1" outlineLevel="2" ht="17.25" customHeight="1" thickBot="1">
      <c r="B269" s="369" t="n">
        <v>42573</v>
      </c>
      <c r="C269" s="370" t="inlineStr">
        <is>
          <t>FITX</t>
        </is>
      </c>
      <c r="D269" s="371" t="inlineStr">
        <is>
          <t>台指08</t>
        </is>
      </c>
      <c r="E269" s="371" t="inlineStr">
        <is>
          <t>新倉</t>
        </is>
      </c>
      <c r="F269" s="371" t="inlineStr">
        <is>
          <t>買</t>
        </is>
      </c>
      <c r="G269" s="371" t="inlineStr">
        <is>
          <t>-</t>
        </is>
      </c>
      <c r="H269" s="785" t="n">
        <v>1</v>
      </c>
      <c r="I269" s="785" t="n">
        <v>8974</v>
      </c>
      <c r="J269" s="785" t="n">
        <v>0</v>
      </c>
      <c r="K269" s="786" t="n">
        <v>100</v>
      </c>
      <c r="L269" s="786" t="n">
        <v>36</v>
      </c>
      <c r="M269" s="743">
        <f>IF(C269="TXO",J269-SUM(K269:L269),IF(C269="FITX",IF(E269="新倉",-SUM(K269:L269),IF(F269="賣",(I269-I268)*H269*200-SUM(K269:L269),(I268-I269)*H269*200-SUM(K269:L269)))))</f>
        <v/>
      </c>
      <c r="N269" s="780">
        <f>IF(C269="TXO","",IF(C269="FITX",IF(E269="新倉","",IF(F269="賣",(I269-I268),(I268-I269)))))</f>
        <v/>
      </c>
      <c r="O269" s="334">
        <f>ABS(J269)</f>
        <v/>
      </c>
      <c r="P269" s="764" t="n"/>
      <c r="R269" s="61" t="n"/>
      <c r="S269" s="61" t="n"/>
      <c r="T269" s="61" t="n"/>
      <c r="U269" s="61" t="n"/>
      <c r="V269" s="61" t="n"/>
      <c r="W269" s="61" t="n"/>
      <c r="X269" s="61" t="n"/>
      <c r="Y269" s="61" t="n"/>
    </row>
    <row r="270" hidden="1" outlineLevel="2" ht="17.25" customHeight="1" thickBot="1">
      <c r="B270" s="369" t="n">
        <v>42573</v>
      </c>
      <c r="C270" s="370" t="inlineStr">
        <is>
          <t>FITX</t>
        </is>
      </c>
      <c r="D270" s="371" t="inlineStr">
        <is>
          <t>台指08</t>
        </is>
      </c>
      <c r="E270" s="371" t="inlineStr">
        <is>
          <t>平倉</t>
        </is>
      </c>
      <c r="F270" s="371" t="inlineStr">
        <is>
          <t>賣</t>
        </is>
      </c>
      <c r="G270" s="371" t="inlineStr">
        <is>
          <t>-</t>
        </is>
      </c>
      <c r="H270" s="785" t="n">
        <v>1</v>
      </c>
      <c r="I270" s="785" t="n">
        <v>8942</v>
      </c>
      <c r="J270" s="785" t="n">
        <v>0</v>
      </c>
      <c r="K270" s="786" t="n">
        <v>100</v>
      </c>
      <c r="L270" s="786" t="n">
        <v>36</v>
      </c>
      <c r="M270" s="743">
        <f>IF(C270="TXO",J270-SUM(K270:L270),IF(C270="FITX",IF(E270="新倉",-SUM(K270:L270),IF(F270="賣",(I270-I269)*H270*200-SUM(K270:L270),(I269-I270)*H270*200-SUM(K270:L270)))))</f>
        <v/>
      </c>
      <c r="N270" s="780">
        <f>IF(C270="TXO","",IF(C270="FITX",IF(E270="新倉","",IF(F270="賣",(I270-I269),(I269-I270)))))</f>
        <v/>
      </c>
      <c r="O270" s="334">
        <f>ABS(J270)</f>
        <v/>
      </c>
      <c r="P270" s="764" t="n"/>
      <c r="R270" s="61" t="n"/>
      <c r="S270" s="61" t="n"/>
      <c r="T270" s="61" t="n"/>
      <c r="U270" s="61" t="n"/>
      <c r="V270" s="61" t="n"/>
      <c r="W270" s="61" t="n"/>
      <c r="X270" s="61" t="n"/>
      <c r="Y270" s="61" t="n"/>
    </row>
    <row r="271" hidden="1" outlineLevel="2" ht="17.25" customHeight="1" thickBot="1">
      <c r="B271" s="369" t="n">
        <v>42573</v>
      </c>
      <c r="C271" s="370" t="inlineStr">
        <is>
          <t>FITX</t>
        </is>
      </c>
      <c r="D271" s="371" t="inlineStr">
        <is>
          <t>台指08</t>
        </is>
      </c>
      <c r="E271" s="371" t="inlineStr">
        <is>
          <t>新倉</t>
        </is>
      </c>
      <c r="F271" s="371" t="inlineStr">
        <is>
          <t>賣</t>
        </is>
      </c>
      <c r="G271" s="371" t="inlineStr">
        <is>
          <t>-</t>
        </is>
      </c>
      <c r="H271" s="785" t="n">
        <v>1</v>
      </c>
      <c r="I271" s="785" t="n">
        <v>8954</v>
      </c>
      <c r="J271" s="785" t="n">
        <v>0</v>
      </c>
      <c r="K271" s="786" t="n">
        <v>100</v>
      </c>
      <c r="L271" s="786" t="n">
        <v>36</v>
      </c>
      <c r="M271" s="743">
        <f>IF(C271="TXO",J271-SUM(K271:L271),IF(C271="FITX",IF(E271="新倉",-SUM(K271:L271),IF(F271="賣",(I271-I270)*H271*200-SUM(K271:L271),(I270-I271)*H271*200-SUM(K271:L271)))))</f>
        <v/>
      </c>
      <c r="N271" s="780">
        <f>IF(C271="TXO","",IF(C271="FITX",IF(E271="新倉","",IF(F271="賣",(I271-I270),(I270-I271)))))</f>
        <v/>
      </c>
      <c r="O271" s="334">
        <f>ABS(J271)</f>
        <v/>
      </c>
      <c r="P271" s="764" t="n"/>
      <c r="R271" s="61" t="n"/>
      <c r="S271" s="61" t="n"/>
      <c r="T271" s="61" t="n"/>
      <c r="U271" s="61" t="n"/>
      <c r="V271" s="61" t="n"/>
      <c r="W271" s="61" t="n"/>
      <c r="X271" s="61" t="n"/>
      <c r="Y271" s="61" t="n"/>
    </row>
    <row r="272" hidden="1" outlineLevel="2" ht="17.25" customHeight="1" thickBot="1">
      <c r="B272" s="369" t="n">
        <v>42573</v>
      </c>
      <c r="C272" s="370" t="inlineStr">
        <is>
          <t>FITX</t>
        </is>
      </c>
      <c r="D272" s="371" t="inlineStr">
        <is>
          <t>台指08</t>
        </is>
      </c>
      <c r="E272" s="371" t="inlineStr">
        <is>
          <t>平倉</t>
        </is>
      </c>
      <c r="F272" s="371" t="inlineStr">
        <is>
          <t>買</t>
        </is>
      </c>
      <c r="G272" s="371" t="inlineStr">
        <is>
          <t>-</t>
        </is>
      </c>
      <c r="H272" s="785" t="n">
        <v>1</v>
      </c>
      <c r="I272" s="785" t="n">
        <v>8966</v>
      </c>
      <c r="J272" s="785" t="n">
        <v>0</v>
      </c>
      <c r="K272" s="786" t="n">
        <v>100</v>
      </c>
      <c r="L272" s="786" t="n">
        <v>36</v>
      </c>
      <c r="M272" s="743">
        <f>IF(C272="TXO",J272-SUM(K272:L272),IF(C272="FITX",IF(E272="新倉",-SUM(K272:L272),IF(F272="賣",(I272-I271)*H272*200-SUM(K272:L272),(I271-I272)*H272*200-SUM(K272:L272)))))</f>
        <v/>
      </c>
      <c r="N272" s="780">
        <f>IF(C272="TXO","",IF(C272="FITX",IF(E272="新倉","",IF(F272="賣",(I272-I271),(I271-I272)))))</f>
        <v/>
      </c>
      <c r="O272" s="334">
        <f>ABS(J272)</f>
        <v/>
      </c>
      <c r="P272" s="764" t="n"/>
      <c r="R272" s="61" t="n"/>
      <c r="S272" s="61" t="n"/>
      <c r="T272" s="61" t="n"/>
      <c r="U272" s="61" t="n"/>
      <c r="V272" s="61" t="n"/>
      <c r="W272" s="61" t="n"/>
      <c r="X272" s="61" t="n"/>
      <c r="Y272" s="61" t="n"/>
    </row>
    <row r="273" hidden="1" outlineLevel="2" ht="17.25" customHeight="1" thickBot="1">
      <c r="B273" s="369" t="n">
        <v>42573</v>
      </c>
      <c r="C273" s="370" t="inlineStr">
        <is>
          <t>FITX</t>
        </is>
      </c>
      <c r="D273" s="371" t="inlineStr">
        <is>
          <t>台指08</t>
        </is>
      </c>
      <c r="E273" s="371" t="inlineStr">
        <is>
          <t>新倉</t>
        </is>
      </c>
      <c r="F273" s="371" t="inlineStr">
        <is>
          <t>賣</t>
        </is>
      </c>
      <c r="G273" s="371" t="inlineStr">
        <is>
          <t>-</t>
        </is>
      </c>
      <c r="H273" s="785" t="n">
        <v>1</v>
      </c>
      <c r="I273" s="785" t="n">
        <v>8961</v>
      </c>
      <c r="J273" s="785" t="n">
        <v>0</v>
      </c>
      <c r="K273" s="786" t="n">
        <v>100</v>
      </c>
      <c r="L273" s="786" t="n">
        <v>36</v>
      </c>
      <c r="M273" s="743">
        <f>IF(C273="TXO",J273-SUM(K273:L273),IF(C273="FITX",IF(E273="新倉",-SUM(K273:L273),IF(F273="賣",(I273-I272)*H273*200-SUM(K273:L273),(I272-I273)*H273*200-SUM(K273:L273)))))</f>
        <v/>
      </c>
      <c r="N273" s="780">
        <f>IF(C273="TXO","",IF(C273="FITX",IF(E273="新倉","",IF(F273="賣",(I273-I272),(I272-I273)))))</f>
        <v/>
      </c>
      <c r="O273" s="334">
        <f>ABS(J273)</f>
        <v/>
      </c>
      <c r="P273" s="764" t="n"/>
      <c r="R273" s="61" t="n"/>
      <c r="S273" s="61" t="n"/>
      <c r="T273" s="61" t="n"/>
      <c r="U273" s="61" t="n"/>
      <c r="V273" s="61" t="n"/>
      <c r="W273" s="61" t="n"/>
      <c r="X273" s="61" t="n"/>
      <c r="Y273" s="61" t="n"/>
    </row>
    <row r="274" hidden="1" outlineLevel="2" ht="17.25" customHeight="1" thickBot="1">
      <c r="B274" s="369" t="n">
        <v>42573</v>
      </c>
      <c r="C274" s="370" t="inlineStr">
        <is>
          <t>FITX</t>
        </is>
      </c>
      <c r="D274" s="371" t="inlineStr">
        <is>
          <t>台指08</t>
        </is>
      </c>
      <c r="E274" s="371" t="inlineStr">
        <is>
          <t>平倉</t>
        </is>
      </c>
      <c r="F274" s="371" t="inlineStr">
        <is>
          <t>買</t>
        </is>
      </c>
      <c r="G274" s="371" t="inlineStr">
        <is>
          <t>-</t>
        </is>
      </c>
      <c r="H274" s="785" t="n">
        <v>1</v>
      </c>
      <c r="I274" s="785" t="n">
        <v>8964</v>
      </c>
      <c r="J274" s="785" t="n">
        <v>0</v>
      </c>
      <c r="K274" s="786" t="n">
        <v>100</v>
      </c>
      <c r="L274" s="786" t="n">
        <v>36</v>
      </c>
      <c r="M274" s="743">
        <f>IF(C274="TXO",J274-SUM(K274:L274),IF(C274="FITX",IF(E274="新倉",-SUM(K274:L274),IF(F274="賣",(I274-I273)*H274*200-SUM(K274:L274),(I273-I274)*H274*200-SUM(K274:L274)))))</f>
        <v/>
      </c>
      <c r="N274" s="780">
        <f>IF(C274="TXO","",IF(C274="FITX",IF(E274="新倉","",IF(F274="賣",(I274-I273),(I273-I274)))))</f>
        <v/>
      </c>
      <c r="O274" s="334">
        <f>ABS(J274)</f>
        <v/>
      </c>
      <c r="P274" s="764" t="n"/>
      <c r="R274" s="61" t="n"/>
      <c r="S274" s="61" t="n"/>
      <c r="T274" s="61" t="n"/>
      <c r="U274" s="61" t="n"/>
      <c r="V274" s="61" t="n"/>
      <c r="W274" s="61" t="n"/>
      <c r="X274" s="61" t="n"/>
      <c r="Y274" s="61" t="n"/>
    </row>
    <row r="275" hidden="1" outlineLevel="2" ht="17.25" customHeight="1" thickBot="1">
      <c r="B275" s="369" t="n">
        <v>42573</v>
      </c>
      <c r="C275" s="370" t="inlineStr">
        <is>
          <t>FITX</t>
        </is>
      </c>
      <c r="D275" s="371" t="inlineStr">
        <is>
          <t>台指08</t>
        </is>
      </c>
      <c r="E275" s="371" t="inlineStr">
        <is>
          <t>新倉</t>
        </is>
      </c>
      <c r="F275" s="371" t="inlineStr">
        <is>
          <t>賣</t>
        </is>
      </c>
      <c r="G275" s="371" t="inlineStr">
        <is>
          <t>-</t>
        </is>
      </c>
      <c r="H275" s="785" t="n">
        <v>1</v>
      </c>
      <c r="I275" s="785" t="n">
        <v>8953</v>
      </c>
      <c r="J275" s="785" t="n">
        <v>0</v>
      </c>
      <c r="K275" s="786" t="n">
        <v>100</v>
      </c>
      <c r="L275" s="786" t="n">
        <v>36</v>
      </c>
      <c r="M275" s="743">
        <f>IF(C275="TXO",J275-SUM(K275:L275),IF(C275="FITX",IF(E275="新倉",-SUM(K275:L275),IF(F275="賣",(I275-I274)*H275*200-SUM(K275:L275),(I274-I275)*H275*200-SUM(K275:L275)))))</f>
        <v/>
      </c>
      <c r="N275" s="780">
        <f>IF(C275="TXO","",IF(C275="FITX",IF(E275="新倉","",IF(F275="賣",(I275-I274),(I274-I275)))))</f>
        <v/>
      </c>
      <c r="O275" s="334">
        <f>ABS(J275)</f>
        <v/>
      </c>
      <c r="P275" s="764" t="n"/>
      <c r="R275" s="61" t="n"/>
      <c r="S275" s="61" t="n"/>
      <c r="T275" s="61" t="n"/>
      <c r="U275" s="61" t="n"/>
      <c r="V275" s="61" t="n"/>
      <c r="W275" s="61" t="n"/>
      <c r="X275" s="61" t="n"/>
      <c r="Y275" s="61" t="n"/>
    </row>
    <row r="276" hidden="1" outlineLevel="2" ht="17.25" customHeight="1" thickBot="1">
      <c r="B276" s="369" t="n">
        <v>42573</v>
      </c>
      <c r="C276" s="370" t="inlineStr">
        <is>
          <t>FITX</t>
        </is>
      </c>
      <c r="D276" s="371" t="inlineStr">
        <is>
          <t>台指08</t>
        </is>
      </c>
      <c r="E276" s="371" t="inlineStr">
        <is>
          <t>平倉</t>
        </is>
      </c>
      <c r="F276" s="371" t="inlineStr">
        <is>
          <t>買</t>
        </is>
      </c>
      <c r="G276" s="371" t="inlineStr">
        <is>
          <t>-</t>
        </is>
      </c>
      <c r="H276" s="785" t="n">
        <v>1</v>
      </c>
      <c r="I276" s="785" t="n">
        <v>8963</v>
      </c>
      <c r="J276" s="785" t="n">
        <v>0</v>
      </c>
      <c r="K276" s="786" t="n">
        <v>100</v>
      </c>
      <c r="L276" s="786" t="n">
        <v>36</v>
      </c>
      <c r="M276" s="743">
        <f>IF(C276="TXO",J276-SUM(K276:L276),IF(C276="FITX",IF(E276="新倉",-SUM(K276:L276),IF(F276="賣",(I276-I275)*H276*200-SUM(K276:L276),(I275-I276)*H276*200-SUM(K276:L276)))))</f>
        <v/>
      </c>
      <c r="N276" s="780">
        <f>IF(C276="TXO","",IF(C276="FITX",IF(E276="新倉","",IF(F276="賣",(I276-I275),(I275-I276)))))</f>
        <v/>
      </c>
      <c r="O276" s="334">
        <f>ABS(J276)</f>
        <v/>
      </c>
      <c r="P276" s="764" t="n"/>
      <c r="R276" s="61" t="n"/>
      <c r="S276" s="61" t="n"/>
      <c r="T276" s="61" t="n"/>
      <c r="U276" s="61" t="n"/>
      <c r="V276" s="61" t="n"/>
      <c r="W276" s="61" t="n"/>
      <c r="X276" s="61" t="n"/>
      <c r="Y276" s="61" t="n"/>
    </row>
    <row r="277" hidden="1" outlineLevel="1" collapsed="1" ht="17.25" customHeight="1" thickBot="1">
      <c r="B277" s="368" t="n">
        <v>42576</v>
      </c>
      <c r="C277" s="337" t="inlineStr">
        <is>
          <t>FITX</t>
        </is>
      </c>
      <c r="D277" s="338" t="inlineStr">
        <is>
          <t>台指08</t>
        </is>
      </c>
      <c r="E277" s="338" t="inlineStr">
        <is>
          <t>新倉</t>
        </is>
      </c>
      <c r="F277" s="338" t="inlineStr">
        <is>
          <t>買</t>
        </is>
      </c>
      <c r="G277" s="338" t="inlineStr">
        <is>
          <t>-</t>
        </is>
      </c>
      <c r="H277" s="767" t="n">
        <v>1</v>
      </c>
      <c r="I277" s="767" t="n">
        <v>8990</v>
      </c>
      <c r="J277" s="767" t="n">
        <v>0</v>
      </c>
      <c r="K277" s="769" t="n">
        <v>100</v>
      </c>
      <c r="L277" s="769" t="n">
        <v>36</v>
      </c>
      <c r="M277" s="699">
        <f>IF(C277="TXO",J277-SUM(K277:L277),IF(C277="FITX",IF(E277="新倉",-SUM(K277:L277),IF(F277="賣",(I277-I276)*H277*200-SUM(K277:L277),(I276-I277)*H277*200-SUM(K277:L277)))))</f>
        <v/>
      </c>
      <c r="N277" s="686">
        <f>IF(C277="TXO","",IF(C277="FITX",IF(E277="新倉","",IF(F277="賣",(I277-I276),(I276-I277)))))</f>
        <v/>
      </c>
      <c r="O277" s="334">
        <f>ABS(J277)</f>
        <v/>
      </c>
      <c r="P277" s="667">
        <f>SUM(M277:M300)</f>
        <v/>
      </c>
      <c r="R277" s="61" t="n"/>
      <c r="S277" s="61" t="n"/>
      <c r="T277" s="61" t="n"/>
      <c r="U277" s="61" t="n"/>
      <c r="V277" s="61" t="n"/>
      <c r="W277" s="61" t="n"/>
      <c r="X277" s="61" t="n"/>
      <c r="Y277" s="61" t="n"/>
    </row>
    <row r="278" hidden="1" outlineLevel="2" collapsed="1" ht="17.25" customHeight="1" thickBot="1">
      <c r="B278" s="368" t="n">
        <v>42576</v>
      </c>
      <c r="C278" s="337" t="inlineStr">
        <is>
          <t>FITX</t>
        </is>
      </c>
      <c r="D278" s="338" t="inlineStr">
        <is>
          <t>台指08</t>
        </is>
      </c>
      <c r="E278" s="338" t="inlineStr">
        <is>
          <t>平倉</t>
        </is>
      </c>
      <c r="F278" s="338" t="inlineStr">
        <is>
          <t>賣</t>
        </is>
      </c>
      <c r="G278" s="338" t="inlineStr">
        <is>
          <t>-</t>
        </is>
      </c>
      <c r="H278" s="767" t="n">
        <v>1</v>
      </c>
      <c r="I278" s="767" t="n">
        <v>9017</v>
      </c>
      <c r="J278" s="767" t="n">
        <v>0</v>
      </c>
      <c r="K278" s="769" t="n">
        <v>100</v>
      </c>
      <c r="L278" s="769" t="n">
        <v>36</v>
      </c>
      <c r="M278" s="699">
        <f>IF(C278="TXO",J278-SUM(K278:L278),IF(C278="FITX",IF(E278="新倉",-SUM(K278:L278),IF(F278="賣",(I278-I277)*H278*200-SUM(K278:L278),(I277-I278)*H278*200-SUM(K278:L278)))))</f>
        <v/>
      </c>
      <c r="N278" s="686">
        <f>IF(C278="TXO","",IF(C278="FITX",IF(E278="新倉","",IF(F278="賣",(I278-I277),(I277-I278)))))</f>
        <v/>
      </c>
      <c r="O278" s="334">
        <f>ABS(J278)</f>
        <v/>
      </c>
      <c r="P278" s="667" t="n"/>
      <c r="R278" s="61" t="n"/>
      <c r="S278" s="61" t="n"/>
      <c r="T278" s="61" t="n"/>
      <c r="U278" s="61" t="n"/>
      <c r="V278" s="61" t="n"/>
      <c r="W278" s="61" t="n"/>
      <c r="X278" s="61" t="n"/>
      <c r="Y278" s="61" t="n"/>
    </row>
    <row r="279" hidden="1" outlineLevel="2" collapsed="1" ht="17.25" customHeight="1" thickBot="1">
      <c r="B279" s="368" t="n">
        <v>42576</v>
      </c>
      <c r="C279" s="337" t="inlineStr">
        <is>
          <t>FITX</t>
        </is>
      </c>
      <c r="D279" s="338" t="inlineStr">
        <is>
          <t>台指08</t>
        </is>
      </c>
      <c r="E279" s="338" t="inlineStr">
        <is>
          <t>新倉</t>
        </is>
      </c>
      <c r="F279" s="338" t="inlineStr">
        <is>
          <t>買</t>
        </is>
      </c>
      <c r="G279" s="338" t="inlineStr">
        <is>
          <t>-</t>
        </is>
      </c>
      <c r="H279" s="767" t="n">
        <v>1</v>
      </c>
      <c r="I279" s="767" t="n">
        <v>9017</v>
      </c>
      <c r="J279" s="767" t="n">
        <v>0</v>
      </c>
      <c r="K279" s="769" t="n">
        <v>100</v>
      </c>
      <c r="L279" s="769" t="n">
        <v>36</v>
      </c>
      <c r="M279" s="699">
        <f>IF(C279="TXO",J279-SUM(K279:L279),IF(C279="FITX",IF(E279="新倉",-SUM(K279:L279),IF(F279="賣",(I279-I278)*H279*200-SUM(K279:L279),(I278-I279)*H279*200-SUM(K279:L279)))))</f>
        <v/>
      </c>
      <c r="N279" s="686">
        <f>IF(C279="TXO","",IF(C279="FITX",IF(E279="新倉","",IF(F279="賣",(I279-I278),(I278-I279)))))</f>
        <v/>
      </c>
      <c r="O279" s="334">
        <f>ABS(J279)</f>
        <v/>
      </c>
      <c r="P279" s="667" t="n"/>
      <c r="R279" s="61" t="n"/>
      <c r="S279" s="61" t="n"/>
      <c r="T279" s="61" t="n"/>
      <c r="U279" s="61" t="n"/>
      <c r="V279" s="61" t="n"/>
      <c r="W279" s="61" t="n"/>
      <c r="X279" s="61" t="n"/>
      <c r="Y279" s="61" t="n"/>
    </row>
    <row r="280" hidden="1" outlineLevel="2" collapsed="1" ht="17.25" customHeight="1" thickBot="1">
      <c r="B280" s="368" t="n">
        <v>42576</v>
      </c>
      <c r="C280" s="337" t="inlineStr">
        <is>
          <t>FITX</t>
        </is>
      </c>
      <c r="D280" s="338" t="inlineStr">
        <is>
          <t>台指08</t>
        </is>
      </c>
      <c r="E280" s="338" t="inlineStr">
        <is>
          <t>平倉</t>
        </is>
      </c>
      <c r="F280" s="338" t="inlineStr">
        <is>
          <t>賣</t>
        </is>
      </c>
      <c r="G280" s="338" t="inlineStr">
        <is>
          <t>-</t>
        </is>
      </c>
      <c r="H280" s="767" t="n">
        <v>1</v>
      </c>
      <c r="I280" s="767" t="n">
        <v>9016</v>
      </c>
      <c r="J280" s="767" t="n">
        <v>0</v>
      </c>
      <c r="K280" s="769" t="n">
        <v>100</v>
      </c>
      <c r="L280" s="769" t="n">
        <v>36</v>
      </c>
      <c r="M280" s="699">
        <f>IF(C280="TXO",J280-SUM(K280:L280),IF(C280="FITX",IF(E280="新倉",-SUM(K280:L280),IF(F280="賣",(I280-I279)*H280*200-SUM(K280:L280),(I279-I280)*H280*200-SUM(K280:L280)))))</f>
        <v/>
      </c>
      <c r="N280" s="686">
        <f>IF(C280="TXO","",IF(C280="FITX",IF(E280="新倉","",IF(F280="賣",(I280-I279),(I279-I280)))))</f>
        <v/>
      </c>
      <c r="O280" s="334">
        <f>ABS(J280)</f>
        <v/>
      </c>
      <c r="P280" s="667" t="n"/>
      <c r="R280" s="61" t="n"/>
      <c r="S280" s="61" t="n"/>
      <c r="T280" s="61" t="n"/>
      <c r="U280" s="61" t="n"/>
      <c r="V280" s="61" t="n"/>
      <c r="W280" s="61" t="n"/>
      <c r="X280" s="61" t="n"/>
      <c r="Y280" s="61" t="n"/>
    </row>
    <row r="281" hidden="1" outlineLevel="2" collapsed="1" ht="17.25" customHeight="1" thickBot="1">
      <c r="B281" s="368" t="n">
        <v>42576</v>
      </c>
      <c r="C281" s="337" t="inlineStr">
        <is>
          <t>FITX</t>
        </is>
      </c>
      <c r="D281" s="338" t="inlineStr">
        <is>
          <t>台指08</t>
        </is>
      </c>
      <c r="E281" s="338" t="inlineStr">
        <is>
          <t>新倉</t>
        </is>
      </c>
      <c r="F281" s="338" t="inlineStr">
        <is>
          <t>賣</t>
        </is>
      </c>
      <c r="G281" s="338" t="inlineStr">
        <is>
          <t>-</t>
        </is>
      </c>
      <c r="H281" s="767" t="n">
        <v>1</v>
      </c>
      <c r="I281" s="767" t="n">
        <v>8951</v>
      </c>
      <c r="J281" s="767" t="n">
        <v>0</v>
      </c>
      <c r="K281" s="769" t="n">
        <v>100</v>
      </c>
      <c r="L281" s="769" t="n">
        <v>36</v>
      </c>
      <c r="M281" s="699">
        <f>IF(C281="TXO",J281-SUM(K281:L281),IF(C281="FITX",IF(E281="新倉",-SUM(K281:L281),IF(F281="賣",(I281-I280)*H281*200-SUM(K281:L281),(I280-I281)*H281*200-SUM(K281:L281)))))</f>
        <v/>
      </c>
      <c r="N281" s="686">
        <f>IF(C281="TXO","",IF(C281="FITX",IF(E281="新倉","",IF(F281="賣",(I281-I280),(I280-I281)))))</f>
        <v/>
      </c>
      <c r="O281" s="334">
        <f>ABS(J281)</f>
        <v/>
      </c>
      <c r="P281" s="667" t="n"/>
      <c r="R281" s="61" t="n"/>
      <c r="S281" s="61" t="n"/>
      <c r="T281" s="61" t="n"/>
      <c r="U281" s="61" t="n"/>
      <c r="V281" s="61" t="n"/>
      <c r="W281" s="61" t="n"/>
      <c r="X281" s="61" t="n"/>
      <c r="Y281" s="61" t="n"/>
    </row>
    <row r="282" hidden="1" outlineLevel="2" collapsed="1" ht="17.25" customHeight="1" thickBot="1">
      <c r="B282" s="368" t="n">
        <v>42576</v>
      </c>
      <c r="C282" s="337" t="inlineStr">
        <is>
          <t>FITX</t>
        </is>
      </c>
      <c r="D282" s="338" t="inlineStr">
        <is>
          <t>台指08</t>
        </is>
      </c>
      <c r="E282" s="338" t="inlineStr">
        <is>
          <t>平倉</t>
        </is>
      </c>
      <c r="F282" s="338" t="inlineStr">
        <is>
          <t>買</t>
        </is>
      </c>
      <c r="G282" s="338" t="inlineStr">
        <is>
          <t>-</t>
        </is>
      </c>
      <c r="H282" s="767" t="n">
        <v>1</v>
      </c>
      <c r="I282" s="767" t="n">
        <v>8957</v>
      </c>
      <c r="J282" s="767" t="n">
        <v>0</v>
      </c>
      <c r="K282" s="769" t="n">
        <v>100</v>
      </c>
      <c r="L282" s="769" t="n">
        <v>36</v>
      </c>
      <c r="M282" s="699">
        <f>IF(C282="TXO",J282-SUM(K282:L282),IF(C282="FITX",IF(E282="新倉",-SUM(K282:L282),IF(F282="賣",(I282-I281)*H282*200-SUM(K282:L282),(I281-I282)*H282*200-SUM(K282:L282)))))</f>
        <v/>
      </c>
      <c r="N282" s="686">
        <f>IF(C282="TXO","",IF(C282="FITX",IF(E282="新倉","",IF(F282="賣",(I282-I281),(I281-I282)))))</f>
        <v/>
      </c>
      <c r="O282" s="334">
        <f>ABS(J282)</f>
        <v/>
      </c>
      <c r="P282" s="667" t="n"/>
      <c r="R282" s="61" t="n"/>
      <c r="S282" s="61" t="n"/>
      <c r="T282" s="61" t="n"/>
      <c r="U282" s="61" t="n"/>
      <c r="V282" s="61" t="n"/>
      <c r="W282" s="61" t="n"/>
      <c r="X282" s="61" t="n"/>
      <c r="Y282" s="61" t="n"/>
    </row>
    <row r="283" hidden="1" outlineLevel="2" collapsed="1" ht="17.25" customHeight="1" thickBot="1">
      <c r="B283" s="368" t="n">
        <v>42576</v>
      </c>
      <c r="C283" s="337" t="inlineStr">
        <is>
          <t>FITX</t>
        </is>
      </c>
      <c r="D283" s="338" t="inlineStr">
        <is>
          <t>台指08</t>
        </is>
      </c>
      <c r="E283" s="338" t="inlineStr">
        <is>
          <t>新倉</t>
        </is>
      </c>
      <c r="F283" s="338" t="inlineStr">
        <is>
          <t>賣</t>
        </is>
      </c>
      <c r="G283" s="338" t="inlineStr">
        <is>
          <t>-</t>
        </is>
      </c>
      <c r="H283" s="767" t="n">
        <v>1</v>
      </c>
      <c r="I283" s="767" t="n">
        <v>8951</v>
      </c>
      <c r="J283" s="767" t="n">
        <v>0</v>
      </c>
      <c r="K283" s="769" t="n">
        <v>100</v>
      </c>
      <c r="L283" s="769" t="n">
        <v>36</v>
      </c>
      <c r="M283" s="699">
        <f>IF(C283="TXO",J283-SUM(K283:L283),IF(C283="FITX",IF(E283="新倉",-SUM(K283:L283),IF(F283="賣",(I283-I282)*H283*200-SUM(K283:L283),(I282-I283)*H283*200-SUM(K283:L283)))))</f>
        <v/>
      </c>
      <c r="N283" s="686">
        <f>IF(C283="TXO","",IF(C283="FITX",IF(E283="新倉","",IF(F283="賣",(I283-I282),(I282-I283)))))</f>
        <v/>
      </c>
      <c r="O283" s="334">
        <f>ABS(J283)</f>
        <v/>
      </c>
      <c r="P283" s="667" t="n"/>
      <c r="R283" s="61" t="n"/>
      <c r="S283" s="61" t="n"/>
      <c r="T283" s="61" t="n"/>
      <c r="U283" s="61" t="n"/>
      <c r="V283" s="61" t="n"/>
      <c r="W283" s="61" t="n"/>
      <c r="X283" s="61" t="n"/>
      <c r="Y283" s="61" t="n"/>
    </row>
    <row r="284" hidden="1" outlineLevel="2" collapsed="1" ht="17.25" customHeight="1" thickBot="1">
      <c r="B284" s="368" t="n">
        <v>42576</v>
      </c>
      <c r="C284" s="337" t="inlineStr">
        <is>
          <t>FITX</t>
        </is>
      </c>
      <c r="D284" s="338" t="inlineStr">
        <is>
          <t>台指08</t>
        </is>
      </c>
      <c r="E284" s="338" t="inlineStr">
        <is>
          <t>平倉</t>
        </is>
      </c>
      <c r="F284" s="338" t="inlineStr">
        <is>
          <t>買</t>
        </is>
      </c>
      <c r="G284" s="338" t="inlineStr">
        <is>
          <t>-</t>
        </is>
      </c>
      <c r="H284" s="767" t="n">
        <v>1</v>
      </c>
      <c r="I284" s="767" t="n">
        <v>8917</v>
      </c>
      <c r="J284" s="767" t="n">
        <v>0</v>
      </c>
      <c r="K284" s="769" t="n">
        <v>100</v>
      </c>
      <c r="L284" s="769" t="n">
        <v>36</v>
      </c>
      <c r="M284" s="699">
        <f>IF(C284="TXO",J284-SUM(K284:L284),IF(C284="FITX",IF(E284="新倉",-SUM(K284:L284),IF(F284="賣",(I284-I283)*H284*200-SUM(K284:L284),(I283-I284)*H284*200-SUM(K284:L284)))))</f>
        <v/>
      </c>
      <c r="N284" s="686">
        <f>IF(C284="TXO","",IF(C284="FITX",IF(E284="新倉","",IF(F284="賣",(I284-I283),(I283-I284)))))</f>
        <v/>
      </c>
      <c r="O284" s="334">
        <f>ABS(J284)</f>
        <v/>
      </c>
      <c r="P284" s="667" t="n"/>
      <c r="R284" s="61" t="n"/>
      <c r="S284" s="61" t="n"/>
      <c r="T284" s="61" t="n"/>
      <c r="U284" s="61" t="n"/>
      <c r="V284" s="61" t="n"/>
      <c r="W284" s="61" t="n"/>
      <c r="X284" s="61" t="n"/>
      <c r="Y284" s="61" t="n"/>
    </row>
    <row r="285" hidden="1" outlineLevel="2" collapsed="1" ht="17.25" customHeight="1" thickBot="1">
      <c r="B285" s="368" t="n">
        <v>42576</v>
      </c>
      <c r="C285" s="337" t="inlineStr">
        <is>
          <t>FITX</t>
        </is>
      </c>
      <c r="D285" s="338" t="inlineStr">
        <is>
          <t>台指08</t>
        </is>
      </c>
      <c r="E285" s="338" t="inlineStr">
        <is>
          <t>新倉</t>
        </is>
      </c>
      <c r="F285" s="338" t="inlineStr">
        <is>
          <t>賣</t>
        </is>
      </c>
      <c r="G285" s="338" t="inlineStr">
        <is>
          <t>-</t>
        </is>
      </c>
      <c r="H285" s="767" t="n">
        <v>1</v>
      </c>
      <c r="I285" s="767" t="n">
        <v>8872</v>
      </c>
      <c r="J285" s="767" t="n">
        <v>0</v>
      </c>
      <c r="K285" s="769" t="n">
        <v>100</v>
      </c>
      <c r="L285" s="769" t="n">
        <v>35</v>
      </c>
      <c r="M285" s="699">
        <f>IF(C285="TXO",J285-SUM(K285:L285),IF(C285="FITX",IF(E285="新倉",-SUM(K285:L285),IF(F285="賣",(I285-I284)*H285*200-SUM(K285:L285),(I284-I285)*H285*200-SUM(K285:L285)))))</f>
        <v/>
      </c>
      <c r="N285" s="686">
        <f>IF(C285="TXO","",IF(C285="FITX",IF(E285="新倉","",IF(F285="賣",(I285-I284),(I284-I285)))))</f>
        <v/>
      </c>
      <c r="O285" s="334">
        <f>ABS(J285)</f>
        <v/>
      </c>
      <c r="P285" s="667" t="n"/>
      <c r="R285" s="61" t="n"/>
      <c r="S285" s="61" t="n"/>
      <c r="T285" s="61" t="n"/>
      <c r="U285" s="61" t="n"/>
      <c r="V285" s="61" t="n"/>
      <c r="W285" s="61" t="n"/>
      <c r="X285" s="61" t="n"/>
      <c r="Y285" s="61" t="n"/>
    </row>
    <row r="286" hidden="1" outlineLevel="2" collapsed="1" ht="17.25" customHeight="1" thickBot="1">
      <c r="B286" s="368" t="n">
        <v>42576</v>
      </c>
      <c r="C286" s="337" t="inlineStr">
        <is>
          <t>FITX</t>
        </is>
      </c>
      <c r="D286" s="338" t="inlineStr">
        <is>
          <t>台指08</t>
        </is>
      </c>
      <c r="E286" s="338" t="inlineStr">
        <is>
          <t>平倉</t>
        </is>
      </c>
      <c r="F286" s="338" t="inlineStr">
        <is>
          <t>買</t>
        </is>
      </c>
      <c r="G286" s="338" t="inlineStr">
        <is>
          <t>-</t>
        </is>
      </c>
      <c r="H286" s="767" t="n">
        <v>1</v>
      </c>
      <c r="I286" s="767" t="n">
        <v>8850</v>
      </c>
      <c r="J286" s="767" t="n">
        <v>0</v>
      </c>
      <c r="K286" s="769" t="n">
        <v>100</v>
      </c>
      <c r="L286" s="769" t="n">
        <v>35</v>
      </c>
      <c r="M286" s="699">
        <f>IF(C286="TXO",J286-SUM(K286:L286),IF(C286="FITX",IF(E286="新倉",-SUM(K286:L286),IF(F286="賣",(I286-I285)*H286*200-SUM(K286:L286),(I285-I286)*H286*200-SUM(K286:L286)))))</f>
        <v/>
      </c>
      <c r="N286" s="686">
        <f>IF(C286="TXO","",IF(C286="FITX",IF(E286="新倉","",IF(F286="賣",(I286-I285),(I285-I286)))))</f>
        <v/>
      </c>
      <c r="O286" s="334">
        <f>ABS(J286)</f>
        <v/>
      </c>
      <c r="P286" s="667" t="n"/>
      <c r="R286" s="61" t="n"/>
      <c r="S286" s="61" t="n"/>
      <c r="T286" s="61" t="n"/>
      <c r="U286" s="61" t="n"/>
      <c r="V286" s="61" t="n"/>
      <c r="W286" s="61" t="n"/>
      <c r="X286" s="61" t="n"/>
      <c r="Y286" s="61" t="n"/>
    </row>
    <row r="287" hidden="1" outlineLevel="2" collapsed="1" ht="17.25" customHeight="1" thickBot="1">
      <c r="B287" s="368" t="n">
        <v>42576</v>
      </c>
      <c r="C287" s="337" t="inlineStr">
        <is>
          <t>FITX</t>
        </is>
      </c>
      <c r="D287" s="338" t="inlineStr">
        <is>
          <t>台指08</t>
        </is>
      </c>
      <c r="E287" s="338" t="inlineStr">
        <is>
          <t>新倉</t>
        </is>
      </c>
      <c r="F287" s="338" t="inlineStr">
        <is>
          <t>賣</t>
        </is>
      </c>
      <c r="G287" s="338" t="inlineStr">
        <is>
          <t>-</t>
        </is>
      </c>
      <c r="H287" s="767" t="n">
        <v>1</v>
      </c>
      <c r="I287" s="767" t="n">
        <v>8870</v>
      </c>
      <c r="J287" s="767" t="n">
        <v>0</v>
      </c>
      <c r="K287" s="769" t="n">
        <v>100</v>
      </c>
      <c r="L287" s="769" t="n">
        <v>35</v>
      </c>
      <c r="M287" s="699">
        <f>IF(C287="TXO",J287-SUM(K287:L287),IF(C287="FITX",IF(E287="新倉",-SUM(K287:L287),IF(F287="賣",(I287-I286)*H287*200-SUM(K287:L287),(I286-I287)*H287*200-SUM(K287:L287)))))</f>
        <v/>
      </c>
      <c r="N287" s="686">
        <f>IF(C287="TXO","",IF(C287="FITX",IF(E287="新倉","",IF(F287="賣",(I287-I286),(I286-I287)))))</f>
        <v/>
      </c>
      <c r="O287" s="334">
        <f>ABS(J287)</f>
        <v/>
      </c>
      <c r="P287" s="667" t="n"/>
      <c r="R287" s="61" t="n"/>
      <c r="S287" s="61" t="n"/>
      <c r="T287" s="61" t="n"/>
      <c r="U287" s="61" t="n"/>
      <c r="V287" s="61" t="n"/>
      <c r="W287" s="61" t="n"/>
      <c r="X287" s="61" t="n"/>
      <c r="Y287" s="61" t="n"/>
    </row>
    <row r="288" hidden="1" outlineLevel="2" collapsed="1" ht="17.25" customHeight="1" thickBot="1">
      <c r="B288" s="368" t="n">
        <v>42576</v>
      </c>
      <c r="C288" s="337" t="inlineStr">
        <is>
          <t>FITX</t>
        </is>
      </c>
      <c r="D288" s="338" t="inlineStr">
        <is>
          <t>台指08</t>
        </is>
      </c>
      <c r="E288" s="338" t="inlineStr">
        <is>
          <t>平倉</t>
        </is>
      </c>
      <c r="F288" s="338" t="inlineStr">
        <is>
          <t>買</t>
        </is>
      </c>
      <c r="G288" s="338" t="inlineStr">
        <is>
          <t>-</t>
        </is>
      </c>
      <c r="H288" s="767" t="n">
        <v>1</v>
      </c>
      <c r="I288" s="767" t="n">
        <v>8837</v>
      </c>
      <c r="J288" s="767" t="n">
        <v>0</v>
      </c>
      <c r="K288" s="769" t="n">
        <v>100</v>
      </c>
      <c r="L288" s="769" t="n">
        <v>35</v>
      </c>
      <c r="M288" s="699">
        <f>IF(C288="TXO",J288-SUM(K288:L288),IF(C288="FITX",IF(E288="新倉",-SUM(K288:L288),IF(F288="賣",(I288-I287)*H288*200-SUM(K288:L288),(I287-I288)*H288*200-SUM(K288:L288)))))</f>
        <v/>
      </c>
      <c r="N288" s="686">
        <f>IF(C288="TXO","",IF(C288="FITX",IF(E288="新倉","",IF(F288="賣",(I288-I287),(I287-I288)))))</f>
        <v/>
      </c>
      <c r="O288" s="334">
        <f>ABS(J288)</f>
        <v/>
      </c>
      <c r="P288" s="667" t="n"/>
      <c r="R288" s="61" t="n"/>
      <c r="S288" s="61" t="n"/>
      <c r="T288" s="61" t="n"/>
      <c r="U288" s="61" t="n"/>
      <c r="V288" s="61" t="n"/>
      <c r="W288" s="61" t="n"/>
      <c r="X288" s="61" t="n"/>
      <c r="Y288" s="61" t="n"/>
    </row>
    <row r="289" hidden="1" outlineLevel="2" collapsed="1" ht="17.25" customHeight="1" thickBot="1">
      <c r="B289" s="368" t="n">
        <v>42576</v>
      </c>
      <c r="C289" s="337" t="inlineStr">
        <is>
          <t>FITX</t>
        </is>
      </c>
      <c r="D289" s="338" t="inlineStr">
        <is>
          <t>台指08</t>
        </is>
      </c>
      <c r="E289" s="338" t="inlineStr">
        <is>
          <t>新倉</t>
        </is>
      </c>
      <c r="F289" s="338" t="inlineStr">
        <is>
          <t>賣</t>
        </is>
      </c>
      <c r="G289" s="338" t="inlineStr">
        <is>
          <t>-</t>
        </is>
      </c>
      <c r="H289" s="767" t="n">
        <v>1</v>
      </c>
      <c r="I289" s="767" t="n">
        <v>8870</v>
      </c>
      <c r="J289" s="767" t="n">
        <v>0</v>
      </c>
      <c r="K289" s="769" t="n">
        <v>100</v>
      </c>
      <c r="L289" s="769" t="n">
        <v>35</v>
      </c>
      <c r="M289" s="699">
        <f>IF(C289="TXO",J289-SUM(K289:L289),IF(C289="FITX",IF(E289="新倉",-SUM(K289:L289),IF(F289="賣",(I289-I288)*H289*200-SUM(K289:L289),(I288-I289)*H289*200-SUM(K289:L289)))))</f>
        <v/>
      </c>
      <c r="N289" s="686">
        <f>IF(C289="TXO","",IF(C289="FITX",IF(E289="新倉","",IF(F289="賣",(I289-I288),(I288-I289)))))</f>
        <v/>
      </c>
      <c r="O289" s="334">
        <f>ABS(J289)</f>
        <v/>
      </c>
      <c r="P289" s="667" t="n"/>
      <c r="R289" s="61" t="n"/>
      <c r="S289" s="61" t="n"/>
      <c r="T289" s="61" t="n"/>
      <c r="U289" s="61" t="n"/>
      <c r="V289" s="61" t="n"/>
      <c r="W289" s="61" t="n"/>
      <c r="X289" s="61" t="n"/>
      <c r="Y289" s="61" t="n"/>
    </row>
    <row r="290" hidden="1" outlineLevel="2" collapsed="1" ht="17.25" customHeight="1" thickBot="1">
      <c r="B290" s="368" t="n">
        <v>42576</v>
      </c>
      <c r="C290" s="337" t="inlineStr">
        <is>
          <t>FITX</t>
        </is>
      </c>
      <c r="D290" s="338" t="inlineStr">
        <is>
          <t>台指08</t>
        </is>
      </c>
      <c r="E290" s="338" t="inlineStr">
        <is>
          <t>平倉</t>
        </is>
      </c>
      <c r="F290" s="338" t="inlineStr">
        <is>
          <t>買</t>
        </is>
      </c>
      <c r="G290" s="338" t="inlineStr">
        <is>
          <t>-</t>
        </is>
      </c>
      <c r="H290" s="767" t="n">
        <v>1</v>
      </c>
      <c r="I290" s="767" t="n">
        <v>8838</v>
      </c>
      <c r="J290" s="767" t="n">
        <v>0</v>
      </c>
      <c r="K290" s="769" t="n">
        <v>100</v>
      </c>
      <c r="L290" s="769" t="n">
        <v>35</v>
      </c>
      <c r="M290" s="699">
        <f>IF(C290="TXO",J290-SUM(K290:L290),IF(C290="FITX",IF(E290="新倉",-SUM(K290:L290),IF(F290="賣",(I290-I289)*H290*200-SUM(K290:L290),(I289-I290)*H290*200-SUM(K290:L290)))))</f>
        <v/>
      </c>
      <c r="N290" s="686">
        <f>IF(C290="TXO","",IF(C290="FITX",IF(E290="新倉","",IF(F290="賣",(I290-I289),(I289-I290)))))</f>
        <v/>
      </c>
      <c r="O290" s="334">
        <f>ABS(J290)</f>
        <v/>
      </c>
      <c r="P290" s="667" t="n"/>
      <c r="R290" s="61" t="n"/>
      <c r="S290" s="61" t="n"/>
      <c r="T290" s="61" t="n"/>
      <c r="U290" s="61" t="n"/>
      <c r="V290" s="61" t="n"/>
      <c r="W290" s="61" t="n"/>
      <c r="X290" s="61" t="n"/>
      <c r="Y290" s="61" t="n"/>
    </row>
    <row r="291" hidden="1" outlineLevel="2" collapsed="1" ht="17.25" customHeight="1" thickBot="1">
      <c r="B291" s="368" t="n">
        <v>42576</v>
      </c>
      <c r="C291" s="337" t="inlineStr">
        <is>
          <t>FITX</t>
        </is>
      </c>
      <c r="D291" s="338" t="inlineStr">
        <is>
          <t>台指08</t>
        </is>
      </c>
      <c r="E291" s="338" t="inlineStr">
        <is>
          <t>新倉</t>
        </is>
      </c>
      <c r="F291" s="338" t="inlineStr">
        <is>
          <t>賣</t>
        </is>
      </c>
      <c r="G291" s="338" t="inlineStr">
        <is>
          <t>-</t>
        </is>
      </c>
      <c r="H291" s="767" t="n">
        <v>1</v>
      </c>
      <c r="I291" s="767" t="n">
        <v>8832</v>
      </c>
      <c r="J291" s="767" t="n">
        <v>0</v>
      </c>
      <c r="K291" s="769" t="n">
        <v>100</v>
      </c>
      <c r="L291" s="769" t="n">
        <v>35</v>
      </c>
      <c r="M291" s="699">
        <f>IF(C291="TXO",J291-SUM(K291:L291),IF(C291="FITX",IF(E291="新倉",-SUM(K291:L291),IF(F291="賣",(I291-I290)*H291*200-SUM(K291:L291),(I290-I291)*H291*200-SUM(K291:L291)))))</f>
        <v/>
      </c>
      <c r="N291" s="686">
        <f>IF(C291="TXO","",IF(C291="FITX",IF(E291="新倉","",IF(F291="賣",(I291-I290),(I290-I291)))))</f>
        <v/>
      </c>
      <c r="O291" s="334">
        <f>ABS(J291)</f>
        <v/>
      </c>
      <c r="P291" s="667" t="n"/>
      <c r="R291" s="61" t="n"/>
      <c r="S291" s="61" t="n"/>
      <c r="T291" s="61" t="n"/>
      <c r="U291" s="61" t="n"/>
      <c r="V291" s="61" t="n"/>
      <c r="W291" s="61" t="n"/>
      <c r="X291" s="61" t="n"/>
      <c r="Y291" s="61" t="n"/>
    </row>
    <row r="292" hidden="1" outlineLevel="2" collapsed="1" ht="17.25" customHeight="1" thickBot="1">
      <c r="B292" s="368" t="n">
        <v>42576</v>
      </c>
      <c r="C292" s="337" t="inlineStr">
        <is>
          <t>FITX</t>
        </is>
      </c>
      <c r="D292" s="338" t="inlineStr">
        <is>
          <t>台指08</t>
        </is>
      </c>
      <c r="E292" s="338" t="inlineStr">
        <is>
          <t>平倉</t>
        </is>
      </c>
      <c r="F292" s="338" t="inlineStr">
        <is>
          <t>買</t>
        </is>
      </c>
      <c r="G292" s="338" t="inlineStr">
        <is>
          <t>-</t>
        </is>
      </c>
      <c r="H292" s="767" t="n">
        <v>1</v>
      </c>
      <c r="I292" s="767" t="n">
        <v>8845</v>
      </c>
      <c r="J292" s="767" t="n">
        <v>0</v>
      </c>
      <c r="K292" s="769" t="n">
        <v>100</v>
      </c>
      <c r="L292" s="769" t="n">
        <v>35</v>
      </c>
      <c r="M292" s="699">
        <f>IF(C292="TXO",J292-SUM(K292:L292),IF(C292="FITX",IF(E292="新倉",-SUM(K292:L292),IF(F292="賣",(I292-I291)*H292*200-SUM(K292:L292),(I291-I292)*H292*200-SUM(K292:L292)))))</f>
        <v/>
      </c>
      <c r="N292" s="686">
        <f>IF(C292="TXO","",IF(C292="FITX",IF(E292="新倉","",IF(F292="賣",(I292-I291),(I291-I292)))))</f>
        <v/>
      </c>
      <c r="O292" s="334">
        <f>ABS(J292)</f>
        <v/>
      </c>
      <c r="P292" s="667" t="n"/>
      <c r="R292" s="61" t="n"/>
      <c r="S292" s="61" t="n"/>
      <c r="T292" s="61" t="n"/>
      <c r="U292" s="61" t="n"/>
      <c r="V292" s="61" t="n"/>
      <c r="W292" s="61" t="n"/>
      <c r="X292" s="61" t="n"/>
      <c r="Y292" s="61" t="n"/>
    </row>
    <row r="293" hidden="1" outlineLevel="2" collapsed="1" ht="17.25" customHeight="1" thickBot="1">
      <c r="B293" s="368" t="n">
        <v>42576</v>
      </c>
      <c r="C293" s="337" t="inlineStr">
        <is>
          <t>FITX</t>
        </is>
      </c>
      <c r="D293" s="338" t="inlineStr">
        <is>
          <t>台指08</t>
        </is>
      </c>
      <c r="E293" s="338" t="inlineStr">
        <is>
          <t>新倉</t>
        </is>
      </c>
      <c r="F293" s="338" t="inlineStr">
        <is>
          <t>賣</t>
        </is>
      </c>
      <c r="G293" s="338" t="inlineStr">
        <is>
          <t>-</t>
        </is>
      </c>
      <c r="H293" s="767" t="n">
        <v>1</v>
      </c>
      <c r="I293" s="767" t="n">
        <v>8848</v>
      </c>
      <c r="J293" s="767" t="n">
        <v>0</v>
      </c>
      <c r="K293" s="769" t="n">
        <v>100</v>
      </c>
      <c r="L293" s="769" t="n">
        <v>35</v>
      </c>
      <c r="M293" s="699">
        <f>IF(C293="TXO",J293-SUM(K293:L293),IF(C293="FITX",IF(E293="新倉",-SUM(K293:L293),IF(F293="賣",(I293-I292)*H293*200-SUM(K293:L293),(I292-I293)*H293*200-SUM(K293:L293)))))</f>
        <v/>
      </c>
      <c r="N293" s="686">
        <f>IF(C293="TXO","",IF(C293="FITX",IF(E293="新倉","",IF(F293="賣",(I293-I292),(I292-I293)))))</f>
        <v/>
      </c>
      <c r="O293" s="334">
        <f>ABS(J293)</f>
        <v/>
      </c>
      <c r="P293" s="667" t="n"/>
      <c r="R293" s="61" t="n"/>
      <c r="S293" s="61" t="n"/>
      <c r="T293" s="61" t="n"/>
      <c r="U293" s="61" t="n"/>
      <c r="V293" s="61" t="n"/>
      <c r="W293" s="61" t="n"/>
      <c r="X293" s="61" t="n"/>
      <c r="Y293" s="61" t="n"/>
    </row>
    <row r="294" hidden="1" outlineLevel="2" collapsed="1" ht="17.25" customHeight="1" thickBot="1">
      <c r="B294" s="368" t="n">
        <v>42576</v>
      </c>
      <c r="C294" s="337" t="inlineStr">
        <is>
          <t>FITX</t>
        </is>
      </c>
      <c r="D294" s="338" t="inlineStr">
        <is>
          <t>台指08</t>
        </is>
      </c>
      <c r="E294" s="338" t="inlineStr">
        <is>
          <t>平倉</t>
        </is>
      </c>
      <c r="F294" s="338" t="inlineStr">
        <is>
          <t>買</t>
        </is>
      </c>
      <c r="G294" s="338" t="inlineStr">
        <is>
          <t>-</t>
        </is>
      </c>
      <c r="H294" s="767" t="n">
        <v>1</v>
      </c>
      <c r="I294" s="767" t="n">
        <v>8828</v>
      </c>
      <c r="J294" s="767" t="n">
        <v>0</v>
      </c>
      <c r="K294" s="769" t="n">
        <v>100</v>
      </c>
      <c r="L294" s="769" t="n">
        <v>35</v>
      </c>
      <c r="M294" s="699">
        <f>IF(C294="TXO",J294-SUM(K294:L294),IF(C294="FITX",IF(E294="新倉",-SUM(K294:L294),IF(F294="賣",(I294-I293)*H294*200-SUM(K294:L294),(I293-I294)*H294*200-SUM(K294:L294)))))</f>
        <v/>
      </c>
      <c r="N294" s="686">
        <f>IF(C294="TXO","",IF(C294="FITX",IF(E294="新倉","",IF(F294="賣",(I294-I293),(I293-I294)))))</f>
        <v/>
      </c>
      <c r="O294" s="334">
        <f>ABS(J294)</f>
        <v/>
      </c>
      <c r="P294" s="667" t="n"/>
      <c r="R294" s="61" t="n"/>
      <c r="S294" s="61" t="n"/>
      <c r="T294" s="61" t="n"/>
      <c r="U294" s="61" t="n"/>
      <c r="V294" s="61" t="n"/>
      <c r="W294" s="61" t="n"/>
      <c r="X294" s="61" t="n"/>
      <c r="Y294" s="61" t="n"/>
    </row>
    <row r="295" hidden="1" outlineLevel="2" collapsed="1" ht="17.25" customHeight="1" thickBot="1">
      <c r="B295" s="368" t="n">
        <v>42576</v>
      </c>
      <c r="C295" s="337" t="inlineStr">
        <is>
          <t>FITX</t>
        </is>
      </c>
      <c r="D295" s="338" t="inlineStr">
        <is>
          <t>台指08</t>
        </is>
      </c>
      <c r="E295" s="338" t="inlineStr">
        <is>
          <t>新倉</t>
        </is>
      </c>
      <c r="F295" s="338" t="inlineStr">
        <is>
          <t>賣</t>
        </is>
      </c>
      <c r="G295" s="338" t="inlineStr">
        <is>
          <t>-</t>
        </is>
      </c>
      <c r="H295" s="767" t="n">
        <v>1</v>
      </c>
      <c r="I295" s="767" t="n">
        <v>8848</v>
      </c>
      <c r="J295" s="767" t="n">
        <v>0</v>
      </c>
      <c r="K295" s="769" t="n">
        <v>100</v>
      </c>
      <c r="L295" s="769" t="n">
        <v>35</v>
      </c>
      <c r="M295" s="699">
        <f>IF(C295="TXO",J295-SUM(K295:L295),IF(C295="FITX",IF(E295="新倉",-SUM(K295:L295),IF(F295="賣",(I295-I294)*H295*200-SUM(K295:L295),(I294-I295)*H295*200-SUM(K295:L295)))))</f>
        <v/>
      </c>
      <c r="N295" s="686">
        <f>IF(C295="TXO","",IF(C295="FITX",IF(E295="新倉","",IF(F295="賣",(I295-I294),(I294-I295)))))</f>
        <v/>
      </c>
      <c r="O295" s="334">
        <f>ABS(J295)</f>
        <v/>
      </c>
      <c r="P295" s="667" t="n"/>
      <c r="R295" s="61" t="n"/>
      <c r="S295" s="61" t="n"/>
      <c r="T295" s="61" t="n"/>
      <c r="U295" s="61" t="n"/>
      <c r="V295" s="61" t="n"/>
      <c r="W295" s="61" t="n"/>
      <c r="X295" s="61" t="n"/>
      <c r="Y295" s="61" t="n"/>
    </row>
    <row r="296" hidden="1" outlineLevel="2" collapsed="1" ht="17.25" customHeight="1" thickBot="1">
      <c r="B296" s="368" t="n">
        <v>42576</v>
      </c>
      <c r="C296" s="337" t="inlineStr">
        <is>
          <t>FITX</t>
        </is>
      </c>
      <c r="D296" s="338" t="inlineStr">
        <is>
          <t>台指08</t>
        </is>
      </c>
      <c r="E296" s="338" t="inlineStr">
        <is>
          <t>平倉</t>
        </is>
      </c>
      <c r="F296" s="338" t="inlineStr">
        <is>
          <t>買</t>
        </is>
      </c>
      <c r="G296" s="338" t="inlineStr">
        <is>
          <t>-</t>
        </is>
      </c>
      <c r="H296" s="767" t="n">
        <v>1</v>
      </c>
      <c r="I296" s="767" t="n">
        <v>8811</v>
      </c>
      <c r="J296" s="767" t="n">
        <v>0</v>
      </c>
      <c r="K296" s="769" t="n">
        <v>100</v>
      </c>
      <c r="L296" s="769" t="n">
        <v>35</v>
      </c>
      <c r="M296" s="699">
        <f>IF(C296="TXO",J296-SUM(K296:L296),IF(C296="FITX",IF(E296="新倉",-SUM(K296:L296),IF(F296="賣",(I296-I295)*H296*200-SUM(K296:L296),(I295-I296)*H296*200-SUM(K296:L296)))))</f>
        <v/>
      </c>
      <c r="N296" s="686">
        <f>IF(C296="TXO","",IF(C296="FITX",IF(E296="新倉","",IF(F296="賣",(I296-I295),(I295-I296)))))</f>
        <v/>
      </c>
      <c r="O296" s="334">
        <f>ABS(J296)</f>
        <v/>
      </c>
      <c r="P296" s="667" t="n"/>
      <c r="R296" s="61" t="n"/>
      <c r="S296" s="61" t="n"/>
      <c r="T296" s="61" t="n"/>
      <c r="U296" s="61" t="n"/>
      <c r="V296" s="61" t="n"/>
      <c r="W296" s="61" t="n"/>
      <c r="X296" s="61" t="n"/>
      <c r="Y296" s="61" t="n"/>
    </row>
    <row r="297" hidden="1" outlineLevel="2" collapsed="1" ht="17.25" customHeight="1" thickBot="1">
      <c r="B297" s="368" t="n">
        <v>42576</v>
      </c>
      <c r="C297" s="337" t="inlineStr">
        <is>
          <t>FITX</t>
        </is>
      </c>
      <c r="D297" s="338" t="inlineStr">
        <is>
          <t>台指08</t>
        </is>
      </c>
      <c r="E297" s="338" t="inlineStr">
        <is>
          <t>新倉</t>
        </is>
      </c>
      <c r="F297" s="338" t="inlineStr">
        <is>
          <t>賣</t>
        </is>
      </c>
      <c r="G297" s="338" t="inlineStr">
        <is>
          <t>-</t>
        </is>
      </c>
      <c r="H297" s="767" t="n">
        <v>1</v>
      </c>
      <c r="I297" s="767" t="n">
        <v>8844</v>
      </c>
      <c r="J297" s="767" t="n">
        <v>0</v>
      </c>
      <c r="K297" s="769" t="n">
        <v>100</v>
      </c>
      <c r="L297" s="769" t="n">
        <v>35</v>
      </c>
      <c r="M297" s="699">
        <f>IF(C297="TXO",J297-SUM(K297:L297),IF(C297="FITX",IF(E297="新倉",-SUM(K297:L297),IF(F297="賣",(I297-I296)*H297*200-SUM(K297:L297),(I296-I297)*H297*200-SUM(K297:L297)))))</f>
        <v/>
      </c>
      <c r="N297" s="686">
        <f>IF(C297="TXO","",IF(C297="FITX",IF(E297="新倉","",IF(F297="賣",(I297-I296),(I296-I297)))))</f>
        <v/>
      </c>
      <c r="O297" s="334">
        <f>ABS(J297)</f>
        <v/>
      </c>
      <c r="P297" s="667" t="n"/>
      <c r="R297" s="61" t="n"/>
      <c r="S297" s="61" t="n"/>
      <c r="T297" s="61" t="n"/>
      <c r="U297" s="61" t="n"/>
      <c r="V297" s="61" t="n"/>
      <c r="W297" s="61" t="n"/>
      <c r="X297" s="61" t="n"/>
      <c r="Y297" s="61" t="n"/>
    </row>
    <row r="298" hidden="1" outlineLevel="2" collapsed="1" ht="17.25" customHeight="1" thickBot="1">
      <c r="B298" s="368" t="n">
        <v>42576</v>
      </c>
      <c r="C298" s="337" t="inlineStr">
        <is>
          <t>FITX</t>
        </is>
      </c>
      <c r="D298" s="338" t="inlineStr">
        <is>
          <t>台指08</t>
        </is>
      </c>
      <c r="E298" s="338" t="inlineStr">
        <is>
          <t>平倉</t>
        </is>
      </c>
      <c r="F298" s="338" t="inlineStr">
        <is>
          <t>買</t>
        </is>
      </c>
      <c r="G298" s="338" t="inlineStr">
        <is>
          <t>-</t>
        </is>
      </c>
      <c r="H298" s="767" t="n">
        <v>1</v>
      </c>
      <c r="I298" s="767" t="n">
        <v>8845</v>
      </c>
      <c r="J298" s="767" t="n">
        <v>0</v>
      </c>
      <c r="K298" s="769" t="n">
        <v>100</v>
      </c>
      <c r="L298" s="769" t="n">
        <v>35</v>
      </c>
      <c r="M298" s="699">
        <f>IF(C298="TXO",J298-SUM(K298:L298),IF(C298="FITX",IF(E298="新倉",-SUM(K298:L298),IF(F298="賣",(I298-I297)*H298*200-SUM(K298:L298),(I297-I298)*H298*200-SUM(K298:L298)))))</f>
        <v/>
      </c>
      <c r="N298" s="686">
        <f>IF(C298="TXO","",IF(C298="FITX",IF(E298="新倉","",IF(F298="賣",(I298-I297),(I297-I298)))))</f>
        <v/>
      </c>
      <c r="O298" s="334">
        <f>ABS(J298)</f>
        <v/>
      </c>
      <c r="P298" s="667" t="n"/>
      <c r="R298" s="61" t="n"/>
      <c r="S298" s="61" t="n"/>
      <c r="T298" s="61" t="n"/>
      <c r="U298" s="61" t="n"/>
      <c r="V298" s="61" t="n"/>
      <c r="W298" s="61" t="n"/>
      <c r="X298" s="61" t="n"/>
      <c r="Y298" s="61" t="n"/>
    </row>
    <row r="299" hidden="1" outlineLevel="2" collapsed="1" ht="17.25" customHeight="1" thickBot="1">
      <c r="B299" s="368" t="n">
        <v>42576</v>
      </c>
      <c r="C299" s="337" t="inlineStr">
        <is>
          <t>FITX</t>
        </is>
      </c>
      <c r="D299" s="338" t="inlineStr">
        <is>
          <t>台指08</t>
        </is>
      </c>
      <c r="E299" s="338" t="inlineStr">
        <is>
          <t>新倉</t>
        </is>
      </c>
      <c r="F299" s="338" t="inlineStr">
        <is>
          <t>賣</t>
        </is>
      </c>
      <c r="G299" s="338" t="inlineStr">
        <is>
          <t>-</t>
        </is>
      </c>
      <c r="H299" s="767" t="n">
        <v>1</v>
      </c>
      <c r="I299" s="767" t="n">
        <v>8846</v>
      </c>
      <c r="J299" s="767" t="n">
        <v>0</v>
      </c>
      <c r="K299" s="769" t="n">
        <v>100</v>
      </c>
      <c r="L299" s="769" t="n">
        <v>35</v>
      </c>
      <c r="M299" s="699">
        <f>IF(C299="TXO",J299-SUM(K299:L299),IF(C299="FITX",IF(E299="新倉",-SUM(K299:L299),IF(F299="賣",(I299-I298)*H299*200-SUM(K299:L299),(I298-I299)*H299*200-SUM(K299:L299)))))</f>
        <v/>
      </c>
      <c r="N299" s="686">
        <f>IF(C299="TXO","",IF(C299="FITX",IF(E299="新倉","",IF(F299="賣",(I299-I298),(I298-I299)))))</f>
        <v/>
      </c>
      <c r="O299" s="334">
        <f>ABS(J299)</f>
        <v/>
      </c>
      <c r="P299" s="667" t="n"/>
      <c r="R299" s="61" t="n"/>
      <c r="S299" s="61" t="n"/>
      <c r="T299" s="61" t="n"/>
      <c r="U299" s="61" t="n"/>
      <c r="V299" s="61" t="n"/>
      <c r="W299" s="61" t="n"/>
      <c r="X299" s="61" t="n"/>
      <c r="Y299" s="61" t="n"/>
    </row>
    <row r="300" hidden="1" outlineLevel="2" ht="17.25" customHeight="1" thickBot="1">
      <c r="B300" s="368" t="n">
        <v>42576</v>
      </c>
      <c r="C300" s="337" t="inlineStr">
        <is>
          <t>FITX</t>
        </is>
      </c>
      <c r="D300" s="338" t="inlineStr">
        <is>
          <t>台指08</t>
        </is>
      </c>
      <c r="E300" s="338" t="inlineStr">
        <is>
          <t>平倉</t>
        </is>
      </c>
      <c r="F300" s="338" t="inlineStr">
        <is>
          <t>買</t>
        </is>
      </c>
      <c r="G300" s="338" t="inlineStr">
        <is>
          <t>-</t>
        </is>
      </c>
      <c r="H300" s="767" t="n">
        <v>1</v>
      </c>
      <c r="I300" s="767" t="n">
        <v>8841</v>
      </c>
      <c r="J300" s="767" t="n">
        <v>0</v>
      </c>
      <c r="K300" s="769" t="n">
        <v>100</v>
      </c>
      <c r="L300" s="769" t="n">
        <v>35</v>
      </c>
      <c r="M300" s="699">
        <f>IF(C300="TXO",J300-SUM(K300:L300),IF(C300="FITX",IF(E300="新倉",-SUM(K300:L300),IF(F300="賣",(I300-I299)*H300*200-SUM(K300:L300),(I299-I300)*H300*200-SUM(K300:L300)))))</f>
        <v/>
      </c>
      <c r="N300" s="686">
        <f>IF(C300="TXO","",IF(C300="FITX",IF(E300="新倉","",IF(F300="賣",(I300-I299),(I299-I300)))))</f>
        <v/>
      </c>
      <c r="O300" s="334">
        <f>ABS(J300)</f>
        <v/>
      </c>
      <c r="P300" s="667" t="n"/>
      <c r="R300" s="61" t="n"/>
      <c r="S300" s="61" t="n"/>
      <c r="T300" s="61" t="n"/>
      <c r="U300" s="61" t="n"/>
      <c r="V300" s="61" t="n"/>
      <c r="W300" s="61" t="n"/>
      <c r="X300" s="61" t="n"/>
      <c r="Y300" s="61" t="n"/>
    </row>
    <row r="301" hidden="1" outlineLevel="1" collapsed="1" ht="17.25" customHeight="1" thickBot="1">
      <c r="B301" s="369" t="n">
        <v>42577</v>
      </c>
      <c r="C301" s="370" t="inlineStr">
        <is>
          <t>FITX</t>
        </is>
      </c>
      <c r="D301" s="371" t="inlineStr">
        <is>
          <t>台指08</t>
        </is>
      </c>
      <c r="E301" s="371" t="inlineStr">
        <is>
          <t>新倉</t>
        </is>
      </c>
      <c r="F301" s="371" t="inlineStr">
        <is>
          <t>賣</t>
        </is>
      </c>
      <c r="G301" s="371" t="inlineStr">
        <is>
          <t>-</t>
        </is>
      </c>
      <c r="H301" s="785" t="n">
        <v>1</v>
      </c>
      <c r="I301" s="785" t="n">
        <v>8882</v>
      </c>
      <c r="J301" s="785" t="n">
        <v>0</v>
      </c>
      <c r="K301" s="786" t="n">
        <v>100</v>
      </c>
      <c r="L301" s="786" t="n">
        <v>36</v>
      </c>
      <c r="M301" s="743">
        <f>IF(C301="TXO",J301-SUM(K301:L301),IF(C301="FITX",IF(E301="新倉",-SUM(K301:L301),IF(F301="賣",(I301-I300)*H301*200-SUM(K301:L301),(I300-I301)*H301*200-SUM(K301:L301)))))</f>
        <v/>
      </c>
      <c r="N301" s="780">
        <f>IF(C301="TXO","",IF(C301="FITX",IF(E301="新倉","",IF(F301="賣",(I301-I300)*H301,(I300-I301)*H301))))</f>
        <v/>
      </c>
      <c r="O301" s="334">
        <f>ABS(J301)</f>
        <v/>
      </c>
      <c r="P301" s="764">
        <f>SUM(M301:M324)</f>
        <v/>
      </c>
      <c r="R301" s="61" t="n"/>
      <c r="S301" s="61" t="n"/>
      <c r="T301" s="61" t="n"/>
      <c r="U301" s="61" t="n"/>
      <c r="V301" s="61" t="n"/>
      <c r="W301" s="61" t="n"/>
      <c r="X301" s="61" t="n"/>
      <c r="Y301" s="61" t="n"/>
    </row>
    <row r="302" hidden="1" outlineLevel="2" ht="17.25" customHeight="1" thickBot="1">
      <c r="B302" s="369" t="n">
        <v>42577</v>
      </c>
      <c r="C302" s="370" t="inlineStr">
        <is>
          <t>FITX</t>
        </is>
      </c>
      <c r="D302" s="371" t="inlineStr">
        <is>
          <t>台指08</t>
        </is>
      </c>
      <c r="E302" s="371" t="inlineStr">
        <is>
          <t>平倉</t>
        </is>
      </c>
      <c r="F302" s="371" t="inlineStr">
        <is>
          <t>買</t>
        </is>
      </c>
      <c r="G302" s="371" t="inlineStr">
        <is>
          <t>-</t>
        </is>
      </c>
      <c r="H302" s="785" t="n">
        <v>1</v>
      </c>
      <c r="I302" s="785" t="n">
        <v>8889</v>
      </c>
      <c r="J302" s="785" t="n">
        <v>0</v>
      </c>
      <c r="K302" s="786" t="n">
        <v>100</v>
      </c>
      <c r="L302" s="786" t="n">
        <v>36</v>
      </c>
      <c r="M302" s="743">
        <f>IF(C302="TXO",J302-SUM(K302:L302),IF(C302="FITX",IF(E302="新倉",-SUM(K302:L302),IF(F302="賣",(I302-I301)*H302*200-SUM(K302:L302),(I301-I302)*H302*200-SUM(K302:L302)))))</f>
        <v/>
      </c>
      <c r="N302" s="780">
        <f>IF(C302="TXO","",IF(C302="FITX",IF(E302="新倉","",IF(F302="賣",(I302-I301)*H302,(I301-I302)*H302))))</f>
        <v/>
      </c>
      <c r="O302" s="334">
        <f>ABS(J302)</f>
        <v/>
      </c>
      <c r="P302" s="764" t="n"/>
      <c r="R302" s="61" t="n"/>
      <c r="S302" s="61" t="n"/>
      <c r="T302" s="61" t="n"/>
      <c r="U302" s="61" t="n"/>
      <c r="V302" s="61" t="n"/>
      <c r="W302" s="61" t="n"/>
      <c r="X302" s="61" t="n"/>
      <c r="Y302" s="61" t="n"/>
    </row>
    <row r="303" hidden="1" outlineLevel="2" ht="17.25" customHeight="1" thickBot="1">
      <c r="B303" s="369" t="n">
        <v>42577</v>
      </c>
      <c r="C303" s="370" t="inlineStr">
        <is>
          <t>FITX</t>
        </is>
      </c>
      <c r="D303" s="371" t="inlineStr">
        <is>
          <t>台指08</t>
        </is>
      </c>
      <c r="E303" s="371" t="inlineStr">
        <is>
          <t>新倉</t>
        </is>
      </c>
      <c r="F303" s="371" t="inlineStr">
        <is>
          <t>賣</t>
        </is>
      </c>
      <c r="G303" s="371" t="inlineStr">
        <is>
          <t>-</t>
        </is>
      </c>
      <c r="H303" s="785" t="n">
        <v>1</v>
      </c>
      <c r="I303" s="785" t="n">
        <v>8890</v>
      </c>
      <c r="J303" s="785" t="n">
        <v>0</v>
      </c>
      <c r="K303" s="786" t="n">
        <v>100</v>
      </c>
      <c r="L303" s="786" t="n">
        <v>36</v>
      </c>
      <c r="M303" s="743">
        <f>IF(C303="TXO",J303-SUM(K303:L303),IF(C303="FITX",IF(E303="新倉",-SUM(K303:L303),IF(F303="賣",(I303-I302)*H303*200-SUM(K303:L303),(I302-I303)*H303*200-SUM(K303:L303)))))</f>
        <v/>
      </c>
      <c r="N303" s="780">
        <f>IF(C303="TXO","",IF(C303="FITX",IF(E303="新倉","",IF(F303="賣",(I303-I302)*H303,(I302-I303)*H303))))</f>
        <v/>
      </c>
      <c r="O303" s="334">
        <f>ABS(J303)</f>
        <v/>
      </c>
      <c r="P303" s="764" t="n"/>
      <c r="R303" s="61" t="n"/>
      <c r="S303" s="61" t="n"/>
      <c r="T303" s="61" t="n"/>
      <c r="U303" s="61" t="n"/>
      <c r="V303" s="61" t="n"/>
      <c r="W303" s="61" t="n"/>
      <c r="X303" s="61" t="n"/>
      <c r="Y303" s="61" t="n"/>
    </row>
    <row r="304" hidden="1" outlineLevel="2" ht="17.25" customHeight="1" thickBot="1">
      <c r="B304" s="369" t="n">
        <v>42577</v>
      </c>
      <c r="C304" s="370" t="inlineStr">
        <is>
          <t>FITX</t>
        </is>
      </c>
      <c r="D304" s="371" t="inlineStr">
        <is>
          <t>台指08</t>
        </is>
      </c>
      <c r="E304" s="371" t="inlineStr">
        <is>
          <t>平倉</t>
        </is>
      </c>
      <c r="F304" s="371" t="inlineStr">
        <is>
          <t>買</t>
        </is>
      </c>
      <c r="G304" s="371" t="inlineStr">
        <is>
          <t>-</t>
        </is>
      </c>
      <c r="H304" s="785" t="n">
        <v>1</v>
      </c>
      <c r="I304" s="785" t="n">
        <v>8896</v>
      </c>
      <c r="J304" s="785" t="n">
        <v>0</v>
      </c>
      <c r="K304" s="786" t="n">
        <v>100</v>
      </c>
      <c r="L304" s="786" t="n">
        <v>36</v>
      </c>
      <c r="M304" s="743">
        <f>IF(C304="TXO",J304-SUM(K304:L304),IF(C304="FITX",IF(E304="新倉",-SUM(K304:L304),IF(F304="賣",(I304-I303)*H304*200-SUM(K304:L304),(I303-I304)*H304*200-SUM(K304:L304)))))</f>
        <v/>
      </c>
      <c r="N304" s="780">
        <f>IF(C304="TXO","",IF(C304="FITX",IF(E304="新倉","",IF(F304="賣",(I304-I303)*H304,(I303-I304)*H304))))</f>
        <v/>
      </c>
      <c r="O304" s="334">
        <f>ABS(J304)</f>
        <v/>
      </c>
      <c r="P304" s="764" t="n"/>
      <c r="R304" s="61" t="n"/>
      <c r="S304" s="61" t="n"/>
      <c r="T304" s="61" t="n"/>
      <c r="U304" s="61" t="n"/>
      <c r="V304" s="61" t="n"/>
      <c r="W304" s="61" t="n"/>
      <c r="X304" s="61" t="n"/>
      <c r="Y304" s="61" t="n"/>
    </row>
    <row r="305" hidden="1" outlineLevel="2" ht="17.25" customHeight="1" thickBot="1">
      <c r="B305" s="369" t="n">
        <v>42577</v>
      </c>
      <c r="C305" s="370" t="inlineStr">
        <is>
          <t>FITX</t>
        </is>
      </c>
      <c r="D305" s="371" t="inlineStr">
        <is>
          <t>台指08</t>
        </is>
      </c>
      <c r="E305" s="371" t="inlineStr">
        <is>
          <t>新倉</t>
        </is>
      </c>
      <c r="F305" s="371" t="inlineStr">
        <is>
          <t>買</t>
        </is>
      </c>
      <c r="G305" s="371" t="inlineStr">
        <is>
          <t>-</t>
        </is>
      </c>
      <c r="H305" s="785" t="n">
        <v>1</v>
      </c>
      <c r="I305" s="785" t="n">
        <v>8923</v>
      </c>
      <c r="J305" s="785" t="n">
        <v>0</v>
      </c>
      <c r="K305" s="786" t="n">
        <v>100</v>
      </c>
      <c r="L305" s="786" t="n">
        <v>36</v>
      </c>
      <c r="M305" s="743">
        <f>IF(C305="TXO",J305-SUM(K305:L305),IF(C305="FITX",IF(E305="新倉",-SUM(K305:L305),IF(F305="賣",(I305-I304)*H305*200-SUM(K305:L305),(I304-I305)*H305*200-SUM(K305:L305)))))</f>
        <v/>
      </c>
      <c r="N305" s="780">
        <f>IF(C305="TXO","",IF(C305="FITX",IF(E305="新倉","",IF(F305="賣",(I305-I304)*H305,(I304-I305)*H305))))</f>
        <v/>
      </c>
      <c r="O305" s="334">
        <f>ABS(J305)</f>
        <v/>
      </c>
      <c r="P305" s="764" t="n"/>
      <c r="R305" s="61" t="n"/>
      <c r="S305" s="61" t="n"/>
      <c r="T305" s="61" t="n"/>
      <c r="U305" s="61" t="n"/>
      <c r="V305" s="61" t="n"/>
      <c r="W305" s="61" t="n"/>
      <c r="X305" s="61" t="n"/>
      <c r="Y305" s="61" t="n"/>
    </row>
    <row r="306" hidden="1" outlineLevel="2" ht="17.25" customHeight="1" thickBot="1">
      <c r="B306" s="369" t="n">
        <v>42577</v>
      </c>
      <c r="C306" s="370" t="inlineStr">
        <is>
          <t>FITX</t>
        </is>
      </c>
      <c r="D306" s="371" t="inlineStr">
        <is>
          <t>台指08</t>
        </is>
      </c>
      <c r="E306" s="371" t="inlineStr">
        <is>
          <t>平倉</t>
        </is>
      </c>
      <c r="F306" s="371" t="inlineStr">
        <is>
          <t>賣</t>
        </is>
      </c>
      <c r="G306" s="371" t="inlineStr">
        <is>
          <t>-</t>
        </is>
      </c>
      <c r="H306" s="785" t="n">
        <v>1</v>
      </c>
      <c r="I306" s="785" t="n">
        <v>8906</v>
      </c>
      <c r="J306" s="785" t="n">
        <v>0</v>
      </c>
      <c r="K306" s="786" t="n">
        <v>100</v>
      </c>
      <c r="L306" s="786" t="n">
        <v>36</v>
      </c>
      <c r="M306" s="743">
        <f>IF(C306="TXO",J306-SUM(K306:L306),IF(C306="FITX",IF(E306="新倉",-SUM(K306:L306),IF(F306="賣",(I306-I305)*H306*200-SUM(K306:L306),(I305-I306)*H306*200-SUM(K306:L306)))))</f>
        <v/>
      </c>
      <c r="N306" s="780">
        <f>IF(C306="TXO","",IF(C306="FITX",IF(E306="新倉","",IF(F306="賣",(I306-I305)*H306,(I305-I306)*H306))))</f>
        <v/>
      </c>
      <c r="O306" s="334">
        <f>ABS(J306)</f>
        <v/>
      </c>
      <c r="P306" s="764" t="n"/>
      <c r="R306" s="61" t="n"/>
      <c r="S306" s="61" t="n"/>
      <c r="T306" s="61" t="n"/>
      <c r="U306" s="61" t="n"/>
      <c r="V306" s="61" t="n"/>
      <c r="W306" s="61" t="n"/>
      <c r="X306" s="61" t="n"/>
      <c r="Y306" s="61" t="n"/>
    </row>
    <row r="307" hidden="1" outlineLevel="2" ht="17.25" customHeight="1" thickBot="1">
      <c r="B307" s="369" t="n">
        <v>42577</v>
      </c>
      <c r="C307" s="370" t="inlineStr">
        <is>
          <t>FITX</t>
        </is>
      </c>
      <c r="D307" s="371" t="inlineStr">
        <is>
          <t>台指08</t>
        </is>
      </c>
      <c r="E307" s="371" t="inlineStr">
        <is>
          <t>新倉</t>
        </is>
      </c>
      <c r="F307" s="371" t="inlineStr">
        <is>
          <t>買</t>
        </is>
      </c>
      <c r="G307" s="371" t="inlineStr">
        <is>
          <t>-</t>
        </is>
      </c>
      <c r="H307" s="785" t="n">
        <v>1</v>
      </c>
      <c r="I307" s="785" t="n">
        <v>8916</v>
      </c>
      <c r="J307" s="785" t="n">
        <v>0</v>
      </c>
      <c r="K307" s="786" t="n">
        <v>100</v>
      </c>
      <c r="L307" s="786" t="n">
        <v>36</v>
      </c>
      <c r="M307" s="743">
        <f>IF(C307="TXO",J307-SUM(K307:L307),IF(C307="FITX",IF(E307="新倉",-SUM(K307:L307),IF(F307="賣",(I307-I306)*H307*200-SUM(K307:L307),(I306-I307)*H307*200-SUM(K307:L307)))))</f>
        <v/>
      </c>
      <c r="N307" s="780">
        <f>IF(C307="TXO","",IF(C307="FITX",IF(E307="新倉","",IF(F307="賣",(I307-I306)*H307,(I306-I307)*H307))))</f>
        <v/>
      </c>
      <c r="O307" s="334">
        <f>ABS(J307)</f>
        <v/>
      </c>
      <c r="P307" s="764" t="n"/>
      <c r="R307" s="61" t="n"/>
      <c r="S307" s="61" t="n"/>
      <c r="T307" s="61" t="n"/>
      <c r="U307" s="61" t="n"/>
      <c r="V307" s="61" t="n"/>
      <c r="W307" s="61" t="n"/>
      <c r="X307" s="61" t="n"/>
      <c r="Y307" s="61" t="n"/>
    </row>
    <row r="308" hidden="1" outlineLevel="2" ht="17.25" customHeight="1" thickBot="1">
      <c r="B308" s="369" t="n">
        <v>42577</v>
      </c>
      <c r="C308" s="370" t="inlineStr">
        <is>
          <t>FITX</t>
        </is>
      </c>
      <c r="D308" s="371" t="inlineStr">
        <is>
          <t>台指08</t>
        </is>
      </c>
      <c r="E308" s="371" t="inlineStr">
        <is>
          <t>平倉</t>
        </is>
      </c>
      <c r="F308" s="371" t="inlineStr">
        <is>
          <t>賣</t>
        </is>
      </c>
      <c r="G308" s="371" t="inlineStr">
        <is>
          <t>-</t>
        </is>
      </c>
      <c r="H308" s="785" t="n">
        <v>1</v>
      </c>
      <c r="I308" s="785" t="n">
        <v>8906</v>
      </c>
      <c r="J308" s="785" t="n">
        <v>0</v>
      </c>
      <c r="K308" s="786" t="n">
        <v>100</v>
      </c>
      <c r="L308" s="786" t="n">
        <v>36</v>
      </c>
      <c r="M308" s="743">
        <f>IF(C308="TXO",J308-SUM(K308:L308),IF(C308="FITX",IF(E308="新倉",-SUM(K308:L308),IF(F308="賣",(I308-I307)*H308*200-SUM(K308:L308),(I307-I308)*H308*200-SUM(K308:L308)))))</f>
        <v/>
      </c>
      <c r="N308" s="780">
        <f>IF(C308="TXO","",IF(C308="FITX",IF(E308="新倉","",IF(F308="賣",(I308-I307)*H308,(I307-I308)*H308))))</f>
        <v/>
      </c>
      <c r="O308" s="334">
        <f>ABS(J308)</f>
        <v/>
      </c>
      <c r="P308" s="764" t="n"/>
      <c r="R308" s="61" t="n"/>
      <c r="S308" s="61" t="n"/>
      <c r="T308" s="61" t="n"/>
      <c r="U308" s="61" t="n"/>
      <c r="V308" s="61" t="n"/>
      <c r="W308" s="61" t="n"/>
      <c r="X308" s="61" t="n"/>
      <c r="Y308" s="61" t="n"/>
    </row>
    <row r="309" hidden="1" outlineLevel="2" ht="17.25" customHeight="1" thickBot="1">
      <c r="B309" s="369" t="n">
        <v>42577</v>
      </c>
      <c r="C309" s="370" t="inlineStr">
        <is>
          <t>FITX</t>
        </is>
      </c>
      <c r="D309" s="371" t="inlineStr">
        <is>
          <t>台指08</t>
        </is>
      </c>
      <c r="E309" s="371" t="inlineStr">
        <is>
          <t>新倉</t>
        </is>
      </c>
      <c r="F309" s="371" t="inlineStr">
        <is>
          <t>賣</t>
        </is>
      </c>
      <c r="G309" s="371" t="inlineStr">
        <is>
          <t>-</t>
        </is>
      </c>
      <c r="H309" s="785" t="n">
        <v>1</v>
      </c>
      <c r="I309" s="785" t="n">
        <v>8903</v>
      </c>
      <c r="J309" s="785" t="n">
        <v>0</v>
      </c>
      <c r="K309" s="786" t="n">
        <v>100</v>
      </c>
      <c r="L309" s="786" t="n">
        <v>36</v>
      </c>
      <c r="M309" s="743">
        <f>IF(C309="TXO",J309-SUM(K309:L309),IF(C309="FITX",IF(E309="新倉",-SUM(K309:L309),IF(F309="賣",(I309-I308)*H309*200-SUM(K309:L309),(I308-I309)*H309*200-SUM(K309:L309)))))</f>
        <v/>
      </c>
      <c r="N309" s="780">
        <f>IF(C309="TXO","",IF(C309="FITX",IF(E309="新倉","",IF(F309="賣",(I309-I308)*H309,(I308-I309)*H309))))</f>
        <v/>
      </c>
      <c r="O309" s="334">
        <f>ABS(J309)</f>
        <v/>
      </c>
      <c r="P309" s="764" t="n"/>
      <c r="R309" s="61" t="n"/>
      <c r="S309" s="61" t="n"/>
      <c r="T309" s="61" t="n"/>
      <c r="U309" s="61" t="n"/>
      <c r="V309" s="61" t="n"/>
      <c r="W309" s="61" t="n"/>
      <c r="X309" s="61" t="n"/>
      <c r="Y309" s="61" t="n"/>
    </row>
    <row r="310" hidden="1" outlineLevel="2" ht="17.25" customHeight="1" thickBot="1">
      <c r="B310" s="369" t="n">
        <v>42577</v>
      </c>
      <c r="C310" s="370" t="inlineStr">
        <is>
          <t>FITX</t>
        </is>
      </c>
      <c r="D310" s="371" t="inlineStr">
        <is>
          <t>台指08</t>
        </is>
      </c>
      <c r="E310" s="371" t="inlineStr">
        <is>
          <t>平倉</t>
        </is>
      </c>
      <c r="F310" s="371" t="inlineStr">
        <is>
          <t>買</t>
        </is>
      </c>
      <c r="G310" s="371" t="inlineStr">
        <is>
          <t>-</t>
        </is>
      </c>
      <c r="H310" s="785" t="n">
        <v>1</v>
      </c>
      <c r="I310" s="785" t="n">
        <v>8910</v>
      </c>
      <c r="J310" s="785" t="n">
        <v>0</v>
      </c>
      <c r="K310" s="786" t="n">
        <v>100</v>
      </c>
      <c r="L310" s="786" t="n">
        <v>36</v>
      </c>
      <c r="M310" s="743">
        <f>IF(C310="TXO",J310-SUM(K310:L310),IF(C310="FITX",IF(E310="新倉",-SUM(K310:L310),IF(F310="賣",(I310-I309)*H310*200-SUM(K310:L310),(I309-I310)*H310*200-SUM(K310:L310)))))</f>
        <v/>
      </c>
      <c r="N310" s="780">
        <f>IF(C310="TXO","",IF(C310="FITX",IF(E310="新倉","",IF(F310="賣",(I310-I309)*H310,(I309-I310)*H310))))</f>
        <v/>
      </c>
      <c r="O310" s="334">
        <f>ABS(J310)</f>
        <v/>
      </c>
      <c r="P310" s="764" t="n"/>
      <c r="R310" s="61" t="n"/>
      <c r="S310" s="61" t="n"/>
      <c r="T310" s="61" t="n"/>
      <c r="U310" s="61" t="n"/>
      <c r="V310" s="61" t="n"/>
      <c r="W310" s="61" t="n"/>
      <c r="X310" s="61" t="n"/>
      <c r="Y310" s="61" t="n"/>
    </row>
    <row r="311" hidden="1" outlineLevel="2" ht="17.25" customHeight="1" thickBot="1">
      <c r="B311" s="369" t="n">
        <v>42577</v>
      </c>
      <c r="C311" s="370" t="inlineStr">
        <is>
          <t>FITX</t>
        </is>
      </c>
      <c r="D311" s="371" t="inlineStr">
        <is>
          <t>台指08</t>
        </is>
      </c>
      <c r="E311" s="371" t="inlineStr">
        <is>
          <t>新倉</t>
        </is>
      </c>
      <c r="F311" s="371" t="inlineStr">
        <is>
          <t>賣</t>
        </is>
      </c>
      <c r="G311" s="371" t="inlineStr">
        <is>
          <t>-</t>
        </is>
      </c>
      <c r="H311" s="785" t="n">
        <v>1</v>
      </c>
      <c r="I311" s="785" t="n">
        <v>8901</v>
      </c>
      <c r="J311" s="785" t="n">
        <v>0</v>
      </c>
      <c r="K311" s="786" t="n">
        <v>100</v>
      </c>
      <c r="L311" s="786" t="n">
        <v>36</v>
      </c>
      <c r="M311" s="743">
        <f>IF(C311="TXO",J311-SUM(K311:L311),IF(C311="FITX",IF(E311="新倉",-SUM(K311:L311),IF(F311="賣",(I311-I310)*H311*200-SUM(K311:L311),(I310-I311)*H311*200-SUM(K311:L311)))))</f>
        <v/>
      </c>
      <c r="N311" s="780">
        <f>IF(C311="TXO","",IF(C311="FITX",IF(E311="新倉","",IF(F311="賣",(I311-I310)*H311,(I310-I311)*H311))))</f>
        <v/>
      </c>
      <c r="O311" s="334">
        <f>ABS(J311)</f>
        <v/>
      </c>
      <c r="P311" s="764" t="n"/>
      <c r="R311" s="61" t="n"/>
      <c r="S311" s="61" t="n"/>
      <c r="T311" s="61" t="n"/>
      <c r="U311" s="61" t="n"/>
      <c r="V311" s="61" t="n"/>
      <c r="W311" s="61" t="n"/>
      <c r="X311" s="61" t="n"/>
      <c r="Y311" s="61" t="n"/>
    </row>
    <row r="312" hidden="1" outlineLevel="2" ht="17.25" customHeight="1" thickBot="1">
      <c r="B312" s="369" t="n">
        <v>42577</v>
      </c>
      <c r="C312" s="370" t="inlineStr">
        <is>
          <t>FITX</t>
        </is>
      </c>
      <c r="D312" s="371" t="inlineStr">
        <is>
          <t>台指08</t>
        </is>
      </c>
      <c r="E312" s="371" t="inlineStr">
        <is>
          <t>平倉</t>
        </is>
      </c>
      <c r="F312" s="371" t="inlineStr">
        <is>
          <t>買</t>
        </is>
      </c>
      <c r="G312" s="371" t="inlineStr">
        <is>
          <t>-</t>
        </is>
      </c>
      <c r="H312" s="785" t="n">
        <v>1</v>
      </c>
      <c r="I312" s="785" t="n">
        <v>8909</v>
      </c>
      <c r="J312" s="785" t="n">
        <v>0</v>
      </c>
      <c r="K312" s="786" t="n">
        <v>100</v>
      </c>
      <c r="L312" s="786" t="n">
        <v>36</v>
      </c>
      <c r="M312" s="743">
        <f>IF(C312="TXO",J312-SUM(K312:L312),IF(C312="FITX",IF(E312="新倉",-SUM(K312:L312),IF(F312="賣",(I312-I311)*H312*200-SUM(K312:L312),(I311-I312)*H312*200-SUM(K312:L312)))))</f>
        <v/>
      </c>
      <c r="N312" s="780">
        <f>IF(C312="TXO","",IF(C312="FITX",IF(E312="新倉","",IF(F312="賣",(I312-I311)*H312,(I311-I312)*H312))))</f>
        <v/>
      </c>
      <c r="O312" s="334">
        <f>ABS(J312)</f>
        <v/>
      </c>
      <c r="P312" s="764" t="n"/>
      <c r="R312" s="61" t="n"/>
      <c r="S312" s="61" t="n"/>
      <c r="T312" s="61" t="n"/>
      <c r="U312" s="61" t="n"/>
      <c r="V312" s="61" t="n"/>
      <c r="W312" s="61" t="n"/>
      <c r="X312" s="61" t="n"/>
      <c r="Y312" s="61" t="n"/>
    </row>
    <row r="313" hidden="1" outlineLevel="2" ht="17.25" customHeight="1" thickBot="1">
      <c r="B313" s="369" t="n">
        <v>42577</v>
      </c>
      <c r="C313" s="370" t="inlineStr">
        <is>
          <t>FITX</t>
        </is>
      </c>
      <c r="D313" s="371" t="inlineStr">
        <is>
          <t>台指08</t>
        </is>
      </c>
      <c r="E313" s="371" t="inlineStr">
        <is>
          <t>新倉</t>
        </is>
      </c>
      <c r="F313" s="371" t="inlineStr">
        <is>
          <t>買</t>
        </is>
      </c>
      <c r="G313" s="371" t="inlineStr">
        <is>
          <t>-</t>
        </is>
      </c>
      <c r="H313" s="785" t="n">
        <v>1</v>
      </c>
      <c r="I313" s="785" t="n">
        <v>8915</v>
      </c>
      <c r="J313" s="785" t="n">
        <v>0</v>
      </c>
      <c r="K313" s="786" t="n">
        <v>100</v>
      </c>
      <c r="L313" s="786" t="n">
        <v>36</v>
      </c>
      <c r="M313" s="743">
        <f>IF(C313="TXO",J313-SUM(K313:L313),IF(C313="FITX",IF(E313="新倉",-SUM(K313:L313),IF(F313="賣",(I313-I312)*H313*200-SUM(K313:L313),(I312-I313)*H313*200-SUM(K313:L313)))))</f>
        <v/>
      </c>
      <c r="N313" s="780">
        <f>IF(C313="TXO","",IF(C313="FITX",IF(E313="新倉","",IF(F313="賣",(I313-I312)*H313,(I312-I313)*H313))))</f>
        <v/>
      </c>
      <c r="O313" s="334">
        <f>ABS(J313)</f>
        <v/>
      </c>
      <c r="P313" s="764" t="n"/>
      <c r="R313" s="61" t="n"/>
      <c r="S313" s="61" t="n"/>
      <c r="T313" s="61" t="n"/>
      <c r="U313" s="61" t="n"/>
      <c r="V313" s="61" t="n"/>
      <c r="W313" s="61" t="n"/>
      <c r="X313" s="61" t="n"/>
      <c r="Y313" s="61" t="n"/>
    </row>
    <row r="314" hidden="1" outlineLevel="2" ht="17.25" customHeight="1" thickBot="1">
      <c r="B314" s="369" t="n">
        <v>42577</v>
      </c>
      <c r="C314" s="370" t="inlineStr">
        <is>
          <t>FITX</t>
        </is>
      </c>
      <c r="D314" s="371" t="inlineStr">
        <is>
          <t>台指08</t>
        </is>
      </c>
      <c r="E314" s="371" t="inlineStr">
        <is>
          <t>平倉</t>
        </is>
      </c>
      <c r="F314" s="371" t="inlineStr">
        <is>
          <t>賣</t>
        </is>
      </c>
      <c r="G314" s="371" t="inlineStr">
        <is>
          <t>-</t>
        </is>
      </c>
      <c r="H314" s="785" t="n">
        <v>1</v>
      </c>
      <c r="I314" s="785" t="n">
        <v>8920</v>
      </c>
      <c r="J314" s="785" t="n">
        <v>0</v>
      </c>
      <c r="K314" s="786" t="n">
        <v>100</v>
      </c>
      <c r="L314" s="786" t="n">
        <v>36</v>
      </c>
      <c r="M314" s="743">
        <f>IF(C314="TXO",J314-SUM(K314:L314),IF(C314="FITX",IF(E314="新倉",-SUM(K314:L314),IF(F314="賣",(I314-I313)*H314*200-SUM(K314:L314),(I313-I314)*H314*200-SUM(K314:L314)))))</f>
        <v/>
      </c>
      <c r="N314" s="780">
        <f>IF(C314="TXO","",IF(C314="FITX",IF(E314="新倉","",IF(F314="賣",(I314-I313)*H314,(I313-I314)*H314))))</f>
        <v/>
      </c>
      <c r="O314" s="334">
        <f>ABS(J314)</f>
        <v/>
      </c>
      <c r="P314" s="764" t="n"/>
      <c r="R314" s="61" t="n"/>
      <c r="S314" s="61" t="n"/>
      <c r="T314" s="61" t="n"/>
      <c r="U314" s="61" t="n"/>
      <c r="V314" s="61" t="n"/>
      <c r="W314" s="61" t="n"/>
      <c r="X314" s="61" t="n"/>
      <c r="Y314" s="61" t="n"/>
    </row>
    <row r="315" hidden="1" outlineLevel="2" ht="17.25" customHeight="1" thickBot="1">
      <c r="B315" s="369" t="n">
        <v>42577</v>
      </c>
      <c r="C315" s="370" t="inlineStr">
        <is>
          <t>FITX</t>
        </is>
      </c>
      <c r="D315" s="371" t="inlineStr">
        <is>
          <t>台指08</t>
        </is>
      </c>
      <c r="E315" s="371" t="inlineStr">
        <is>
          <t>新倉</t>
        </is>
      </c>
      <c r="F315" s="371" t="inlineStr">
        <is>
          <t>賣</t>
        </is>
      </c>
      <c r="G315" s="371" t="inlineStr">
        <is>
          <t>-</t>
        </is>
      </c>
      <c r="H315" s="785" t="n">
        <v>2</v>
      </c>
      <c r="I315" s="785" t="n">
        <v>8933</v>
      </c>
      <c r="J315" s="785" t="n">
        <v>0</v>
      </c>
      <c r="K315" s="786" t="n">
        <v>200</v>
      </c>
      <c r="L315" s="786" t="n">
        <v>72</v>
      </c>
      <c r="M315" s="743">
        <f>IF(C315="TXO",J315-SUM(K315:L315),IF(C315="FITX",IF(E315="新倉",-SUM(K315:L315),IF(F315="賣",(I315-I314)*H315*200-SUM(K315:L315),(I314-I315)*H315*200-SUM(K315:L315)))))</f>
        <v/>
      </c>
      <c r="N315" s="780">
        <f>IF(C315="TXO","",IF(C315="FITX",IF(E315="新倉","",IF(F315="賣",(I315-I314)*H315,(I314-I315)*H315))))</f>
        <v/>
      </c>
      <c r="O315" s="334">
        <f>ABS(J315)</f>
        <v/>
      </c>
      <c r="P315" s="764" t="n"/>
      <c r="R315" s="61" t="n"/>
      <c r="S315" s="61" t="n"/>
      <c r="T315" s="61" t="n"/>
      <c r="U315" s="61" t="n"/>
      <c r="V315" s="61" t="n"/>
      <c r="W315" s="61" t="n"/>
      <c r="X315" s="61" t="n"/>
      <c r="Y315" s="61" t="n"/>
    </row>
    <row r="316" hidden="1" outlineLevel="2" ht="17.25" customHeight="1" thickBot="1">
      <c r="B316" s="369" t="n">
        <v>42577</v>
      </c>
      <c r="C316" s="370" t="inlineStr">
        <is>
          <t>FITX</t>
        </is>
      </c>
      <c r="D316" s="371" t="inlineStr">
        <is>
          <t>台指08</t>
        </is>
      </c>
      <c r="E316" s="371" t="inlineStr">
        <is>
          <t>平倉</t>
        </is>
      </c>
      <c r="F316" s="371" t="inlineStr">
        <is>
          <t>買</t>
        </is>
      </c>
      <c r="G316" s="371" t="inlineStr">
        <is>
          <t>-</t>
        </is>
      </c>
      <c r="H316" s="785" t="n">
        <v>2</v>
      </c>
      <c r="I316" s="785" t="n">
        <v>8928</v>
      </c>
      <c r="J316" s="785" t="n">
        <v>0</v>
      </c>
      <c r="K316" s="786" t="n">
        <v>200</v>
      </c>
      <c r="L316" s="786" t="n">
        <v>72</v>
      </c>
      <c r="M316" s="743">
        <f>IF(C316="TXO",J316-SUM(K316:L316),IF(C316="FITX",IF(E316="新倉",-SUM(K316:L316),IF(F316="賣",(I316-I315)*H316*200-SUM(K316:L316),(I315-I316)*H316*200-SUM(K316:L316)))))</f>
        <v/>
      </c>
      <c r="N316" s="780">
        <f>IF(C316="TXO","",IF(C316="FITX",IF(E316="新倉","",IF(F316="賣",(I316-I315)*H316,(I315-I316)*H316))))</f>
        <v/>
      </c>
      <c r="O316" s="334">
        <f>ABS(J316)</f>
        <v/>
      </c>
      <c r="P316" s="764" t="n"/>
      <c r="R316" s="61" t="n"/>
      <c r="S316" s="61" t="n"/>
      <c r="T316" s="61" t="n"/>
      <c r="U316" s="61" t="n"/>
      <c r="V316" s="61" t="n"/>
      <c r="W316" s="61" t="n"/>
      <c r="X316" s="61" t="n"/>
      <c r="Y316" s="61" t="n"/>
    </row>
    <row r="317" hidden="1" outlineLevel="2" ht="17.25" customHeight="1" thickBot="1">
      <c r="B317" s="369" t="n">
        <v>42577</v>
      </c>
      <c r="C317" s="370" t="inlineStr">
        <is>
          <t>FITX</t>
        </is>
      </c>
      <c r="D317" s="371" t="inlineStr">
        <is>
          <t>台指08</t>
        </is>
      </c>
      <c r="E317" s="371" t="inlineStr">
        <is>
          <t>新倉</t>
        </is>
      </c>
      <c r="F317" s="371" t="inlineStr">
        <is>
          <t>賣</t>
        </is>
      </c>
      <c r="G317" s="371" t="inlineStr">
        <is>
          <t>-</t>
        </is>
      </c>
      <c r="H317" s="785" t="n">
        <v>2</v>
      </c>
      <c r="I317" s="785" t="n">
        <v>8926</v>
      </c>
      <c r="J317" s="785" t="n">
        <v>0</v>
      </c>
      <c r="K317" s="786" t="n">
        <v>200</v>
      </c>
      <c r="L317" s="786" t="n">
        <v>72</v>
      </c>
      <c r="M317" s="743">
        <f>IF(C317="TXO",J317-SUM(K317:L317),IF(C317="FITX",IF(E317="新倉",-SUM(K317:L317),IF(F317="賣",(I317-I316)*H317*200-SUM(K317:L317),(I316-I317)*H317*200-SUM(K317:L317)))))</f>
        <v/>
      </c>
      <c r="N317" s="780">
        <f>IF(C317="TXO","",IF(C317="FITX",IF(E317="新倉","",IF(F317="賣",(I317-I316)*H317,(I316-I317)*H317))))</f>
        <v/>
      </c>
      <c r="O317" s="334">
        <f>ABS(J317)</f>
        <v/>
      </c>
      <c r="P317" s="764" t="n"/>
      <c r="R317" s="61" t="n"/>
      <c r="S317" s="61" t="n"/>
      <c r="T317" s="61" t="n"/>
      <c r="U317" s="61" t="n"/>
      <c r="V317" s="61" t="n"/>
      <c r="W317" s="61" t="n"/>
      <c r="X317" s="61" t="n"/>
      <c r="Y317" s="61" t="n"/>
    </row>
    <row r="318" hidden="1" outlineLevel="2" ht="17.25" customHeight="1" thickBot="1">
      <c r="B318" s="369" t="n">
        <v>42577</v>
      </c>
      <c r="C318" s="370" t="inlineStr">
        <is>
          <t>FITX</t>
        </is>
      </c>
      <c r="D318" s="371" t="inlineStr">
        <is>
          <t>台指08</t>
        </is>
      </c>
      <c r="E318" s="371" t="inlineStr">
        <is>
          <t>平倉</t>
        </is>
      </c>
      <c r="F318" s="371" t="inlineStr">
        <is>
          <t>買</t>
        </is>
      </c>
      <c r="G318" s="371" t="inlineStr">
        <is>
          <t>-</t>
        </is>
      </c>
      <c r="H318" s="785" t="n">
        <v>2</v>
      </c>
      <c r="I318" s="785" t="n">
        <v>8927</v>
      </c>
      <c r="J318" s="785" t="n">
        <v>0</v>
      </c>
      <c r="K318" s="786" t="n">
        <v>200</v>
      </c>
      <c r="L318" s="786" t="n">
        <v>72</v>
      </c>
      <c r="M318" s="743">
        <f>IF(C318="TXO",J318-SUM(K318:L318),IF(C318="FITX",IF(E318="新倉",-SUM(K318:L318),IF(F318="賣",(I318-I317)*H318*200-SUM(K318:L318),(I317-I318)*H318*200-SUM(K318:L318)))))</f>
        <v/>
      </c>
      <c r="N318" s="780">
        <f>IF(C318="TXO","",IF(C318="FITX",IF(E318="新倉","",IF(F318="賣",(I318-I317)*H318,(I317-I318)*H318))))</f>
        <v/>
      </c>
      <c r="O318" s="334">
        <f>ABS(J318)</f>
        <v/>
      </c>
      <c r="P318" s="764" t="n"/>
      <c r="R318" s="61" t="n"/>
      <c r="S318" s="61" t="n"/>
      <c r="T318" s="61" t="n"/>
      <c r="U318" s="61" t="n"/>
      <c r="V318" s="61" t="n"/>
      <c r="W318" s="61" t="n"/>
      <c r="X318" s="61" t="n"/>
      <c r="Y318" s="61" t="n"/>
    </row>
    <row r="319" hidden="1" outlineLevel="2" ht="17.25" customHeight="1" thickBot="1">
      <c r="B319" s="369" t="n">
        <v>42577</v>
      </c>
      <c r="C319" s="370" t="inlineStr">
        <is>
          <t>FITX</t>
        </is>
      </c>
      <c r="D319" s="371" t="inlineStr">
        <is>
          <t>台指08</t>
        </is>
      </c>
      <c r="E319" s="371" t="inlineStr">
        <is>
          <t>新倉</t>
        </is>
      </c>
      <c r="F319" s="371" t="inlineStr">
        <is>
          <t>賣</t>
        </is>
      </c>
      <c r="G319" s="371" t="inlineStr">
        <is>
          <t>-</t>
        </is>
      </c>
      <c r="H319" s="785" t="n">
        <v>2</v>
      </c>
      <c r="I319" s="785" t="n">
        <v>8909</v>
      </c>
      <c r="J319" s="785" t="n">
        <v>0</v>
      </c>
      <c r="K319" s="786" t="n">
        <v>200</v>
      </c>
      <c r="L319" s="786" t="n">
        <v>72</v>
      </c>
      <c r="M319" s="743">
        <f>IF(C319="TXO",J319-SUM(K319:L319),IF(C319="FITX",IF(E319="新倉",-SUM(K319:L319),IF(F319="賣",(I319-I318)*H319*200-SUM(K319:L319),(I318-I319)*H319*200-SUM(K319:L319)))))</f>
        <v/>
      </c>
      <c r="N319" s="780">
        <f>IF(C319="TXO","",IF(C319="FITX",IF(E319="新倉","",IF(F319="賣",(I319-I318)*H319,(I318-I319)*H319))))</f>
        <v/>
      </c>
      <c r="O319" s="334">
        <f>ABS(J319)</f>
        <v/>
      </c>
      <c r="P319" s="764" t="n"/>
      <c r="R319" s="61" t="n"/>
      <c r="S319" s="61" t="n"/>
      <c r="T319" s="61" t="n"/>
      <c r="U319" s="61" t="n"/>
      <c r="V319" s="61" t="n"/>
      <c r="W319" s="61" t="n"/>
      <c r="X319" s="61" t="n"/>
      <c r="Y319" s="61" t="n"/>
    </row>
    <row r="320" hidden="1" outlineLevel="2" ht="17.25" customHeight="1" thickBot="1">
      <c r="B320" s="369" t="n">
        <v>42577</v>
      </c>
      <c r="C320" s="370" t="inlineStr">
        <is>
          <t>FITX</t>
        </is>
      </c>
      <c r="D320" s="371" t="inlineStr">
        <is>
          <t>台指08</t>
        </is>
      </c>
      <c r="E320" s="371" t="inlineStr">
        <is>
          <t>平倉</t>
        </is>
      </c>
      <c r="F320" s="371" t="inlineStr">
        <is>
          <t>買</t>
        </is>
      </c>
      <c r="G320" s="371" t="inlineStr">
        <is>
          <t>-</t>
        </is>
      </c>
      <c r="H320" s="785" t="n">
        <v>2</v>
      </c>
      <c r="I320" s="785" t="n">
        <v>8905</v>
      </c>
      <c r="J320" s="785" t="n">
        <v>0</v>
      </c>
      <c r="K320" s="786" t="n">
        <v>200</v>
      </c>
      <c r="L320" s="786" t="n">
        <v>72</v>
      </c>
      <c r="M320" s="743">
        <f>IF(C320="TXO",J320-SUM(K320:L320),IF(C320="FITX",IF(E320="新倉",-SUM(K320:L320),IF(F320="賣",(I320-I319)*H320*200-SUM(K320:L320),(I319-I320)*H320*200-SUM(K320:L320)))))</f>
        <v/>
      </c>
      <c r="N320" s="780">
        <f>IF(C320="TXO","",IF(C320="FITX",IF(E320="新倉","",IF(F320="賣",(I320-I319)*H320,(I319-I320)*H320))))</f>
        <v/>
      </c>
      <c r="O320" s="334">
        <f>ABS(J320)</f>
        <v/>
      </c>
      <c r="P320" s="764" t="n"/>
      <c r="R320" s="61" t="n"/>
      <c r="S320" s="61" t="n"/>
      <c r="T320" s="61" t="n"/>
      <c r="U320" s="61" t="n"/>
      <c r="V320" s="61" t="n"/>
      <c r="W320" s="61" t="n"/>
      <c r="X320" s="61" t="n"/>
      <c r="Y320" s="61" t="n"/>
    </row>
    <row r="321" hidden="1" outlineLevel="2" ht="17.25" customHeight="1" thickBot="1">
      <c r="B321" s="369" t="n">
        <v>42577</v>
      </c>
      <c r="C321" s="370" t="inlineStr">
        <is>
          <t>FITX</t>
        </is>
      </c>
      <c r="D321" s="371" t="inlineStr">
        <is>
          <t>台指08</t>
        </is>
      </c>
      <c r="E321" s="371" t="inlineStr">
        <is>
          <t>新倉</t>
        </is>
      </c>
      <c r="F321" s="371" t="inlineStr">
        <is>
          <t>賣</t>
        </is>
      </c>
      <c r="G321" s="371" t="inlineStr">
        <is>
          <t>-</t>
        </is>
      </c>
      <c r="H321" s="785" t="n">
        <v>2</v>
      </c>
      <c r="I321" s="785" t="n">
        <v>8905</v>
      </c>
      <c r="J321" s="785" t="n">
        <v>0</v>
      </c>
      <c r="K321" s="786" t="n">
        <v>200</v>
      </c>
      <c r="L321" s="786" t="n">
        <v>72</v>
      </c>
      <c r="M321" s="743">
        <f>IF(C321="TXO",J321-SUM(K321:L321),IF(C321="FITX",IF(E321="新倉",-SUM(K321:L321),IF(F321="賣",(I321-I320)*H321*200-SUM(K321:L321),(I320-I321)*H321*200-SUM(K321:L321)))))</f>
        <v/>
      </c>
      <c r="N321" s="780">
        <f>IF(C321="TXO","",IF(C321="FITX",IF(E321="新倉","",IF(F321="賣",(I321-I320)*H321,(I320-I321)*H321))))</f>
        <v/>
      </c>
      <c r="O321" s="334">
        <f>ABS(J321)</f>
        <v/>
      </c>
      <c r="P321" s="764" t="n"/>
      <c r="R321" s="61" t="n"/>
      <c r="S321" s="61" t="n"/>
      <c r="T321" s="61" t="n"/>
      <c r="U321" s="61" t="n"/>
      <c r="V321" s="61" t="n"/>
      <c r="W321" s="61" t="n"/>
      <c r="X321" s="61" t="n"/>
      <c r="Y321" s="61" t="n"/>
    </row>
    <row r="322" hidden="1" outlineLevel="2" ht="17.25" customHeight="1" thickBot="1">
      <c r="B322" s="369" t="n">
        <v>42577</v>
      </c>
      <c r="C322" s="370" t="inlineStr">
        <is>
          <t>FITX</t>
        </is>
      </c>
      <c r="D322" s="371" t="inlineStr">
        <is>
          <t>台指08</t>
        </is>
      </c>
      <c r="E322" s="371" t="inlineStr">
        <is>
          <t>平倉</t>
        </is>
      </c>
      <c r="F322" s="371" t="inlineStr">
        <is>
          <t>買</t>
        </is>
      </c>
      <c r="G322" s="371" t="inlineStr">
        <is>
          <t>-</t>
        </is>
      </c>
      <c r="H322" s="785" t="n">
        <v>2</v>
      </c>
      <c r="I322" s="785" t="n">
        <v>8911</v>
      </c>
      <c r="J322" s="785" t="n">
        <v>0</v>
      </c>
      <c r="K322" s="786" t="n">
        <v>200</v>
      </c>
      <c r="L322" s="786" t="n">
        <v>72</v>
      </c>
      <c r="M322" s="743">
        <f>IF(C322="TXO",J322-SUM(K322:L322),IF(C322="FITX",IF(E322="新倉",-SUM(K322:L322),IF(F322="賣",(I322-I321)*H322*200-SUM(K322:L322),(I321-I322)*H322*200-SUM(K322:L322)))))</f>
        <v/>
      </c>
      <c r="N322" s="780">
        <f>IF(C322="TXO","",IF(C322="FITX",IF(E322="新倉","",IF(F322="賣",(I322-I321)*H322,(I321-I322)*H322))))</f>
        <v/>
      </c>
      <c r="O322" s="334">
        <f>ABS(J322)</f>
        <v/>
      </c>
      <c r="P322" s="764" t="n"/>
      <c r="R322" s="61" t="n"/>
      <c r="S322" s="61" t="n"/>
      <c r="T322" s="61" t="n"/>
      <c r="U322" s="61" t="n"/>
      <c r="V322" s="61" t="n"/>
      <c r="W322" s="61" t="n"/>
      <c r="X322" s="61" t="n"/>
      <c r="Y322" s="61" t="n"/>
    </row>
    <row r="323" hidden="1" outlineLevel="2" ht="17.25" customHeight="1" thickBot="1">
      <c r="B323" s="369" t="n">
        <v>42577</v>
      </c>
      <c r="C323" s="370" t="inlineStr">
        <is>
          <t>FITX</t>
        </is>
      </c>
      <c r="D323" s="371" t="inlineStr">
        <is>
          <t>台指08</t>
        </is>
      </c>
      <c r="E323" s="371" t="inlineStr">
        <is>
          <t>新倉</t>
        </is>
      </c>
      <c r="F323" s="371" t="inlineStr">
        <is>
          <t>買</t>
        </is>
      </c>
      <c r="G323" s="371" t="inlineStr">
        <is>
          <t>-</t>
        </is>
      </c>
      <c r="H323" s="785" t="n">
        <v>1</v>
      </c>
      <c r="I323" s="785" t="n">
        <v>8916</v>
      </c>
      <c r="J323" s="785" t="n">
        <v>0</v>
      </c>
      <c r="K323" s="786" t="n">
        <v>100</v>
      </c>
      <c r="L323" s="786" t="n">
        <v>36</v>
      </c>
      <c r="M323" s="743">
        <f>IF(C323="TXO",J323-SUM(K323:L323),IF(C323="FITX",IF(E323="新倉",-SUM(K323:L323),IF(F323="賣",(I323-I322)*H323*200-SUM(K323:L323),(I322-I323)*H323*200-SUM(K323:L323)))))</f>
        <v/>
      </c>
      <c r="N323" s="780">
        <f>IF(C323="TXO","",IF(C323="FITX",IF(E323="新倉","",IF(F323="賣",(I323-I322)*H323,(I322-I323)*H323))))</f>
        <v/>
      </c>
      <c r="O323" s="334">
        <f>ABS(J323)</f>
        <v/>
      </c>
      <c r="P323" s="764" t="n"/>
      <c r="R323" s="61" t="n"/>
      <c r="S323" s="61" t="n"/>
      <c r="T323" s="61" t="n"/>
      <c r="U323" s="61" t="n"/>
      <c r="V323" s="61" t="n"/>
      <c r="W323" s="61" t="n"/>
      <c r="X323" s="61" t="n"/>
      <c r="Y323" s="61" t="n"/>
    </row>
    <row r="324" hidden="1" outlineLevel="2" ht="17.25" customHeight="1" thickBot="1">
      <c r="B324" s="369" t="n">
        <v>42577</v>
      </c>
      <c r="C324" s="370" t="inlineStr">
        <is>
          <t>FITX</t>
        </is>
      </c>
      <c r="D324" s="371" t="inlineStr">
        <is>
          <t>台指08</t>
        </is>
      </c>
      <c r="E324" s="371" t="inlineStr">
        <is>
          <t>平倉</t>
        </is>
      </c>
      <c r="F324" s="371" t="inlineStr">
        <is>
          <t>買</t>
        </is>
      </c>
      <c r="G324" s="371" t="inlineStr">
        <is>
          <t>-</t>
        </is>
      </c>
      <c r="H324" s="785" t="n">
        <v>1</v>
      </c>
      <c r="I324" s="785" t="n">
        <v>8915</v>
      </c>
      <c r="J324" s="785" t="n">
        <v>0</v>
      </c>
      <c r="K324" s="786" t="n">
        <v>100</v>
      </c>
      <c r="L324" s="786" t="n">
        <v>36</v>
      </c>
      <c r="M324" s="743">
        <f>IF(C324="TXO",J324-SUM(K324:L324),IF(C324="FITX",IF(E324="新倉",-SUM(K324:L324),IF(F324="賣",(I324-I323)*H324*200-SUM(K324:L324),(I323-I324)*H324*200-SUM(K324:L324)))))</f>
        <v/>
      </c>
      <c r="N324" s="780">
        <f>IF(C324="TXO","",IF(C324="FITX",IF(E324="新倉","",IF(F324="賣",(I324-I323)*H324,(I323-I324)*H324))))</f>
        <v/>
      </c>
      <c r="O324" s="334">
        <f>ABS(J324)</f>
        <v/>
      </c>
      <c r="P324" s="764" t="n"/>
      <c r="R324" s="61" t="n"/>
      <c r="S324" s="61" t="n"/>
      <c r="T324" s="61" t="n"/>
      <c r="U324" s="61" t="n"/>
      <c r="V324" s="61" t="n"/>
      <c r="W324" s="61" t="n"/>
      <c r="X324" s="61" t="n"/>
      <c r="Y324" s="61" t="n"/>
    </row>
    <row r="325" hidden="1" outlineLevel="1" ht="17.25" customHeight="1" thickBot="1">
      <c r="B325" s="368" t="n">
        <v>42578</v>
      </c>
      <c r="C325" s="337" t="inlineStr">
        <is>
          <t>FITX</t>
        </is>
      </c>
      <c r="D325" s="338" t="inlineStr">
        <is>
          <t>台指08</t>
        </is>
      </c>
      <c r="E325" s="338" t="inlineStr">
        <is>
          <t>新倉</t>
        </is>
      </c>
      <c r="F325" s="338" t="inlineStr">
        <is>
          <t>賣</t>
        </is>
      </c>
      <c r="G325" s="338" t="inlineStr">
        <is>
          <t>-</t>
        </is>
      </c>
      <c r="H325" s="767" t="n">
        <v>1</v>
      </c>
      <c r="I325" s="767" t="n">
        <v>9009</v>
      </c>
      <c r="J325" s="767" t="n">
        <v>0</v>
      </c>
      <c r="K325" s="769" t="n">
        <v>100</v>
      </c>
      <c r="L325" s="769" t="n">
        <v>36</v>
      </c>
      <c r="M325" s="699">
        <f>IF(C325="TXO",J325-SUM(K325:L325),IF(C325="FITX",IF(E325="新倉",-SUM(K325:L325),IF(F325="賣",(I325-I324)*H325*200-SUM(K325:L325),(I324-I325)*H325*200-SUM(K325:L325)))))</f>
        <v/>
      </c>
      <c r="N325" s="686">
        <f>IF(C325="TXO","",IF(C325="FITX",IF(E325="新倉","",IF(F325="賣",(I325-I324)*H325,(I324-I325)*H325))))</f>
        <v/>
      </c>
      <c r="O325" s="334">
        <f>ABS(J325)</f>
        <v/>
      </c>
      <c r="P325" s="667">
        <f>SUM(M325:M326)</f>
        <v/>
      </c>
      <c r="R325" s="61" t="n"/>
      <c r="S325" s="61" t="n"/>
      <c r="T325" s="61" t="n"/>
      <c r="U325" s="61" t="n"/>
      <c r="V325" s="61" t="n"/>
      <c r="W325" s="61" t="n"/>
      <c r="X325" s="61" t="n"/>
      <c r="Y325" s="61" t="n"/>
    </row>
    <row r="326" hidden="1" outlineLevel="1" ht="17.25" customHeight="1" thickBot="1">
      <c r="B326" s="368" t="n">
        <v>42578</v>
      </c>
      <c r="C326" s="337" t="inlineStr">
        <is>
          <t>FITX</t>
        </is>
      </c>
      <c r="D326" s="338" t="inlineStr">
        <is>
          <t>台指08</t>
        </is>
      </c>
      <c r="E326" s="338" t="inlineStr">
        <is>
          <t>平倉</t>
        </is>
      </c>
      <c r="F326" s="338" t="inlineStr">
        <is>
          <t>買</t>
        </is>
      </c>
      <c r="G326" s="338" t="inlineStr">
        <is>
          <t>-</t>
        </is>
      </c>
      <c r="H326" s="767" t="n">
        <v>1</v>
      </c>
      <c r="I326" s="767" t="n">
        <v>8979</v>
      </c>
      <c r="J326" s="767" t="n">
        <v>0</v>
      </c>
      <c r="K326" s="769" t="n">
        <v>100</v>
      </c>
      <c r="L326" s="769" t="n">
        <v>36</v>
      </c>
      <c r="M326" s="699">
        <f>IF(C326="TXO",J326-SUM(K326:L326),IF(C326="FITX",IF(E326="新倉",-SUM(K326:L326),IF(F326="賣",(I326-I325)*H326*200-SUM(K326:L326),(I325-I326)*H326*200-SUM(K326:L326)))))</f>
        <v/>
      </c>
      <c r="N326" s="686">
        <f>IF(C326="TXO","",IF(C326="FITX",IF(E326="新倉","",IF(F326="賣",(I326-I325)*H326,(I325-I326)*H326))))</f>
        <v/>
      </c>
      <c r="O326" s="334">
        <f>ABS(J326)</f>
        <v/>
      </c>
      <c r="P326" s="667" t="n"/>
      <c r="R326" s="61" t="n"/>
      <c r="S326" s="61" t="n"/>
      <c r="T326" s="61" t="n"/>
      <c r="U326" s="61" t="n"/>
      <c r="V326" s="61" t="n"/>
      <c r="W326" s="61" t="n"/>
      <c r="X326" s="61" t="n"/>
      <c r="Y326" s="61" t="n"/>
    </row>
    <row r="327" hidden="1" outlineLevel="1" collapsed="1" ht="17.25" customHeight="1" thickBot="1">
      <c r="B327" s="369" t="n">
        <v>42579</v>
      </c>
      <c r="C327" s="370" t="inlineStr">
        <is>
          <t>FITX</t>
        </is>
      </c>
      <c r="D327" s="371" t="inlineStr">
        <is>
          <t>台指08</t>
        </is>
      </c>
      <c r="E327" s="371" t="inlineStr">
        <is>
          <t>新倉</t>
        </is>
      </c>
      <c r="F327" s="371" t="inlineStr">
        <is>
          <t>賣</t>
        </is>
      </c>
      <c r="G327" s="371" t="inlineStr">
        <is>
          <t>-</t>
        </is>
      </c>
      <c r="H327" s="785" t="n">
        <v>2</v>
      </c>
      <c r="I327" s="785" t="n">
        <v>8973</v>
      </c>
      <c r="J327" s="785" t="n">
        <v>0</v>
      </c>
      <c r="K327" s="786" t="n">
        <v>200</v>
      </c>
      <c r="L327" s="786" t="n">
        <v>72</v>
      </c>
      <c r="M327" s="743">
        <f>IF(C327="TXO",J327-SUM(K327:L327),IF(C327="FITX",IF(E327="新倉",-SUM(K327:L327),IF(F327="賣",(I327-I326)*H327*200-SUM(K327:L327),(I326-I327)*H327*200-SUM(K327:L327)))))</f>
        <v/>
      </c>
      <c r="N327" s="780">
        <f>IF(C327="TXO","",IF(C327="FITX",IF(E327="新倉","",IF(F327="賣",(I327-I326)*H327,(I326-I327)*H327))))</f>
        <v/>
      </c>
      <c r="O327" s="334">
        <f>ABS(J327)</f>
        <v/>
      </c>
      <c r="P327" s="764">
        <f>SUM(M327:M352)</f>
        <v/>
      </c>
      <c r="R327" s="61" t="n"/>
      <c r="S327" s="61" t="n"/>
      <c r="T327" s="61" t="n"/>
      <c r="U327" s="61" t="n"/>
      <c r="V327" s="61" t="n"/>
      <c r="W327" s="61" t="n"/>
      <c r="X327" s="61" t="n"/>
      <c r="Y327" s="61" t="n"/>
    </row>
    <row r="328" hidden="1" outlineLevel="2" ht="17.25" customHeight="1" thickBot="1">
      <c r="B328" s="369" t="n">
        <v>42579</v>
      </c>
      <c r="C328" s="370" t="inlineStr">
        <is>
          <t>FITX</t>
        </is>
      </c>
      <c r="D328" s="371" t="inlineStr">
        <is>
          <t>台指08</t>
        </is>
      </c>
      <c r="E328" s="371" t="inlineStr">
        <is>
          <t>平倉</t>
        </is>
      </c>
      <c r="F328" s="371" t="inlineStr">
        <is>
          <t>買</t>
        </is>
      </c>
      <c r="G328" s="371" t="inlineStr">
        <is>
          <t>-</t>
        </is>
      </c>
      <c r="H328" s="785" t="n">
        <v>2</v>
      </c>
      <c r="I328" s="785" t="n">
        <v>8981</v>
      </c>
      <c r="J328" s="785" t="n">
        <v>0</v>
      </c>
      <c r="K328" s="786" t="n">
        <v>200</v>
      </c>
      <c r="L328" s="786" t="n">
        <v>72</v>
      </c>
      <c r="M328" s="743">
        <f>IF(C328="TXO",J328-SUM(K328:L328),IF(C328="FITX",IF(E328="新倉",-SUM(K328:L328),IF(F328="賣",(I328-I327)*H328*200-SUM(K328:L328),(I327-I328)*H328*200-SUM(K328:L328)))))</f>
        <v/>
      </c>
      <c r="N328" s="780">
        <f>IF(C328="TXO","",IF(C328="FITX",IF(E328="新倉","",IF(F328="賣",(I328-I327)*H328,(I327-I328)*H328))))</f>
        <v/>
      </c>
      <c r="O328" s="334">
        <f>ABS(J328)</f>
        <v/>
      </c>
      <c r="P328" s="764" t="n"/>
      <c r="R328" s="61" t="n"/>
      <c r="S328" s="61" t="n"/>
      <c r="T328" s="61" t="n"/>
      <c r="U328" s="61" t="n"/>
      <c r="V328" s="61" t="n"/>
      <c r="W328" s="61" t="n"/>
      <c r="X328" s="61" t="n"/>
      <c r="Y328" s="61" t="n"/>
    </row>
    <row r="329" hidden="1" outlineLevel="2" ht="17.25" customHeight="1" thickBot="1">
      <c r="B329" s="369" t="n">
        <v>42579</v>
      </c>
      <c r="C329" s="370" t="inlineStr">
        <is>
          <t>FITX</t>
        </is>
      </c>
      <c r="D329" s="371" t="inlineStr">
        <is>
          <t>台指08</t>
        </is>
      </c>
      <c r="E329" s="371" t="inlineStr">
        <is>
          <t>新倉</t>
        </is>
      </c>
      <c r="F329" s="371" t="inlineStr">
        <is>
          <t>賣</t>
        </is>
      </c>
      <c r="G329" s="371" t="inlineStr">
        <is>
          <t>-</t>
        </is>
      </c>
      <c r="H329" s="785" t="n">
        <v>1</v>
      </c>
      <c r="I329" s="785" t="n">
        <v>8959</v>
      </c>
      <c r="J329" s="785" t="n">
        <v>0</v>
      </c>
      <c r="K329" s="786" t="n">
        <v>100</v>
      </c>
      <c r="L329" s="786" t="n">
        <v>36</v>
      </c>
      <c r="M329" s="743">
        <f>IF(C329="TXO",J329-SUM(K329:L329),IF(C329="FITX",IF(E329="新倉",-SUM(K329:L329),IF(F329="賣",(I329-I328)*H329*200-SUM(K329:L329),(I328-I329)*H329*200-SUM(K329:L329)))))</f>
        <v/>
      </c>
      <c r="N329" s="780">
        <f>IF(C329="TXO","",IF(C329="FITX",IF(E329="新倉","",IF(F329="賣",(I329-I328)*H329,(I328-I329)*H329))))</f>
        <v/>
      </c>
      <c r="O329" s="334">
        <f>ABS(J329)</f>
        <v/>
      </c>
      <c r="P329" s="764" t="n"/>
      <c r="R329" s="61" t="n"/>
      <c r="S329" s="61" t="n"/>
      <c r="T329" s="61" t="n"/>
      <c r="U329" s="61" t="n"/>
      <c r="V329" s="61" t="n"/>
      <c r="W329" s="61" t="n"/>
      <c r="X329" s="61" t="n"/>
      <c r="Y329" s="61" t="n"/>
    </row>
    <row r="330" hidden="1" outlineLevel="2" ht="17.25" customHeight="1" thickBot="1">
      <c r="B330" s="369" t="n">
        <v>42579</v>
      </c>
      <c r="C330" s="370" t="inlineStr">
        <is>
          <t>FITX</t>
        </is>
      </c>
      <c r="D330" s="371" t="inlineStr">
        <is>
          <t>台指08</t>
        </is>
      </c>
      <c r="E330" s="371" t="inlineStr">
        <is>
          <t>平倉</t>
        </is>
      </c>
      <c r="F330" s="371" t="inlineStr">
        <is>
          <t>買</t>
        </is>
      </c>
      <c r="G330" s="371" t="inlineStr">
        <is>
          <t>-</t>
        </is>
      </c>
      <c r="H330" s="785" t="n">
        <v>1</v>
      </c>
      <c r="I330" s="785" t="n">
        <v>8969</v>
      </c>
      <c r="J330" s="785" t="n">
        <v>0</v>
      </c>
      <c r="K330" s="786" t="n">
        <v>100</v>
      </c>
      <c r="L330" s="786" t="n">
        <v>36</v>
      </c>
      <c r="M330" s="743">
        <f>IF(C330="TXO",J330-SUM(K330:L330),IF(C330="FITX",IF(E330="新倉",-SUM(K330:L330),IF(F330="賣",(I330-I329)*H330*200-SUM(K330:L330),(I329-I330)*H330*200-SUM(K330:L330)))))</f>
        <v/>
      </c>
      <c r="N330" s="780">
        <f>IF(C330="TXO","",IF(C330="FITX",IF(E330="新倉","",IF(F330="賣",(I330-I329)*H330,(I329-I330)*H330))))</f>
        <v/>
      </c>
      <c r="O330" s="334">
        <f>ABS(J330)</f>
        <v/>
      </c>
      <c r="P330" s="764" t="n"/>
      <c r="R330" s="61" t="n"/>
      <c r="S330" s="61" t="n"/>
      <c r="T330" s="61" t="n"/>
      <c r="U330" s="61" t="n"/>
      <c r="V330" s="61" t="n"/>
      <c r="W330" s="61" t="n"/>
      <c r="X330" s="61" t="n"/>
      <c r="Y330" s="61" t="n"/>
    </row>
    <row r="331" hidden="1" outlineLevel="2" ht="17.25" customHeight="1" thickBot="1">
      <c r="B331" s="369" t="n">
        <v>42579</v>
      </c>
      <c r="C331" s="370" t="inlineStr">
        <is>
          <t>FITX</t>
        </is>
      </c>
      <c r="D331" s="371" t="inlineStr">
        <is>
          <t>台指08</t>
        </is>
      </c>
      <c r="E331" s="371" t="inlineStr">
        <is>
          <t>新倉</t>
        </is>
      </c>
      <c r="F331" s="371" t="inlineStr">
        <is>
          <t>賣</t>
        </is>
      </c>
      <c r="G331" s="371" t="inlineStr">
        <is>
          <t>-</t>
        </is>
      </c>
      <c r="H331" s="785" t="n">
        <v>1</v>
      </c>
      <c r="I331" s="785" t="n">
        <v>8959</v>
      </c>
      <c r="J331" s="785" t="n">
        <v>0</v>
      </c>
      <c r="K331" s="786" t="n">
        <v>100</v>
      </c>
      <c r="L331" s="786" t="n">
        <v>36</v>
      </c>
      <c r="M331" s="743">
        <f>IF(C331="TXO",J331-SUM(K331:L331),IF(C331="FITX",IF(E331="新倉",-SUM(K331:L331),IF(F331="賣",(I331-I330)*H331*200-SUM(K331:L331),(I330-I331)*H331*200-SUM(K331:L331)))))</f>
        <v/>
      </c>
      <c r="N331" s="780">
        <f>IF(C331="TXO","",IF(C331="FITX",IF(E331="新倉","",IF(F331="賣",(I331-I330)*H331,(I330-I331)*H331))))</f>
        <v/>
      </c>
      <c r="O331" s="334">
        <f>ABS(J331)</f>
        <v/>
      </c>
      <c r="P331" s="764" t="n"/>
      <c r="R331" s="61" t="n"/>
      <c r="S331" s="61" t="n"/>
      <c r="T331" s="61" t="n"/>
      <c r="U331" s="61" t="n"/>
      <c r="V331" s="61" t="n"/>
      <c r="W331" s="61" t="n"/>
      <c r="X331" s="61" t="n"/>
      <c r="Y331" s="61" t="n"/>
    </row>
    <row r="332" hidden="1" outlineLevel="2" ht="17.25" customHeight="1" thickBot="1">
      <c r="B332" s="369" t="n">
        <v>42579</v>
      </c>
      <c r="C332" s="370" t="inlineStr">
        <is>
          <t>FITX</t>
        </is>
      </c>
      <c r="D332" s="371" t="inlineStr">
        <is>
          <t>台指08</t>
        </is>
      </c>
      <c r="E332" s="371" t="inlineStr">
        <is>
          <t>平倉</t>
        </is>
      </c>
      <c r="F332" s="371" t="inlineStr">
        <is>
          <t>買</t>
        </is>
      </c>
      <c r="G332" s="371" t="inlineStr">
        <is>
          <t>-</t>
        </is>
      </c>
      <c r="H332" s="785" t="n">
        <v>1</v>
      </c>
      <c r="I332" s="785" t="n">
        <v>8968</v>
      </c>
      <c r="J332" s="785" t="n">
        <v>0</v>
      </c>
      <c r="K332" s="786" t="n">
        <v>100</v>
      </c>
      <c r="L332" s="786" t="n">
        <v>36</v>
      </c>
      <c r="M332" s="743">
        <f>IF(C332="TXO",J332-SUM(K332:L332),IF(C332="FITX",IF(E332="新倉",-SUM(K332:L332),IF(F332="賣",(I332-I331)*H332*200-SUM(K332:L332),(I331-I332)*H332*200-SUM(K332:L332)))))</f>
        <v/>
      </c>
      <c r="N332" s="780">
        <f>IF(C332="TXO","",IF(C332="FITX",IF(E332="新倉","",IF(F332="賣",(I332-I331)*H332,(I331-I332)*H332))))</f>
        <v/>
      </c>
      <c r="O332" s="334">
        <f>ABS(J332)</f>
        <v/>
      </c>
      <c r="P332" s="764" t="n"/>
      <c r="R332" s="61" t="n"/>
      <c r="S332" s="61" t="n"/>
      <c r="T332" s="61" t="n"/>
      <c r="U332" s="61" t="n"/>
      <c r="V332" s="61" t="n"/>
      <c r="W332" s="61" t="n"/>
      <c r="X332" s="61" t="n"/>
      <c r="Y332" s="61" t="n"/>
    </row>
    <row r="333" hidden="1" outlineLevel="2" ht="17.25" customHeight="1" thickBot="1">
      <c r="B333" s="369" t="n">
        <v>42579</v>
      </c>
      <c r="C333" s="370" t="inlineStr">
        <is>
          <t>FITX</t>
        </is>
      </c>
      <c r="D333" s="371" t="inlineStr">
        <is>
          <t>台指08</t>
        </is>
      </c>
      <c r="E333" s="371" t="inlineStr">
        <is>
          <t>新倉</t>
        </is>
      </c>
      <c r="F333" s="371" t="inlineStr">
        <is>
          <t>賣</t>
        </is>
      </c>
      <c r="G333" s="371" t="inlineStr">
        <is>
          <t>-</t>
        </is>
      </c>
      <c r="H333" s="785" t="n">
        <v>2</v>
      </c>
      <c r="I333" s="785" t="n">
        <v>8970</v>
      </c>
      <c r="J333" s="785" t="n">
        <v>0</v>
      </c>
      <c r="K333" s="786" t="n">
        <v>200</v>
      </c>
      <c r="L333" s="786" t="n">
        <v>72</v>
      </c>
      <c r="M333" s="743">
        <f>IF(C333="TXO",J333-SUM(K333:L333),IF(C333="FITX",IF(E333="新倉",-SUM(K333:L333),IF(F333="賣",(I333-I332)*H333*200-SUM(K333:L333),(I332-I333)*H333*200-SUM(K333:L333)))))</f>
        <v/>
      </c>
      <c r="N333" s="780">
        <f>IF(C333="TXO","",IF(C333="FITX",IF(E333="新倉","",IF(F333="賣",(I333-I332)*H333,(I332-I333)*H333))))</f>
        <v/>
      </c>
      <c r="O333" s="334">
        <f>ABS(J333)</f>
        <v/>
      </c>
      <c r="P333" s="764" t="n"/>
      <c r="R333" s="61" t="n"/>
      <c r="S333" s="61" t="n"/>
      <c r="T333" s="61" t="n"/>
      <c r="U333" s="61" t="n"/>
      <c r="V333" s="61" t="n"/>
      <c r="W333" s="61" t="n"/>
      <c r="X333" s="61" t="n"/>
      <c r="Y333" s="61" t="n"/>
    </row>
    <row r="334" hidden="1" outlineLevel="2" ht="17.25" customHeight="1" thickBot="1">
      <c r="B334" s="369" t="n">
        <v>42579</v>
      </c>
      <c r="C334" s="370" t="inlineStr">
        <is>
          <t>FITX</t>
        </is>
      </c>
      <c r="D334" s="371" t="inlineStr">
        <is>
          <t>台指08</t>
        </is>
      </c>
      <c r="E334" s="371" t="inlineStr">
        <is>
          <t>平倉</t>
        </is>
      </c>
      <c r="F334" s="371" t="inlineStr">
        <is>
          <t>買</t>
        </is>
      </c>
      <c r="G334" s="371" t="inlineStr">
        <is>
          <t>-</t>
        </is>
      </c>
      <c r="H334" s="785" t="n">
        <v>2</v>
      </c>
      <c r="I334" s="785" t="n">
        <v>8979</v>
      </c>
      <c r="J334" s="785" t="n">
        <v>0</v>
      </c>
      <c r="K334" s="786" t="n">
        <v>200</v>
      </c>
      <c r="L334" s="786" t="n">
        <v>72</v>
      </c>
      <c r="M334" s="743">
        <f>IF(C334="TXO",J334-SUM(K334:L334),IF(C334="FITX",IF(E334="新倉",-SUM(K334:L334),IF(F334="賣",(I334-I333)*H334*200-SUM(K334:L334),(I333-I334)*H334*200-SUM(K334:L334)))))</f>
        <v/>
      </c>
      <c r="N334" s="780">
        <f>IF(C334="TXO","",IF(C334="FITX",IF(E334="新倉","",IF(F334="賣",(I334-I333)*H334,(I333-I334)*H334))))</f>
        <v/>
      </c>
      <c r="O334" s="334">
        <f>ABS(J334)</f>
        <v/>
      </c>
      <c r="P334" s="764" t="n"/>
      <c r="R334" s="61" t="n"/>
      <c r="S334" s="61" t="n"/>
      <c r="T334" s="61" t="n"/>
      <c r="U334" s="61" t="n"/>
      <c r="V334" s="61" t="n"/>
      <c r="W334" s="61" t="n"/>
      <c r="X334" s="61" t="n"/>
      <c r="Y334" s="61" t="n"/>
    </row>
    <row r="335" hidden="1" outlineLevel="2" ht="17.25" customHeight="1" thickBot="1">
      <c r="B335" s="369" t="n">
        <v>42579</v>
      </c>
      <c r="C335" s="370" t="inlineStr">
        <is>
          <t>FITX</t>
        </is>
      </c>
      <c r="D335" s="371" t="inlineStr">
        <is>
          <t>台指08</t>
        </is>
      </c>
      <c r="E335" s="371" t="inlineStr">
        <is>
          <t>新倉</t>
        </is>
      </c>
      <c r="F335" s="371" t="inlineStr">
        <is>
          <t>賣</t>
        </is>
      </c>
      <c r="G335" s="371" t="inlineStr">
        <is>
          <t>-</t>
        </is>
      </c>
      <c r="H335" s="785" t="n">
        <v>1</v>
      </c>
      <c r="I335" s="785" t="n">
        <v>8970</v>
      </c>
      <c r="J335" s="785" t="n">
        <v>0</v>
      </c>
      <c r="K335" s="786" t="n">
        <v>100</v>
      </c>
      <c r="L335" s="786" t="n">
        <v>36</v>
      </c>
      <c r="M335" s="743">
        <f>IF(C335="TXO",J335-SUM(K335:L335),IF(C335="FITX",IF(E335="新倉",-SUM(K335:L335),IF(F335="賣",(I335-I334)*H335*200-SUM(K335:L335),(I334-I335)*H335*200-SUM(K335:L335)))))</f>
        <v/>
      </c>
      <c r="N335" s="780">
        <f>IF(C335="TXO","",IF(C335="FITX",IF(E335="新倉","",IF(F335="賣",(I335-I334)*H335,(I334-I335)*H335))))</f>
        <v/>
      </c>
      <c r="O335" s="334">
        <f>ABS(J335)</f>
        <v/>
      </c>
      <c r="P335" s="764" t="n"/>
      <c r="R335" s="61" t="n"/>
      <c r="S335" s="61" t="n"/>
      <c r="T335" s="61" t="n"/>
      <c r="U335" s="61" t="n"/>
      <c r="V335" s="61" t="n"/>
      <c r="W335" s="61" t="n"/>
      <c r="X335" s="61" t="n"/>
      <c r="Y335" s="61" t="n"/>
    </row>
    <row r="336" hidden="1" outlineLevel="2" ht="17.25" customHeight="1" thickBot="1">
      <c r="B336" s="369" t="n">
        <v>42579</v>
      </c>
      <c r="C336" s="370" t="inlineStr">
        <is>
          <t>FITX</t>
        </is>
      </c>
      <c r="D336" s="371" t="inlineStr">
        <is>
          <t>台指08</t>
        </is>
      </c>
      <c r="E336" s="371" t="inlineStr">
        <is>
          <t>平倉</t>
        </is>
      </c>
      <c r="F336" s="371" t="inlineStr">
        <is>
          <t>買</t>
        </is>
      </c>
      <c r="G336" s="371" t="inlineStr">
        <is>
          <t>-</t>
        </is>
      </c>
      <c r="H336" s="785" t="n">
        <v>1</v>
      </c>
      <c r="I336" s="785" t="n">
        <v>8981</v>
      </c>
      <c r="J336" s="785" t="n">
        <v>0</v>
      </c>
      <c r="K336" s="786" t="n">
        <v>100</v>
      </c>
      <c r="L336" s="786" t="n">
        <v>36</v>
      </c>
      <c r="M336" s="743">
        <f>IF(C336="TXO",J336-SUM(K336:L336),IF(C336="FITX",IF(E336="新倉",-SUM(K336:L336),IF(F336="賣",(I336-I335)*H336*200-SUM(K336:L336),(I335-I336)*H336*200-SUM(K336:L336)))))</f>
        <v/>
      </c>
      <c r="N336" s="780">
        <f>IF(C336="TXO","",IF(C336="FITX",IF(E336="新倉","",IF(F336="賣",(I336-I335)*H336,(I335-I336)*H336))))</f>
        <v/>
      </c>
      <c r="O336" s="334">
        <f>ABS(J336)</f>
        <v/>
      </c>
      <c r="P336" s="764" t="n"/>
      <c r="R336" s="61" t="n"/>
      <c r="S336" s="61" t="n"/>
      <c r="T336" s="61" t="n"/>
      <c r="U336" s="61" t="n"/>
      <c r="V336" s="61" t="n"/>
      <c r="W336" s="61" t="n"/>
      <c r="X336" s="61" t="n"/>
      <c r="Y336" s="61" t="n"/>
    </row>
    <row r="337" hidden="1" outlineLevel="2" ht="17.25" customHeight="1" thickBot="1">
      <c r="B337" s="369" t="n">
        <v>42579</v>
      </c>
      <c r="C337" s="370" t="inlineStr">
        <is>
          <t>FITX</t>
        </is>
      </c>
      <c r="D337" s="371" t="inlineStr">
        <is>
          <t>台指08</t>
        </is>
      </c>
      <c r="E337" s="371" t="inlineStr">
        <is>
          <t>新倉</t>
        </is>
      </c>
      <c r="F337" s="371" t="inlineStr">
        <is>
          <t>買</t>
        </is>
      </c>
      <c r="G337" s="371" t="inlineStr">
        <is>
          <t>-</t>
        </is>
      </c>
      <c r="H337" s="785" t="n">
        <v>2</v>
      </c>
      <c r="I337" s="785" t="n">
        <v>8975</v>
      </c>
      <c r="J337" s="785" t="n">
        <v>0</v>
      </c>
      <c r="K337" s="786" t="n">
        <v>200</v>
      </c>
      <c r="L337" s="786" t="n">
        <v>72</v>
      </c>
      <c r="M337" s="743">
        <f>IF(C337="TXO",J337-SUM(K337:L337),IF(C337="FITX",IF(E337="新倉",-SUM(K337:L337),IF(F337="賣",(I337-I336)*H337*200-SUM(K337:L337),(I336-I337)*H337*200-SUM(K337:L337)))))</f>
        <v/>
      </c>
      <c r="N337" s="780">
        <f>IF(C337="TXO","",IF(C337="FITX",IF(E337="新倉","",IF(F337="賣",(I337-I336)*H337,(I336-I337)*H337))))</f>
        <v/>
      </c>
      <c r="O337" s="334">
        <f>ABS(J337)</f>
        <v/>
      </c>
      <c r="P337" s="764" t="n"/>
      <c r="R337" s="61" t="n"/>
      <c r="S337" s="61" t="n"/>
      <c r="T337" s="61" t="n"/>
      <c r="U337" s="61" t="n"/>
      <c r="V337" s="61" t="n"/>
      <c r="W337" s="61" t="n"/>
      <c r="X337" s="61" t="n"/>
      <c r="Y337" s="61" t="n"/>
    </row>
    <row r="338" hidden="1" outlineLevel="2" ht="17.25" customHeight="1" thickBot="1">
      <c r="B338" s="369" t="n">
        <v>42579</v>
      </c>
      <c r="C338" s="370" t="inlineStr">
        <is>
          <t>FITX</t>
        </is>
      </c>
      <c r="D338" s="371" t="inlineStr">
        <is>
          <t>台指08</t>
        </is>
      </c>
      <c r="E338" s="371" t="inlineStr">
        <is>
          <t>平倉</t>
        </is>
      </c>
      <c r="F338" s="371" t="inlineStr">
        <is>
          <t>賣</t>
        </is>
      </c>
      <c r="G338" s="371" t="inlineStr">
        <is>
          <t>-</t>
        </is>
      </c>
      <c r="H338" s="785" t="n">
        <v>2</v>
      </c>
      <c r="I338" s="785" t="n">
        <v>8977</v>
      </c>
      <c r="J338" s="785" t="n">
        <v>0</v>
      </c>
      <c r="K338" s="786" t="n">
        <v>200</v>
      </c>
      <c r="L338" s="786" t="n">
        <v>72</v>
      </c>
      <c r="M338" s="743">
        <f>IF(C338="TXO",J338-SUM(K338:L338),IF(C338="FITX",IF(E338="新倉",-SUM(K338:L338),IF(F338="賣",(I338-I337)*H338*200-SUM(K338:L338),(I337-I338)*H338*200-SUM(K338:L338)))))</f>
        <v/>
      </c>
      <c r="N338" s="780">
        <f>IF(C338="TXO","",IF(C338="FITX",IF(E338="新倉","",IF(F338="賣",(I338-I337)*H338,(I337-I338)*H338))))</f>
        <v/>
      </c>
      <c r="O338" s="334">
        <f>ABS(J338)</f>
        <v/>
      </c>
      <c r="P338" s="764" t="n"/>
      <c r="R338" s="61" t="n"/>
      <c r="S338" s="61" t="n"/>
      <c r="T338" s="61" t="n"/>
      <c r="U338" s="61" t="n"/>
      <c r="V338" s="61" t="n"/>
      <c r="W338" s="61" t="n"/>
      <c r="X338" s="61" t="n"/>
      <c r="Y338" s="61" t="n"/>
    </row>
    <row r="339" hidden="1" outlineLevel="2" ht="17.25" customHeight="1" thickBot="1">
      <c r="B339" s="369" t="n">
        <v>42579</v>
      </c>
      <c r="C339" s="370" t="inlineStr">
        <is>
          <t>FITX</t>
        </is>
      </c>
      <c r="D339" s="371" t="inlineStr">
        <is>
          <t>台指08</t>
        </is>
      </c>
      <c r="E339" s="371" t="inlineStr">
        <is>
          <t>新倉</t>
        </is>
      </c>
      <c r="F339" s="371" t="inlineStr">
        <is>
          <t>買</t>
        </is>
      </c>
      <c r="G339" s="371" t="inlineStr">
        <is>
          <t>-</t>
        </is>
      </c>
      <c r="H339" s="785" t="n">
        <v>2</v>
      </c>
      <c r="I339" s="785" t="n">
        <v>8980</v>
      </c>
      <c r="J339" s="785" t="n">
        <v>0</v>
      </c>
      <c r="K339" s="786" t="n">
        <v>200</v>
      </c>
      <c r="L339" s="786" t="n">
        <v>72</v>
      </c>
      <c r="M339" s="743">
        <f>IF(C339="TXO",J339-SUM(K339:L339),IF(C339="FITX",IF(E339="新倉",-SUM(K339:L339),IF(F339="賣",(I339-I338)*H339*200-SUM(K339:L339),(I338-I339)*H339*200-SUM(K339:L339)))))</f>
        <v/>
      </c>
      <c r="N339" s="780">
        <f>IF(C339="TXO","",IF(C339="FITX",IF(E339="新倉","",IF(F339="賣",(I339-I338)*H339,(I338-I339)*H339))))</f>
        <v/>
      </c>
      <c r="O339" s="334">
        <f>ABS(J339)</f>
        <v/>
      </c>
      <c r="P339" s="764" t="n"/>
      <c r="R339" s="61" t="n"/>
      <c r="S339" s="61" t="n"/>
      <c r="T339" s="61" t="n"/>
      <c r="U339" s="61" t="n"/>
      <c r="V339" s="61" t="n"/>
      <c r="W339" s="61" t="n"/>
      <c r="X339" s="61" t="n"/>
      <c r="Y339" s="61" t="n"/>
    </row>
    <row r="340" hidden="1" outlineLevel="2" ht="17.25" customHeight="1" thickBot="1">
      <c r="B340" s="369" t="n">
        <v>42579</v>
      </c>
      <c r="C340" s="370" t="inlineStr">
        <is>
          <t>FITX</t>
        </is>
      </c>
      <c r="D340" s="371" t="inlineStr">
        <is>
          <t>台指08</t>
        </is>
      </c>
      <c r="E340" s="371" t="inlineStr">
        <is>
          <t>平倉</t>
        </is>
      </c>
      <c r="F340" s="371" t="inlineStr">
        <is>
          <t>賣</t>
        </is>
      </c>
      <c r="G340" s="371" t="inlineStr">
        <is>
          <t>-</t>
        </is>
      </c>
      <c r="H340" s="785" t="n">
        <v>2</v>
      </c>
      <c r="I340" s="785" t="n">
        <v>9000</v>
      </c>
      <c r="J340" s="785" t="n">
        <v>0</v>
      </c>
      <c r="K340" s="786" t="n">
        <v>200</v>
      </c>
      <c r="L340" s="786" t="n">
        <v>72</v>
      </c>
      <c r="M340" s="743">
        <f>IF(C340="TXO",J340-SUM(K340:L340),IF(C340="FITX",IF(E340="新倉",-SUM(K340:L340),IF(F340="賣",(I340-I339)*H340*200-SUM(K340:L340),(I339-I340)*H340*200-SUM(K340:L340)))))</f>
        <v/>
      </c>
      <c r="N340" s="780">
        <f>IF(C340="TXO","",IF(C340="FITX",IF(E340="新倉","",IF(F340="賣",(I340-I339)*H340,(I339-I340)*H340))))</f>
        <v/>
      </c>
      <c r="O340" s="334">
        <f>ABS(J340)</f>
        <v/>
      </c>
      <c r="P340" s="764" t="n"/>
      <c r="R340" s="61" t="n"/>
      <c r="S340" s="61" t="n"/>
      <c r="T340" s="61" t="n"/>
      <c r="U340" s="61" t="n"/>
      <c r="V340" s="61" t="n"/>
      <c r="W340" s="61" t="n"/>
      <c r="X340" s="61" t="n"/>
      <c r="Y340" s="61" t="n"/>
    </row>
    <row r="341" hidden="1" outlineLevel="2" ht="17.25" customHeight="1" thickBot="1">
      <c r="B341" s="369" t="n">
        <v>42579</v>
      </c>
      <c r="C341" s="370" t="inlineStr">
        <is>
          <t>FITX</t>
        </is>
      </c>
      <c r="D341" s="371" t="inlineStr">
        <is>
          <t>台指08</t>
        </is>
      </c>
      <c r="E341" s="371" t="inlineStr">
        <is>
          <t>新倉</t>
        </is>
      </c>
      <c r="F341" s="371" t="inlineStr">
        <is>
          <t>買</t>
        </is>
      </c>
      <c r="G341" s="371" t="inlineStr">
        <is>
          <t>-</t>
        </is>
      </c>
      <c r="H341" s="785" t="n">
        <v>2</v>
      </c>
      <c r="I341" s="785" t="n">
        <v>9000</v>
      </c>
      <c r="J341" s="785" t="n">
        <v>0</v>
      </c>
      <c r="K341" s="786" t="n">
        <v>200</v>
      </c>
      <c r="L341" s="786" t="n">
        <v>72</v>
      </c>
      <c r="M341" s="743">
        <f>IF(C341="TXO",J341-SUM(K341:L341),IF(C341="FITX",IF(E341="新倉",-SUM(K341:L341),IF(F341="賣",(I341-I340)*H341*200-SUM(K341:L341),(I340-I341)*H341*200-SUM(K341:L341)))))</f>
        <v/>
      </c>
      <c r="N341" s="780">
        <f>IF(C341="TXO","",IF(C341="FITX",IF(E341="新倉","",IF(F341="賣",(I341-I340)*H341,(I340-I341)*H341))))</f>
        <v/>
      </c>
      <c r="O341" s="334">
        <f>ABS(J341)</f>
        <v/>
      </c>
      <c r="P341" s="764" t="n"/>
      <c r="R341" s="61" t="n"/>
      <c r="S341" s="61" t="n"/>
      <c r="T341" s="61" t="n"/>
      <c r="U341" s="61" t="n"/>
      <c r="V341" s="61" t="n"/>
      <c r="W341" s="61" t="n"/>
      <c r="X341" s="61" t="n"/>
      <c r="Y341" s="61" t="n"/>
    </row>
    <row r="342" hidden="1" outlineLevel="2" ht="17.25" customHeight="1" thickBot="1">
      <c r="B342" s="369" t="n">
        <v>42579</v>
      </c>
      <c r="C342" s="370" t="inlineStr">
        <is>
          <t>FITX</t>
        </is>
      </c>
      <c r="D342" s="371" t="inlineStr">
        <is>
          <t>台指08</t>
        </is>
      </c>
      <c r="E342" s="371" t="inlineStr">
        <is>
          <t>平倉</t>
        </is>
      </c>
      <c r="F342" s="371" t="inlineStr">
        <is>
          <t>賣</t>
        </is>
      </c>
      <c r="G342" s="371" t="inlineStr">
        <is>
          <t>-</t>
        </is>
      </c>
      <c r="H342" s="785" t="n">
        <v>2</v>
      </c>
      <c r="I342" s="785" t="n">
        <v>8993</v>
      </c>
      <c r="J342" s="785" t="n">
        <v>0</v>
      </c>
      <c r="K342" s="786" t="n">
        <v>200</v>
      </c>
      <c r="L342" s="786" t="n">
        <v>72</v>
      </c>
      <c r="M342" s="743">
        <f>IF(C342="TXO",J342-SUM(K342:L342),IF(C342="FITX",IF(E342="新倉",-SUM(K342:L342),IF(F342="賣",(I342-I341)*H342*200-SUM(K342:L342),(I341-I342)*H342*200-SUM(K342:L342)))))</f>
        <v/>
      </c>
      <c r="N342" s="780">
        <f>IF(C342="TXO","",IF(C342="FITX",IF(E342="新倉","",IF(F342="賣",(I342-I341)*H342,(I341-I342)*H342))))</f>
        <v/>
      </c>
      <c r="O342" s="334">
        <f>ABS(J342)</f>
        <v/>
      </c>
      <c r="P342" s="764" t="n"/>
      <c r="R342" s="61" t="n"/>
      <c r="S342" s="61" t="n"/>
      <c r="T342" s="61" t="n"/>
      <c r="U342" s="61" t="n"/>
      <c r="V342" s="61" t="n"/>
      <c r="W342" s="61" t="n"/>
      <c r="X342" s="61" t="n"/>
      <c r="Y342" s="61" t="n"/>
    </row>
    <row r="343" hidden="1" outlineLevel="2" ht="17.25" customHeight="1" thickBot="1">
      <c r="B343" s="369" t="n">
        <v>42579</v>
      </c>
      <c r="C343" s="370" t="inlineStr">
        <is>
          <t>FITX</t>
        </is>
      </c>
      <c r="D343" s="371" t="inlineStr">
        <is>
          <t>台指08</t>
        </is>
      </c>
      <c r="E343" s="371" t="inlineStr">
        <is>
          <t>新倉</t>
        </is>
      </c>
      <c r="F343" s="371" t="inlineStr">
        <is>
          <t>賣</t>
        </is>
      </c>
      <c r="G343" s="371" t="inlineStr">
        <is>
          <t>-</t>
        </is>
      </c>
      <c r="H343" s="785" t="n">
        <v>2</v>
      </c>
      <c r="I343" s="785" t="n">
        <v>8997</v>
      </c>
      <c r="J343" s="785" t="n">
        <v>0</v>
      </c>
      <c r="K343" s="786" t="n">
        <v>200</v>
      </c>
      <c r="L343" s="786" t="n">
        <v>72</v>
      </c>
      <c r="M343" s="743">
        <f>IF(C343="TXO",J343-SUM(K343:L343),IF(C343="FITX",IF(E343="新倉",-SUM(K343:L343),IF(F343="賣",(I343-I342)*H343*200-SUM(K343:L343),(I342-I343)*H343*200-SUM(K343:L343)))))</f>
        <v/>
      </c>
      <c r="N343" s="780">
        <f>IF(C343="TXO","",IF(C343="FITX",IF(E343="新倉","",IF(F343="賣",(I343-I342)*H343,(I342-I343)*H343))))</f>
        <v/>
      </c>
      <c r="O343" s="334">
        <f>ABS(J343)</f>
        <v/>
      </c>
      <c r="P343" s="764" t="n"/>
      <c r="R343" s="61" t="n"/>
      <c r="S343" s="61" t="n"/>
      <c r="T343" s="61" t="n"/>
      <c r="U343" s="61" t="n"/>
      <c r="V343" s="61" t="n"/>
      <c r="W343" s="61" t="n"/>
      <c r="X343" s="61" t="n"/>
      <c r="Y343" s="61" t="n"/>
    </row>
    <row r="344" hidden="1" outlineLevel="2" ht="17.25" customHeight="1" thickBot="1">
      <c r="B344" s="369" t="n">
        <v>42579</v>
      </c>
      <c r="C344" s="370" t="inlineStr">
        <is>
          <t>FITX</t>
        </is>
      </c>
      <c r="D344" s="371" t="inlineStr">
        <is>
          <t>台指08</t>
        </is>
      </c>
      <c r="E344" s="371" t="inlineStr">
        <is>
          <t>平倉</t>
        </is>
      </c>
      <c r="F344" s="371" t="inlineStr">
        <is>
          <t>買</t>
        </is>
      </c>
      <c r="G344" s="371" t="inlineStr">
        <is>
          <t>-</t>
        </is>
      </c>
      <c r="H344" s="785" t="n">
        <v>2</v>
      </c>
      <c r="I344" s="785" t="n">
        <v>8999</v>
      </c>
      <c r="J344" s="785" t="n">
        <v>0</v>
      </c>
      <c r="K344" s="786" t="n">
        <v>200</v>
      </c>
      <c r="L344" s="786" t="n">
        <v>72</v>
      </c>
      <c r="M344" s="743">
        <f>IF(C344="TXO",J344-SUM(K344:L344),IF(C344="FITX",IF(E344="新倉",-SUM(K344:L344),IF(F344="賣",(I344-I343)*H344*200-SUM(K344:L344),(I343-I344)*H344*200-SUM(K344:L344)))))</f>
        <v/>
      </c>
      <c r="N344" s="780">
        <f>IF(C344="TXO","",IF(C344="FITX",IF(E344="新倉","",IF(F344="賣",(I344-I343)*H344,(I343-I344)*H344))))</f>
        <v/>
      </c>
      <c r="O344" s="334">
        <f>ABS(J344)</f>
        <v/>
      </c>
      <c r="P344" s="764" t="n"/>
      <c r="R344" s="61" t="n"/>
      <c r="S344" s="61" t="n"/>
      <c r="T344" s="61" t="n"/>
      <c r="U344" s="61" t="n"/>
      <c r="V344" s="61" t="n"/>
      <c r="W344" s="61" t="n"/>
      <c r="X344" s="61" t="n"/>
      <c r="Y344" s="61" t="n"/>
    </row>
    <row r="345" hidden="1" outlineLevel="2" ht="17.25" customHeight="1" thickBot="1">
      <c r="B345" s="369" t="n">
        <v>42579</v>
      </c>
      <c r="C345" s="370" t="inlineStr">
        <is>
          <t>FITX</t>
        </is>
      </c>
      <c r="D345" s="371" t="inlineStr">
        <is>
          <t>台指08</t>
        </is>
      </c>
      <c r="E345" s="371" t="inlineStr">
        <is>
          <t>新倉</t>
        </is>
      </c>
      <c r="F345" s="371" t="inlineStr">
        <is>
          <t>買</t>
        </is>
      </c>
      <c r="G345" s="371" t="inlineStr">
        <is>
          <t>-</t>
        </is>
      </c>
      <c r="H345" s="785" t="n">
        <v>2</v>
      </c>
      <c r="I345" s="785" t="n">
        <v>8997</v>
      </c>
      <c r="J345" s="785" t="n">
        <v>0</v>
      </c>
      <c r="K345" s="786" t="n">
        <v>200</v>
      </c>
      <c r="L345" s="786" t="n">
        <v>72</v>
      </c>
      <c r="M345" s="743">
        <f>IF(C345="TXO",J345-SUM(K345:L345),IF(C345="FITX",IF(E345="新倉",-SUM(K345:L345),IF(F345="賣",(I345-I344)*H345*200-SUM(K345:L345),(I344-I345)*H345*200-SUM(K345:L345)))))</f>
        <v/>
      </c>
      <c r="N345" s="780">
        <f>IF(C345="TXO","",IF(C345="FITX",IF(E345="新倉","",IF(F345="賣",(I345-I344)*H345,(I344-I345)*H345))))</f>
        <v/>
      </c>
      <c r="O345" s="334">
        <f>ABS(J345)</f>
        <v/>
      </c>
      <c r="P345" s="764" t="n"/>
      <c r="R345" s="61" t="n"/>
      <c r="S345" s="61" t="n"/>
      <c r="T345" s="61" t="n"/>
      <c r="U345" s="61" t="n"/>
      <c r="V345" s="61" t="n"/>
      <c r="W345" s="61" t="n"/>
      <c r="X345" s="61" t="n"/>
      <c r="Y345" s="61" t="n"/>
    </row>
    <row r="346" hidden="1" outlineLevel="2" ht="17.25" customHeight="1" thickBot="1">
      <c r="B346" s="369" t="n">
        <v>42579</v>
      </c>
      <c r="C346" s="370" t="inlineStr">
        <is>
          <t>FITX</t>
        </is>
      </c>
      <c r="D346" s="371" t="inlineStr">
        <is>
          <t>台指08</t>
        </is>
      </c>
      <c r="E346" s="371" t="inlineStr">
        <is>
          <t>平倉</t>
        </is>
      </c>
      <c r="F346" s="371" t="inlineStr">
        <is>
          <t>賣</t>
        </is>
      </c>
      <c r="G346" s="371" t="inlineStr">
        <is>
          <t>-</t>
        </is>
      </c>
      <c r="H346" s="785" t="n">
        <v>2</v>
      </c>
      <c r="I346" s="785" t="n">
        <v>8992</v>
      </c>
      <c r="J346" s="785" t="n">
        <v>0</v>
      </c>
      <c r="K346" s="786" t="n">
        <v>200</v>
      </c>
      <c r="L346" s="786" t="n">
        <v>72</v>
      </c>
      <c r="M346" s="743">
        <f>IF(C346="TXO",J346-SUM(K346:L346),IF(C346="FITX",IF(E346="新倉",-SUM(K346:L346),IF(F346="賣",(I346-I345)*H346*200-SUM(K346:L346),(I345-I346)*H346*200-SUM(K346:L346)))))</f>
        <v/>
      </c>
      <c r="N346" s="780">
        <f>IF(C346="TXO","",IF(C346="FITX",IF(E346="新倉","",IF(F346="賣",(I346-I345)*H346,(I345-I346)*H346))))</f>
        <v/>
      </c>
      <c r="O346" s="334">
        <f>ABS(J346)</f>
        <v/>
      </c>
      <c r="P346" s="764" t="n"/>
      <c r="R346" s="61" t="n"/>
      <c r="S346" s="61" t="n"/>
      <c r="T346" s="61" t="n"/>
      <c r="U346" s="61" t="n"/>
      <c r="V346" s="61" t="n"/>
      <c r="W346" s="61" t="n"/>
      <c r="X346" s="61" t="n"/>
      <c r="Y346" s="61" t="n"/>
    </row>
    <row r="347" hidden="1" outlineLevel="2" ht="17.25" customHeight="1" thickBot="1">
      <c r="B347" s="369" t="n">
        <v>42579</v>
      </c>
      <c r="C347" s="370" t="inlineStr">
        <is>
          <t>FITX</t>
        </is>
      </c>
      <c r="D347" s="371" t="inlineStr">
        <is>
          <t>台指08</t>
        </is>
      </c>
      <c r="E347" s="371" t="inlineStr">
        <is>
          <t>新倉</t>
        </is>
      </c>
      <c r="F347" s="371" t="inlineStr">
        <is>
          <t>買</t>
        </is>
      </c>
      <c r="G347" s="371" t="inlineStr">
        <is>
          <t>-</t>
        </is>
      </c>
      <c r="H347" s="785" t="n">
        <v>1</v>
      </c>
      <c r="I347" s="785" t="n">
        <v>8913</v>
      </c>
      <c r="J347" s="785" t="n">
        <v>0</v>
      </c>
      <c r="K347" s="786" t="n">
        <v>100</v>
      </c>
      <c r="L347" s="786" t="n">
        <v>36</v>
      </c>
      <c r="M347" s="743">
        <f>IF(C347="TXO",J347-SUM(K347:L347),IF(C347="FITX",IF(E347="新倉",-SUM(K347:L347),IF(F347="賣",(I347-I346)*H347*200-SUM(K347:L347),(I346-I347)*H347*200-SUM(K347:L347)))))</f>
        <v/>
      </c>
      <c r="N347" s="780">
        <f>IF(C347="TXO","",IF(C347="FITX",IF(E347="新倉","",IF(F347="賣",(I347-I346)*H347,(I346-I347)*H347))))</f>
        <v/>
      </c>
      <c r="O347" s="334">
        <f>ABS(J347)</f>
        <v/>
      </c>
      <c r="P347" s="764" t="n"/>
      <c r="R347" s="61" t="n"/>
      <c r="S347" s="61" t="n"/>
      <c r="T347" s="61" t="n"/>
      <c r="U347" s="61" t="n"/>
      <c r="V347" s="61" t="n"/>
      <c r="W347" s="61" t="n"/>
      <c r="X347" s="61" t="n"/>
      <c r="Y347" s="61" t="n"/>
    </row>
    <row r="348" hidden="1" outlineLevel="2" ht="17.25" customHeight="1" thickBot="1">
      <c r="B348" s="369" t="n">
        <v>42579</v>
      </c>
      <c r="C348" s="370" t="inlineStr">
        <is>
          <t>FITX</t>
        </is>
      </c>
      <c r="D348" s="371" t="inlineStr">
        <is>
          <t>台指08</t>
        </is>
      </c>
      <c r="E348" s="371" t="inlineStr">
        <is>
          <t>平倉</t>
        </is>
      </c>
      <c r="F348" s="371" t="inlineStr">
        <is>
          <t>賣</t>
        </is>
      </c>
      <c r="G348" s="371" t="inlineStr">
        <is>
          <t>-</t>
        </is>
      </c>
      <c r="H348" s="785" t="n">
        <v>1</v>
      </c>
      <c r="I348" s="785" t="n">
        <v>8919</v>
      </c>
      <c r="J348" s="785" t="n">
        <v>0</v>
      </c>
      <c r="K348" s="786" t="n">
        <v>100</v>
      </c>
      <c r="L348" s="786" t="n">
        <v>36</v>
      </c>
      <c r="M348" s="743">
        <f>IF(C348="TXO",J348-SUM(K348:L348),IF(C348="FITX",IF(E348="新倉",-SUM(K348:L348),IF(F348="賣",(I348-I347)*H348*200-SUM(K348:L348),(I347-I348)*H348*200-SUM(K348:L348)))))</f>
        <v/>
      </c>
      <c r="N348" s="780">
        <f>IF(C348="TXO","",IF(C348="FITX",IF(E348="新倉","",IF(F348="賣",(I348-I347)*H348,(I347-I348)*H348))))</f>
        <v/>
      </c>
      <c r="O348" s="334">
        <f>ABS(J348)</f>
        <v/>
      </c>
      <c r="P348" s="764" t="n"/>
      <c r="R348" s="61" t="n"/>
      <c r="S348" s="61" t="n"/>
      <c r="T348" s="61" t="n"/>
      <c r="U348" s="61" t="n"/>
      <c r="V348" s="61" t="n"/>
      <c r="W348" s="61" t="n"/>
      <c r="X348" s="61" t="n"/>
      <c r="Y348" s="61" t="n"/>
    </row>
    <row r="349" hidden="1" outlineLevel="2" ht="17.25" customHeight="1" thickBot="1">
      <c r="B349" s="369" t="n">
        <v>42579</v>
      </c>
      <c r="C349" s="370" t="inlineStr">
        <is>
          <t>FITX</t>
        </is>
      </c>
      <c r="D349" s="371" t="inlineStr">
        <is>
          <t>台指08</t>
        </is>
      </c>
      <c r="E349" s="371" t="inlineStr">
        <is>
          <t>新倉</t>
        </is>
      </c>
      <c r="F349" s="371" t="inlineStr">
        <is>
          <t>賣</t>
        </is>
      </c>
      <c r="G349" s="371" t="inlineStr">
        <is>
          <t>-</t>
        </is>
      </c>
      <c r="H349" s="785" t="n">
        <v>1</v>
      </c>
      <c r="I349" s="785" t="n">
        <v>9001</v>
      </c>
      <c r="J349" s="785" t="n">
        <v>0</v>
      </c>
      <c r="K349" s="786" t="n">
        <v>100</v>
      </c>
      <c r="L349" s="786" t="n">
        <v>36</v>
      </c>
      <c r="M349" s="743">
        <f>IF(C349="TXO",J349-SUM(K349:L349),IF(C349="FITX",IF(E349="新倉",-SUM(K349:L349),IF(F349="賣",(I349-I348)*H349*200-SUM(K349:L349),(I348-I349)*H349*200-SUM(K349:L349)))))</f>
        <v/>
      </c>
      <c r="N349" s="780">
        <f>IF(C349="TXO","",IF(C349="FITX",IF(E349="新倉","",IF(F349="賣",(I349-I348)*H349,(I348-I349)*H349))))</f>
        <v/>
      </c>
      <c r="O349" s="334">
        <f>ABS(J349)</f>
        <v/>
      </c>
      <c r="P349" s="764" t="n"/>
      <c r="R349" s="61" t="n"/>
      <c r="S349" s="61" t="n"/>
      <c r="T349" s="61" t="n"/>
      <c r="U349" s="61" t="n"/>
      <c r="V349" s="61" t="n"/>
      <c r="W349" s="61" t="n"/>
      <c r="X349" s="61" t="n"/>
      <c r="Y349" s="61" t="n"/>
    </row>
    <row r="350" hidden="1" outlineLevel="2" ht="17.25" customHeight="1" thickBot="1">
      <c r="B350" s="369" t="n">
        <v>42579</v>
      </c>
      <c r="C350" s="370" t="inlineStr">
        <is>
          <t>FITX</t>
        </is>
      </c>
      <c r="D350" s="371" t="inlineStr">
        <is>
          <t>台指08</t>
        </is>
      </c>
      <c r="E350" s="371" t="inlineStr">
        <is>
          <t>平倉</t>
        </is>
      </c>
      <c r="F350" s="371" t="inlineStr">
        <is>
          <t>買</t>
        </is>
      </c>
      <c r="G350" s="371" t="inlineStr">
        <is>
          <t>-</t>
        </is>
      </c>
      <c r="H350" s="785" t="n">
        <v>1</v>
      </c>
      <c r="I350" s="785" t="n">
        <v>9001</v>
      </c>
      <c r="J350" s="785" t="n">
        <v>0</v>
      </c>
      <c r="K350" s="786" t="n">
        <v>100</v>
      </c>
      <c r="L350" s="786" t="n">
        <v>36</v>
      </c>
      <c r="M350" s="743">
        <f>IF(C350="TXO",J350-SUM(K350:L350),IF(C350="FITX",IF(E350="新倉",-SUM(K350:L350),IF(F350="賣",(I350-I349)*H350*200-SUM(K350:L350),(I349-I350)*H350*200-SUM(K350:L350)))))</f>
        <v/>
      </c>
      <c r="N350" s="780">
        <f>IF(C350="TXO","",IF(C350="FITX",IF(E350="新倉","",IF(F350="賣",(I350-I349)*H350,(I349-I350)*H350))))</f>
        <v/>
      </c>
      <c r="O350" s="334">
        <f>ABS(J350)</f>
        <v/>
      </c>
      <c r="P350" s="764" t="n"/>
      <c r="R350" s="61" t="n"/>
      <c r="S350" s="61" t="n"/>
      <c r="T350" s="61" t="n"/>
      <c r="U350" s="61" t="n"/>
      <c r="V350" s="61" t="n"/>
      <c r="W350" s="61" t="n"/>
      <c r="X350" s="61" t="n"/>
      <c r="Y350" s="61" t="n"/>
    </row>
    <row r="351" hidden="1" outlineLevel="2" ht="17.25" customHeight="1" thickBot="1">
      <c r="B351" s="369" t="n">
        <v>42579</v>
      </c>
      <c r="C351" s="370" t="inlineStr">
        <is>
          <t>FITX</t>
        </is>
      </c>
      <c r="D351" s="371" t="inlineStr">
        <is>
          <t>台指08</t>
        </is>
      </c>
      <c r="E351" s="371" t="inlineStr">
        <is>
          <t>新倉</t>
        </is>
      </c>
      <c r="F351" s="371" t="inlineStr">
        <is>
          <t>賣</t>
        </is>
      </c>
      <c r="G351" s="371" t="inlineStr">
        <is>
          <t>-</t>
        </is>
      </c>
      <c r="H351" s="785" t="n">
        <v>1</v>
      </c>
      <c r="I351" s="785" t="n">
        <v>9007</v>
      </c>
      <c r="J351" s="785" t="n">
        <v>0</v>
      </c>
      <c r="K351" s="786" t="n">
        <v>100</v>
      </c>
      <c r="L351" s="786" t="n">
        <v>36</v>
      </c>
      <c r="M351" s="743">
        <f>IF(C351="TXO",J351-SUM(K351:L351),IF(C351="FITX",IF(E351="新倉",-SUM(K351:L351),IF(F351="賣",(I351-I350)*H351*200-SUM(K351:L351),(I350-I351)*H351*200-SUM(K351:L351)))))</f>
        <v/>
      </c>
      <c r="N351" s="780">
        <f>IF(C351="TXO","",IF(C351="FITX",IF(E351="新倉","",IF(F351="賣",(I351-I350)*H351,(I350-I351)*H351))))</f>
        <v/>
      </c>
      <c r="O351" s="334">
        <f>ABS(J351)</f>
        <v/>
      </c>
      <c r="P351" s="764" t="n"/>
      <c r="R351" s="61" t="n"/>
      <c r="S351" s="61" t="n"/>
      <c r="T351" s="61" t="n"/>
      <c r="U351" s="61" t="n"/>
      <c r="V351" s="61" t="n"/>
      <c r="W351" s="61" t="n"/>
      <c r="X351" s="61" t="n"/>
      <c r="Y351" s="61" t="n"/>
    </row>
    <row r="352" hidden="1" outlineLevel="2" ht="17.25" customHeight="1" thickBot="1">
      <c r="B352" s="360" t="n">
        <v>42579</v>
      </c>
      <c r="C352" s="299" t="inlineStr">
        <is>
          <t>FITX</t>
        </is>
      </c>
      <c r="D352" s="300" t="inlineStr">
        <is>
          <t>台指08</t>
        </is>
      </c>
      <c r="E352" s="300" t="inlineStr">
        <is>
          <t>平倉</t>
        </is>
      </c>
      <c r="F352" s="300" t="inlineStr">
        <is>
          <t>買</t>
        </is>
      </c>
      <c r="G352" s="300" t="inlineStr">
        <is>
          <t>-</t>
        </is>
      </c>
      <c r="H352" s="741" t="n">
        <v>1</v>
      </c>
      <c r="I352" s="741" t="n">
        <v>9000</v>
      </c>
      <c r="J352" s="741" t="n">
        <v>0</v>
      </c>
      <c r="K352" s="742" t="n">
        <v>100</v>
      </c>
      <c r="L352" s="742" t="n">
        <v>36</v>
      </c>
      <c r="M352" s="743">
        <f>IF(C352="TXO",J352-SUM(K352:L352),IF(C352="FITX",IF(E352="新倉",-SUM(K352:L352),IF(F352="賣",(I352-I351)*H352*200-SUM(K352:L352),(I351-I352)*H352*200-SUM(K352:L352)))))</f>
        <v/>
      </c>
      <c r="N352" s="780">
        <f>IF(C352="TXO","",IF(C352="FITX",IF(E352="新倉","",IF(F352="賣",(I352-I351)*H352,(I351-I352)*H352))))</f>
        <v/>
      </c>
      <c r="O352" s="334">
        <f>ABS(J352)</f>
        <v/>
      </c>
      <c r="P352" s="764" t="n"/>
      <c r="R352" s="61" t="n"/>
      <c r="S352" s="61" t="n"/>
      <c r="T352" s="61" t="n"/>
      <c r="U352" s="61" t="n"/>
      <c r="V352" s="61" t="n"/>
      <c r="W352" s="61" t="n"/>
      <c r="X352" s="61" t="n"/>
      <c r="Y352" s="61" t="n"/>
    </row>
    <row r="353" hidden="1" outlineLevel="1" collapsed="1" ht="17.25" customHeight="1" thickBot="1">
      <c r="B353" s="368" t="n">
        <v>42580</v>
      </c>
      <c r="C353" s="337" t="inlineStr">
        <is>
          <t>FITX</t>
        </is>
      </c>
      <c r="D353" s="338" t="inlineStr">
        <is>
          <t>台指08</t>
        </is>
      </c>
      <c r="E353" s="338" t="inlineStr">
        <is>
          <t>新倉</t>
        </is>
      </c>
      <c r="F353" s="338" t="inlineStr">
        <is>
          <t>買</t>
        </is>
      </c>
      <c r="G353" s="338" t="inlineStr">
        <is>
          <t>-</t>
        </is>
      </c>
      <c r="H353" s="767" t="n">
        <v>1</v>
      </c>
      <c r="I353" s="767" t="n">
        <v>8984</v>
      </c>
      <c r="J353" s="767" t="n">
        <v>0</v>
      </c>
      <c r="K353" s="769" t="n">
        <v>100</v>
      </c>
      <c r="L353" s="769" t="n">
        <v>36</v>
      </c>
      <c r="M353" s="699">
        <f>IF(C353="TXO",J353-SUM(K353:L353),IF(C353="FITX",IF(E353="新倉",-SUM(K353:L353),IF(F353="賣",(I353-I352)*H353*200-SUM(K353:L353),(I352-I353)*H353*200-SUM(K353:L353)))))</f>
        <v/>
      </c>
      <c r="N353" s="686">
        <f>IF(C353="TXO","",IF(C353="FITX",IF(E353="新倉","",IF(F353="賣",(I353-I352),(I352-I353)))))</f>
        <v/>
      </c>
      <c r="O353" s="334">
        <f>ABS(J353)</f>
        <v/>
      </c>
      <c r="P353" s="667">
        <f>SUM(M353:M376)</f>
        <v/>
      </c>
      <c r="R353" s="61" t="n"/>
      <c r="S353" s="61" t="n"/>
      <c r="T353" s="61" t="n"/>
      <c r="U353" s="61" t="n"/>
      <c r="V353" s="61" t="n"/>
      <c r="W353" s="61" t="n"/>
      <c r="X353" s="61" t="n"/>
      <c r="Y353" s="61" t="n"/>
    </row>
    <row r="354" hidden="1" outlineLevel="2" ht="17.25" customHeight="1" thickBot="1">
      <c r="B354" s="368" t="n">
        <v>42580</v>
      </c>
      <c r="C354" s="337" t="inlineStr">
        <is>
          <t>FITX</t>
        </is>
      </c>
      <c r="D354" s="338" t="inlineStr">
        <is>
          <t>台指08</t>
        </is>
      </c>
      <c r="E354" s="338" t="inlineStr">
        <is>
          <t>平倉</t>
        </is>
      </c>
      <c r="F354" s="338" t="inlineStr">
        <is>
          <t>賣</t>
        </is>
      </c>
      <c r="G354" s="338" t="inlineStr">
        <is>
          <t>-</t>
        </is>
      </c>
      <c r="H354" s="767" t="n">
        <v>1</v>
      </c>
      <c r="I354" s="767" t="n">
        <v>8979</v>
      </c>
      <c r="J354" s="767" t="n">
        <v>0</v>
      </c>
      <c r="K354" s="769" t="n">
        <v>100</v>
      </c>
      <c r="L354" s="769" t="n">
        <v>36</v>
      </c>
      <c r="M354" s="699">
        <f>IF(C354="TXO",J354-SUM(K354:L354),IF(C354="FITX",IF(E354="新倉",-SUM(K354:L354),IF(F354="賣",(I354-I353)*H354*200-SUM(K354:L354),(I353-I354)*H354*200-SUM(K354:L354)))))</f>
        <v/>
      </c>
      <c r="N354" s="686">
        <f>IF(C354="TXO","",IF(C354="FITX",IF(E354="新倉","",IF(F354="賣",(I354-I353),(I353-I354)))))</f>
        <v/>
      </c>
      <c r="O354" s="334">
        <f>ABS(J354)</f>
        <v/>
      </c>
      <c r="P354" s="667" t="n"/>
      <c r="R354" s="61" t="n"/>
      <c r="S354" s="61" t="n"/>
      <c r="T354" s="61" t="n"/>
      <c r="U354" s="61" t="n"/>
      <c r="V354" s="61" t="n"/>
      <c r="W354" s="61" t="n"/>
      <c r="X354" s="61" t="n"/>
      <c r="Y354" s="61" t="n"/>
    </row>
    <row r="355" hidden="1" outlineLevel="2" ht="17.25" customHeight="1" thickBot="1">
      <c r="B355" s="368" t="n">
        <v>42580</v>
      </c>
      <c r="C355" s="337" t="inlineStr">
        <is>
          <t>FITX</t>
        </is>
      </c>
      <c r="D355" s="338" t="inlineStr">
        <is>
          <t>台指08</t>
        </is>
      </c>
      <c r="E355" s="338" t="inlineStr">
        <is>
          <t>新倉</t>
        </is>
      </c>
      <c r="F355" s="338" t="inlineStr">
        <is>
          <t>賣</t>
        </is>
      </c>
      <c r="G355" s="338" t="inlineStr">
        <is>
          <t>-</t>
        </is>
      </c>
      <c r="H355" s="767" t="n">
        <v>1</v>
      </c>
      <c r="I355" s="767" t="n">
        <v>8983</v>
      </c>
      <c r="J355" s="767" t="n">
        <v>0</v>
      </c>
      <c r="K355" s="769" t="n">
        <v>100</v>
      </c>
      <c r="L355" s="769" t="n">
        <v>36</v>
      </c>
      <c r="M355" s="699">
        <f>IF(C355="TXO",J355-SUM(K355:L355),IF(C355="FITX",IF(E355="新倉",-SUM(K355:L355),IF(F355="賣",(I355-I354)*H355*200-SUM(K355:L355),(I354-I355)*H355*200-SUM(K355:L355)))))</f>
        <v/>
      </c>
      <c r="N355" s="686">
        <f>IF(C355="TXO","",IF(C355="FITX",IF(E355="新倉","",IF(F355="賣",(I355-I354),(I354-I355)))))</f>
        <v/>
      </c>
      <c r="O355" s="334">
        <f>ABS(J355)</f>
        <v/>
      </c>
      <c r="P355" s="667" t="n"/>
      <c r="R355" s="61" t="n"/>
      <c r="S355" s="61" t="n"/>
      <c r="T355" s="61" t="n"/>
      <c r="U355" s="61" t="n"/>
      <c r="V355" s="61" t="n"/>
      <c r="W355" s="61" t="n"/>
      <c r="X355" s="61" t="n"/>
      <c r="Y355" s="61" t="n"/>
    </row>
    <row r="356" hidden="1" outlineLevel="2" ht="17.25" customHeight="1" thickBot="1">
      <c r="B356" s="368" t="n">
        <v>42580</v>
      </c>
      <c r="C356" s="337" t="inlineStr">
        <is>
          <t>FITX</t>
        </is>
      </c>
      <c r="D356" s="338" t="inlineStr">
        <is>
          <t>台指08</t>
        </is>
      </c>
      <c r="E356" s="338" t="inlineStr">
        <is>
          <t>平倉</t>
        </is>
      </c>
      <c r="F356" s="338" t="inlineStr">
        <is>
          <t>買</t>
        </is>
      </c>
      <c r="G356" s="338" t="inlineStr">
        <is>
          <t>-</t>
        </is>
      </c>
      <c r="H356" s="767" t="n">
        <v>1</v>
      </c>
      <c r="I356" s="767" t="n">
        <v>8995</v>
      </c>
      <c r="J356" s="767" t="n">
        <v>0</v>
      </c>
      <c r="K356" s="769" t="n">
        <v>100</v>
      </c>
      <c r="L356" s="769" t="n">
        <v>36</v>
      </c>
      <c r="M356" s="699">
        <f>IF(C356="TXO",J356-SUM(K356:L356),IF(C356="FITX",IF(E356="新倉",-SUM(K356:L356),IF(F356="賣",(I356-I355)*H356*200-SUM(K356:L356),(I355-I356)*H356*200-SUM(K356:L356)))))</f>
        <v/>
      </c>
      <c r="N356" s="686">
        <f>IF(C356="TXO","",IF(C356="FITX",IF(E356="新倉","",IF(F356="賣",(I356-I355),(I355-I356)))))</f>
        <v/>
      </c>
      <c r="O356" s="334">
        <f>ABS(J356)</f>
        <v/>
      </c>
      <c r="P356" s="667" t="n"/>
      <c r="R356" s="61" t="n"/>
      <c r="S356" s="61" t="n"/>
      <c r="T356" s="61" t="n"/>
      <c r="U356" s="61" t="n"/>
      <c r="V356" s="61" t="n"/>
      <c r="W356" s="61" t="n"/>
      <c r="X356" s="61" t="n"/>
      <c r="Y356" s="61" t="n"/>
    </row>
    <row r="357" hidden="1" outlineLevel="2" ht="17.25" customHeight="1" thickBot="1">
      <c r="B357" s="368" t="n">
        <v>42580</v>
      </c>
      <c r="C357" s="337" t="inlineStr">
        <is>
          <t>FITX</t>
        </is>
      </c>
      <c r="D357" s="338" t="inlineStr">
        <is>
          <t>台指08</t>
        </is>
      </c>
      <c r="E357" s="338" t="inlineStr">
        <is>
          <t>新倉</t>
        </is>
      </c>
      <c r="F357" s="338" t="inlineStr">
        <is>
          <t>賣</t>
        </is>
      </c>
      <c r="G357" s="338" t="inlineStr">
        <is>
          <t>-</t>
        </is>
      </c>
      <c r="H357" s="767" t="n">
        <v>1</v>
      </c>
      <c r="I357" s="767" t="n">
        <v>8966</v>
      </c>
      <c r="J357" s="767" t="n">
        <v>0</v>
      </c>
      <c r="K357" s="769" t="n">
        <v>100</v>
      </c>
      <c r="L357" s="769" t="n">
        <v>36</v>
      </c>
      <c r="M357" s="699">
        <f>IF(C357="TXO",J357-SUM(K357:L357),IF(C357="FITX",IF(E357="新倉",-SUM(K357:L357),IF(F357="賣",(I357-I356)*H357*200-SUM(K357:L357),(I356-I357)*H357*200-SUM(K357:L357)))))</f>
        <v/>
      </c>
      <c r="N357" s="686">
        <f>IF(C357="TXO","",IF(C357="FITX",IF(E357="新倉","",IF(F357="賣",(I357-I356),(I356-I357)))))</f>
        <v/>
      </c>
      <c r="O357" s="334">
        <f>ABS(J357)</f>
        <v/>
      </c>
      <c r="P357" s="667" t="n"/>
      <c r="R357" s="61" t="n"/>
      <c r="S357" s="61" t="n"/>
      <c r="T357" s="61" t="n"/>
      <c r="U357" s="61" t="n"/>
      <c r="V357" s="61" t="n"/>
      <c r="W357" s="61" t="n"/>
      <c r="X357" s="61" t="n"/>
      <c r="Y357" s="61" t="n"/>
    </row>
    <row r="358" hidden="1" outlineLevel="2" ht="17.25" customHeight="1" thickBot="1">
      <c r="B358" s="368" t="n">
        <v>42580</v>
      </c>
      <c r="C358" s="337" t="inlineStr">
        <is>
          <t>FITX</t>
        </is>
      </c>
      <c r="D358" s="338" t="inlineStr">
        <is>
          <t>台指08</t>
        </is>
      </c>
      <c r="E358" s="338" t="inlineStr">
        <is>
          <t>平倉</t>
        </is>
      </c>
      <c r="F358" s="338" t="inlineStr">
        <is>
          <t>買</t>
        </is>
      </c>
      <c r="G358" s="338" t="inlineStr">
        <is>
          <t>-</t>
        </is>
      </c>
      <c r="H358" s="767" t="n">
        <v>1</v>
      </c>
      <c r="I358" s="767" t="n">
        <v>8995</v>
      </c>
      <c r="J358" s="767" t="n">
        <v>0</v>
      </c>
      <c r="K358" s="769" t="n">
        <v>100</v>
      </c>
      <c r="L358" s="769" t="n">
        <v>36</v>
      </c>
      <c r="M358" s="699">
        <f>IF(C358="TXO",J358-SUM(K358:L358),IF(C358="FITX",IF(E358="新倉",-SUM(K358:L358),IF(F358="賣",(I358-I357)*H358*200-SUM(K358:L358),(I357-I358)*H358*200-SUM(K358:L358)))))</f>
        <v/>
      </c>
      <c r="N358" s="686">
        <f>IF(C358="TXO","",IF(C358="FITX",IF(E358="新倉","",IF(F358="賣",(I358-I357),(I357-I358)))))</f>
        <v/>
      </c>
      <c r="O358" s="334">
        <f>ABS(J358)</f>
        <v/>
      </c>
      <c r="P358" s="667" t="n"/>
      <c r="R358" s="61" t="n"/>
      <c r="S358" s="61" t="n"/>
      <c r="T358" s="61" t="n"/>
      <c r="U358" s="61" t="n"/>
      <c r="V358" s="61" t="n"/>
      <c r="W358" s="61" t="n"/>
      <c r="X358" s="61" t="n"/>
      <c r="Y358" s="61" t="n"/>
    </row>
    <row r="359" hidden="1" outlineLevel="2" ht="17.25" customHeight="1" thickBot="1">
      <c r="B359" s="368" t="n">
        <v>42580</v>
      </c>
      <c r="C359" s="337" t="inlineStr">
        <is>
          <t>FITX</t>
        </is>
      </c>
      <c r="D359" s="338" t="inlineStr">
        <is>
          <t>台指08</t>
        </is>
      </c>
      <c r="E359" s="338" t="inlineStr">
        <is>
          <t>新倉</t>
        </is>
      </c>
      <c r="F359" s="338" t="inlineStr">
        <is>
          <t>買</t>
        </is>
      </c>
      <c r="G359" s="338" t="inlineStr">
        <is>
          <t>-</t>
        </is>
      </c>
      <c r="H359" s="767" t="n">
        <v>1</v>
      </c>
      <c r="I359" s="767" t="n">
        <v>8992</v>
      </c>
      <c r="J359" s="767" t="n">
        <v>0</v>
      </c>
      <c r="K359" s="769" t="n">
        <v>100</v>
      </c>
      <c r="L359" s="769" t="n">
        <v>36</v>
      </c>
      <c r="M359" s="699">
        <f>IF(C359="TXO",J359-SUM(K359:L359),IF(C359="FITX",IF(E359="新倉",-SUM(K359:L359),IF(F359="賣",(I359-I358)*H359*200-SUM(K359:L359),(I358-I359)*H359*200-SUM(K359:L359)))))</f>
        <v/>
      </c>
      <c r="N359" s="686">
        <f>IF(C359="TXO","",IF(C359="FITX",IF(E359="新倉","",IF(F359="賣",(I359-I358),(I358-I359)))))</f>
        <v/>
      </c>
      <c r="O359" s="334">
        <f>ABS(J359)</f>
        <v/>
      </c>
      <c r="P359" s="667" t="n"/>
      <c r="R359" s="61" t="n"/>
      <c r="S359" s="61" t="n"/>
      <c r="T359" s="61" t="n"/>
      <c r="U359" s="61" t="n"/>
      <c r="V359" s="61" t="n"/>
      <c r="W359" s="61" t="n"/>
      <c r="X359" s="61" t="n"/>
      <c r="Y359" s="61" t="n"/>
    </row>
    <row r="360" hidden="1" outlineLevel="2" ht="17.25" customHeight="1" thickBot="1">
      <c r="B360" s="368" t="n">
        <v>42580</v>
      </c>
      <c r="C360" s="337" t="inlineStr">
        <is>
          <t>FITX</t>
        </is>
      </c>
      <c r="D360" s="338" t="inlineStr">
        <is>
          <t>台指08</t>
        </is>
      </c>
      <c r="E360" s="338" t="inlineStr">
        <is>
          <t>平倉</t>
        </is>
      </c>
      <c r="F360" s="338" t="inlineStr">
        <is>
          <t>賣</t>
        </is>
      </c>
      <c r="G360" s="338" t="inlineStr">
        <is>
          <t>-</t>
        </is>
      </c>
      <c r="H360" s="767" t="n">
        <v>1</v>
      </c>
      <c r="I360" s="767" t="n">
        <v>8987</v>
      </c>
      <c r="J360" s="767" t="n">
        <v>0</v>
      </c>
      <c r="K360" s="769" t="n">
        <v>100</v>
      </c>
      <c r="L360" s="769" t="n">
        <v>36</v>
      </c>
      <c r="M360" s="699">
        <f>IF(C360="TXO",J360-SUM(K360:L360),IF(C360="FITX",IF(E360="新倉",-SUM(K360:L360),IF(F360="賣",(I360-I359)*H360*200-SUM(K360:L360),(I359-I360)*H360*200-SUM(K360:L360)))))</f>
        <v/>
      </c>
      <c r="N360" s="686">
        <f>IF(C360="TXO","",IF(C360="FITX",IF(E360="新倉","",IF(F360="賣",(I360-I359),(I359-I360)))))</f>
        <v/>
      </c>
      <c r="O360" s="334">
        <f>ABS(J360)</f>
        <v/>
      </c>
      <c r="P360" s="667" t="n"/>
      <c r="R360" s="61" t="n"/>
      <c r="S360" s="61" t="n"/>
      <c r="T360" s="61" t="n"/>
      <c r="U360" s="61" t="n"/>
      <c r="V360" s="61" t="n"/>
      <c r="W360" s="61" t="n"/>
      <c r="X360" s="61" t="n"/>
      <c r="Y360" s="61" t="n"/>
    </row>
    <row r="361" hidden="1" outlineLevel="2" ht="17.25" customHeight="1" thickBot="1">
      <c r="B361" s="368" t="n">
        <v>42580</v>
      </c>
      <c r="C361" s="337" t="inlineStr">
        <is>
          <t>FITX</t>
        </is>
      </c>
      <c r="D361" s="338" t="inlineStr">
        <is>
          <t>台指08</t>
        </is>
      </c>
      <c r="E361" s="338" t="inlineStr">
        <is>
          <t>新倉</t>
        </is>
      </c>
      <c r="F361" s="338" t="inlineStr">
        <is>
          <t>賣</t>
        </is>
      </c>
      <c r="G361" s="338" t="inlineStr">
        <is>
          <t>-</t>
        </is>
      </c>
      <c r="H361" s="767" t="n">
        <v>1</v>
      </c>
      <c r="I361" s="767" t="n">
        <v>8984</v>
      </c>
      <c r="J361" s="767" t="n">
        <v>0</v>
      </c>
      <c r="K361" s="769" t="n">
        <v>100</v>
      </c>
      <c r="L361" s="769" t="n">
        <v>36</v>
      </c>
      <c r="M361" s="699">
        <f>IF(C361="TXO",J361-SUM(K361:L361),IF(C361="FITX",IF(E361="新倉",-SUM(K361:L361),IF(F361="賣",(I361-I360)*H361*200-SUM(K361:L361),(I360-I361)*H361*200-SUM(K361:L361)))))</f>
        <v/>
      </c>
      <c r="N361" s="686">
        <f>IF(C361="TXO","",IF(C361="FITX",IF(E361="新倉","",IF(F361="賣",(I361-I360),(I360-I361)))))</f>
        <v/>
      </c>
      <c r="O361" s="334">
        <f>ABS(J361)</f>
        <v/>
      </c>
      <c r="P361" s="667" t="n"/>
      <c r="R361" s="61" t="n"/>
      <c r="S361" s="61" t="n"/>
      <c r="T361" s="61" t="n"/>
      <c r="U361" s="61" t="n"/>
      <c r="V361" s="61" t="n"/>
      <c r="W361" s="61" t="n"/>
      <c r="X361" s="61" t="n"/>
      <c r="Y361" s="61" t="n"/>
    </row>
    <row r="362" hidden="1" outlineLevel="2" ht="17.25" customHeight="1" thickBot="1">
      <c r="B362" s="368" t="n">
        <v>42580</v>
      </c>
      <c r="C362" s="337" t="inlineStr">
        <is>
          <t>FITX</t>
        </is>
      </c>
      <c r="D362" s="338" t="inlineStr">
        <is>
          <t>台指08</t>
        </is>
      </c>
      <c r="E362" s="338" t="inlineStr">
        <is>
          <t>平倉</t>
        </is>
      </c>
      <c r="F362" s="338" t="inlineStr">
        <is>
          <t>買</t>
        </is>
      </c>
      <c r="G362" s="338" t="inlineStr">
        <is>
          <t>-</t>
        </is>
      </c>
      <c r="H362" s="767" t="n">
        <v>1</v>
      </c>
      <c r="I362" s="767" t="n">
        <v>8993</v>
      </c>
      <c r="J362" s="767" t="n">
        <v>0</v>
      </c>
      <c r="K362" s="769" t="n">
        <v>100</v>
      </c>
      <c r="L362" s="769" t="n">
        <v>36</v>
      </c>
      <c r="M362" s="699">
        <f>IF(C362="TXO",J362-SUM(K362:L362),IF(C362="FITX",IF(E362="新倉",-SUM(K362:L362),IF(F362="賣",(I362-I361)*H362*200-SUM(K362:L362),(I361-I362)*H362*200-SUM(K362:L362)))))</f>
        <v/>
      </c>
      <c r="N362" s="686">
        <f>IF(C362="TXO","",IF(C362="FITX",IF(E362="新倉","",IF(F362="賣",(I362-I361),(I361-I362)))))</f>
        <v/>
      </c>
      <c r="O362" s="334">
        <f>ABS(J362)</f>
        <v/>
      </c>
      <c r="P362" s="667" t="n"/>
      <c r="R362" s="61" t="n"/>
      <c r="S362" s="61" t="n"/>
      <c r="T362" s="61" t="n"/>
      <c r="U362" s="61" t="n"/>
      <c r="V362" s="61" t="n"/>
      <c r="W362" s="61" t="n"/>
      <c r="X362" s="61" t="n"/>
      <c r="Y362" s="61" t="n"/>
    </row>
    <row r="363" hidden="1" outlineLevel="2" ht="17.25" customHeight="1" thickBot="1">
      <c r="B363" s="368" t="n">
        <v>42580</v>
      </c>
      <c r="C363" s="337" t="inlineStr">
        <is>
          <t>FITX</t>
        </is>
      </c>
      <c r="D363" s="338" t="inlineStr">
        <is>
          <t>台指08</t>
        </is>
      </c>
      <c r="E363" s="338" t="inlineStr">
        <is>
          <t>新倉</t>
        </is>
      </c>
      <c r="F363" s="338" t="inlineStr">
        <is>
          <t>賣</t>
        </is>
      </c>
      <c r="G363" s="338" t="inlineStr">
        <is>
          <t>-</t>
        </is>
      </c>
      <c r="H363" s="767" t="n">
        <v>1</v>
      </c>
      <c r="I363" s="767" t="n">
        <v>8942</v>
      </c>
      <c r="J363" s="767" t="n">
        <v>0</v>
      </c>
      <c r="K363" s="769" t="n">
        <v>100</v>
      </c>
      <c r="L363" s="769" t="n">
        <v>36</v>
      </c>
      <c r="M363" s="699">
        <f>IF(C363="TXO",J363-SUM(K363:L363),IF(C363="FITX",IF(E363="新倉",-SUM(K363:L363),IF(F363="賣",(I363-I362)*H363*200-SUM(K363:L363),(I362-I363)*H363*200-SUM(K363:L363)))))</f>
        <v/>
      </c>
      <c r="N363" s="686">
        <f>IF(C363="TXO","",IF(C363="FITX",IF(E363="新倉","",IF(F363="賣",(I363-I362),(I362-I363)))))</f>
        <v/>
      </c>
      <c r="O363" s="334">
        <f>ABS(J363)</f>
        <v/>
      </c>
      <c r="P363" s="667" t="n"/>
      <c r="R363" s="61" t="n"/>
      <c r="S363" s="61" t="n"/>
      <c r="T363" s="61" t="n"/>
      <c r="U363" s="61" t="n"/>
      <c r="V363" s="61" t="n"/>
      <c r="W363" s="61" t="n"/>
      <c r="X363" s="61" t="n"/>
      <c r="Y363" s="61" t="n"/>
    </row>
    <row r="364" hidden="1" outlineLevel="2" ht="17.25" customHeight="1" thickBot="1">
      <c r="B364" s="368" t="n">
        <v>42580</v>
      </c>
      <c r="C364" s="337" t="inlineStr">
        <is>
          <t>FITX</t>
        </is>
      </c>
      <c r="D364" s="338" t="inlineStr">
        <is>
          <t>台指08</t>
        </is>
      </c>
      <c r="E364" s="338" t="inlineStr">
        <is>
          <t>平倉</t>
        </is>
      </c>
      <c r="F364" s="338" t="inlineStr">
        <is>
          <t>買</t>
        </is>
      </c>
      <c r="G364" s="338" t="inlineStr">
        <is>
          <t>-</t>
        </is>
      </c>
      <c r="H364" s="767" t="n">
        <v>1</v>
      </c>
      <c r="I364" s="767" t="n">
        <v>8950</v>
      </c>
      <c r="J364" s="767" t="n">
        <v>0</v>
      </c>
      <c r="K364" s="769" t="n">
        <v>100</v>
      </c>
      <c r="L364" s="769" t="n">
        <v>36</v>
      </c>
      <c r="M364" s="699">
        <f>IF(C364="TXO",J364-SUM(K364:L364),IF(C364="FITX",IF(E364="新倉",-SUM(K364:L364),IF(F364="賣",(I364-I363)*H364*200-SUM(K364:L364),(I363-I364)*H364*200-SUM(K364:L364)))))</f>
        <v/>
      </c>
      <c r="N364" s="686">
        <f>IF(C364="TXO","",IF(C364="FITX",IF(E364="新倉","",IF(F364="賣",(I364-I363),(I363-I364)))))</f>
        <v/>
      </c>
      <c r="O364" s="334">
        <f>ABS(J364)</f>
        <v/>
      </c>
      <c r="P364" s="667" t="n"/>
      <c r="R364" s="61" t="n"/>
      <c r="S364" s="61" t="n"/>
      <c r="T364" s="61" t="n"/>
      <c r="U364" s="61" t="n"/>
      <c r="V364" s="61" t="n"/>
      <c r="W364" s="61" t="n"/>
      <c r="X364" s="61" t="n"/>
      <c r="Y364" s="61" t="n"/>
    </row>
    <row r="365" hidden="1" outlineLevel="2" ht="17.25" customHeight="1" thickBot="1">
      <c r="B365" s="368" t="n">
        <v>42580</v>
      </c>
      <c r="C365" s="337" t="inlineStr">
        <is>
          <t>FITX</t>
        </is>
      </c>
      <c r="D365" s="338" t="inlineStr">
        <is>
          <t>台指08</t>
        </is>
      </c>
      <c r="E365" s="338" t="inlineStr">
        <is>
          <t>新倉</t>
        </is>
      </c>
      <c r="F365" s="338" t="inlineStr">
        <is>
          <t>賣</t>
        </is>
      </c>
      <c r="G365" s="338" t="inlineStr">
        <is>
          <t>-</t>
        </is>
      </c>
      <c r="H365" s="767" t="n">
        <v>1</v>
      </c>
      <c r="I365" s="767" t="n">
        <v>8953</v>
      </c>
      <c r="J365" s="767" t="n">
        <v>0</v>
      </c>
      <c r="K365" s="769" t="n">
        <v>100</v>
      </c>
      <c r="L365" s="769" t="n">
        <v>36</v>
      </c>
      <c r="M365" s="699">
        <f>IF(C365="TXO",J365-SUM(K365:L365),IF(C365="FITX",IF(E365="新倉",-SUM(K365:L365),IF(F365="賣",(I365-I364)*H365*200-SUM(K365:L365),(I364-I365)*H365*200-SUM(K365:L365)))))</f>
        <v/>
      </c>
      <c r="N365" s="686">
        <f>IF(C365="TXO","",IF(C365="FITX",IF(E365="新倉","",IF(F365="賣",(I365-I364),(I364-I365)))))</f>
        <v/>
      </c>
      <c r="O365" s="334">
        <f>ABS(J365)</f>
        <v/>
      </c>
      <c r="P365" s="667" t="n"/>
      <c r="R365" s="61" t="n"/>
      <c r="S365" s="61" t="n"/>
      <c r="T365" s="61" t="n"/>
      <c r="U365" s="61" t="n"/>
      <c r="V365" s="61" t="n"/>
      <c r="W365" s="61" t="n"/>
      <c r="X365" s="61" t="n"/>
      <c r="Y365" s="61" t="n"/>
    </row>
    <row r="366" hidden="1" outlineLevel="2" ht="17.25" customHeight="1" thickBot="1">
      <c r="B366" s="368" t="n">
        <v>42580</v>
      </c>
      <c r="C366" s="337" t="inlineStr">
        <is>
          <t>FITX</t>
        </is>
      </c>
      <c r="D366" s="338" t="inlineStr">
        <is>
          <t>台指08</t>
        </is>
      </c>
      <c r="E366" s="338" t="inlineStr">
        <is>
          <t>平倉</t>
        </is>
      </c>
      <c r="F366" s="338" t="inlineStr">
        <is>
          <t>買</t>
        </is>
      </c>
      <c r="G366" s="338" t="inlineStr">
        <is>
          <t>-</t>
        </is>
      </c>
      <c r="H366" s="767" t="n">
        <v>1</v>
      </c>
      <c r="I366" s="767" t="n">
        <v>8948</v>
      </c>
      <c r="J366" s="767" t="n">
        <v>0</v>
      </c>
      <c r="K366" s="769" t="n">
        <v>100</v>
      </c>
      <c r="L366" s="769" t="n">
        <v>36</v>
      </c>
      <c r="M366" s="699">
        <f>IF(C366="TXO",J366-SUM(K366:L366),IF(C366="FITX",IF(E366="新倉",-SUM(K366:L366),IF(F366="賣",(I366-I365)*H366*200-SUM(K366:L366),(I365-I366)*H366*200-SUM(K366:L366)))))</f>
        <v/>
      </c>
      <c r="N366" s="686">
        <f>IF(C366="TXO","",IF(C366="FITX",IF(E366="新倉","",IF(F366="賣",(I366-I365),(I365-I366)))))</f>
        <v/>
      </c>
      <c r="O366" s="334">
        <f>ABS(J366)</f>
        <v/>
      </c>
      <c r="P366" s="667" t="n"/>
      <c r="R366" s="61" t="n"/>
      <c r="S366" s="61" t="n"/>
      <c r="T366" s="61" t="n"/>
      <c r="U366" s="61" t="n"/>
      <c r="V366" s="61" t="n"/>
      <c r="W366" s="61" t="n"/>
      <c r="X366" s="61" t="n"/>
      <c r="Y366" s="61" t="n"/>
    </row>
    <row r="367" hidden="1" outlineLevel="2" ht="17.25" customHeight="1" thickBot="1">
      <c r="B367" s="368" t="n">
        <v>42580</v>
      </c>
      <c r="C367" s="337" t="inlineStr">
        <is>
          <t>FITX</t>
        </is>
      </c>
      <c r="D367" s="338" t="inlineStr">
        <is>
          <t>台指08</t>
        </is>
      </c>
      <c r="E367" s="338" t="inlineStr">
        <is>
          <t>新倉</t>
        </is>
      </c>
      <c r="F367" s="338" t="inlineStr">
        <is>
          <t>賣</t>
        </is>
      </c>
      <c r="G367" s="338" t="inlineStr">
        <is>
          <t>-</t>
        </is>
      </c>
      <c r="H367" s="767" t="n">
        <v>1</v>
      </c>
      <c r="I367" s="767" t="n">
        <v>8953</v>
      </c>
      <c r="J367" s="767" t="n">
        <v>0</v>
      </c>
      <c r="K367" s="769" t="n">
        <v>100</v>
      </c>
      <c r="L367" s="769" t="n">
        <v>36</v>
      </c>
      <c r="M367" s="699">
        <f>IF(C367="TXO",J367-SUM(K367:L367),IF(C367="FITX",IF(E367="新倉",-SUM(K367:L367),IF(F367="賣",(I367-I366)*H367*200-SUM(K367:L367),(I366-I367)*H367*200-SUM(K367:L367)))))</f>
        <v/>
      </c>
      <c r="N367" s="686">
        <f>IF(C367="TXO","",IF(C367="FITX",IF(E367="新倉","",IF(F367="賣",(I367-I366),(I366-I367)))))</f>
        <v/>
      </c>
      <c r="O367" s="334">
        <f>ABS(J367)</f>
        <v/>
      </c>
      <c r="P367" s="667" t="n"/>
      <c r="R367" s="61" t="n"/>
      <c r="S367" s="61" t="n"/>
      <c r="T367" s="61" t="n"/>
      <c r="U367" s="61" t="n"/>
      <c r="V367" s="61" t="n"/>
      <c r="W367" s="61" t="n"/>
      <c r="X367" s="61" t="n"/>
      <c r="Y367" s="61" t="n"/>
    </row>
    <row r="368" hidden="1" outlineLevel="2" ht="17.25" customHeight="1" thickBot="1">
      <c r="B368" s="368" t="n">
        <v>42580</v>
      </c>
      <c r="C368" s="337" t="inlineStr">
        <is>
          <t>FITX</t>
        </is>
      </c>
      <c r="D368" s="338" t="inlineStr">
        <is>
          <t>台指08</t>
        </is>
      </c>
      <c r="E368" s="338" t="inlineStr">
        <is>
          <t>平倉</t>
        </is>
      </c>
      <c r="F368" s="338" t="inlineStr">
        <is>
          <t>買</t>
        </is>
      </c>
      <c r="G368" s="338" t="inlineStr">
        <is>
          <t>-</t>
        </is>
      </c>
      <c r="H368" s="767" t="n">
        <v>1</v>
      </c>
      <c r="I368" s="767" t="n">
        <v>8961</v>
      </c>
      <c r="J368" s="767" t="n">
        <v>0</v>
      </c>
      <c r="K368" s="769" t="n">
        <v>100</v>
      </c>
      <c r="L368" s="769" t="n">
        <v>36</v>
      </c>
      <c r="M368" s="699">
        <f>IF(C368="TXO",J368-SUM(K368:L368),IF(C368="FITX",IF(E368="新倉",-SUM(K368:L368),IF(F368="賣",(I368-I367)*H368*200-SUM(K368:L368),(I367-I368)*H368*200-SUM(K368:L368)))))</f>
        <v/>
      </c>
      <c r="N368" s="686">
        <f>IF(C368="TXO","",IF(C368="FITX",IF(E368="新倉","",IF(F368="賣",(I368-I367),(I367-I368)))))</f>
        <v/>
      </c>
      <c r="O368" s="334">
        <f>ABS(J368)</f>
        <v/>
      </c>
      <c r="P368" s="667" t="n"/>
      <c r="R368" s="61" t="n"/>
      <c r="S368" s="61" t="n"/>
      <c r="T368" s="61" t="n"/>
      <c r="U368" s="61" t="n"/>
      <c r="V368" s="61" t="n"/>
      <c r="W368" s="61" t="n"/>
      <c r="X368" s="61" t="n"/>
      <c r="Y368" s="61" t="n"/>
    </row>
    <row r="369" hidden="1" outlineLevel="2" ht="17.25" customHeight="1" thickBot="1">
      <c r="B369" s="368" t="n">
        <v>42580</v>
      </c>
      <c r="C369" s="337" t="inlineStr">
        <is>
          <t>FITX</t>
        </is>
      </c>
      <c r="D369" s="338" t="inlineStr">
        <is>
          <t>台指08</t>
        </is>
      </c>
      <c r="E369" s="338" t="inlineStr">
        <is>
          <t>新倉</t>
        </is>
      </c>
      <c r="F369" s="338" t="inlineStr">
        <is>
          <t>賣</t>
        </is>
      </c>
      <c r="G369" s="338" t="inlineStr">
        <is>
          <t>-</t>
        </is>
      </c>
      <c r="H369" s="767" t="n">
        <v>1</v>
      </c>
      <c r="I369" s="767" t="n">
        <v>8956</v>
      </c>
      <c r="J369" s="767" t="n">
        <v>0</v>
      </c>
      <c r="K369" s="769" t="n">
        <v>100</v>
      </c>
      <c r="L369" s="769" t="n">
        <v>36</v>
      </c>
      <c r="M369" s="699">
        <f>IF(C369="TXO",J369-SUM(K369:L369),IF(C369="FITX",IF(E369="新倉",-SUM(K369:L369),IF(F369="賣",(I369-I368)*H369*200-SUM(K369:L369),(I368-I369)*H369*200-SUM(K369:L369)))))</f>
        <v/>
      </c>
      <c r="N369" s="686">
        <f>IF(C369="TXO","",IF(C369="FITX",IF(E369="新倉","",IF(F369="賣",(I369-I368),(I368-I369)))))</f>
        <v/>
      </c>
      <c r="O369" s="334">
        <f>ABS(J369)</f>
        <v/>
      </c>
      <c r="P369" s="667" t="n"/>
      <c r="R369" s="61" t="n"/>
      <c r="S369" s="61" t="n"/>
      <c r="T369" s="61" t="n"/>
      <c r="U369" s="61" t="n"/>
      <c r="V369" s="61" t="n"/>
      <c r="W369" s="61" t="n"/>
      <c r="X369" s="61" t="n"/>
      <c r="Y369" s="61" t="n"/>
    </row>
    <row r="370" hidden="1" outlineLevel="2" ht="17.25" customHeight="1" thickBot="1">
      <c r="B370" s="368" t="n">
        <v>42580</v>
      </c>
      <c r="C370" s="337" t="inlineStr">
        <is>
          <t>FITX</t>
        </is>
      </c>
      <c r="D370" s="338" t="inlineStr">
        <is>
          <t>台指08</t>
        </is>
      </c>
      <c r="E370" s="338" t="inlineStr">
        <is>
          <t>平倉</t>
        </is>
      </c>
      <c r="F370" s="338" t="inlineStr">
        <is>
          <t>買</t>
        </is>
      </c>
      <c r="G370" s="338" t="inlineStr">
        <is>
          <t>-</t>
        </is>
      </c>
      <c r="H370" s="767" t="n">
        <v>1</v>
      </c>
      <c r="I370" s="767" t="n">
        <v>8965</v>
      </c>
      <c r="J370" s="767" t="n">
        <v>0</v>
      </c>
      <c r="K370" s="769" t="n">
        <v>100</v>
      </c>
      <c r="L370" s="769" t="n">
        <v>36</v>
      </c>
      <c r="M370" s="699">
        <f>IF(C370="TXO",J370-SUM(K370:L370),IF(C370="FITX",IF(E370="新倉",-SUM(K370:L370),IF(F370="賣",(I370-I369)*H370*200-SUM(K370:L370),(I369-I370)*H370*200-SUM(K370:L370)))))</f>
        <v/>
      </c>
      <c r="N370" s="686">
        <f>IF(C370="TXO","",IF(C370="FITX",IF(E370="新倉","",IF(F370="賣",(I370-I369),(I369-I370)))))</f>
        <v/>
      </c>
      <c r="O370" s="334">
        <f>ABS(J370)</f>
        <v/>
      </c>
      <c r="P370" s="667" t="n"/>
      <c r="R370" s="61" t="n"/>
      <c r="S370" s="61" t="n"/>
      <c r="T370" s="61" t="n"/>
      <c r="U370" s="61" t="n"/>
      <c r="V370" s="61" t="n"/>
      <c r="W370" s="61" t="n"/>
      <c r="X370" s="61" t="n"/>
      <c r="Y370" s="61" t="n"/>
    </row>
    <row r="371" hidden="1" outlineLevel="2" ht="17.25" customHeight="1" thickBot="1">
      <c r="B371" s="368" t="n">
        <v>42580</v>
      </c>
      <c r="C371" s="337" t="inlineStr">
        <is>
          <t>FITX</t>
        </is>
      </c>
      <c r="D371" s="338" t="inlineStr">
        <is>
          <t>台指08</t>
        </is>
      </c>
      <c r="E371" s="338" t="inlineStr">
        <is>
          <t>新倉</t>
        </is>
      </c>
      <c r="F371" s="338" t="inlineStr">
        <is>
          <t>賣</t>
        </is>
      </c>
      <c r="G371" s="338" t="inlineStr">
        <is>
          <t>-</t>
        </is>
      </c>
      <c r="H371" s="767" t="n">
        <v>1</v>
      </c>
      <c r="I371" s="767" t="n">
        <v>8956</v>
      </c>
      <c r="J371" s="767" t="n">
        <v>0</v>
      </c>
      <c r="K371" s="769" t="n">
        <v>100</v>
      </c>
      <c r="L371" s="769" t="n">
        <v>36</v>
      </c>
      <c r="M371" s="699">
        <f>IF(C371="TXO",J371-SUM(K371:L371),IF(C371="FITX",IF(E371="新倉",-SUM(K371:L371),IF(F371="賣",(I371-I370)*H371*200-SUM(K371:L371),(I370-I371)*H371*200-SUM(K371:L371)))))</f>
        <v/>
      </c>
      <c r="N371" s="686">
        <f>IF(C371="TXO","",IF(C371="FITX",IF(E371="新倉","",IF(F371="賣",(I371-I370),(I370-I371)))))</f>
        <v/>
      </c>
      <c r="O371" s="334">
        <f>ABS(J371)</f>
        <v/>
      </c>
      <c r="P371" s="667" t="n"/>
      <c r="R371" s="61" t="n"/>
      <c r="S371" s="61" t="n"/>
      <c r="T371" s="61" t="n"/>
      <c r="U371" s="61" t="n"/>
      <c r="V371" s="61" t="n"/>
      <c r="W371" s="61" t="n"/>
      <c r="X371" s="61" t="n"/>
      <c r="Y371" s="61" t="n"/>
    </row>
    <row r="372" hidden="1" outlineLevel="2" ht="17.25" customHeight="1" thickBot="1">
      <c r="B372" s="368" t="n">
        <v>42580</v>
      </c>
      <c r="C372" s="337" t="inlineStr">
        <is>
          <t>FITX</t>
        </is>
      </c>
      <c r="D372" s="338" t="inlineStr">
        <is>
          <t>台指08</t>
        </is>
      </c>
      <c r="E372" s="338" t="inlineStr">
        <is>
          <t>平倉</t>
        </is>
      </c>
      <c r="F372" s="338" t="inlineStr">
        <is>
          <t>買</t>
        </is>
      </c>
      <c r="G372" s="338" t="inlineStr">
        <is>
          <t>-</t>
        </is>
      </c>
      <c r="H372" s="767" t="n">
        <v>1</v>
      </c>
      <c r="I372" s="767" t="n">
        <v>8964</v>
      </c>
      <c r="J372" s="767" t="n">
        <v>0</v>
      </c>
      <c r="K372" s="769" t="n">
        <v>100</v>
      </c>
      <c r="L372" s="769" t="n">
        <v>36</v>
      </c>
      <c r="M372" s="699">
        <f>IF(C372="TXO",J372-SUM(K372:L372),IF(C372="FITX",IF(E372="新倉",-SUM(K372:L372),IF(F372="賣",(I372-I371)*H372*200-SUM(K372:L372),(I371-I372)*H372*200-SUM(K372:L372)))))</f>
        <v/>
      </c>
      <c r="N372" s="686">
        <f>IF(C372="TXO","",IF(C372="FITX",IF(E372="新倉","",IF(F372="賣",(I372-I371),(I371-I372)))))</f>
        <v/>
      </c>
      <c r="O372" s="334">
        <f>ABS(J372)</f>
        <v/>
      </c>
      <c r="P372" s="667" t="n"/>
      <c r="R372" s="61" t="n"/>
      <c r="S372" s="61" t="n"/>
      <c r="T372" s="61" t="n"/>
      <c r="U372" s="61" t="n"/>
      <c r="V372" s="61" t="n"/>
      <c r="W372" s="61" t="n"/>
      <c r="X372" s="61" t="n"/>
      <c r="Y372" s="61" t="n"/>
    </row>
    <row r="373" hidden="1" outlineLevel="2" ht="17.25" customHeight="1" thickBot="1">
      <c r="B373" s="368" t="n">
        <v>42580</v>
      </c>
      <c r="C373" s="337" t="inlineStr">
        <is>
          <t>FITX</t>
        </is>
      </c>
      <c r="D373" s="338" t="inlineStr">
        <is>
          <t>台指08</t>
        </is>
      </c>
      <c r="E373" s="338" t="inlineStr">
        <is>
          <t>新倉</t>
        </is>
      </c>
      <c r="F373" s="338" t="inlineStr">
        <is>
          <t>賣</t>
        </is>
      </c>
      <c r="G373" s="338" t="inlineStr">
        <is>
          <t>-</t>
        </is>
      </c>
      <c r="H373" s="767" t="n">
        <v>1</v>
      </c>
      <c r="I373" s="767" t="n">
        <v>8964</v>
      </c>
      <c r="J373" s="767" t="n">
        <v>0</v>
      </c>
      <c r="K373" s="769" t="n">
        <v>100</v>
      </c>
      <c r="L373" s="769" t="n">
        <v>36</v>
      </c>
      <c r="M373" s="699">
        <f>IF(C373="TXO",J373-SUM(K373:L373),IF(C373="FITX",IF(E373="新倉",-SUM(K373:L373),IF(F373="賣",(I373-I372)*H373*200-SUM(K373:L373),(I372-I373)*H373*200-SUM(K373:L373)))))</f>
        <v/>
      </c>
      <c r="N373" s="686">
        <f>IF(C373="TXO","",IF(C373="FITX",IF(E373="新倉","",IF(F373="賣",(I373-I372),(I372-I373)))))</f>
        <v/>
      </c>
      <c r="O373" s="334">
        <f>ABS(J373)</f>
        <v/>
      </c>
      <c r="P373" s="667" t="n"/>
      <c r="R373" s="61" t="n"/>
      <c r="S373" s="61" t="n"/>
      <c r="T373" s="61" t="n"/>
      <c r="U373" s="61" t="n"/>
      <c r="V373" s="61" t="n"/>
      <c r="W373" s="61" t="n"/>
      <c r="X373" s="61" t="n"/>
      <c r="Y373" s="61" t="n"/>
    </row>
    <row r="374" hidden="1" outlineLevel="2" ht="17.25" customHeight="1" thickBot="1">
      <c r="B374" s="368" t="n">
        <v>42580</v>
      </c>
      <c r="C374" s="337" t="inlineStr">
        <is>
          <t>FITX</t>
        </is>
      </c>
      <c r="D374" s="338" t="inlineStr">
        <is>
          <t>台指08</t>
        </is>
      </c>
      <c r="E374" s="338" t="inlineStr">
        <is>
          <t>平倉</t>
        </is>
      </c>
      <c r="F374" s="338" t="inlineStr">
        <is>
          <t>買</t>
        </is>
      </c>
      <c r="G374" s="338" t="inlineStr">
        <is>
          <t>-</t>
        </is>
      </c>
      <c r="H374" s="767" t="n">
        <v>1</v>
      </c>
      <c r="I374" s="767" t="n">
        <v>8970</v>
      </c>
      <c r="J374" s="767" t="n">
        <v>0</v>
      </c>
      <c r="K374" s="769" t="n">
        <v>100</v>
      </c>
      <c r="L374" s="769" t="n">
        <v>36</v>
      </c>
      <c r="M374" s="699">
        <f>IF(C374="TXO",J374-SUM(K374:L374),IF(C374="FITX",IF(E374="新倉",-SUM(K374:L374),IF(F374="賣",(I374-I373)*H374*200-SUM(K374:L374),(I373-I374)*H374*200-SUM(K374:L374)))))</f>
        <v/>
      </c>
      <c r="N374" s="686">
        <f>IF(C374="TXO","",IF(C374="FITX",IF(E374="新倉","",IF(F374="賣",(I374-I373),(I373-I374)))))</f>
        <v/>
      </c>
      <c r="O374" s="334">
        <f>ABS(J374)</f>
        <v/>
      </c>
      <c r="P374" s="667" t="n"/>
      <c r="R374" s="61" t="n"/>
      <c r="S374" s="61" t="n"/>
      <c r="T374" s="61" t="n"/>
      <c r="U374" s="61" t="n"/>
      <c r="V374" s="61" t="n"/>
      <c r="W374" s="61" t="n"/>
      <c r="X374" s="61" t="n"/>
      <c r="Y374" s="61" t="n"/>
    </row>
    <row r="375" hidden="1" outlineLevel="2" ht="17.25" customHeight="1" thickBot="1">
      <c r="B375" s="368" t="n">
        <v>42580</v>
      </c>
      <c r="C375" s="337" t="inlineStr">
        <is>
          <t>FITX</t>
        </is>
      </c>
      <c r="D375" s="338" t="inlineStr">
        <is>
          <t>台指08</t>
        </is>
      </c>
      <c r="E375" s="338" t="inlineStr">
        <is>
          <t>新倉</t>
        </is>
      </c>
      <c r="F375" s="338" t="inlineStr">
        <is>
          <t>買</t>
        </is>
      </c>
      <c r="G375" s="338" t="inlineStr">
        <is>
          <t>-</t>
        </is>
      </c>
      <c r="H375" s="767" t="n">
        <v>1</v>
      </c>
      <c r="I375" s="767" t="n">
        <v>8965</v>
      </c>
      <c r="J375" s="767" t="n">
        <v>0</v>
      </c>
      <c r="K375" s="769" t="n">
        <v>100</v>
      </c>
      <c r="L375" s="769" t="n">
        <v>36</v>
      </c>
      <c r="M375" s="699">
        <f>IF(C375="TXO",J375-SUM(K375:L375),IF(C375="FITX",IF(E375="新倉",-SUM(K375:L375),IF(F375="賣",(I375-I374)*H375*200-SUM(K375:L375),(I374-I375)*H375*200-SUM(K375:L375)))))</f>
        <v/>
      </c>
      <c r="N375" s="686">
        <f>IF(C375="TXO","",IF(C375="FITX",IF(E375="新倉","",IF(F375="賣",(I375-I374),(I374-I375)))))</f>
        <v/>
      </c>
      <c r="O375" s="334">
        <f>ABS(J375)</f>
        <v/>
      </c>
      <c r="P375" s="667" t="n"/>
      <c r="R375" s="61" t="n"/>
      <c r="S375" s="61" t="n"/>
      <c r="T375" s="61" t="n"/>
      <c r="U375" s="61" t="n"/>
      <c r="V375" s="61" t="n"/>
      <c r="W375" s="61" t="n"/>
      <c r="X375" s="61" t="n"/>
      <c r="Y375" s="61" t="n"/>
    </row>
    <row r="376" hidden="1" outlineLevel="2" ht="17.25" customHeight="1" thickBot="1">
      <c r="B376" s="368" t="n">
        <v>42580</v>
      </c>
      <c r="C376" s="337" t="inlineStr">
        <is>
          <t>FITX</t>
        </is>
      </c>
      <c r="D376" s="338" t="inlineStr">
        <is>
          <t>台指08</t>
        </is>
      </c>
      <c r="E376" s="338" t="inlineStr">
        <is>
          <t>平倉</t>
        </is>
      </c>
      <c r="F376" s="338" t="inlineStr">
        <is>
          <t>賣</t>
        </is>
      </c>
      <c r="G376" s="338" t="inlineStr">
        <is>
          <t>-</t>
        </is>
      </c>
      <c r="H376" s="767" t="n">
        <v>1</v>
      </c>
      <c r="I376" s="767" t="n">
        <v>8967</v>
      </c>
      <c r="J376" s="767" t="n">
        <v>0</v>
      </c>
      <c r="K376" s="769" t="n">
        <v>100</v>
      </c>
      <c r="L376" s="769" t="n">
        <v>36</v>
      </c>
      <c r="M376" s="699">
        <f>IF(C376="TXO",J376-SUM(K376:L376),IF(C376="FITX",IF(E376="新倉",-SUM(K376:L376),IF(F376="賣",(I376-I375)*H376*200-SUM(K376:L376),(I375-I376)*H376*200-SUM(K376:L376)))))</f>
        <v/>
      </c>
      <c r="N376" s="686">
        <f>IF(C376="TXO","",IF(C376="FITX",IF(E376="新倉","",IF(F376="賣",(I376-I375),(I375-I376)))))</f>
        <v/>
      </c>
      <c r="O376" s="334">
        <f>ABS(J376)</f>
        <v/>
      </c>
      <c r="P376" s="667" t="n"/>
      <c r="R376" s="61" t="n"/>
      <c r="S376" s="61" t="n"/>
      <c r="T376" s="61" t="n"/>
      <c r="U376" s="61" t="n"/>
      <c r="V376" s="61" t="n"/>
      <c r="W376" s="61" t="n"/>
      <c r="X376" s="61" t="n"/>
      <c r="Y376" s="61" t="n"/>
    </row>
    <row r="377" collapsed="1" ht="17.25" customHeight="1" thickBot="1">
      <c r="B377" s="352" t="inlineStr">
        <is>
          <t>7月總計</t>
        </is>
      </c>
      <c r="C377" s="292" t="n"/>
      <c r="D377" s="292" t="n"/>
      <c r="E377" s="292" t="n"/>
      <c r="F377" s="292" t="n"/>
      <c r="G377" s="292" t="n"/>
      <c r="H377" s="719" t="n"/>
      <c r="I377" s="719" t="n"/>
      <c r="J377" s="719" t="n"/>
      <c r="K377" s="720" t="n"/>
      <c r="L377" s="719" t="n"/>
      <c r="M377" s="721" t="n"/>
      <c r="N377" s="760" t="n"/>
      <c r="P377" s="775">
        <f>SUM(P69:P376)</f>
        <v/>
      </c>
    </row>
    <row r="378" hidden="1" outlineLevel="1" collapsed="1" ht="17.25" customHeight="1" thickBot="1">
      <c r="B378" s="360" t="n">
        <v>42583</v>
      </c>
      <c r="C378" s="299" t="inlineStr">
        <is>
          <t>FITX</t>
        </is>
      </c>
      <c r="D378" s="300" t="inlineStr">
        <is>
          <t>台指08</t>
        </is>
      </c>
      <c r="E378" s="300" t="inlineStr">
        <is>
          <t>新倉</t>
        </is>
      </c>
      <c r="F378" s="300" t="inlineStr">
        <is>
          <t>買</t>
        </is>
      </c>
      <c r="G378" s="300" t="inlineStr">
        <is>
          <t>-</t>
        </is>
      </c>
      <c r="H378" s="741" t="n">
        <v>1</v>
      </c>
      <c r="I378" s="741" t="n">
        <v>8990</v>
      </c>
      <c r="J378" s="741" t="n">
        <v>0</v>
      </c>
      <c r="K378" s="742" t="n">
        <v>100</v>
      </c>
      <c r="L378" s="742" t="n">
        <v>36</v>
      </c>
      <c r="M378" s="743">
        <f>IF(C378="TXO",J378-SUM(K378:L378),IF(C378="FITX",IF(E378="新倉",-SUM(K378:L378),IF(F378="賣",(I378-I377)*H378*200-SUM(K378:L378),(I377-I378)*H378*200-SUM(K378:L378)))))</f>
        <v/>
      </c>
      <c r="N378" s="780">
        <f>IF(C378="TXO","",IF(C378="FITX",IF(E378="新倉","",IF(F378="賣",(I378-I377)*H378,(I377-I378)*H378))))</f>
        <v/>
      </c>
      <c r="O378" s="334">
        <f>ABS(J378)</f>
        <v/>
      </c>
      <c r="P378" s="764">
        <f>SUM(M378:M399)</f>
        <v/>
      </c>
      <c r="R378" s="61" t="n"/>
      <c r="S378" s="61" t="n"/>
      <c r="T378" s="61" t="n"/>
      <c r="U378" s="61" t="n"/>
      <c r="V378" s="61" t="n"/>
      <c r="W378" s="61" t="n"/>
      <c r="X378" s="61" t="n"/>
      <c r="Y378" s="61" t="n"/>
    </row>
    <row r="379" hidden="1" outlineLevel="2" ht="17.25" customHeight="1" thickBot="1">
      <c r="B379" s="360" t="n">
        <v>42583</v>
      </c>
      <c r="C379" s="299" t="inlineStr">
        <is>
          <t>FITX</t>
        </is>
      </c>
      <c r="D379" s="300" t="inlineStr">
        <is>
          <t>台指08</t>
        </is>
      </c>
      <c r="E379" s="300" t="inlineStr">
        <is>
          <t>平倉</t>
        </is>
      </c>
      <c r="F379" s="300" t="inlineStr">
        <is>
          <t>賣</t>
        </is>
      </c>
      <c r="G379" s="300" t="inlineStr">
        <is>
          <t>-</t>
        </is>
      </c>
      <c r="H379" s="741" t="n">
        <v>1</v>
      </c>
      <c r="I379" s="741" t="n">
        <v>8980</v>
      </c>
      <c r="J379" s="741" t="n">
        <v>0</v>
      </c>
      <c r="K379" s="742" t="n">
        <v>100</v>
      </c>
      <c r="L379" s="742" t="n">
        <v>36</v>
      </c>
      <c r="M379" s="743">
        <f>IF(C379="TXO",J379-SUM(K379:L379),IF(C379="FITX",IF(E379="新倉",-SUM(K379:L379),IF(F379="賣",(I379-I378)*H379*200-SUM(K379:L379),(I378-I379)*H379*200-SUM(K379:L379)))))</f>
        <v/>
      </c>
      <c r="N379" s="780">
        <f>IF(C379="TXO","",IF(C379="FITX",IF(E379="新倉","",IF(F379="賣",(I379-I378)*H379,(I378-I379)*H379))))</f>
        <v/>
      </c>
      <c r="O379" s="334">
        <f>ABS(J379)</f>
        <v/>
      </c>
      <c r="P379" s="764" t="n"/>
      <c r="R379" s="61" t="n"/>
      <c r="S379" s="61" t="n"/>
      <c r="T379" s="61" t="n"/>
      <c r="U379" s="61" t="n"/>
      <c r="V379" s="61" t="n"/>
      <c r="W379" s="61" t="n"/>
      <c r="X379" s="61" t="n"/>
      <c r="Y379" s="61" t="n"/>
    </row>
    <row r="380" hidden="1" outlineLevel="2" ht="17.25" customHeight="1" thickBot="1">
      <c r="B380" s="360" t="n">
        <v>42583</v>
      </c>
      <c r="C380" s="299" t="inlineStr">
        <is>
          <t>FITX</t>
        </is>
      </c>
      <c r="D380" s="300" t="inlineStr">
        <is>
          <t>台指08</t>
        </is>
      </c>
      <c r="E380" s="300" t="inlineStr">
        <is>
          <t>新倉</t>
        </is>
      </c>
      <c r="F380" s="300" t="inlineStr">
        <is>
          <t>買</t>
        </is>
      </c>
      <c r="G380" s="300" t="inlineStr">
        <is>
          <t>-</t>
        </is>
      </c>
      <c r="H380" s="741" t="n">
        <v>1</v>
      </c>
      <c r="I380" s="741" t="n">
        <v>8987</v>
      </c>
      <c r="J380" s="741" t="n">
        <v>0</v>
      </c>
      <c r="K380" s="742" t="n">
        <v>100</v>
      </c>
      <c r="L380" s="742" t="n">
        <v>36</v>
      </c>
      <c r="M380" s="743">
        <f>IF(C380="TXO",J380-SUM(K380:L380),IF(C380="FITX",IF(E380="新倉",-SUM(K380:L380),IF(F380="賣",(I380-I379)*H380*200-SUM(K380:L380),(I379-I380)*H380*200-SUM(K380:L380)))))</f>
        <v/>
      </c>
      <c r="N380" s="780">
        <f>IF(C380="TXO","",IF(C380="FITX",IF(E380="新倉","",IF(F380="賣",(I380-I379)*H380,(I379-I380)*H380))))</f>
        <v/>
      </c>
      <c r="O380" s="334">
        <f>ABS(J380)</f>
        <v/>
      </c>
      <c r="P380" s="764" t="n"/>
      <c r="R380" s="61" t="n"/>
      <c r="S380" s="61" t="n"/>
      <c r="T380" s="61" t="n"/>
      <c r="U380" s="61" t="n"/>
      <c r="V380" s="61" t="n"/>
      <c r="W380" s="61" t="n"/>
      <c r="X380" s="61" t="n"/>
      <c r="Y380" s="61" t="n"/>
    </row>
    <row r="381" hidden="1" outlineLevel="2" ht="17.25" customHeight="1" thickBot="1">
      <c r="B381" s="360" t="n">
        <v>42583</v>
      </c>
      <c r="C381" s="299" t="inlineStr">
        <is>
          <t>FITX</t>
        </is>
      </c>
      <c r="D381" s="300" t="inlineStr">
        <is>
          <t>台指08</t>
        </is>
      </c>
      <c r="E381" s="300" t="inlineStr">
        <is>
          <t>平倉</t>
        </is>
      </c>
      <c r="F381" s="300" t="inlineStr">
        <is>
          <t>賣</t>
        </is>
      </c>
      <c r="G381" s="300" t="inlineStr">
        <is>
          <t>-</t>
        </is>
      </c>
      <c r="H381" s="741" t="n">
        <v>1</v>
      </c>
      <c r="I381" s="741" t="n">
        <v>8986</v>
      </c>
      <c r="J381" s="741" t="n">
        <v>0</v>
      </c>
      <c r="K381" s="742" t="n">
        <v>100</v>
      </c>
      <c r="L381" s="742" t="n">
        <v>36</v>
      </c>
      <c r="M381" s="743">
        <f>IF(C381="TXO",J381-SUM(K381:L381),IF(C381="FITX",IF(E381="新倉",-SUM(K381:L381),IF(F381="賣",(I381-I380)*H381*200-SUM(K381:L381),(I380-I381)*H381*200-SUM(K381:L381)))))</f>
        <v/>
      </c>
      <c r="N381" s="780">
        <f>IF(C381="TXO","",IF(C381="FITX",IF(E381="新倉","",IF(F381="賣",(I381-I380)*H381,(I380-I381)*H381))))</f>
        <v/>
      </c>
      <c r="O381" s="334">
        <f>ABS(J381)</f>
        <v/>
      </c>
      <c r="P381" s="764" t="n"/>
      <c r="R381" s="61" t="n"/>
      <c r="S381" s="61" t="n"/>
      <c r="T381" s="61" t="n"/>
      <c r="U381" s="61" t="n"/>
      <c r="V381" s="61" t="n"/>
      <c r="W381" s="61" t="n"/>
      <c r="X381" s="61" t="n"/>
      <c r="Y381" s="61" t="n"/>
    </row>
    <row r="382" hidden="1" outlineLevel="2" ht="17.25" customHeight="1" thickBot="1">
      <c r="B382" s="360" t="n">
        <v>42583</v>
      </c>
      <c r="C382" s="299" t="inlineStr">
        <is>
          <t>FITX</t>
        </is>
      </c>
      <c r="D382" s="300" t="inlineStr">
        <is>
          <t>台指08</t>
        </is>
      </c>
      <c r="E382" s="300" t="inlineStr">
        <is>
          <t>新倉</t>
        </is>
      </c>
      <c r="F382" s="300" t="inlineStr">
        <is>
          <t>買</t>
        </is>
      </c>
      <c r="G382" s="300" t="inlineStr">
        <is>
          <t>-</t>
        </is>
      </c>
      <c r="H382" s="741" t="n">
        <v>1</v>
      </c>
      <c r="I382" s="741" t="n">
        <v>9006</v>
      </c>
      <c r="J382" s="741" t="n">
        <v>0</v>
      </c>
      <c r="K382" s="742" t="n">
        <v>100</v>
      </c>
      <c r="L382" s="742" t="n">
        <v>36</v>
      </c>
      <c r="M382" s="743">
        <f>IF(C382="TXO",J382-SUM(K382:L382),IF(C382="FITX",IF(E382="新倉",-SUM(K382:L382),IF(F382="賣",(I382-I381)*H382*200-SUM(K382:L382),(I381-I382)*H382*200-SUM(K382:L382)))))</f>
        <v/>
      </c>
      <c r="N382" s="780">
        <f>IF(C382="TXO","",IF(C382="FITX",IF(E382="新倉","",IF(F382="賣",(I382-I381)*H382,(I381-I382)*H382))))</f>
        <v/>
      </c>
      <c r="O382" s="334">
        <f>ABS(J382)</f>
        <v/>
      </c>
      <c r="P382" s="764" t="n"/>
      <c r="R382" s="61" t="n"/>
      <c r="S382" s="61" t="n"/>
      <c r="T382" s="61" t="n"/>
      <c r="U382" s="61" t="n"/>
      <c r="V382" s="61" t="n"/>
      <c r="W382" s="61" t="n"/>
      <c r="X382" s="61" t="n"/>
      <c r="Y382" s="61" t="n"/>
    </row>
    <row r="383" hidden="1" outlineLevel="2" ht="17.25" customHeight="1" thickBot="1">
      <c r="B383" s="360" t="n">
        <v>42583</v>
      </c>
      <c r="C383" s="299" t="inlineStr">
        <is>
          <t>FITX</t>
        </is>
      </c>
      <c r="D383" s="300" t="inlineStr">
        <is>
          <t>台指08</t>
        </is>
      </c>
      <c r="E383" s="300" t="inlineStr">
        <is>
          <t>平倉</t>
        </is>
      </c>
      <c r="F383" s="300" t="inlineStr">
        <is>
          <t>賣</t>
        </is>
      </c>
      <c r="G383" s="300" t="inlineStr">
        <is>
          <t>-</t>
        </is>
      </c>
      <c r="H383" s="741" t="n">
        <v>1</v>
      </c>
      <c r="I383" s="741" t="n">
        <v>9011</v>
      </c>
      <c r="J383" s="741" t="n">
        <v>0</v>
      </c>
      <c r="K383" s="742" t="n">
        <v>100</v>
      </c>
      <c r="L383" s="742" t="n">
        <v>36</v>
      </c>
      <c r="M383" s="743">
        <f>IF(C383="TXO",J383-SUM(K383:L383),IF(C383="FITX",IF(E383="新倉",-SUM(K383:L383),IF(F383="賣",(I383-I382)*H383*200-SUM(K383:L383),(I382-I383)*H383*200-SUM(K383:L383)))))</f>
        <v/>
      </c>
      <c r="N383" s="780">
        <f>IF(C383="TXO","",IF(C383="FITX",IF(E383="新倉","",IF(F383="賣",(I383-I382)*H383,(I382-I383)*H383))))</f>
        <v/>
      </c>
      <c r="O383" s="334">
        <f>ABS(J383)</f>
        <v/>
      </c>
      <c r="P383" s="764" t="n"/>
      <c r="R383" s="61" t="n"/>
      <c r="S383" s="61" t="n"/>
      <c r="T383" s="61" t="n"/>
      <c r="U383" s="61" t="n"/>
      <c r="V383" s="61" t="n"/>
      <c r="W383" s="61" t="n"/>
      <c r="X383" s="61" t="n"/>
      <c r="Y383" s="61" t="n"/>
    </row>
    <row r="384" hidden="1" outlineLevel="2" ht="17.25" customHeight="1" thickBot="1">
      <c r="B384" s="360" t="n">
        <v>42583</v>
      </c>
      <c r="C384" s="299" t="inlineStr">
        <is>
          <t>FITX</t>
        </is>
      </c>
      <c r="D384" s="300" t="inlineStr">
        <is>
          <t>台指08</t>
        </is>
      </c>
      <c r="E384" s="300" t="inlineStr">
        <is>
          <t>新倉</t>
        </is>
      </c>
      <c r="F384" s="300" t="inlineStr">
        <is>
          <t>買</t>
        </is>
      </c>
      <c r="G384" s="300" t="inlineStr">
        <is>
          <t>-</t>
        </is>
      </c>
      <c r="H384" s="741" t="n">
        <v>2</v>
      </c>
      <c r="I384" s="741" t="n">
        <v>9010</v>
      </c>
      <c r="J384" s="741" t="n">
        <v>0</v>
      </c>
      <c r="K384" s="742" t="n">
        <v>200</v>
      </c>
      <c r="L384" s="742" t="n">
        <v>72</v>
      </c>
      <c r="M384" s="743">
        <f>IF(C384="TXO",J384-SUM(K384:L384),IF(C384="FITX",IF(E384="新倉",-SUM(K384:L384),IF(F384="賣",(I384-I383)*H384*200-SUM(K384:L384),(I383-I384)*H384*200-SUM(K384:L384)))))</f>
        <v/>
      </c>
      <c r="N384" s="780">
        <f>IF(C384="TXO","",IF(C384="FITX",IF(E384="新倉","",IF(F384="賣",(I384-I383)*H384,(I383-I384)*H384))))</f>
        <v/>
      </c>
      <c r="O384" s="334">
        <f>ABS(J384)</f>
        <v/>
      </c>
      <c r="P384" s="764" t="n"/>
      <c r="R384" s="61" t="n"/>
      <c r="S384" s="61" t="n"/>
      <c r="T384" s="61" t="n"/>
      <c r="U384" s="61" t="n"/>
      <c r="V384" s="61" t="n"/>
      <c r="W384" s="61" t="n"/>
      <c r="X384" s="61" t="n"/>
      <c r="Y384" s="61" t="n"/>
    </row>
    <row r="385" hidden="1" outlineLevel="2" ht="17.25" customHeight="1" thickBot="1">
      <c r="B385" s="360" t="n">
        <v>42583</v>
      </c>
      <c r="C385" s="299" t="inlineStr">
        <is>
          <t>FITX</t>
        </is>
      </c>
      <c r="D385" s="300" t="inlineStr">
        <is>
          <t>台指08</t>
        </is>
      </c>
      <c r="E385" s="300" t="inlineStr">
        <is>
          <t>平倉</t>
        </is>
      </c>
      <c r="F385" s="300" t="inlineStr">
        <is>
          <t>賣</t>
        </is>
      </c>
      <c r="G385" s="300" t="inlineStr">
        <is>
          <t>-</t>
        </is>
      </c>
      <c r="H385" s="741" t="n">
        <v>2</v>
      </c>
      <c r="I385" s="741" t="n">
        <v>9002</v>
      </c>
      <c r="J385" s="741" t="n">
        <v>0</v>
      </c>
      <c r="K385" s="742" t="n">
        <v>200</v>
      </c>
      <c r="L385" s="742" t="n">
        <v>72</v>
      </c>
      <c r="M385" s="743">
        <f>IF(C385="TXO",J385-SUM(K385:L385),IF(C385="FITX",IF(E385="新倉",-SUM(K385:L385),IF(F385="賣",(I385-I384)*H385*200-SUM(K385:L385),(I384-I385)*H385*200-SUM(K385:L385)))))</f>
        <v/>
      </c>
      <c r="N385" s="780">
        <f>IF(C385="TXO","",IF(C385="FITX",IF(E385="新倉","",IF(F385="賣",(I385-I384)*H385,(I384-I385)*H385))))</f>
        <v/>
      </c>
      <c r="O385" s="334">
        <f>ABS(J385)</f>
        <v/>
      </c>
      <c r="P385" s="764" t="n"/>
      <c r="R385" s="61" t="n"/>
      <c r="S385" s="61" t="n"/>
      <c r="T385" s="61" t="n"/>
      <c r="U385" s="61" t="n"/>
      <c r="V385" s="61" t="n"/>
      <c r="W385" s="61" t="n"/>
      <c r="X385" s="61" t="n"/>
      <c r="Y385" s="61" t="n"/>
    </row>
    <row r="386" hidden="1" outlineLevel="2" ht="17.25" customHeight="1" thickBot="1">
      <c r="B386" s="360" t="n">
        <v>42583</v>
      </c>
      <c r="C386" s="299" t="inlineStr">
        <is>
          <t>FITX</t>
        </is>
      </c>
      <c r="D386" s="300" t="inlineStr">
        <is>
          <t>台指08</t>
        </is>
      </c>
      <c r="E386" s="300" t="inlineStr">
        <is>
          <t>新倉</t>
        </is>
      </c>
      <c r="F386" s="300" t="inlineStr">
        <is>
          <t>買</t>
        </is>
      </c>
      <c r="G386" s="300" t="inlineStr">
        <is>
          <t>-</t>
        </is>
      </c>
      <c r="H386" s="741" t="n">
        <v>2</v>
      </c>
      <c r="I386" s="741" t="n">
        <v>9019</v>
      </c>
      <c r="J386" s="741" t="n">
        <v>0</v>
      </c>
      <c r="K386" s="742" t="n">
        <v>200</v>
      </c>
      <c r="L386" s="742" t="n">
        <v>72</v>
      </c>
      <c r="M386" s="743">
        <f>IF(C386="TXO",J386-SUM(K386:L386),IF(C386="FITX",IF(E386="新倉",-SUM(K386:L386),IF(F386="賣",(I386-I385)*H386*200-SUM(K386:L386),(I385-I386)*H386*200-SUM(K386:L386)))))</f>
        <v/>
      </c>
      <c r="N386" s="780">
        <f>IF(C386="TXO","",IF(C386="FITX",IF(E386="新倉","",IF(F386="賣",(I386-I385)*H386,(I385-I386)*H386))))</f>
        <v/>
      </c>
      <c r="O386" s="334">
        <f>ABS(J386)</f>
        <v/>
      </c>
      <c r="P386" s="764" t="n"/>
      <c r="R386" s="61" t="n"/>
      <c r="S386" s="61" t="n"/>
      <c r="T386" s="61" t="n"/>
      <c r="U386" s="61" t="n"/>
      <c r="V386" s="61" t="n"/>
      <c r="W386" s="61" t="n"/>
      <c r="X386" s="61" t="n"/>
      <c r="Y386" s="61" t="n"/>
    </row>
    <row r="387" hidden="1" outlineLevel="2" ht="17.25" customHeight="1" thickBot="1">
      <c r="B387" s="360" t="n">
        <v>42583</v>
      </c>
      <c r="C387" s="299" t="inlineStr">
        <is>
          <t>FITX</t>
        </is>
      </c>
      <c r="D387" s="300" t="inlineStr">
        <is>
          <t>台指08</t>
        </is>
      </c>
      <c r="E387" s="300" t="inlineStr">
        <is>
          <t>平倉</t>
        </is>
      </c>
      <c r="F387" s="300" t="inlineStr">
        <is>
          <t>賣</t>
        </is>
      </c>
      <c r="G387" s="300" t="inlineStr">
        <is>
          <t>-</t>
        </is>
      </c>
      <c r="H387" s="741" t="n">
        <v>2</v>
      </c>
      <c r="I387" s="741" t="n">
        <v>9023</v>
      </c>
      <c r="J387" s="741" t="n">
        <v>0</v>
      </c>
      <c r="K387" s="742" t="n">
        <v>200</v>
      </c>
      <c r="L387" s="742" t="n">
        <v>72</v>
      </c>
      <c r="M387" s="743">
        <f>IF(C387="TXO",J387-SUM(K387:L387),IF(C387="FITX",IF(E387="新倉",-SUM(K387:L387),IF(F387="賣",(I387-I386)*H387*200-SUM(K387:L387),(I386-I387)*H387*200-SUM(K387:L387)))))</f>
        <v/>
      </c>
      <c r="N387" s="780">
        <f>IF(C387="TXO","",IF(C387="FITX",IF(E387="新倉","",IF(F387="賣",(I387-I386)*H387,(I386-I387)*H387))))</f>
        <v/>
      </c>
      <c r="O387" s="334">
        <f>ABS(J387)</f>
        <v/>
      </c>
      <c r="P387" s="764" t="n"/>
      <c r="R387" s="61" t="n"/>
      <c r="S387" s="61" t="n"/>
      <c r="T387" s="61" t="n"/>
      <c r="U387" s="61" t="n"/>
      <c r="V387" s="61" t="n"/>
      <c r="W387" s="61" t="n"/>
      <c r="X387" s="61" t="n"/>
      <c r="Y387" s="61" t="n"/>
    </row>
    <row r="388" hidden="1" outlineLevel="2" ht="17.25" customHeight="1" thickBot="1">
      <c r="B388" s="360" t="n">
        <v>42583</v>
      </c>
      <c r="C388" s="299" t="inlineStr">
        <is>
          <t>FITX</t>
        </is>
      </c>
      <c r="D388" s="300" t="inlineStr">
        <is>
          <t>台指08</t>
        </is>
      </c>
      <c r="E388" s="300" t="inlineStr">
        <is>
          <t>新倉</t>
        </is>
      </c>
      <c r="F388" s="300" t="inlineStr">
        <is>
          <t>買</t>
        </is>
      </c>
      <c r="G388" s="300" t="inlineStr">
        <is>
          <t>-</t>
        </is>
      </c>
      <c r="H388" s="741" t="n">
        <v>1</v>
      </c>
      <c r="I388" s="741" t="n">
        <v>9019</v>
      </c>
      <c r="J388" s="741" t="n">
        <v>0</v>
      </c>
      <c r="K388" s="742" t="n">
        <v>100</v>
      </c>
      <c r="L388" s="742" t="n">
        <v>36</v>
      </c>
      <c r="M388" s="743">
        <f>IF(C388="TXO",J388-SUM(K388:L388),IF(C388="FITX",IF(E388="新倉",-SUM(K388:L388),IF(F388="賣",(I388-I387)*H388*200-SUM(K388:L388),(I387-I388)*H388*200-SUM(K388:L388)))))</f>
        <v/>
      </c>
      <c r="N388" s="780">
        <f>IF(C388="TXO","",IF(C388="FITX",IF(E388="新倉","",IF(F388="賣",(I388-I387)*H388,(I387-I388)*H388))))</f>
        <v/>
      </c>
      <c r="O388" s="334">
        <f>ABS(J388)</f>
        <v/>
      </c>
      <c r="P388" s="764" t="n"/>
      <c r="R388" s="61" t="n"/>
      <c r="S388" s="61" t="n"/>
      <c r="T388" s="61" t="n"/>
      <c r="U388" s="61" t="n"/>
      <c r="V388" s="61" t="n"/>
      <c r="W388" s="61" t="n"/>
      <c r="X388" s="61" t="n"/>
      <c r="Y388" s="61" t="n"/>
    </row>
    <row r="389" hidden="1" outlineLevel="2" ht="17.25" customHeight="1" thickBot="1">
      <c r="B389" s="360" t="n">
        <v>42583</v>
      </c>
      <c r="C389" s="299" t="inlineStr">
        <is>
          <t>FITX</t>
        </is>
      </c>
      <c r="D389" s="300" t="inlineStr">
        <is>
          <t>台指08</t>
        </is>
      </c>
      <c r="E389" s="300" t="inlineStr">
        <is>
          <t>平倉</t>
        </is>
      </c>
      <c r="F389" s="300" t="inlineStr">
        <is>
          <t>賣</t>
        </is>
      </c>
      <c r="G389" s="300" t="inlineStr">
        <is>
          <t>-</t>
        </is>
      </c>
      <c r="H389" s="741" t="n">
        <v>1</v>
      </c>
      <c r="I389" s="741" t="n">
        <v>9024</v>
      </c>
      <c r="J389" s="741" t="n">
        <v>0</v>
      </c>
      <c r="K389" s="742" t="n">
        <v>100</v>
      </c>
      <c r="L389" s="742" t="n">
        <v>36</v>
      </c>
      <c r="M389" s="743">
        <f>IF(C389="TXO",J389-SUM(K389:L389),IF(C389="FITX",IF(E389="新倉",-SUM(K389:L389),IF(F389="賣",(I389-I388)*H389*200-SUM(K389:L389),(I388-I389)*H389*200-SUM(K389:L389)))))</f>
        <v/>
      </c>
      <c r="N389" s="780">
        <f>IF(C389="TXO","",IF(C389="FITX",IF(E389="新倉","",IF(F389="賣",(I389-I388)*H389,(I388-I389)*H389))))</f>
        <v/>
      </c>
      <c r="O389" s="334">
        <f>ABS(J389)</f>
        <v/>
      </c>
      <c r="P389" s="764" t="n"/>
      <c r="R389" s="61" t="n"/>
      <c r="S389" s="61" t="n"/>
      <c r="T389" s="61" t="n"/>
      <c r="U389" s="61" t="n"/>
      <c r="V389" s="61" t="n"/>
      <c r="W389" s="61" t="n"/>
      <c r="X389" s="61" t="n"/>
      <c r="Y389" s="61" t="n"/>
    </row>
    <row r="390" hidden="1" outlineLevel="2" ht="17.25" customHeight="1" thickBot="1">
      <c r="B390" s="360" t="n">
        <v>42583</v>
      </c>
      <c r="C390" s="299" t="inlineStr">
        <is>
          <t>FITX</t>
        </is>
      </c>
      <c r="D390" s="300" t="inlineStr">
        <is>
          <t>台指08</t>
        </is>
      </c>
      <c r="E390" s="300" t="inlineStr">
        <is>
          <t>新倉</t>
        </is>
      </c>
      <c r="F390" s="300" t="inlineStr">
        <is>
          <t>買</t>
        </is>
      </c>
      <c r="G390" s="300" t="inlineStr">
        <is>
          <t>-</t>
        </is>
      </c>
      <c r="H390" s="741" t="n">
        <v>1</v>
      </c>
      <c r="I390" s="741" t="n">
        <v>9019</v>
      </c>
      <c r="J390" s="741" t="n">
        <v>0</v>
      </c>
      <c r="K390" s="742" t="n">
        <v>100</v>
      </c>
      <c r="L390" s="742" t="n">
        <v>36</v>
      </c>
      <c r="M390" s="743">
        <f>IF(C390="TXO",J390-SUM(K390:L390),IF(C390="FITX",IF(E390="新倉",-SUM(K390:L390),IF(F390="賣",(I390-I389)*H390*200-SUM(K390:L390),(I389-I390)*H390*200-SUM(K390:L390)))))</f>
        <v/>
      </c>
      <c r="N390" s="780">
        <f>IF(C390="TXO","",IF(C390="FITX",IF(E390="新倉","",IF(F390="賣",(I390-I389)*H390,(I389-I390)*H390))))</f>
        <v/>
      </c>
      <c r="O390" s="334">
        <f>ABS(J390)</f>
        <v/>
      </c>
      <c r="P390" s="764" t="n"/>
      <c r="R390" s="61" t="n"/>
      <c r="S390" s="61" t="n"/>
      <c r="T390" s="61" t="n"/>
      <c r="U390" s="61" t="n"/>
      <c r="V390" s="61" t="n"/>
      <c r="W390" s="61" t="n"/>
      <c r="X390" s="61" t="n"/>
      <c r="Y390" s="61" t="n"/>
    </row>
    <row r="391" hidden="1" outlineLevel="2" ht="17.25" customHeight="1" thickBot="1">
      <c r="B391" s="360" t="n">
        <v>42583</v>
      </c>
      <c r="C391" s="299" t="inlineStr">
        <is>
          <t>FITX</t>
        </is>
      </c>
      <c r="D391" s="300" t="inlineStr">
        <is>
          <t>台指08</t>
        </is>
      </c>
      <c r="E391" s="300" t="inlineStr">
        <is>
          <t>平倉</t>
        </is>
      </c>
      <c r="F391" s="300" t="inlineStr">
        <is>
          <t>賣</t>
        </is>
      </c>
      <c r="G391" s="300" t="inlineStr">
        <is>
          <t>-</t>
        </is>
      </c>
      <c r="H391" s="741" t="n">
        <v>1</v>
      </c>
      <c r="I391" s="741" t="n">
        <v>9023</v>
      </c>
      <c r="J391" s="741" t="n">
        <v>0</v>
      </c>
      <c r="K391" s="742" t="n">
        <v>100</v>
      </c>
      <c r="L391" s="742" t="n">
        <v>36</v>
      </c>
      <c r="M391" s="743">
        <f>IF(C391="TXO",J391-SUM(K391:L391),IF(C391="FITX",IF(E391="新倉",-SUM(K391:L391),IF(F391="賣",(I391-I390)*H391*200-SUM(K391:L391),(I390-I391)*H391*200-SUM(K391:L391)))))</f>
        <v/>
      </c>
      <c r="N391" s="780">
        <f>IF(C391="TXO","",IF(C391="FITX",IF(E391="新倉","",IF(F391="賣",(I391-I390)*H391,(I390-I391)*H391))))</f>
        <v/>
      </c>
      <c r="O391" s="334">
        <f>ABS(J391)</f>
        <v/>
      </c>
      <c r="P391" s="764" t="n"/>
      <c r="R391" s="61" t="n"/>
      <c r="S391" s="61" t="n"/>
      <c r="T391" s="61" t="n"/>
      <c r="U391" s="61" t="n"/>
      <c r="V391" s="61" t="n"/>
      <c r="W391" s="61" t="n"/>
      <c r="X391" s="61" t="n"/>
      <c r="Y391" s="61" t="n"/>
    </row>
    <row r="392" hidden="1" outlineLevel="2" ht="17.25" customHeight="1" thickBot="1">
      <c r="B392" s="360" t="n">
        <v>42583</v>
      </c>
      <c r="C392" s="299" t="inlineStr">
        <is>
          <t>FITX</t>
        </is>
      </c>
      <c r="D392" s="300" t="inlineStr">
        <is>
          <t>台指08</t>
        </is>
      </c>
      <c r="E392" s="300" t="inlineStr">
        <is>
          <t>新倉</t>
        </is>
      </c>
      <c r="F392" s="300" t="inlineStr">
        <is>
          <t>買</t>
        </is>
      </c>
      <c r="G392" s="300" t="inlineStr">
        <is>
          <t>-</t>
        </is>
      </c>
      <c r="H392" s="741" t="n">
        <v>1</v>
      </c>
      <c r="I392" s="741" t="n">
        <v>9019</v>
      </c>
      <c r="J392" s="741" t="n">
        <v>0</v>
      </c>
      <c r="K392" s="742" t="n">
        <v>100</v>
      </c>
      <c r="L392" s="742" t="n">
        <v>36</v>
      </c>
      <c r="M392" s="743">
        <f>IF(C392="TXO",J392-SUM(K392:L392),IF(C392="FITX",IF(E392="新倉",-SUM(K392:L392),IF(F392="賣",(I392-I391)*H392*200-SUM(K392:L392),(I391-I392)*H392*200-SUM(K392:L392)))))</f>
        <v/>
      </c>
      <c r="N392" s="780">
        <f>IF(C392="TXO","",IF(C392="FITX",IF(E392="新倉","",IF(F392="賣",(I392-I391)*H392,(I391-I392)*H392))))</f>
        <v/>
      </c>
      <c r="O392" s="334">
        <f>ABS(J392)</f>
        <v/>
      </c>
      <c r="P392" s="764" t="n"/>
      <c r="R392" s="61" t="n"/>
      <c r="S392" s="61" t="n"/>
      <c r="T392" s="61" t="n"/>
      <c r="U392" s="61" t="n"/>
      <c r="V392" s="61" t="n"/>
      <c r="W392" s="61" t="n"/>
      <c r="X392" s="61" t="n"/>
      <c r="Y392" s="61" t="n"/>
    </row>
    <row r="393" hidden="1" outlineLevel="2" ht="17.25" customHeight="1" thickBot="1">
      <c r="B393" s="360" t="n">
        <v>42583</v>
      </c>
      <c r="C393" s="299" t="inlineStr">
        <is>
          <t>FITX</t>
        </is>
      </c>
      <c r="D393" s="300" t="inlineStr">
        <is>
          <t>台指08</t>
        </is>
      </c>
      <c r="E393" s="300" t="inlineStr">
        <is>
          <t>平倉</t>
        </is>
      </c>
      <c r="F393" s="300" t="inlineStr">
        <is>
          <t>賣</t>
        </is>
      </c>
      <c r="G393" s="300" t="inlineStr">
        <is>
          <t>-</t>
        </is>
      </c>
      <c r="H393" s="741" t="n">
        <v>1</v>
      </c>
      <c r="I393" s="741" t="n">
        <v>9020</v>
      </c>
      <c r="J393" s="741" t="n">
        <v>0</v>
      </c>
      <c r="K393" s="742" t="n">
        <v>100</v>
      </c>
      <c r="L393" s="742" t="n">
        <v>36</v>
      </c>
      <c r="M393" s="743">
        <f>IF(C393="TXO",J393-SUM(K393:L393),IF(C393="FITX",IF(E393="新倉",-SUM(K393:L393),IF(F393="賣",(I393-I392)*H393*200-SUM(K393:L393),(I392-I393)*H393*200-SUM(K393:L393)))))</f>
        <v/>
      </c>
      <c r="N393" s="780">
        <f>IF(C393="TXO","",IF(C393="FITX",IF(E393="新倉","",IF(F393="賣",(I393-I392)*H393,(I392-I393)*H393))))</f>
        <v/>
      </c>
      <c r="O393" s="334">
        <f>ABS(J393)</f>
        <v/>
      </c>
      <c r="P393" s="764" t="n"/>
      <c r="R393" s="61" t="n"/>
      <c r="S393" s="61" t="n"/>
      <c r="T393" s="61" t="n"/>
      <c r="U393" s="61" t="n"/>
      <c r="V393" s="61" t="n"/>
      <c r="W393" s="61" t="n"/>
      <c r="X393" s="61" t="n"/>
      <c r="Y393" s="61" t="n"/>
    </row>
    <row r="394" hidden="1" outlineLevel="2" ht="17.25" customHeight="1" thickBot="1">
      <c r="B394" s="360" t="n">
        <v>42583</v>
      </c>
      <c r="C394" s="299" t="inlineStr">
        <is>
          <t>FITX</t>
        </is>
      </c>
      <c r="D394" s="300" t="inlineStr">
        <is>
          <t>台指08</t>
        </is>
      </c>
      <c r="E394" s="300" t="inlineStr">
        <is>
          <t>新倉</t>
        </is>
      </c>
      <c r="F394" s="300" t="inlineStr">
        <is>
          <t>買</t>
        </is>
      </c>
      <c r="G394" s="300" t="inlineStr">
        <is>
          <t>-</t>
        </is>
      </c>
      <c r="H394" s="741" t="n">
        <v>2</v>
      </c>
      <c r="I394" s="741" t="n">
        <v>9020</v>
      </c>
      <c r="J394" s="741" t="n">
        <v>0</v>
      </c>
      <c r="K394" s="742" t="n">
        <v>200</v>
      </c>
      <c r="L394" s="742" t="n">
        <v>72</v>
      </c>
      <c r="M394" s="743">
        <f>IF(C394="TXO",J394-SUM(K394:L394),IF(C394="FITX",IF(E394="新倉",-SUM(K394:L394),IF(F394="賣",(I394-I393)*H394*200-SUM(K394:L394),(I393-I394)*H394*200-SUM(K394:L394)))))</f>
        <v/>
      </c>
      <c r="N394" s="780">
        <f>IF(C394="TXO","",IF(C394="FITX",IF(E394="新倉","",IF(F394="賣",(I394-I393)*H394,(I393-I394)*H394))))</f>
        <v/>
      </c>
      <c r="O394" s="334">
        <f>ABS(J394)</f>
        <v/>
      </c>
      <c r="P394" s="764" t="n"/>
      <c r="R394" s="61" t="n"/>
      <c r="S394" s="61" t="n"/>
      <c r="T394" s="61" t="n"/>
      <c r="U394" s="61" t="n"/>
      <c r="V394" s="61" t="n"/>
      <c r="W394" s="61" t="n"/>
      <c r="X394" s="61" t="n"/>
      <c r="Y394" s="61" t="n"/>
    </row>
    <row r="395" hidden="1" outlineLevel="2" ht="17.25" customHeight="1" thickBot="1">
      <c r="B395" s="360" t="n">
        <v>42583</v>
      </c>
      <c r="C395" s="299" t="inlineStr">
        <is>
          <t>FITX</t>
        </is>
      </c>
      <c r="D395" s="300" t="inlineStr">
        <is>
          <t>台指08</t>
        </is>
      </c>
      <c r="E395" s="300" t="inlineStr">
        <is>
          <t>平倉</t>
        </is>
      </c>
      <c r="F395" s="300" t="inlineStr">
        <is>
          <t>賣</t>
        </is>
      </c>
      <c r="G395" s="300" t="inlineStr">
        <is>
          <t>-</t>
        </is>
      </c>
      <c r="H395" s="741" t="n">
        <v>2</v>
      </c>
      <c r="I395" s="741" t="n">
        <v>9015</v>
      </c>
      <c r="J395" s="741" t="n">
        <v>0</v>
      </c>
      <c r="K395" s="742" t="n">
        <v>200</v>
      </c>
      <c r="L395" s="742" t="n">
        <v>72</v>
      </c>
      <c r="M395" s="743">
        <f>IF(C395="TXO",J395-SUM(K395:L395),IF(C395="FITX",IF(E395="新倉",-SUM(K395:L395),IF(F395="賣",(I395-I394)*H395*200-SUM(K395:L395),(I394-I395)*H395*200-SUM(K395:L395)))))</f>
        <v/>
      </c>
      <c r="N395" s="780">
        <f>IF(C395="TXO","",IF(C395="FITX",IF(E395="新倉","",IF(F395="賣",(I395-I394)*H395,(I394-I395)*H395))))</f>
        <v/>
      </c>
      <c r="O395" s="334">
        <f>ABS(J395)</f>
        <v/>
      </c>
      <c r="P395" s="764" t="n"/>
      <c r="R395" s="61" t="n"/>
      <c r="S395" s="61" t="n"/>
      <c r="T395" s="61" t="n"/>
      <c r="U395" s="61" t="n"/>
      <c r="V395" s="61" t="n"/>
      <c r="W395" s="61" t="n"/>
      <c r="X395" s="61" t="n"/>
      <c r="Y395" s="61" t="n"/>
    </row>
    <row r="396" hidden="1" outlineLevel="2" ht="17.25" customHeight="1" thickBot="1">
      <c r="B396" s="360" t="n">
        <v>42583</v>
      </c>
      <c r="C396" s="299" t="inlineStr">
        <is>
          <t>FITX</t>
        </is>
      </c>
      <c r="D396" s="300" t="inlineStr">
        <is>
          <t>台指08</t>
        </is>
      </c>
      <c r="E396" s="300" t="inlineStr">
        <is>
          <t>新倉</t>
        </is>
      </c>
      <c r="F396" s="300" t="inlineStr">
        <is>
          <t>買</t>
        </is>
      </c>
      <c r="G396" s="300" t="inlineStr">
        <is>
          <t>-</t>
        </is>
      </c>
      <c r="H396" s="741" t="n">
        <v>1</v>
      </c>
      <c r="I396" s="741" t="n">
        <v>9015</v>
      </c>
      <c r="J396" s="741" t="n">
        <v>0</v>
      </c>
      <c r="K396" s="742" t="n">
        <v>100</v>
      </c>
      <c r="L396" s="742" t="n">
        <v>36</v>
      </c>
      <c r="M396" s="743">
        <f>IF(C396="TXO",J396-SUM(K396:L396),IF(C396="FITX",IF(E396="新倉",-SUM(K396:L396),IF(F396="賣",(I396-I395)*H396*200-SUM(K396:L396),(I395-I396)*H396*200-SUM(K396:L396)))))</f>
        <v/>
      </c>
      <c r="N396" s="780">
        <f>IF(C396="TXO","",IF(C396="FITX",IF(E396="新倉","",IF(F396="賣",(I396-I395)*H396,(I395-I396)*H396))))</f>
        <v/>
      </c>
      <c r="O396" s="334">
        <f>ABS(J396)</f>
        <v/>
      </c>
      <c r="P396" s="764" t="n"/>
      <c r="R396" s="61" t="n"/>
      <c r="S396" s="61" t="n"/>
      <c r="T396" s="61" t="n"/>
      <c r="U396" s="61" t="n"/>
      <c r="V396" s="61" t="n"/>
      <c r="W396" s="61" t="n"/>
      <c r="X396" s="61" t="n"/>
      <c r="Y396" s="61" t="n"/>
    </row>
    <row r="397" hidden="1" outlineLevel="2" ht="17.25" customHeight="1" thickBot="1">
      <c r="B397" s="360" t="n">
        <v>42583</v>
      </c>
      <c r="C397" s="299" t="inlineStr">
        <is>
          <t>FITX</t>
        </is>
      </c>
      <c r="D397" s="300" t="inlineStr">
        <is>
          <t>台指08</t>
        </is>
      </c>
      <c r="E397" s="300" t="inlineStr">
        <is>
          <t>平倉</t>
        </is>
      </c>
      <c r="F397" s="300" t="inlineStr">
        <is>
          <t>賣</t>
        </is>
      </c>
      <c r="G397" s="300" t="inlineStr">
        <is>
          <t>-</t>
        </is>
      </c>
      <c r="H397" s="741" t="n">
        <v>1</v>
      </c>
      <c r="I397" s="741" t="n">
        <v>9020</v>
      </c>
      <c r="J397" s="741" t="n">
        <v>0</v>
      </c>
      <c r="K397" s="742" t="n">
        <v>100</v>
      </c>
      <c r="L397" s="742" t="n">
        <v>36</v>
      </c>
      <c r="M397" s="743">
        <f>IF(C397="TXO",J397-SUM(K397:L397),IF(C397="FITX",IF(E397="新倉",-SUM(K397:L397),IF(F397="賣",(I397-I396)*H397*200-SUM(K397:L397),(I396-I397)*H397*200-SUM(K397:L397)))))</f>
        <v/>
      </c>
      <c r="N397" s="780">
        <f>IF(C397="TXO","",IF(C397="FITX",IF(E397="新倉","",IF(F397="賣",(I397-I396)*H397,(I396-I397)*H397))))</f>
        <v/>
      </c>
      <c r="O397" s="334">
        <f>ABS(J397)</f>
        <v/>
      </c>
      <c r="P397" s="764" t="n"/>
      <c r="R397" s="61" t="n"/>
      <c r="S397" s="61" t="n"/>
      <c r="T397" s="61" t="n"/>
      <c r="U397" s="61" t="n"/>
      <c r="V397" s="61" t="n"/>
      <c r="W397" s="61" t="n"/>
      <c r="X397" s="61" t="n"/>
      <c r="Y397" s="61" t="n"/>
    </row>
    <row r="398" hidden="1" outlineLevel="2" ht="17.25" customHeight="1" thickBot="1">
      <c r="B398" s="360" t="n">
        <v>42583</v>
      </c>
      <c r="C398" s="299" t="inlineStr">
        <is>
          <t>FITX</t>
        </is>
      </c>
      <c r="D398" s="300" t="inlineStr">
        <is>
          <t>台指08</t>
        </is>
      </c>
      <c r="E398" s="300" t="inlineStr">
        <is>
          <t>新倉</t>
        </is>
      </c>
      <c r="F398" s="300" t="inlineStr">
        <is>
          <t>買</t>
        </is>
      </c>
      <c r="G398" s="300" t="inlineStr">
        <is>
          <t>-</t>
        </is>
      </c>
      <c r="H398" s="741" t="n">
        <v>1</v>
      </c>
      <c r="I398" s="741" t="n">
        <v>9016</v>
      </c>
      <c r="J398" s="741" t="n">
        <v>0</v>
      </c>
      <c r="K398" s="742" t="n">
        <v>100</v>
      </c>
      <c r="L398" s="742" t="n">
        <v>36</v>
      </c>
      <c r="M398" s="743">
        <f>IF(C398="TXO",J398-SUM(K398:L398),IF(C398="FITX",IF(E398="新倉",-SUM(K398:L398),IF(F398="賣",(I398-I397)*H398*200-SUM(K398:L398),(I397-I398)*H398*200-SUM(K398:L398)))))</f>
        <v/>
      </c>
      <c r="N398" s="780">
        <f>IF(C398="TXO","",IF(C398="FITX",IF(E398="新倉","",IF(F398="賣",(I398-I397)*H398,(I397-I398)*H398))))</f>
        <v/>
      </c>
      <c r="O398" s="334">
        <f>ABS(J398)</f>
        <v/>
      </c>
      <c r="P398" s="764" t="n"/>
      <c r="R398" s="61" t="n"/>
      <c r="S398" s="61" t="n"/>
      <c r="T398" s="61" t="n"/>
      <c r="U398" s="61" t="n"/>
      <c r="V398" s="61" t="n"/>
      <c r="W398" s="61" t="n"/>
      <c r="X398" s="61" t="n"/>
      <c r="Y398" s="61" t="n"/>
    </row>
    <row r="399" hidden="1" outlineLevel="2" ht="17.25" customHeight="1" thickBot="1">
      <c r="B399" s="360" t="n">
        <v>42583</v>
      </c>
      <c r="C399" s="299" t="inlineStr">
        <is>
          <t>FITX</t>
        </is>
      </c>
      <c r="D399" s="300" t="inlineStr">
        <is>
          <t>台指08</t>
        </is>
      </c>
      <c r="E399" s="300" t="inlineStr">
        <is>
          <t>平倉</t>
        </is>
      </c>
      <c r="F399" s="300" t="inlineStr">
        <is>
          <t>賣</t>
        </is>
      </c>
      <c r="G399" s="300" t="inlineStr">
        <is>
          <t>-</t>
        </is>
      </c>
      <c r="H399" s="741" t="n">
        <v>1</v>
      </c>
      <c r="I399" s="741" t="n">
        <v>9022</v>
      </c>
      <c r="J399" s="741" t="n">
        <v>0</v>
      </c>
      <c r="K399" s="742" t="n">
        <v>100</v>
      </c>
      <c r="L399" s="742" t="n">
        <v>36</v>
      </c>
      <c r="M399" s="743">
        <f>IF(C399="TXO",J399-SUM(K399:L399),IF(C399="FITX",IF(E399="新倉",-SUM(K399:L399),IF(F399="賣",(I399-I398)*H399*200-SUM(K399:L399),(I398-I399)*H399*200-SUM(K399:L399)))))</f>
        <v/>
      </c>
      <c r="N399" s="780">
        <f>IF(C399="TXO","",IF(C399="FITX",IF(E399="新倉","",IF(F399="賣",(I399-I398)*H399,(I398-I399)*H399))))</f>
        <v/>
      </c>
      <c r="O399" s="334">
        <f>ABS(J399)</f>
        <v/>
      </c>
      <c r="P399" s="764" t="n"/>
      <c r="R399" s="61" t="n"/>
      <c r="S399" s="61" t="n"/>
      <c r="T399" s="61" t="n"/>
      <c r="U399" s="61" t="n"/>
      <c r="V399" s="61" t="n"/>
      <c r="W399" s="61" t="n"/>
      <c r="X399" s="61" t="n"/>
      <c r="Y399" s="61" t="n"/>
    </row>
    <row r="400" hidden="1" outlineLevel="1" collapsed="1" ht="17.25" customHeight="1" thickBot="1">
      <c r="B400" s="368" t="n">
        <v>42584</v>
      </c>
      <c r="C400" s="337" t="inlineStr">
        <is>
          <t>FITX</t>
        </is>
      </c>
      <c r="D400" s="338" t="inlineStr">
        <is>
          <t>台指08</t>
        </is>
      </c>
      <c r="E400" s="338" t="inlineStr">
        <is>
          <t>新倉</t>
        </is>
      </c>
      <c r="F400" s="338" t="inlineStr">
        <is>
          <t>賣</t>
        </is>
      </c>
      <c r="G400" s="338" t="inlineStr">
        <is>
          <t>-</t>
        </is>
      </c>
      <c r="H400" s="767" t="n">
        <v>1</v>
      </c>
      <c r="I400" s="767" t="n">
        <v>9016</v>
      </c>
      <c r="J400" s="767" t="n">
        <v>0</v>
      </c>
      <c r="K400" s="769" t="n">
        <v>100</v>
      </c>
      <c r="L400" s="769" t="n">
        <v>36</v>
      </c>
      <c r="M400" s="699">
        <f>IF(C400="TXO",J400-SUM(K400:L400),IF(C400="FITX",IF(E400="新倉",-SUM(K400:L400),IF(F400="賣",(I400-I399)*H400*200-SUM(K400:L400),(I399-I400)*H400*200-SUM(K400:L400)))))</f>
        <v/>
      </c>
      <c r="N400" s="686">
        <f>IF(C400="TXO","",IF(C400="FITX",IF(E400="新倉","",IF(F400="賣",(I400-I399),(I399-I400)))))</f>
        <v/>
      </c>
      <c r="O400" s="334">
        <f>ABS(J400)</f>
        <v/>
      </c>
      <c r="P400" s="667">
        <f>SUM(M400:M421)</f>
        <v/>
      </c>
      <c r="R400" s="61" t="n"/>
      <c r="S400" s="61" t="n"/>
      <c r="T400" s="61" t="n"/>
      <c r="U400" s="61" t="n"/>
      <c r="V400" s="61" t="n"/>
      <c r="W400" s="61" t="n"/>
      <c r="X400" s="61" t="n"/>
      <c r="Y400" s="61" t="n"/>
    </row>
    <row r="401" hidden="1" outlineLevel="2" ht="17.25" customHeight="1" thickBot="1">
      <c r="B401" s="368" t="n">
        <v>42584</v>
      </c>
      <c r="C401" s="337" t="inlineStr">
        <is>
          <t>FITX</t>
        </is>
      </c>
      <c r="D401" s="338" t="inlineStr">
        <is>
          <t>台指08</t>
        </is>
      </c>
      <c r="E401" s="338" t="inlineStr">
        <is>
          <t>平倉</t>
        </is>
      </c>
      <c r="F401" s="338" t="inlineStr">
        <is>
          <t>買</t>
        </is>
      </c>
      <c r="G401" s="338" t="inlineStr">
        <is>
          <t>-</t>
        </is>
      </c>
      <c r="H401" s="767" t="n">
        <v>1</v>
      </c>
      <c r="I401" s="767" t="n">
        <v>9021</v>
      </c>
      <c r="J401" s="767" t="n">
        <v>0</v>
      </c>
      <c r="K401" s="769" t="n">
        <v>100</v>
      </c>
      <c r="L401" s="769" t="n">
        <v>36</v>
      </c>
      <c r="M401" s="699">
        <f>IF(C401="TXO",J401-SUM(K401:L401),IF(C401="FITX",IF(E401="新倉",-SUM(K401:L401),IF(F401="賣",(I401-I400)*H401*200-SUM(K401:L401),(I400-I401)*H401*200-SUM(K401:L401)))))</f>
        <v/>
      </c>
      <c r="N401" s="686">
        <f>IF(C401="TXO","",IF(C401="FITX",IF(E401="新倉","",IF(F401="賣",(I401-I400),(I400-I401)))))</f>
        <v/>
      </c>
      <c r="O401" s="334">
        <f>ABS(J401)</f>
        <v/>
      </c>
      <c r="P401" s="667" t="n"/>
      <c r="R401" s="61" t="n"/>
      <c r="S401" s="61" t="n"/>
      <c r="T401" s="61" t="n"/>
      <c r="U401" s="61" t="n"/>
      <c r="V401" s="61" t="n"/>
      <c r="W401" s="61" t="n"/>
      <c r="X401" s="61" t="n"/>
      <c r="Y401" s="61" t="n"/>
    </row>
    <row r="402" hidden="1" outlineLevel="2" ht="17.25" customHeight="1" thickBot="1">
      <c r="B402" s="368" t="n">
        <v>42584</v>
      </c>
      <c r="C402" s="337" t="inlineStr">
        <is>
          <t>FITX</t>
        </is>
      </c>
      <c r="D402" s="338" t="inlineStr">
        <is>
          <t>台指08</t>
        </is>
      </c>
      <c r="E402" s="338" t="inlineStr">
        <is>
          <t>新倉</t>
        </is>
      </c>
      <c r="F402" s="338" t="inlineStr">
        <is>
          <t>賣</t>
        </is>
      </c>
      <c r="G402" s="338" t="inlineStr">
        <is>
          <t>-</t>
        </is>
      </c>
      <c r="H402" s="767" t="n">
        <v>1</v>
      </c>
      <c r="I402" s="767" t="n">
        <v>9016</v>
      </c>
      <c r="J402" s="767" t="n">
        <v>0</v>
      </c>
      <c r="K402" s="769" t="n">
        <v>100</v>
      </c>
      <c r="L402" s="769" t="n">
        <v>36</v>
      </c>
      <c r="M402" s="699">
        <f>IF(C402="TXO",J402-SUM(K402:L402),IF(C402="FITX",IF(E402="新倉",-SUM(K402:L402),IF(F402="賣",(I402-I401)*H402*200-SUM(K402:L402),(I401-I402)*H402*200-SUM(K402:L402)))))</f>
        <v/>
      </c>
      <c r="N402" s="686">
        <f>IF(C402="TXO","",IF(C402="FITX",IF(E402="新倉","",IF(F402="賣",(I402-I401),(I401-I402)))))</f>
        <v/>
      </c>
      <c r="O402" s="334">
        <f>ABS(J402)</f>
        <v/>
      </c>
      <c r="P402" s="667" t="n"/>
      <c r="R402" s="61" t="n"/>
      <c r="S402" s="61" t="n"/>
      <c r="T402" s="61" t="n"/>
      <c r="U402" s="61" t="n"/>
      <c r="V402" s="61" t="n"/>
      <c r="W402" s="61" t="n"/>
      <c r="X402" s="61" t="n"/>
      <c r="Y402" s="61" t="n"/>
    </row>
    <row r="403" hidden="1" outlineLevel="2" ht="17.25" customHeight="1" thickBot="1">
      <c r="B403" s="368" t="n">
        <v>42584</v>
      </c>
      <c r="C403" s="337" t="inlineStr">
        <is>
          <t>FITX</t>
        </is>
      </c>
      <c r="D403" s="338" t="inlineStr">
        <is>
          <t>台指08</t>
        </is>
      </c>
      <c r="E403" s="338" t="inlineStr">
        <is>
          <t>平倉</t>
        </is>
      </c>
      <c r="F403" s="338" t="inlineStr">
        <is>
          <t>買</t>
        </is>
      </c>
      <c r="G403" s="338" t="inlineStr">
        <is>
          <t>-</t>
        </is>
      </c>
      <c r="H403" s="767" t="n">
        <v>1</v>
      </c>
      <c r="I403" s="767" t="n">
        <v>9019</v>
      </c>
      <c r="J403" s="767" t="n">
        <v>0</v>
      </c>
      <c r="K403" s="769" t="n">
        <v>100</v>
      </c>
      <c r="L403" s="769" t="n">
        <v>36</v>
      </c>
      <c r="M403" s="699">
        <f>IF(C403="TXO",J403-SUM(K403:L403),IF(C403="FITX",IF(E403="新倉",-SUM(K403:L403),IF(F403="賣",(I403-I402)*H403*200-SUM(K403:L403),(I402-I403)*H403*200-SUM(K403:L403)))))</f>
        <v/>
      </c>
      <c r="N403" s="686">
        <f>IF(C403="TXO","",IF(C403="FITX",IF(E403="新倉","",IF(F403="賣",(I403-I402),(I402-I403)))))</f>
        <v/>
      </c>
      <c r="O403" s="334">
        <f>ABS(J403)</f>
        <v/>
      </c>
      <c r="P403" s="667" t="n"/>
      <c r="R403" s="61" t="n"/>
      <c r="S403" s="61" t="n"/>
      <c r="T403" s="61" t="n"/>
      <c r="U403" s="61" t="n"/>
      <c r="V403" s="61" t="n"/>
      <c r="W403" s="61" t="n"/>
      <c r="X403" s="61" t="n"/>
      <c r="Y403" s="61" t="n"/>
    </row>
    <row r="404" hidden="1" outlineLevel="2" ht="17.25" customHeight="1" thickBot="1">
      <c r="B404" s="368" t="n">
        <v>42584</v>
      </c>
      <c r="C404" s="337" t="inlineStr">
        <is>
          <t>FITX</t>
        </is>
      </c>
      <c r="D404" s="338" t="inlineStr">
        <is>
          <t>台指08</t>
        </is>
      </c>
      <c r="E404" s="338" t="inlineStr">
        <is>
          <t>新倉</t>
        </is>
      </c>
      <c r="F404" s="338" t="inlineStr">
        <is>
          <t>賣</t>
        </is>
      </c>
      <c r="G404" s="338" t="inlineStr">
        <is>
          <t>-</t>
        </is>
      </c>
      <c r="H404" s="767" t="n">
        <v>1</v>
      </c>
      <c r="I404" s="767" t="n">
        <v>9022</v>
      </c>
      <c r="J404" s="767" t="n">
        <v>0</v>
      </c>
      <c r="K404" s="769" t="n">
        <v>100</v>
      </c>
      <c r="L404" s="769" t="n">
        <v>36</v>
      </c>
      <c r="M404" s="699">
        <f>IF(C404="TXO",J404-SUM(K404:L404),IF(C404="FITX",IF(E404="新倉",-SUM(K404:L404),IF(F404="賣",(I404-I403)*H404*200-SUM(K404:L404),(I403-I404)*H404*200-SUM(K404:L404)))))</f>
        <v/>
      </c>
      <c r="N404" s="686">
        <f>IF(C404="TXO","",IF(C404="FITX",IF(E404="新倉","",IF(F404="賣",(I404-I403),(I403-I404)))))</f>
        <v/>
      </c>
      <c r="O404" s="334">
        <f>ABS(J404)</f>
        <v/>
      </c>
      <c r="P404" s="667" t="n"/>
      <c r="R404" s="61" t="n"/>
      <c r="S404" s="61" t="n"/>
      <c r="T404" s="61" t="n"/>
      <c r="U404" s="61" t="n"/>
      <c r="V404" s="61" t="n"/>
      <c r="W404" s="61" t="n"/>
      <c r="X404" s="61" t="n"/>
      <c r="Y404" s="61" t="n"/>
    </row>
    <row r="405" hidden="1" outlineLevel="2" ht="17.25" customHeight="1" thickBot="1">
      <c r="B405" s="368" t="n">
        <v>42584</v>
      </c>
      <c r="C405" s="337" t="inlineStr">
        <is>
          <t>FITX</t>
        </is>
      </c>
      <c r="D405" s="338" t="inlineStr">
        <is>
          <t>台指08</t>
        </is>
      </c>
      <c r="E405" s="338" t="inlineStr">
        <is>
          <t>平倉</t>
        </is>
      </c>
      <c r="F405" s="338" t="inlineStr">
        <is>
          <t>買</t>
        </is>
      </c>
      <c r="G405" s="338" t="inlineStr">
        <is>
          <t>-</t>
        </is>
      </c>
      <c r="H405" s="767" t="n">
        <v>1</v>
      </c>
      <c r="I405" s="767" t="n">
        <v>9024</v>
      </c>
      <c r="J405" s="767" t="n">
        <v>0</v>
      </c>
      <c r="K405" s="769" t="n">
        <v>100</v>
      </c>
      <c r="L405" s="769" t="n">
        <v>36</v>
      </c>
      <c r="M405" s="699">
        <f>IF(C405="TXO",J405-SUM(K405:L405),IF(C405="FITX",IF(E405="新倉",-SUM(K405:L405),IF(F405="賣",(I405-I404)*H405*200-SUM(K405:L405),(I404-I405)*H405*200-SUM(K405:L405)))))</f>
        <v/>
      </c>
      <c r="N405" s="686">
        <f>IF(C405="TXO","",IF(C405="FITX",IF(E405="新倉","",IF(F405="賣",(I405-I404),(I404-I405)))))</f>
        <v/>
      </c>
      <c r="O405" s="334">
        <f>ABS(J405)</f>
        <v/>
      </c>
      <c r="P405" s="667" t="n"/>
      <c r="R405" s="61" t="n"/>
      <c r="S405" s="61" t="n"/>
      <c r="T405" s="61" t="n"/>
      <c r="U405" s="61" t="n"/>
      <c r="V405" s="61" t="n"/>
      <c r="W405" s="61" t="n"/>
      <c r="X405" s="61" t="n"/>
      <c r="Y405" s="61" t="n"/>
    </row>
    <row r="406" hidden="1" outlineLevel="2" ht="17.25" customHeight="1" thickBot="1">
      <c r="B406" s="368" t="n">
        <v>42584</v>
      </c>
      <c r="C406" s="337" t="inlineStr">
        <is>
          <t>FITX</t>
        </is>
      </c>
      <c r="D406" s="338" t="inlineStr">
        <is>
          <t>台指08</t>
        </is>
      </c>
      <c r="E406" s="338" t="inlineStr">
        <is>
          <t>新倉</t>
        </is>
      </c>
      <c r="F406" s="338" t="inlineStr">
        <is>
          <t>賣</t>
        </is>
      </c>
      <c r="G406" s="338" t="inlineStr">
        <is>
          <t>-</t>
        </is>
      </c>
      <c r="H406" s="767" t="n">
        <v>1</v>
      </c>
      <c r="I406" s="767" t="n">
        <v>9014</v>
      </c>
      <c r="J406" s="767" t="n">
        <v>0</v>
      </c>
      <c r="K406" s="769" t="n">
        <v>100</v>
      </c>
      <c r="L406" s="769" t="n">
        <v>36</v>
      </c>
      <c r="M406" s="699">
        <f>IF(C406="TXO",J406-SUM(K406:L406),IF(C406="FITX",IF(E406="新倉",-SUM(K406:L406),IF(F406="賣",(I406-I405)*H406*200-SUM(K406:L406),(I405-I406)*H406*200-SUM(K406:L406)))))</f>
        <v/>
      </c>
      <c r="N406" s="686">
        <f>IF(C406="TXO","",IF(C406="FITX",IF(E406="新倉","",IF(F406="賣",(I406-I405),(I405-I406)))))</f>
        <v/>
      </c>
      <c r="O406" s="334">
        <f>ABS(J406)</f>
        <v/>
      </c>
      <c r="P406" s="667" t="n"/>
      <c r="R406" s="61" t="n"/>
      <c r="S406" s="61" t="n"/>
      <c r="T406" s="61" t="n"/>
      <c r="U406" s="61" t="n"/>
      <c r="V406" s="61" t="n"/>
      <c r="W406" s="61" t="n"/>
      <c r="X406" s="61" t="n"/>
      <c r="Y406" s="61" t="n"/>
    </row>
    <row r="407" hidden="1" outlineLevel="2" ht="17.25" customHeight="1" thickBot="1">
      <c r="B407" s="368" t="n">
        <v>42584</v>
      </c>
      <c r="C407" s="337" t="inlineStr">
        <is>
          <t>FITX</t>
        </is>
      </c>
      <c r="D407" s="338" t="inlineStr">
        <is>
          <t>台指08</t>
        </is>
      </c>
      <c r="E407" s="338" t="inlineStr">
        <is>
          <t>平倉</t>
        </is>
      </c>
      <c r="F407" s="338" t="inlineStr">
        <is>
          <t>買</t>
        </is>
      </c>
      <c r="G407" s="338" t="inlineStr">
        <is>
          <t>-</t>
        </is>
      </c>
      <c r="H407" s="767" t="n">
        <v>1</v>
      </c>
      <c r="I407" s="767" t="n">
        <v>9011</v>
      </c>
      <c r="J407" s="767" t="n">
        <v>0</v>
      </c>
      <c r="K407" s="769" t="n">
        <v>100</v>
      </c>
      <c r="L407" s="769" t="n">
        <v>36</v>
      </c>
      <c r="M407" s="699">
        <f>IF(C407="TXO",J407-SUM(K407:L407),IF(C407="FITX",IF(E407="新倉",-SUM(K407:L407),IF(F407="賣",(I407-I406)*H407*200-SUM(K407:L407),(I406-I407)*H407*200-SUM(K407:L407)))))</f>
        <v/>
      </c>
      <c r="N407" s="686">
        <f>IF(C407="TXO","",IF(C407="FITX",IF(E407="新倉","",IF(F407="賣",(I407-I406),(I406-I407)))))</f>
        <v/>
      </c>
      <c r="O407" s="334">
        <f>ABS(J407)</f>
        <v/>
      </c>
      <c r="P407" s="667" t="n"/>
      <c r="R407" s="61" t="n"/>
      <c r="S407" s="61" t="n"/>
      <c r="T407" s="61" t="n"/>
      <c r="U407" s="61" t="n"/>
      <c r="V407" s="61" t="n"/>
      <c r="W407" s="61" t="n"/>
      <c r="X407" s="61" t="n"/>
      <c r="Y407" s="61" t="n"/>
    </row>
    <row r="408" hidden="1" outlineLevel="2" ht="17.25" customHeight="1" thickBot="1">
      <c r="B408" s="368" t="n">
        <v>42584</v>
      </c>
      <c r="C408" s="337" t="inlineStr">
        <is>
          <t>FITX</t>
        </is>
      </c>
      <c r="D408" s="338" t="inlineStr">
        <is>
          <t>台指08</t>
        </is>
      </c>
      <c r="E408" s="338" t="inlineStr">
        <is>
          <t>新倉</t>
        </is>
      </c>
      <c r="F408" s="338" t="inlineStr">
        <is>
          <t>賣</t>
        </is>
      </c>
      <c r="G408" s="338" t="inlineStr">
        <is>
          <t>-</t>
        </is>
      </c>
      <c r="H408" s="767" t="n">
        <v>1</v>
      </c>
      <c r="I408" s="767" t="n">
        <v>9014</v>
      </c>
      <c r="J408" s="767" t="n">
        <v>0</v>
      </c>
      <c r="K408" s="769" t="n">
        <v>100</v>
      </c>
      <c r="L408" s="769" t="n">
        <v>36</v>
      </c>
      <c r="M408" s="699">
        <f>IF(C408="TXO",J408-SUM(K408:L408),IF(C408="FITX",IF(E408="新倉",-SUM(K408:L408),IF(F408="賣",(I408-I407)*H408*200-SUM(K408:L408),(I407-I408)*H408*200-SUM(K408:L408)))))</f>
        <v/>
      </c>
      <c r="N408" s="686">
        <f>IF(C408="TXO","",IF(C408="FITX",IF(E408="新倉","",IF(F408="賣",(I408-I407),(I407-I408)))))</f>
        <v/>
      </c>
      <c r="O408" s="334">
        <f>ABS(J408)</f>
        <v/>
      </c>
      <c r="P408" s="667" t="n"/>
      <c r="R408" s="61" t="n"/>
      <c r="S408" s="61" t="n"/>
      <c r="T408" s="61" t="n"/>
      <c r="U408" s="61" t="n"/>
      <c r="V408" s="61" t="n"/>
      <c r="W408" s="61" t="n"/>
      <c r="X408" s="61" t="n"/>
      <c r="Y408" s="61" t="n"/>
    </row>
    <row r="409" hidden="1" outlineLevel="2" ht="17.25" customHeight="1" thickBot="1">
      <c r="B409" s="368" t="n">
        <v>42584</v>
      </c>
      <c r="C409" s="337" t="inlineStr">
        <is>
          <t>FITX</t>
        </is>
      </c>
      <c r="D409" s="338" t="inlineStr">
        <is>
          <t>台指08</t>
        </is>
      </c>
      <c r="E409" s="338" t="inlineStr">
        <is>
          <t>平倉</t>
        </is>
      </c>
      <c r="F409" s="338" t="inlineStr">
        <is>
          <t>買</t>
        </is>
      </c>
      <c r="G409" s="338" t="inlineStr">
        <is>
          <t>-</t>
        </is>
      </c>
      <c r="H409" s="767" t="n">
        <v>1</v>
      </c>
      <c r="I409" s="767" t="n">
        <v>9012</v>
      </c>
      <c r="J409" s="767" t="n">
        <v>0</v>
      </c>
      <c r="K409" s="769" t="n">
        <v>100</v>
      </c>
      <c r="L409" s="769" t="n">
        <v>36</v>
      </c>
      <c r="M409" s="699">
        <f>IF(C409="TXO",J409-SUM(K409:L409),IF(C409="FITX",IF(E409="新倉",-SUM(K409:L409),IF(F409="賣",(I409-I408)*H409*200-SUM(K409:L409),(I408-I409)*H409*200-SUM(K409:L409)))))</f>
        <v/>
      </c>
      <c r="N409" s="686">
        <f>IF(C409="TXO","",IF(C409="FITX",IF(E409="新倉","",IF(F409="賣",(I409-I408),(I408-I409)))))</f>
        <v/>
      </c>
      <c r="O409" s="334">
        <f>ABS(J409)</f>
        <v/>
      </c>
      <c r="P409" s="667" t="n"/>
      <c r="R409" s="61" t="n"/>
      <c r="S409" s="61" t="n"/>
      <c r="T409" s="61" t="n"/>
      <c r="U409" s="61" t="n"/>
      <c r="V409" s="61" t="n"/>
      <c r="W409" s="61" t="n"/>
      <c r="X409" s="61" t="n"/>
      <c r="Y409" s="61" t="n"/>
    </row>
    <row r="410" hidden="1" outlineLevel="2" ht="17.25" customHeight="1" thickBot="1">
      <c r="B410" s="368" t="n">
        <v>42584</v>
      </c>
      <c r="C410" s="337" t="inlineStr">
        <is>
          <t>FITX</t>
        </is>
      </c>
      <c r="D410" s="338" t="inlineStr">
        <is>
          <t>台指08</t>
        </is>
      </c>
      <c r="E410" s="338" t="inlineStr">
        <is>
          <t>新倉</t>
        </is>
      </c>
      <c r="F410" s="338" t="inlineStr">
        <is>
          <t>賣</t>
        </is>
      </c>
      <c r="G410" s="338" t="inlineStr">
        <is>
          <t>-</t>
        </is>
      </c>
      <c r="H410" s="767" t="n">
        <v>1</v>
      </c>
      <c r="I410" s="767" t="n">
        <v>9014</v>
      </c>
      <c r="J410" s="767" t="n">
        <v>0</v>
      </c>
      <c r="K410" s="769" t="n">
        <v>100</v>
      </c>
      <c r="L410" s="769" t="n">
        <v>36</v>
      </c>
      <c r="M410" s="699">
        <f>IF(C410="TXO",J410-SUM(K410:L410),IF(C410="FITX",IF(E410="新倉",-SUM(K410:L410),IF(F410="賣",(I410-I409)*H410*200-SUM(K410:L410),(I409-I410)*H410*200-SUM(K410:L410)))))</f>
        <v/>
      </c>
      <c r="N410" s="686">
        <f>IF(C410="TXO","",IF(C410="FITX",IF(E410="新倉","",IF(F410="賣",(I410-I409),(I409-I410)))))</f>
        <v/>
      </c>
      <c r="O410" s="334">
        <f>ABS(J410)</f>
        <v/>
      </c>
      <c r="P410" s="667" t="n"/>
      <c r="R410" s="61" t="n"/>
      <c r="S410" s="61" t="n"/>
      <c r="T410" s="61" t="n"/>
      <c r="U410" s="61" t="n"/>
      <c r="V410" s="61" t="n"/>
      <c r="W410" s="61" t="n"/>
      <c r="X410" s="61" t="n"/>
      <c r="Y410" s="61" t="n"/>
    </row>
    <row r="411" hidden="1" outlineLevel="2" ht="17.25" customHeight="1" thickBot="1">
      <c r="B411" s="368" t="n">
        <v>42584</v>
      </c>
      <c r="C411" s="337" t="inlineStr">
        <is>
          <t>FITX</t>
        </is>
      </c>
      <c r="D411" s="338" t="inlineStr">
        <is>
          <t>台指08</t>
        </is>
      </c>
      <c r="E411" s="338" t="inlineStr">
        <is>
          <t>平倉</t>
        </is>
      </c>
      <c r="F411" s="338" t="inlineStr">
        <is>
          <t>買</t>
        </is>
      </c>
      <c r="G411" s="338" t="inlineStr">
        <is>
          <t>-</t>
        </is>
      </c>
      <c r="H411" s="767" t="n">
        <v>1</v>
      </c>
      <c r="I411" s="767" t="n">
        <v>9020</v>
      </c>
      <c r="J411" s="767" t="n">
        <v>0</v>
      </c>
      <c r="K411" s="769" t="n">
        <v>100</v>
      </c>
      <c r="L411" s="769" t="n">
        <v>36</v>
      </c>
      <c r="M411" s="699">
        <f>IF(C411="TXO",J411-SUM(K411:L411),IF(C411="FITX",IF(E411="新倉",-SUM(K411:L411),IF(F411="賣",(I411-I410)*H411*200-SUM(K411:L411),(I410-I411)*H411*200-SUM(K411:L411)))))</f>
        <v/>
      </c>
      <c r="N411" s="686">
        <f>IF(C411="TXO","",IF(C411="FITX",IF(E411="新倉","",IF(F411="賣",(I411-I410),(I410-I411)))))</f>
        <v/>
      </c>
      <c r="O411" s="334">
        <f>ABS(J411)</f>
        <v/>
      </c>
      <c r="P411" s="667" t="n"/>
      <c r="R411" s="61" t="n"/>
      <c r="S411" s="61" t="n"/>
      <c r="T411" s="61" t="n"/>
      <c r="U411" s="61" t="n"/>
      <c r="V411" s="61" t="n"/>
      <c r="W411" s="61" t="n"/>
      <c r="X411" s="61" t="n"/>
      <c r="Y411" s="61" t="n"/>
    </row>
    <row r="412" hidden="1" outlineLevel="2" ht="17.25" customHeight="1" thickBot="1">
      <c r="B412" s="368" t="n">
        <v>42584</v>
      </c>
      <c r="C412" s="337" t="inlineStr">
        <is>
          <t>FITX</t>
        </is>
      </c>
      <c r="D412" s="338" t="inlineStr">
        <is>
          <t>台指08</t>
        </is>
      </c>
      <c r="E412" s="338" t="inlineStr">
        <is>
          <t>新倉</t>
        </is>
      </c>
      <c r="F412" s="338" t="inlineStr">
        <is>
          <t>買</t>
        </is>
      </c>
      <c r="G412" s="338" t="inlineStr">
        <is>
          <t>-</t>
        </is>
      </c>
      <c r="H412" s="767" t="n">
        <v>1</v>
      </c>
      <c r="I412" s="767" t="n">
        <v>9017</v>
      </c>
      <c r="J412" s="767" t="n">
        <v>0</v>
      </c>
      <c r="K412" s="769" t="n">
        <v>100</v>
      </c>
      <c r="L412" s="769" t="n">
        <v>36</v>
      </c>
      <c r="M412" s="699">
        <f>IF(C412="TXO",J412-SUM(K412:L412),IF(C412="FITX",IF(E412="新倉",-SUM(K412:L412),IF(F412="賣",(I412-I411)*H412*200-SUM(K412:L412),(I411-I412)*H412*200-SUM(K412:L412)))))</f>
        <v/>
      </c>
      <c r="N412" s="686">
        <f>IF(C412="TXO","",IF(C412="FITX",IF(E412="新倉","",IF(F412="賣",(I412-I411),(I411-I412)))))</f>
        <v/>
      </c>
      <c r="O412" s="334">
        <f>ABS(J412)</f>
        <v/>
      </c>
      <c r="P412" s="667" t="n"/>
      <c r="R412" s="61" t="n"/>
      <c r="S412" s="61" t="n"/>
      <c r="T412" s="61" t="n"/>
      <c r="U412" s="61" t="n"/>
      <c r="V412" s="61" t="n"/>
      <c r="W412" s="61" t="n"/>
      <c r="X412" s="61" t="n"/>
      <c r="Y412" s="61" t="n"/>
    </row>
    <row r="413" hidden="1" outlineLevel="2" ht="17.25" customHeight="1" thickBot="1">
      <c r="B413" s="368" t="n">
        <v>42584</v>
      </c>
      <c r="C413" s="337" t="inlineStr">
        <is>
          <t>FITX</t>
        </is>
      </c>
      <c r="D413" s="338" t="inlineStr">
        <is>
          <t>台指08</t>
        </is>
      </c>
      <c r="E413" s="338" t="inlineStr">
        <is>
          <t>平倉</t>
        </is>
      </c>
      <c r="F413" s="338" t="inlineStr">
        <is>
          <t>賣</t>
        </is>
      </c>
      <c r="G413" s="338" t="inlineStr">
        <is>
          <t>-</t>
        </is>
      </c>
      <c r="H413" s="767" t="n">
        <v>1</v>
      </c>
      <c r="I413" s="767" t="n">
        <v>9022</v>
      </c>
      <c r="J413" s="767" t="n">
        <v>0</v>
      </c>
      <c r="K413" s="769" t="n">
        <v>100</v>
      </c>
      <c r="L413" s="769" t="n">
        <v>36</v>
      </c>
      <c r="M413" s="699">
        <f>IF(C413="TXO",J413-SUM(K413:L413),IF(C413="FITX",IF(E413="新倉",-SUM(K413:L413),IF(F413="賣",(I413-I412)*H413*200-SUM(K413:L413),(I412-I413)*H413*200-SUM(K413:L413)))))</f>
        <v/>
      </c>
      <c r="N413" s="686">
        <f>IF(C413="TXO","",IF(C413="FITX",IF(E413="新倉","",IF(F413="賣",(I413-I412),(I412-I413)))))</f>
        <v/>
      </c>
      <c r="O413" s="334">
        <f>ABS(J413)</f>
        <v/>
      </c>
      <c r="P413" s="667" t="n"/>
      <c r="R413" s="61" t="n"/>
      <c r="S413" s="61" t="n"/>
      <c r="T413" s="61" t="n"/>
      <c r="U413" s="61" t="n"/>
      <c r="V413" s="61" t="n"/>
      <c r="W413" s="61" t="n"/>
      <c r="X413" s="61" t="n"/>
      <c r="Y413" s="61" t="n"/>
    </row>
    <row r="414" hidden="1" outlineLevel="2" ht="17.25" customHeight="1" thickBot="1">
      <c r="B414" s="368" t="n">
        <v>42584</v>
      </c>
      <c r="C414" s="337" t="inlineStr">
        <is>
          <t>FITX</t>
        </is>
      </c>
      <c r="D414" s="338" t="inlineStr">
        <is>
          <t>台指08</t>
        </is>
      </c>
      <c r="E414" s="338" t="inlineStr">
        <is>
          <t>新倉</t>
        </is>
      </c>
      <c r="F414" s="338" t="inlineStr">
        <is>
          <t>買</t>
        </is>
      </c>
      <c r="G414" s="338" t="inlineStr">
        <is>
          <t>-</t>
        </is>
      </c>
      <c r="H414" s="767" t="n">
        <v>1</v>
      </c>
      <c r="I414" s="767" t="n">
        <v>9017</v>
      </c>
      <c r="J414" s="767" t="n">
        <v>0</v>
      </c>
      <c r="K414" s="769" t="n">
        <v>100</v>
      </c>
      <c r="L414" s="769" t="n">
        <v>36</v>
      </c>
      <c r="M414" s="699">
        <f>IF(C414="TXO",J414-SUM(K414:L414),IF(C414="FITX",IF(E414="新倉",-SUM(K414:L414),IF(F414="賣",(I414-I413)*H414*200-SUM(K414:L414),(I413-I414)*H414*200-SUM(K414:L414)))))</f>
        <v/>
      </c>
      <c r="N414" s="686">
        <f>IF(C414="TXO","",IF(C414="FITX",IF(E414="新倉","",IF(F414="賣",(I414-I413),(I413-I414)))))</f>
        <v/>
      </c>
      <c r="O414" s="334">
        <f>ABS(J414)</f>
        <v/>
      </c>
      <c r="P414" s="667" t="n"/>
      <c r="R414" s="61" t="n"/>
      <c r="S414" s="61" t="n"/>
      <c r="T414" s="61" t="n"/>
      <c r="U414" s="61" t="n"/>
      <c r="V414" s="61" t="n"/>
      <c r="W414" s="61" t="n"/>
      <c r="X414" s="61" t="n"/>
      <c r="Y414" s="61" t="n"/>
    </row>
    <row r="415" hidden="1" outlineLevel="2" ht="17.25" customHeight="1" thickBot="1">
      <c r="B415" s="368" t="n">
        <v>42584</v>
      </c>
      <c r="C415" s="337" t="inlineStr">
        <is>
          <t>FITX</t>
        </is>
      </c>
      <c r="D415" s="338" t="inlineStr">
        <is>
          <t>台指08</t>
        </is>
      </c>
      <c r="E415" s="338" t="inlineStr">
        <is>
          <t>平倉</t>
        </is>
      </c>
      <c r="F415" s="338" t="inlineStr">
        <is>
          <t>賣</t>
        </is>
      </c>
      <c r="G415" s="338" t="inlineStr">
        <is>
          <t>-</t>
        </is>
      </c>
      <c r="H415" s="767" t="n">
        <v>1</v>
      </c>
      <c r="I415" s="767" t="n">
        <v>9019</v>
      </c>
      <c r="J415" s="767" t="n">
        <v>0</v>
      </c>
      <c r="K415" s="769" t="n">
        <v>100</v>
      </c>
      <c r="L415" s="769" t="n">
        <v>36</v>
      </c>
      <c r="M415" s="699">
        <f>IF(C415="TXO",J415-SUM(K415:L415),IF(C415="FITX",IF(E415="新倉",-SUM(K415:L415),IF(F415="賣",(I415-I414)*H415*200-SUM(K415:L415),(I414-I415)*H415*200-SUM(K415:L415)))))</f>
        <v/>
      </c>
      <c r="N415" s="686">
        <f>IF(C415="TXO","",IF(C415="FITX",IF(E415="新倉","",IF(F415="賣",(I415-I414),(I414-I415)))))</f>
        <v/>
      </c>
      <c r="O415" s="334">
        <f>ABS(J415)</f>
        <v/>
      </c>
      <c r="P415" s="667" t="n"/>
      <c r="R415" s="61" t="n"/>
      <c r="S415" s="61" t="n"/>
      <c r="T415" s="61" t="n"/>
      <c r="U415" s="61" t="n"/>
      <c r="V415" s="61" t="n"/>
      <c r="W415" s="61" t="n"/>
      <c r="X415" s="61" t="n"/>
      <c r="Y415" s="61" t="n"/>
    </row>
    <row r="416" hidden="1" outlineLevel="2" ht="17.25" customHeight="1" thickBot="1">
      <c r="B416" s="368" t="n">
        <v>42584</v>
      </c>
      <c r="C416" s="337" t="inlineStr">
        <is>
          <t>FITX</t>
        </is>
      </c>
      <c r="D416" s="338" t="inlineStr">
        <is>
          <t>台指08</t>
        </is>
      </c>
      <c r="E416" s="338" t="inlineStr">
        <is>
          <t>新倉</t>
        </is>
      </c>
      <c r="F416" s="338" t="inlineStr">
        <is>
          <t>買</t>
        </is>
      </c>
      <c r="G416" s="338" t="inlineStr">
        <is>
          <t>-</t>
        </is>
      </c>
      <c r="H416" s="767" t="n">
        <v>1</v>
      </c>
      <c r="I416" s="767" t="n">
        <v>9012</v>
      </c>
      <c r="J416" s="767" t="n">
        <v>0</v>
      </c>
      <c r="K416" s="769" t="n">
        <v>100</v>
      </c>
      <c r="L416" s="769" t="n">
        <v>36</v>
      </c>
      <c r="M416" s="699">
        <f>IF(C416="TXO",J416-SUM(K416:L416),IF(C416="FITX",IF(E416="新倉",-SUM(K416:L416),IF(F416="賣",(I416-I415)*H416*200-SUM(K416:L416),(I415-I416)*H416*200-SUM(K416:L416)))))</f>
        <v/>
      </c>
      <c r="N416" s="686">
        <f>IF(C416="TXO","",IF(C416="FITX",IF(E416="新倉","",IF(F416="賣",(I416-I415),(I415-I416)))))</f>
        <v/>
      </c>
      <c r="O416" s="334">
        <f>ABS(J416)</f>
        <v/>
      </c>
      <c r="P416" s="667" t="n"/>
      <c r="R416" s="61" t="n"/>
      <c r="S416" s="61" t="n"/>
      <c r="T416" s="61" t="n"/>
      <c r="U416" s="61" t="n"/>
      <c r="V416" s="61" t="n"/>
      <c r="W416" s="61" t="n"/>
      <c r="X416" s="61" t="n"/>
      <c r="Y416" s="61" t="n"/>
    </row>
    <row r="417" hidden="1" outlineLevel="2" ht="17.25" customHeight="1" thickBot="1">
      <c r="B417" s="368" t="n">
        <v>42584</v>
      </c>
      <c r="C417" s="337" t="inlineStr">
        <is>
          <t>FITX</t>
        </is>
      </c>
      <c r="D417" s="338" t="inlineStr">
        <is>
          <t>台指08</t>
        </is>
      </c>
      <c r="E417" s="338" t="inlineStr">
        <is>
          <t>平倉</t>
        </is>
      </c>
      <c r="F417" s="338" t="inlineStr">
        <is>
          <t>賣</t>
        </is>
      </c>
      <c r="G417" s="338" t="inlineStr">
        <is>
          <t>-</t>
        </is>
      </c>
      <c r="H417" s="767" t="n">
        <v>1</v>
      </c>
      <c r="I417" s="767" t="n">
        <v>9011</v>
      </c>
      <c r="J417" s="767" t="n">
        <v>0</v>
      </c>
      <c r="K417" s="769" t="n">
        <v>100</v>
      </c>
      <c r="L417" s="769" t="n">
        <v>36</v>
      </c>
      <c r="M417" s="699">
        <f>IF(C417="TXO",J417-SUM(K417:L417),IF(C417="FITX",IF(E417="新倉",-SUM(K417:L417),IF(F417="賣",(I417-I416)*H417*200-SUM(K417:L417),(I416-I417)*H417*200-SUM(K417:L417)))))</f>
        <v/>
      </c>
      <c r="N417" s="686">
        <f>IF(C417="TXO","",IF(C417="FITX",IF(E417="新倉","",IF(F417="賣",(I417-I416),(I416-I417)))))</f>
        <v/>
      </c>
      <c r="O417" s="334">
        <f>ABS(J417)</f>
        <v/>
      </c>
      <c r="P417" s="667" t="n"/>
      <c r="R417" s="61" t="n"/>
      <c r="S417" s="61" t="n"/>
      <c r="T417" s="61" t="n"/>
      <c r="U417" s="61" t="n"/>
      <c r="V417" s="61" t="n"/>
      <c r="W417" s="61" t="n"/>
      <c r="X417" s="61" t="n"/>
      <c r="Y417" s="61" t="n"/>
    </row>
    <row r="418" hidden="1" outlineLevel="2" ht="17.25" customHeight="1" thickBot="1">
      <c r="B418" s="368" t="n">
        <v>42584</v>
      </c>
      <c r="C418" s="337" t="inlineStr">
        <is>
          <t>FITX</t>
        </is>
      </c>
      <c r="D418" s="338" t="inlineStr">
        <is>
          <t>台指08</t>
        </is>
      </c>
      <c r="E418" s="338" t="inlineStr">
        <is>
          <t>新倉</t>
        </is>
      </c>
      <c r="F418" s="338" t="inlineStr">
        <is>
          <t>賣</t>
        </is>
      </c>
      <c r="G418" s="338" t="inlineStr">
        <is>
          <t>-</t>
        </is>
      </c>
      <c r="H418" s="767" t="n">
        <v>1</v>
      </c>
      <c r="I418" s="767" t="n">
        <v>9011</v>
      </c>
      <c r="J418" s="767" t="n">
        <v>0</v>
      </c>
      <c r="K418" s="769" t="n">
        <v>100</v>
      </c>
      <c r="L418" s="769" t="n">
        <v>36</v>
      </c>
      <c r="M418" s="699">
        <f>IF(C418="TXO",J418-SUM(K418:L418),IF(C418="FITX",IF(E418="新倉",-SUM(K418:L418),IF(F418="賣",(I418-I417)*H418*200-SUM(K418:L418),(I417-I418)*H418*200-SUM(K418:L418)))))</f>
        <v/>
      </c>
      <c r="N418" s="686">
        <f>IF(C418="TXO","",IF(C418="FITX",IF(E418="新倉","",IF(F418="賣",(I418-I417),(I417-I418)))))</f>
        <v/>
      </c>
      <c r="O418" s="334">
        <f>ABS(J418)</f>
        <v/>
      </c>
      <c r="P418" s="667" t="n"/>
      <c r="R418" s="61" t="n"/>
      <c r="S418" s="61" t="n"/>
      <c r="T418" s="61" t="n"/>
      <c r="U418" s="61" t="n"/>
      <c r="V418" s="61" t="n"/>
      <c r="W418" s="61" t="n"/>
      <c r="X418" s="61" t="n"/>
      <c r="Y418" s="61" t="n"/>
    </row>
    <row r="419" hidden="1" outlineLevel="2" ht="17.25" customHeight="1" thickBot="1">
      <c r="B419" s="368" t="n">
        <v>42584</v>
      </c>
      <c r="C419" s="337" t="inlineStr">
        <is>
          <t>FITX</t>
        </is>
      </c>
      <c r="D419" s="338" t="inlineStr">
        <is>
          <t>台指08</t>
        </is>
      </c>
      <c r="E419" s="338" t="inlineStr">
        <is>
          <t>平倉</t>
        </is>
      </c>
      <c r="F419" s="338" t="inlineStr">
        <is>
          <t>買</t>
        </is>
      </c>
      <c r="G419" s="338" t="inlineStr">
        <is>
          <t>-</t>
        </is>
      </c>
      <c r="H419" s="767" t="n">
        <v>1</v>
      </c>
      <c r="I419" s="767" t="n">
        <v>9004</v>
      </c>
      <c r="J419" s="767" t="n">
        <v>0</v>
      </c>
      <c r="K419" s="769" t="n">
        <v>100</v>
      </c>
      <c r="L419" s="769" t="n">
        <v>36</v>
      </c>
      <c r="M419" s="699">
        <f>IF(C419="TXO",J419-SUM(K419:L419),IF(C419="FITX",IF(E419="新倉",-SUM(K419:L419),IF(F419="賣",(I419-I418)*H419*200-SUM(K419:L419),(I418-I419)*H419*200-SUM(K419:L419)))))</f>
        <v/>
      </c>
      <c r="N419" s="686">
        <f>IF(C419="TXO","",IF(C419="FITX",IF(E419="新倉","",IF(F419="賣",(I419-I418),(I418-I419)))))</f>
        <v/>
      </c>
      <c r="O419" s="334">
        <f>ABS(J419)</f>
        <v/>
      </c>
      <c r="P419" s="667" t="n"/>
      <c r="R419" s="61" t="n"/>
      <c r="S419" s="61" t="n"/>
      <c r="T419" s="61" t="n"/>
      <c r="U419" s="61" t="n"/>
      <c r="V419" s="61" t="n"/>
      <c r="W419" s="61" t="n"/>
      <c r="X419" s="61" t="n"/>
      <c r="Y419" s="61" t="n"/>
    </row>
    <row r="420" hidden="1" outlineLevel="2" ht="17.25" customHeight="1" thickBot="1">
      <c r="B420" s="368" t="n">
        <v>42584</v>
      </c>
      <c r="C420" s="337" t="inlineStr">
        <is>
          <t>FITX</t>
        </is>
      </c>
      <c r="D420" s="338" t="inlineStr">
        <is>
          <t>台指08</t>
        </is>
      </c>
      <c r="E420" s="338" t="inlineStr">
        <is>
          <t>新倉</t>
        </is>
      </c>
      <c r="F420" s="338" t="inlineStr">
        <is>
          <t>賣</t>
        </is>
      </c>
      <c r="G420" s="338" t="inlineStr">
        <is>
          <t>-</t>
        </is>
      </c>
      <c r="H420" s="767" t="n">
        <v>1</v>
      </c>
      <c r="I420" s="767" t="n">
        <v>9016</v>
      </c>
      <c r="J420" s="767" t="n">
        <v>0</v>
      </c>
      <c r="K420" s="769" t="n">
        <v>100</v>
      </c>
      <c r="L420" s="769" t="n">
        <v>36</v>
      </c>
      <c r="M420" s="699">
        <f>IF(C420="TXO",J420-SUM(K420:L420),IF(C420="FITX",IF(E420="新倉",-SUM(K420:L420),IF(F420="賣",(I420-I419)*H420*200-SUM(K420:L420),(I419-I420)*H420*200-SUM(K420:L420)))))</f>
        <v/>
      </c>
      <c r="N420" s="686">
        <f>IF(C420="TXO","",IF(C420="FITX",IF(E420="新倉","",IF(F420="賣",(I420-I419),(I419-I420)))))</f>
        <v/>
      </c>
      <c r="O420" s="334">
        <f>ABS(J420)</f>
        <v/>
      </c>
      <c r="P420" s="667" t="n"/>
      <c r="R420" s="61" t="n"/>
      <c r="S420" s="61" t="n"/>
      <c r="T420" s="61" t="n"/>
      <c r="U420" s="61" t="n"/>
      <c r="V420" s="61" t="n"/>
      <c r="W420" s="61" t="n"/>
      <c r="X420" s="61" t="n"/>
      <c r="Y420" s="61" t="n"/>
    </row>
    <row r="421" hidden="1" outlineLevel="2" ht="17.25" customHeight="1" thickBot="1">
      <c r="B421" s="368" t="n">
        <v>42584</v>
      </c>
      <c r="C421" s="337" t="inlineStr">
        <is>
          <t>FITX</t>
        </is>
      </c>
      <c r="D421" s="338" t="inlineStr">
        <is>
          <t>台指08</t>
        </is>
      </c>
      <c r="E421" s="338" t="inlineStr">
        <is>
          <t>平倉</t>
        </is>
      </c>
      <c r="F421" s="338" t="inlineStr">
        <is>
          <t>買</t>
        </is>
      </c>
      <c r="G421" s="338" t="inlineStr">
        <is>
          <t>-</t>
        </is>
      </c>
      <c r="H421" s="767" t="n">
        <v>1</v>
      </c>
      <c r="I421" s="767" t="n">
        <v>9005</v>
      </c>
      <c r="J421" s="767" t="n">
        <v>0</v>
      </c>
      <c r="K421" s="769" t="n">
        <v>100</v>
      </c>
      <c r="L421" s="769" t="n">
        <v>36</v>
      </c>
      <c r="M421" s="699">
        <f>IF(C421="TXO",J421-SUM(K421:L421),IF(C421="FITX",IF(E421="新倉",-SUM(K421:L421),IF(F421="賣",(I421-I420)*H421*200-SUM(K421:L421),(I420-I421)*H421*200-SUM(K421:L421)))))</f>
        <v/>
      </c>
      <c r="N421" s="686">
        <f>IF(C421="TXO","",IF(C421="FITX",IF(E421="新倉","",IF(F421="賣",(I421-I420),(I420-I421)))))</f>
        <v/>
      </c>
      <c r="O421" s="334">
        <f>ABS(J421)</f>
        <v/>
      </c>
      <c r="P421" s="667" t="n"/>
      <c r="R421" s="61" t="n"/>
      <c r="S421" s="61" t="n"/>
      <c r="T421" s="61" t="n"/>
      <c r="U421" s="61" t="n"/>
      <c r="V421" s="61" t="n"/>
      <c r="W421" s="61" t="n"/>
      <c r="X421" s="61" t="n"/>
      <c r="Y421" s="61" t="n"/>
    </row>
    <row r="422" hidden="1" outlineLevel="1" collapsed="1" ht="17.25" customHeight="1" thickBot="1">
      <c r="B422" s="369" t="n">
        <v>42585</v>
      </c>
      <c r="C422" s="370" t="inlineStr">
        <is>
          <t>TXO</t>
        </is>
      </c>
      <c r="D422" s="371" t="inlineStr">
        <is>
          <t>台指選W1 08 09000 C</t>
        </is>
      </c>
      <c r="E422" s="371" t="inlineStr">
        <is>
          <t>新倉</t>
        </is>
      </c>
      <c r="F422" s="371" t="inlineStr">
        <is>
          <t>買</t>
        </is>
      </c>
      <c r="G422" s="371" t="inlineStr">
        <is>
          <t>-</t>
        </is>
      </c>
      <c r="H422" s="785" t="n">
        <v>2</v>
      </c>
      <c r="I422" s="785" t="n">
        <v>6</v>
      </c>
      <c r="J422" s="785" t="n">
        <v>-600</v>
      </c>
      <c r="K422" s="786" t="n">
        <v>80</v>
      </c>
      <c r="L422" s="786" t="n">
        <v>0</v>
      </c>
      <c r="M422" s="743">
        <f>IF(C422="TXO",J422-SUM(K422:L422),IF(C422="FITX",IF(E422="新倉",-SUM(K422:L422),IF(F422="賣",(I422-I421)*H422*200-SUM(K422:L422),(I421-I422)*H422*200-SUM(K422:L422)))))</f>
        <v/>
      </c>
      <c r="N422" s="780">
        <f>IF(C422="TXO","",IF(C422="FITX",IF(E422="新倉","",IF(F422="賣",(I422-I421)*H422,(I421-I422)*H422))))</f>
        <v/>
      </c>
      <c r="O422" s="334">
        <f>ABS(J422)</f>
        <v/>
      </c>
      <c r="P422" s="764">
        <f>SUM(M422:M445)</f>
        <v/>
      </c>
      <c r="R422" s="61" t="n"/>
      <c r="S422" s="61" t="n"/>
      <c r="T422" s="61" t="n"/>
      <c r="U422" s="61" t="n"/>
      <c r="V422" s="61" t="n"/>
      <c r="W422" s="61" t="n"/>
      <c r="X422" s="61" t="n"/>
      <c r="Y422" s="61" t="n"/>
    </row>
    <row r="423" hidden="1" outlineLevel="2" ht="17.25" customHeight="1" thickBot="1">
      <c r="B423" s="369" t="n">
        <v>42585</v>
      </c>
      <c r="C423" s="370" t="inlineStr">
        <is>
          <t>TXO</t>
        </is>
      </c>
      <c r="D423" s="371" t="inlineStr">
        <is>
          <t>台指選W1 08 09000 C</t>
        </is>
      </c>
      <c r="E423" s="371" t="inlineStr">
        <is>
          <t>平倉</t>
        </is>
      </c>
      <c r="F423" s="371" t="inlineStr">
        <is>
          <t>賣</t>
        </is>
      </c>
      <c r="G423" s="371" t="inlineStr">
        <is>
          <t>-</t>
        </is>
      </c>
      <c r="H423" s="785" t="n">
        <v>2</v>
      </c>
      <c r="I423" s="785" t="n">
        <v>6.5</v>
      </c>
      <c r="J423" s="785" t="n">
        <v>650</v>
      </c>
      <c r="K423" s="786" t="n">
        <v>80</v>
      </c>
      <c r="L423" s="786" t="n">
        <v>0</v>
      </c>
      <c r="M423" s="743">
        <f>IF(C423="TXO",J423-SUM(K423:L423),IF(C423="FITX",IF(E423="新倉",-SUM(K423:L423),IF(F423="賣",(I423-I422)*H423*200-SUM(K423:L423),(I422-I423)*H423*200-SUM(K423:L423)))))</f>
        <v/>
      </c>
      <c r="N423" s="780">
        <f>IF(C423="TXO","",IF(C423="FITX",IF(E423="新倉","",IF(F423="賣",(I423-I422)*H423,(I422-I423)*H423))))</f>
        <v/>
      </c>
      <c r="O423" s="334">
        <f>ABS(J423)</f>
        <v/>
      </c>
      <c r="P423" s="764" t="n"/>
      <c r="R423" s="61" t="n"/>
      <c r="S423" s="61" t="n"/>
      <c r="T423" s="61" t="n"/>
      <c r="U423" s="61" t="n"/>
      <c r="V423" s="61" t="n"/>
      <c r="W423" s="61" t="n"/>
      <c r="X423" s="61" t="n"/>
      <c r="Y423" s="61" t="n"/>
    </row>
    <row r="424" hidden="1" outlineLevel="2" ht="17.25" customHeight="1" thickBot="1">
      <c r="B424" s="369" t="n">
        <v>42585</v>
      </c>
      <c r="C424" s="370" t="inlineStr">
        <is>
          <t>FITX</t>
        </is>
      </c>
      <c r="D424" s="371" t="inlineStr">
        <is>
          <t>台指08</t>
        </is>
      </c>
      <c r="E424" s="371" t="inlineStr">
        <is>
          <t>新倉</t>
        </is>
      </c>
      <c r="F424" s="371" t="inlineStr">
        <is>
          <t>賣</t>
        </is>
      </c>
      <c r="G424" s="371" t="inlineStr">
        <is>
          <t>-</t>
        </is>
      </c>
      <c r="H424" s="785" t="n">
        <v>1</v>
      </c>
      <c r="I424" s="785" t="n">
        <v>8893</v>
      </c>
      <c r="J424" s="785" t="n">
        <v>0</v>
      </c>
      <c r="K424" s="786" t="n">
        <v>100</v>
      </c>
      <c r="L424" s="786" t="n">
        <v>36</v>
      </c>
      <c r="M424" s="743">
        <f>IF(C424="TXO",J424-SUM(K424:L424),IF(C424="FITX",IF(E424="新倉",-SUM(K424:L424),IF(F424="賣",(I424-I423)*H424*200-SUM(K424:L424),(I423-I424)*H424*200-SUM(K424:L424)))))</f>
        <v/>
      </c>
      <c r="N424" s="780">
        <f>IF(C424="TXO","",IF(C424="FITX",IF(E424="新倉","",IF(F424="賣",(I424-I423)*H424,(I423-I424)*H424))))</f>
        <v/>
      </c>
      <c r="O424" s="334">
        <f>ABS(J424)</f>
        <v/>
      </c>
      <c r="P424" s="764" t="n"/>
      <c r="R424" s="61" t="n"/>
      <c r="S424" s="61" t="n"/>
      <c r="T424" s="61" t="n"/>
      <c r="U424" s="61" t="n"/>
      <c r="V424" s="61" t="n"/>
      <c r="W424" s="61" t="n"/>
      <c r="X424" s="61" t="n"/>
      <c r="Y424" s="61" t="n"/>
    </row>
    <row r="425" hidden="1" outlineLevel="2" ht="17.25" customHeight="1" thickBot="1">
      <c r="B425" s="369" t="n">
        <v>42585</v>
      </c>
      <c r="C425" s="370" t="inlineStr">
        <is>
          <t>FITX</t>
        </is>
      </c>
      <c r="D425" s="371" t="inlineStr">
        <is>
          <t>台指08</t>
        </is>
      </c>
      <c r="E425" s="371" t="inlineStr">
        <is>
          <t>平倉</t>
        </is>
      </c>
      <c r="F425" s="371" t="inlineStr">
        <is>
          <t>買</t>
        </is>
      </c>
      <c r="G425" s="371" t="inlineStr">
        <is>
          <t>-</t>
        </is>
      </c>
      <c r="H425" s="785" t="n">
        <v>1</v>
      </c>
      <c r="I425" s="785" t="n">
        <v>8903</v>
      </c>
      <c r="J425" s="785" t="n">
        <v>0</v>
      </c>
      <c r="K425" s="786" t="n">
        <v>100</v>
      </c>
      <c r="L425" s="786" t="n">
        <v>36</v>
      </c>
      <c r="M425" s="743">
        <f>IF(C425="TXO",J425-SUM(K425:L425),IF(C425="FITX",IF(E425="新倉",-SUM(K425:L425),IF(F425="賣",(I425-I424)*H425*200-SUM(K425:L425),(I424-I425)*H425*200-SUM(K425:L425)))))</f>
        <v/>
      </c>
      <c r="N425" s="780">
        <f>IF(C425="TXO","",IF(C425="FITX",IF(E425="新倉","",IF(F425="賣",(I425-I424)*H425,(I424-I425)*H425))))</f>
        <v/>
      </c>
      <c r="O425" s="334">
        <f>ABS(J425)</f>
        <v/>
      </c>
      <c r="P425" s="764" t="n"/>
      <c r="R425" s="61" t="n"/>
      <c r="S425" s="61" t="n"/>
      <c r="T425" s="61" t="n"/>
      <c r="U425" s="61" t="n"/>
      <c r="V425" s="61" t="n"/>
      <c r="W425" s="61" t="n"/>
      <c r="X425" s="61" t="n"/>
      <c r="Y425" s="61" t="n"/>
    </row>
    <row r="426" hidden="1" outlineLevel="2" ht="17.25" customHeight="1" thickBot="1">
      <c r="B426" s="369" t="n">
        <v>42585</v>
      </c>
      <c r="C426" s="370" t="inlineStr">
        <is>
          <t>FITX</t>
        </is>
      </c>
      <c r="D426" s="371" t="inlineStr">
        <is>
          <t>台指08</t>
        </is>
      </c>
      <c r="E426" s="371" t="inlineStr">
        <is>
          <t>新倉</t>
        </is>
      </c>
      <c r="F426" s="371" t="inlineStr">
        <is>
          <t>買</t>
        </is>
      </c>
      <c r="G426" s="371" t="inlineStr">
        <is>
          <t>-</t>
        </is>
      </c>
      <c r="H426" s="785" t="n">
        <v>1</v>
      </c>
      <c r="I426" s="785" t="n">
        <v>8927</v>
      </c>
      <c r="J426" s="785" t="n">
        <v>0</v>
      </c>
      <c r="K426" s="786" t="n">
        <v>100</v>
      </c>
      <c r="L426" s="786" t="n">
        <v>36</v>
      </c>
      <c r="M426" s="743">
        <f>IF(C426="TXO",J426-SUM(K426:L426),IF(C426="FITX",IF(E426="新倉",-SUM(K426:L426),IF(F426="賣",(I426-I425)*H426*200-SUM(K426:L426),(I425-I426)*H426*200-SUM(K426:L426)))))</f>
        <v/>
      </c>
      <c r="N426" s="780">
        <f>IF(C426="TXO","",IF(C426="FITX",IF(E426="新倉","",IF(F426="賣",(I426-I425)*H426,(I425-I426)*H426))))</f>
        <v/>
      </c>
      <c r="O426" s="334">
        <f>ABS(J426)</f>
        <v/>
      </c>
      <c r="P426" s="764" t="n"/>
      <c r="R426" s="61" t="n"/>
      <c r="S426" s="61" t="n"/>
      <c r="T426" s="61" t="n"/>
      <c r="U426" s="61" t="n"/>
      <c r="V426" s="61" t="n"/>
      <c r="W426" s="61" t="n"/>
      <c r="X426" s="61" t="n"/>
      <c r="Y426" s="61" t="n"/>
    </row>
    <row r="427" hidden="1" outlineLevel="2" ht="17.25" customHeight="1" thickBot="1">
      <c r="B427" s="369" t="n">
        <v>42585</v>
      </c>
      <c r="C427" s="370" t="inlineStr">
        <is>
          <t>FITX</t>
        </is>
      </c>
      <c r="D427" s="371" t="inlineStr">
        <is>
          <t>台指08</t>
        </is>
      </c>
      <c r="E427" s="371" t="inlineStr">
        <is>
          <t>平倉</t>
        </is>
      </c>
      <c r="F427" s="371" t="inlineStr">
        <is>
          <t>賣</t>
        </is>
      </c>
      <c r="G427" s="371" t="inlineStr">
        <is>
          <t>-</t>
        </is>
      </c>
      <c r="H427" s="785" t="n">
        <v>1</v>
      </c>
      <c r="I427" s="785" t="n">
        <v>8924</v>
      </c>
      <c r="J427" s="785" t="n">
        <v>0</v>
      </c>
      <c r="K427" s="786" t="n">
        <v>100</v>
      </c>
      <c r="L427" s="786" t="n">
        <v>36</v>
      </c>
      <c r="M427" s="743">
        <f>IF(C427="TXO",J427-SUM(K427:L427),IF(C427="FITX",IF(E427="新倉",-SUM(K427:L427),IF(F427="賣",(I427-I426)*H427*200-SUM(K427:L427),(I426-I427)*H427*200-SUM(K427:L427)))))</f>
        <v/>
      </c>
      <c r="N427" s="780">
        <f>IF(C427="TXO","",IF(C427="FITX",IF(E427="新倉","",IF(F427="賣",(I427-I426)*H427,(I426-I427)*H427))))</f>
        <v/>
      </c>
      <c r="O427" s="334">
        <f>ABS(J427)</f>
        <v/>
      </c>
      <c r="P427" s="764" t="n"/>
      <c r="R427" s="61" t="n"/>
      <c r="S427" s="61" t="n"/>
      <c r="T427" s="61" t="n"/>
      <c r="U427" s="61" t="n"/>
      <c r="V427" s="61" t="n"/>
      <c r="W427" s="61" t="n"/>
      <c r="X427" s="61" t="n"/>
      <c r="Y427" s="61" t="n"/>
    </row>
    <row r="428" hidden="1" outlineLevel="2" ht="17.25" customHeight="1" thickBot="1">
      <c r="B428" s="369" t="n">
        <v>42585</v>
      </c>
      <c r="C428" s="370" t="inlineStr">
        <is>
          <t>FITX</t>
        </is>
      </c>
      <c r="D428" s="371" t="inlineStr">
        <is>
          <t>台指08</t>
        </is>
      </c>
      <c r="E428" s="371" t="inlineStr">
        <is>
          <t>新倉</t>
        </is>
      </c>
      <c r="F428" s="371" t="inlineStr">
        <is>
          <t>賣</t>
        </is>
      </c>
      <c r="G428" s="371" t="inlineStr">
        <is>
          <t>-</t>
        </is>
      </c>
      <c r="H428" s="785" t="n">
        <v>1</v>
      </c>
      <c r="I428" s="785" t="n">
        <v>8926</v>
      </c>
      <c r="J428" s="785" t="n">
        <v>0</v>
      </c>
      <c r="K428" s="786" t="n">
        <v>100</v>
      </c>
      <c r="L428" s="786" t="n">
        <v>36</v>
      </c>
      <c r="M428" s="743">
        <f>IF(C428="TXO",J428-SUM(K428:L428),IF(C428="FITX",IF(E428="新倉",-SUM(K428:L428),IF(F428="賣",(I428-I427)*H428*200-SUM(K428:L428),(I427-I428)*H428*200-SUM(K428:L428)))))</f>
        <v/>
      </c>
      <c r="N428" s="780">
        <f>IF(C428="TXO","",IF(C428="FITX",IF(E428="新倉","",IF(F428="賣",(I428-I427)*H428,(I427-I428)*H428))))</f>
        <v/>
      </c>
      <c r="O428" s="334">
        <f>ABS(J428)</f>
        <v/>
      </c>
      <c r="P428" s="764" t="n"/>
      <c r="R428" s="61" t="n"/>
      <c r="S428" s="61" t="n"/>
      <c r="T428" s="61" t="n"/>
      <c r="U428" s="61" t="n"/>
      <c r="V428" s="61" t="n"/>
      <c r="W428" s="61" t="n"/>
      <c r="X428" s="61" t="n"/>
      <c r="Y428" s="61" t="n"/>
    </row>
    <row r="429" hidden="1" outlineLevel="2" ht="17.25" customHeight="1" thickBot="1">
      <c r="B429" s="369" t="n">
        <v>42585</v>
      </c>
      <c r="C429" s="370" t="inlineStr">
        <is>
          <t>FITX</t>
        </is>
      </c>
      <c r="D429" s="371" t="inlineStr">
        <is>
          <t>台指08</t>
        </is>
      </c>
      <c r="E429" s="371" t="inlineStr">
        <is>
          <t>平倉</t>
        </is>
      </c>
      <c r="F429" s="371" t="inlineStr">
        <is>
          <t>買</t>
        </is>
      </c>
      <c r="G429" s="371" t="inlineStr">
        <is>
          <t>-</t>
        </is>
      </c>
      <c r="H429" s="785" t="n">
        <v>1</v>
      </c>
      <c r="I429" s="785" t="n">
        <v>8929</v>
      </c>
      <c r="J429" s="785" t="n">
        <v>0</v>
      </c>
      <c r="K429" s="786" t="n">
        <v>100</v>
      </c>
      <c r="L429" s="786" t="n">
        <v>36</v>
      </c>
      <c r="M429" s="743">
        <f>IF(C429="TXO",J429-SUM(K429:L429),IF(C429="FITX",IF(E429="新倉",-SUM(K429:L429),IF(F429="賣",(I429-I428)*H429*200-SUM(K429:L429),(I428-I429)*H429*200-SUM(K429:L429)))))</f>
        <v/>
      </c>
      <c r="N429" s="780">
        <f>IF(C429="TXO","",IF(C429="FITX",IF(E429="新倉","",IF(F429="賣",(I429-I428)*H429,(I428-I429)*H429))))</f>
        <v/>
      </c>
      <c r="O429" s="334">
        <f>ABS(J429)</f>
        <v/>
      </c>
      <c r="P429" s="764" t="n"/>
      <c r="R429" s="61" t="n"/>
      <c r="S429" s="61" t="n"/>
      <c r="T429" s="61" t="n"/>
      <c r="U429" s="61" t="n"/>
      <c r="V429" s="61" t="n"/>
      <c r="W429" s="61" t="n"/>
      <c r="X429" s="61" t="n"/>
      <c r="Y429" s="61" t="n"/>
    </row>
    <row r="430" hidden="1" outlineLevel="2" ht="17.25" customHeight="1" thickBot="1">
      <c r="B430" s="369" t="n">
        <v>42585</v>
      </c>
      <c r="C430" s="370" t="inlineStr">
        <is>
          <t>FITX</t>
        </is>
      </c>
      <c r="D430" s="371" t="inlineStr">
        <is>
          <t>台指08</t>
        </is>
      </c>
      <c r="E430" s="371" t="inlineStr">
        <is>
          <t>新倉</t>
        </is>
      </c>
      <c r="F430" s="371" t="inlineStr">
        <is>
          <t>買</t>
        </is>
      </c>
      <c r="G430" s="371" t="inlineStr">
        <is>
          <t>-</t>
        </is>
      </c>
      <c r="H430" s="785" t="n">
        <v>1</v>
      </c>
      <c r="I430" s="785" t="n">
        <v>8930</v>
      </c>
      <c r="J430" s="785" t="n">
        <v>0</v>
      </c>
      <c r="K430" s="786" t="n">
        <v>100</v>
      </c>
      <c r="L430" s="786" t="n">
        <v>36</v>
      </c>
      <c r="M430" s="743">
        <f>IF(C430="TXO",J430-SUM(K430:L430),IF(C430="FITX",IF(E430="新倉",-SUM(K430:L430),IF(F430="賣",(I430-I429)*H430*200-SUM(K430:L430),(I429-I430)*H430*200-SUM(K430:L430)))))</f>
        <v/>
      </c>
      <c r="N430" s="780">
        <f>IF(C430="TXO","",IF(C430="FITX",IF(E430="新倉","",IF(F430="賣",(I430-I429)*H430,(I429-I430)*H430))))</f>
        <v/>
      </c>
      <c r="O430" s="334">
        <f>ABS(J430)</f>
        <v/>
      </c>
      <c r="P430" s="764" t="n"/>
      <c r="R430" s="61" t="n"/>
      <c r="S430" s="61" t="n"/>
      <c r="T430" s="61" t="n"/>
      <c r="U430" s="61" t="n"/>
      <c r="V430" s="61" t="n"/>
      <c r="W430" s="61" t="n"/>
      <c r="X430" s="61" t="n"/>
      <c r="Y430" s="61" t="n"/>
    </row>
    <row r="431" hidden="1" outlineLevel="2" ht="17.25" customHeight="1" thickBot="1">
      <c r="B431" s="369" t="n">
        <v>42585</v>
      </c>
      <c r="C431" s="370" t="inlineStr">
        <is>
          <t>FITX</t>
        </is>
      </c>
      <c r="D431" s="371" t="inlineStr">
        <is>
          <t>台指08</t>
        </is>
      </c>
      <c r="E431" s="371" t="inlineStr">
        <is>
          <t>平倉</t>
        </is>
      </c>
      <c r="F431" s="371" t="inlineStr">
        <is>
          <t>賣</t>
        </is>
      </c>
      <c r="G431" s="371" t="inlineStr">
        <is>
          <t>-</t>
        </is>
      </c>
      <c r="H431" s="785" t="n">
        <v>1</v>
      </c>
      <c r="I431" s="785" t="n">
        <v>8933</v>
      </c>
      <c r="J431" s="785" t="n">
        <v>0</v>
      </c>
      <c r="K431" s="786" t="n">
        <v>100</v>
      </c>
      <c r="L431" s="786" t="n">
        <v>36</v>
      </c>
      <c r="M431" s="743">
        <f>IF(C431="TXO",J431-SUM(K431:L431),IF(C431="FITX",IF(E431="新倉",-SUM(K431:L431),IF(F431="賣",(I431-I430)*H431*200-SUM(K431:L431),(I430-I431)*H431*200-SUM(K431:L431)))))</f>
        <v/>
      </c>
      <c r="N431" s="780">
        <f>IF(C431="TXO","",IF(C431="FITX",IF(E431="新倉","",IF(F431="賣",(I431-I430)*H431,(I430-I431)*H431))))</f>
        <v/>
      </c>
      <c r="O431" s="334">
        <f>ABS(J431)</f>
        <v/>
      </c>
      <c r="P431" s="764" t="n"/>
      <c r="R431" s="61" t="n"/>
      <c r="S431" s="61" t="n"/>
      <c r="T431" s="61" t="n"/>
      <c r="U431" s="61" t="n"/>
      <c r="V431" s="61" t="n"/>
      <c r="W431" s="61" t="n"/>
      <c r="X431" s="61" t="n"/>
      <c r="Y431" s="61" t="n"/>
    </row>
    <row r="432" hidden="1" outlineLevel="2" ht="17.25" customHeight="1" thickBot="1">
      <c r="B432" s="369" t="n">
        <v>42585</v>
      </c>
      <c r="C432" s="370" t="inlineStr">
        <is>
          <t>FITX</t>
        </is>
      </c>
      <c r="D432" s="371" t="inlineStr">
        <is>
          <t>台指08</t>
        </is>
      </c>
      <c r="E432" s="371" t="inlineStr">
        <is>
          <t>新倉</t>
        </is>
      </c>
      <c r="F432" s="371" t="inlineStr">
        <is>
          <t>買</t>
        </is>
      </c>
      <c r="G432" s="371" t="inlineStr">
        <is>
          <t>-</t>
        </is>
      </c>
      <c r="H432" s="785" t="n">
        <v>1</v>
      </c>
      <c r="I432" s="785" t="n">
        <v>9067</v>
      </c>
      <c r="J432" s="785" t="n">
        <v>0</v>
      </c>
      <c r="K432" s="786" t="n">
        <v>100</v>
      </c>
      <c r="L432" s="786" t="n">
        <v>36</v>
      </c>
      <c r="M432" s="743">
        <f>IF(C432="TXO",J432-SUM(K432:L432),IF(C432="FITX",IF(E432="新倉",-SUM(K432:L432),IF(F432="賣",(I432-I431)*H432*200-SUM(K432:L432),(I431-I432)*H432*200-SUM(K432:L432)))))</f>
        <v/>
      </c>
      <c r="N432" s="780">
        <f>IF(C432="TXO","",IF(C432="FITX",IF(E432="新倉","",IF(F432="賣",(I432-I431)*H432,(I431-I432)*H432))))</f>
        <v/>
      </c>
      <c r="O432" s="334">
        <f>ABS(J432)</f>
        <v/>
      </c>
      <c r="P432" s="764" t="n"/>
      <c r="R432" s="61" t="n"/>
      <c r="S432" s="61" t="n"/>
      <c r="T432" s="61" t="n"/>
      <c r="U432" s="61" t="n"/>
      <c r="V432" s="61" t="n"/>
      <c r="W432" s="61" t="n"/>
      <c r="X432" s="61" t="n"/>
      <c r="Y432" s="61" t="n"/>
    </row>
    <row r="433" hidden="1" outlineLevel="2" ht="17.25" customHeight="1" thickBot="1">
      <c r="B433" s="369" t="n">
        <v>42585</v>
      </c>
      <c r="C433" s="370" t="inlineStr">
        <is>
          <t>FITX</t>
        </is>
      </c>
      <c r="D433" s="371" t="inlineStr">
        <is>
          <t>台指08</t>
        </is>
      </c>
      <c r="E433" s="371" t="inlineStr">
        <is>
          <t>平倉</t>
        </is>
      </c>
      <c r="F433" s="371" t="inlineStr">
        <is>
          <t>賣</t>
        </is>
      </c>
      <c r="G433" s="371" t="inlineStr">
        <is>
          <t>-</t>
        </is>
      </c>
      <c r="H433" s="785" t="n">
        <v>1</v>
      </c>
      <c r="I433" s="785" t="n">
        <v>9055</v>
      </c>
      <c r="J433" s="785" t="n">
        <v>0</v>
      </c>
      <c r="K433" s="786" t="n">
        <v>100</v>
      </c>
      <c r="L433" s="786" t="n">
        <v>36</v>
      </c>
      <c r="M433" s="743">
        <f>IF(C433="TXO",J433-SUM(K433:L433),IF(C433="FITX",IF(E433="新倉",-SUM(K433:L433),IF(F433="賣",(I433-I432)*H433*200-SUM(K433:L433),(I432-I433)*H433*200-SUM(K433:L433)))))</f>
        <v/>
      </c>
      <c r="N433" s="780">
        <f>IF(C433="TXO","",IF(C433="FITX",IF(E433="新倉","",IF(F433="賣",(I433-I432)*H433,(I432-I433)*H433))))</f>
        <v/>
      </c>
      <c r="O433" s="334">
        <f>ABS(J433)</f>
        <v/>
      </c>
      <c r="P433" s="764" t="n"/>
      <c r="R433" s="61" t="n"/>
      <c r="S433" s="61" t="n"/>
      <c r="T433" s="61" t="n"/>
      <c r="U433" s="61" t="n"/>
      <c r="V433" s="61" t="n"/>
      <c r="W433" s="61" t="n"/>
      <c r="X433" s="61" t="n"/>
      <c r="Y433" s="61" t="n"/>
    </row>
    <row r="434" hidden="1" outlineLevel="2" ht="17.25" customHeight="1" thickBot="1">
      <c r="B434" s="369" t="n">
        <v>42585</v>
      </c>
      <c r="C434" s="370" t="inlineStr">
        <is>
          <t>FITX</t>
        </is>
      </c>
      <c r="D434" s="371" t="inlineStr">
        <is>
          <t>台指08</t>
        </is>
      </c>
      <c r="E434" s="371" t="inlineStr">
        <is>
          <t>新倉</t>
        </is>
      </c>
      <c r="F434" s="371" t="inlineStr">
        <is>
          <t>買</t>
        </is>
      </c>
      <c r="G434" s="371" t="inlineStr">
        <is>
          <t>-</t>
        </is>
      </c>
      <c r="H434" s="785" t="n">
        <v>1</v>
      </c>
      <c r="I434" s="785" t="n">
        <v>9058</v>
      </c>
      <c r="J434" s="785" t="n">
        <v>0</v>
      </c>
      <c r="K434" s="786" t="n">
        <v>100</v>
      </c>
      <c r="L434" s="786" t="n">
        <v>36</v>
      </c>
      <c r="M434" s="743">
        <f>IF(C434="TXO",J434-SUM(K434:L434),IF(C434="FITX",IF(E434="新倉",-SUM(K434:L434),IF(F434="賣",(I434-I433)*H434*200-SUM(K434:L434),(I433-I434)*H434*200-SUM(K434:L434)))))</f>
        <v/>
      </c>
      <c r="N434" s="780">
        <f>IF(C434="TXO","",IF(C434="FITX",IF(E434="新倉","",IF(F434="賣",(I434-I433)*H434,(I433-I434)*H434))))</f>
        <v/>
      </c>
      <c r="O434" s="334">
        <f>ABS(J434)</f>
        <v/>
      </c>
      <c r="P434" s="764" t="n"/>
      <c r="R434" s="61" t="n"/>
      <c r="S434" s="61" t="n"/>
      <c r="T434" s="61" t="n"/>
      <c r="U434" s="61" t="n"/>
      <c r="V434" s="61" t="n"/>
      <c r="W434" s="61" t="n"/>
      <c r="X434" s="61" t="n"/>
      <c r="Y434" s="61" t="n"/>
    </row>
    <row r="435" hidden="1" outlineLevel="2" ht="17.25" customHeight="1" thickBot="1">
      <c r="B435" s="369" t="n">
        <v>42585</v>
      </c>
      <c r="C435" s="370" t="inlineStr">
        <is>
          <t>FITX</t>
        </is>
      </c>
      <c r="D435" s="371" t="inlineStr">
        <is>
          <t>台指08</t>
        </is>
      </c>
      <c r="E435" s="371" t="inlineStr">
        <is>
          <t>平倉</t>
        </is>
      </c>
      <c r="F435" s="371" t="inlineStr">
        <is>
          <t>賣</t>
        </is>
      </c>
      <c r="G435" s="371" t="inlineStr">
        <is>
          <t>-</t>
        </is>
      </c>
      <c r="H435" s="785" t="n">
        <v>1</v>
      </c>
      <c r="I435" s="785" t="n">
        <v>9059</v>
      </c>
      <c r="J435" s="785" t="n">
        <v>0</v>
      </c>
      <c r="K435" s="786" t="n">
        <v>100</v>
      </c>
      <c r="L435" s="786" t="n">
        <v>36</v>
      </c>
      <c r="M435" s="743">
        <f>IF(C435="TXO",J435-SUM(K435:L435),IF(C435="FITX",IF(E435="新倉",-SUM(K435:L435),IF(F435="賣",(I435-I434)*H435*200-SUM(K435:L435),(I434-I435)*H435*200-SUM(K435:L435)))))</f>
        <v/>
      </c>
      <c r="N435" s="780">
        <f>IF(C435="TXO","",IF(C435="FITX",IF(E435="新倉","",IF(F435="賣",(I435-I434)*H435,(I434-I435)*H435))))</f>
        <v/>
      </c>
      <c r="O435" s="334">
        <f>ABS(J435)</f>
        <v/>
      </c>
      <c r="P435" s="764" t="n"/>
      <c r="R435" s="61" t="n"/>
      <c r="S435" s="61" t="n"/>
      <c r="T435" s="61" t="n"/>
      <c r="U435" s="61" t="n"/>
      <c r="V435" s="61" t="n"/>
      <c r="W435" s="61" t="n"/>
      <c r="X435" s="61" t="n"/>
      <c r="Y435" s="61" t="n"/>
    </row>
    <row r="436" hidden="1" outlineLevel="2" ht="17.25" customHeight="1" thickBot="1">
      <c r="B436" s="369" t="n">
        <v>42585</v>
      </c>
      <c r="C436" s="370" t="inlineStr">
        <is>
          <t>FITX</t>
        </is>
      </c>
      <c r="D436" s="371" t="inlineStr">
        <is>
          <t>台指08</t>
        </is>
      </c>
      <c r="E436" s="371" t="inlineStr">
        <is>
          <t>新倉</t>
        </is>
      </c>
      <c r="F436" s="371" t="inlineStr">
        <is>
          <t>賣</t>
        </is>
      </c>
      <c r="G436" s="371" t="inlineStr">
        <is>
          <t>-</t>
        </is>
      </c>
      <c r="H436" s="785" t="n">
        <v>1</v>
      </c>
      <c r="I436" s="785" t="n">
        <v>8905</v>
      </c>
      <c r="J436" s="785" t="n">
        <v>0</v>
      </c>
      <c r="K436" s="786" t="n">
        <v>100</v>
      </c>
      <c r="L436" s="786" t="n">
        <v>36</v>
      </c>
      <c r="M436" s="743">
        <f>IF(C436="TXO",J436-SUM(K436:L436),IF(C436="FITX",IF(E436="新倉",-SUM(K436:L436),IF(F436="賣",(I436-I435)*H436*200-SUM(K436:L436),(I435-I436)*H436*200-SUM(K436:L436)))))</f>
        <v/>
      </c>
      <c r="N436" s="780">
        <f>IF(C436="TXO","",IF(C436="FITX",IF(E436="新倉","",IF(F436="賣",(I436-I435)*H436,(I435-I436)*H436))))</f>
        <v/>
      </c>
      <c r="O436" s="334">
        <f>ABS(J436)</f>
        <v/>
      </c>
      <c r="P436" s="764" t="n"/>
      <c r="R436" s="61" t="n"/>
      <c r="S436" s="61" t="n"/>
      <c r="T436" s="61" t="n"/>
      <c r="U436" s="61" t="n"/>
      <c r="V436" s="61" t="n"/>
      <c r="W436" s="61" t="n"/>
      <c r="X436" s="61" t="n"/>
      <c r="Y436" s="61" t="n"/>
    </row>
    <row r="437" hidden="1" outlineLevel="2" ht="17.25" customHeight="1" thickBot="1">
      <c r="B437" s="369" t="n">
        <v>42585</v>
      </c>
      <c r="C437" s="370" t="inlineStr">
        <is>
          <t>FITX</t>
        </is>
      </c>
      <c r="D437" s="371" t="inlineStr">
        <is>
          <t>台指08</t>
        </is>
      </c>
      <c r="E437" s="371" t="inlineStr">
        <is>
          <t>平倉</t>
        </is>
      </c>
      <c r="F437" s="371" t="inlineStr">
        <is>
          <t>買</t>
        </is>
      </c>
      <c r="G437" s="371" t="inlineStr">
        <is>
          <t>-</t>
        </is>
      </c>
      <c r="H437" s="785" t="n">
        <v>1</v>
      </c>
      <c r="I437" s="785" t="n">
        <v>8908</v>
      </c>
      <c r="J437" s="785" t="n">
        <v>0</v>
      </c>
      <c r="K437" s="786" t="n">
        <v>100</v>
      </c>
      <c r="L437" s="786" t="n">
        <v>36</v>
      </c>
      <c r="M437" s="743">
        <f>IF(C437="TXO",J437-SUM(K437:L437),IF(C437="FITX",IF(E437="新倉",-SUM(K437:L437),IF(F437="賣",(I437-I436)*H437*200-SUM(K437:L437),(I436-I437)*H437*200-SUM(K437:L437)))))</f>
        <v/>
      </c>
      <c r="N437" s="780">
        <f>IF(C437="TXO","",IF(C437="FITX",IF(E437="新倉","",IF(F437="賣",(I437-I436)*H437,(I436-I437)*H437))))</f>
        <v/>
      </c>
      <c r="O437" s="334">
        <f>ABS(J437)</f>
        <v/>
      </c>
      <c r="P437" s="764" t="n"/>
      <c r="R437" s="61" t="n"/>
      <c r="S437" s="61" t="n"/>
      <c r="T437" s="61" t="n"/>
      <c r="U437" s="61" t="n"/>
      <c r="V437" s="61" t="n"/>
      <c r="W437" s="61" t="n"/>
      <c r="X437" s="61" t="n"/>
      <c r="Y437" s="61" t="n"/>
    </row>
    <row r="438" hidden="1" outlineLevel="2" ht="17.25" customHeight="1" thickBot="1">
      <c r="B438" s="369" t="n">
        <v>42585</v>
      </c>
      <c r="C438" s="370" t="inlineStr">
        <is>
          <t>FITX</t>
        </is>
      </c>
      <c r="D438" s="371" t="inlineStr">
        <is>
          <t>台指08</t>
        </is>
      </c>
      <c r="E438" s="371" t="inlineStr">
        <is>
          <t>新倉</t>
        </is>
      </c>
      <c r="F438" s="371" t="inlineStr">
        <is>
          <t>買</t>
        </is>
      </c>
      <c r="G438" s="371" t="inlineStr">
        <is>
          <t>-</t>
        </is>
      </c>
      <c r="H438" s="785" t="n">
        <v>1</v>
      </c>
      <c r="I438" s="785" t="n">
        <v>8959</v>
      </c>
      <c r="J438" s="785" t="n">
        <v>0</v>
      </c>
      <c r="K438" s="786" t="n">
        <v>100</v>
      </c>
      <c r="L438" s="786" t="n">
        <v>36</v>
      </c>
      <c r="M438" s="743">
        <f>IF(C438="TXO",J438-SUM(K438:L438),IF(C438="FITX",IF(E438="新倉",-SUM(K438:L438),IF(F438="賣",(I438-I437)*H438*200-SUM(K438:L438),(I437-I438)*H438*200-SUM(K438:L438)))))</f>
        <v/>
      </c>
      <c r="N438" s="780">
        <f>IF(C438="TXO","",IF(C438="FITX",IF(E438="新倉","",IF(F438="賣",(I438-I437)*H438,(I437-I438)*H438))))</f>
        <v/>
      </c>
      <c r="O438" s="334">
        <f>ABS(J438)</f>
        <v/>
      </c>
      <c r="P438" s="764" t="n"/>
      <c r="R438" s="61" t="n"/>
      <c r="S438" s="61" t="n"/>
      <c r="T438" s="61" t="n"/>
      <c r="U438" s="61" t="n"/>
      <c r="V438" s="61" t="n"/>
      <c r="W438" s="61" t="n"/>
      <c r="X438" s="61" t="n"/>
      <c r="Y438" s="61" t="n"/>
    </row>
    <row r="439" hidden="1" outlineLevel="2" ht="17.25" customHeight="1" thickBot="1">
      <c r="B439" s="369" t="n">
        <v>42585</v>
      </c>
      <c r="C439" s="370" t="inlineStr">
        <is>
          <t>FITX</t>
        </is>
      </c>
      <c r="D439" s="371" t="inlineStr">
        <is>
          <t>台指08</t>
        </is>
      </c>
      <c r="E439" s="371" t="inlineStr">
        <is>
          <t>平倉</t>
        </is>
      </c>
      <c r="F439" s="371" t="inlineStr">
        <is>
          <t>賣</t>
        </is>
      </c>
      <c r="G439" s="371" t="inlineStr">
        <is>
          <t>-</t>
        </is>
      </c>
      <c r="H439" s="785" t="n">
        <v>1</v>
      </c>
      <c r="I439" s="785" t="n">
        <v>8963</v>
      </c>
      <c r="J439" s="785" t="n">
        <v>0</v>
      </c>
      <c r="K439" s="786" t="n">
        <v>100</v>
      </c>
      <c r="L439" s="786" t="n">
        <v>36</v>
      </c>
      <c r="M439" s="743">
        <f>IF(C439="TXO",J439-SUM(K439:L439),IF(C439="FITX",IF(E439="新倉",-SUM(K439:L439),IF(F439="賣",(I439-I438)*H439*200-SUM(K439:L439),(I438-I439)*H439*200-SUM(K439:L439)))))</f>
        <v/>
      </c>
      <c r="N439" s="780">
        <f>IF(C439="TXO","",IF(C439="FITX",IF(E439="新倉","",IF(F439="賣",(I439-I438)*H439,(I438-I439)*H439))))</f>
        <v/>
      </c>
      <c r="O439" s="334">
        <f>ABS(J439)</f>
        <v/>
      </c>
      <c r="P439" s="764" t="n"/>
      <c r="R439" s="61" t="n"/>
      <c r="S439" s="61" t="n"/>
      <c r="T439" s="61" t="n"/>
      <c r="U439" s="61" t="n"/>
      <c r="V439" s="61" t="n"/>
      <c r="W439" s="61" t="n"/>
      <c r="X439" s="61" t="n"/>
      <c r="Y439" s="61" t="n"/>
    </row>
    <row r="440" hidden="1" outlineLevel="2" ht="17.25" customHeight="1" thickBot="1">
      <c r="B440" s="369" t="n">
        <v>42585</v>
      </c>
      <c r="C440" s="370" t="inlineStr">
        <is>
          <t>FITX</t>
        </is>
      </c>
      <c r="D440" s="371" t="inlineStr">
        <is>
          <t>台指08</t>
        </is>
      </c>
      <c r="E440" s="371" t="inlineStr">
        <is>
          <t>新倉</t>
        </is>
      </c>
      <c r="F440" s="371" t="inlineStr">
        <is>
          <t>買</t>
        </is>
      </c>
      <c r="G440" s="371" t="inlineStr">
        <is>
          <t>-</t>
        </is>
      </c>
      <c r="H440" s="785" t="n">
        <v>1</v>
      </c>
      <c r="I440" s="785" t="n">
        <v>9051</v>
      </c>
      <c r="J440" s="785" t="n">
        <v>0</v>
      </c>
      <c r="K440" s="786" t="n">
        <v>100</v>
      </c>
      <c r="L440" s="786" t="n">
        <v>36</v>
      </c>
      <c r="M440" s="743">
        <f>IF(C440="TXO",J440-SUM(K440:L440),IF(C440="FITX",IF(E440="新倉",-SUM(K440:L440),IF(F440="賣",(I440-I439)*H440*200-SUM(K440:L440),(I439-I440)*H440*200-SUM(K440:L440)))))</f>
        <v/>
      </c>
      <c r="N440" s="780">
        <f>IF(C440="TXO","",IF(C440="FITX",IF(E440="新倉","",IF(F440="賣",(I440-I439)*H440,(I439-I440)*H440))))</f>
        <v/>
      </c>
      <c r="O440" s="334">
        <f>ABS(J440)</f>
        <v/>
      </c>
      <c r="P440" s="764" t="n"/>
      <c r="R440" s="61" t="n"/>
      <c r="S440" s="61" t="n"/>
      <c r="T440" s="61" t="n"/>
      <c r="U440" s="61" t="n"/>
      <c r="V440" s="61" t="n"/>
      <c r="W440" s="61" t="n"/>
      <c r="X440" s="61" t="n"/>
      <c r="Y440" s="61" t="n"/>
    </row>
    <row r="441" hidden="1" outlineLevel="2" ht="17.25" customHeight="1" thickBot="1">
      <c r="B441" s="369" t="n">
        <v>42585</v>
      </c>
      <c r="C441" s="370" t="inlineStr">
        <is>
          <t>FITX</t>
        </is>
      </c>
      <c r="D441" s="371" t="inlineStr">
        <is>
          <t>台指08</t>
        </is>
      </c>
      <c r="E441" s="371" t="inlineStr">
        <is>
          <t>平倉</t>
        </is>
      </c>
      <c r="F441" s="371" t="inlineStr">
        <is>
          <t>賣</t>
        </is>
      </c>
      <c r="G441" s="371" t="inlineStr">
        <is>
          <t>-</t>
        </is>
      </c>
      <c r="H441" s="785" t="n">
        <v>1</v>
      </c>
      <c r="I441" s="785" t="n">
        <v>9056</v>
      </c>
      <c r="J441" s="785" t="n">
        <v>0</v>
      </c>
      <c r="K441" s="786" t="n">
        <v>100</v>
      </c>
      <c r="L441" s="786" t="n">
        <v>36</v>
      </c>
      <c r="M441" s="743">
        <f>IF(C441="TXO",J441-SUM(K441:L441),IF(C441="FITX",IF(E441="新倉",-SUM(K441:L441),IF(F441="賣",(I441-I440)*H441*200-SUM(K441:L441),(I440-I441)*H441*200-SUM(K441:L441)))))</f>
        <v/>
      </c>
      <c r="N441" s="780">
        <f>IF(C441="TXO","",IF(C441="FITX",IF(E441="新倉","",IF(F441="賣",(I441-I440)*H441,(I440-I441)*H441))))</f>
        <v/>
      </c>
      <c r="O441" s="334">
        <f>ABS(J441)</f>
        <v/>
      </c>
      <c r="P441" s="764" t="n"/>
      <c r="R441" s="61" t="n"/>
      <c r="S441" s="61" t="n"/>
      <c r="T441" s="61" t="n"/>
      <c r="U441" s="61" t="n"/>
      <c r="V441" s="61" t="n"/>
      <c r="W441" s="61" t="n"/>
      <c r="X441" s="61" t="n"/>
      <c r="Y441" s="61" t="n"/>
    </row>
    <row r="442" hidden="1" outlineLevel="2" ht="17.25" customHeight="1" thickBot="1">
      <c r="B442" s="369" t="n">
        <v>42585</v>
      </c>
      <c r="C442" s="370" t="inlineStr">
        <is>
          <t>FITX</t>
        </is>
      </c>
      <c r="D442" s="371" t="inlineStr">
        <is>
          <t>台指08</t>
        </is>
      </c>
      <c r="E442" s="371" t="inlineStr">
        <is>
          <t>新倉</t>
        </is>
      </c>
      <c r="F442" s="371" t="inlineStr">
        <is>
          <t>買</t>
        </is>
      </c>
      <c r="G442" s="371" t="inlineStr">
        <is>
          <t>-</t>
        </is>
      </c>
      <c r="H442" s="785" t="n">
        <v>1</v>
      </c>
      <c r="I442" s="785" t="n">
        <v>9053</v>
      </c>
      <c r="J442" s="785" t="n">
        <v>0</v>
      </c>
      <c r="K442" s="786" t="n">
        <v>100</v>
      </c>
      <c r="L442" s="786" t="n">
        <v>36</v>
      </c>
      <c r="M442" s="743">
        <f>IF(C442="TXO",J442-SUM(K442:L442),IF(C442="FITX",IF(E442="新倉",-SUM(K442:L442),IF(F442="賣",(I442-I441)*H442*200-SUM(K442:L442),(I441-I442)*H442*200-SUM(K442:L442)))))</f>
        <v/>
      </c>
      <c r="N442" s="780">
        <f>IF(C442="TXO","",IF(C442="FITX",IF(E442="新倉","",IF(F442="賣",(I442-I441)*H442,(I441-I442)*H442))))</f>
        <v/>
      </c>
      <c r="O442" s="334">
        <f>ABS(J442)</f>
        <v/>
      </c>
      <c r="P442" s="764" t="n"/>
      <c r="R442" s="61" t="n"/>
      <c r="S442" s="61" t="n"/>
      <c r="T442" s="61" t="n"/>
      <c r="U442" s="61" t="n"/>
      <c r="V442" s="61" t="n"/>
      <c r="W442" s="61" t="n"/>
      <c r="X442" s="61" t="n"/>
      <c r="Y442" s="61" t="n"/>
    </row>
    <row r="443" hidden="1" outlineLevel="2" ht="17.25" customHeight="1" thickBot="1">
      <c r="B443" s="369" t="n">
        <v>42585</v>
      </c>
      <c r="C443" s="370" t="inlineStr">
        <is>
          <t>FITX</t>
        </is>
      </c>
      <c r="D443" s="371" t="inlineStr">
        <is>
          <t>台指08</t>
        </is>
      </c>
      <c r="E443" s="371" t="inlineStr">
        <is>
          <t>平倉</t>
        </is>
      </c>
      <c r="F443" s="371" t="inlineStr">
        <is>
          <t>賣</t>
        </is>
      </c>
      <c r="G443" s="371" t="inlineStr">
        <is>
          <t>-</t>
        </is>
      </c>
      <c r="H443" s="785" t="n">
        <v>1</v>
      </c>
      <c r="I443" s="785" t="n">
        <v>9046</v>
      </c>
      <c r="J443" s="785" t="n">
        <v>0</v>
      </c>
      <c r="K443" s="786" t="n">
        <v>100</v>
      </c>
      <c r="L443" s="786" t="n">
        <v>36</v>
      </c>
      <c r="M443" s="743">
        <f>IF(C443="TXO",J443-SUM(K443:L443),IF(C443="FITX",IF(E443="新倉",-SUM(K443:L443),IF(F443="賣",(I443-I442)*H443*200-SUM(K443:L443),(I442-I443)*H443*200-SUM(K443:L443)))))</f>
        <v/>
      </c>
      <c r="N443" s="780">
        <f>IF(C443="TXO","",IF(C443="FITX",IF(E443="新倉","",IF(F443="賣",(I443-I442)*H443,(I442-I443)*H443))))</f>
        <v/>
      </c>
      <c r="O443" s="334">
        <f>ABS(J443)</f>
        <v/>
      </c>
      <c r="P443" s="764" t="n"/>
      <c r="R443" s="61" t="n"/>
      <c r="S443" s="61" t="n"/>
      <c r="T443" s="61" t="n"/>
      <c r="U443" s="61" t="n"/>
      <c r="V443" s="61" t="n"/>
      <c r="W443" s="61" t="n"/>
      <c r="X443" s="61" t="n"/>
      <c r="Y443" s="61" t="n"/>
    </row>
    <row r="444" hidden="1" outlineLevel="2" ht="17.25" customHeight="1" thickBot="1">
      <c r="B444" s="369" t="n">
        <v>42585</v>
      </c>
      <c r="C444" s="370" t="inlineStr">
        <is>
          <t>FITX</t>
        </is>
      </c>
      <c r="D444" s="371" t="inlineStr">
        <is>
          <t>台指08</t>
        </is>
      </c>
      <c r="E444" s="371" t="inlineStr">
        <is>
          <t>新倉</t>
        </is>
      </c>
      <c r="F444" s="371" t="inlineStr">
        <is>
          <t>買</t>
        </is>
      </c>
      <c r="G444" s="371" t="inlineStr">
        <is>
          <t>-</t>
        </is>
      </c>
      <c r="H444" s="785" t="n">
        <v>1</v>
      </c>
      <c r="I444" s="785" t="n">
        <v>9055</v>
      </c>
      <c r="J444" s="785" t="n">
        <v>0</v>
      </c>
      <c r="K444" s="786" t="n">
        <v>100</v>
      </c>
      <c r="L444" s="786" t="n">
        <v>36</v>
      </c>
      <c r="M444" s="743">
        <f>IF(C444="TXO",J444-SUM(K444:L444),IF(C444="FITX",IF(E444="新倉",-SUM(K444:L444),IF(F444="賣",(I444-I443)*H444*200-SUM(K444:L444),(I443-I444)*H444*200-SUM(K444:L444)))))</f>
        <v/>
      </c>
      <c r="N444" s="780">
        <f>IF(C444="TXO","",IF(C444="FITX",IF(E444="新倉","",IF(F444="賣",(I444-I443)*H444,(I443-I444)*H444))))</f>
        <v/>
      </c>
      <c r="O444" s="334">
        <f>ABS(J444)</f>
        <v/>
      </c>
      <c r="P444" s="764" t="n"/>
      <c r="R444" s="61" t="n"/>
      <c r="S444" s="61" t="n"/>
      <c r="T444" s="61" t="n"/>
      <c r="U444" s="61" t="n"/>
      <c r="V444" s="61" t="n"/>
      <c r="W444" s="61" t="n"/>
      <c r="X444" s="61" t="n"/>
      <c r="Y444" s="61" t="n"/>
    </row>
    <row r="445" hidden="1" outlineLevel="2" ht="17.25" customHeight="1" thickBot="1">
      <c r="B445" s="369" t="n">
        <v>42585</v>
      </c>
      <c r="C445" s="370" t="inlineStr">
        <is>
          <t>FITX</t>
        </is>
      </c>
      <c r="D445" s="371" t="inlineStr">
        <is>
          <t>台指08</t>
        </is>
      </c>
      <c r="E445" s="371" t="inlineStr">
        <is>
          <t>平倉</t>
        </is>
      </c>
      <c r="F445" s="371" t="inlineStr">
        <is>
          <t>賣</t>
        </is>
      </c>
      <c r="G445" s="371" t="inlineStr">
        <is>
          <t>-</t>
        </is>
      </c>
      <c r="H445" s="785" t="n">
        <v>1</v>
      </c>
      <c r="I445" s="785" t="n">
        <v>9045</v>
      </c>
      <c r="J445" s="785" t="n">
        <v>0</v>
      </c>
      <c r="K445" s="786" t="n">
        <v>100</v>
      </c>
      <c r="L445" s="786" t="n">
        <v>36</v>
      </c>
      <c r="M445" s="743">
        <f>IF(C445="TXO",J445-SUM(K445:L445),IF(C445="FITX",IF(E445="新倉",-SUM(K445:L445),IF(F445="賣",(I445-I444)*H445*200-SUM(K445:L445),(I444-I445)*H445*200-SUM(K445:L445)))))</f>
        <v/>
      </c>
      <c r="N445" s="780">
        <f>IF(C445="TXO","",IF(C445="FITX",IF(E445="新倉","",IF(F445="賣",(I445-I444)*H445,(I444-I445)*H445))))</f>
        <v/>
      </c>
      <c r="O445" s="334">
        <f>ABS(J445)</f>
        <v/>
      </c>
      <c r="P445" s="764" t="n"/>
      <c r="R445" s="61" t="n"/>
      <c r="S445" s="61" t="n"/>
      <c r="T445" s="61" t="n"/>
      <c r="U445" s="61" t="n"/>
      <c r="V445" s="61" t="n"/>
      <c r="W445" s="61" t="n"/>
      <c r="X445" s="61" t="n"/>
      <c r="Y445" s="61" t="n"/>
    </row>
    <row r="446" hidden="1" outlineLevel="1" ht="17.25" customHeight="1" thickBot="1">
      <c r="B446" s="368" t="n">
        <v>42584</v>
      </c>
      <c r="C446" s="337" t="inlineStr">
        <is>
          <t>FITX</t>
        </is>
      </c>
      <c r="D446" s="338" t="inlineStr">
        <is>
          <t>台指08</t>
        </is>
      </c>
      <c r="E446" s="338" t="inlineStr">
        <is>
          <t>新倉</t>
        </is>
      </c>
      <c r="F446" s="338" t="inlineStr">
        <is>
          <t>買</t>
        </is>
      </c>
      <c r="G446" s="338" t="inlineStr">
        <is>
          <t>-</t>
        </is>
      </c>
      <c r="H446" s="767" t="n">
        <v>1</v>
      </c>
      <c r="I446" s="767" t="n">
        <v>9027</v>
      </c>
      <c r="J446" s="767" t="n">
        <v>0</v>
      </c>
      <c r="K446" s="769" t="n">
        <v>100</v>
      </c>
      <c r="L446" s="769" t="n">
        <v>36</v>
      </c>
      <c r="M446" s="699">
        <f>IF(C446="TXO",J446-SUM(K446:L446),IF(C446="FITX",IF(E446="新倉",-SUM(K446:L446),IF(F446="賣",(I446-I443)*H446*200-SUM(K446:L446),(I443-I446)*H446*200-SUM(K446:L446)))))</f>
        <v/>
      </c>
      <c r="N446" s="686">
        <f>IF(C446="TXO","",IF(C446="FITX",IF(E446="新倉","",IF(F446="賣",(I446-I443),(I443-I446)))))</f>
        <v/>
      </c>
      <c r="O446" s="334">
        <f>ABS(J446)</f>
        <v/>
      </c>
      <c r="P446" s="667">
        <f>SUM(M446:M447)</f>
        <v/>
      </c>
      <c r="R446" s="61" t="n"/>
      <c r="S446" s="61" t="n"/>
      <c r="T446" s="61" t="n"/>
      <c r="U446" s="61" t="n"/>
      <c r="V446" s="61" t="n"/>
      <c r="W446" s="61" t="n"/>
      <c r="X446" s="61" t="n"/>
      <c r="Y446" s="61" t="n"/>
    </row>
    <row r="447" hidden="1" outlineLevel="1" ht="17.25" customHeight="1" thickBot="1">
      <c r="B447" s="368" t="n">
        <v>42584</v>
      </c>
      <c r="C447" s="337" t="inlineStr">
        <is>
          <t>FITX</t>
        </is>
      </c>
      <c r="D447" s="338" t="inlineStr">
        <is>
          <t>台指08</t>
        </is>
      </c>
      <c r="E447" s="338" t="inlineStr">
        <is>
          <t>平倉</t>
        </is>
      </c>
      <c r="F447" s="338" t="inlineStr">
        <is>
          <t>賣</t>
        </is>
      </c>
      <c r="G447" s="338" t="inlineStr">
        <is>
          <t>-</t>
        </is>
      </c>
      <c r="H447" s="767" t="n">
        <v>1</v>
      </c>
      <c r="I447" s="767" t="n">
        <v>9032</v>
      </c>
      <c r="J447" s="767" t="n">
        <v>0</v>
      </c>
      <c r="K447" s="769" t="n">
        <v>100</v>
      </c>
      <c r="L447" s="769" t="n">
        <v>36</v>
      </c>
      <c r="M447" s="699">
        <f>IF(C447="TXO",J447-SUM(K447:L447),IF(C447="FITX",IF(E447="新倉",-SUM(K447:L447),IF(F447="賣",(I447-I446)*H447*200-SUM(K447:L447),(I446-I447)*H447*200-SUM(K447:L447)))))</f>
        <v/>
      </c>
      <c r="N447" s="686">
        <f>IF(C447="TXO","",IF(C447="FITX",IF(E447="新倉","",IF(F447="賣",(I447-I446),(I446-I447)))))</f>
        <v/>
      </c>
      <c r="O447" s="334">
        <f>ABS(J447)</f>
        <v/>
      </c>
      <c r="P447" s="667" t="n"/>
      <c r="R447" s="61" t="n"/>
      <c r="S447" s="61" t="n"/>
      <c r="T447" s="61" t="n"/>
      <c r="U447" s="61" t="n"/>
      <c r="V447" s="61" t="n"/>
      <c r="W447" s="61" t="n"/>
      <c r="X447" s="61" t="n"/>
      <c r="Y447" s="61" t="n"/>
    </row>
    <row r="448" hidden="1" outlineLevel="1" collapsed="1" ht="17.25" customHeight="1" thickBot="1">
      <c r="B448" s="369" t="n">
        <v>42587</v>
      </c>
      <c r="C448" s="370" t="inlineStr">
        <is>
          <t>FITX</t>
        </is>
      </c>
      <c r="D448" s="371" t="inlineStr">
        <is>
          <t>台指08</t>
        </is>
      </c>
      <c r="E448" s="371" t="inlineStr">
        <is>
          <t>新倉</t>
        </is>
      </c>
      <c r="F448" s="371" t="inlineStr">
        <is>
          <t>買</t>
        </is>
      </c>
      <c r="G448" s="371" t="inlineStr">
        <is>
          <t>-</t>
        </is>
      </c>
      <c r="H448" s="785" t="n">
        <v>1</v>
      </c>
      <c r="I448" s="785" t="n">
        <v>9022</v>
      </c>
      <c r="J448" s="785" t="n">
        <v>0</v>
      </c>
      <c r="K448" s="786" t="n">
        <v>100</v>
      </c>
      <c r="L448" s="786" t="n">
        <v>36</v>
      </c>
      <c r="M448" s="743">
        <f>IF(C448="TXO",J448-SUM(K448:L448),IF(C448="FITX",IF(E448="新倉",-SUM(K448:L448),IF(F448="賣",(I448-I447)*H448*200-SUM(K448:L448),(I447-I448)*H448*200-SUM(K448:L448)))))</f>
        <v/>
      </c>
      <c r="N448" s="780">
        <f>IF(C448="TXO","",IF(C448="FITX",IF(E448="新倉","",IF(F448="賣",(I448-I447)*H448,(I447-I448)*H448))))</f>
        <v/>
      </c>
      <c r="O448" s="334">
        <f>ABS(J448)</f>
        <v/>
      </c>
      <c r="P448" s="764">
        <f>SUM(M448:M459)</f>
        <v/>
      </c>
      <c r="R448" s="61" t="n"/>
      <c r="S448" s="61" t="n"/>
      <c r="T448" s="61" t="n"/>
      <c r="U448" s="61" t="n"/>
      <c r="V448" s="61" t="n"/>
      <c r="W448" s="61" t="n"/>
      <c r="X448" s="61" t="n"/>
      <c r="Y448" s="61" t="n"/>
    </row>
    <row r="449" hidden="1" outlineLevel="2" ht="17.25" customHeight="1" thickBot="1">
      <c r="B449" s="369" t="n">
        <v>42587</v>
      </c>
      <c r="C449" s="370" t="inlineStr">
        <is>
          <t>FITX</t>
        </is>
      </c>
      <c r="D449" s="371" t="inlineStr">
        <is>
          <t>台指08</t>
        </is>
      </c>
      <c r="E449" s="371" t="inlineStr">
        <is>
          <t>平倉</t>
        </is>
      </c>
      <c r="F449" s="371" t="inlineStr">
        <is>
          <t>賣</t>
        </is>
      </c>
      <c r="G449" s="371" t="inlineStr">
        <is>
          <t>-</t>
        </is>
      </c>
      <c r="H449" s="785" t="n">
        <v>1</v>
      </c>
      <c r="I449" s="785" t="n">
        <v>9042</v>
      </c>
      <c r="J449" s="785" t="n">
        <v>0</v>
      </c>
      <c r="K449" s="786" t="n">
        <v>100</v>
      </c>
      <c r="L449" s="786" t="n">
        <v>36</v>
      </c>
      <c r="M449" s="743">
        <f>IF(C449="TXO",J449-SUM(K449:L449),IF(C449="FITX",IF(E449="新倉",-SUM(K449:L449),IF(F449="賣",(I449-I448)*H449*200-SUM(K449:L449),(I448-I449)*H449*200-SUM(K449:L449)))))</f>
        <v/>
      </c>
      <c r="N449" s="780">
        <f>IF(C449="TXO","",IF(C449="FITX",IF(E449="新倉","",IF(F449="賣",(I449-I448)*H449,(I448-I449)*H449))))</f>
        <v/>
      </c>
      <c r="O449" s="334">
        <f>ABS(J449)</f>
        <v/>
      </c>
      <c r="P449" s="764" t="n"/>
      <c r="R449" s="61" t="n"/>
      <c r="S449" s="61" t="n"/>
      <c r="T449" s="61" t="n"/>
      <c r="U449" s="61" t="n"/>
      <c r="V449" s="61" t="n"/>
      <c r="W449" s="61" t="n"/>
      <c r="X449" s="61" t="n"/>
      <c r="Y449" s="61" t="n"/>
    </row>
    <row r="450" hidden="1" outlineLevel="2" ht="17.25" customHeight="1" thickBot="1">
      <c r="B450" s="369" t="n">
        <v>42587</v>
      </c>
      <c r="C450" s="370" t="inlineStr">
        <is>
          <t>FITX</t>
        </is>
      </c>
      <c r="D450" s="371" t="inlineStr">
        <is>
          <t>台指08</t>
        </is>
      </c>
      <c r="E450" s="371" t="inlineStr">
        <is>
          <t>新倉</t>
        </is>
      </c>
      <c r="F450" s="371" t="inlineStr">
        <is>
          <t>買</t>
        </is>
      </c>
      <c r="G450" s="371" t="inlineStr">
        <is>
          <t>-</t>
        </is>
      </c>
      <c r="H450" s="785" t="n">
        <v>1</v>
      </c>
      <c r="I450" s="785" t="n">
        <v>9046</v>
      </c>
      <c r="J450" s="785" t="n">
        <v>0</v>
      </c>
      <c r="K450" s="786" t="n">
        <v>100</v>
      </c>
      <c r="L450" s="786" t="n">
        <v>36</v>
      </c>
      <c r="M450" s="743">
        <f>IF(C450="TXO",J450-SUM(K450:L450),IF(C450="FITX",IF(E450="新倉",-SUM(K450:L450),IF(F450="賣",(I450-I449)*H450*200-SUM(K450:L450),(I449-I450)*H450*200-SUM(K450:L450)))))</f>
        <v/>
      </c>
      <c r="N450" s="780">
        <f>IF(C450="TXO","",IF(C450="FITX",IF(E450="新倉","",IF(F450="賣",(I450-I449)*H450,(I449-I450)*H450))))</f>
        <v/>
      </c>
      <c r="O450" s="334">
        <f>ABS(J450)</f>
        <v/>
      </c>
      <c r="P450" s="764" t="n"/>
      <c r="R450" s="61" t="n"/>
      <c r="S450" s="61" t="n"/>
      <c r="T450" s="61" t="n"/>
      <c r="U450" s="61" t="n"/>
      <c r="V450" s="61" t="n"/>
      <c r="W450" s="61" t="n"/>
      <c r="X450" s="61" t="n"/>
      <c r="Y450" s="61" t="n"/>
    </row>
    <row r="451" hidden="1" outlineLevel="2" ht="17.25" customHeight="1" thickBot="1">
      <c r="B451" s="369" t="n">
        <v>42587</v>
      </c>
      <c r="C451" s="370" t="inlineStr">
        <is>
          <t>FITX</t>
        </is>
      </c>
      <c r="D451" s="371" t="inlineStr">
        <is>
          <t>台指08</t>
        </is>
      </c>
      <c r="E451" s="371" t="inlineStr">
        <is>
          <t>平倉</t>
        </is>
      </c>
      <c r="F451" s="371" t="inlineStr">
        <is>
          <t>賣</t>
        </is>
      </c>
      <c r="G451" s="371" t="inlineStr">
        <is>
          <t>-</t>
        </is>
      </c>
      <c r="H451" s="785" t="n">
        <v>1</v>
      </c>
      <c r="I451" s="785" t="n">
        <v>9033</v>
      </c>
      <c r="J451" s="785" t="n">
        <v>0</v>
      </c>
      <c r="K451" s="786" t="n">
        <v>100</v>
      </c>
      <c r="L451" s="786" t="n">
        <v>36</v>
      </c>
      <c r="M451" s="743">
        <f>IF(C451="TXO",J451-SUM(K451:L451),IF(C451="FITX",IF(E451="新倉",-SUM(K451:L451),IF(F451="賣",(I451-I450)*H451*200-SUM(K451:L451),(I450-I451)*H451*200-SUM(K451:L451)))))</f>
        <v/>
      </c>
      <c r="N451" s="780">
        <f>IF(C451="TXO","",IF(C451="FITX",IF(E451="新倉","",IF(F451="賣",(I451-I450)*H451,(I450-I451)*H451))))</f>
        <v/>
      </c>
      <c r="O451" s="334">
        <f>ABS(J451)</f>
        <v/>
      </c>
      <c r="P451" s="764" t="n"/>
      <c r="Q451" s="230" t="inlineStr">
        <is>
          <t>大盤上升趨勢強勁，應可續抱</t>
        </is>
      </c>
      <c r="R451" s="61" t="n"/>
      <c r="S451" s="61" t="n"/>
      <c r="T451" s="61" t="n"/>
      <c r="U451" s="61" t="n"/>
      <c r="V451" s="61" t="n"/>
      <c r="W451" s="61" t="n"/>
      <c r="X451" s="61" t="n"/>
      <c r="Y451" s="61" t="n"/>
    </row>
    <row r="452" hidden="1" outlineLevel="2" ht="17.25" customHeight="1" thickBot="1">
      <c r="B452" s="369" t="n">
        <v>42587</v>
      </c>
      <c r="C452" s="370" t="inlineStr">
        <is>
          <t>FITX</t>
        </is>
      </c>
      <c r="D452" s="371" t="inlineStr">
        <is>
          <t>台指08</t>
        </is>
      </c>
      <c r="E452" s="371" t="inlineStr">
        <is>
          <t>新倉</t>
        </is>
      </c>
      <c r="F452" s="371" t="inlineStr">
        <is>
          <t>買</t>
        </is>
      </c>
      <c r="G452" s="371" t="inlineStr">
        <is>
          <t>-</t>
        </is>
      </c>
      <c r="H452" s="785" t="n">
        <v>1</v>
      </c>
      <c r="I452" s="785" t="n">
        <v>9055</v>
      </c>
      <c r="J452" s="785" t="n">
        <v>0</v>
      </c>
      <c r="K452" s="786" t="n">
        <v>100</v>
      </c>
      <c r="L452" s="786" t="n">
        <v>36</v>
      </c>
      <c r="M452" s="743">
        <f>IF(C452="TXO",J452-SUM(K452:L452),IF(C452="FITX",IF(E452="新倉",-SUM(K452:L452),IF(F452="賣",(I452-I451)*H452*200-SUM(K452:L452),(I451-I452)*H452*200-SUM(K452:L452)))))</f>
        <v/>
      </c>
      <c r="N452" s="780">
        <f>IF(C452="TXO","",IF(C452="FITX",IF(E452="新倉","",IF(F452="賣",(I452-I451)*H452,(I451-I452)*H452))))</f>
        <v/>
      </c>
      <c r="O452" s="334">
        <f>ABS(J452)</f>
        <v/>
      </c>
      <c r="P452" s="764" t="n"/>
      <c r="R452" s="61" t="n"/>
      <c r="S452" s="61" t="n"/>
      <c r="T452" s="61" t="n"/>
      <c r="U452" s="61" t="n"/>
      <c r="V452" s="61" t="n"/>
      <c r="W452" s="61" t="n"/>
      <c r="X452" s="61" t="n"/>
      <c r="Y452" s="61" t="n"/>
    </row>
    <row r="453" hidden="1" outlineLevel="2" ht="17.25" customHeight="1" thickBot="1">
      <c r="B453" s="369" t="n">
        <v>42587</v>
      </c>
      <c r="C453" s="370" t="inlineStr">
        <is>
          <t>FITX</t>
        </is>
      </c>
      <c r="D453" s="371" t="inlineStr">
        <is>
          <t>台指08</t>
        </is>
      </c>
      <c r="E453" s="371" t="inlineStr">
        <is>
          <t>平倉</t>
        </is>
      </c>
      <c r="F453" s="371" t="inlineStr">
        <is>
          <t>賣</t>
        </is>
      </c>
      <c r="G453" s="371" t="inlineStr">
        <is>
          <t>-</t>
        </is>
      </c>
      <c r="H453" s="785" t="n">
        <v>1</v>
      </c>
      <c r="I453" s="785" t="n">
        <v>9064</v>
      </c>
      <c r="J453" s="785" t="n">
        <v>0</v>
      </c>
      <c r="K453" s="786" t="n">
        <v>100</v>
      </c>
      <c r="L453" s="786" t="n">
        <v>36</v>
      </c>
      <c r="M453" s="743">
        <f>IF(C453="TXO",J453-SUM(K453:L453),IF(C453="FITX",IF(E453="新倉",-SUM(K453:L453),IF(F453="賣",(I453-I452)*H453*200-SUM(K453:L453),(I452-I453)*H453*200-SUM(K453:L453)))))</f>
        <v/>
      </c>
      <c r="N453" s="780">
        <f>IF(C453="TXO","",IF(C453="FITX",IF(E453="新倉","",IF(F453="賣",(I453-I452)*H453,(I452-I453)*H453))))</f>
        <v/>
      </c>
      <c r="O453" s="334">
        <f>ABS(J453)</f>
        <v/>
      </c>
      <c r="P453" s="764" t="n"/>
      <c r="R453" s="61" t="n"/>
      <c r="S453" s="61" t="n"/>
      <c r="T453" s="61" t="n"/>
      <c r="U453" s="61" t="n"/>
      <c r="V453" s="61" t="n"/>
      <c r="W453" s="61" t="n"/>
      <c r="X453" s="61" t="n"/>
      <c r="Y453" s="61" t="n"/>
    </row>
    <row r="454" hidden="1" outlineLevel="2" ht="17.25" customHeight="1" thickBot="1">
      <c r="B454" s="369" t="n">
        <v>42587</v>
      </c>
      <c r="C454" s="370" t="inlineStr">
        <is>
          <t>FITX</t>
        </is>
      </c>
      <c r="D454" s="371" t="inlineStr">
        <is>
          <t>台指08</t>
        </is>
      </c>
      <c r="E454" s="371" t="inlineStr">
        <is>
          <t>新倉</t>
        </is>
      </c>
      <c r="F454" s="371" t="inlineStr">
        <is>
          <t>買</t>
        </is>
      </c>
      <c r="G454" s="371" t="inlineStr">
        <is>
          <t>-</t>
        </is>
      </c>
      <c r="H454" s="785" t="n">
        <v>1</v>
      </c>
      <c r="I454" s="785" t="n">
        <v>9069</v>
      </c>
      <c r="J454" s="785" t="n">
        <v>0</v>
      </c>
      <c r="K454" s="786" t="n">
        <v>100</v>
      </c>
      <c r="L454" s="786" t="n">
        <v>36</v>
      </c>
      <c r="M454" s="743">
        <f>IF(C454="TXO",J454-SUM(K454:L454),IF(C454="FITX",IF(E454="新倉",-SUM(K454:L454),IF(F454="賣",(I454-I453)*H454*200-SUM(K454:L454),(I453-I454)*H454*200-SUM(K454:L454)))))</f>
        <v/>
      </c>
      <c r="N454" s="780">
        <f>IF(C454="TXO","",IF(C454="FITX",IF(E454="新倉","",IF(F454="賣",(I454-I453)*H454,(I453-I454)*H454))))</f>
        <v/>
      </c>
      <c r="O454" s="334">
        <f>ABS(J454)</f>
        <v/>
      </c>
      <c r="P454" s="764" t="n"/>
      <c r="R454" s="61" t="n"/>
      <c r="S454" s="61" t="n"/>
      <c r="T454" s="61" t="n"/>
      <c r="U454" s="61" t="n"/>
      <c r="V454" s="61" t="n"/>
      <c r="W454" s="61" t="n"/>
      <c r="X454" s="61" t="n"/>
      <c r="Y454" s="61" t="n"/>
    </row>
    <row r="455" hidden="1" outlineLevel="2" ht="17.25" customHeight="1" thickBot="1">
      <c r="B455" s="369" t="n">
        <v>42587</v>
      </c>
      <c r="C455" s="370" t="inlineStr">
        <is>
          <t>FITX</t>
        </is>
      </c>
      <c r="D455" s="371" t="inlineStr">
        <is>
          <t>台指08</t>
        </is>
      </c>
      <c r="E455" s="371" t="inlineStr">
        <is>
          <t>平倉</t>
        </is>
      </c>
      <c r="F455" s="371" t="inlineStr">
        <is>
          <t>賣</t>
        </is>
      </c>
      <c r="G455" s="371" t="inlineStr">
        <is>
          <t>-</t>
        </is>
      </c>
      <c r="H455" s="785" t="n">
        <v>1</v>
      </c>
      <c r="I455" s="785" t="n">
        <v>9057</v>
      </c>
      <c r="J455" s="785" t="n">
        <v>0</v>
      </c>
      <c r="K455" s="786" t="n">
        <v>100</v>
      </c>
      <c r="L455" s="786" t="n">
        <v>36</v>
      </c>
      <c r="M455" s="743">
        <f>IF(C455="TXO",J455-SUM(K455:L455),IF(C455="FITX",IF(E455="新倉",-SUM(K455:L455),IF(F455="賣",(I455-I454)*H455*200-SUM(K455:L455),(I454-I455)*H455*200-SUM(K455:L455)))))</f>
        <v/>
      </c>
      <c r="N455" s="780">
        <f>IF(C455="TXO","",IF(C455="FITX",IF(E455="新倉","",IF(F455="賣",(I455-I454)*H455,(I454-I455)*H455))))</f>
        <v/>
      </c>
      <c r="O455" s="334">
        <f>ABS(J455)</f>
        <v/>
      </c>
      <c r="P455" s="764" t="n"/>
      <c r="Q455" s="230" t="inlineStr">
        <is>
          <t>Willy 來問問題</t>
        </is>
      </c>
      <c r="R455" s="61" t="n"/>
      <c r="S455" s="61" t="n"/>
      <c r="T455" s="61" t="n"/>
      <c r="U455" s="61" t="n"/>
      <c r="V455" s="61" t="n"/>
      <c r="W455" s="61" t="n"/>
      <c r="X455" s="61" t="n"/>
      <c r="Y455" s="61" t="n"/>
    </row>
    <row r="456" hidden="1" outlineLevel="2" ht="17.25" customHeight="1" thickBot="1">
      <c r="B456" s="369" t="n">
        <v>42587</v>
      </c>
      <c r="C456" s="370" t="inlineStr">
        <is>
          <t>FITX</t>
        </is>
      </c>
      <c r="D456" s="371" t="inlineStr">
        <is>
          <t>台指08</t>
        </is>
      </c>
      <c r="E456" s="371" t="inlineStr">
        <is>
          <t>新倉</t>
        </is>
      </c>
      <c r="F456" s="371" t="inlineStr">
        <is>
          <t>買</t>
        </is>
      </c>
      <c r="G456" s="371" t="inlineStr">
        <is>
          <t>-</t>
        </is>
      </c>
      <c r="H456" s="785" t="n">
        <v>1</v>
      </c>
      <c r="I456" s="785" t="n">
        <v>9063</v>
      </c>
      <c r="J456" s="785" t="n">
        <v>0</v>
      </c>
      <c r="K456" s="786" t="n">
        <v>100</v>
      </c>
      <c r="L456" s="786" t="n">
        <v>36</v>
      </c>
      <c r="M456" s="743">
        <f>IF(C456="TXO",J456-SUM(K456:L456),IF(C456="FITX",IF(E456="新倉",-SUM(K456:L456),IF(F456="賣",(I456-I455)*H456*200-SUM(K456:L456),(I455-I456)*H456*200-SUM(K456:L456)))))</f>
        <v/>
      </c>
      <c r="N456" s="780">
        <f>IF(C456="TXO","",IF(C456="FITX",IF(E456="新倉","",IF(F456="賣",(I456-I455)*H456,(I455-I456)*H456))))</f>
        <v/>
      </c>
      <c r="O456" s="334">
        <f>ABS(J456)</f>
        <v/>
      </c>
      <c r="P456" s="764" t="n"/>
      <c r="R456" s="61" t="n"/>
      <c r="S456" s="61" t="n"/>
      <c r="T456" s="61" t="n"/>
      <c r="U456" s="61" t="n"/>
      <c r="V456" s="61" t="n"/>
      <c r="W456" s="61" t="n"/>
      <c r="X456" s="61" t="n"/>
      <c r="Y456" s="61" t="n"/>
    </row>
    <row r="457" hidden="1" outlineLevel="2" ht="17.25" customHeight="1" thickBot="1">
      <c r="B457" s="369" t="n">
        <v>42587</v>
      </c>
      <c r="C457" s="370" t="inlineStr">
        <is>
          <t>FITX</t>
        </is>
      </c>
      <c r="D457" s="371" t="inlineStr">
        <is>
          <t>台指08</t>
        </is>
      </c>
      <c r="E457" s="371" t="inlineStr">
        <is>
          <t>平倉</t>
        </is>
      </c>
      <c r="F457" s="371" t="inlineStr">
        <is>
          <t>賣</t>
        </is>
      </c>
      <c r="G457" s="371" t="inlineStr">
        <is>
          <t>-</t>
        </is>
      </c>
      <c r="H457" s="785" t="n">
        <v>1</v>
      </c>
      <c r="I457" s="785" t="n">
        <v>9055</v>
      </c>
      <c r="J457" s="785" t="n">
        <v>0</v>
      </c>
      <c r="K457" s="786" t="n">
        <v>100</v>
      </c>
      <c r="L457" s="786" t="n">
        <v>36</v>
      </c>
      <c r="M457" s="743">
        <f>IF(C457="TXO",J457-SUM(K457:L457),IF(C457="FITX",IF(E457="新倉",-SUM(K457:L457),IF(F457="賣",(I457-I456)*H457*200-SUM(K457:L457),(I456-I457)*H457*200-SUM(K457:L457)))))</f>
        <v/>
      </c>
      <c r="N457" s="780">
        <f>IF(C457="TXO","",IF(C457="FITX",IF(E457="新倉","",IF(F457="賣",(I457-I456)*H457,(I456-I457)*H457))))</f>
        <v/>
      </c>
      <c r="O457" s="334">
        <f>ABS(J457)</f>
        <v/>
      </c>
      <c r="P457" s="764" t="n"/>
      <c r="Q457" s="230" t="inlineStr">
        <is>
          <t>Willy 來問問題</t>
        </is>
      </c>
      <c r="R457" s="61" t="n"/>
      <c r="S457" s="61" t="n"/>
      <c r="T457" s="61" t="n"/>
      <c r="U457" s="61" t="n"/>
      <c r="V457" s="61" t="n"/>
      <c r="W457" s="61" t="n"/>
      <c r="X457" s="61" t="n"/>
      <c r="Y457" s="61" t="n"/>
    </row>
    <row r="458" hidden="1" outlineLevel="2" ht="17.25" customHeight="1" thickBot="1">
      <c r="B458" s="369" t="n">
        <v>42587</v>
      </c>
      <c r="C458" s="370" t="inlineStr">
        <is>
          <t>FITX</t>
        </is>
      </c>
      <c r="D458" s="371" t="inlineStr">
        <is>
          <t>台指08</t>
        </is>
      </c>
      <c r="E458" s="371" t="inlineStr">
        <is>
          <t>新倉</t>
        </is>
      </c>
      <c r="F458" s="371" t="inlineStr">
        <is>
          <t>買</t>
        </is>
      </c>
      <c r="G458" s="371" t="inlineStr">
        <is>
          <t>-</t>
        </is>
      </c>
      <c r="H458" s="785" t="n">
        <v>1</v>
      </c>
      <c r="I458" s="785" t="n">
        <v>9064</v>
      </c>
      <c r="J458" s="785" t="n">
        <v>0</v>
      </c>
      <c r="K458" s="786" t="n">
        <v>100</v>
      </c>
      <c r="L458" s="786" t="n">
        <v>36</v>
      </c>
      <c r="M458" s="743">
        <f>IF(C458="TXO",J458-SUM(K458:L458),IF(C458="FITX",IF(E458="新倉",-SUM(K458:L458),IF(F458="賣",(I458-I457)*H458*200-SUM(K458:L458),(I457-I458)*H458*200-SUM(K458:L458)))))</f>
        <v/>
      </c>
      <c r="N458" s="780">
        <f>IF(C458="TXO","",IF(C458="FITX",IF(E458="新倉","",IF(F458="賣",(I458-I457)*H458,(I457-I458)*H458))))</f>
        <v/>
      </c>
      <c r="O458" s="334">
        <f>ABS(J458)</f>
        <v/>
      </c>
      <c r="P458" s="764" t="n"/>
      <c r="R458" s="61" t="n"/>
      <c r="S458" s="61" t="n"/>
      <c r="T458" s="61" t="n"/>
      <c r="U458" s="61" t="n"/>
      <c r="V458" s="61" t="n"/>
      <c r="W458" s="61" t="n"/>
      <c r="X458" s="61" t="n"/>
      <c r="Y458" s="61" t="n"/>
    </row>
    <row r="459" hidden="1" outlineLevel="2" ht="17.25" customHeight="1" thickBot="1">
      <c r="B459" s="369" t="n">
        <v>42587</v>
      </c>
      <c r="C459" s="370" t="inlineStr">
        <is>
          <t>FITX</t>
        </is>
      </c>
      <c r="D459" s="371" t="inlineStr">
        <is>
          <t>台指08</t>
        </is>
      </c>
      <c r="E459" s="371" t="inlineStr">
        <is>
          <t>平倉</t>
        </is>
      </c>
      <c r="F459" s="371" t="inlineStr">
        <is>
          <t>賣</t>
        </is>
      </c>
      <c r="G459" s="371" t="inlineStr">
        <is>
          <t>-</t>
        </is>
      </c>
      <c r="H459" s="785" t="n">
        <v>1</v>
      </c>
      <c r="I459" s="785" t="n">
        <v>9061</v>
      </c>
      <c r="J459" s="785" t="n">
        <v>0</v>
      </c>
      <c r="K459" s="786" t="n">
        <v>100</v>
      </c>
      <c r="L459" s="786" t="n">
        <v>36</v>
      </c>
      <c r="M459" s="743">
        <f>IF(C459="TXO",J459-SUM(K459:L459),IF(C459="FITX",IF(E459="新倉",-SUM(K459:L459),IF(F459="賣",(I459-I458)*H459*200-SUM(K459:L459),(I458-I459)*H459*200-SUM(K459:L459)))))</f>
        <v/>
      </c>
      <c r="N459" s="780">
        <f>IF(C459="TXO","",IF(C459="FITX",IF(E459="新倉","",IF(F459="賣",(I459-I458)*H459,(I458-I459)*H459))))</f>
        <v/>
      </c>
      <c r="O459" s="334">
        <f>ABS(J459)</f>
        <v/>
      </c>
      <c r="P459" s="764" t="n"/>
      <c r="Q459" s="230" t="inlineStr">
        <is>
          <t>進入中局，已無行情</t>
        </is>
      </c>
      <c r="R459" s="61" t="n"/>
      <c r="S459" s="61" t="n"/>
      <c r="T459" s="61" t="n"/>
      <c r="U459" s="61" t="n"/>
      <c r="V459" s="61" t="n"/>
      <c r="W459" s="61" t="n"/>
      <c r="X459" s="61" t="n"/>
      <c r="Y459" s="61" t="n"/>
    </row>
    <row r="460" hidden="1" outlineLevel="1" collapsed="1" ht="17.25" customHeight="1" thickBot="1">
      <c r="B460" s="368" t="n">
        <v>42590</v>
      </c>
      <c r="C460" s="337" t="inlineStr">
        <is>
          <t>FITX</t>
        </is>
      </c>
      <c r="D460" s="338" t="inlineStr">
        <is>
          <t>台指08</t>
        </is>
      </c>
      <c r="E460" s="338" t="inlineStr">
        <is>
          <t>新倉</t>
        </is>
      </c>
      <c r="F460" s="338" t="inlineStr">
        <is>
          <t>賣</t>
        </is>
      </c>
      <c r="G460" s="338" t="inlineStr">
        <is>
          <t>-</t>
        </is>
      </c>
      <c r="H460" s="767" t="n">
        <v>1</v>
      </c>
      <c r="I460" s="767" t="n">
        <v>9018</v>
      </c>
      <c r="J460" s="767" t="n">
        <v>0</v>
      </c>
      <c r="K460" s="769" t="n">
        <v>100</v>
      </c>
      <c r="L460" s="769" t="n">
        <v>36</v>
      </c>
      <c r="M460" s="699">
        <f>IF(C460="TXO",J460-SUM(K460:L460),IF(C460="FITX",IF(E460="新倉",-SUM(K460:L460),IF(F460="賣",(I460-I459)*H460*200-SUM(K460:L460),(I459-I460)*H460*200-SUM(K460:L460)))))</f>
        <v/>
      </c>
      <c r="N460" s="686">
        <f>IF(C460="TXO","",IF(C460="FITX",IF(E460="新倉","",IF(F460="賣",(I460-I459),(I459-I460)))))</f>
        <v/>
      </c>
      <c r="O460" s="334">
        <f>ABS(J460)</f>
        <v/>
      </c>
      <c r="P460" s="667">
        <f>SUM(M460:M469)</f>
        <v/>
      </c>
      <c r="R460" s="61" t="n"/>
      <c r="S460" s="61" t="n"/>
      <c r="T460" s="61" t="n"/>
      <c r="U460" s="61" t="n"/>
      <c r="V460" s="61" t="n"/>
      <c r="W460" s="61" t="n"/>
      <c r="X460" s="61" t="n"/>
      <c r="Y460" s="61" t="n"/>
    </row>
    <row r="461" hidden="1" outlineLevel="2" ht="17.25" customHeight="1" thickBot="1">
      <c r="B461" s="368" t="n">
        <v>42590</v>
      </c>
      <c r="C461" s="337" t="inlineStr">
        <is>
          <t>FITX</t>
        </is>
      </c>
      <c r="D461" s="338" t="inlineStr">
        <is>
          <t>台指08</t>
        </is>
      </c>
      <c r="E461" s="338" t="inlineStr">
        <is>
          <t>平倉</t>
        </is>
      </c>
      <c r="F461" s="338" t="inlineStr">
        <is>
          <t>買</t>
        </is>
      </c>
      <c r="G461" s="338" t="inlineStr">
        <is>
          <t>-</t>
        </is>
      </c>
      <c r="H461" s="767" t="n">
        <v>1</v>
      </c>
      <c r="I461" s="767" t="n">
        <v>9013</v>
      </c>
      <c r="J461" s="767" t="n">
        <v>0</v>
      </c>
      <c r="K461" s="769" t="n">
        <v>100</v>
      </c>
      <c r="L461" s="769" t="n">
        <v>36</v>
      </c>
      <c r="M461" s="699">
        <f>IF(C461="TXO",J461-SUM(K461:L461),IF(C461="FITX",IF(E461="新倉",-SUM(K461:L461),IF(F461="賣",(I461-I460)*H461*200-SUM(K461:L461),(I460-I461)*H461*200-SUM(K461:L461)))))</f>
        <v/>
      </c>
      <c r="N461" s="686">
        <f>IF(C461="TXO","",IF(C461="FITX",IF(E461="新倉","",IF(F461="賣",(I461-I460),(I460-I461)))))</f>
        <v/>
      </c>
      <c r="O461" s="334">
        <f>ABS(J461)</f>
        <v/>
      </c>
      <c r="P461" s="667" t="n"/>
      <c r="R461" s="61" t="n"/>
      <c r="S461" s="61" t="n"/>
      <c r="T461" s="61" t="n"/>
      <c r="U461" s="61" t="n"/>
      <c r="V461" s="61" t="n"/>
      <c r="W461" s="61" t="n"/>
      <c r="X461" s="61" t="n"/>
      <c r="Y461" s="61" t="n"/>
    </row>
    <row r="462" hidden="1" outlineLevel="2" ht="17.25" customHeight="1" thickBot="1">
      <c r="B462" s="368" t="n">
        <v>42590</v>
      </c>
      <c r="C462" s="337" t="inlineStr">
        <is>
          <t>FITX</t>
        </is>
      </c>
      <c r="D462" s="338" t="inlineStr">
        <is>
          <t>台指08</t>
        </is>
      </c>
      <c r="E462" s="338" t="inlineStr">
        <is>
          <t>新倉</t>
        </is>
      </c>
      <c r="F462" s="338" t="inlineStr">
        <is>
          <t>買</t>
        </is>
      </c>
      <c r="G462" s="338" t="inlineStr">
        <is>
          <t>-</t>
        </is>
      </c>
      <c r="H462" s="767" t="n">
        <v>1</v>
      </c>
      <c r="I462" s="767" t="n">
        <v>9108</v>
      </c>
      <c r="J462" s="767" t="n">
        <v>0</v>
      </c>
      <c r="K462" s="769" t="n">
        <v>100</v>
      </c>
      <c r="L462" s="769" t="n">
        <v>36</v>
      </c>
      <c r="M462" s="699">
        <f>IF(C462="TXO",J462-SUM(K462:L462),IF(C462="FITX",IF(E462="新倉",-SUM(K462:L462),IF(F462="賣",(I462-I461)*H462*200-SUM(K462:L462),(I461-I462)*H462*200-SUM(K462:L462)))))</f>
        <v/>
      </c>
      <c r="N462" s="686">
        <f>IF(C462="TXO","",IF(C462="FITX",IF(E462="新倉","",IF(F462="賣",(I462-I461),(I461-I462)))))</f>
        <v/>
      </c>
      <c r="O462" s="334">
        <f>ABS(J462)</f>
        <v/>
      </c>
      <c r="P462" s="667" t="n"/>
      <c r="R462" s="61" t="n"/>
      <c r="S462" s="61" t="n"/>
      <c r="T462" s="61" t="n"/>
      <c r="U462" s="61" t="n"/>
      <c r="V462" s="61" t="n"/>
      <c r="W462" s="61" t="n"/>
      <c r="X462" s="61" t="n"/>
      <c r="Y462" s="61" t="n"/>
    </row>
    <row r="463" hidden="1" outlineLevel="2" ht="17.25" customHeight="1" thickBot="1">
      <c r="B463" s="368" t="n">
        <v>42590</v>
      </c>
      <c r="C463" s="337" t="inlineStr">
        <is>
          <t>FITX</t>
        </is>
      </c>
      <c r="D463" s="338" t="inlineStr">
        <is>
          <t>台指08</t>
        </is>
      </c>
      <c r="E463" s="338" t="inlineStr">
        <is>
          <t>平倉</t>
        </is>
      </c>
      <c r="F463" s="338" t="inlineStr">
        <is>
          <t>賣</t>
        </is>
      </c>
      <c r="G463" s="338" t="inlineStr">
        <is>
          <t>-</t>
        </is>
      </c>
      <c r="H463" s="767" t="n">
        <v>1</v>
      </c>
      <c r="I463" s="767" t="n">
        <v>9109</v>
      </c>
      <c r="J463" s="767" t="n">
        <v>0</v>
      </c>
      <c r="K463" s="769" t="n">
        <v>100</v>
      </c>
      <c r="L463" s="769" t="n">
        <v>36</v>
      </c>
      <c r="M463" s="699">
        <f>IF(C463="TXO",J463-SUM(K463:L463),IF(C463="FITX",IF(E463="新倉",-SUM(K463:L463),IF(F463="賣",(I463-I462)*H463*200-SUM(K463:L463),(I462-I463)*H463*200-SUM(K463:L463)))))</f>
        <v/>
      </c>
      <c r="N463" s="686">
        <f>IF(C463="TXO","",IF(C463="FITX",IF(E463="新倉","",IF(F463="賣",(I463-I462),(I462-I463)))))</f>
        <v/>
      </c>
      <c r="O463" s="334">
        <f>ABS(J463)</f>
        <v/>
      </c>
      <c r="P463" s="667" t="n"/>
      <c r="R463" s="61" t="n"/>
      <c r="S463" s="61" t="n"/>
      <c r="T463" s="61" t="n"/>
      <c r="U463" s="61" t="n"/>
      <c r="V463" s="61" t="n"/>
      <c r="W463" s="61" t="n"/>
      <c r="X463" s="61" t="n"/>
      <c r="Y463" s="61" t="n"/>
    </row>
    <row r="464" hidden="1" outlineLevel="2" ht="17.25" customHeight="1" thickBot="1">
      <c r="B464" s="368" t="n">
        <v>42590</v>
      </c>
      <c r="C464" s="337" t="inlineStr">
        <is>
          <t>FITX</t>
        </is>
      </c>
      <c r="D464" s="338" t="inlineStr">
        <is>
          <t>台指08</t>
        </is>
      </c>
      <c r="E464" s="338" t="inlineStr">
        <is>
          <t>新倉</t>
        </is>
      </c>
      <c r="F464" s="338" t="inlineStr">
        <is>
          <t>賣</t>
        </is>
      </c>
      <c r="G464" s="338" t="inlineStr">
        <is>
          <t>-</t>
        </is>
      </c>
      <c r="H464" s="767" t="n">
        <v>1</v>
      </c>
      <c r="I464" s="767" t="n">
        <v>9066</v>
      </c>
      <c r="J464" s="767" t="n">
        <v>0</v>
      </c>
      <c r="K464" s="769" t="n">
        <v>100</v>
      </c>
      <c r="L464" s="769" t="n">
        <v>36</v>
      </c>
      <c r="M464" s="699">
        <f>IF(C464="TXO",J464-SUM(K464:L464),IF(C464="FITX",IF(E464="新倉",-SUM(K464:L464),IF(F464="賣",(I464-I463)*H464*200-SUM(K464:L464),(I463-I464)*H464*200-SUM(K464:L464)))))</f>
        <v/>
      </c>
      <c r="N464" s="686">
        <f>IF(C464="TXO","",IF(C464="FITX",IF(E464="新倉","",IF(F464="賣",(I464-I463),(I463-I464)))))</f>
        <v/>
      </c>
      <c r="O464" s="334">
        <f>ABS(J464)</f>
        <v/>
      </c>
      <c r="P464" s="667" t="n"/>
      <c r="R464" s="61" t="n"/>
      <c r="S464" s="61" t="n"/>
      <c r="T464" s="61" t="n"/>
      <c r="U464" s="61" t="n"/>
      <c r="V464" s="61" t="n"/>
      <c r="W464" s="61" t="n"/>
      <c r="X464" s="61" t="n"/>
      <c r="Y464" s="61" t="n"/>
    </row>
    <row r="465" hidden="1" outlineLevel="2" ht="17.25" customHeight="1" thickBot="1">
      <c r="B465" s="368" t="n">
        <v>42590</v>
      </c>
      <c r="C465" s="337" t="inlineStr">
        <is>
          <t>FITX</t>
        </is>
      </c>
      <c r="D465" s="338" t="inlineStr">
        <is>
          <t>台指08</t>
        </is>
      </c>
      <c r="E465" s="338" t="inlineStr">
        <is>
          <t>平倉</t>
        </is>
      </c>
      <c r="F465" s="338" t="inlineStr">
        <is>
          <t>買</t>
        </is>
      </c>
      <c r="G465" s="338" t="inlineStr">
        <is>
          <t>-</t>
        </is>
      </c>
      <c r="H465" s="767" t="n">
        <v>1</v>
      </c>
      <c r="I465" s="767" t="n">
        <v>9086</v>
      </c>
      <c r="J465" s="767" t="n">
        <v>0</v>
      </c>
      <c r="K465" s="769" t="n">
        <v>100</v>
      </c>
      <c r="L465" s="769" t="n">
        <v>36</v>
      </c>
      <c r="M465" s="699">
        <f>IF(C465="TXO",J465-SUM(K465:L465),IF(C465="FITX",IF(E465="新倉",-SUM(K465:L465),IF(F465="賣",(I465-I464)*H465*200-SUM(K465:L465),(I464-I465)*H465*200-SUM(K465:L465)))))</f>
        <v/>
      </c>
      <c r="N465" s="686">
        <f>IF(C465="TXO","",IF(C465="FITX",IF(E465="新倉","",IF(F465="賣",(I465-I464),(I464-I465)))))</f>
        <v/>
      </c>
      <c r="O465" s="334">
        <f>ABS(J465)</f>
        <v/>
      </c>
      <c r="P465" s="667" t="n"/>
      <c r="R465" s="61" t="n"/>
      <c r="S465" s="61" t="n"/>
      <c r="T465" s="61" t="n"/>
      <c r="U465" s="61" t="n"/>
      <c r="V465" s="61" t="n"/>
      <c r="W465" s="61" t="n"/>
      <c r="X465" s="61" t="n"/>
      <c r="Y465" s="61" t="n"/>
    </row>
    <row r="466" hidden="1" outlineLevel="2" ht="17.25" customHeight="1" thickBot="1">
      <c r="B466" s="368" t="n">
        <v>42590</v>
      </c>
      <c r="C466" s="337" t="inlineStr">
        <is>
          <t>FITX</t>
        </is>
      </c>
      <c r="D466" s="338" t="inlineStr">
        <is>
          <t>台指08</t>
        </is>
      </c>
      <c r="E466" s="338" t="inlineStr">
        <is>
          <t>新倉</t>
        </is>
      </c>
      <c r="F466" s="338" t="inlineStr">
        <is>
          <t>賣</t>
        </is>
      </c>
      <c r="G466" s="338" t="inlineStr">
        <is>
          <t>-</t>
        </is>
      </c>
      <c r="H466" s="767" t="n">
        <v>1</v>
      </c>
      <c r="I466" s="767" t="n">
        <v>9078</v>
      </c>
      <c r="J466" s="767" t="n">
        <v>0</v>
      </c>
      <c r="K466" s="769" t="n">
        <v>100</v>
      </c>
      <c r="L466" s="769" t="n">
        <v>36</v>
      </c>
      <c r="M466" s="699">
        <f>IF(C466="TXO",J466-SUM(K466:L466),IF(C466="FITX",IF(E466="新倉",-SUM(K466:L466),IF(F466="賣",(I466-I465)*H466*200-SUM(K466:L466),(I465-I466)*H466*200-SUM(K466:L466)))))</f>
        <v/>
      </c>
      <c r="N466" s="686">
        <f>IF(C466="TXO","",IF(C466="FITX",IF(E466="新倉","",IF(F466="賣",(I466-I465),(I465-I466)))))</f>
        <v/>
      </c>
      <c r="O466" s="334">
        <f>ABS(J466)</f>
        <v/>
      </c>
      <c r="P466" s="667" t="n"/>
      <c r="R466" s="61" t="n"/>
      <c r="S466" s="61" t="n"/>
      <c r="T466" s="61" t="n"/>
      <c r="U466" s="61" t="n"/>
      <c r="V466" s="61" t="n"/>
      <c r="W466" s="61" t="n"/>
      <c r="X466" s="61" t="n"/>
      <c r="Y466" s="61" t="n"/>
    </row>
    <row r="467" hidden="1" outlineLevel="2" ht="17.25" customHeight="1" thickBot="1">
      <c r="B467" s="368" t="n">
        <v>42590</v>
      </c>
      <c r="C467" s="337" t="inlineStr">
        <is>
          <t>FITX</t>
        </is>
      </c>
      <c r="D467" s="338" t="inlineStr">
        <is>
          <t>台指08</t>
        </is>
      </c>
      <c r="E467" s="338" t="inlineStr">
        <is>
          <t>平倉</t>
        </is>
      </c>
      <c r="F467" s="338" t="inlineStr">
        <is>
          <t>買</t>
        </is>
      </c>
      <c r="G467" s="338" t="inlineStr">
        <is>
          <t>-</t>
        </is>
      </c>
      <c r="H467" s="767" t="n">
        <v>1</v>
      </c>
      <c r="I467" s="767" t="n">
        <v>9087</v>
      </c>
      <c r="J467" s="767" t="n">
        <v>0</v>
      </c>
      <c r="K467" s="769" t="n">
        <v>100</v>
      </c>
      <c r="L467" s="769" t="n">
        <v>36</v>
      </c>
      <c r="M467" s="699">
        <f>IF(C467="TXO",J467-SUM(K467:L467),IF(C467="FITX",IF(E467="新倉",-SUM(K467:L467),IF(F467="賣",(I467-I466)*H467*200-SUM(K467:L467),(I466-I467)*H467*200-SUM(K467:L467)))))</f>
        <v/>
      </c>
      <c r="N467" s="686">
        <f>IF(C467="TXO","",IF(C467="FITX",IF(E467="新倉","",IF(F467="賣",(I467-I466),(I466-I467)))))</f>
        <v/>
      </c>
      <c r="O467" s="334">
        <f>ABS(J467)</f>
        <v/>
      </c>
      <c r="P467" s="667" t="n"/>
      <c r="R467" s="61" t="n"/>
      <c r="S467" s="61" t="n"/>
      <c r="T467" s="61" t="n"/>
      <c r="U467" s="61" t="n"/>
      <c r="V467" s="61" t="n"/>
      <c r="W467" s="61" t="n"/>
      <c r="X467" s="61" t="n"/>
      <c r="Y467" s="61" t="n"/>
    </row>
    <row r="468" hidden="1" outlineLevel="2" ht="17.25" customHeight="1" thickBot="1">
      <c r="B468" s="368" t="n">
        <v>42590</v>
      </c>
      <c r="C468" s="337" t="inlineStr">
        <is>
          <t>FITX</t>
        </is>
      </c>
      <c r="D468" s="338" t="inlineStr">
        <is>
          <t>台指08</t>
        </is>
      </c>
      <c r="E468" s="338" t="inlineStr">
        <is>
          <t>新倉</t>
        </is>
      </c>
      <c r="F468" s="338" t="inlineStr">
        <is>
          <t>買</t>
        </is>
      </c>
      <c r="G468" s="338" t="inlineStr">
        <is>
          <t>-</t>
        </is>
      </c>
      <c r="H468" s="767" t="n">
        <v>2</v>
      </c>
      <c r="I468" s="767" t="n">
        <v>9089</v>
      </c>
      <c r="J468" s="767" t="n">
        <v>0</v>
      </c>
      <c r="K468" s="769" t="n">
        <v>200</v>
      </c>
      <c r="L468" s="769" t="n">
        <v>72</v>
      </c>
      <c r="M468" s="699">
        <f>IF(C468="TXO",J468-SUM(K468:L468),IF(C468="FITX",IF(E468="新倉",-SUM(K468:L468),IF(F468="賣",(I468-I467)*H468*200-SUM(K468:L468),(I467-I468)*H468*200-SUM(K468:L468)))))</f>
        <v/>
      </c>
      <c r="N468" s="686">
        <f>IF(C468="TXO","",IF(C468="FITX",IF(E468="新倉","",IF(F468="賣",(I468-I467),(I467-I468)))))</f>
        <v/>
      </c>
      <c r="O468" s="334">
        <f>ABS(J468)</f>
        <v/>
      </c>
      <c r="P468" s="667" t="n"/>
      <c r="R468" s="61" t="n"/>
      <c r="S468" s="61" t="n"/>
      <c r="T468" s="61" t="n"/>
      <c r="U468" s="61" t="n"/>
      <c r="V468" s="61" t="n"/>
      <c r="W468" s="61" t="n"/>
      <c r="X468" s="61" t="n"/>
      <c r="Y468" s="61" t="n"/>
    </row>
    <row r="469" hidden="1" outlineLevel="2" ht="17.25" customHeight="1" thickBot="1">
      <c r="B469" s="368" t="n">
        <v>42590</v>
      </c>
      <c r="C469" s="337" t="inlineStr">
        <is>
          <t>FITX</t>
        </is>
      </c>
      <c r="D469" s="338" t="inlineStr">
        <is>
          <t>台指08</t>
        </is>
      </c>
      <c r="E469" s="338" t="inlineStr">
        <is>
          <t>平倉</t>
        </is>
      </c>
      <c r="F469" s="338" t="inlineStr">
        <is>
          <t>賣</t>
        </is>
      </c>
      <c r="G469" s="338" t="inlineStr">
        <is>
          <t>-</t>
        </is>
      </c>
      <c r="H469" s="767" t="n">
        <v>2</v>
      </c>
      <c r="I469" s="767" t="n">
        <v>9087</v>
      </c>
      <c r="J469" s="767" t="n">
        <v>0</v>
      </c>
      <c r="K469" s="769" t="n">
        <v>200</v>
      </c>
      <c r="L469" s="769" t="n">
        <v>72</v>
      </c>
      <c r="M469" s="699">
        <f>IF(C469="TXO",J469-SUM(K469:L469),IF(C469="FITX",IF(E469="新倉",-SUM(K469:L469),IF(F469="賣",(I469-I468)*H469*200-SUM(K469:L469),(I468-I469)*H469*200-SUM(K469:L469)))))</f>
        <v/>
      </c>
      <c r="N469" s="686">
        <f>IF(C469="TXO","",IF(C469="FITX",IF(E469="新倉","",IF(F469="賣",(I469-I468),(I468-I469)))))</f>
        <v/>
      </c>
      <c r="O469" s="334">
        <f>ABS(J469)</f>
        <v/>
      </c>
      <c r="P469" s="667" t="n"/>
      <c r="R469" s="61" t="n"/>
      <c r="S469" s="61" t="n"/>
      <c r="T469" s="61" t="n"/>
      <c r="U469" s="61" t="n"/>
      <c r="V469" s="61" t="n"/>
      <c r="W469" s="61" t="n"/>
      <c r="X469" s="61" t="n"/>
      <c r="Y469" s="61" t="n"/>
    </row>
    <row r="470" hidden="1" outlineLevel="1" collapsed="1" ht="17.25" customHeight="1" thickBot="1">
      <c r="A470" s="374" t="n"/>
      <c r="B470" s="369" t="n">
        <v>42591</v>
      </c>
      <c r="C470" s="370" t="inlineStr">
        <is>
          <t>FITX</t>
        </is>
      </c>
      <c r="D470" s="371" t="inlineStr">
        <is>
          <t>台指08</t>
        </is>
      </c>
      <c r="E470" s="371" t="inlineStr">
        <is>
          <t>新倉</t>
        </is>
      </c>
      <c r="F470" s="371" t="inlineStr">
        <is>
          <t>賣</t>
        </is>
      </c>
      <c r="G470" s="371" t="inlineStr">
        <is>
          <t>-</t>
        </is>
      </c>
      <c r="H470" s="785" t="n">
        <v>1</v>
      </c>
      <c r="I470" s="785" t="n">
        <v>9107</v>
      </c>
      <c r="J470" s="785" t="n">
        <v>0</v>
      </c>
      <c r="K470" s="786" t="n">
        <v>100</v>
      </c>
      <c r="L470" s="786" t="n">
        <v>36</v>
      </c>
      <c r="M470" s="743">
        <f>IF(C470="TXO",J470-SUM(K470:L470),IF(C470="FITX",IF(E470="新倉",-SUM(K470:L470),IF(F470="賣",(I470-I469)*H470*200-SUM(K470:L470),(I469-I470)*H470*200-SUM(K470:L470)))))</f>
        <v/>
      </c>
      <c r="N470" s="780">
        <f>IF(C470="TXO","",IF(C470="FITX",IF(E470="新倉","",IF(F470="賣",(I470-I469)*H470,(I469-I470)*H470))))</f>
        <v/>
      </c>
      <c r="O470" s="334">
        <f>ABS(J470)</f>
        <v/>
      </c>
      <c r="P470" s="764">
        <f>SUM(M470:M483)</f>
        <v/>
      </c>
      <c r="Q470" s="230" t="inlineStr">
        <is>
          <t>開盤未吞沒下影線</t>
        </is>
      </c>
      <c r="R470" s="61" t="n"/>
      <c r="S470" s="61" t="n"/>
      <c r="T470" s="61" t="n"/>
      <c r="U470" s="61" t="n"/>
      <c r="V470" s="61" t="n"/>
      <c r="W470" s="61" t="n"/>
      <c r="X470" s="61" t="n"/>
      <c r="Y470" s="61" t="n"/>
    </row>
    <row r="471" hidden="1" outlineLevel="2" ht="17.25" customHeight="1" thickBot="1">
      <c r="A471" s="374" t="n"/>
      <c r="B471" s="369" t="n">
        <v>42591</v>
      </c>
      <c r="C471" s="370" t="inlineStr">
        <is>
          <t>FITX</t>
        </is>
      </c>
      <c r="D471" s="371" t="inlineStr">
        <is>
          <t>台指08</t>
        </is>
      </c>
      <c r="E471" s="371" t="inlineStr">
        <is>
          <t>平倉</t>
        </is>
      </c>
      <c r="F471" s="371" t="inlineStr">
        <is>
          <t>買</t>
        </is>
      </c>
      <c r="G471" s="371" t="inlineStr">
        <is>
          <t>-</t>
        </is>
      </c>
      <c r="H471" s="785" t="n">
        <v>1</v>
      </c>
      <c r="I471" s="785" t="n">
        <v>9118</v>
      </c>
      <c r="J471" s="785" t="n">
        <v>0</v>
      </c>
      <c r="K471" s="786" t="n">
        <v>100</v>
      </c>
      <c r="L471" s="786" t="n">
        <v>36</v>
      </c>
      <c r="M471" s="743">
        <f>IF(C471="TXO",J471-SUM(K471:L471),IF(C471="FITX",IF(E471="新倉",-SUM(K471:L471),IF(F471="賣",(I471-I470)*H471*200-SUM(K471:L471),(I470-I471)*H471*200-SUM(K471:L471)))))</f>
        <v/>
      </c>
      <c r="N471" s="780">
        <f>IF(C471="TXO","",IF(C471="FITX",IF(E471="新倉","",IF(F471="賣",(I471-I470)*H471,(I470-I471)*H471))))</f>
        <v/>
      </c>
      <c r="O471" s="334">
        <f>ABS(J471)</f>
        <v/>
      </c>
      <c r="P471" s="764" t="n"/>
      <c r="R471" s="61" t="n"/>
      <c r="S471" s="61" t="n"/>
      <c r="T471" s="61" t="n"/>
      <c r="U471" s="61" t="n"/>
      <c r="V471" s="61" t="n"/>
      <c r="W471" s="61" t="n"/>
      <c r="X471" s="61" t="n"/>
      <c r="Y471" s="61" t="n"/>
    </row>
    <row r="472" hidden="1" outlineLevel="2" ht="17.25" customHeight="1" thickBot="1">
      <c r="A472" s="374" t="n"/>
      <c r="B472" s="369" t="n">
        <v>42591</v>
      </c>
      <c r="C472" s="370" t="inlineStr">
        <is>
          <t>FITX</t>
        </is>
      </c>
      <c r="D472" s="371" t="inlineStr">
        <is>
          <t>台指08</t>
        </is>
      </c>
      <c r="E472" s="371" t="inlineStr">
        <is>
          <t>新倉</t>
        </is>
      </c>
      <c r="F472" s="371" t="inlineStr">
        <is>
          <t>買</t>
        </is>
      </c>
      <c r="G472" s="371" t="inlineStr">
        <is>
          <t>-</t>
        </is>
      </c>
      <c r="H472" s="785" t="n">
        <v>1</v>
      </c>
      <c r="I472" s="785" t="n">
        <v>9108</v>
      </c>
      <c r="J472" s="785" t="n">
        <v>0</v>
      </c>
      <c r="K472" s="786" t="n">
        <v>100</v>
      </c>
      <c r="L472" s="786" t="n">
        <v>36</v>
      </c>
      <c r="M472" s="743">
        <f>IF(C472="TXO",J472-SUM(K472:L472),IF(C472="FITX",IF(E472="新倉",-SUM(K472:L472),IF(F472="賣",(I472-I471)*H472*200-SUM(K472:L472),(I471-I472)*H472*200-SUM(K472:L472)))))</f>
        <v/>
      </c>
      <c r="N472" s="780">
        <f>IF(C472="TXO","",IF(C472="FITX",IF(E472="新倉","",IF(F472="賣",(I472-I471)*H472,(I471-I472)*H472))))</f>
        <v/>
      </c>
      <c r="O472" s="334">
        <f>ABS(J472)</f>
        <v/>
      </c>
      <c r="P472" s="764" t="n"/>
      <c r="R472" s="61" t="n"/>
      <c r="S472" s="61" t="n"/>
      <c r="T472" s="61" t="n"/>
      <c r="U472" s="61" t="n"/>
      <c r="V472" s="61" t="n"/>
      <c r="W472" s="61" t="n"/>
      <c r="X472" s="61" t="n"/>
      <c r="Y472" s="61" t="n"/>
    </row>
    <row r="473" hidden="1" outlineLevel="2" ht="17.25" customHeight="1" thickBot="1">
      <c r="A473" s="374" t="n"/>
      <c r="B473" s="369" t="n">
        <v>42591</v>
      </c>
      <c r="C473" s="370" t="inlineStr">
        <is>
          <t>FITX</t>
        </is>
      </c>
      <c r="D473" s="371" t="inlineStr">
        <is>
          <t>台指08</t>
        </is>
      </c>
      <c r="E473" s="371" t="inlineStr">
        <is>
          <t>平倉</t>
        </is>
      </c>
      <c r="F473" s="371" t="inlineStr">
        <is>
          <t>賣</t>
        </is>
      </c>
      <c r="G473" s="371" t="inlineStr">
        <is>
          <t>-</t>
        </is>
      </c>
      <c r="H473" s="785" t="n">
        <v>1</v>
      </c>
      <c r="I473" s="785" t="n">
        <v>9112</v>
      </c>
      <c r="J473" s="785" t="n">
        <v>0</v>
      </c>
      <c r="K473" s="786" t="n">
        <v>100</v>
      </c>
      <c r="L473" s="786" t="n">
        <v>36</v>
      </c>
      <c r="M473" s="743">
        <f>IF(C473="TXO",J473-SUM(K473:L473),IF(C473="FITX",IF(E473="新倉",-SUM(K473:L473),IF(F473="賣",(I473-I472)*H473*200-SUM(K473:L473),(I472-I473)*H473*200-SUM(K473:L473)))))</f>
        <v/>
      </c>
      <c r="N473" s="780">
        <f>IF(C473="TXO","",IF(C473="FITX",IF(E473="新倉","",IF(F473="賣",(I473-I472)*H473,(I472-I473)*H473))))</f>
        <v/>
      </c>
      <c r="O473" s="334">
        <f>ABS(J473)</f>
        <v/>
      </c>
      <c r="P473" s="764" t="n"/>
      <c r="Q473" s="230" t="inlineStr">
        <is>
          <t>追價單</t>
        </is>
      </c>
      <c r="R473" s="61" t="n"/>
      <c r="S473" s="61" t="n"/>
      <c r="T473" s="61" t="n"/>
      <c r="U473" s="61" t="n"/>
      <c r="V473" s="61" t="n"/>
      <c r="W473" s="61" t="n"/>
      <c r="X473" s="61" t="n"/>
      <c r="Y473" s="61" t="n"/>
    </row>
    <row r="474" hidden="1" outlineLevel="2" ht="17.25" customHeight="1" thickBot="1">
      <c r="A474" s="374" t="n"/>
      <c r="B474" s="369" t="n">
        <v>42591</v>
      </c>
      <c r="C474" s="370" t="inlineStr">
        <is>
          <t>FITX</t>
        </is>
      </c>
      <c r="D474" s="371" t="inlineStr">
        <is>
          <t>台指08</t>
        </is>
      </c>
      <c r="E474" s="371" t="inlineStr">
        <is>
          <t>新倉</t>
        </is>
      </c>
      <c r="F474" s="371" t="inlineStr">
        <is>
          <t>買</t>
        </is>
      </c>
      <c r="G474" s="371" t="inlineStr">
        <is>
          <t>-</t>
        </is>
      </c>
      <c r="H474" s="785" t="n">
        <v>1</v>
      </c>
      <c r="I474" s="785" t="n">
        <v>9116</v>
      </c>
      <c r="J474" s="785" t="n">
        <v>0</v>
      </c>
      <c r="K474" s="786" t="n">
        <v>100</v>
      </c>
      <c r="L474" s="786" t="n">
        <v>36</v>
      </c>
      <c r="M474" s="743">
        <f>IF(C474="TXO",J474-SUM(K474:L474),IF(C474="FITX",IF(E474="新倉",-SUM(K474:L474),IF(F474="賣",(I474-I473)*H474*200-SUM(K474:L474),(I473-I474)*H474*200-SUM(K474:L474)))))</f>
        <v/>
      </c>
      <c r="N474" s="780">
        <f>IF(C474="TXO","",IF(C474="FITX",IF(E474="新倉","",IF(F474="賣",(I474-I473)*H474,(I473-I474)*H474))))</f>
        <v/>
      </c>
      <c r="O474" s="334">
        <f>ABS(J474)</f>
        <v/>
      </c>
      <c r="P474" s="764" t="n"/>
      <c r="R474" s="61" t="n"/>
      <c r="S474" s="61" t="n"/>
      <c r="T474" s="61" t="n"/>
      <c r="U474" s="61" t="n"/>
      <c r="V474" s="61" t="n"/>
      <c r="W474" s="61" t="n"/>
      <c r="X474" s="61" t="n"/>
      <c r="Y474" s="61" t="n"/>
    </row>
    <row r="475" hidden="1" outlineLevel="2" ht="17.25" customHeight="1" thickBot="1">
      <c r="A475" s="374" t="n"/>
      <c r="B475" s="369" t="n">
        <v>42591</v>
      </c>
      <c r="C475" s="370" t="inlineStr">
        <is>
          <t>FITX</t>
        </is>
      </c>
      <c r="D475" s="371" t="inlineStr">
        <is>
          <t>台指08</t>
        </is>
      </c>
      <c r="E475" s="371" t="inlineStr">
        <is>
          <t>平倉</t>
        </is>
      </c>
      <c r="F475" s="371" t="inlineStr">
        <is>
          <t>賣</t>
        </is>
      </c>
      <c r="G475" s="371" t="inlineStr">
        <is>
          <t>-</t>
        </is>
      </c>
      <c r="H475" s="785" t="n">
        <v>1</v>
      </c>
      <c r="I475" s="785" t="n">
        <v>9116</v>
      </c>
      <c r="J475" s="785" t="n">
        <v>0</v>
      </c>
      <c r="K475" s="786" t="n">
        <v>100</v>
      </c>
      <c r="L475" s="786" t="n">
        <v>36</v>
      </c>
      <c r="M475" s="743">
        <f>IF(C475="TXO",J475-SUM(K475:L475),IF(C475="FITX",IF(E475="新倉",-SUM(K475:L475),IF(F475="賣",(I475-I474)*H475*200-SUM(K475:L475),(I474-I475)*H475*200-SUM(K475:L475)))))</f>
        <v/>
      </c>
      <c r="N475" s="780">
        <f>IF(C475="TXO","",IF(C475="FITX",IF(E475="新倉","",IF(F475="賣",(I475-I474)*H475,(I474-I475)*H475))))</f>
        <v/>
      </c>
      <c r="O475" s="334">
        <f>ABS(J475)</f>
        <v/>
      </c>
      <c r="P475" s="764" t="n"/>
      <c r="R475" s="61" t="n"/>
      <c r="S475" s="61" t="n"/>
      <c r="T475" s="61" t="n"/>
      <c r="U475" s="61" t="n"/>
      <c r="V475" s="61" t="n"/>
      <c r="W475" s="61" t="n"/>
      <c r="X475" s="61" t="n"/>
      <c r="Y475" s="61" t="n"/>
    </row>
    <row r="476" hidden="1" outlineLevel="2" ht="17.25" customHeight="1" thickBot="1">
      <c r="A476" s="374" t="n"/>
      <c r="B476" s="369" t="n">
        <v>42591</v>
      </c>
      <c r="C476" s="370" t="inlineStr">
        <is>
          <t>FITX</t>
        </is>
      </c>
      <c r="D476" s="371" t="inlineStr">
        <is>
          <t>台指08</t>
        </is>
      </c>
      <c r="E476" s="371" t="inlineStr">
        <is>
          <t>新倉</t>
        </is>
      </c>
      <c r="F476" s="371" t="inlineStr">
        <is>
          <t>賣</t>
        </is>
      </c>
      <c r="G476" s="371" t="inlineStr">
        <is>
          <t>-</t>
        </is>
      </c>
      <c r="H476" s="785" t="n">
        <v>1</v>
      </c>
      <c r="I476" s="785" t="n">
        <v>9109</v>
      </c>
      <c r="J476" s="785" t="n">
        <v>0</v>
      </c>
      <c r="K476" s="786" t="n">
        <v>100</v>
      </c>
      <c r="L476" s="786" t="n">
        <v>36</v>
      </c>
      <c r="M476" s="743">
        <f>IF(C476="TXO",J476-SUM(K476:L476),IF(C476="FITX",IF(E476="新倉",-SUM(K476:L476),IF(F476="賣",(I476-I475)*H476*200-SUM(K476:L476),(I475-I476)*H476*200-SUM(K476:L476)))))</f>
        <v/>
      </c>
      <c r="N476" s="780">
        <f>IF(C476="TXO","",IF(C476="FITX",IF(E476="新倉","",IF(F476="賣",(I476-I475)*H476,(I475-I476)*H476))))</f>
        <v/>
      </c>
      <c r="O476" s="334">
        <f>ABS(J476)</f>
        <v/>
      </c>
      <c r="P476" s="764" t="n"/>
      <c r="R476" s="61" t="n"/>
      <c r="S476" s="61" t="n"/>
      <c r="T476" s="61" t="n"/>
      <c r="U476" s="61" t="n"/>
      <c r="V476" s="61" t="n"/>
      <c r="W476" s="61" t="n"/>
      <c r="X476" s="61" t="n"/>
      <c r="Y476" s="61" t="n"/>
    </row>
    <row r="477" hidden="1" outlineLevel="2" ht="17.25" customHeight="1" thickBot="1">
      <c r="A477" s="374" t="n"/>
      <c r="B477" s="369" t="n">
        <v>42591</v>
      </c>
      <c r="C477" s="370" t="inlineStr">
        <is>
          <t>FITX</t>
        </is>
      </c>
      <c r="D477" s="371" t="inlineStr">
        <is>
          <t>台指08</t>
        </is>
      </c>
      <c r="E477" s="371" t="inlineStr">
        <is>
          <t>平倉</t>
        </is>
      </c>
      <c r="F477" s="371" t="inlineStr">
        <is>
          <t>買</t>
        </is>
      </c>
      <c r="G477" s="371" t="inlineStr">
        <is>
          <t>-</t>
        </is>
      </c>
      <c r="H477" s="785" t="n">
        <v>1</v>
      </c>
      <c r="I477" s="785" t="n">
        <v>9114</v>
      </c>
      <c r="J477" s="785" t="n">
        <v>0</v>
      </c>
      <c r="K477" s="786" t="n">
        <v>100</v>
      </c>
      <c r="L477" s="786" t="n">
        <v>36</v>
      </c>
      <c r="M477" s="743">
        <f>IF(C477="TXO",J477-SUM(K477:L477),IF(C477="FITX",IF(E477="新倉",-SUM(K477:L477),IF(F477="賣",(I477-I476)*H477*200-SUM(K477:L477),(I476-I477)*H477*200-SUM(K477:L477)))))</f>
        <v/>
      </c>
      <c r="N477" s="780">
        <f>IF(C477="TXO","",IF(C477="FITX",IF(E477="新倉","",IF(F477="賣",(I477-I476)*H477,(I476-I477)*H477))))</f>
        <v/>
      </c>
      <c r="O477" s="334">
        <f>ABS(J477)</f>
        <v/>
      </c>
      <c r="P477" s="764" t="n"/>
      <c r="Q477" s="230" t="inlineStr">
        <is>
          <t>追價單</t>
        </is>
      </c>
      <c r="R477" s="61" t="n"/>
      <c r="S477" s="61" t="n"/>
      <c r="T477" s="61" t="n"/>
      <c r="U477" s="61" t="n"/>
      <c r="V477" s="61" t="n"/>
      <c r="W477" s="61" t="n"/>
      <c r="X477" s="61" t="n"/>
      <c r="Y477" s="61" t="n"/>
    </row>
    <row r="478" hidden="1" outlineLevel="2" ht="17.25" customHeight="1" thickBot="1">
      <c r="A478" s="374" t="n"/>
      <c r="B478" s="369" t="n">
        <v>42591</v>
      </c>
      <c r="C478" s="370" t="inlineStr">
        <is>
          <t>FITX</t>
        </is>
      </c>
      <c r="D478" s="371" t="inlineStr">
        <is>
          <t>台指08</t>
        </is>
      </c>
      <c r="E478" s="371" t="inlineStr">
        <is>
          <t>新倉</t>
        </is>
      </c>
      <c r="F478" s="371" t="inlineStr">
        <is>
          <t>買</t>
        </is>
      </c>
      <c r="G478" s="371" t="inlineStr">
        <is>
          <t>-</t>
        </is>
      </c>
      <c r="H478" s="785" t="n">
        <v>1</v>
      </c>
      <c r="I478" s="785" t="n">
        <v>9037</v>
      </c>
      <c r="J478" s="785" t="n">
        <v>0</v>
      </c>
      <c r="K478" s="786" t="n">
        <v>100</v>
      </c>
      <c r="L478" s="786" t="n">
        <v>37</v>
      </c>
      <c r="M478" s="743">
        <f>IF(C478="TXO",J478-SUM(K478:L478),IF(C478="FITX",IF(E478="新倉",-SUM(K478:L478),IF(F478="賣",(I478-I477)*H478*200-SUM(K478:L478),(I477-I478)*H478*200-SUM(K478:L478)))))</f>
        <v/>
      </c>
      <c r="N478" s="780">
        <f>IF(C478="TXO","",IF(C478="FITX",IF(E478="新倉","",IF(F478="賣",(I478-I477)*H478,(I477-I478)*H478))))</f>
        <v/>
      </c>
      <c r="O478" s="334">
        <f>ABS(J478)</f>
        <v/>
      </c>
      <c r="P478" s="764" t="n"/>
      <c r="R478" s="61" t="n"/>
      <c r="S478" s="61" t="n"/>
      <c r="T478" s="61" t="n"/>
      <c r="U478" s="61" t="n"/>
      <c r="V478" s="61" t="n"/>
      <c r="W478" s="61" t="n"/>
      <c r="X478" s="61" t="n"/>
      <c r="Y478" s="61" t="n"/>
    </row>
    <row r="479" hidden="1" outlineLevel="2" ht="17.25" customHeight="1" thickBot="1">
      <c r="A479" s="374" t="n"/>
      <c r="B479" s="369" t="n">
        <v>42591</v>
      </c>
      <c r="C479" s="370" t="inlineStr">
        <is>
          <t>FITX</t>
        </is>
      </c>
      <c r="D479" s="371" t="inlineStr">
        <is>
          <t>台指08</t>
        </is>
      </c>
      <c r="E479" s="371" t="inlineStr">
        <is>
          <t>平倉</t>
        </is>
      </c>
      <c r="F479" s="371" t="inlineStr">
        <is>
          <t>賣</t>
        </is>
      </c>
      <c r="G479" s="371" t="inlineStr">
        <is>
          <t>-</t>
        </is>
      </c>
      <c r="H479" s="785" t="n">
        <v>1</v>
      </c>
      <c r="I479" s="785" t="n">
        <v>9029</v>
      </c>
      <c r="J479" s="785" t="n">
        <v>0</v>
      </c>
      <c r="K479" s="786" t="n">
        <v>100</v>
      </c>
      <c r="L479" s="786" t="n">
        <v>37</v>
      </c>
      <c r="M479" s="743">
        <f>IF(C479="TXO",J479-SUM(K479:L479),IF(C479="FITX",IF(E479="新倉",-SUM(K479:L479),IF(F479="賣",(I479-I478)*H479*200-SUM(K479:L479),(I478-I479)*H479*200-SUM(K479:L479)))))</f>
        <v/>
      </c>
      <c r="N479" s="780">
        <f>IF(C479="TXO","",IF(C479="FITX",IF(E479="新倉","",IF(F479="賣",(I479-I478)*H479,(I478-I479)*H479))))</f>
        <v/>
      </c>
      <c r="O479" s="334">
        <f>ABS(J479)</f>
        <v/>
      </c>
      <c r="P479" s="764" t="n"/>
      <c r="R479" s="61" t="n"/>
      <c r="S479" s="61" t="n"/>
      <c r="T479" s="61" t="n"/>
      <c r="U479" s="61" t="n"/>
      <c r="V479" s="61" t="n"/>
      <c r="W479" s="61" t="n"/>
      <c r="X479" s="61" t="n"/>
      <c r="Y479" s="61" t="n"/>
    </row>
    <row r="480" hidden="1" outlineLevel="2" ht="17.25" customHeight="1" thickBot="1">
      <c r="A480" s="374" t="n"/>
      <c r="B480" s="369" t="n">
        <v>42591</v>
      </c>
      <c r="C480" s="370" t="inlineStr">
        <is>
          <t>FITX</t>
        </is>
      </c>
      <c r="D480" s="371" t="inlineStr">
        <is>
          <t>台指08</t>
        </is>
      </c>
      <c r="E480" s="371" t="inlineStr">
        <is>
          <t>新倉</t>
        </is>
      </c>
      <c r="F480" s="371" t="inlineStr">
        <is>
          <t>賣</t>
        </is>
      </c>
      <c r="G480" s="371" t="inlineStr">
        <is>
          <t>-</t>
        </is>
      </c>
      <c r="H480" s="785" t="n">
        <v>1</v>
      </c>
      <c r="I480" s="785" t="n">
        <v>9132</v>
      </c>
      <c r="J480" s="785" t="n">
        <v>0</v>
      </c>
      <c r="K480" s="786" t="n">
        <v>100</v>
      </c>
      <c r="L480" s="786" t="n">
        <v>37</v>
      </c>
      <c r="M480" s="743">
        <f>IF(C480="TXO",J480-SUM(K480:L480),IF(C480="FITX",IF(E480="新倉",-SUM(K480:L480),IF(F480="賣",(I480-I479)*H480*200-SUM(K480:L480),(I479-I480)*H480*200-SUM(K480:L480)))))</f>
        <v/>
      </c>
      <c r="N480" s="780">
        <f>IF(C480="TXO","",IF(C480="FITX",IF(E480="新倉","",IF(F480="賣",(I480-I479)*H480,(I479-I480)*H480))))</f>
        <v/>
      </c>
      <c r="O480" s="334">
        <f>ABS(J480)</f>
        <v/>
      </c>
      <c r="P480" s="764" t="n"/>
      <c r="R480" s="61" t="n"/>
      <c r="S480" s="61" t="n"/>
      <c r="T480" s="61" t="n"/>
      <c r="U480" s="61" t="n"/>
      <c r="V480" s="61" t="n"/>
      <c r="W480" s="61" t="n"/>
      <c r="X480" s="61" t="n"/>
      <c r="Y480" s="61" t="n"/>
    </row>
    <row r="481" hidden="1" outlineLevel="2" ht="17.25" customHeight="1" thickBot="1">
      <c r="A481" s="374" t="n">
        <v>42591.41190914352</v>
      </c>
      <c r="B481" s="369" t="n">
        <v>42591</v>
      </c>
      <c r="C481" s="370" t="inlineStr">
        <is>
          <t>FITX</t>
        </is>
      </c>
      <c r="D481" s="371" t="inlineStr">
        <is>
          <t>台指08</t>
        </is>
      </c>
      <c r="E481" s="371" t="inlineStr">
        <is>
          <t>平倉</t>
        </is>
      </c>
      <c r="F481" s="371" t="inlineStr">
        <is>
          <t>買</t>
        </is>
      </c>
      <c r="G481" s="371" t="inlineStr">
        <is>
          <t>-</t>
        </is>
      </c>
      <c r="H481" s="785" t="n">
        <v>1</v>
      </c>
      <c r="I481" s="785" t="n">
        <v>9135</v>
      </c>
      <c r="J481" s="785" t="n">
        <v>0</v>
      </c>
      <c r="K481" s="786" t="n">
        <v>100</v>
      </c>
      <c r="L481" s="786" t="n">
        <v>37</v>
      </c>
      <c r="M481" s="743">
        <f>IF(C481="TXO",J481-SUM(K481:L481),IF(C481="FITX",IF(E481="新倉",-SUM(K481:L481),IF(F481="賣",(I481-I480)*H481*200-SUM(K481:L481),(I480-I481)*H481*200-SUM(K481:L481)))))</f>
        <v/>
      </c>
      <c r="N481" s="780">
        <f>IF(C481="TXO","",IF(C481="FITX",IF(E481="新倉","",IF(F481="賣",(I481-I480)*H481,(I480-I481)*H481))))</f>
        <v/>
      </c>
      <c r="O481" s="334">
        <f>ABS(J481)</f>
        <v/>
      </c>
      <c r="P481" s="764" t="n"/>
      <c r="R481" s="61" t="n"/>
      <c r="S481" s="61" t="n"/>
      <c r="T481" s="61" t="n"/>
      <c r="U481" s="61" t="n"/>
      <c r="V481" s="61" t="n"/>
      <c r="W481" s="61" t="n"/>
      <c r="X481" s="61" t="n"/>
      <c r="Y481" s="61" t="n"/>
    </row>
    <row r="482" hidden="1" outlineLevel="2" ht="17.25" customHeight="1" thickBot="1">
      <c r="A482" s="374" t="n"/>
      <c r="B482" s="369" t="n">
        <v>42591</v>
      </c>
      <c r="C482" s="370" t="inlineStr">
        <is>
          <t>FITX</t>
        </is>
      </c>
      <c r="D482" s="371" t="inlineStr">
        <is>
          <t>台指08</t>
        </is>
      </c>
      <c r="E482" s="371" t="inlineStr">
        <is>
          <t>新倉</t>
        </is>
      </c>
      <c r="F482" s="371" t="inlineStr">
        <is>
          <t>買</t>
        </is>
      </c>
      <c r="G482" s="371" t="inlineStr">
        <is>
          <t>-</t>
        </is>
      </c>
      <c r="H482" s="785" t="n">
        <v>1</v>
      </c>
      <c r="I482" s="785" t="n">
        <v>9141</v>
      </c>
      <c r="J482" s="785" t="n">
        <v>0</v>
      </c>
      <c r="K482" s="786" t="n">
        <v>100</v>
      </c>
      <c r="L482" s="786" t="n">
        <v>37</v>
      </c>
      <c r="M482" s="743">
        <f>IF(C482="TXO",J482-SUM(K482:L482),IF(C482="FITX",IF(E482="新倉",-SUM(K482:L482),IF(F482="賣",(I482-I481)*H482*200-SUM(K482:L482),(I481-I482)*H482*200-SUM(K482:L482)))))</f>
        <v/>
      </c>
      <c r="N482" s="780">
        <f>IF(C482="TXO","",IF(C482="FITX",IF(E482="新倉","",IF(F482="賣",(I482-I481)*H482,(I481-I482)*H482))))</f>
        <v/>
      </c>
      <c r="O482" s="334">
        <f>ABS(J482)</f>
        <v/>
      </c>
      <c r="P482" s="764" t="n"/>
      <c r="R482" s="61" t="n"/>
      <c r="S482" s="61" t="n"/>
      <c r="T482" s="61" t="n"/>
      <c r="U482" s="61" t="n"/>
      <c r="V482" s="61" t="n"/>
      <c r="W482" s="61" t="n"/>
      <c r="X482" s="61" t="n"/>
      <c r="Y482" s="61" t="n"/>
    </row>
    <row r="483" hidden="1" outlineLevel="2" ht="17.25" customHeight="1" thickBot="1">
      <c r="A483" s="374" t="n">
        <v>42591.41568761574</v>
      </c>
      <c r="B483" s="369" t="n">
        <v>42591</v>
      </c>
      <c r="C483" s="370" t="inlineStr">
        <is>
          <t>FITX</t>
        </is>
      </c>
      <c r="D483" s="371" t="inlineStr">
        <is>
          <t>台指08</t>
        </is>
      </c>
      <c r="E483" s="371" t="inlineStr">
        <is>
          <t>平倉</t>
        </is>
      </c>
      <c r="F483" s="371" t="inlineStr">
        <is>
          <t>賣</t>
        </is>
      </c>
      <c r="G483" s="371" t="inlineStr">
        <is>
          <t>-</t>
        </is>
      </c>
      <c r="H483" s="785" t="n">
        <v>1</v>
      </c>
      <c r="I483" s="785" t="n">
        <v>9136</v>
      </c>
      <c r="J483" s="785" t="n">
        <v>0</v>
      </c>
      <c r="K483" s="786" t="n">
        <v>100</v>
      </c>
      <c r="L483" s="786" t="n">
        <v>37</v>
      </c>
      <c r="M483" s="743">
        <f>IF(C483="TXO",J483-SUM(K483:L483),IF(C483="FITX",IF(E483="新倉",-SUM(K483:L483),IF(F483="賣",(I483-I482)*H483*200-SUM(K483:L483),(I482-I483)*H483*200-SUM(K483:L483)))))</f>
        <v/>
      </c>
      <c r="N483" s="780">
        <f>IF(C483="TXO","",IF(C483="FITX",IF(E483="新倉","",IF(F483="賣",(I483-I482)*H483,(I482-I483)*H483))))</f>
        <v/>
      </c>
      <c r="O483" s="334">
        <f>ABS(J483)</f>
        <v/>
      </c>
      <c r="P483" s="764" t="n"/>
      <c r="R483" s="61" t="n"/>
      <c r="S483" s="61" t="n"/>
      <c r="T483" s="61" t="n"/>
      <c r="U483" s="61" t="n"/>
      <c r="V483" s="61" t="n"/>
      <c r="W483" s="61" t="n"/>
      <c r="X483" s="61" t="n"/>
      <c r="Y483" s="61" t="n"/>
    </row>
    <row r="484" hidden="1" outlineLevel="1" collapsed="1" ht="17.25" customHeight="1" thickBot="1">
      <c r="B484" s="368" t="n">
        <v>42593</v>
      </c>
      <c r="C484" s="337" t="inlineStr">
        <is>
          <t>FITX</t>
        </is>
      </c>
      <c r="D484" s="338" t="inlineStr">
        <is>
          <t>台指08</t>
        </is>
      </c>
      <c r="E484" s="338" t="inlineStr">
        <is>
          <t>新倉</t>
        </is>
      </c>
      <c r="F484" s="338" t="inlineStr">
        <is>
          <t>買</t>
        </is>
      </c>
      <c r="G484" s="338" t="inlineStr">
        <is>
          <t>-</t>
        </is>
      </c>
      <c r="H484" s="767" t="n">
        <v>1</v>
      </c>
      <c r="I484" s="767" t="n">
        <v>9148</v>
      </c>
      <c r="J484" s="767" t="n">
        <v>0</v>
      </c>
      <c r="K484" s="769" t="n">
        <v>100</v>
      </c>
      <c r="L484" s="769" t="n">
        <v>37</v>
      </c>
      <c r="M484" s="699">
        <f>IF(C484="TXO",J484-SUM(K484:L484),IF(C484="FITX",IF(E484="新倉",-SUM(K484:L484),IF(F484="賣",(I484-I483)*H484*200-SUM(K484:L484),(I483-I484)*H484*200-SUM(K484:L484)))))</f>
        <v/>
      </c>
      <c r="N484" s="686">
        <f>IF(C484="TXO","",IF(C484="FITX",IF(E484="新倉","",IF(F484="賣",(I484-I483),(I483-I484)))))</f>
        <v/>
      </c>
      <c r="O484" s="334">
        <f>ABS(J484)</f>
        <v/>
      </c>
      <c r="P484" s="667">
        <f>SUM(M484:M499)</f>
        <v/>
      </c>
      <c r="R484" s="61" t="n"/>
      <c r="S484" s="61" t="n"/>
      <c r="T484" s="61" t="n"/>
      <c r="U484" s="61" t="n"/>
      <c r="V484" s="61" t="n"/>
      <c r="W484" s="61" t="n"/>
      <c r="X484" s="61" t="n"/>
      <c r="Y484" s="61" t="n"/>
    </row>
    <row r="485" hidden="1" outlineLevel="2" ht="17.25" customHeight="1" thickBot="1">
      <c r="B485" s="368" t="n">
        <v>42593</v>
      </c>
      <c r="C485" s="337" t="inlineStr">
        <is>
          <t>FITX</t>
        </is>
      </c>
      <c r="D485" s="338" t="inlineStr">
        <is>
          <t>台指08</t>
        </is>
      </c>
      <c r="E485" s="338" t="inlineStr">
        <is>
          <t>平倉</t>
        </is>
      </c>
      <c r="F485" s="338" t="inlineStr">
        <is>
          <t>賣</t>
        </is>
      </c>
      <c r="G485" s="338" t="inlineStr">
        <is>
          <t>-</t>
        </is>
      </c>
      <c r="H485" s="767" t="n">
        <v>1</v>
      </c>
      <c r="I485" s="767" t="n">
        <v>9149</v>
      </c>
      <c r="J485" s="767" t="n">
        <v>0</v>
      </c>
      <c r="K485" s="769" t="n">
        <v>100</v>
      </c>
      <c r="L485" s="769" t="n">
        <v>37</v>
      </c>
      <c r="M485" s="699">
        <f>IF(C485="TXO",J485-SUM(K485:L485),IF(C485="FITX",IF(E485="新倉",-SUM(K485:L485),IF(F485="賣",(I485-I484)*H485*200-SUM(K485:L485),(I484-I485)*H485*200-SUM(K485:L485)))))</f>
        <v/>
      </c>
      <c r="N485" s="686">
        <f>IF(C485="TXO","",IF(C485="FITX",IF(E485="新倉","",IF(F485="賣",(I485-I484),(I484-I485)))))</f>
        <v/>
      </c>
      <c r="O485" s="334">
        <f>ABS(J485)</f>
        <v/>
      </c>
      <c r="P485" s="667" t="n"/>
      <c r="R485" s="61" t="n"/>
      <c r="S485" s="61" t="n"/>
      <c r="T485" s="61" t="n"/>
      <c r="U485" s="61" t="n"/>
      <c r="V485" s="61" t="n"/>
      <c r="W485" s="61" t="n"/>
      <c r="X485" s="61" t="n"/>
      <c r="Y485" s="61" t="n"/>
    </row>
    <row r="486" hidden="1" outlineLevel="2" ht="17.25" customHeight="1" thickBot="1">
      <c r="B486" s="368" t="n">
        <v>42593</v>
      </c>
      <c r="C486" s="337" t="inlineStr">
        <is>
          <t>FITX</t>
        </is>
      </c>
      <c r="D486" s="338" t="inlineStr">
        <is>
          <t>台指08</t>
        </is>
      </c>
      <c r="E486" s="338" t="inlineStr">
        <is>
          <t>新倉</t>
        </is>
      </c>
      <c r="F486" s="338" t="inlineStr">
        <is>
          <t>賣</t>
        </is>
      </c>
      <c r="G486" s="338" t="inlineStr">
        <is>
          <t>-</t>
        </is>
      </c>
      <c r="H486" s="767" t="n">
        <v>1</v>
      </c>
      <c r="I486" s="767" t="n">
        <v>9077</v>
      </c>
      <c r="J486" s="767" t="n">
        <v>0</v>
      </c>
      <c r="K486" s="769" t="n">
        <v>100</v>
      </c>
      <c r="L486" s="769" t="n">
        <v>36</v>
      </c>
      <c r="M486" s="699">
        <f>IF(C486="TXO",J486-SUM(K486:L486),IF(C486="FITX",IF(E486="新倉",-SUM(K486:L486),IF(F486="賣",(I486-I485)*H486*200-SUM(K486:L486),(I485-I486)*H486*200-SUM(K486:L486)))))</f>
        <v/>
      </c>
      <c r="N486" s="686">
        <f>IF(C486="TXO","",IF(C486="FITX",IF(E486="新倉","",IF(F486="賣",(I486-I485),(I485-I486)))))</f>
        <v/>
      </c>
      <c r="O486" s="334">
        <f>ABS(J486)</f>
        <v/>
      </c>
      <c r="P486" s="667" t="n"/>
      <c r="R486" s="61" t="n"/>
      <c r="S486" s="61" t="n"/>
      <c r="T486" s="61" t="n"/>
      <c r="U486" s="61" t="n"/>
      <c r="V486" s="61" t="n"/>
      <c r="W486" s="61" t="n"/>
      <c r="X486" s="61" t="n"/>
      <c r="Y486" s="61" t="n"/>
    </row>
    <row r="487" hidden="1" outlineLevel="2" ht="17.25" customHeight="1" thickBot="1">
      <c r="B487" s="368" t="n">
        <v>42593</v>
      </c>
      <c r="C487" s="337" t="inlineStr">
        <is>
          <t>FITX</t>
        </is>
      </c>
      <c r="D487" s="338" t="inlineStr">
        <is>
          <t>台指08</t>
        </is>
      </c>
      <c r="E487" s="338" t="inlineStr">
        <is>
          <t>平倉</t>
        </is>
      </c>
      <c r="F487" s="338" t="inlineStr">
        <is>
          <t>買</t>
        </is>
      </c>
      <c r="G487" s="338" t="inlineStr">
        <is>
          <t>-</t>
        </is>
      </c>
      <c r="H487" s="767" t="n">
        <v>1</v>
      </c>
      <c r="I487" s="767" t="n">
        <v>9073</v>
      </c>
      <c r="J487" s="767" t="n">
        <v>0</v>
      </c>
      <c r="K487" s="769" t="n">
        <v>100</v>
      </c>
      <c r="L487" s="769" t="n">
        <v>36</v>
      </c>
      <c r="M487" s="699">
        <f>IF(C487="TXO",J487-SUM(K487:L487),IF(C487="FITX",IF(E487="新倉",-SUM(K487:L487),IF(F487="賣",(I487-I486)*H487*200-SUM(K487:L487),(I486-I487)*H487*200-SUM(K487:L487)))))</f>
        <v/>
      </c>
      <c r="N487" s="686">
        <f>IF(C487="TXO","",IF(C487="FITX",IF(E487="新倉","",IF(F487="賣",(I487-I486),(I486-I487)))))</f>
        <v/>
      </c>
      <c r="O487" s="334">
        <f>ABS(J487)</f>
        <v/>
      </c>
      <c r="P487" s="667" t="n"/>
      <c r="R487" s="61" t="n"/>
      <c r="S487" s="61" t="n"/>
      <c r="T487" s="61" t="n"/>
      <c r="U487" s="61" t="n"/>
      <c r="V487" s="61" t="n"/>
      <c r="W487" s="61" t="n"/>
      <c r="X487" s="61" t="n"/>
      <c r="Y487" s="61" t="n"/>
    </row>
    <row r="488" hidden="1" outlineLevel="2" ht="17.25" customHeight="1" thickBot="1">
      <c r="B488" s="368" t="n">
        <v>42593</v>
      </c>
      <c r="C488" s="337" t="inlineStr">
        <is>
          <t>FITX</t>
        </is>
      </c>
      <c r="D488" s="338" t="inlineStr">
        <is>
          <t>台指08</t>
        </is>
      </c>
      <c r="E488" s="338" t="inlineStr">
        <is>
          <t>新倉</t>
        </is>
      </c>
      <c r="F488" s="338" t="inlineStr">
        <is>
          <t>賣</t>
        </is>
      </c>
      <c r="G488" s="338" t="inlineStr">
        <is>
          <t>-</t>
        </is>
      </c>
      <c r="H488" s="767" t="n">
        <v>1</v>
      </c>
      <c r="I488" s="767" t="n">
        <v>9030</v>
      </c>
      <c r="J488" s="767" t="n">
        <v>0</v>
      </c>
      <c r="K488" s="769" t="n">
        <v>100</v>
      </c>
      <c r="L488" s="769" t="n">
        <v>36</v>
      </c>
      <c r="M488" s="699">
        <f>IF(C488="TXO",J488-SUM(K488:L488),IF(C488="FITX",IF(E488="新倉",-SUM(K488:L488),IF(F488="賣",(I488-I487)*H488*200-SUM(K488:L488),(I487-I488)*H488*200-SUM(K488:L488)))))</f>
        <v/>
      </c>
      <c r="N488" s="686">
        <f>IF(C488="TXO","",IF(C488="FITX",IF(E488="新倉","",IF(F488="賣",(I488-I487),(I487-I488)))))</f>
        <v/>
      </c>
      <c r="O488" s="334">
        <f>ABS(J488)</f>
        <v/>
      </c>
      <c r="P488" s="667" t="n"/>
      <c r="R488" s="61" t="n"/>
      <c r="S488" s="61" t="n"/>
      <c r="T488" s="61" t="n"/>
      <c r="U488" s="61" t="n"/>
      <c r="V488" s="61" t="n"/>
      <c r="W488" s="61" t="n"/>
      <c r="X488" s="61" t="n"/>
      <c r="Y488" s="61" t="n"/>
    </row>
    <row r="489" hidden="1" outlineLevel="2" ht="17.25" customHeight="1" thickBot="1">
      <c r="B489" s="368" t="n">
        <v>42593</v>
      </c>
      <c r="C489" s="337" t="inlineStr">
        <is>
          <t>FITX</t>
        </is>
      </c>
      <c r="D489" s="338" t="inlineStr">
        <is>
          <t>台指08</t>
        </is>
      </c>
      <c r="E489" s="338" t="inlineStr">
        <is>
          <t>平倉</t>
        </is>
      </c>
      <c r="F489" s="338" t="inlineStr">
        <is>
          <t>買</t>
        </is>
      </c>
      <c r="G489" s="338" t="inlineStr">
        <is>
          <t>-</t>
        </is>
      </c>
      <c r="H489" s="767" t="n">
        <v>1</v>
      </c>
      <c r="I489" s="767" t="n">
        <v>9040</v>
      </c>
      <c r="J489" s="767" t="n">
        <v>0</v>
      </c>
      <c r="K489" s="769" t="n">
        <v>100</v>
      </c>
      <c r="L489" s="769" t="n">
        <v>36</v>
      </c>
      <c r="M489" s="699">
        <f>IF(C489="TXO",J489-SUM(K489:L489),IF(C489="FITX",IF(E489="新倉",-SUM(K489:L489),IF(F489="賣",(I489-I488)*H489*200-SUM(K489:L489),(I488-I489)*H489*200-SUM(K489:L489)))))</f>
        <v/>
      </c>
      <c r="N489" s="686">
        <f>IF(C489="TXO","",IF(C489="FITX",IF(E489="新倉","",IF(F489="賣",(I489-I488),(I488-I489)))))</f>
        <v/>
      </c>
      <c r="O489" s="334">
        <f>ABS(J489)</f>
        <v/>
      </c>
      <c r="P489" s="667" t="n"/>
      <c r="R489" s="61" t="n"/>
      <c r="S489" s="61" t="n"/>
      <c r="T489" s="61" t="n"/>
      <c r="U489" s="61" t="n"/>
      <c r="V489" s="61" t="n"/>
      <c r="W489" s="61" t="n"/>
      <c r="X489" s="61" t="n"/>
      <c r="Y489" s="61" t="n"/>
    </row>
    <row r="490" hidden="1" outlineLevel="2" ht="17.25" customHeight="1" thickBot="1">
      <c r="B490" s="368" t="n">
        <v>42593</v>
      </c>
      <c r="C490" s="337" t="inlineStr">
        <is>
          <t>FITX</t>
        </is>
      </c>
      <c r="D490" s="338" t="inlineStr">
        <is>
          <t>台指08</t>
        </is>
      </c>
      <c r="E490" s="338" t="inlineStr">
        <is>
          <t>新倉</t>
        </is>
      </c>
      <c r="F490" s="338" t="inlineStr">
        <is>
          <t>買</t>
        </is>
      </c>
      <c r="G490" s="338" t="inlineStr">
        <is>
          <t>-</t>
        </is>
      </c>
      <c r="H490" s="767" t="n">
        <v>1</v>
      </c>
      <c r="I490" s="767" t="n">
        <v>9036</v>
      </c>
      <c r="J490" s="767" t="n">
        <v>0</v>
      </c>
      <c r="K490" s="769" t="n">
        <v>100</v>
      </c>
      <c r="L490" s="769" t="n">
        <v>36</v>
      </c>
      <c r="M490" s="699">
        <f>IF(C490="TXO",J490-SUM(K490:L490),IF(C490="FITX",IF(E490="新倉",-SUM(K490:L490),IF(F490="賣",(I490-I489)*H490*200-SUM(K490:L490),(I489-I490)*H490*200-SUM(K490:L490)))))</f>
        <v/>
      </c>
      <c r="N490" s="686">
        <f>IF(C490="TXO","",IF(C490="FITX",IF(E490="新倉","",IF(F490="賣",(I490-I489),(I489-I490)))))</f>
        <v/>
      </c>
      <c r="O490" s="334">
        <f>ABS(J490)</f>
        <v/>
      </c>
      <c r="P490" s="667" t="n"/>
      <c r="R490" s="61" t="n"/>
      <c r="S490" s="61" t="n"/>
      <c r="T490" s="61" t="n"/>
      <c r="U490" s="61" t="n"/>
      <c r="V490" s="61" t="n"/>
      <c r="W490" s="61" t="n"/>
      <c r="X490" s="61" t="n"/>
      <c r="Y490" s="61" t="n"/>
    </row>
    <row r="491" hidden="1" outlineLevel="2" ht="17.25" customHeight="1" thickBot="1">
      <c r="B491" s="368" t="n">
        <v>42593</v>
      </c>
      <c r="C491" s="337" t="inlineStr">
        <is>
          <t>FITX</t>
        </is>
      </c>
      <c r="D491" s="338" t="inlineStr">
        <is>
          <t>台指08</t>
        </is>
      </c>
      <c r="E491" s="338" t="inlineStr">
        <is>
          <t>平倉</t>
        </is>
      </c>
      <c r="F491" s="338" t="inlineStr">
        <is>
          <t>賣</t>
        </is>
      </c>
      <c r="G491" s="338" t="inlineStr">
        <is>
          <t>-</t>
        </is>
      </c>
      <c r="H491" s="767" t="n">
        <v>1</v>
      </c>
      <c r="I491" s="767" t="n">
        <v>9025</v>
      </c>
      <c r="J491" s="767" t="n">
        <v>0</v>
      </c>
      <c r="K491" s="769" t="n">
        <v>100</v>
      </c>
      <c r="L491" s="769" t="n">
        <v>36</v>
      </c>
      <c r="M491" s="699">
        <f>IF(C491="TXO",J491-SUM(K491:L491),IF(C491="FITX",IF(E491="新倉",-SUM(K491:L491),IF(F491="賣",(I491-I490)*H491*200-SUM(K491:L491),(I490-I491)*H491*200-SUM(K491:L491)))))</f>
        <v/>
      </c>
      <c r="N491" s="686">
        <f>IF(C491="TXO","",IF(C491="FITX",IF(E491="新倉","",IF(F491="賣",(I491-I490),(I490-I491)))))</f>
        <v/>
      </c>
      <c r="O491" s="334">
        <f>ABS(J491)</f>
        <v/>
      </c>
      <c r="P491" s="667" t="n"/>
      <c r="R491" s="61" t="n"/>
      <c r="S491" s="61" t="n"/>
      <c r="T491" s="61" t="n"/>
      <c r="U491" s="61" t="n"/>
      <c r="V491" s="61" t="n"/>
      <c r="W491" s="61" t="n"/>
      <c r="X491" s="61" t="n"/>
      <c r="Y491" s="61" t="n"/>
    </row>
    <row r="492" hidden="1" outlineLevel="2" ht="17.25" customHeight="1" thickBot="1">
      <c r="B492" s="368" t="n">
        <v>42593</v>
      </c>
      <c r="C492" s="337" t="inlineStr">
        <is>
          <t>FITX</t>
        </is>
      </c>
      <c r="D492" s="338" t="inlineStr">
        <is>
          <t>台指08</t>
        </is>
      </c>
      <c r="E492" s="338" t="inlineStr">
        <is>
          <t>新倉</t>
        </is>
      </c>
      <c r="F492" s="338" t="inlineStr">
        <is>
          <t>買</t>
        </is>
      </c>
      <c r="G492" s="338" t="inlineStr">
        <is>
          <t>-</t>
        </is>
      </c>
      <c r="H492" s="767" t="n">
        <v>1</v>
      </c>
      <c r="I492" s="767" t="n">
        <v>9045</v>
      </c>
      <c r="J492" s="767" t="n">
        <v>0</v>
      </c>
      <c r="K492" s="769" t="n">
        <v>100</v>
      </c>
      <c r="L492" s="769" t="n">
        <v>36</v>
      </c>
      <c r="M492" s="699">
        <f>IF(C492="TXO",J492-SUM(K492:L492),IF(C492="FITX",IF(E492="新倉",-SUM(K492:L492),IF(F492="賣",(I492-I491)*H492*200-SUM(K492:L492),(I491-I492)*H492*200-SUM(K492:L492)))))</f>
        <v/>
      </c>
      <c r="N492" s="686">
        <f>IF(C492="TXO","",IF(C492="FITX",IF(E492="新倉","",IF(F492="賣",(I492-I491),(I491-I492)))))</f>
        <v/>
      </c>
      <c r="O492" s="334">
        <f>ABS(J492)</f>
        <v/>
      </c>
      <c r="P492" s="667" t="n"/>
      <c r="R492" s="61" t="n"/>
      <c r="S492" s="61" t="n"/>
      <c r="T492" s="61" t="n"/>
      <c r="U492" s="61" t="n"/>
      <c r="V492" s="61" t="n"/>
      <c r="W492" s="61" t="n"/>
      <c r="X492" s="61" t="n"/>
      <c r="Y492" s="61" t="n"/>
    </row>
    <row r="493" hidden="1" outlineLevel="2" ht="17.25" customHeight="1" thickBot="1">
      <c r="B493" s="368" t="n">
        <v>42593</v>
      </c>
      <c r="C493" s="337" t="inlineStr">
        <is>
          <t>FITX</t>
        </is>
      </c>
      <c r="D493" s="338" t="inlineStr">
        <is>
          <t>台指08</t>
        </is>
      </c>
      <c r="E493" s="338" t="inlineStr">
        <is>
          <t>平倉</t>
        </is>
      </c>
      <c r="F493" s="338" t="inlineStr">
        <is>
          <t>賣</t>
        </is>
      </c>
      <c r="G493" s="338" t="inlineStr">
        <is>
          <t>-</t>
        </is>
      </c>
      <c r="H493" s="767" t="n">
        <v>1</v>
      </c>
      <c r="I493" s="767" t="n">
        <v>9064</v>
      </c>
      <c r="J493" s="767" t="n">
        <v>0</v>
      </c>
      <c r="K493" s="769" t="n">
        <v>100</v>
      </c>
      <c r="L493" s="769" t="n">
        <v>36</v>
      </c>
      <c r="M493" s="699">
        <f>IF(C493="TXO",J493-SUM(K493:L493),IF(C493="FITX",IF(E493="新倉",-SUM(K493:L493),IF(F493="賣",(I493-I492)*H493*200-SUM(K493:L493),(I492-I493)*H493*200-SUM(K493:L493)))))</f>
        <v/>
      </c>
      <c r="N493" s="686">
        <f>IF(C493="TXO","",IF(C493="FITX",IF(E493="新倉","",IF(F493="賣",(I493-I492),(I492-I493)))))</f>
        <v/>
      </c>
      <c r="O493" s="334">
        <f>ABS(J493)</f>
        <v/>
      </c>
      <c r="P493" s="667" t="n"/>
      <c r="R493" s="61" t="n"/>
      <c r="S493" s="61" t="n"/>
      <c r="T493" s="61" t="n"/>
      <c r="U493" s="61" t="n"/>
      <c r="V493" s="61" t="n"/>
      <c r="W493" s="61" t="n"/>
      <c r="X493" s="61" t="n"/>
      <c r="Y493" s="61" t="n"/>
    </row>
    <row r="494" hidden="1" outlineLevel="2" ht="17.25" customHeight="1" thickBot="1">
      <c r="B494" s="368" t="n">
        <v>42593</v>
      </c>
      <c r="C494" s="337" t="inlineStr">
        <is>
          <t>FITX</t>
        </is>
      </c>
      <c r="D494" s="338" t="inlineStr">
        <is>
          <t>台指08</t>
        </is>
      </c>
      <c r="E494" s="338" t="inlineStr">
        <is>
          <t>新倉</t>
        </is>
      </c>
      <c r="F494" s="338" t="inlineStr">
        <is>
          <t>買</t>
        </is>
      </c>
      <c r="G494" s="338" t="inlineStr">
        <is>
          <t>-</t>
        </is>
      </c>
      <c r="H494" s="767" t="n">
        <v>1</v>
      </c>
      <c r="I494" s="767" t="n">
        <v>9068</v>
      </c>
      <c r="J494" s="767" t="n">
        <v>0</v>
      </c>
      <c r="K494" s="769" t="n">
        <v>100</v>
      </c>
      <c r="L494" s="769" t="n">
        <v>36</v>
      </c>
      <c r="M494" s="699">
        <f>IF(C494="TXO",J494-SUM(K494:L494),IF(C494="FITX",IF(E494="新倉",-SUM(K494:L494),IF(F494="賣",(I494-I493)*H494*200-SUM(K494:L494),(I493-I494)*H494*200-SUM(K494:L494)))))</f>
        <v/>
      </c>
      <c r="N494" s="686">
        <f>IF(C494="TXO","",IF(C494="FITX",IF(E494="新倉","",IF(F494="賣",(I494-I493),(I493-I494)))))</f>
        <v/>
      </c>
      <c r="O494" s="334">
        <f>ABS(J494)</f>
        <v/>
      </c>
      <c r="P494" s="667" t="n"/>
      <c r="R494" s="61" t="n"/>
      <c r="S494" s="61" t="n"/>
      <c r="T494" s="61" t="n"/>
      <c r="U494" s="61" t="n"/>
      <c r="V494" s="61" t="n"/>
      <c r="W494" s="61" t="n"/>
      <c r="X494" s="61" t="n"/>
      <c r="Y494" s="61" t="n"/>
    </row>
    <row r="495" hidden="1" outlineLevel="2" ht="17.25" customHeight="1" thickBot="1">
      <c r="B495" s="368" t="n">
        <v>42593</v>
      </c>
      <c r="C495" s="337" t="inlineStr">
        <is>
          <t>FITX</t>
        </is>
      </c>
      <c r="D495" s="338" t="inlineStr">
        <is>
          <t>台指08</t>
        </is>
      </c>
      <c r="E495" s="338" t="inlineStr">
        <is>
          <t>平倉</t>
        </is>
      </c>
      <c r="F495" s="338" t="inlineStr">
        <is>
          <t>賣</t>
        </is>
      </c>
      <c r="G495" s="338" t="inlineStr">
        <is>
          <t>-</t>
        </is>
      </c>
      <c r="H495" s="767" t="n">
        <v>1</v>
      </c>
      <c r="I495" s="767" t="n">
        <v>9064</v>
      </c>
      <c r="J495" s="767" t="n">
        <v>0</v>
      </c>
      <c r="K495" s="769" t="n">
        <v>100</v>
      </c>
      <c r="L495" s="769" t="n">
        <v>36</v>
      </c>
      <c r="M495" s="699">
        <f>IF(C495="TXO",J495-SUM(K495:L495),IF(C495="FITX",IF(E495="新倉",-SUM(K495:L495),IF(F495="賣",(I495-I494)*H495*200-SUM(K495:L495),(I494-I495)*H495*200-SUM(K495:L495)))))</f>
        <v/>
      </c>
      <c r="N495" s="686">
        <f>IF(C495="TXO","",IF(C495="FITX",IF(E495="新倉","",IF(F495="賣",(I495-I494),(I494-I495)))))</f>
        <v/>
      </c>
      <c r="O495" s="334">
        <f>ABS(J495)</f>
        <v/>
      </c>
      <c r="P495" s="667" t="n"/>
      <c r="R495" s="61" t="n"/>
      <c r="S495" s="61" t="n"/>
      <c r="T495" s="61" t="n"/>
      <c r="U495" s="61" t="n"/>
      <c r="V495" s="61" t="n"/>
      <c r="W495" s="61" t="n"/>
      <c r="X495" s="61" t="n"/>
      <c r="Y495" s="61" t="n"/>
    </row>
    <row r="496" hidden="1" outlineLevel="2" ht="17.25" customHeight="1" thickBot="1">
      <c r="B496" s="368" t="n">
        <v>42593</v>
      </c>
      <c r="C496" s="337" t="inlineStr">
        <is>
          <t>FITX</t>
        </is>
      </c>
      <c r="D496" s="338" t="inlineStr">
        <is>
          <t>台指08</t>
        </is>
      </c>
      <c r="E496" s="338" t="inlineStr">
        <is>
          <t>新倉</t>
        </is>
      </c>
      <c r="F496" s="338" t="inlineStr">
        <is>
          <t>買</t>
        </is>
      </c>
      <c r="G496" s="338" t="inlineStr">
        <is>
          <t>-</t>
        </is>
      </c>
      <c r="H496" s="767" t="n">
        <v>1</v>
      </c>
      <c r="I496" s="767" t="n">
        <v>9069</v>
      </c>
      <c r="J496" s="767" t="n">
        <v>0</v>
      </c>
      <c r="K496" s="769" t="n">
        <v>100</v>
      </c>
      <c r="L496" s="769" t="n">
        <v>36</v>
      </c>
      <c r="M496" s="699">
        <f>IF(C496="TXO",J496-SUM(K496:L496),IF(C496="FITX",IF(E496="新倉",-SUM(K496:L496),IF(F496="賣",(I496-I495)*H496*200-SUM(K496:L496),(I495-I496)*H496*200-SUM(K496:L496)))))</f>
        <v/>
      </c>
      <c r="N496" s="686">
        <f>IF(C496="TXO","",IF(C496="FITX",IF(E496="新倉","",IF(F496="賣",(I496-I495),(I495-I496)))))</f>
        <v/>
      </c>
      <c r="O496" s="334">
        <f>ABS(J496)</f>
        <v/>
      </c>
      <c r="P496" s="667" t="n"/>
      <c r="R496" s="61" t="n"/>
      <c r="S496" s="61" t="n"/>
      <c r="T496" s="61" t="n"/>
      <c r="U496" s="61" t="n"/>
      <c r="V496" s="61" t="n"/>
      <c r="W496" s="61" t="n"/>
      <c r="X496" s="61" t="n"/>
      <c r="Y496" s="61" t="n"/>
    </row>
    <row r="497" hidden="1" outlineLevel="2" ht="17.25" customHeight="1" thickBot="1">
      <c r="B497" s="368" t="n">
        <v>42593</v>
      </c>
      <c r="C497" s="337" t="inlineStr">
        <is>
          <t>FITX</t>
        </is>
      </c>
      <c r="D497" s="338" t="inlineStr">
        <is>
          <t>台指08</t>
        </is>
      </c>
      <c r="E497" s="338" t="inlineStr">
        <is>
          <t>平倉</t>
        </is>
      </c>
      <c r="F497" s="338" t="inlineStr">
        <is>
          <t>賣</t>
        </is>
      </c>
      <c r="G497" s="338" t="inlineStr">
        <is>
          <t>-</t>
        </is>
      </c>
      <c r="H497" s="767" t="n">
        <v>1</v>
      </c>
      <c r="I497" s="767" t="n">
        <v>9058</v>
      </c>
      <c r="J497" s="767" t="n">
        <v>0</v>
      </c>
      <c r="K497" s="769" t="n">
        <v>100</v>
      </c>
      <c r="L497" s="769" t="n">
        <v>36</v>
      </c>
      <c r="M497" s="699">
        <f>IF(C497="TXO",J497-SUM(K497:L497),IF(C497="FITX",IF(E497="新倉",-SUM(K497:L497),IF(F497="賣",(I497-I496)*H497*200-SUM(K497:L497),(I496-I497)*H497*200-SUM(K497:L497)))))</f>
        <v/>
      </c>
      <c r="N497" s="686">
        <f>IF(C497="TXO","",IF(C497="FITX",IF(E497="新倉","",IF(F497="賣",(I497-I496),(I496-I497)))))</f>
        <v/>
      </c>
      <c r="O497" s="334">
        <f>ABS(J497)</f>
        <v/>
      </c>
      <c r="P497" s="667" t="n"/>
      <c r="R497" s="61" t="n"/>
      <c r="S497" s="61" t="n"/>
      <c r="T497" s="61" t="n"/>
      <c r="U497" s="61" t="n"/>
      <c r="V497" s="61" t="n"/>
      <c r="W497" s="61" t="n"/>
      <c r="X497" s="61" t="n"/>
      <c r="Y497" s="61" t="n"/>
    </row>
    <row r="498" hidden="1" outlineLevel="2" ht="17.25" customHeight="1" thickBot="1">
      <c r="B498" s="368" t="n">
        <v>42593</v>
      </c>
      <c r="C498" s="337" t="inlineStr">
        <is>
          <t>FITX</t>
        </is>
      </c>
      <c r="D498" s="338" t="inlineStr">
        <is>
          <t>台指08</t>
        </is>
      </c>
      <c r="E498" s="338" t="inlineStr">
        <is>
          <t>新倉</t>
        </is>
      </c>
      <c r="F498" s="338" t="inlineStr">
        <is>
          <t>買</t>
        </is>
      </c>
      <c r="G498" s="338" t="inlineStr">
        <is>
          <t>-</t>
        </is>
      </c>
      <c r="H498" s="767" t="n">
        <v>1</v>
      </c>
      <c r="I498" s="767" t="n">
        <v>9061</v>
      </c>
      <c r="J498" s="767" t="n">
        <v>0</v>
      </c>
      <c r="K498" s="769" t="n">
        <v>100</v>
      </c>
      <c r="L498" s="769" t="n">
        <v>36</v>
      </c>
      <c r="M498" s="699">
        <f>IF(C498="TXO",J498-SUM(K498:L498),IF(C498="FITX",IF(E498="新倉",-SUM(K498:L498),IF(F498="賣",(I498-I497)*H498*200-SUM(K498:L498),(I497-I498)*H498*200-SUM(K498:L498)))))</f>
        <v/>
      </c>
      <c r="N498" s="686">
        <f>IF(C498="TXO","",IF(C498="FITX",IF(E498="新倉","",IF(F498="賣",(I498-I497),(I497-I498)))))</f>
        <v/>
      </c>
      <c r="O498" s="334">
        <f>ABS(J498)</f>
        <v/>
      </c>
      <c r="P498" s="667" t="n"/>
      <c r="R498" s="61" t="n"/>
      <c r="S498" s="61" t="n"/>
      <c r="T498" s="61" t="n"/>
      <c r="U498" s="61" t="n"/>
      <c r="V498" s="61" t="n"/>
      <c r="W498" s="61" t="n"/>
      <c r="X498" s="61" t="n"/>
      <c r="Y498" s="61" t="n"/>
    </row>
    <row r="499" hidden="1" outlineLevel="2" ht="17.25" customHeight="1" thickBot="1">
      <c r="B499" s="368" t="n">
        <v>42593</v>
      </c>
      <c r="C499" s="337" t="inlineStr">
        <is>
          <t>FITX</t>
        </is>
      </c>
      <c r="D499" s="338" t="inlineStr">
        <is>
          <t>台指08</t>
        </is>
      </c>
      <c r="E499" s="338" t="inlineStr">
        <is>
          <t>平倉</t>
        </is>
      </c>
      <c r="F499" s="338" t="inlineStr">
        <is>
          <t>賣</t>
        </is>
      </c>
      <c r="G499" s="338" t="inlineStr">
        <is>
          <t>-</t>
        </is>
      </c>
      <c r="H499" s="767" t="n">
        <v>1</v>
      </c>
      <c r="I499" s="767" t="n">
        <v>9063</v>
      </c>
      <c r="J499" s="767" t="n">
        <v>0</v>
      </c>
      <c r="K499" s="769" t="n">
        <v>100</v>
      </c>
      <c r="L499" s="769" t="n">
        <v>36</v>
      </c>
      <c r="M499" s="699">
        <f>IF(C499="TXO",J499-SUM(K499:L499),IF(C499="FITX",IF(E499="新倉",-SUM(K499:L499),IF(F499="賣",(I499-I498)*H499*200-SUM(K499:L499),(I498-I499)*H499*200-SUM(K499:L499)))))</f>
        <v/>
      </c>
      <c r="N499" s="686">
        <f>IF(C499="TXO","",IF(C499="FITX",IF(E499="新倉","",IF(F499="賣",(I499-I498),(I498-I499)))))</f>
        <v/>
      </c>
      <c r="O499" s="334">
        <f>ABS(J499)</f>
        <v/>
      </c>
      <c r="P499" s="667" t="n"/>
      <c r="R499" s="61" t="n"/>
      <c r="S499" s="61" t="n"/>
      <c r="T499" s="61" t="n"/>
      <c r="U499" s="61" t="n"/>
      <c r="V499" s="61" t="n"/>
      <c r="W499" s="61" t="n"/>
      <c r="X499" s="61" t="n"/>
      <c r="Y499" s="61" t="n"/>
    </row>
    <row r="500" hidden="1" outlineLevel="1" collapsed="1" ht="17.25" customHeight="1" thickBot="1">
      <c r="A500" s="374" t="n"/>
      <c r="B500" s="369" t="n">
        <v>42594</v>
      </c>
      <c r="C500" s="370" t="inlineStr">
        <is>
          <t>FITX</t>
        </is>
      </c>
      <c r="D500" s="371" t="inlineStr">
        <is>
          <t>台指08</t>
        </is>
      </c>
      <c r="E500" s="371" t="inlineStr">
        <is>
          <t>新倉</t>
        </is>
      </c>
      <c r="F500" s="371" t="inlineStr">
        <is>
          <t>買</t>
        </is>
      </c>
      <c r="G500" s="371" t="inlineStr">
        <is>
          <t>-</t>
        </is>
      </c>
      <c r="H500" s="785" t="n">
        <v>1</v>
      </c>
      <c r="I500" s="785" t="n">
        <v>9110</v>
      </c>
      <c r="J500" s="785" t="n">
        <v>0</v>
      </c>
      <c r="K500" s="786" t="n">
        <v>100</v>
      </c>
      <c r="L500" s="786" t="n">
        <v>36</v>
      </c>
      <c r="M500" s="743">
        <f>IF(C500="TXO",J500-SUM(K500:L500),IF(C500="FITX",IF(E500="新倉",-SUM(K500:L500),IF(F500="賣",(I500-I499)*H500*200-SUM(K500:L500),(I499-I500)*H500*200-SUM(K500:L500)))))</f>
        <v/>
      </c>
      <c r="N500" s="780">
        <f>IF(C500="TXO","",IF(C500="FITX",IF(E500="新倉","",IF(F500="賣",(I500-I499)*H500,(I499-I500)*H500))))</f>
        <v/>
      </c>
      <c r="O500" s="334">
        <f>ABS(J500)</f>
        <v/>
      </c>
      <c r="P500" s="764">
        <f>SUM(M500:M503)</f>
        <v/>
      </c>
      <c r="R500" s="61" t="n"/>
      <c r="S500" s="61" t="n"/>
      <c r="T500" s="61" t="n"/>
      <c r="U500" s="61" t="n"/>
      <c r="V500" s="61" t="n"/>
      <c r="W500" s="61" t="n"/>
      <c r="X500" s="61" t="n"/>
      <c r="Y500" s="61" t="n"/>
    </row>
    <row r="501" hidden="1" outlineLevel="2" ht="17.25" customHeight="1" thickBot="1">
      <c r="A501" s="374" t="n"/>
      <c r="B501" s="369" t="n">
        <v>42594</v>
      </c>
      <c r="C501" s="370" t="inlineStr">
        <is>
          <t>FITX</t>
        </is>
      </c>
      <c r="D501" s="371" t="inlineStr">
        <is>
          <t>台指08</t>
        </is>
      </c>
      <c r="E501" s="371" t="inlineStr">
        <is>
          <t>平倉</t>
        </is>
      </c>
      <c r="F501" s="371" t="inlineStr">
        <is>
          <t>賣</t>
        </is>
      </c>
      <c r="G501" s="371" t="inlineStr">
        <is>
          <t>-</t>
        </is>
      </c>
      <c r="H501" s="785" t="n">
        <v>1</v>
      </c>
      <c r="I501" s="785" t="n">
        <v>9123</v>
      </c>
      <c r="J501" s="785" t="n">
        <v>0</v>
      </c>
      <c r="K501" s="786" t="n">
        <v>100</v>
      </c>
      <c r="L501" s="786" t="n">
        <v>36</v>
      </c>
      <c r="M501" s="743">
        <f>IF(C501="TXO",J501-SUM(K501:L501),IF(C501="FITX",IF(E501="新倉",-SUM(K501:L501),IF(F501="賣",(I501-I500)*H501*200-SUM(K501:L501),(I500-I501)*H501*200-SUM(K501:L501)))))</f>
        <v/>
      </c>
      <c r="N501" s="780">
        <f>IF(C501="TXO","",IF(C501="FITX",IF(E501="新倉","",IF(F501="賣",(I501-I500)*H501,(I500-I501)*H501))))</f>
        <v/>
      </c>
      <c r="O501" s="334">
        <f>ABS(J501)</f>
        <v/>
      </c>
      <c r="P501" s="764" t="n"/>
      <c r="R501" s="61" t="n"/>
      <c r="S501" s="61" t="n"/>
      <c r="T501" s="61" t="n"/>
      <c r="U501" s="61" t="n"/>
      <c r="V501" s="61" t="n"/>
      <c r="W501" s="61" t="n"/>
      <c r="X501" s="61" t="n"/>
      <c r="Y501" s="61" t="n"/>
    </row>
    <row r="502" hidden="1" outlineLevel="2" ht="17.25" customHeight="1" thickBot="1">
      <c r="A502" s="374" t="n"/>
      <c r="B502" s="369" t="n">
        <v>42594</v>
      </c>
      <c r="C502" s="370" t="inlineStr">
        <is>
          <t>FITX</t>
        </is>
      </c>
      <c r="D502" s="371" t="inlineStr">
        <is>
          <t>台指08</t>
        </is>
      </c>
      <c r="E502" s="371" t="inlineStr">
        <is>
          <t>新倉</t>
        </is>
      </c>
      <c r="F502" s="371" t="inlineStr">
        <is>
          <t>買</t>
        </is>
      </c>
      <c r="G502" s="371" t="inlineStr">
        <is>
          <t>-</t>
        </is>
      </c>
      <c r="H502" s="785" t="n">
        <v>1</v>
      </c>
      <c r="I502" s="785" t="n">
        <v>9116</v>
      </c>
      <c r="J502" s="785" t="n">
        <v>0</v>
      </c>
      <c r="K502" s="786" t="n">
        <v>100</v>
      </c>
      <c r="L502" s="786" t="n">
        <v>36</v>
      </c>
      <c r="M502" s="743">
        <f>IF(C502="TXO",J502-SUM(K502:L502),IF(C502="FITX",IF(E502="新倉",-SUM(K502:L502),IF(F502="賣",(I502-I501)*H502*200-SUM(K502:L502),(I501-I502)*H502*200-SUM(K502:L502)))))</f>
        <v/>
      </c>
      <c r="N502" s="780">
        <f>IF(C502="TXO","",IF(C502="FITX",IF(E502="新倉","",IF(F502="賣",(I502-I501)*H502,(I501-I502)*H502))))</f>
        <v/>
      </c>
      <c r="O502" s="334">
        <f>ABS(J502)</f>
        <v/>
      </c>
      <c r="P502" s="764" t="n"/>
      <c r="R502" s="61" t="n"/>
      <c r="S502" s="61" t="n"/>
      <c r="T502" s="61" t="n"/>
      <c r="U502" s="61" t="n"/>
      <c r="V502" s="61" t="n"/>
      <c r="W502" s="61" t="n"/>
      <c r="X502" s="61" t="n"/>
      <c r="Y502" s="61" t="n"/>
    </row>
    <row r="503" hidden="1" outlineLevel="2" ht="17.25" customHeight="1" thickBot="1">
      <c r="A503" s="374" t="n"/>
      <c r="B503" s="369" t="n">
        <v>42594</v>
      </c>
      <c r="C503" s="370" t="inlineStr">
        <is>
          <t>FITX</t>
        </is>
      </c>
      <c r="D503" s="371" t="inlineStr">
        <is>
          <t>台指08</t>
        </is>
      </c>
      <c r="E503" s="371" t="inlineStr">
        <is>
          <t>平倉</t>
        </is>
      </c>
      <c r="F503" s="371" t="inlineStr">
        <is>
          <t>賣</t>
        </is>
      </c>
      <c r="G503" s="371" t="inlineStr">
        <is>
          <t>-</t>
        </is>
      </c>
      <c r="H503" s="785" t="n">
        <v>1</v>
      </c>
      <c r="I503" s="785" t="n">
        <v>9114</v>
      </c>
      <c r="J503" s="785" t="n">
        <v>0</v>
      </c>
      <c r="K503" s="786" t="n">
        <v>100</v>
      </c>
      <c r="L503" s="786" t="n">
        <v>36</v>
      </c>
      <c r="M503" s="743">
        <f>IF(C503="TXO",J503-SUM(K503:L503),IF(C503="FITX",IF(E503="新倉",-SUM(K503:L503),IF(F503="賣",(I503-I502)*H503*200-SUM(K503:L503),(I502-I503)*H503*200-SUM(K503:L503)))))</f>
        <v/>
      </c>
      <c r="N503" s="780">
        <f>IF(C503="TXO","",IF(C503="FITX",IF(E503="新倉","",IF(F503="賣",(I503-I502)*H503,(I502-I503)*H503))))</f>
        <v/>
      </c>
      <c r="O503" s="334">
        <f>ABS(J503)</f>
        <v/>
      </c>
      <c r="P503" s="764" t="n"/>
      <c r="R503" s="61" t="n"/>
      <c r="S503" s="61" t="n"/>
      <c r="T503" s="61" t="n"/>
      <c r="U503" s="61" t="n"/>
      <c r="V503" s="61" t="n"/>
      <c r="W503" s="61" t="n"/>
      <c r="X503" s="61" t="n"/>
      <c r="Y503" s="61" t="n"/>
    </row>
    <row r="504" hidden="1" outlineLevel="1" ht="17.25" customHeight="1" thickBot="1">
      <c r="B504" s="368" t="n">
        <v>42598</v>
      </c>
      <c r="C504" s="337" t="inlineStr">
        <is>
          <t>FITX</t>
        </is>
      </c>
      <c r="D504" s="338" t="inlineStr">
        <is>
          <t>台指08</t>
        </is>
      </c>
      <c r="E504" s="338" t="inlineStr">
        <is>
          <t>新倉</t>
        </is>
      </c>
      <c r="F504" s="338" t="inlineStr">
        <is>
          <t>買</t>
        </is>
      </c>
      <c r="G504" s="338" t="inlineStr">
        <is>
          <t>-</t>
        </is>
      </c>
      <c r="H504" s="767" t="n">
        <v>1</v>
      </c>
      <c r="I504" s="767" t="n">
        <v>9082</v>
      </c>
      <c r="J504" s="767" t="n">
        <v>0</v>
      </c>
      <c r="K504" s="769" t="n">
        <v>100</v>
      </c>
      <c r="L504" s="769" t="n">
        <v>36</v>
      </c>
      <c r="M504" s="699">
        <f>IF(C504="TXO",J504-SUM(K504:L504),IF(C504="FITX",IF(E504="新倉",-SUM(K504:L504),IF(F504="賣",(I504-I503)*H504*200-SUM(K504:L504),(I503-I504)*H504*200-SUM(K504:L504)))))</f>
        <v/>
      </c>
      <c r="N504" s="686">
        <f>IF(C504="TXO","",IF(C504="FITX",IF(E504="新倉","",IF(F504="賣",(I504-I503)*H504,(I503-I504)*H504))))</f>
        <v/>
      </c>
      <c r="O504" s="334">
        <f>ABS(J504)</f>
        <v/>
      </c>
      <c r="P504" s="667">
        <f>SUM(M504:M505)</f>
        <v/>
      </c>
      <c r="R504" s="61" t="n"/>
      <c r="S504" s="61" t="n"/>
      <c r="T504" s="61" t="n"/>
      <c r="U504" s="61" t="n"/>
      <c r="V504" s="61" t="n"/>
      <c r="W504" s="61" t="n"/>
      <c r="X504" s="61" t="n"/>
      <c r="Y504" s="61" t="n"/>
    </row>
    <row r="505" hidden="1" outlineLevel="1" ht="17.25" customHeight="1" thickBot="1">
      <c r="B505" s="368" t="n">
        <v>42598</v>
      </c>
      <c r="C505" s="337" t="inlineStr">
        <is>
          <t>FITX</t>
        </is>
      </c>
      <c r="D505" s="338" t="inlineStr">
        <is>
          <t>台指08</t>
        </is>
      </c>
      <c r="E505" s="338" t="inlineStr">
        <is>
          <t>平倉</t>
        </is>
      </c>
      <c r="F505" s="338" t="inlineStr">
        <is>
          <t>賣</t>
        </is>
      </c>
      <c r="G505" s="338" t="inlineStr">
        <is>
          <t>-</t>
        </is>
      </c>
      <c r="H505" s="767" t="n">
        <v>1</v>
      </c>
      <c r="I505" s="767" t="n">
        <v>9089</v>
      </c>
      <c r="J505" s="767" t="n">
        <v>0</v>
      </c>
      <c r="K505" s="769" t="n">
        <v>100</v>
      </c>
      <c r="L505" s="769" t="n">
        <v>36</v>
      </c>
      <c r="M505" s="699">
        <f>IF(C505="TXO",J505-SUM(K505:L505),IF(C505="FITX",IF(E505="新倉",-SUM(K505:L505),IF(F505="賣",(I505-I504)*H505*200-SUM(K505:L505),(I504-I505)*H505*200-SUM(K505:L505)))))</f>
        <v/>
      </c>
      <c r="N505" s="686">
        <f>IF(C505="TXO","",IF(C505="FITX",IF(E505="新倉","",IF(F505="賣",(I505-I504)*H505,(I504-I505)*H505))))</f>
        <v/>
      </c>
      <c r="O505" s="334">
        <f>ABS(J505)</f>
        <v/>
      </c>
      <c r="P505" s="667" t="n"/>
      <c r="R505" s="61" t="n"/>
      <c r="S505" s="61" t="n"/>
      <c r="T505" s="61" t="n"/>
      <c r="U505" s="61" t="n"/>
      <c r="V505" s="61" t="n"/>
      <c r="W505" s="61" t="n"/>
      <c r="X505" s="61" t="n"/>
      <c r="Y505" s="61" t="n"/>
    </row>
    <row r="506" hidden="1" outlineLevel="1" collapsed="1" ht="17.25" customHeight="1" thickBot="1">
      <c r="A506" s="374" t="n"/>
      <c r="B506" s="369" t="n">
        <v>42599</v>
      </c>
      <c r="C506" s="370" t="inlineStr">
        <is>
          <t>TXO</t>
        </is>
      </c>
      <c r="D506" s="371" t="inlineStr">
        <is>
          <t>台指選 08 09050 P</t>
        </is>
      </c>
      <c r="E506" s="371" t="inlineStr">
        <is>
          <t>平倉</t>
        </is>
      </c>
      <c r="F506" s="371" t="inlineStr">
        <is>
          <t>賣</t>
        </is>
      </c>
      <c r="G506" s="371" t="inlineStr">
        <is>
          <t>-</t>
        </is>
      </c>
      <c r="H506" s="785" t="n">
        <v>1</v>
      </c>
      <c r="I506" s="785" t="n">
        <v>2</v>
      </c>
      <c r="J506" s="785" t="n">
        <v>100</v>
      </c>
      <c r="K506" s="786" t="n">
        <v>40</v>
      </c>
      <c r="L506" s="786" t="n">
        <v>0</v>
      </c>
      <c r="M506" s="743">
        <f>IF(C506="TXO",J506-SUM(K506:L506),IF(C506="FITX",IF(E506="新倉",-SUM(K506:L506),IF(F506="賣",(I506-I505)*H506*200-SUM(K506:L506),(I505-I506)*H506*200-SUM(K506:L506)))))</f>
        <v/>
      </c>
      <c r="N506" s="780">
        <f>IF(C506="TXO","",IF(C506="FITX",IF(E506="新倉","",IF(F506="賣",(I506-I505)*H506,(I505-I506)*H506))))</f>
        <v/>
      </c>
      <c r="O506" s="334">
        <f>ABS(J506)</f>
        <v/>
      </c>
      <c r="P506" s="764">
        <f>SUM(M506:M545)</f>
        <v/>
      </c>
      <c r="R506" s="61" t="n"/>
      <c r="S506" s="61" t="n"/>
      <c r="T506" s="61" t="n"/>
      <c r="U506" s="61" t="n"/>
      <c r="V506" s="61" t="n"/>
      <c r="W506" s="61" t="n"/>
      <c r="X506" s="61" t="n"/>
      <c r="Y506" s="61" t="n"/>
    </row>
    <row r="507" hidden="1" outlineLevel="2" collapsed="1" ht="17.25" customHeight="1" thickBot="1">
      <c r="A507" s="374" t="n"/>
      <c r="B507" s="369" t="n">
        <v>42599</v>
      </c>
      <c r="C507" s="370" t="inlineStr">
        <is>
          <t>TXO</t>
        </is>
      </c>
      <c r="D507" s="371" t="inlineStr">
        <is>
          <t>台指選 08 09050 P</t>
        </is>
      </c>
      <c r="E507" s="371" t="inlineStr">
        <is>
          <t>平倉</t>
        </is>
      </c>
      <c r="F507" s="371" t="inlineStr">
        <is>
          <t>賣</t>
        </is>
      </c>
      <c r="G507" s="371" t="inlineStr">
        <is>
          <t>-</t>
        </is>
      </c>
      <c r="H507" s="785" t="n">
        <v>1</v>
      </c>
      <c r="I507" s="785" t="n">
        <v>2</v>
      </c>
      <c r="J507" s="785" t="n">
        <v>100</v>
      </c>
      <c r="K507" s="786" t="n">
        <v>40</v>
      </c>
      <c r="L507" s="786" t="n">
        <v>0</v>
      </c>
      <c r="M507" s="743">
        <f>IF(C507="TXO",J507-SUM(K507:L507),IF(C507="FITX",IF(E507="新倉",-SUM(K507:L507),IF(F507="賣",(I507-I506)*H507*200-SUM(K507:L507),(I506-I507)*H507*200-SUM(K507:L507)))))</f>
        <v/>
      </c>
      <c r="N507" s="780">
        <f>IF(C507="TXO","",IF(C507="FITX",IF(E507="新倉","",IF(F507="賣",(I507-I506)*H507,(I506-I507)*H507))))</f>
        <v/>
      </c>
      <c r="O507" s="334">
        <f>ABS(J507)</f>
        <v/>
      </c>
      <c r="P507" s="764" t="n"/>
      <c r="R507" s="61" t="n"/>
      <c r="S507" s="61" t="n"/>
      <c r="T507" s="61" t="n"/>
      <c r="U507" s="61" t="n"/>
      <c r="V507" s="61" t="n"/>
      <c r="W507" s="61" t="n"/>
      <c r="X507" s="61" t="n"/>
      <c r="Y507" s="61" t="n"/>
    </row>
    <row r="508" hidden="1" outlineLevel="2" collapsed="1" ht="17.25" customHeight="1" thickBot="1">
      <c r="A508" s="374" t="n"/>
      <c r="B508" s="369" t="n">
        <v>42599</v>
      </c>
      <c r="C508" s="370" t="inlineStr">
        <is>
          <t>TXO</t>
        </is>
      </c>
      <c r="D508" s="371" t="inlineStr">
        <is>
          <t>台指選 08 09050 P</t>
        </is>
      </c>
      <c r="E508" s="371" t="inlineStr">
        <is>
          <t>平倉</t>
        </is>
      </c>
      <c r="F508" s="371" t="inlineStr">
        <is>
          <t>賣</t>
        </is>
      </c>
      <c r="G508" s="371" t="inlineStr">
        <is>
          <t>-</t>
        </is>
      </c>
      <c r="H508" s="785" t="n">
        <v>1</v>
      </c>
      <c r="I508" s="785" t="n">
        <v>2</v>
      </c>
      <c r="J508" s="785" t="n">
        <v>100</v>
      </c>
      <c r="K508" s="786" t="n">
        <v>40</v>
      </c>
      <c r="L508" s="786" t="n">
        <v>0</v>
      </c>
      <c r="M508" s="743">
        <f>IF(C508="TXO",J508-SUM(K508:L508),IF(C508="FITX",IF(E508="新倉",-SUM(K508:L508),IF(F508="賣",(I508-I507)*H508*200-SUM(K508:L508),(I507-I508)*H508*200-SUM(K508:L508)))))</f>
        <v/>
      </c>
      <c r="N508" s="780">
        <f>IF(C508="TXO","",IF(C508="FITX",IF(E508="新倉","",IF(F508="賣",(I508-I507)*H508,(I507-I508)*H508))))</f>
        <v/>
      </c>
      <c r="O508" s="334">
        <f>ABS(J508)</f>
        <v/>
      </c>
      <c r="P508" s="764" t="n"/>
      <c r="R508" s="61" t="n"/>
      <c r="S508" s="61" t="n"/>
      <c r="T508" s="61" t="n"/>
      <c r="U508" s="61" t="n"/>
      <c r="V508" s="61" t="n"/>
      <c r="W508" s="61" t="n"/>
      <c r="X508" s="61" t="n"/>
      <c r="Y508" s="61" t="n"/>
    </row>
    <row r="509" hidden="1" outlineLevel="2" collapsed="1" ht="17.25" customHeight="1" thickBot="1">
      <c r="A509" s="374" t="n"/>
      <c r="B509" s="369" t="n">
        <v>42599</v>
      </c>
      <c r="C509" s="370" t="inlineStr">
        <is>
          <t>TXO</t>
        </is>
      </c>
      <c r="D509" s="371" t="inlineStr">
        <is>
          <t>台指選 08 09050 P</t>
        </is>
      </c>
      <c r="E509" s="371" t="inlineStr">
        <is>
          <t>平倉</t>
        </is>
      </c>
      <c r="F509" s="371" t="inlineStr">
        <is>
          <t>賣</t>
        </is>
      </c>
      <c r="G509" s="371" t="inlineStr">
        <is>
          <t>-</t>
        </is>
      </c>
      <c r="H509" s="785" t="n">
        <v>1</v>
      </c>
      <c r="I509" s="785" t="n">
        <v>2</v>
      </c>
      <c r="J509" s="785" t="n">
        <v>100</v>
      </c>
      <c r="K509" s="786" t="n">
        <v>40</v>
      </c>
      <c r="L509" s="786" t="n">
        <v>0</v>
      </c>
      <c r="M509" s="743">
        <f>IF(C509="TXO",J509-SUM(K509:L509),IF(C509="FITX",IF(E509="新倉",-SUM(K509:L509),IF(F509="賣",(I509-I508)*H509*200-SUM(K509:L509),(I508-I509)*H509*200-SUM(K509:L509)))))</f>
        <v/>
      </c>
      <c r="N509" s="780">
        <f>IF(C509="TXO","",IF(C509="FITX",IF(E509="新倉","",IF(F509="賣",(I509-I508)*H509,(I508-I509)*H509))))</f>
        <v/>
      </c>
      <c r="O509" s="334">
        <f>ABS(J509)</f>
        <v/>
      </c>
      <c r="P509" s="764" t="n"/>
      <c r="R509" s="61" t="n"/>
      <c r="S509" s="61" t="n"/>
      <c r="T509" s="61" t="n"/>
      <c r="U509" s="61" t="n"/>
      <c r="V509" s="61" t="n"/>
      <c r="W509" s="61" t="n"/>
      <c r="X509" s="61" t="n"/>
      <c r="Y509" s="61" t="n"/>
    </row>
    <row r="510" hidden="1" outlineLevel="2" collapsed="1" ht="17.25" customHeight="1" thickBot="1">
      <c r="A510" s="374" t="n"/>
      <c r="B510" s="369" t="n">
        <v>42599</v>
      </c>
      <c r="C510" s="370" t="inlineStr">
        <is>
          <t>TXO</t>
        </is>
      </c>
      <c r="D510" s="371" t="inlineStr">
        <is>
          <t>台指選 08 09050 P</t>
        </is>
      </c>
      <c r="E510" s="371" t="inlineStr">
        <is>
          <t>平倉</t>
        </is>
      </c>
      <c r="F510" s="371" t="inlineStr">
        <is>
          <t>賣</t>
        </is>
      </c>
      <c r="G510" s="371" t="inlineStr">
        <is>
          <t>-</t>
        </is>
      </c>
      <c r="H510" s="785" t="n">
        <v>1</v>
      </c>
      <c r="I510" s="785" t="n">
        <v>2</v>
      </c>
      <c r="J510" s="785" t="n">
        <v>100</v>
      </c>
      <c r="K510" s="786" t="n">
        <v>40</v>
      </c>
      <c r="L510" s="786" t="n">
        <v>0</v>
      </c>
      <c r="M510" s="743">
        <f>IF(C510="TXO",J510-SUM(K510:L510),IF(C510="FITX",IF(E510="新倉",-SUM(K510:L510),IF(F510="賣",(I510-I509)*H510*200-SUM(K510:L510),(I509-I510)*H510*200-SUM(K510:L510)))))</f>
        <v/>
      </c>
      <c r="N510" s="780">
        <f>IF(C510="TXO","",IF(C510="FITX",IF(E510="新倉","",IF(F510="賣",(I510-I509)*H510,(I509-I510)*H510))))</f>
        <v/>
      </c>
      <c r="O510" s="334">
        <f>ABS(J510)</f>
        <v/>
      </c>
      <c r="P510" s="764" t="n"/>
      <c r="R510" s="61" t="n"/>
      <c r="S510" s="61" t="n"/>
      <c r="T510" s="61" t="n"/>
      <c r="U510" s="61" t="n"/>
      <c r="V510" s="61" t="n"/>
      <c r="W510" s="61" t="n"/>
      <c r="X510" s="61" t="n"/>
      <c r="Y510" s="61" t="n"/>
    </row>
    <row r="511" hidden="1" outlineLevel="2" collapsed="1" ht="17.25" customHeight="1" thickBot="1">
      <c r="A511" s="374" t="n"/>
      <c r="B511" s="369" t="n">
        <v>42599</v>
      </c>
      <c r="C511" s="370" t="inlineStr">
        <is>
          <t>TXO</t>
        </is>
      </c>
      <c r="D511" s="371" t="inlineStr">
        <is>
          <t>台指選 08 09050 P</t>
        </is>
      </c>
      <c r="E511" s="371" t="inlineStr">
        <is>
          <t>平倉</t>
        </is>
      </c>
      <c r="F511" s="371" t="inlineStr">
        <is>
          <t>賣</t>
        </is>
      </c>
      <c r="G511" s="371" t="inlineStr">
        <is>
          <t>-</t>
        </is>
      </c>
      <c r="H511" s="785" t="n">
        <v>1</v>
      </c>
      <c r="I511" s="785" t="n">
        <v>2</v>
      </c>
      <c r="J511" s="785" t="n">
        <v>100</v>
      </c>
      <c r="K511" s="786" t="n">
        <v>40</v>
      </c>
      <c r="L511" s="786" t="n">
        <v>0</v>
      </c>
      <c r="M511" s="743">
        <f>IF(C511="TXO",J511-SUM(K511:L511),IF(C511="FITX",IF(E511="新倉",-SUM(K511:L511),IF(F511="賣",(I511-I510)*H511*200-SUM(K511:L511),(I510-I511)*H511*200-SUM(K511:L511)))))</f>
        <v/>
      </c>
      <c r="N511" s="780">
        <f>IF(C511="TXO","",IF(C511="FITX",IF(E511="新倉","",IF(F511="賣",(I511-I510)*H511,(I510-I511)*H511))))</f>
        <v/>
      </c>
      <c r="O511" s="334">
        <f>ABS(J511)</f>
        <v/>
      </c>
      <c r="P511" s="764" t="n"/>
      <c r="R511" s="61" t="n"/>
      <c r="S511" s="61" t="n"/>
      <c r="T511" s="61" t="n"/>
      <c r="U511" s="61" t="n"/>
      <c r="V511" s="61" t="n"/>
      <c r="W511" s="61" t="n"/>
      <c r="X511" s="61" t="n"/>
      <c r="Y511" s="61" t="n"/>
    </row>
    <row r="512" hidden="1" outlineLevel="2" collapsed="1" ht="17.25" customHeight="1" thickBot="1">
      <c r="A512" s="374" t="n"/>
      <c r="B512" s="369" t="n">
        <v>42599</v>
      </c>
      <c r="C512" s="370" t="inlineStr">
        <is>
          <t>TXO</t>
        </is>
      </c>
      <c r="D512" s="371" t="inlineStr">
        <is>
          <t>台指選 08 09050 P</t>
        </is>
      </c>
      <c r="E512" s="371" t="inlineStr">
        <is>
          <t>平倉</t>
        </is>
      </c>
      <c r="F512" s="371" t="inlineStr">
        <is>
          <t>賣</t>
        </is>
      </c>
      <c r="G512" s="371" t="inlineStr">
        <is>
          <t>-</t>
        </is>
      </c>
      <c r="H512" s="785" t="n">
        <v>1</v>
      </c>
      <c r="I512" s="785" t="n">
        <v>2</v>
      </c>
      <c r="J512" s="785" t="n">
        <v>100</v>
      </c>
      <c r="K512" s="786" t="n">
        <v>40</v>
      </c>
      <c r="L512" s="786" t="n">
        <v>0</v>
      </c>
      <c r="M512" s="743">
        <f>IF(C512="TXO",J512-SUM(K512:L512),IF(C512="FITX",IF(E512="新倉",-SUM(K512:L512),IF(F512="賣",(I512-I511)*H512*200-SUM(K512:L512),(I511-I512)*H512*200-SUM(K512:L512)))))</f>
        <v/>
      </c>
      <c r="N512" s="780">
        <f>IF(C512="TXO","",IF(C512="FITX",IF(E512="新倉","",IF(F512="賣",(I512-I511)*H512,(I511-I512)*H512))))</f>
        <v/>
      </c>
      <c r="O512" s="334">
        <f>ABS(J512)</f>
        <v/>
      </c>
      <c r="P512" s="764" t="n"/>
      <c r="R512" s="61" t="n"/>
      <c r="S512" s="61" t="n"/>
      <c r="T512" s="61" t="n"/>
      <c r="U512" s="61" t="n"/>
      <c r="V512" s="61" t="n"/>
      <c r="W512" s="61" t="n"/>
      <c r="X512" s="61" t="n"/>
      <c r="Y512" s="61" t="n"/>
    </row>
    <row r="513" hidden="1" outlineLevel="2" collapsed="1" ht="17.25" customHeight="1" thickBot="1">
      <c r="A513" s="374" t="n"/>
      <c r="B513" s="369" t="n">
        <v>42599</v>
      </c>
      <c r="C513" s="370" t="inlineStr">
        <is>
          <t>TXO</t>
        </is>
      </c>
      <c r="D513" s="371" t="inlineStr">
        <is>
          <t>台指選 08 09050 P</t>
        </is>
      </c>
      <c r="E513" s="371" t="inlineStr">
        <is>
          <t>平倉</t>
        </is>
      </c>
      <c r="F513" s="371" t="inlineStr">
        <is>
          <t>賣</t>
        </is>
      </c>
      <c r="G513" s="371" t="inlineStr">
        <is>
          <t>-</t>
        </is>
      </c>
      <c r="H513" s="785" t="n">
        <v>1</v>
      </c>
      <c r="I513" s="785" t="n">
        <v>2</v>
      </c>
      <c r="J513" s="785" t="n">
        <v>100</v>
      </c>
      <c r="K513" s="786" t="n">
        <v>40</v>
      </c>
      <c r="L513" s="786" t="n">
        <v>0</v>
      </c>
      <c r="M513" s="743">
        <f>IF(C513="TXO",J513-SUM(K513:L513),IF(C513="FITX",IF(E513="新倉",-SUM(K513:L513),IF(F513="賣",(I513-I512)*H513*200-SUM(K513:L513),(I512-I513)*H513*200-SUM(K513:L513)))))</f>
        <v/>
      </c>
      <c r="N513" s="780">
        <f>IF(C513="TXO","",IF(C513="FITX",IF(E513="新倉","",IF(F513="賣",(I513-I512)*H513,(I512-I513)*H513))))</f>
        <v/>
      </c>
      <c r="O513" s="334">
        <f>ABS(J513)</f>
        <v/>
      </c>
      <c r="P513" s="764" t="n"/>
      <c r="R513" s="61" t="n"/>
      <c r="S513" s="61" t="n"/>
      <c r="T513" s="61" t="n"/>
      <c r="U513" s="61" t="n"/>
      <c r="V513" s="61" t="n"/>
      <c r="W513" s="61" t="n"/>
      <c r="X513" s="61" t="n"/>
      <c r="Y513" s="61" t="n"/>
    </row>
    <row r="514" hidden="1" outlineLevel="2" collapsed="1" ht="17.25" customHeight="1" thickBot="1">
      <c r="A514" s="374" t="n"/>
      <c r="B514" s="369" t="n">
        <v>42599</v>
      </c>
      <c r="C514" s="370" t="inlineStr">
        <is>
          <t>TXO</t>
        </is>
      </c>
      <c r="D514" s="371" t="inlineStr">
        <is>
          <t>台指選 08 09050 P</t>
        </is>
      </c>
      <c r="E514" s="371" t="inlineStr">
        <is>
          <t>平倉</t>
        </is>
      </c>
      <c r="F514" s="371" t="inlineStr">
        <is>
          <t>賣</t>
        </is>
      </c>
      <c r="G514" s="371" t="inlineStr">
        <is>
          <t>-</t>
        </is>
      </c>
      <c r="H514" s="785" t="n">
        <v>1</v>
      </c>
      <c r="I514" s="785" t="n">
        <v>2</v>
      </c>
      <c r="J514" s="785" t="n">
        <v>100</v>
      </c>
      <c r="K514" s="786" t="n">
        <v>40</v>
      </c>
      <c r="L514" s="786" t="n">
        <v>0</v>
      </c>
      <c r="M514" s="743">
        <f>IF(C514="TXO",J514-SUM(K514:L514),IF(C514="FITX",IF(E514="新倉",-SUM(K514:L514),IF(F514="賣",(I514-I513)*H514*200-SUM(K514:L514),(I513-I514)*H514*200-SUM(K514:L514)))))</f>
        <v/>
      </c>
      <c r="N514" s="780">
        <f>IF(C514="TXO","",IF(C514="FITX",IF(E514="新倉","",IF(F514="賣",(I514-I513)*H514,(I513-I514)*H514))))</f>
        <v/>
      </c>
      <c r="O514" s="334">
        <f>ABS(J514)</f>
        <v/>
      </c>
      <c r="P514" s="764" t="n"/>
      <c r="R514" s="61" t="n"/>
      <c r="S514" s="61" t="n"/>
      <c r="T514" s="61" t="n"/>
      <c r="U514" s="61" t="n"/>
      <c r="V514" s="61" t="n"/>
      <c r="W514" s="61" t="n"/>
      <c r="X514" s="61" t="n"/>
      <c r="Y514" s="61" t="n"/>
    </row>
    <row r="515" hidden="1" outlineLevel="2" collapsed="1" ht="17.25" customHeight="1" thickBot="1">
      <c r="A515" s="374" t="n"/>
      <c r="B515" s="369" t="n">
        <v>42599</v>
      </c>
      <c r="C515" s="370" t="inlineStr">
        <is>
          <t>TXO</t>
        </is>
      </c>
      <c r="D515" s="371" t="inlineStr">
        <is>
          <t>台指選 08 09050 P</t>
        </is>
      </c>
      <c r="E515" s="371" t="inlineStr">
        <is>
          <t>平倉</t>
        </is>
      </c>
      <c r="F515" s="371" t="inlineStr">
        <is>
          <t>賣</t>
        </is>
      </c>
      <c r="G515" s="371" t="inlineStr">
        <is>
          <t>-</t>
        </is>
      </c>
      <c r="H515" s="785" t="n">
        <v>1</v>
      </c>
      <c r="I515" s="785" t="n">
        <v>2</v>
      </c>
      <c r="J515" s="785" t="n">
        <v>100</v>
      </c>
      <c r="K515" s="786" t="n">
        <v>40</v>
      </c>
      <c r="L515" s="786" t="n">
        <v>0</v>
      </c>
      <c r="M515" s="743">
        <f>IF(C515="TXO",J515-SUM(K515:L515),IF(C515="FITX",IF(E515="新倉",-SUM(K515:L515),IF(F515="賣",(I515-I514)*H515*200-SUM(K515:L515),(I514-I515)*H515*200-SUM(K515:L515)))))</f>
        <v/>
      </c>
      <c r="N515" s="780">
        <f>IF(C515="TXO","",IF(C515="FITX",IF(E515="新倉","",IF(F515="賣",(I515-I514)*H515,(I514-I515)*H515))))</f>
        <v/>
      </c>
      <c r="O515" s="334">
        <f>ABS(J515)</f>
        <v/>
      </c>
      <c r="P515" s="764" t="n"/>
      <c r="R515" s="61" t="n"/>
      <c r="S515" s="61" t="n"/>
      <c r="T515" s="61" t="n"/>
      <c r="U515" s="61" t="n"/>
      <c r="V515" s="61" t="n"/>
      <c r="W515" s="61" t="n"/>
      <c r="X515" s="61" t="n"/>
      <c r="Y515" s="61" t="n"/>
    </row>
    <row r="516" hidden="1" outlineLevel="2" collapsed="1" ht="17.25" customHeight="1" thickBot="1">
      <c r="A516" s="374" t="n"/>
      <c r="B516" s="369" t="n">
        <v>42599</v>
      </c>
      <c r="C516" s="370" t="inlineStr">
        <is>
          <t>TXO</t>
        </is>
      </c>
      <c r="D516" s="371" t="inlineStr">
        <is>
          <t>台指選 08 09050 P</t>
        </is>
      </c>
      <c r="E516" s="371" t="inlineStr">
        <is>
          <t>平倉</t>
        </is>
      </c>
      <c r="F516" s="371" t="inlineStr">
        <is>
          <t>賣</t>
        </is>
      </c>
      <c r="G516" s="371" t="inlineStr">
        <is>
          <t>-</t>
        </is>
      </c>
      <c r="H516" s="785" t="n">
        <v>1</v>
      </c>
      <c r="I516" s="785" t="n">
        <v>2</v>
      </c>
      <c r="J516" s="785" t="n">
        <v>100</v>
      </c>
      <c r="K516" s="786" t="n">
        <v>40</v>
      </c>
      <c r="L516" s="786" t="n">
        <v>0</v>
      </c>
      <c r="M516" s="743">
        <f>IF(C516="TXO",J516-SUM(K516:L516),IF(C516="FITX",IF(E516="新倉",-SUM(K516:L516),IF(F516="賣",(I516-I515)*H516*200-SUM(K516:L516),(I515-I516)*H516*200-SUM(K516:L516)))))</f>
        <v/>
      </c>
      <c r="N516" s="780">
        <f>IF(C516="TXO","",IF(C516="FITX",IF(E516="新倉","",IF(F516="賣",(I516-I515)*H516,(I515-I516)*H516))))</f>
        <v/>
      </c>
      <c r="O516" s="334">
        <f>ABS(J516)</f>
        <v/>
      </c>
      <c r="P516" s="764" t="n"/>
      <c r="R516" s="61" t="n"/>
      <c r="S516" s="61" t="n"/>
      <c r="T516" s="61" t="n"/>
      <c r="U516" s="61" t="n"/>
      <c r="V516" s="61" t="n"/>
      <c r="W516" s="61" t="n"/>
      <c r="X516" s="61" t="n"/>
      <c r="Y516" s="61" t="n"/>
    </row>
    <row r="517" hidden="1" outlineLevel="2" collapsed="1" ht="17.25" customHeight="1" thickBot="1">
      <c r="A517" s="374" t="n"/>
      <c r="B517" s="369" t="n">
        <v>42599</v>
      </c>
      <c r="C517" s="370" t="inlineStr">
        <is>
          <t>TXO</t>
        </is>
      </c>
      <c r="D517" s="371" t="inlineStr">
        <is>
          <t>台指選 08 09050 P</t>
        </is>
      </c>
      <c r="E517" s="371" t="inlineStr">
        <is>
          <t>平倉</t>
        </is>
      </c>
      <c r="F517" s="371" t="inlineStr">
        <is>
          <t>賣</t>
        </is>
      </c>
      <c r="G517" s="371" t="inlineStr">
        <is>
          <t>-</t>
        </is>
      </c>
      <c r="H517" s="785" t="n">
        <v>1</v>
      </c>
      <c r="I517" s="785" t="n">
        <v>2</v>
      </c>
      <c r="J517" s="785" t="n">
        <v>100</v>
      </c>
      <c r="K517" s="786" t="n">
        <v>40</v>
      </c>
      <c r="L517" s="786" t="n">
        <v>0</v>
      </c>
      <c r="M517" s="743">
        <f>IF(C517="TXO",J517-SUM(K517:L517),IF(C517="FITX",IF(E517="新倉",-SUM(K517:L517),IF(F517="賣",(I517-I516)*H517*200-SUM(K517:L517),(I516-I517)*H517*200-SUM(K517:L517)))))</f>
        <v/>
      </c>
      <c r="N517" s="780">
        <f>IF(C517="TXO","",IF(C517="FITX",IF(E517="新倉","",IF(F517="賣",(I517-I516)*H517,(I516-I517)*H517))))</f>
        <v/>
      </c>
      <c r="O517" s="334">
        <f>ABS(J517)</f>
        <v/>
      </c>
      <c r="P517" s="764" t="n"/>
      <c r="R517" s="61" t="n"/>
      <c r="S517" s="61" t="n"/>
      <c r="T517" s="61" t="n"/>
      <c r="U517" s="61" t="n"/>
      <c r="V517" s="61" t="n"/>
      <c r="W517" s="61" t="n"/>
      <c r="X517" s="61" t="n"/>
      <c r="Y517" s="61" t="n"/>
    </row>
    <row r="518" hidden="1" outlineLevel="2" collapsed="1" ht="17.25" customHeight="1" thickBot="1">
      <c r="A518" s="374" t="n"/>
      <c r="B518" s="369" t="n">
        <v>42599</v>
      </c>
      <c r="C518" s="370" t="inlineStr">
        <is>
          <t>TXO</t>
        </is>
      </c>
      <c r="D518" s="371" t="inlineStr">
        <is>
          <t>台指選 08 09050 P</t>
        </is>
      </c>
      <c r="E518" s="371" t="inlineStr">
        <is>
          <t>平倉</t>
        </is>
      </c>
      <c r="F518" s="371" t="inlineStr">
        <is>
          <t>賣</t>
        </is>
      </c>
      <c r="G518" s="371" t="inlineStr">
        <is>
          <t>-</t>
        </is>
      </c>
      <c r="H518" s="785" t="n">
        <v>1</v>
      </c>
      <c r="I518" s="785" t="n">
        <v>2</v>
      </c>
      <c r="J518" s="785" t="n">
        <v>100</v>
      </c>
      <c r="K518" s="786" t="n">
        <v>40</v>
      </c>
      <c r="L518" s="786" t="n">
        <v>0</v>
      </c>
      <c r="M518" s="743">
        <f>IF(C518="TXO",J518-SUM(K518:L518),IF(C518="FITX",IF(E518="新倉",-SUM(K518:L518),IF(F518="賣",(I518-I517)*H518*200-SUM(K518:L518),(I517-I518)*H518*200-SUM(K518:L518)))))</f>
        <v/>
      </c>
      <c r="N518" s="780">
        <f>IF(C518="TXO","",IF(C518="FITX",IF(E518="新倉","",IF(F518="賣",(I518-I517)*H518,(I517-I518)*H518))))</f>
        <v/>
      </c>
      <c r="O518" s="334">
        <f>ABS(J518)</f>
        <v/>
      </c>
      <c r="P518" s="764" t="n"/>
      <c r="R518" s="61" t="n"/>
      <c r="S518" s="61" t="n"/>
      <c r="T518" s="61" t="n"/>
      <c r="U518" s="61" t="n"/>
      <c r="V518" s="61" t="n"/>
      <c r="W518" s="61" t="n"/>
      <c r="X518" s="61" t="n"/>
      <c r="Y518" s="61" t="n"/>
    </row>
    <row r="519" hidden="1" outlineLevel="2" collapsed="1" ht="17.25" customHeight="1" thickBot="1">
      <c r="A519" s="374" t="n"/>
      <c r="B519" s="369" t="n">
        <v>42599</v>
      </c>
      <c r="C519" s="370" t="inlineStr">
        <is>
          <t>TXO</t>
        </is>
      </c>
      <c r="D519" s="371" t="inlineStr">
        <is>
          <t>台指選 08 09050 P</t>
        </is>
      </c>
      <c r="E519" s="371" t="inlineStr">
        <is>
          <t>平倉</t>
        </is>
      </c>
      <c r="F519" s="371" t="inlineStr">
        <is>
          <t>賣</t>
        </is>
      </c>
      <c r="G519" s="371" t="inlineStr">
        <is>
          <t>-</t>
        </is>
      </c>
      <c r="H519" s="785" t="n">
        <v>1</v>
      </c>
      <c r="I519" s="785" t="n">
        <v>2</v>
      </c>
      <c r="J519" s="785" t="n">
        <v>100</v>
      </c>
      <c r="K519" s="786" t="n">
        <v>40</v>
      </c>
      <c r="L519" s="786" t="n">
        <v>0</v>
      </c>
      <c r="M519" s="743">
        <f>IF(C519="TXO",J519-SUM(K519:L519),IF(C519="FITX",IF(E519="新倉",-SUM(K519:L519),IF(F519="賣",(I519-I518)*H519*200-SUM(K519:L519),(I518-I519)*H519*200-SUM(K519:L519)))))</f>
        <v/>
      </c>
      <c r="N519" s="780">
        <f>IF(C519="TXO","",IF(C519="FITX",IF(E519="新倉","",IF(F519="賣",(I519-I518)*H519,(I518-I519)*H519))))</f>
        <v/>
      </c>
      <c r="O519" s="334">
        <f>ABS(J519)</f>
        <v/>
      </c>
      <c r="P519" s="764" t="n"/>
      <c r="R519" s="61" t="n"/>
      <c r="S519" s="61" t="n"/>
      <c r="T519" s="61" t="n"/>
      <c r="U519" s="61" t="n"/>
      <c r="V519" s="61" t="n"/>
      <c r="W519" s="61" t="n"/>
      <c r="X519" s="61" t="n"/>
      <c r="Y519" s="61" t="n"/>
    </row>
    <row r="520" hidden="1" outlineLevel="2" collapsed="1" ht="17.25" customHeight="1" thickBot="1">
      <c r="A520" s="374" t="n"/>
      <c r="B520" s="369" t="n">
        <v>42599</v>
      </c>
      <c r="C520" s="370" t="inlineStr">
        <is>
          <t>TXO</t>
        </is>
      </c>
      <c r="D520" s="371" t="inlineStr">
        <is>
          <t>台指選 08 09050 P</t>
        </is>
      </c>
      <c r="E520" s="371" t="inlineStr">
        <is>
          <t>平倉</t>
        </is>
      </c>
      <c r="F520" s="371" t="inlineStr">
        <is>
          <t>賣</t>
        </is>
      </c>
      <c r="G520" s="371" t="inlineStr">
        <is>
          <t>-</t>
        </is>
      </c>
      <c r="H520" s="785" t="n">
        <v>1</v>
      </c>
      <c r="I520" s="785" t="n">
        <v>2</v>
      </c>
      <c r="J520" s="785" t="n">
        <v>100</v>
      </c>
      <c r="K520" s="786" t="n">
        <v>40</v>
      </c>
      <c r="L520" s="786" t="n">
        <v>0</v>
      </c>
      <c r="M520" s="743">
        <f>IF(C520="TXO",J520-SUM(K520:L520),IF(C520="FITX",IF(E520="新倉",-SUM(K520:L520),IF(F520="賣",(I520-I519)*H520*200-SUM(K520:L520),(I519-I520)*H520*200-SUM(K520:L520)))))</f>
        <v/>
      </c>
      <c r="N520" s="780">
        <f>IF(C520="TXO","",IF(C520="FITX",IF(E520="新倉","",IF(F520="賣",(I520-I519)*H520,(I519-I520)*H520))))</f>
        <v/>
      </c>
      <c r="O520" s="334">
        <f>ABS(J520)</f>
        <v/>
      </c>
      <c r="P520" s="764" t="n"/>
      <c r="R520" s="61" t="n"/>
      <c r="S520" s="61" t="n"/>
      <c r="T520" s="61" t="n"/>
      <c r="U520" s="61" t="n"/>
      <c r="V520" s="61" t="n"/>
      <c r="W520" s="61" t="n"/>
      <c r="X520" s="61" t="n"/>
      <c r="Y520" s="61" t="n"/>
    </row>
    <row r="521" hidden="1" outlineLevel="2" collapsed="1" ht="17.25" customHeight="1" thickBot="1">
      <c r="A521" s="374" t="n"/>
      <c r="B521" s="369" t="n">
        <v>42599</v>
      </c>
      <c r="C521" s="370" t="inlineStr">
        <is>
          <t>TXO</t>
        </is>
      </c>
      <c r="D521" s="371" t="inlineStr">
        <is>
          <t>台指選 08 09050 P</t>
        </is>
      </c>
      <c r="E521" s="371" t="inlineStr">
        <is>
          <t>平倉</t>
        </is>
      </c>
      <c r="F521" s="371" t="inlineStr">
        <is>
          <t>賣</t>
        </is>
      </c>
      <c r="G521" s="371" t="inlineStr">
        <is>
          <t>-</t>
        </is>
      </c>
      <c r="H521" s="785" t="n">
        <v>1</v>
      </c>
      <c r="I521" s="785" t="n">
        <v>2</v>
      </c>
      <c r="J521" s="785" t="n">
        <v>100</v>
      </c>
      <c r="K521" s="786" t="n">
        <v>40</v>
      </c>
      <c r="L521" s="786" t="n">
        <v>0</v>
      </c>
      <c r="M521" s="743">
        <f>IF(C521="TXO",J521-SUM(K521:L521),IF(C521="FITX",IF(E521="新倉",-SUM(K521:L521),IF(F521="賣",(I521-I520)*H521*200-SUM(K521:L521),(I520-I521)*H521*200-SUM(K521:L521)))))</f>
        <v/>
      </c>
      <c r="N521" s="780">
        <f>IF(C521="TXO","",IF(C521="FITX",IF(E521="新倉","",IF(F521="賣",(I521-I520)*H521,(I520-I521)*H521))))</f>
        <v/>
      </c>
      <c r="O521" s="334">
        <f>ABS(J521)</f>
        <v/>
      </c>
      <c r="P521" s="764" t="n"/>
      <c r="R521" s="61" t="n"/>
      <c r="S521" s="61" t="n"/>
      <c r="T521" s="61" t="n"/>
      <c r="U521" s="61" t="n"/>
      <c r="V521" s="61" t="n"/>
      <c r="W521" s="61" t="n"/>
      <c r="X521" s="61" t="n"/>
      <c r="Y521" s="61" t="n"/>
    </row>
    <row r="522" hidden="1" outlineLevel="2" collapsed="1" ht="17.25" customHeight="1" thickBot="1">
      <c r="A522" s="374" t="n"/>
      <c r="B522" s="369" t="n">
        <v>42599</v>
      </c>
      <c r="C522" s="370" t="inlineStr">
        <is>
          <t>TXO</t>
        </is>
      </c>
      <c r="D522" s="371" t="inlineStr">
        <is>
          <t>台指選 08 09050 P</t>
        </is>
      </c>
      <c r="E522" s="371" t="inlineStr">
        <is>
          <t>平倉</t>
        </is>
      </c>
      <c r="F522" s="371" t="inlineStr">
        <is>
          <t>賣</t>
        </is>
      </c>
      <c r="G522" s="371" t="inlineStr">
        <is>
          <t>-</t>
        </is>
      </c>
      <c r="H522" s="785" t="n">
        <v>1</v>
      </c>
      <c r="I522" s="785" t="n">
        <v>2</v>
      </c>
      <c r="J522" s="785" t="n">
        <v>100</v>
      </c>
      <c r="K522" s="786" t="n">
        <v>40</v>
      </c>
      <c r="L522" s="786" t="n">
        <v>0</v>
      </c>
      <c r="M522" s="743">
        <f>IF(C522="TXO",J522-SUM(K522:L522),IF(C522="FITX",IF(E522="新倉",-SUM(K522:L522),IF(F522="賣",(I522-I521)*H522*200-SUM(K522:L522),(I521-I522)*H522*200-SUM(K522:L522)))))</f>
        <v/>
      </c>
      <c r="N522" s="780">
        <f>IF(C522="TXO","",IF(C522="FITX",IF(E522="新倉","",IF(F522="賣",(I522-I521)*H522,(I521-I522)*H522))))</f>
        <v/>
      </c>
      <c r="O522" s="334">
        <f>ABS(J522)</f>
        <v/>
      </c>
      <c r="P522" s="764" t="n"/>
      <c r="R522" s="61" t="n"/>
      <c r="S522" s="61" t="n"/>
      <c r="T522" s="61" t="n"/>
      <c r="U522" s="61" t="n"/>
      <c r="V522" s="61" t="n"/>
      <c r="W522" s="61" t="n"/>
      <c r="X522" s="61" t="n"/>
      <c r="Y522" s="61" t="n"/>
    </row>
    <row r="523" hidden="1" outlineLevel="2" collapsed="1" ht="17.25" customHeight="1" thickBot="1">
      <c r="A523" s="374" t="n"/>
      <c r="B523" s="369" t="n">
        <v>42599</v>
      </c>
      <c r="C523" s="370" t="inlineStr">
        <is>
          <t>TXO</t>
        </is>
      </c>
      <c r="D523" s="371" t="inlineStr">
        <is>
          <t>台指選 08 09050 P</t>
        </is>
      </c>
      <c r="E523" s="371" t="inlineStr">
        <is>
          <t>平倉</t>
        </is>
      </c>
      <c r="F523" s="371" t="inlineStr">
        <is>
          <t>賣</t>
        </is>
      </c>
      <c r="G523" s="371" t="inlineStr">
        <is>
          <t>-</t>
        </is>
      </c>
      <c r="H523" s="785" t="n">
        <v>1</v>
      </c>
      <c r="I523" s="785" t="n">
        <v>2</v>
      </c>
      <c r="J523" s="785" t="n">
        <v>100</v>
      </c>
      <c r="K523" s="786" t="n">
        <v>40</v>
      </c>
      <c r="L523" s="786" t="n">
        <v>0</v>
      </c>
      <c r="M523" s="743">
        <f>IF(C523="TXO",J523-SUM(K523:L523),IF(C523="FITX",IF(E523="新倉",-SUM(K523:L523),IF(F523="賣",(I523-I522)*H523*200-SUM(K523:L523),(I522-I523)*H523*200-SUM(K523:L523)))))</f>
        <v/>
      </c>
      <c r="N523" s="780">
        <f>IF(C523="TXO","",IF(C523="FITX",IF(E523="新倉","",IF(F523="賣",(I523-I522)*H523,(I522-I523)*H523))))</f>
        <v/>
      </c>
      <c r="O523" s="334">
        <f>ABS(J523)</f>
        <v/>
      </c>
      <c r="P523" s="764" t="n"/>
      <c r="R523" s="61" t="n"/>
      <c r="S523" s="61" t="n"/>
      <c r="T523" s="61" t="n"/>
      <c r="U523" s="61" t="n"/>
      <c r="V523" s="61" t="n"/>
      <c r="W523" s="61" t="n"/>
      <c r="X523" s="61" t="n"/>
      <c r="Y523" s="61" t="n"/>
    </row>
    <row r="524" hidden="1" outlineLevel="2" collapsed="1" ht="17.25" customHeight="1" thickBot="1">
      <c r="A524" s="374" t="n"/>
      <c r="B524" s="369" t="n">
        <v>42599</v>
      </c>
      <c r="C524" s="370" t="inlineStr">
        <is>
          <t>TXO</t>
        </is>
      </c>
      <c r="D524" s="371" t="inlineStr">
        <is>
          <t>台指選 08 09050 P</t>
        </is>
      </c>
      <c r="E524" s="371" t="inlineStr">
        <is>
          <t>平倉</t>
        </is>
      </c>
      <c r="F524" s="371" t="inlineStr">
        <is>
          <t>賣</t>
        </is>
      </c>
      <c r="G524" s="371" t="inlineStr">
        <is>
          <t>-</t>
        </is>
      </c>
      <c r="H524" s="785" t="n">
        <v>1</v>
      </c>
      <c r="I524" s="785" t="n">
        <v>2</v>
      </c>
      <c r="J524" s="785" t="n">
        <v>100</v>
      </c>
      <c r="K524" s="786" t="n">
        <v>40</v>
      </c>
      <c r="L524" s="786" t="n">
        <v>0</v>
      </c>
      <c r="M524" s="743">
        <f>IF(C524="TXO",J524-SUM(K524:L524),IF(C524="FITX",IF(E524="新倉",-SUM(K524:L524),IF(F524="賣",(I524-I523)*H524*200-SUM(K524:L524),(I523-I524)*H524*200-SUM(K524:L524)))))</f>
        <v/>
      </c>
      <c r="N524" s="780">
        <f>IF(C524="TXO","",IF(C524="FITX",IF(E524="新倉","",IF(F524="賣",(I524-I523)*H524,(I523-I524)*H524))))</f>
        <v/>
      </c>
      <c r="O524" s="334">
        <f>ABS(J524)</f>
        <v/>
      </c>
      <c r="P524" s="764" t="n"/>
      <c r="R524" s="61" t="n"/>
      <c r="S524" s="61" t="n"/>
      <c r="T524" s="61" t="n"/>
      <c r="U524" s="61" t="n"/>
      <c r="V524" s="61" t="n"/>
      <c r="W524" s="61" t="n"/>
      <c r="X524" s="61" t="n"/>
      <c r="Y524" s="61" t="n"/>
    </row>
    <row r="525" hidden="1" outlineLevel="2" collapsed="1" ht="17.25" customHeight="1" thickBot="1">
      <c r="A525" s="374" t="n"/>
      <c r="B525" s="369" t="n">
        <v>42599</v>
      </c>
      <c r="C525" s="370" t="inlineStr">
        <is>
          <t>TXO</t>
        </is>
      </c>
      <c r="D525" s="371" t="inlineStr">
        <is>
          <t>台指選 08 09050 P</t>
        </is>
      </c>
      <c r="E525" s="371" t="inlineStr">
        <is>
          <t>平倉</t>
        </is>
      </c>
      <c r="F525" s="371" t="inlineStr">
        <is>
          <t>賣</t>
        </is>
      </c>
      <c r="G525" s="371" t="inlineStr">
        <is>
          <t>-</t>
        </is>
      </c>
      <c r="H525" s="785" t="n">
        <v>1</v>
      </c>
      <c r="I525" s="785" t="n">
        <v>2</v>
      </c>
      <c r="J525" s="785" t="n">
        <v>100</v>
      </c>
      <c r="K525" s="786" t="n">
        <v>40</v>
      </c>
      <c r="L525" s="786" t="n">
        <v>0</v>
      </c>
      <c r="M525" s="743">
        <f>IF(C525="TXO",J525-SUM(K525:L525),IF(C525="FITX",IF(E525="新倉",-SUM(K525:L525),IF(F525="賣",(I525-I524)*H525*200-SUM(K525:L525),(I524-I525)*H525*200-SUM(K525:L525)))))</f>
        <v/>
      </c>
      <c r="N525" s="780">
        <f>IF(C525="TXO","",IF(C525="FITX",IF(E525="新倉","",IF(F525="賣",(I525-I524)*H525,(I524-I525)*H525))))</f>
        <v/>
      </c>
      <c r="O525" s="334">
        <f>ABS(J525)</f>
        <v/>
      </c>
      <c r="P525" s="764" t="n"/>
      <c r="R525" s="61" t="n"/>
      <c r="S525" s="61" t="n"/>
      <c r="T525" s="61" t="n"/>
      <c r="U525" s="61" t="n"/>
      <c r="V525" s="61" t="n"/>
      <c r="W525" s="61" t="n"/>
      <c r="X525" s="61" t="n"/>
      <c r="Y525" s="61" t="n"/>
    </row>
    <row r="526" hidden="1" outlineLevel="2" collapsed="1" ht="17.25" customHeight="1" thickBot="1">
      <c r="A526" s="374" t="n"/>
      <c r="B526" s="369" t="n">
        <v>42599</v>
      </c>
      <c r="C526" s="370" t="inlineStr">
        <is>
          <t>TXO</t>
        </is>
      </c>
      <c r="D526" s="371" t="inlineStr">
        <is>
          <t>台指選 08 09050 P</t>
        </is>
      </c>
      <c r="E526" s="371" t="inlineStr">
        <is>
          <t>平倉</t>
        </is>
      </c>
      <c r="F526" s="371" t="inlineStr">
        <is>
          <t>賣</t>
        </is>
      </c>
      <c r="G526" s="371" t="inlineStr">
        <is>
          <t>-</t>
        </is>
      </c>
      <c r="H526" s="785" t="n">
        <v>1</v>
      </c>
      <c r="I526" s="785" t="n">
        <v>2</v>
      </c>
      <c r="J526" s="785" t="n">
        <v>100</v>
      </c>
      <c r="K526" s="786" t="n">
        <v>40</v>
      </c>
      <c r="L526" s="786" t="n">
        <v>0</v>
      </c>
      <c r="M526" s="743">
        <f>IF(C526="TXO",J526-SUM(K526:L526),IF(C526="FITX",IF(E526="新倉",-SUM(K526:L526),IF(F526="賣",(I526-I525)*H526*200-SUM(K526:L526),(I525-I526)*H526*200-SUM(K526:L526)))))</f>
        <v/>
      </c>
      <c r="N526" s="780">
        <f>IF(C526="TXO","",IF(C526="FITX",IF(E526="新倉","",IF(F526="賣",(I526-I525)*H526,(I525-I526)*H526))))</f>
        <v/>
      </c>
      <c r="O526" s="334">
        <f>ABS(J526)</f>
        <v/>
      </c>
      <c r="P526" s="764" t="n"/>
      <c r="R526" s="61" t="n"/>
      <c r="S526" s="61" t="n"/>
      <c r="T526" s="61" t="n"/>
      <c r="U526" s="61" t="n"/>
      <c r="V526" s="61" t="n"/>
      <c r="W526" s="61" t="n"/>
      <c r="X526" s="61" t="n"/>
      <c r="Y526" s="61" t="n"/>
    </row>
    <row r="527" hidden="1" outlineLevel="2" collapsed="1" ht="17.25" customHeight="1" thickBot="1">
      <c r="A527" s="374" t="n"/>
      <c r="B527" s="369" t="n">
        <v>42599</v>
      </c>
      <c r="C527" s="370" t="inlineStr">
        <is>
          <t>TXO</t>
        </is>
      </c>
      <c r="D527" s="371" t="inlineStr">
        <is>
          <t>台指選 08 09050 P</t>
        </is>
      </c>
      <c r="E527" s="371" t="inlineStr">
        <is>
          <t>平倉</t>
        </is>
      </c>
      <c r="F527" s="371" t="inlineStr">
        <is>
          <t>賣</t>
        </is>
      </c>
      <c r="G527" s="371" t="inlineStr">
        <is>
          <t>-</t>
        </is>
      </c>
      <c r="H527" s="785" t="n">
        <v>1</v>
      </c>
      <c r="I527" s="785" t="n">
        <v>2</v>
      </c>
      <c r="J527" s="785" t="n">
        <v>100</v>
      </c>
      <c r="K527" s="786" t="n">
        <v>40</v>
      </c>
      <c r="L527" s="786" t="n">
        <v>0</v>
      </c>
      <c r="M527" s="743">
        <f>IF(C527="TXO",J527-SUM(K527:L527),IF(C527="FITX",IF(E527="新倉",-SUM(K527:L527),IF(F527="賣",(I527-I526)*H527*200-SUM(K527:L527),(I526-I527)*H527*200-SUM(K527:L527)))))</f>
        <v/>
      </c>
      <c r="N527" s="780">
        <f>IF(C527="TXO","",IF(C527="FITX",IF(E527="新倉","",IF(F527="賣",(I527-I526)*H527,(I526-I527)*H527))))</f>
        <v/>
      </c>
      <c r="O527" s="334">
        <f>ABS(J527)</f>
        <v/>
      </c>
      <c r="P527" s="764" t="n"/>
      <c r="R527" s="61" t="n"/>
      <c r="S527" s="61" t="n"/>
      <c r="T527" s="61" t="n"/>
      <c r="U527" s="61" t="n"/>
      <c r="V527" s="61" t="n"/>
      <c r="W527" s="61" t="n"/>
      <c r="X527" s="61" t="n"/>
      <c r="Y527" s="61" t="n"/>
    </row>
    <row r="528" hidden="1" outlineLevel="2" collapsed="1" ht="17.25" customHeight="1" thickBot="1">
      <c r="A528" s="374" t="n"/>
      <c r="B528" s="369" t="n">
        <v>42599</v>
      </c>
      <c r="C528" s="370" t="inlineStr">
        <is>
          <t>TXO</t>
        </is>
      </c>
      <c r="D528" s="371" t="inlineStr">
        <is>
          <t>台指選 08 09050 P</t>
        </is>
      </c>
      <c r="E528" s="371" t="inlineStr">
        <is>
          <t>平倉</t>
        </is>
      </c>
      <c r="F528" s="371" t="inlineStr">
        <is>
          <t>賣</t>
        </is>
      </c>
      <c r="G528" s="371" t="inlineStr">
        <is>
          <t>-</t>
        </is>
      </c>
      <c r="H528" s="785" t="n">
        <v>1</v>
      </c>
      <c r="I528" s="785" t="n">
        <v>2</v>
      </c>
      <c r="J528" s="785" t="n">
        <v>100</v>
      </c>
      <c r="K528" s="786" t="n">
        <v>40</v>
      </c>
      <c r="L528" s="786" t="n">
        <v>0</v>
      </c>
      <c r="M528" s="743">
        <f>IF(C528="TXO",J528-SUM(K528:L528),IF(C528="FITX",IF(E528="新倉",-SUM(K528:L528),IF(F528="賣",(I528-I527)*H528*200-SUM(K528:L528),(I527-I528)*H528*200-SUM(K528:L528)))))</f>
        <v/>
      </c>
      <c r="N528" s="780">
        <f>IF(C528="TXO","",IF(C528="FITX",IF(E528="新倉","",IF(F528="賣",(I528-I527)*H528,(I527-I528)*H528))))</f>
        <v/>
      </c>
      <c r="O528" s="334">
        <f>ABS(J528)</f>
        <v/>
      </c>
      <c r="P528" s="764" t="n"/>
      <c r="R528" s="61" t="n"/>
      <c r="S528" s="61" t="n"/>
      <c r="T528" s="61" t="n"/>
      <c r="U528" s="61" t="n"/>
      <c r="V528" s="61" t="n"/>
      <c r="W528" s="61" t="n"/>
      <c r="X528" s="61" t="n"/>
      <c r="Y528" s="61" t="n"/>
    </row>
    <row r="529" hidden="1" outlineLevel="2" collapsed="1" ht="17.25" customHeight="1" thickBot="1">
      <c r="A529" s="374" t="n"/>
      <c r="B529" s="369" t="n">
        <v>42599</v>
      </c>
      <c r="C529" s="370" t="inlineStr">
        <is>
          <t>TXO</t>
        </is>
      </c>
      <c r="D529" s="371" t="inlineStr">
        <is>
          <t>台指選 08 09050 P</t>
        </is>
      </c>
      <c r="E529" s="371" t="inlineStr">
        <is>
          <t>平倉</t>
        </is>
      </c>
      <c r="F529" s="371" t="inlineStr">
        <is>
          <t>賣</t>
        </is>
      </c>
      <c r="G529" s="371" t="inlineStr">
        <is>
          <t>-</t>
        </is>
      </c>
      <c r="H529" s="785" t="n">
        <v>1</v>
      </c>
      <c r="I529" s="785" t="n">
        <v>2</v>
      </c>
      <c r="J529" s="785" t="n">
        <v>100</v>
      </c>
      <c r="K529" s="786" t="n">
        <v>40</v>
      </c>
      <c r="L529" s="786" t="n">
        <v>0</v>
      </c>
      <c r="M529" s="743">
        <f>IF(C529="TXO",J529-SUM(K529:L529),IF(C529="FITX",IF(E529="新倉",-SUM(K529:L529),IF(F529="賣",(I529-I528)*H529*200-SUM(K529:L529),(I528-I529)*H529*200-SUM(K529:L529)))))</f>
        <v/>
      </c>
      <c r="N529" s="780">
        <f>IF(C529="TXO","",IF(C529="FITX",IF(E529="新倉","",IF(F529="賣",(I529-I528)*H529,(I528-I529)*H529))))</f>
        <v/>
      </c>
      <c r="O529" s="334">
        <f>ABS(J529)</f>
        <v/>
      </c>
      <c r="P529" s="764" t="n"/>
      <c r="R529" s="61" t="n"/>
      <c r="S529" s="61" t="n"/>
      <c r="T529" s="61" t="n"/>
      <c r="U529" s="61" t="n"/>
      <c r="V529" s="61" t="n"/>
      <c r="W529" s="61" t="n"/>
      <c r="X529" s="61" t="n"/>
      <c r="Y529" s="61" t="n"/>
    </row>
    <row r="530" hidden="1" outlineLevel="2" collapsed="1" ht="17.25" customHeight="1" thickBot="1">
      <c r="A530" s="374" t="n"/>
      <c r="B530" s="369" t="n">
        <v>42599</v>
      </c>
      <c r="C530" s="370" t="inlineStr">
        <is>
          <t>TXO</t>
        </is>
      </c>
      <c r="D530" s="371" t="inlineStr">
        <is>
          <t>台指選 08 09050 P</t>
        </is>
      </c>
      <c r="E530" s="371" t="inlineStr">
        <is>
          <t>平倉</t>
        </is>
      </c>
      <c r="F530" s="371" t="inlineStr">
        <is>
          <t>賣</t>
        </is>
      </c>
      <c r="G530" s="371" t="inlineStr">
        <is>
          <t>-</t>
        </is>
      </c>
      <c r="H530" s="785" t="n">
        <v>1</v>
      </c>
      <c r="I530" s="785" t="n">
        <v>2</v>
      </c>
      <c r="J530" s="785" t="n">
        <v>100</v>
      </c>
      <c r="K530" s="786" t="n">
        <v>40</v>
      </c>
      <c r="L530" s="786" t="n">
        <v>0</v>
      </c>
      <c r="M530" s="743">
        <f>IF(C530="TXO",J530-SUM(K530:L530),IF(C530="FITX",IF(E530="新倉",-SUM(K530:L530),IF(F530="賣",(I530-I529)*H530*200-SUM(K530:L530),(I529-I530)*H530*200-SUM(K530:L530)))))</f>
        <v/>
      </c>
      <c r="N530" s="780">
        <f>IF(C530="TXO","",IF(C530="FITX",IF(E530="新倉","",IF(F530="賣",(I530-I529)*H530,(I529-I530)*H530))))</f>
        <v/>
      </c>
      <c r="O530" s="334">
        <f>ABS(J530)</f>
        <v/>
      </c>
      <c r="P530" s="764" t="n"/>
      <c r="R530" s="61" t="n"/>
      <c r="S530" s="61" t="n"/>
      <c r="T530" s="61" t="n"/>
      <c r="U530" s="61" t="n"/>
      <c r="V530" s="61" t="n"/>
      <c r="W530" s="61" t="n"/>
      <c r="X530" s="61" t="n"/>
      <c r="Y530" s="61" t="n"/>
    </row>
    <row r="531" hidden="1" outlineLevel="2" collapsed="1" ht="17.25" customHeight="1" thickBot="1">
      <c r="A531" s="374" t="n"/>
      <c r="B531" s="369" t="n">
        <v>42599</v>
      </c>
      <c r="C531" s="370" t="inlineStr">
        <is>
          <t>TXO</t>
        </is>
      </c>
      <c r="D531" s="371" t="inlineStr">
        <is>
          <t>台指選 08 09050 P</t>
        </is>
      </c>
      <c r="E531" s="371" t="inlineStr">
        <is>
          <t>平倉</t>
        </is>
      </c>
      <c r="F531" s="371" t="inlineStr">
        <is>
          <t>賣</t>
        </is>
      </c>
      <c r="G531" s="371" t="inlineStr">
        <is>
          <t>-</t>
        </is>
      </c>
      <c r="H531" s="785" t="n">
        <v>1</v>
      </c>
      <c r="I531" s="785" t="n">
        <v>2</v>
      </c>
      <c r="J531" s="785" t="n">
        <v>100</v>
      </c>
      <c r="K531" s="786" t="n">
        <v>40</v>
      </c>
      <c r="L531" s="786" t="n">
        <v>0</v>
      </c>
      <c r="M531" s="743">
        <f>IF(C531="TXO",J531-SUM(K531:L531),IF(C531="FITX",IF(E531="新倉",-SUM(K531:L531),IF(F531="賣",(I531-I530)*H531*200-SUM(K531:L531),(I530-I531)*H531*200-SUM(K531:L531)))))</f>
        <v/>
      </c>
      <c r="N531" s="780">
        <f>IF(C531="TXO","",IF(C531="FITX",IF(E531="新倉","",IF(F531="賣",(I531-I530)*H531,(I530-I531)*H531))))</f>
        <v/>
      </c>
      <c r="O531" s="334">
        <f>ABS(J531)</f>
        <v/>
      </c>
      <c r="P531" s="764" t="n"/>
      <c r="R531" s="61" t="n"/>
      <c r="S531" s="61" t="n"/>
      <c r="T531" s="61" t="n"/>
      <c r="U531" s="61" t="n"/>
      <c r="V531" s="61" t="n"/>
      <c r="W531" s="61" t="n"/>
      <c r="X531" s="61" t="n"/>
      <c r="Y531" s="61" t="n"/>
    </row>
    <row r="532" hidden="1" outlineLevel="2" collapsed="1" ht="17.25" customHeight="1" thickBot="1">
      <c r="A532" s="374" t="n"/>
      <c r="B532" s="369" t="n">
        <v>42599</v>
      </c>
      <c r="C532" s="370" t="inlineStr">
        <is>
          <t>TXO</t>
        </is>
      </c>
      <c r="D532" s="371" t="inlineStr">
        <is>
          <t>台指選 08 09050 P</t>
        </is>
      </c>
      <c r="E532" s="371" t="inlineStr">
        <is>
          <t>平倉</t>
        </is>
      </c>
      <c r="F532" s="371" t="inlineStr">
        <is>
          <t>賣</t>
        </is>
      </c>
      <c r="G532" s="371" t="inlineStr">
        <is>
          <t>-</t>
        </is>
      </c>
      <c r="H532" s="785" t="n">
        <v>1</v>
      </c>
      <c r="I532" s="785" t="n">
        <v>2</v>
      </c>
      <c r="J532" s="785" t="n">
        <v>100</v>
      </c>
      <c r="K532" s="786" t="n">
        <v>40</v>
      </c>
      <c r="L532" s="786" t="n">
        <v>0</v>
      </c>
      <c r="M532" s="743">
        <f>IF(C532="TXO",J532-SUM(K532:L532),IF(C532="FITX",IF(E532="新倉",-SUM(K532:L532),IF(F532="賣",(I532-I531)*H532*200-SUM(K532:L532),(I531-I532)*H532*200-SUM(K532:L532)))))</f>
        <v/>
      </c>
      <c r="N532" s="780">
        <f>IF(C532="TXO","",IF(C532="FITX",IF(E532="新倉","",IF(F532="賣",(I532-I531)*H532,(I531-I532)*H532))))</f>
        <v/>
      </c>
      <c r="O532" s="334">
        <f>ABS(J532)</f>
        <v/>
      </c>
      <c r="P532" s="764" t="n"/>
      <c r="R532" s="61" t="n"/>
      <c r="S532" s="61" t="n"/>
      <c r="T532" s="61" t="n"/>
      <c r="U532" s="61" t="n"/>
      <c r="V532" s="61" t="n"/>
      <c r="W532" s="61" t="n"/>
      <c r="X532" s="61" t="n"/>
      <c r="Y532" s="61" t="n"/>
    </row>
    <row r="533" hidden="1" outlineLevel="2" collapsed="1" ht="17.25" customHeight="1" thickBot="1">
      <c r="A533" s="374" t="n"/>
      <c r="B533" s="369" t="n">
        <v>42599</v>
      </c>
      <c r="C533" s="370" t="inlineStr">
        <is>
          <t>TXO</t>
        </is>
      </c>
      <c r="D533" s="371" t="inlineStr">
        <is>
          <t>台指選 08 09050 P</t>
        </is>
      </c>
      <c r="E533" s="371" t="inlineStr">
        <is>
          <t>平倉</t>
        </is>
      </c>
      <c r="F533" s="371" t="inlineStr">
        <is>
          <t>賣</t>
        </is>
      </c>
      <c r="G533" s="371" t="inlineStr">
        <is>
          <t>-</t>
        </is>
      </c>
      <c r="H533" s="785" t="n">
        <v>1</v>
      </c>
      <c r="I533" s="785" t="n">
        <v>2</v>
      </c>
      <c r="J533" s="785" t="n">
        <v>100</v>
      </c>
      <c r="K533" s="786" t="n">
        <v>40</v>
      </c>
      <c r="L533" s="786" t="n">
        <v>0</v>
      </c>
      <c r="M533" s="743">
        <f>IF(C533="TXO",J533-SUM(K533:L533),IF(C533="FITX",IF(E533="新倉",-SUM(K533:L533),IF(F533="賣",(I533-I532)*H533*200-SUM(K533:L533),(I532-I533)*H533*200-SUM(K533:L533)))))</f>
        <v/>
      </c>
      <c r="N533" s="780">
        <f>IF(C533="TXO","",IF(C533="FITX",IF(E533="新倉","",IF(F533="賣",(I533-I532)*H533,(I532-I533)*H533))))</f>
        <v/>
      </c>
      <c r="O533" s="334">
        <f>ABS(J533)</f>
        <v/>
      </c>
      <c r="P533" s="764" t="n"/>
      <c r="R533" s="61" t="n"/>
      <c r="S533" s="61" t="n"/>
      <c r="T533" s="61" t="n"/>
      <c r="U533" s="61" t="n"/>
      <c r="V533" s="61" t="n"/>
      <c r="W533" s="61" t="n"/>
      <c r="X533" s="61" t="n"/>
      <c r="Y533" s="61" t="n"/>
    </row>
    <row r="534" hidden="1" outlineLevel="2" collapsed="1" ht="17.25" customHeight="1" thickBot="1">
      <c r="A534" s="374" t="n"/>
      <c r="B534" s="369" t="n">
        <v>42599</v>
      </c>
      <c r="C534" s="370" t="inlineStr">
        <is>
          <t>TXO</t>
        </is>
      </c>
      <c r="D534" s="371" t="inlineStr">
        <is>
          <t>台指選 08 09050 P</t>
        </is>
      </c>
      <c r="E534" s="371" t="inlineStr">
        <is>
          <t>新倉</t>
        </is>
      </c>
      <c r="F534" s="371" t="inlineStr">
        <is>
          <t>買</t>
        </is>
      </c>
      <c r="G534" s="371" t="inlineStr">
        <is>
          <t>-</t>
        </is>
      </c>
      <c r="H534" s="785" t="n">
        <v>1</v>
      </c>
      <c r="I534" s="785" t="n">
        <v>3.5</v>
      </c>
      <c r="J534" s="785" t="n">
        <v>-175</v>
      </c>
      <c r="K534" s="786" t="n">
        <v>40</v>
      </c>
      <c r="L534" s="786" t="n">
        <v>0</v>
      </c>
      <c r="M534" s="743">
        <f>IF(C534="TXO",J534-SUM(K534:L534),IF(C534="FITX",IF(E534="新倉",-SUM(K534:L534),IF(F534="賣",(I534-I533)*H534*200-SUM(K534:L534),(I533-I534)*H534*200-SUM(K534:L534)))))</f>
        <v/>
      </c>
      <c r="N534" s="780">
        <f>IF(C534="TXO","",IF(C534="FITX",IF(E534="新倉","",IF(F534="賣",(I534-I533)*H534,(I533-I534)*H534))))</f>
        <v/>
      </c>
      <c r="O534" s="334">
        <f>ABS(J534)</f>
        <v/>
      </c>
      <c r="P534" s="764" t="n"/>
      <c r="R534" s="61" t="n"/>
      <c r="S534" s="61" t="n"/>
      <c r="T534" s="61" t="n"/>
      <c r="U534" s="61" t="n"/>
      <c r="V534" s="61" t="n"/>
      <c r="W534" s="61" t="n"/>
      <c r="X534" s="61" t="n"/>
      <c r="Y534" s="61" t="n"/>
    </row>
    <row r="535" hidden="1" outlineLevel="2" collapsed="1" ht="17.25" customHeight="1" thickBot="1">
      <c r="A535" s="374" t="n"/>
      <c r="B535" s="369" t="n">
        <v>42599</v>
      </c>
      <c r="C535" s="370" t="inlineStr">
        <is>
          <t>TXO</t>
        </is>
      </c>
      <c r="D535" s="371" t="inlineStr">
        <is>
          <t>台指選 08 09050 P</t>
        </is>
      </c>
      <c r="E535" s="371" t="inlineStr">
        <is>
          <t>新倉</t>
        </is>
      </c>
      <c r="F535" s="371" t="inlineStr">
        <is>
          <t>買</t>
        </is>
      </c>
      <c r="G535" s="371" t="inlineStr">
        <is>
          <t>-</t>
        </is>
      </c>
      <c r="H535" s="785" t="n">
        <v>2</v>
      </c>
      <c r="I535" s="785" t="n">
        <v>3.3</v>
      </c>
      <c r="J535" s="785" t="n">
        <v>-330</v>
      </c>
      <c r="K535" s="786" t="n">
        <v>80</v>
      </c>
      <c r="L535" s="786" t="n">
        <v>0</v>
      </c>
      <c r="M535" s="743">
        <f>IF(C535="TXO",J535-SUM(K535:L535),IF(C535="FITX",IF(E535="新倉",-SUM(K535:L535),IF(F535="賣",(I535-I534)*H535*200-SUM(K535:L535),(I534-I535)*H535*200-SUM(K535:L535)))))</f>
        <v/>
      </c>
      <c r="N535" s="780">
        <f>IF(C535="TXO","",IF(C535="FITX",IF(E535="新倉","",IF(F535="賣",(I535-I534)*H535,(I534-I535)*H535))))</f>
        <v/>
      </c>
      <c r="O535" s="334">
        <f>ABS(J535)</f>
        <v/>
      </c>
      <c r="P535" s="764" t="n"/>
      <c r="R535" s="61" t="n"/>
      <c r="S535" s="61" t="n"/>
      <c r="T535" s="61" t="n"/>
      <c r="U535" s="61" t="n"/>
      <c r="V535" s="61" t="n"/>
      <c r="W535" s="61" t="n"/>
      <c r="X535" s="61" t="n"/>
      <c r="Y535" s="61" t="n"/>
    </row>
    <row r="536" hidden="1" outlineLevel="2" collapsed="1" ht="17.25" customHeight="1" thickBot="1">
      <c r="A536" s="374" t="n"/>
      <c r="B536" s="369" t="n">
        <v>42599</v>
      </c>
      <c r="C536" s="370" t="inlineStr">
        <is>
          <t>TXO</t>
        </is>
      </c>
      <c r="D536" s="371" t="inlineStr">
        <is>
          <t>台指選 08 09050 P</t>
        </is>
      </c>
      <c r="E536" s="371" t="inlineStr">
        <is>
          <t>新倉</t>
        </is>
      </c>
      <c r="F536" s="371" t="inlineStr">
        <is>
          <t>買</t>
        </is>
      </c>
      <c r="G536" s="371" t="inlineStr">
        <is>
          <t>-</t>
        </is>
      </c>
      <c r="H536" s="785" t="n">
        <v>3</v>
      </c>
      <c r="I536" s="785" t="n">
        <v>5.3</v>
      </c>
      <c r="J536" s="785" t="n">
        <v>-795</v>
      </c>
      <c r="K536" s="786" t="n">
        <v>120</v>
      </c>
      <c r="L536" s="786" t="n">
        <v>0</v>
      </c>
      <c r="M536" s="743">
        <f>IF(C536="TXO",J536-SUM(K536:L536),IF(C536="FITX",IF(E536="新倉",-SUM(K536:L536),IF(F536="賣",(I536-I535)*H536*200-SUM(K536:L536),(I535-I536)*H536*200-SUM(K536:L536)))))</f>
        <v/>
      </c>
      <c r="N536" s="780">
        <f>IF(C536="TXO","",IF(C536="FITX",IF(E536="新倉","",IF(F536="賣",(I536-I535)*H536,(I535-I536)*H536))))</f>
        <v/>
      </c>
      <c r="O536" s="334">
        <f>ABS(J536)</f>
        <v/>
      </c>
      <c r="P536" s="764" t="n"/>
      <c r="R536" s="61" t="n"/>
      <c r="S536" s="61" t="n"/>
      <c r="T536" s="61" t="n"/>
      <c r="U536" s="61" t="n"/>
      <c r="V536" s="61" t="n"/>
      <c r="W536" s="61" t="n"/>
      <c r="X536" s="61" t="n"/>
      <c r="Y536" s="61" t="n"/>
    </row>
    <row r="537" hidden="1" outlineLevel="2" collapsed="1" ht="17.25" customHeight="1" thickBot="1">
      <c r="A537" s="374" t="n"/>
      <c r="B537" s="369" t="n">
        <v>42599</v>
      </c>
      <c r="C537" s="370" t="inlineStr">
        <is>
          <t>TXO</t>
        </is>
      </c>
      <c r="D537" s="371" t="inlineStr">
        <is>
          <t>台指選 08 09050 P</t>
        </is>
      </c>
      <c r="E537" s="371" t="inlineStr">
        <is>
          <t>新倉</t>
        </is>
      </c>
      <c r="F537" s="371" t="inlineStr">
        <is>
          <t>買</t>
        </is>
      </c>
      <c r="G537" s="371" t="inlineStr">
        <is>
          <t>-</t>
        </is>
      </c>
      <c r="H537" s="785" t="n">
        <v>2</v>
      </c>
      <c r="I537" s="785" t="n">
        <v>6</v>
      </c>
      <c r="J537" s="785" t="n">
        <v>-600</v>
      </c>
      <c r="K537" s="786" t="n">
        <v>80</v>
      </c>
      <c r="L537" s="786" t="n">
        <v>0</v>
      </c>
      <c r="M537" s="743">
        <f>IF(C537="TXO",J537-SUM(K537:L537),IF(C537="FITX",IF(E537="新倉",-SUM(K537:L537),IF(F537="賣",(I537-I536)*H537*200-SUM(K537:L537),(I536-I537)*H537*200-SUM(K537:L537)))))</f>
        <v/>
      </c>
      <c r="N537" s="780">
        <f>IF(C537="TXO","",IF(C537="FITX",IF(E537="新倉","",IF(F537="賣",(I537-I536)*H537,(I536-I537)*H537))))</f>
        <v/>
      </c>
      <c r="O537" s="334">
        <f>ABS(J537)</f>
        <v/>
      </c>
      <c r="P537" s="764" t="n"/>
      <c r="R537" s="61" t="n"/>
      <c r="S537" s="61" t="n"/>
      <c r="T537" s="61" t="n"/>
      <c r="U537" s="61" t="n"/>
      <c r="V537" s="61" t="n"/>
      <c r="W537" s="61" t="n"/>
      <c r="X537" s="61" t="n"/>
      <c r="Y537" s="61" t="n"/>
    </row>
    <row r="538" hidden="1" outlineLevel="2" collapsed="1" ht="17.25" customHeight="1" thickBot="1">
      <c r="A538" s="374" t="n"/>
      <c r="B538" s="369" t="n">
        <v>42599</v>
      </c>
      <c r="C538" s="370" t="inlineStr">
        <is>
          <t>TXO</t>
        </is>
      </c>
      <c r="D538" s="371" t="inlineStr">
        <is>
          <t>台指選 08 09050 P</t>
        </is>
      </c>
      <c r="E538" s="371" t="inlineStr">
        <is>
          <t>新倉</t>
        </is>
      </c>
      <c r="F538" s="371" t="inlineStr">
        <is>
          <t>買</t>
        </is>
      </c>
      <c r="G538" s="371" t="inlineStr">
        <is>
          <t>-</t>
        </is>
      </c>
      <c r="H538" s="785" t="n">
        <v>1</v>
      </c>
      <c r="I538" s="785" t="n">
        <v>7</v>
      </c>
      <c r="J538" s="785" t="n">
        <v>-350</v>
      </c>
      <c r="K538" s="786" t="n">
        <v>40</v>
      </c>
      <c r="L538" s="786" t="n">
        <v>0</v>
      </c>
      <c r="M538" s="743">
        <f>IF(C538="TXO",J538-SUM(K538:L538),IF(C538="FITX",IF(E538="新倉",-SUM(K538:L538),IF(F538="賣",(I538-I537)*H538*200-SUM(K538:L538),(I537-I538)*H538*200-SUM(K538:L538)))))</f>
        <v/>
      </c>
      <c r="N538" s="780">
        <f>IF(C538="TXO","",IF(C538="FITX",IF(E538="新倉","",IF(F538="賣",(I538-I537)*H538,(I537-I538)*H538))))</f>
        <v/>
      </c>
      <c r="O538" s="334">
        <f>ABS(J538)</f>
        <v/>
      </c>
      <c r="P538" s="764" t="n"/>
      <c r="R538" s="61" t="n"/>
      <c r="S538" s="61" t="n"/>
      <c r="T538" s="61" t="n"/>
      <c r="U538" s="61" t="n"/>
      <c r="V538" s="61" t="n"/>
      <c r="W538" s="61" t="n"/>
      <c r="X538" s="61" t="n"/>
      <c r="Y538" s="61" t="n"/>
    </row>
    <row r="539" hidden="1" outlineLevel="2" collapsed="1" ht="17.25" customHeight="1" thickBot="1">
      <c r="A539" s="374" t="n"/>
      <c r="B539" s="369" t="n">
        <v>42599</v>
      </c>
      <c r="C539" s="370" t="inlineStr">
        <is>
          <t>TXO</t>
        </is>
      </c>
      <c r="D539" s="371" t="inlineStr">
        <is>
          <t>台指選 08 09050 P</t>
        </is>
      </c>
      <c r="E539" s="371" t="inlineStr">
        <is>
          <t>新倉</t>
        </is>
      </c>
      <c r="F539" s="371" t="inlineStr">
        <is>
          <t>買</t>
        </is>
      </c>
      <c r="G539" s="371" t="inlineStr">
        <is>
          <t>-</t>
        </is>
      </c>
      <c r="H539" s="785" t="n">
        <v>4</v>
      </c>
      <c r="I539" s="785" t="n">
        <v>7</v>
      </c>
      <c r="J539" s="785" t="n">
        <v>-1400</v>
      </c>
      <c r="K539" s="786" t="n">
        <v>160</v>
      </c>
      <c r="L539" s="786" t="n">
        <v>0</v>
      </c>
      <c r="M539" s="743">
        <f>IF(C539="TXO",J539-SUM(K539:L539),IF(C539="FITX",IF(E539="新倉",-SUM(K539:L539),IF(F539="賣",(I539-I538)*H539*200-SUM(K539:L539),(I538-I539)*H539*200-SUM(K539:L539)))))</f>
        <v/>
      </c>
      <c r="N539" s="780">
        <f>IF(C539="TXO","",IF(C539="FITX",IF(E539="新倉","",IF(F539="賣",(I539-I538)*H539,(I538-I539)*H539))))</f>
        <v/>
      </c>
      <c r="O539" s="334">
        <f>ABS(J539)</f>
        <v/>
      </c>
      <c r="P539" s="764" t="n"/>
      <c r="R539" s="61" t="n"/>
      <c r="S539" s="61" t="n"/>
      <c r="T539" s="61" t="n"/>
      <c r="U539" s="61" t="n"/>
      <c r="V539" s="61" t="n"/>
      <c r="W539" s="61" t="n"/>
      <c r="X539" s="61" t="n"/>
      <c r="Y539" s="61" t="n"/>
    </row>
    <row r="540" hidden="1" outlineLevel="2" collapsed="1" ht="17.25" customHeight="1" thickBot="1">
      <c r="A540" s="374" t="n"/>
      <c r="B540" s="369" t="n">
        <v>42599</v>
      </c>
      <c r="C540" s="370" t="inlineStr">
        <is>
          <t>TXO</t>
        </is>
      </c>
      <c r="D540" s="371" t="inlineStr">
        <is>
          <t>台指選 08 09050 P</t>
        </is>
      </c>
      <c r="E540" s="371" t="inlineStr">
        <is>
          <t>新倉</t>
        </is>
      </c>
      <c r="F540" s="371" t="inlineStr">
        <is>
          <t>買</t>
        </is>
      </c>
      <c r="G540" s="371" t="inlineStr">
        <is>
          <t>-</t>
        </is>
      </c>
      <c r="H540" s="785" t="n">
        <v>2</v>
      </c>
      <c r="I540" s="785" t="n">
        <v>8.6</v>
      </c>
      <c r="J540" s="785" t="n">
        <v>-860</v>
      </c>
      <c r="K540" s="786" t="n">
        <v>80</v>
      </c>
      <c r="L540" s="786" t="n">
        <v>0</v>
      </c>
      <c r="M540" s="743">
        <f>IF(C540="TXO",J540-SUM(K540:L540),IF(C540="FITX",IF(E540="新倉",-SUM(K540:L540),IF(F540="賣",(I540-I539)*H540*200-SUM(K540:L540),(I539-I540)*H540*200-SUM(K540:L540)))))</f>
        <v/>
      </c>
      <c r="N540" s="780">
        <f>IF(C540="TXO","",IF(C540="FITX",IF(E540="新倉","",IF(F540="賣",(I540-I539)*H540,(I539-I540)*H540))))</f>
        <v/>
      </c>
      <c r="O540" s="334">
        <f>ABS(J540)</f>
        <v/>
      </c>
      <c r="P540" s="764" t="n"/>
      <c r="R540" s="61" t="n"/>
      <c r="S540" s="61" t="n"/>
      <c r="T540" s="61" t="n"/>
      <c r="U540" s="61" t="n"/>
      <c r="V540" s="61" t="n"/>
      <c r="W540" s="61" t="n"/>
      <c r="X540" s="61" t="n"/>
      <c r="Y540" s="61" t="n"/>
    </row>
    <row r="541" hidden="1" outlineLevel="2" collapsed="1" ht="17.25" customHeight="1" thickBot="1">
      <c r="A541" s="374" t="n"/>
      <c r="B541" s="369" t="n">
        <v>42599</v>
      </c>
      <c r="C541" s="370" t="inlineStr">
        <is>
          <t>TXO</t>
        </is>
      </c>
      <c r="D541" s="371" t="inlineStr">
        <is>
          <t>台指選 08 09050 P</t>
        </is>
      </c>
      <c r="E541" s="371" t="inlineStr">
        <is>
          <t>新倉</t>
        </is>
      </c>
      <c r="F541" s="371" t="inlineStr">
        <is>
          <t>買</t>
        </is>
      </c>
      <c r="G541" s="371" t="inlineStr">
        <is>
          <t>-</t>
        </is>
      </c>
      <c r="H541" s="785" t="n">
        <v>5</v>
      </c>
      <c r="I541" s="785" t="n">
        <v>8.9</v>
      </c>
      <c r="J541" s="785" t="n">
        <v>-2225</v>
      </c>
      <c r="K541" s="786" t="n">
        <v>200</v>
      </c>
      <c r="L541" s="786" t="n">
        <v>0</v>
      </c>
      <c r="M541" s="743">
        <f>IF(C541="TXO",J541-SUM(K541:L541),IF(C541="FITX",IF(E541="新倉",-SUM(K541:L541),IF(F541="賣",(I541-I540)*H541*200-SUM(K541:L541),(I540-I541)*H541*200-SUM(K541:L541)))))</f>
        <v/>
      </c>
      <c r="N541" s="780">
        <f>IF(C541="TXO","",IF(C541="FITX",IF(E541="新倉","",IF(F541="賣",(I541-I540)*H541,(I540-I541)*H541))))</f>
        <v/>
      </c>
      <c r="O541" s="334">
        <f>ABS(J541)</f>
        <v/>
      </c>
      <c r="P541" s="764" t="n"/>
      <c r="R541" s="61" t="n"/>
      <c r="S541" s="61" t="n"/>
      <c r="T541" s="61" t="n"/>
      <c r="U541" s="61" t="n"/>
      <c r="V541" s="61" t="n"/>
      <c r="W541" s="61" t="n"/>
      <c r="X541" s="61" t="n"/>
      <c r="Y541" s="61" t="n"/>
    </row>
    <row r="542" hidden="1" outlineLevel="2" collapsed="1" ht="17.25" customHeight="1" thickBot="1">
      <c r="A542" s="374" t="n"/>
      <c r="B542" s="369" t="n">
        <v>42599</v>
      </c>
      <c r="C542" s="370" t="inlineStr">
        <is>
          <t>TXO</t>
        </is>
      </c>
      <c r="D542" s="371" t="inlineStr">
        <is>
          <t>台指選 08 09050 P</t>
        </is>
      </c>
      <c r="E542" s="371" t="inlineStr">
        <is>
          <t>新倉</t>
        </is>
      </c>
      <c r="F542" s="371" t="inlineStr">
        <is>
          <t>買</t>
        </is>
      </c>
      <c r="G542" s="371" t="inlineStr">
        <is>
          <t>-</t>
        </is>
      </c>
      <c r="H542" s="785" t="n">
        <v>1</v>
      </c>
      <c r="I542" s="785" t="n">
        <v>8.9</v>
      </c>
      <c r="J542" s="785" t="n">
        <v>-445</v>
      </c>
      <c r="K542" s="786" t="n">
        <v>40</v>
      </c>
      <c r="L542" s="786" t="n">
        <v>0</v>
      </c>
      <c r="M542" s="743">
        <f>IF(C542="TXO",J542-SUM(K542:L542),IF(C542="FITX",IF(E542="新倉",-SUM(K542:L542),IF(F542="賣",(I542-I541)*H542*200-SUM(K542:L542),(I541-I542)*H542*200-SUM(K542:L542)))))</f>
        <v/>
      </c>
      <c r="N542" s="780">
        <f>IF(C542="TXO","",IF(C542="FITX",IF(E542="新倉","",IF(F542="賣",(I542-I541)*H542,(I541-I542)*H542))))</f>
        <v/>
      </c>
      <c r="O542" s="334">
        <f>ABS(J542)</f>
        <v/>
      </c>
      <c r="P542" s="764" t="n"/>
      <c r="R542" s="61" t="n"/>
      <c r="S542" s="61" t="n"/>
      <c r="T542" s="61" t="n"/>
      <c r="U542" s="61" t="n"/>
      <c r="V542" s="61" t="n"/>
      <c r="W542" s="61" t="n"/>
      <c r="X542" s="61" t="n"/>
      <c r="Y542" s="61" t="n"/>
    </row>
    <row r="543" hidden="1" outlineLevel="2" collapsed="1" ht="17.25" customHeight="1" thickBot="1">
      <c r="A543" s="374" t="n"/>
      <c r="B543" s="369" t="n">
        <v>42599</v>
      </c>
      <c r="C543" s="370" t="inlineStr">
        <is>
          <t>TXO</t>
        </is>
      </c>
      <c r="D543" s="371" t="inlineStr">
        <is>
          <t>台指選 08 09050 P</t>
        </is>
      </c>
      <c r="E543" s="371" t="inlineStr">
        <is>
          <t>新倉</t>
        </is>
      </c>
      <c r="F543" s="371" t="inlineStr">
        <is>
          <t>買</t>
        </is>
      </c>
      <c r="G543" s="371" t="inlineStr">
        <is>
          <t>-</t>
        </is>
      </c>
      <c r="H543" s="785" t="n">
        <v>5</v>
      </c>
      <c r="I543" s="785" t="n">
        <v>7</v>
      </c>
      <c r="J543" s="785" t="n">
        <v>-1750</v>
      </c>
      <c r="K543" s="786" t="n">
        <v>200</v>
      </c>
      <c r="L543" s="786" t="n">
        <v>0</v>
      </c>
      <c r="M543" s="743">
        <f>IF(C543="TXO",J543-SUM(K543:L543),IF(C543="FITX",IF(E543="新倉",-SUM(K543:L543),IF(F543="賣",(I543-I542)*H543*200-SUM(K543:L543),(I542-I543)*H543*200-SUM(K543:L543)))))</f>
        <v/>
      </c>
      <c r="N543" s="780">
        <f>IF(C543="TXO","",IF(C543="FITX",IF(E543="新倉","",IF(F543="賣",(I543-I542)*H543,(I542-I543)*H543))))</f>
        <v/>
      </c>
      <c r="O543" s="334">
        <f>ABS(J543)</f>
        <v/>
      </c>
      <c r="P543" s="764" t="n"/>
      <c r="R543" s="61" t="n"/>
      <c r="S543" s="61" t="n"/>
      <c r="T543" s="61" t="n"/>
      <c r="U543" s="61" t="n"/>
      <c r="V543" s="61" t="n"/>
      <c r="W543" s="61" t="n"/>
      <c r="X543" s="61" t="n"/>
      <c r="Y543" s="61" t="n"/>
    </row>
    <row r="544" hidden="1" outlineLevel="2" collapsed="1" ht="17.25" customHeight="1" thickBot="1">
      <c r="A544" s="374" t="n"/>
      <c r="B544" s="369" t="n">
        <v>42599</v>
      </c>
      <c r="C544" s="370" t="inlineStr">
        <is>
          <t>TXO</t>
        </is>
      </c>
      <c r="D544" s="371" t="inlineStr">
        <is>
          <t>台指選 08 09050 P</t>
        </is>
      </c>
      <c r="E544" s="371" t="inlineStr">
        <is>
          <t>新倉</t>
        </is>
      </c>
      <c r="F544" s="371" t="inlineStr">
        <is>
          <t>買</t>
        </is>
      </c>
      <c r="G544" s="371" t="inlineStr">
        <is>
          <t>-</t>
        </is>
      </c>
      <c r="H544" s="785" t="n">
        <v>1</v>
      </c>
      <c r="I544" s="785" t="n">
        <v>8.9</v>
      </c>
      <c r="J544" s="785" t="n">
        <v>-445</v>
      </c>
      <c r="K544" s="786" t="n">
        <v>40</v>
      </c>
      <c r="L544" s="786" t="n">
        <v>0</v>
      </c>
      <c r="M544" s="743">
        <f>IF(C544="TXO",J544-SUM(K544:L544),IF(C544="FITX",IF(E544="新倉",-SUM(K544:L544),IF(F544="賣",(I544-I543)*H544*200-SUM(K544:L544),(I543-I544)*H544*200-SUM(K544:L544)))))</f>
        <v/>
      </c>
      <c r="N544" s="780">
        <f>IF(C544="TXO","",IF(C544="FITX",IF(E544="新倉","",IF(F544="賣",(I544-I543)*H544,(I543-I544)*H544))))</f>
        <v/>
      </c>
      <c r="O544" s="334">
        <f>ABS(J544)</f>
        <v/>
      </c>
      <c r="P544" s="764" t="n"/>
      <c r="R544" s="61" t="n"/>
      <c r="S544" s="61" t="n"/>
      <c r="T544" s="61" t="n"/>
      <c r="U544" s="61" t="n"/>
      <c r="V544" s="61" t="n"/>
      <c r="W544" s="61" t="n"/>
      <c r="X544" s="61" t="n"/>
      <c r="Y544" s="61" t="n"/>
    </row>
    <row r="545" hidden="1" outlineLevel="2" collapsed="1" ht="17.25" customHeight="1" thickBot="1">
      <c r="A545" s="374" t="n"/>
      <c r="B545" s="369" t="n">
        <v>42599</v>
      </c>
      <c r="C545" s="370" t="inlineStr">
        <is>
          <t>TXO</t>
        </is>
      </c>
      <c r="D545" s="371" t="inlineStr">
        <is>
          <t>台指選 08 09050 P</t>
        </is>
      </c>
      <c r="E545" s="371" t="inlineStr">
        <is>
          <t>新倉</t>
        </is>
      </c>
      <c r="F545" s="371" t="inlineStr">
        <is>
          <t>買</t>
        </is>
      </c>
      <c r="G545" s="371" t="inlineStr">
        <is>
          <t>-</t>
        </is>
      </c>
      <c r="H545" s="785" t="n">
        <v>1</v>
      </c>
      <c r="I545" s="785" t="n">
        <v>11</v>
      </c>
      <c r="J545" s="785" t="n">
        <v>-550</v>
      </c>
      <c r="K545" s="786" t="n">
        <v>40</v>
      </c>
      <c r="L545" s="786" t="n">
        <v>1</v>
      </c>
      <c r="M545" s="743">
        <f>IF(C545="TXO",J545-SUM(K545:L545),IF(C545="FITX",IF(E545="新倉",-SUM(K545:L545),IF(F545="賣",(I545-I544)*H545*200-SUM(K545:L545),(I544-I545)*H545*200-SUM(K545:L545)))))</f>
        <v/>
      </c>
      <c r="N545" s="780">
        <f>IF(C545="TXO","",IF(C545="FITX",IF(E545="新倉","",IF(F545="賣",(I545-I544)*H545,(I544-I545)*H545))))</f>
        <v/>
      </c>
      <c r="O545" s="334">
        <f>ABS(J545)</f>
        <v/>
      </c>
      <c r="P545" s="764" t="n"/>
      <c r="R545" s="61" t="n"/>
      <c r="S545" s="61" t="n"/>
      <c r="T545" s="61" t="n"/>
      <c r="U545" s="61" t="n"/>
      <c r="V545" s="61" t="n"/>
      <c r="W545" s="61" t="n"/>
      <c r="X545" s="61" t="n"/>
      <c r="Y545" s="61" t="n"/>
    </row>
    <row r="546" hidden="1" outlineLevel="1" collapsed="1" ht="17.25" customHeight="1" thickBot="1">
      <c r="B546" s="368" t="n">
        <v>42601</v>
      </c>
      <c r="C546" s="337" t="inlineStr">
        <is>
          <t>FITX</t>
        </is>
      </c>
      <c r="D546" s="338" t="inlineStr">
        <is>
          <t>台指09</t>
        </is>
      </c>
      <c r="E546" s="338" t="inlineStr">
        <is>
          <t>新倉</t>
        </is>
      </c>
      <c r="F546" s="338" t="inlineStr">
        <is>
          <t>買</t>
        </is>
      </c>
      <c r="G546" s="338" t="inlineStr">
        <is>
          <t>-</t>
        </is>
      </c>
      <c r="H546" s="767" t="n">
        <v>1</v>
      </c>
      <c r="I546" s="767" t="n">
        <v>9075</v>
      </c>
      <c r="J546" s="767" t="n">
        <v>0</v>
      </c>
      <c r="K546" s="769" t="n">
        <v>100</v>
      </c>
      <c r="L546" s="769" t="n">
        <v>36</v>
      </c>
      <c r="M546" s="699">
        <f>IF(C546="TXO",J546-SUM(K546:L546),IF(C546="FITX",IF(E546="新倉",-SUM(K546:L546),IF(F546="賣",(I546-I545)*H546*200-SUM(K546:L546),(I545-I546)*H546*200-SUM(K546:L546)))))</f>
        <v/>
      </c>
      <c r="N546" s="686">
        <f>IF(C546="TXO","",IF(C546="FITX",IF(E546="新倉","",IF(F546="賣",(I546-I545)*H546,(I545-I546)*H546))))</f>
        <v/>
      </c>
      <c r="O546" s="334">
        <f>ABS(J546)</f>
        <v/>
      </c>
      <c r="P546" s="667">
        <f>SUM(M546:M551)</f>
        <v/>
      </c>
      <c r="R546" s="61" t="n"/>
      <c r="S546" s="61" t="n"/>
      <c r="T546" s="61" t="n"/>
      <c r="U546" s="61" t="n"/>
      <c r="V546" s="61" t="n"/>
      <c r="W546" s="61" t="n"/>
      <c r="X546" s="61" t="n"/>
      <c r="Y546" s="61" t="n"/>
    </row>
    <row r="547" hidden="1" outlineLevel="2" ht="17.25" customHeight="1" thickBot="1">
      <c r="B547" s="368" t="n">
        <v>42601</v>
      </c>
      <c r="C547" s="337" t="inlineStr">
        <is>
          <t>FITX</t>
        </is>
      </c>
      <c r="D547" s="338" t="inlineStr">
        <is>
          <t>台指09</t>
        </is>
      </c>
      <c r="E547" s="338" t="inlineStr">
        <is>
          <t>平倉</t>
        </is>
      </c>
      <c r="F547" s="338" t="inlineStr">
        <is>
          <t>賣</t>
        </is>
      </c>
      <c r="G547" s="338" t="inlineStr">
        <is>
          <t>-</t>
        </is>
      </c>
      <c r="H547" s="767" t="n">
        <v>1</v>
      </c>
      <c r="I547" s="767" t="n">
        <v>9085</v>
      </c>
      <c r="J547" s="767" t="n">
        <v>0</v>
      </c>
      <c r="K547" s="769" t="n">
        <v>100</v>
      </c>
      <c r="L547" s="769" t="n">
        <v>36</v>
      </c>
      <c r="M547" s="699">
        <f>IF(C547="TXO",J547-SUM(K547:L547),IF(C547="FITX",IF(E547="新倉",-SUM(K547:L547),IF(F547="賣",(I547-I546)*H547*200-SUM(K547:L547),(I546-I547)*H547*200-SUM(K547:L547)))))</f>
        <v/>
      </c>
      <c r="N547" s="686">
        <f>IF(C547="TXO","",IF(C547="FITX",IF(E547="新倉","",IF(F547="賣",(I547-I546)*H547,(I546-I547)*H547))))</f>
        <v/>
      </c>
      <c r="O547" s="334">
        <f>ABS(J547)</f>
        <v/>
      </c>
      <c r="P547" s="667" t="n"/>
      <c r="R547" s="61" t="n"/>
      <c r="S547" s="61" t="n"/>
      <c r="T547" s="61" t="n"/>
      <c r="U547" s="61" t="n"/>
      <c r="V547" s="61" t="n"/>
      <c r="W547" s="61" t="n"/>
      <c r="X547" s="61" t="n"/>
      <c r="Y547" s="61" t="n"/>
    </row>
    <row r="548" hidden="1" outlineLevel="2" ht="17.25" customHeight="1" thickBot="1">
      <c r="B548" s="368" t="n">
        <v>42601</v>
      </c>
      <c r="C548" s="337" t="inlineStr">
        <is>
          <t>FITX</t>
        </is>
      </c>
      <c r="D548" s="338" t="inlineStr">
        <is>
          <t>台指09</t>
        </is>
      </c>
      <c r="E548" s="338" t="inlineStr">
        <is>
          <t>新倉</t>
        </is>
      </c>
      <c r="F548" s="338" t="inlineStr">
        <is>
          <t>買</t>
        </is>
      </c>
      <c r="G548" s="338" t="inlineStr">
        <is>
          <t>-</t>
        </is>
      </c>
      <c r="H548" s="767" t="n">
        <v>1</v>
      </c>
      <c r="I548" s="767" t="n">
        <v>9092</v>
      </c>
      <c r="J548" s="767" t="n">
        <v>0</v>
      </c>
      <c r="K548" s="769" t="n">
        <v>100</v>
      </c>
      <c r="L548" s="769" t="n">
        <v>36</v>
      </c>
      <c r="M548" s="699">
        <f>IF(C548="TXO",J548-SUM(K548:L548),IF(C548="FITX",IF(E548="新倉",-SUM(K548:L548),IF(F548="賣",(I548-I547)*H548*200-SUM(K548:L548),(I547-I548)*H548*200-SUM(K548:L548)))))</f>
        <v/>
      </c>
      <c r="N548" s="686">
        <f>IF(C548="TXO","",IF(C548="FITX",IF(E548="新倉","",IF(F548="賣",(I548-I547)*H548,(I547-I548)*H548))))</f>
        <v/>
      </c>
      <c r="O548" s="334">
        <f>ABS(J548)</f>
        <v/>
      </c>
      <c r="P548" s="667" t="n"/>
      <c r="R548" s="61" t="n"/>
      <c r="S548" s="61" t="n"/>
      <c r="T548" s="61" t="n"/>
      <c r="U548" s="61" t="n"/>
      <c r="V548" s="61" t="n"/>
      <c r="W548" s="61" t="n"/>
      <c r="X548" s="61" t="n"/>
      <c r="Y548" s="61" t="n"/>
    </row>
    <row r="549" hidden="1" outlineLevel="2" ht="17.25" customHeight="1" thickBot="1">
      <c r="B549" s="368" t="n">
        <v>42601</v>
      </c>
      <c r="C549" s="337" t="inlineStr">
        <is>
          <t>FITX</t>
        </is>
      </c>
      <c r="D549" s="338" t="inlineStr">
        <is>
          <t>台指09</t>
        </is>
      </c>
      <c r="E549" s="338" t="inlineStr">
        <is>
          <t>平倉</t>
        </is>
      </c>
      <c r="F549" s="338" t="inlineStr">
        <is>
          <t>賣</t>
        </is>
      </c>
      <c r="G549" s="338" t="inlineStr">
        <is>
          <t>-</t>
        </is>
      </c>
      <c r="H549" s="767" t="n">
        <v>1</v>
      </c>
      <c r="I549" s="767" t="n">
        <v>9098</v>
      </c>
      <c r="J549" s="767" t="n">
        <v>0</v>
      </c>
      <c r="K549" s="769" t="n">
        <v>100</v>
      </c>
      <c r="L549" s="769" t="n">
        <v>36</v>
      </c>
      <c r="M549" s="699">
        <f>IF(C549="TXO",J549-SUM(K549:L549),IF(C549="FITX",IF(E549="新倉",-SUM(K549:L549),IF(F549="賣",(I549-I548)*H549*200-SUM(K549:L549),(I548-I549)*H549*200-SUM(K549:L549)))))</f>
        <v/>
      </c>
      <c r="N549" s="686">
        <f>IF(C549="TXO","",IF(C549="FITX",IF(E549="新倉","",IF(F549="賣",(I549-I548)*H549,(I548-I549)*H549))))</f>
        <v/>
      </c>
      <c r="O549" s="334">
        <f>ABS(J549)</f>
        <v/>
      </c>
      <c r="P549" s="667" t="n"/>
      <c r="R549" s="61" t="n"/>
      <c r="S549" s="61" t="n"/>
      <c r="T549" s="61" t="n"/>
      <c r="U549" s="61" t="n"/>
      <c r="V549" s="61" t="n"/>
      <c r="W549" s="61" t="n"/>
      <c r="X549" s="61" t="n"/>
      <c r="Y549" s="61" t="n"/>
    </row>
    <row r="550" hidden="1" outlineLevel="2" ht="17.25" customHeight="1" thickBot="1">
      <c r="B550" s="368" t="n">
        <v>42601</v>
      </c>
      <c r="C550" s="337" t="inlineStr">
        <is>
          <t>FITX</t>
        </is>
      </c>
      <c r="D550" s="338" t="inlineStr">
        <is>
          <t>台指09</t>
        </is>
      </c>
      <c r="E550" s="338" t="inlineStr">
        <is>
          <t>新倉</t>
        </is>
      </c>
      <c r="F550" s="338" t="inlineStr">
        <is>
          <t>賣</t>
        </is>
      </c>
      <c r="G550" s="338" t="inlineStr">
        <is>
          <t>-</t>
        </is>
      </c>
      <c r="H550" s="767" t="n">
        <v>1</v>
      </c>
      <c r="I550" s="767" t="n">
        <v>9093</v>
      </c>
      <c r="J550" s="767" t="n">
        <v>0</v>
      </c>
      <c r="K550" s="769" t="n">
        <v>100</v>
      </c>
      <c r="L550" s="769" t="n">
        <v>36</v>
      </c>
      <c r="M550" s="699">
        <f>IF(C550="TXO",J550-SUM(K550:L550),IF(C550="FITX",IF(E550="新倉",-SUM(K550:L550),IF(F550="賣",(I550-I549)*H550*200-SUM(K550:L550),(I549-I550)*H550*200-SUM(K550:L550)))))</f>
        <v/>
      </c>
      <c r="N550" s="686">
        <f>IF(C550="TXO","",IF(C550="FITX",IF(E550="新倉","",IF(F550="賣",(I550-I549)*H550,(I549-I550)*H550))))</f>
        <v/>
      </c>
      <c r="O550" s="334">
        <f>ABS(J550)</f>
        <v/>
      </c>
      <c r="P550" s="667" t="n"/>
      <c r="R550" s="61" t="n"/>
      <c r="S550" s="61" t="n"/>
      <c r="T550" s="61" t="n"/>
      <c r="U550" s="61" t="n"/>
      <c r="V550" s="61" t="n"/>
      <c r="W550" s="61" t="n"/>
      <c r="X550" s="61" t="n"/>
      <c r="Y550" s="61" t="n"/>
    </row>
    <row r="551" hidden="1" outlineLevel="2" ht="17.25" customHeight="1" thickBot="1">
      <c r="B551" s="368" t="n">
        <v>42601</v>
      </c>
      <c r="C551" s="337" t="inlineStr">
        <is>
          <t>FITX</t>
        </is>
      </c>
      <c r="D551" s="338" t="inlineStr">
        <is>
          <t>台指09</t>
        </is>
      </c>
      <c r="E551" s="338" t="inlineStr">
        <is>
          <t>平倉</t>
        </is>
      </c>
      <c r="F551" s="338" t="inlineStr">
        <is>
          <t>買</t>
        </is>
      </c>
      <c r="G551" s="338" t="inlineStr">
        <is>
          <t>-</t>
        </is>
      </c>
      <c r="H551" s="767" t="n">
        <v>1</v>
      </c>
      <c r="I551" s="767" t="n">
        <v>9097</v>
      </c>
      <c r="J551" s="767" t="n">
        <v>0</v>
      </c>
      <c r="K551" s="769" t="n">
        <v>100</v>
      </c>
      <c r="L551" s="769" t="n">
        <v>36</v>
      </c>
      <c r="M551" s="699">
        <f>IF(C551="TXO",J551-SUM(K551:L551),IF(C551="FITX",IF(E551="新倉",-SUM(K551:L551),IF(F551="賣",(I551-I550)*H551*200-SUM(K551:L551),(I550-I551)*H551*200-SUM(K551:L551)))))</f>
        <v/>
      </c>
      <c r="N551" s="686">
        <f>IF(C551="TXO","",IF(C551="FITX",IF(E551="新倉","",IF(F551="賣",(I551-I550)*H551,(I550-I551)*H551))))</f>
        <v/>
      </c>
      <c r="O551" s="334">
        <f>ABS(J551)</f>
        <v/>
      </c>
      <c r="P551" s="667" t="n"/>
      <c r="R551" s="61" t="n"/>
      <c r="S551" s="61" t="n"/>
      <c r="T551" s="61" t="n"/>
      <c r="U551" s="61" t="n"/>
      <c r="V551" s="61" t="n"/>
      <c r="W551" s="61" t="n"/>
      <c r="X551" s="61" t="n"/>
      <c r="Y551" s="61" t="n"/>
    </row>
    <row r="552" hidden="1" outlineLevel="1" collapsed="1" ht="17.25" customHeight="1" thickBot="1">
      <c r="A552" s="374" t="n"/>
      <c r="B552" s="369" t="n">
        <v>42604</v>
      </c>
      <c r="C552" s="370" t="inlineStr">
        <is>
          <t>FITX</t>
        </is>
      </c>
      <c r="D552" s="371" t="inlineStr">
        <is>
          <t>台指09</t>
        </is>
      </c>
      <c r="E552" s="371" t="inlineStr">
        <is>
          <t>新倉</t>
        </is>
      </c>
      <c r="F552" s="371" t="inlineStr">
        <is>
          <t>賣</t>
        </is>
      </c>
      <c r="G552" s="371" t="inlineStr">
        <is>
          <t>-</t>
        </is>
      </c>
      <c r="H552" s="785" t="n">
        <v>1</v>
      </c>
      <c r="I552" s="785" t="n">
        <v>8912</v>
      </c>
      <c r="J552" s="785" t="n">
        <v>0</v>
      </c>
      <c r="K552" s="786" t="n">
        <v>100</v>
      </c>
      <c r="L552" s="786" t="n">
        <v>36</v>
      </c>
      <c r="M552" s="743">
        <f>IF(C552="TXO",J552-SUM(K552:L552),IF(C552="FITX",IF(E552="新倉",-SUM(K552:L552),IF(F552="賣",(I552-I551)*H552*200-SUM(K552:L552),(I551-I552)*H552*200-SUM(K552:L552)))))</f>
        <v/>
      </c>
      <c r="N552" s="780">
        <f>IF(C552="TXO","",IF(C552="FITX",IF(E552="新倉","",IF(F552="賣",(I552-I551)*H552,(I551-I552)*H552))))</f>
        <v/>
      </c>
      <c r="O552" s="334">
        <f>ABS(J552)</f>
        <v/>
      </c>
      <c r="P552" s="764">
        <f>SUM(M552:M559)</f>
        <v/>
      </c>
      <c r="R552" s="61" t="n"/>
      <c r="S552" s="61" t="n"/>
      <c r="T552" s="61" t="n"/>
      <c r="U552" s="61" t="n"/>
      <c r="V552" s="61" t="n"/>
      <c r="W552" s="61" t="n"/>
      <c r="X552" s="61" t="n"/>
      <c r="Y552" s="61" t="n"/>
    </row>
    <row r="553" hidden="1" outlineLevel="2" collapsed="1" ht="17.25" customHeight="1" thickBot="1">
      <c r="A553" s="374" t="n"/>
      <c r="B553" s="369" t="n">
        <v>42604</v>
      </c>
      <c r="C553" s="370" t="inlineStr">
        <is>
          <t>FITX</t>
        </is>
      </c>
      <c r="D553" s="371" t="inlineStr">
        <is>
          <t>台指09</t>
        </is>
      </c>
      <c r="E553" s="371" t="inlineStr">
        <is>
          <t>平倉</t>
        </is>
      </c>
      <c r="F553" s="371" t="inlineStr">
        <is>
          <t>買</t>
        </is>
      </c>
      <c r="G553" s="371" t="inlineStr">
        <is>
          <t>-</t>
        </is>
      </c>
      <c r="H553" s="785" t="n">
        <v>1</v>
      </c>
      <c r="I553" s="785" t="n">
        <v>8927</v>
      </c>
      <c r="J553" s="785" t="n">
        <v>0</v>
      </c>
      <c r="K553" s="786" t="n">
        <v>100</v>
      </c>
      <c r="L553" s="786" t="n">
        <v>36</v>
      </c>
      <c r="M553" s="743">
        <f>IF(C553="TXO",J553-SUM(K553:L553),IF(C553="FITX",IF(E553="新倉",-SUM(K553:L553),IF(F553="賣",(I553-I552)*H553*200-SUM(K553:L553),(I552-I553)*H553*200-SUM(K553:L553)))))</f>
        <v/>
      </c>
      <c r="N553" s="780">
        <f>IF(C553="TXO","",IF(C553="FITX",IF(E553="新倉","",IF(F553="賣",(I553-I552)*H553,(I552-I553)*H553))))</f>
        <v/>
      </c>
      <c r="O553" s="334">
        <f>ABS(J553)</f>
        <v/>
      </c>
      <c r="P553" s="764" t="n"/>
      <c r="R553" s="61" t="n"/>
      <c r="S553" s="61" t="n"/>
      <c r="T553" s="61" t="n"/>
      <c r="U553" s="61" t="n"/>
      <c r="V553" s="61" t="n"/>
      <c r="W553" s="61" t="n"/>
      <c r="X553" s="61" t="n"/>
      <c r="Y553" s="61" t="n"/>
    </row>
    <row r="554" hidden="1" outlineLevel="2" collapsed="1" ht="17.25" customHeight="1" thickBot="1">
      <c r="A554" s="374" t="n"/>
      <c r="B554" s="369" t="n">
        <v>42604</v>
      </c>
      <c r="C554" s="370" t="inlineStr">
        <is>
          <t>FITX</t>
        </is>
      </c>
      <c r="D554" s="371" t="inlineStr">
        <is>
          <t>台指09</t>
        </is>
      </c>
      <c r="E554" s="371" t="inlineStr">
        <is>
          <t>新倉</t>
        </is>
      </c>
      <c r="F554" s="371" t="inlineStr">
        <is>
          <t>賣</t>
        </is>
      </c>
      <c r="G554" s="371" t="inlineStr">
        <is>
          <t>-</t>
        </is>
      </c>
      <c r="H554" s="785" t="n">
        <v>1</v>
      </c>
      <c r="I554" s="785" t="n">
        <v>8916</v>
      </c>
      <c r="J554" s="785" t="n">
        <v>0</v>
      </c>
      <c r="K554" s="786" t="n">
        <v>100</v>
      </c>
      <c r="L554" s="786" t="n">
        <v>36</v>
      </c>
      <c r="M554" s="743">
        <f>IF(C554="TXO",J554-SUM(K554:L554),IF(C554="FITX",IF(E554="新倉",-SUM(K554:L554),IF(F554="賣",(I554-I553)*H554*200-SUM(K554:L554),(I553-I554)*H554*200-SUM(K554:L554)))))</f>
        <v/>
      </c>
      <c r="N554" s="780">
        <f>IF(C554="TXO","",IF(C554="FITX",IF(E554="新倉","",IF(F554="賣",(I554-I553)*H554,(I553-I554)*H554))))</f>
        <v/>
      </c>
      <c r="O554" s="334">
        <f>ABS(J554)</f>
        <v/>
      </c>
      <c r="P554" s="764" t="n"/>
      <c r="R554" s="61" t="n"/>
      <c r="S554" s="61" t="n"/>
      <c r="T554" s="61" t="n"/>
      <c r="U554" s="61" t="n"/>
      <c r="V554" s="61" t="n"/>
      <c r="W554" s="61" t="n"/>
      <c r="X554" s="61" t="n"/>
      <c r="Y554" s="61" t="n"/>
    </row>
    <row r="555" hidden="1" outlineLevel="2" collapsed="1" ht="17.25" customHeight="1" thickBot="1">
      <c r="A555" s="374" t="n"/>
      <c r="B555" s="369" t="n">
        <v>42604</v>
      </c>
      <c r="C555" s="370" t="inlineStr">
        <is>
          <t>FITX</t>
        </is>
      </c>
      <c r="D555" s="371" t="inlineStr">
        <is>
          <t>台指09</t>
        </is>
      </c>
      <c r="E555" s="371" t="inlineStr">
        <is>
          <t>平倉</t>
        </is>
      </c>
      <c r="F555" s="371" t="inlineStr">
        <is>
          <t>買</t>
        </is>
      </c>
      <c r="G555" s="371" t="inlineStr">
        <is>
          <t>-</t>
        </is>
      </c>
      <c r="H555" s="785" t="n">
        <v>1</v>
      </c>
      <c r="I555" s="785" t="n">
        <v>8915</v>
      </c>
      <c r="J555" s="785" t="n">
        <v>0</v>
      </c>
      <c r="K555" s="786" t="n">
        <v>100</v>
      </c>
      <c r="L555" s="786" t="n">
        <v>36</v>
      </c>
      <c r="M555" s="743">
        <f>IF(C555="TXO",J555-SUM(K555:L555),IF(C555="FITX",IF(E555="新倉",-SUM(K555:L555),IF(F555="賣",(I555-I554)*H555*200-SUM(K555:L555),(I554-I555)*H555*200-SUM(K555:L555)))))</f>
        <v/>
      </c>
      <c r="N555" s="780">
        <f>IF(C555="TXO","",IF(C555="FITX",IF(E555="新倉","",IF(F555="賣",(I555-I554)*H555,(I554-I555)*H555))))</f>
        <v/>
      </c>
      <c r="O555" s="334">
        <f>ABS(J555)</f>
        <v/>
      </c>
      <c r="P555" s="764" t="n"/>
      <c r="R555" s="61" t="n"/>
      <c r="S555" s="61" t="n"/>
      <c r="T555" s="61" t="n"/>
      <c r="U555" s="61" t="n"/>
      <c r="V555" s="61" t="n"/>
      <c r="W555" s="61" t="n"/>
      <c r="X555" s="61" t="n"/>
      <c r="Y555" s="61" t="n"/>
    </row>
    <row r="556" hidden="1" outlineLevel="2" collapsed="1" ht="17.25" customHeight="1" thickBot="1">
      <c r="A556" s="374" t="n"/>
      <c r="B556" s="369" t="n">
        <v>42604</v>
      </c>
      <c r="C556" s="370" t="inlineStr">
        <is>
          <t>FITX</t>
        </is>
      </c>
      <c r="D556" s="371" t="inlineStr">
        <is>
          <t>台指09</t>
        </is>
      </c>
      <c r="E556" s="371" t="inlineStr">
        <is>
          <t>新倉</t>
        </is>
      </c>
      <c r="F556" s="371" t="inlineStr">
        <is>
          <t>賣</t>
        </is>
      </c>
      <c r="G556" s="371" t="inlineStr">
        <is>
          <t>-</t>
        </is>
      </c>
      <c r="H556" s="785" t="n">
        <v>1</v>
      </c>
      <c r="I556" s="785" t="n">
        <v>8895</v>
      </c>
      <c r="J556" s="785" t="n">
        <v>0</v>
      </c>
      <c r="K556" s="786" t="n">
        <v>100</v>
      </c>
      <c r="L556" s="786" t="n">
        <v>36</v>
      </c>
      <c r="M556" s="743">
        <f>IF(C556="TXO",J556-SUM(K556:L556),IF(C556="FITX",IF(E556="新倉",-SUM(K556:L556),IF(F556="賣",(I556-I555)*H556*200-SUM(K556:L556),(I555-I556)*H556*200-SUM(K556:L556)))))</f>
        <v/>
      </c>
      <c r="N556" s="780">
        <f>IF(C556="TXO","",IF(C556="FITX",IF(E556="新倉","",IF(F556="賣",(I556-I555)*H556,(I555-I556)*H556))))</f>
        <v/>
      </c>
      <c r="O556" s="334">
        <f>ABS(J556)</f>
        <v/>
      </c>
      <c r="P556" s="764" t="n"/>
      <c r="R556" s="61" t="n"/>
      <c r="S556" s="61" t="n"/>
      <c r="T556" s="61" t="n"/>
      <c r="U556" s="61" t="n"/>
      <c r="V556" s="61" t="n"/>
      <c r="W556" s="61" t="n"/>
      <c r="X556" s="61" t="n"/>
      <c r="Y556" s="61" t="n"/>
    </row>
    <row r="557" hidden="1" outlineLevel="2" collapsed="1" ht="17.25" customHeight="1" thickBot="1">
      <c r="A557" s="374" t="n"/>
      <c r="B557" s="369" t="n">
        <v>42604</v>
      </c>
      <c r="C557" s="370" t="inlineStr">
        <is>
          <t>FITX</t>
        </is>
      </c>
      <c r="D557" s="371" t="inlineStr">
        <is>
          <t>台指09</t>
        </is>
      </c>
      <c r="E557" s="371" t="inlineStr">
        <is>
          <t>平倉</t>
        </is>
      </c>
      <c r="F557" s="371" t="inlineStr">
        <is>
          <t>買</t>
        </is>
      </c>
      <c r="G557" s="371" t="inlineStr">
        <is>
          <t>-</t>
        </is>
      </c>
      <c r="H557" s="785" t="n">
        <v>1</v>
      </c>
      <c r="I557" s="785" t="n">
        <v>8885</v>
      </c>
      <c r="J557" s="785" t="n">
        <v>0</v>
      </c>
      <c r="K557" s="786" t="n">
        <v>100</v>
      </c>
      <c r="L557" s="786" t="n">
        <v>36</v>
      </c>
      <c r="M557" s="743">
        <f>IF(C557="TXO",J557-SUM(K557:L557),IF(C557="FITX",IF(E557="新倉",-SUM(K557:L557),IF(F557="賣",(I557-I556)*H557*200-SUM(K557:L557),(I556-I557)*H557*200-SUM(K557:L557)))))</f>
        <v/>
      </c>
      <c r="N557" s="780">
        <f>IF(C557="TXO","",IF(C557="FITX",IF(E557="新倉","",IF(F557="賣",(I557-I556)*H557,(I556-I557)*H557))))</f>
        <v/>
      </c>
      <c r="O557" s="334">
        <f>ABS(J557)</f>
        <v/>
      </c>
      <c r="P557" s="764" t="n"/>
      <c r="R557" s="61" t="n"/>
      <c r="S557" s="61" t="n"/>
      <c r="T557" s="61" t="n"/>
      <c r="U557" s="61" t="n"/>
      <c r="V557" s="61" t="n"/>
      <c r="W557" s="61" t="n"/>
      <c r="X557" s="61" t="n"/>
      <c r="Y557" s="61" t="n"/>
    </row>
    <row r="558" hidden="1" outlineLevel="2" collapsed="1" ht="17.25" customHeight="1" thickBot="1">
      <c r="A558" s="374" t="n"/>
      <c r="B558" s="369" t="n">
        <v>42604</v>
      </c>
      <c r="C558" s="370" t="inlineStr">
        <is>
          <t>FITX</t>
        </is>
      </c>
      <c r="D558" s="371" t="inlineStr">
        <is>
          <t>台指09</t>
        </is>
      </c>
      <c r="E558" s="371" t="inlineStr">
        <is>
          <t>新倉</t>
        </is>
      </c>
      <c r="F558" s="371" t="inlineStr">
        <is>
          <t>賣</t>
        </is>
      </c>
      <c r="G558" s="371" t="inlineStr">
        <is>
          <t>-</t>
        </is>
      </c>
      <c r="H558" s="785" t="n">
        <v>1</v>
      </c>
      <c r="I558" s="785" t="n">
        <v>8873</v>
      </c>
      <c r="J558" s="785" t="n">
        <v>0</v>
      </c>
      <c r="K558" s="786" t="n">
        <v>100</v>
      </c>
      <c r="L558" s="786" t="n">
        <v>35</v>
      </c>
      <c r="M558" s="743">
        <f>IF(C558="TXO",J558-SUM(K558:L558),IF(C558="FITX",IF(E558="新倉",-SUM(K558:L558),IF(F558="賣",(I558-I557)*H558*200-SUM(K558:L558),(I557-I558)*H558*200-SUM(K558:L558)))))</f>
        <v/>
      </c>
      <c r="N558" s="780">
        <f>IF(C558="TXO","",IF(C558="FITX",IF(E558="新倉","",IF(F558="賣",(I558-I557)*H558,(I557-I558)*H558))))</f>
        <v/>
      </c>
      <c r="O558" s="334">
        <f>ABS(J558)</f>
        <v/>
      </c>
      <c r="P558" s="764" t="n"/>
      <c r="R558" s="61" t="n"/>
      <c r="S558" s="61" t="n"/>
      <c r="T558" s="61" t="n"/>
      <c r="U558" s="61" t="n"/>
      <c r="V558" s="61" t="n"/>
      <c r="W558" s="61" t="n"/>
      <c r="X558" s="61" t="n"/>
      <c r="Y558" s="61" t="n"/>
    </row>
    <row r="559" hidden="1" outlineLevel="2" collapsed="1" ht="17.25" customHeight="1" thickBot="1">
      <c r="A559" s="374" t="n"/>
      <c r="B559" s="369" t="n">
        <v>42604</v>
      </c>
      <c r="C559" s="370" t="inlineStr">
        <is>
          <t>FITX</t>
        </is>
      </c>
      <c r="D559" s="371" t="inlineStr">
        <is>
          <t>台指09</t>
        </is>
      </c>
      <c r="E559" s="371" t="inlineStr">
        <is>
          <t>平倉</t>
        </is>
      </c>
      <c r="F559" s="371" t="inlineStr">
        <is>
          <t>買</t>
        </is>
      </c>
      <c r="G559" s="371" t="inlineStr">
        <is>
          <t>-</t>
        </is>
      </c>
      <c r="H559" s="785" t="n">
        <v>1</v>
      </c>
      <c r="I559" s="785" t="n">
        <v>8887</v>
      </c>
      <c r="J559" s="785" t="n">
        <v>0</v>
      </c>
      <c r="K559" s="786" t="n">
        <v>100</v>
      </c>
      <c r="L559" s="786" t="n">
        <v>36</v>
      </c>
      <c r="M559" s="743">
        <f>IF(C559="TXO",J559-SUM(K559:L559),IF(C559="FITX",IF(E559="新倉",-SUM(K559:L559),IF(F559="賣",(I559-I558)*H559*200-SUM(K559:L559),(I558-I559)*H559*200-SUM(K559:L559)))))</f>
        <v/>
      </c>
      <c r="N559" s="780">
        <f>IF(C559="TXO","",IF(C559="FITX",IF(E559="新倉","",IF(F559="賣",(I559-I558)*H559,(I558-I559)*H559))))</f>
        <v/>
      </c>
      <c r="O559" s="334">
        <f>ABS(J559)</f>
        <v/>
      </c>
      <c r="P559" s="764" t="n"/>
      <c r="R559" s="61" t="n"/>
      <c r="S559" s="61" t="n"/>
      <c r="T559" s="61" t="n"/>
      <c r="U559" s="61" t="n"/>
      <c r="V559" s="61" t="n"/>
      <c r="W559" s="61" t="n"/>
      <c r="X559" s="61" t="n"/>
      <c r="Y559" s="61" t="n"/>
    </row>
    <row r="560" hidden="1" outlineLevel="1" collapsed="1" ht="17.25" customHeight="1" thickBot="1">
      <c r="B560" s="368" t="n">
        <v>42605</v>
      </c>
      <c r="C560" s="337" t="inlineStr">
        <is>
          <t>FITX</t>
        </is>
      </c>
      <c r="D560" s="338" t="inlineStr">
        <is>
          <t>台指09</t>
        </is>
      </c>
      <c r="E560" s="338" t="inlineStr">
        <is>
          <t>新倉</t>
        </is>
      </c>
      <c r="F560" s="338" t="inlineStr">
        <is>
          <t>買</t>
        </is>
      </c>
      <c r="G560" s="338" t="inlineStr">
        <is>
          <t>-</t>
        </is>
      </c>
      <c r="H560" s="767" t="n">
        <v>1</v>
      </c>
      <c r="I560" s="767" t="n">
        <v>8924</v>
      </c>
      <c r="J560" s="767" t="n">
        <v>0</v>
      </c>
      <c r="K560" s="769" t="n">
        <v>100</v>
      </c>
      <c r="L560" s="769" t="n">
        <v>36</v>
      </c>
      <c r="M560" s="699">
        <f>IF(C560="TXO",J560-SUM(K560:L560),IF(C560="FITX",IF(E560="新倉",-SUM(K560:L560),IF(F560="賣",(I560-I559)*H560*200-SUM(K560:L560),(I559-I560)*H560*200-SUM(K560:L560)))))</f>
        <v/>
      </c>
      <c r="N560" s="686">
        <f>IF(C560="TXO","",IF(C560="FITX",IF(E560="新倉","",IF(F560="賣",(I560-I559)*H560,(I559-I560)*H560))))</f>
        <v/>
      </c>
      <c r="O560" s="334">
        <f>ABS(J560)</f>
        <v/>
      </c>
      <c r="P560" s="667">
        <f>SUM(M560:M567)</f>
        <v/>
      </c>
      <c r="R560" s="61" t="n"/>
      <c r="S560" s="61" t="n"/>
      <c r="T560" s="61" t="n"/>
      <c r="U560" s="61" t="n"/>
      <c r="V560" s="61" t="n"/>
      <c r="W560" s="61" t="n"/>
      <c r="X560" s="61" t="n"/>
      <c r="Y560" s="61" t="n"/>
    </row>
    <row r="561" hidden="1" outlineLevel="2" collapsed="1" ht="16.5" customHeight="1">
      <c r="B561" s="368" t="n">
        <v>42605</v>
      </c>
      <c r="C561" s="337" t="inlineStr">
        <is>
          <t>FITX</t>
        </is>
      </c>
      <c r="D561" s="338" t="inlineStr">
        <is>
          <t>台指09</t>
        </is>
      </c>
      <c r="E561" s="338" t="inlineStr">
        <is>
          <t>平倉</t>
        </is>
      </c>
      <c r="F561" s="338" t="inlineStr">
        <is>
          <t>賣</t>
        </is>
      </c>
      <c r="G561" s="338" t="inlineStr">
        <is>
          <t>-</t>
        </is>
      </c>
      <c r="H561" s="767" t="n">
        <v>1</v>
      </c>
      <c r="I561" s="767" t="n">
        <v>8927</v>
      </c>
      <c r="J561" s="767" t="n">
        <v>0</v>
      </c>
      <c r="K561" s="769" t="n">
        <v>100</v>
      </c>
      <c r="L561" s="769" t="n">
        <v>36</v>
      </c>
      <c r="M561" s="699">
        <f>IF(C561="TXO",J561-SUM(K561:L561),IF(C561="FITX",IF(E561="新倉",-SUM(K561:L561),IF(F561="賣",(I561-I560)*H561*200-SUM(K561:L561),(I560-I561)*H561*200-SUM(K561:L561)))))</f>
        <v/>
      </c>
      <c r="N561" s="686">
        <f>IF(C561="TXO","",IF(C561="FITX",IF(E561="新倉","",IF(F561="賣",(I561-I560)*H561,(I560-I561)*H561))))</f>
        <v/>
      </c>
      <c r="O561" s="334">
        <f>ABS(J561)</f>
        <v/>
      </c>
      <c r="P561" s="667" t="n"/>
      <c r="R561" s="61" t="n"/>
      <c r="S561" s="61" t="n"/>
      <c r="T561" s="61" t="n"/>
      <c r="U561" s="61" t="n"/>
      <c r="V561" s="61" t="n"/>
      <c r="W561" s="61" t="n"/>
      <c r="X561" s="61" t="n"/>
      <c r="Y561" s="61" t="n"/>
    </row>
    <row r="562" hidden="1" outlineLevel="2" collapsed="1" ht="16.5" customHeight="1">
      <c r="B562" s="368" t="n">
        <v>42605</v>
      </c>
      <c r="C562" s="337" t="inlineStr">
        <is>
          <t>FITX</t>
        </is>
      </c>
      <c r="D562" s="338" t="inlineStr">
        <is>
          <t>台指09</t>
        </is>
      </c>
      <c r="E562" s="338" t="inlineStr">
        <is>
          <t>新倉</t>
        </is>
      </c>
      <c r="F562" s="338" t="inlineStr">
        <is>
          <t>買</t>
        </is>
      </c>
      <c r="G562" s="338" t="inlineStr">
        <is>
          <t>-</t>
        </is>
      </c>
      <c r="H562" s="767" t="n">
        <v>1</v>
      </c>
      <c r="I562" s="767" t="n">
        <v>8924</v>
      </c>
      <c r="J562" s="767" t="n">
        <v>0</v>
      </c>
      <c r="K562" s="769" t="n">
        <v>100</v>
      </c>
      <c r="L562" s="769" t="n">
        <v>36</v>
      </c>
      <c r="M562" s="699">
        <f>IF(C562="TXO",J562-SUM(K562:L562),IF(C562="FITX",IF(E562="新倉",-SUM(K562:L562),IF(F562="賣",(I562-I561)*H562*200-SUM(K562:L562),(I561-I562)*H562*200-SUM(K562:L562)))))</f>
        <v/>
      </c>
      <c r="N562" s="686">
        <f>IF(C562="TXO","",IF(C562="FITX",IF(E562="新倉","",IF(F562="賣",(I562-I561)*H562,(I561-I562)*H562))))</f>
        <v/>
      </c>
      <c r="O562" s="334">
        <f>ABS(J562)</f>
        <v/>
      </c>
      <c r="P562" s="667" t="n"/>
      <c r="R562" s="61" t="n"/>
      <c r="S562" s="61" t="n"/>
      <c r="T562" s="61" t="n"/>
      <c r="U562" s="61" t="n"/>
      <c r="V562" s="61" t="n"/>
      <c r="W562" s="61" t="n"/>
      <c r="X562" s="61" t="n"/>
      <c r="Y562" s="61" t="n"/>
    </row>
    <row r="563" hidden="1" outlineLevel="2" collapsed="1" ht="16.5" customHeight="1">
      <c r="B563" s="368" t="n">
        <v>42605</v>
      </c>
      <c r="C563" s="337" t="inlineStr">
        <is>
          <t>FITX</t>
        </is>
      </c>
      <c r="D563" s="338" t="inlineStr">
        <is>
          <t>台指09</t>
        </is>
      </c>
      <c r="E563" s="338" t="inlineStr">
        <is>
          <t>平倉</t>
        </is>
      </c>
      <c r="F563" s="338" t="inlineStr">
        <is>
          <t>賣</t>
        </is>
      </c>
      <c r="G563" s="338" t="inlineStr">
        <is>
          <t>-</t>
        </is>
      </c>
      <c r="H563" s="767" t="n">
        <v>1</v>
      </c>
      <c r="I563" s="767" t="n">
        <v>8922</v>
      </c>
      <c r="J563" s="767" t="n">
        <v>0</v>
      </c>
      <c r="K563" s="769" t="n">
        <v>100</v>
      </c>
      <c r="L563" s="769" t="n">
        <v>36</v>
      </c>
      <c r="M563" s="699">
        <f>IF(C563="TXO",J563-SUM(K563:L563),IF(C563="FITX",IF(E563="新倉",-SUM(K563:L563),IF(F563="賣",(I563-I562)*H563*200-SUM(K563:L563),(I562-I563)*H563*200-SUM(K563:L563)))))</f>
        <v/>
      </c>
      <c r="N563" s="686">
        <f>IF(C563="TXO","",IF(C563="FITX",IF(E563="新倉","",IF(F563="賣",(I563-I562)*H563,(I562-I563)*H563))))</f>
        <v/>
      </c>
      <c r="O563" s="334">
        <f>ABS(J563)</f>
        <v/>
      </c>
      <c r="P563" s="667" t="n"/>
      <c r="R563" s="61" t="n"/>
      <c r="S563" s="61" t="n"/>
      <c r="T563" s="61" t="n"/>
      <c r="U563" s="61" t="n"/>
      <c r="V563" s="61" t="n"/>
      <c r="W563" s="61" t="n"/>
      <c r="X563" s="61" t="n"/>
      <c r="Y563" s="61" t="n"/>
    </row>
    <row r="564" hidden="1" outlineLevel="2" collapsed="1" ht="16.5" customHeight="1">
      <c r="B564" s="368" t="n">
        <v>42605</v>
      </c>
      <c r="C564" s="337" t="inlineStr">
        <is>
          <t>FITX</t>
        </is>
      </c>
      <c r="D564" s="338" t="inlineStr">
        <is>
          <t>台指09</t>
        </is>
      </c>
      <c r="E564" s="338" t="inlineStr">
        <is>
          <t>新倉</t>
        </is>
      </c>
      <c r="F564" s="338" t="inlineStr">
        <is>
          <t>買</t>
        </is>
      </c>
      <c r="G564" s="338" t="inlineStr">
        <is>
          <t>-</t>
        </is>
      </c>
      <c r="H564" s="767" t="n">
        <v>1</v>
      </c>
      <c r="I564" s="767" t="n">
        <v>8929</v>
      </c>
      <c r="J564" s="767" t="n">
        <v>0</v>
      </c>
      <c r="K564" s="769" t="n">
        <v>100</v>
      </c>
      <c r="L564" s="769" t="n">
        <v>36</v>
      </c>
      <c r="M564" s="699">
        <f>IF(C564="TXO",J564-SUM(K564:L564),IF(C564="FITX",IF(E564="新倉",-SUM(K564:L564),IF(F564="賣",(I564-I563)*H564*200-SUM(K564:L564),(I563-I564)*H564*200-SUM(K564:L564)))))</f>
        <v/>
      </c>
      <c r="N564" s="686">
        <f>IF(C564="TXO","",IF(C564="FITX",IF(E564="新倉","",IF(F564="賣",(I564-I563)*H564,(I563-I564)*H564))))</f>
        <v/>
      </c>
      <c r="O564" s="334">
        <f>ABS(J564)</f>
        <v/>
      </c>
      <c r="P564" s="667" t="n"/>
      <c r="R564" s="61" t="n"/>
      <c r="S564" s="61" t="n"/>
      <c r="T564" s="61" t="n"/>
      <c r="U564" s="61" t="n"/>
      <c r="V564" s="61" t="n"/>
      <c r="W564" s="61" t="n"/>
      <c r="X564" s="61" t="n"/>
      <c r="Y564" s="61" t="n"/>
    </row>
    <row r="565" hidden="1" outlineLevel="2" collapsed="1" ht="16.5" customHeight="1">
      <c r="B565" s="368" t="n">
        <v>42605</v>
      </c>
      <c r="C565" s="337" t="inlineStr">
        <is>
          <t>FITX</t>
        </is>
      </c>
      <c r="D565" s="338" t="inlineStr">
        <is>
          <t>台指09</t>
        </is>
      </c>
      <c r="E565" s="338" t="inlineStr">
        <is>
          <t>平倉</t>
        </is>
      </c>
      <c r="F565" s="338" t="inlineStr">
        <is>
          <t>賣</t>
        </is>
      </c>
      <c r="G565" s="338" t="inlineStr">
        <is>
          <t>-</t>
        </is>
      </c>
      <c r="H565" s="767" t="n">
        <v>1</v>
      </c>
      <c r="I565" s="767" t="n">
        <v>8921</v>
      </c>
      <c r="J565" s="767" t="n">
        <v>0</v>
      </c>
      <c r="K565" s="769" t="n">
        <v>100</v>
      </c>
      <c r="L565" s="769" t="n">
        <v>36</v>
      </c>
      <c r="M565" s="699">
        <f>IF(C565="TXO",J565-SUM(K565:L565),IF(C565="FITX",IF(E565="新倉",-SUM(K565:L565),IF(F565="賣",(I565-I564)*H565*200-SUM(K565:L565),(I564-I565)*H565*200-SUM(K565:L565)))))</f>
        <v/>
      </c>
      <c r="N565" s="686">
        <f>IF(C565="TXO","",IF(C565="FITX",IF(E565="新倉","",IF(F565="賣",(I565-I564)*H565,(I564-I565)*H565))))</f>
        <v/>
      </c>
      <c r="O565" s="334">
        <f>ABS(J565)</f>
        <v/>
      </c>
      <c r="P565" s="667" t="n"/>
      <c r="R565" s="61" t="n"/>
      <c r="S565" s="61" t="n"/>
      <c r="T565" s="61" t="n"/>
      <c r="U565" s="61" t="n"/>
      <c r="V565" s="61" t="n"/>
      <c r="W565" s="61" t="n"/>
      <c r="X565" s="61" t="n"/>
      <c r="Y565" s="61" t="n"/>
    </row>
    <row r="566" hidden="1" outlineLevel="2" collapsed="1" ht="16.5" customHeight="1">
      <c r="B566" s="368" t="n">
        <v>42605</v>
      </c>
      <c r="C566" s="337" t="inlineStr">
        <is>
          <t>FITX</t>
        </is>
      </c>
      <c r="D566" s="338" t="inlineStr">
        <is>
          <t>台指09</t>
        </is>
      </c>
      <c r="E566" s="338" t="inlineStr">
        <is>
          <t>新倉</t>
        </is>
      </c>
      <c r="F566" s="338" t="inlineStr">
        <is>
          <t>買</t>
        </is>
      </c>
      <c r="G566" s="338" t="inlineStr">
        <is>
          <t>-</t>
        </is>
      </c>
      <c r="H566" s="767" t="n">
        <v>1</v>
      </c>
      <c r="I566" s="767" t="n">
        <v>8960</v>
      </c>
      <c r="J566" s="767" t="n">
        <v>0</v>
      </c>
      <c r="K566" s="769" t="n">
        <v>100</v>
      </c>
      <c r="L566" s="769" t="n">
        <v>36</v>
      </c>
      <c r="M566" s="699">
        <f>IF(C566="TXO",J566-SUM(K566:L566),IF(C566="FITX",IF(E566="新倉",-SUM(K566:L566),IF(F566="賣",(I566-I565)*H566*200-SUM(K566:L566),(I565-I566)*H566*200-SUM(K566:L566)))))</f>
        <v/>
      </c>
      <c r="N566" s="686">
        <f>IF(C566="TXO","",IF(C566="FITX",IF(E566="新倉","",IF(F566="賣",(I566-I565)*H566,(I565-I566)*H566))))</f>
        <v/>
      </c>
      <c r="O566" s="334">
        <f>ABS(J566)</f>
        <v/>
      </c>
      <c r="P566" s="667" t="n"/>
      <c r="R566" s="61" t="n"/>
      <c r="S566" s="61" t="n"/>
      <c r="T566" s="61" t="n"/>
      <c r="U566" s="61" t="n"/>
      <c r="V566" s="61" t="n"/>
      <c r="W566" s="61" t="n"/>
      <c r="X566" s="61" t="n"/>
      <c r="Y566" s="61" t="n"/>
    </row>
    <row r="567" hidden="1" outlineLevel="2" collapsed="1" ht="16.5" customHeight="1">
      <c r="B567" s="368" t="n">
        <v>42605</v>
      </c>
      <c r="C567" s="337" t="inlineStr">
        <is>
          <t>FITX</t>
        </is>
      </c>
      <c r="D567" s="338" t="inlineStr">
        <is>
          <t>台指09</t>
        </is>
      </c>
      <c r="E567" s="338" t="inlineStr">
        <is>
          <t>平倉</t>
        </is>
      </c>
      <c r="F567" s="338" t="inlineStr">
        <is>
          <t>賣</t>
        </is>
      </c>
      <c r="G567" s="338" t="inlineStr">
        <is>
          <t>-</t>
        </is>
      </c>
      <c r="H567" s="767" t="n">
        <v>1</v>
      </c>
      <c r="I567" s="767" t="n">
        <v>8964</v>
      </c>
      <c r="J567" s="767" t="n">
        <v>0</v>
      </c>
      <c r="K567" s="769" t="n">
        <v>100</v>
      </c>
      <c r="L567" s="769" t="n">
        <v>36</v>
      </c>
      <c r="M567" s="699">
        <f>IF(C567="TXO",J567-SUM(K567:L567),IF(C567="FITX",IF(E567="新倉",-SUM(K567:L567),IF(F567="賣",(I567-I566)*H567*200-SUM(K567:L567),(I566-I567)*H567*200-SUM(K567:L567)))))</f>
        <v/>
      </c>
      <c r="N567" s="686">
        <f>IF(C567="TXO","",IF(C567="FITX",IF(E567="新倉","",IF(F567="賣",(I567-I566)*H567,(I566-I567)*H567))))</f>
        <v/>
      </c>
      <c r="O567" s="334">
        <f>ABS(J567)</f>
        <v/>
      </c>
      <c r="P567" s="667" t="n"/>
      <c r="R567" s="61" t="n"/>
      <c r="S567" s="61" t="n"/>
      <c r="T567" s="61" t="n"/>
      <c r="U567" s="61" t="n"/>
      <c r="V567" s="61" t="n"/>
      <c r="W567" s="61" t="n"/>
      <c r="X567" s="61" t="n"/>
      <c r="Y567" s="61" t="n"/>
    </row>
    <row r="568" hidden="1" outlineLevel="1" collapsed="1" ht="16.5" customHeight="1">
      <c r="A568" s="374" t="n"/>
      <c r="B568" s="369" t="n">
        <v>42607</v>
      </c>
      <c r="C568" s="370" t="inlineStr">
        <is>
          <t>FITX</t>
        </is>
      </c>
      <c r="D568" s="371" t="inlineStr">
        <is>
          <t>台指09</t>
        </is>
      </c>
      <c r="E568" s="371" t="inlineStr">
        <is>
          <t>新倉</t>
        </is>
      </c>
      <c r="F568" s="371" t="inlineStr">
        <is>
          <t>買</t>
        </is>
      </c>
      <c r="G568" s="371" t="inlineStr">
        <is>
          <t>-</t>
        </is>
      </c>
      <c r="H568" s="785" t="n">
        <v>1</v>
      </c>
      <c r="I568" s="785" t="n">
        <v>8972</v>
      </c>
      <c r="J568" s="785" t="n">
        <v>0</v>
      </c>
      <c r="K568" s="786" t="n">
        <v>100</v>
      </c>
      <c r="L568" s="786" t="n">
        <v>36</v>
      </c>
      <c r="M568" s="743">
        <f>IF(C568="TXO",J568-SUM(K568:L568),IF(C568="FITX",IF(E568="新倉",-SUM(K568:L568),IF(F568="賣",(I568-I567)*H568*200-SUM(K568:L568),(I567-I568)*H568*200-SUM(K568:L568)))))</f>
        <v/>
      </c>
      <c r="N568" s="780">
        <f>IF(C568="TXO","",IF(C568="FITX",IF(E568="新倉","",IF(F568="賣",(I568-I567)*H568,(I567-I568)*H568))))</f>
        <v/>
      </c>
      <c r="O568" s="334">
        <f>ABS(J568)</f>
        <v/>
      </c>
      <c r="P568" s="764">
        <f>SUM(M568:M589)</f>
        <v/>
      </c>
      <c r="R568" s="61" t="n"/>
      <c r="S568" s="61" t="n"/>
      <c r="T568" s="61" t="n"/>
      <c r="U568" s="61" t="n"/>
      <c r="V568" s="61" t="n"/>
      <c r="W568" s="61" t="n"/>
      <c r="X568" s="61" t="n"/>
      <c r="Y568" s="61" t="n"/>
    </row>
    <row r="569" hidden="1" outlineLevel="2" ht="16.5" customHeight="1">
      <c r="A569" s="374" t="n"/>
      <c r="B569" s="369" t="n">
        <v>42607</v>
      </c>
      <c r="C569" s="370" t="inlineStr">
        <is>
          <t>FITX</t>
        </is>
      </c>
      <c r="D569" s="371" t="inlineStr">
        <is>
          <t>台指09</t>
        </is>
      </c>
      <c r="E569" s="371" t="inlineStr">
        <is>
          <t>平倉</t>
        </is>
      </c>
      <c r="F569" s="371" t="inlineStr">
        <is>
          <t>賣</t>
        </is>
      </c>
      <c r="G569" s="371" t="inlineStr">
        <is>
          <t>-</t>
        </is>
      </c>
      <c r="H569" s="785" t="n">
        <v>1</v>
      </c>
      <c r="I569" s="785" t="n">
        <v>8987</v>
      </c>
      <c r="J569" s="785" t="n">
        <v>0</v>
      </c>
      <c r="K569" s="786" t="n">
        <v>100</v>
      </c>
      <c r="L569" s="786" t="n">
        <v>36</v>
      </c>
      <c r="M569" s="743">
        <f>IF(C569="TXO",J569-SUM(K569:L569),IF(C569="FITX",IF(E569="新倉",-SUM(K569:L569),IF(F569="賣",(I569-I568)*H569*200-SUM(K569:L569),(I568-I569)*H569*200-SUM(K569:L569)))))</f>
        <v/>
      </c>
      <c r="N569" s="780">
        <f>IF(C569="TXO","",IF(C569="FITX",IF(E569="新倉","",IF(F569="賣",(I569-I568)*H569,(I568-I569)*H569))))</f>
        <v/>
      </c>
      <c r="O569" s="334">
        <f>ABS(J569)</f>
        <v/>
      </c>
      <c r="P569" s="764" t="n"/>
      <c r="R569" s="61" t="n"/>
      <c r="S569" s="61" t="n"/>
      <c r="T569" s="61" t="n"/>
      <c r="U569" s="61" t="n"/>
      <c r="V569" s="61" t="n"/>
      <c r="W569" s="61" t="n"/>
      <c r="X569" s="61" t="n"/>
      <c r="Y569" s="61" t="n"/>
    </row>
    <row r="570" hidden="1" outlineLevel="2" ht="16.5" customHeight="1">
      <c r="A570" s="374" t="n"/>
      <c r="B570" s="369" t="n">
        <v>42607</v>
      </c>
      <c r="C570" s="370" t="inlineStr">
        <is>
          <t>FITX</t>
        </is>
      </c>
      <c r="D570" s="371" t="inlineStr">
        <is>
          <t>台指09</t>
        </is>
      </c>
      <c r="E570" s="371" t="inlineStr">
        <is>
          <t>新倉</t>
        </is>
      </c>
      <c r="F570" s="371" t="inlineStr">
        <is>
          <t>買</t>
        </is>
      </c>
      <c r="G570" s="371" t="inlineStr">
        <is>
          <t>-</t>
        </is>
      </c>
      <c r="H570" s="785" t="n">
        <v>1</v>
      </c>
      <c r="I570" s="785" t="n">
        <v>9006</v>
      </c>
      <c r="J570" s="785" t="n">
        <v>0</v>
      </c>
      <c r="K570" s="786" t="n">
        <v>100</v>
      </c>
      <c r="L570" s="786" t="n">
        <v>36</v>
      </c>
      <c r="M570" s="743">
        <f>IF(C570="TXO",J570-SUM(K570:L570),IF(C570="FITX",IF(E570="新倉",-SUM(K570:L570),IF(F570="賣",(I570-I569)*H570*200-SUM(K570:L570),(I569-I570)*H570*200-SUM(K570:L570)))))</f>
        <v/>
      </c>
      <c r="N570" s="780">
        <f>IF(C570="TXO","",IF(C570="FITX",IF(E570="新倉","",IF(F570="賣",(I570-I569)*H570,(I569-I570)*H570))))</f>
        <v/>
      </c>
      <c r="O570" s="334">
        <f>ABS(J570)</f>
        <v/>
      </c>
      <c r="P570" s="764" t="n"/>
      <c r="R570" s="61" t="n"/>
      <c r="S570" s="61" t="n"/>
      <c r="T570" s="61" t="n"/>
      <c r="U570" s="61" t="n"/>
      <c r="V570" s="61" t="n"/>
      <c r="W570" s="61" t="n"/>
      <c r="X570" s="61" t="n"/>
      <c r="Y570" s="61" t="n"/>
    </row>
    <row r="571" hidden="1" outlineLevel="2" ht="16.5" customHeight="1">
      <c r="A571" s="374" t="n"/>
      <c r="B571" s="369" t="n">
        <v>42607</v>
      </c>
      <c r="C571" s="370" t="inlineStr">
        <is>
          <t>FITX</t>
        </is>
      </c>
      <c r="D571" s="371" t="inlineStr">
        <is>
          <t>台指09</t>
        </is>
      </c>
      <c r="E571" s="371" t="inlineStr">
        <is>
          <t>平倉</t>
        </is>
      </c>
      <c r="F571" s="371" t="inlineStr">
        <is>
          <t>賣</t>
        </is>
      </c>
      <c r="G571" s="371" t="inlineStr">
        <is>
          <t>-</t>
        </is>
      </c>
      <c r="H571" s="785" t="n">
        <v>1</v>
      </c>
      <c r="I571" s="785" t="n">
        <v>8997</v>
      </c>
      <c r="J571" s="785" t="n">
        <v>0</v>
      </c>
      <c r="K571" s="786" t="n">
        <v>100</v>
      </c>
      <c r="L571" s="786" t="n">
        <v>36</v>
      </c>
      <c r="M571" s="743">
        <f>IF(C571="TXO",J571-SUM(K571:L571),IF(C571="FITX",IF(E571="新倉",-SUM(K571:L571),IF(F571="賣",(I571-I570)*H571*200-SUM(K571:L571),(I570-I571)*H571*200-SUM(K571:L571)))))</f>
        <v/>
      </c>
      <c r="N571" s="780">
        <f>IF(C571="TXO","",IF(C571="FITX",IF(E571="新倉","",IF(F571="賣",(I571-I570)*H571,(I570-I571)*H571))))</f>
        <v/>
      </c>
      <c r="O571" s="334">
        <f>ABS(J571)</f>
        <v/>
      </c>
      <c r="P571" s="764" t="n"/>
      <c r="R571" s="61" t="n"/>
      <c r="S571" s="61" t="n"/>
      <c r="T571" s="61" t="n"/>
      <c r="U571" s="61" t="n"/>
      <c r="V571" s="61" t="n"/>
      <c r="W571" s="61" t="n"/>
      <c r="X571" s="61" t="n"/>
      <c r="Y571" s="61" t="n"/>
    </row>
    <row r="572" hidden="1" outlineLevel="2" ht="16.5" customHeight="1">
      <c r="A572" s="374" t="n"/>
      <c r="B572" s="369" t="n">
        <v>42607</v>
      </c>
      <c r="C572" s="370" t="inlineStr">
        <is>
          <t>FITX</t>
        </is>
      </c>
      <c r="D572" s="371" t="inlineStr">
        <is>
          <t>台指09</t>
        </is>
      </c>
      <c r="E572" s="371" t="inlineStr">
        <is>
          <t>新倉</t>
        </is>
      </c>
      <c r="F572" s="371" t="inlineStr">
        <is>
          <t>買</t>
        </is>
      </c>
      <c r="G572" s="371" t="inlineStr">
        <is>
          <t>-</t>
        </is>
      </c>
      <c r="H572" s="785" t="n">
        <v>1</v>
      </c>
      <c r="I572" s="785" t="n">
        <v>8999</v>
      </c>
      <c r="J572" s="785" t="n">
        <v>0</v>
      </c>
      <c r="K572" s="786" t="n">
        <v>100</v>
      </c>
      <c r="L572" s="786" t="n">
        <v>36</v>
      </c>
      <c r="M572" s="743">
        <f>IF(C572="TXO",J572-SUM(K572:L572),IF(C572="FITX",IF(E572="新倉",-SUM(K572:L572),IF(F572="賣",(I572-I571)*H572*200-SUM(K572:L572),(I571-I572)*H572*200-SUM(K572:L572)))))</f>
        <v/>
      </c>
      <c r="N572" s="780">
        <f>IF(C572="TXO","",IF(C572="FITX",IF(E572="新倉","",IF(F572="賣",(I572-I571)*H572,(I571-I572)*H572))))</f>
        <v/>
      </c>
      <c r="O572" s="334">
        <f>ABS(J572)</f>
        <v/>
      </c>
      <c r="P572" s="764" t="n"/>
      <c r="R572" s="61" t="n"/>
      <c r="S572" s="61" t="n"/>
      <c r="T572" s="61" t="n"/>
      <c r="U572" s="61" t="n"/>
      <c r="V572" s="61" t="n"/>
      <c r="W572" s="61" t="n"/>
      <c r="X572" s="61" t="n"/>
      <c r="Y572" s="61" t="n"/>
    </row>
    <row r="573" hidden="1" outlineLevel="2" ht="16.5" customHeight="1">
      <c r="A573" s="374" t="n"/>
      <c r="B573" s="369" t="n">
        <v>42607</v>
      </c>
      <c r="C573" s="370" t="inlineStr">
        <is>
          <t>FITX</t>
        </is>
      </c>
      <c r="D573" s="371" t="inlineStr">
        <is>
          <t>台指09</t>
        </is>
      </c>
      <c r="E573" s="371" t="inlineStr">
        <is>
          <t>平倉</t>
        </is>
      </c>
      <c r="F573" s="371" t="inlineStr">
        <is>
          <t>賣</t>
        </is>
      </c>
      <c r="G573" s="371" t="inlineStr">
        <is>
          <t>-</t>
        </is>
      </c>
      <c r="H573" s="785" t="n">
        <v>1</v>
      </c>
      <c r="I573" s="785" t="n">
        <v>9001</v>
      </c>
      <c r="J573" s="785" t="n">
        <v>0</v>
      </c>
      <c r="K573" s="786" t="n">
        <v>100</v>
      </c>
      <c r="L573" s="786" t="n">
        <v>36</v>
      </c>
      <c r="M573" s="743">
        <f>IF(C573="TXO",J573-SUM(K573:L573),IF(C573="FITX",IF(E573="新倉",-SUM(K573:L573),IF(F573="賣",(I573-I572)*H573*200-SUM(K573:L573),(I572-I573)*H573*200-SUM(K573:L573)))))</f>
        <v/>
      </c>
      <c r="N573" s="780">
        <f>IF(C573="TXO","",IF(C573="FITX",IF(E573="新倉","",IF(F573="賣",(I573-I572)*H573,(I572-I573)*H573))))</f>
        <v/>
      </c>
      <c r="O573" s="334">
        <f>ABS(J573)</f>
        <v/>
      </c>
      <c r="P573" s="764" t="n"/>
      <c r="R573" s="61" t="n"/>
      <c r="S573" s="61" t="n"/>
      <c r="T573" s="61" t="n"/>
      <c r="U573" s="61" t="n"/>
      <c r="V573" s="61" t="n"/>
      <c r="W573" s="61" t="n"/>
      <c r="X573" s="61" t="n"/>
      <c r="Y573" s="61" t="n"/>
    </row>
    <row r="574" hidden="1" outlineLevel="2" ht="16.5" customHeight="1">
      <c r="A574" s="374" t="n"/>
      <c r="B574" s="369" t="n">
        <v>42607</v>
      </c>
      <c r="C574" s="370" t="inlineStr">
        <is>
          <t>FITX</t>
        </is>
      </c>
      <c r="D574" s="371" t="inlineStr">
        <is>
          <t>台指09</t>
        </is>
      </c>
      <c r="E574" s="371" t="inlineStr">
        <is>
          <t>新倉</t>
        </is>
      </c>
      <c r="F574" s="371" t="inlineStr">
        <is>
          <t>買</t>
        </is>
      </c>
      <c r="G574" s="371" t="inlineStr">
        <is>
          <t>-</t>
        </is>
      </c>
      <c r="H574" s="785" t="n">
        <v>1</v>
      </c>
      <c r="I574" s="785" t="n">
        <v>9024</v>
      </c>
      <c r="J574" s="785" t="n">
        <v>0</v>
      </c>
      <c r="K574" s="786" t="n">
        <v>100</v>
      </c>
      <c r="L574" s="786" t="n">
        <v>36</v>
      </c>
      <c r="M574" s="743">
        <f>IF(C574="TXO",J574-SUM(K574:L574),IF(C574="FITX",IF(E574="新倉",-SUM(K574:L574),IF(F574="賣",(I574-I573)*H574*200-SUM(K574:L574),(I573-I574)*H574*200-SUM(K574:L574)))))</f>
        <v/>
      </c>
      <c r="N574" s="780">
        <f>IF(C574="TXO","",IF(C574="FITX",IF(E574="新倉","",IF(F574="賣",(I574-I573)*H574,(I573-I574)*H574))))</f>
        <v/>
      </c>
      <c r="O574" s="334">
        <f>ABS(J574)</f>
        <v/>
      </c>
      <c r="P574" s="764" t="n"/>
      <c r="R574" s="61" t="n"/>
      <c r="S574" s="61" t="n"/>
      <c r="T574" s="61" t="n"/>
      <c r="U574" s="61" t="n"/>
      <c r="V574" s="61" t="n"/>
      <c r="W574" s="61" t="n"/>
      <c r="X574" s="61" t="n"/>
      <c r="Y574" s="61" t="n"/>
    </row>
    <row r="575" hidden="1" outlineLevel="2" ht="16.5" customHeight="1">
      <c r="A575" s="374" t="n"/>
      <c r="B575" s="369" t="n">
        <v>42607</v>
      </c>
      <c r="C575" s="370" t="inlineStr">
        <is>
          <t>FITX</t>
        </is>
      </c>
      <c r="D575" s="371" t="inlineStr">
        <is>
          <t>台指09</t>
        </is>
      </c>
      <c r="E575" s="371" t="inlineStr">
        <is>
          <t>平倉</t>
        </is>
      </c>
      <c r="F575" s="371" t="inlineStr">
        <is>
          <t>賣</t>
        </is>
      </c>
      <c r="G575" s="371" t="inlineStr">
        <is>
          <t>-</t>
        </is>
      </c>
      <c r="H575" s="785" t="n">
        <v>1</v>
      </c>
      <c r="I575" s="785" t="n">
        <v>9017</v>
      </c>
      <c r="J575" s="785" t="n">
        <v>0</v>
      </c>
      <c r="K575" s="786" t="n">
        <v>100</v>
      </c>
      <c r="L575" s="786" t="n">
        <v>36</v>
      </c>
      <c r="M575" s="743">
        <f>IF(C575="TXO",J575-SUM(K575:L575),IF(C575="FITX",IF(E575="新倉",-SUM(K575:L575),IF(F575="賣",(I575-I574)*H575*200-SUM(K575:L575),(I574-I575)*H575*200-SUM(K575:L575)))))</f>
        <v/>
      </c>
      <c r="N575" s="780">
        <f>IF(C575="TXO","",IF(C575="FITX",IF(E575="新倉","",IF(F575="賣",(I575-I574)*H575,(I574-I575)*H575))))</f>
        <v/>
      </c>
      <c r="O575" s="334">
        <f>ABS(J575)</f>
        <v/>
      </c>
      <c r="P575" s="764" t="n"/>
      <c r="R575" s="61" t="n"/>
      <c r="S575" s="61" t="n"/>
      <c r="T575" s="61" t="n"/>
      <c r="U575" s="61" t="n"/>
      <c r="V575" s="61" t="n"/>
      <c r="W575" s="61" t="n"/>
      <c r="X575" s="61" t="n"/>
      <c r="Y575" s="61" t="n"/>
    </row>
    <row r="576" hidden="1" outlineLevel="2" ht="17.25" customHeight="1" thickBot="1">
      <c r="A576" s="374" t="n"/>
      <c r="B576" s="369" t="n">
        <v>42607</v>
      </c>
      <c r="C576" s="370" t="inlineStr">
        <is>
          <t>FITX</t>
        </is>
      </c>
      <c r="D576" s="371" t="inlineStr">
        <is>
          <t>台指09</t>
        </is>
      </c>
      <c r="E576" s="371" t="inlineStr">
        <is>
          <t>新倉</t>
        </is>
      </c>
      <c r="F576" s="371" t="inlineStr">
        <is>
          <t>買</t>
        </is>
      </c>
      <c r="G576" s="371" t="inlineStr">
        <is>
          <t>-</t>
        </is>
      </c>
      <c r="H576" s="785" t="n">
        <v>1</v>
      </c>
      <c r="I576" s="785" t="n">
        <v>9019</v>
      </c>
      <c r="J576" s="785" t="n">
        <v>0</v>
      </c>
      <c r="K576" s="786" t="n">
        <v>100</v>
      </c>
      <c r="L576" s="786" t="n">
        <v>36</v>
      </c>
      <c r="M576" s="743">
        <f>IF(C576="TXO",J576-SUM(K576:L576),IF(C576="FITX",IF(E576="新倉",-SUM(K576:L576),IF(F576="賣",(I576-I575)*H576*200-SUM(K576:L576),(I575-I576)*H576*200-SUM(K576:L576)))))</f>
        <v/>
      </c>
      <c r="N576" s="780">
        <f>IF(C576="TXO","",IF(C576="FITX",IF(E576="新倉","",IF(F576="賣",(I576-I575)*H576,(I575-I576)*H576))))</f>
        <v/>
      </c>
      <c r="O576" s="334">
        <f>ABS(J576)</f>
        <v/>
      </c>
      <c r="P576" s="764" t="n"/>
      <c r="R576" s="61" t="n"/>
      <c r="S576" s="61" t="n"/>
      <c r="T576" s="61" t="n"/>
      <c r="U576" s="61" t="n"/>
      <c r="V576" s="61" t="n"/>
      <c r="W576" s="61" t="n"/>
      <c r="X576" s="61" t="n"/>
      <c r="Y576" s="61" t="n"/>
    </row>
    <row r="577" hidden="1" outlineLevel="2" ht="17.25" customHeight="1" thickBot="1">
      <c r="A577" s="374" t="n"/>
      <c r="B577" s="369" t="n">
        <v>42607</v>
      </c>
      <c r="C577" s="370" t="inlineStr">
        <is>
          <t>FITX</t>
        </is>
      </c>
      <c r="D577" s="371" t="inlineStr">
        <is>
          <t>台指09</t>
        </is>
      </c>
      <c r="E577" s="371" t="inlineStr">
        <is>
          <t>平倉</t>
        </is>
      </c>
      <c r="F577" s="371" t="inlineStr">
        <is>
          <t>賣</t>
        </is>
      </c>
      <c r="G577" s="371" t="inlineStr">
        <is>
          <t>-</t>
        </is>
      </c>
      <c r="H577" s="785" t="n">
        <v>1</v>
      </c>
      <c r="I577" s="785" t="n">
        <v>9015</v>
      </c>
      <c r="J577" s="785" t="n">
        <v>0</v>
      </c>
      <c r="K577" s="786" t="n">
        <v>100</v>
      </c>
      <c r="L577" s="786" t="n">
        <v>36</v>
      </c>
      <c r="M577" s="743">
        <f>IF(C577="TXO",J577-SUM(K577:L577),IF(C577="FITX",IF(E577="新倉",-SUM(K577:L577),IF(F577="賣",(I577-I576)*H577*200-SUM(K577:L577),(I576-I577)*H577*200-SUM(K577:L577)))))</f>
        <v/>
      </c>
      <c r="N577" s="780">
        <f>IF(C577="TXO","",IF(C577="FITX",IF(E577="新倉","",IF(F577="賣",(I577-I576)*H577,(I576-I577)*H577))))</f>
        <v/>
      </c>
      <c r="O577" s="334">
        <f>ABS(J577)</f>
        <v/>
      </c>
      <c r="P577" s="764" t="n"/>
      <c r="R577" s="61" t="n"/>
      <c r="S577" s="61" t="n"/>
      <c r="T577" s="61" t="n"/>
      <c r="U577" s="61" t="n"/>
      <c r="V577" s="61" t="n"/>
      <c r="W577" s="61" t="n"/>
      <c r="X577" s="61" t="n"/>
      <c r="Y577" s="61" t="n"/>
    </row>
    <row r="578" hidden="1" outlineLevel="2" ht="17.25" customHeight="1" thickBot="1">
      <c r="A578" s="374" t="n"/>
      <c r="B578" s="369" t="n">
        <v>42607</v>
      </c>
      <c r="C578" s="370" t="inlineStr">
        <is>
          <t>FITX</t>
        </is>
      </c>
      <c r="D578" s="371" t="inlineStr">
        <is>
          <t>台指09</t>
        </is>
      </c>
      <c r="E578" s="371" t="inlineStr">
        <is>
          <t>新倉</t>
        </is>
      </c>
      <c r="F578" s="371" t="inlineStr">
        <is>
          <t>買</t>
        </is>
      </c>
      <c r="G578" s="371" t="inlineStr">
        <is>
          <t>-</t>
        </is>
      </c>
      <c r="H578" s="785" t="n">
        <v>1</v>
      </c>
      <c r="I578" s="785" t="n">
        <v>9016</v>
      </c>
      <c r="J578" s="785" t="n">
        <v>0</v>
      </c>
      <c r="K578" s="786" t="n">
        <v>100</v>
      </c>
      <c r="L578" s="786" t="n">
        <v>36</v>
      </c>
      <c r="M578" s="743">
        <f>IF(C578="TXO",J578-SUM(K578:L578),IF(C578="FITX",IF(E578="新倉",-SUM(K578:L578),IF(F578="賣",(I578-I577)*H578*200-SUM(K578:L578),(I577-I578)*H578*200-SUM(K578:L578)))))</f>
        <v/>
      </c>
      <c r="N578" s="780">
        <f>IF(C578="TXO","",IF(C578="FITX",IF(E578="新倉","",IF(F578="賣",(I578-I577)*H578,(I577-I578)*H578))))</f>
        <v/>
      </c>
      <c r="O578" s="334">
        <f>ABS(J578)</f>
        <v/>
      </c>
      <c r="P578" s="764" t="n"/>
      <c r="R578" s="61" t="n"/>
      <c r="S578" s="61" t="n"/>
      <c r="T578" s="61" t="n"/>
      <c r="U578" s="61" t="n"/>
      <c r="V578" s="61" t="n"/>
      <c r="W578" s="61" t="n"/>
      <c r="X578" s="61" t="n"/>
      <c r="Y578" s="61" t="n"/>
    </row>
    <row r="579" hidden="1" outlineLevel="2" ht="17.25" customHeight="1" thickBot="1">
      <c r="A579" s="374" t="n"/>
      <c r="B579" s="369" t="n">
        <v>42607</v>
      </c>
      <c r="C579" s="370" t="inlineStr">
        <is>
          <t>FITX</t>
        </is>
      </c>
      <c r="D579" s="371" t="inlineStr">
        <is>
          <t>台指09</t>
        </is>
      </c>
      <c r="E579" s="371" t="inlineStr">
        <is>
          <t>平倉</t>
        </is>
      </c>
      <c r="F579" s="371" t="inlineStr">
        <is>
          <t>賣</t>
        </is>
      </c>
      <c r="G579" s="371" t="inlineStr">
        <is>
          <t>-</t>
        </is>
      </c>
      <c r="H579" s="785" t="n">
        <v>1</v>
      </c>
      <c r="I579" s="785" t="n">
        <v>9011</v>
      </c>
      <c r="J579" s="785" t="n">
        <v>0</v>
      </c>
      <c r="K579" s="786" t="n">
        <v>100</v>
      </c>
      <c r="L579" s="786" t="n">
        <v>36</v>
      </c>
      <c r="M579" s="743">
        <f>IF(C579="TXO",J579-SUM(K579:L579),IF(C579="FITX",IF(E579="新倉",-SUM(K579:L579),IF(F579="賣",(I579-I578)*H579*200-SUM(K579:L579),(I578-I579)*H579*200-SUM(K579:L579)))))</f>
        <v/>
      </c>
      <c r="N579" s="780">
        <f>IF(C579="TXO","",IF(C579="FITX",IF(E579="新倉","",IF(F579="賣",(I579-I578)*H579,(I578-I579)*H579))))</f>
        <v/>
      </c>
      <c r="O579" s="334">
        <f>ABS(J579)</f>
        <v/>
      </c>
      <c r="P579" s="764" t="n"/>
      <c r="R579" s="61" t="n"/>
      <c r="S579" s="61" t="n"/>
      <c r="T579" s="61" t="n"/>
      <c r="U579" s="61" t="n"/>
      <c r="V579" s="61" t="n"/>
      <c r="W579" s="61" t="n"/>
      <c r="X579" s="61" t="n"/>
      <c r="Y579" s="61" t="n"/>
    </row>
    <row r="580" hidden="1" outlineLevel="2" ht="17.25" customHeight="1" thickBot="1">
      <c r="A580" s="374" t="n"/>
      <c r="B580" s="369" t="n">
        <v>42607</v>
      </c>
      <c r="C580" s="370" t="inlineStr">
        <is>
          <t>FITX</t>
        </is>
      </c>
      <c r="D580" s="371" t="inlineStr">
        <is>
          <t>台指09</t>
        </is>
      </c>
      <c r="E580" s="371" t="inlineStr">
        <is>
          <t>新倉</t>
        </is>
      </c>
      <c r="F580" s="371" t="inlineStr">
        <is>
          <t>賣</t>
        </is>
      </c>
      <c r="G580" s="371" t="inlineStr">
        <is>
          <t>-</t>
        </is>
      </c>
      <c r="H580" s="785" t="n">
        <v>1</v>
      </c>
      <c r="I580" s="785" t="n">
        <v>9010</v>
      </c>
      <c r="J580" s="785" t="n">
        <v>0</v>
      </c>
      <c r="K580" s="786" t="n">
        <v>100</v>
      </c>
      <c r="L580" s="786" t="n">
        <v>36</v>
      </c>
      <c r="M580" s="743">
        <f>IF(C580="TXO",J580-SUM(K580:L580),IF(C580="FITX",IF(E580="新倉",-SUM(K580:L580),IF(F580="賣",(I580-I579)*H580*200-SUM(K580:L580),(I579-I580)*H580*200-SUM(K580:L580)))))</f>
        <v/>
      </c>
      <c r="N580" s="780">
        <f>IF(C580="TXO","",IF(C580="FITX",IF(E580="新倉","",IF(F580="賣",(I580-I579)*H580,(I579-I580)*H580))))</f>
        <v/>
      </c>
      <c r="O580" s="334">
        <f>ABS(J580)</f>
        <v/>
      </c>
      <c r="P580" s="764" t="n"/>
      <c r="R580" s="61" t="n"/>
      <c r="S580" s="61" t="n"/>
      <c r="T580" s="61" t="n"/>
      <c r="U580" s="61" t="n"/>
      <c r="V580" s="61" t="n"/>
      <c r="W580" s="61" t="n"/>
      <c r="X580" s="61" t="n"/>
      <c r="Y580" s="61" t="n"/>
    </row>
    <row r="581" hidden="1" outlineLevel="2" ht="17.25" customHeight="1" thickBot="1">
      <c r="A581" s="374" t="n"/>
      <c r="B581" s="369" t="n">
        <v>42607</v>
      </c>
      <c r="C581" s="370" t="inlineStr">
        <is>
          <t>FITX</t>
        </is>
      </c>
      <c r="D581" s="371" t="inlineStr">
        <is>
          <t>台指09</t>
        </is>
      </c>
      <c r="E581" s="371" t="inlineStr">
        <is>
          <t>平倉</t>
        </is>
      </c>
      <c r="F581" s="371" t="inlineStr">
        <is>
          <t>買</t>
        </is>
      </c>
      <c r="G581" s="371" t="inlineStr">
        <is>
          <t>-</t>
        </is>
      </c>
      <c r="H581" s="785" t="n">
        <v>1</v>
      </c>
      <c r="I581" s="785" t="n">
        <v>9016</v>
      </c>
      <c r="J581" s="785" t="n">
        <v>0</v>
      </c>
      <c r="K581" s="786" t="n">
        <v>100</v>
      </c>
      <c r="L581" s="786" t="n">
        <v>36</v>
      </c>
      <c r="M581" s="743">
        <f>IF(C581="TXO",J581-SUM(K581:L581),IF(C581="FITX",IF(E581="新倉",-SUM(K581:L581),IF(F581="賣",(I581-I580)*H581*200-SUM(K581:L581),(I580-I581)*H581*200-SUM(K581:L581)))))</f>
        <v/>
      </c>
      <c r="N581" s="780">
        <f>IF(C581="TXO","",IF(C581="FITX",IF(E581="新倉","",IF(F581="賣",(I581-I580)*H581,(I580-I581)*H581))))</f>
        <v/>
      </c>
      <c r="O581" s="334">
        <f>ABS(J581)</f>
        <v/>
      </c>
      <c r="P581" s="764" t="n"/>
      <c r="R581" s="61" t="n"/>
      <c r="S581" s="61" t="n"/>
      <c r="T581" s="61" t="n"/>
      <c r="U581" s="61" t="n"/>
      <c r="V581" s="61" t="n"/>
      <c r="W581" s="61" t="n"/>
      <c r="X581" s="61" t="n"/>
      <c r="Y581" s="61" t="n"/>
    </row>
    <row r="582" hidden="1" outlineLevel="2" ht="17.25" customHeight="1" thickBot="1">
      <c r="A582" s="374" t="n"/>
      <c r="B582" s="369" t="n">
        <v>42607</v>
      </c>
      <c r="C582" s="370" t="inlineStr">
        <is>
          <t>FITX</t>
        </is>
      </c>
      <c r="D582" s="371" t="inlineStr">
        <is>
          <t>台指09</t>
        </is>
      </c>
      <c r="E582" s="371" t="inlineStr">
        <is>
          <t>新倉</t>
        </is>
      </c>
      <c r="F582" s="371" t="inlineStr">
        <is>
          <t>買</t>
        </is>
      </c>
      <c r="G582" s="371" t="inlineStr">
        <is>
          <t>-</t>
        </is>
      </c>
      <c r="H582" s="785" t="n">
        <v>1</v>
      </c>
      <c r="I582" s="785" t="n">
        <v>9016</v>
      </c>
      <c r="J582" s="785" t="n">
        <v>0</v>
      </c>
      <c r="K582" s="786" t="n">
        <v>100</v>
      </c>
      <c r="L582" s="786" t="n">
        <v>36</v>
      </c>
      <c r="M582" s="743">
        <f>IF(C582="TXO",J582-SUM(K582:L582),IF(C582="FITX",IF(E582="新倉",-SUM(K582:L582),IF(F582="賣",(I582-I581)*H582*200-SUM(K582:L582),(I581-I582)*H582*200-SUM(K582:L582)))))</f>
        <v/>
      </c>
      <c r="N582" s="780">
        <f>IF(C582="TXO","",IF(C582="FITX",IF(E582="新倉","",IF(F582="賣",(I582-I581)*H582,(I581-I582)*H582))))</f>
        <v/>
      </c>
      <c r="O582" s="334">
        <f>ABS(J582)</f>
        <v/>
      </c>
      <c r="P582" s="764" t="n"/>
      <c r="R582" s="61" t="n"/>
      <c r="S582" s="61" t="n"/>
      <c r="T582" s="61" t="n"/>
      <c r="U582" s="61" t="n"/>
      <c r="V582" s="61" t="n"/>
      <c r="W582" s="61" t="n"/>
      <c r="X582" s="61" t="n"/>
      <c r="Y582" s="61" t="n"/>
    </row>
    <row r="583" hidden="1" outlineLevel="2" ht="17.25" customHeight="1" thickBot="1">
      <c r="A583" s="374" t="n"/>
      <c r="B583" s="369" t="n">
        <v>42607</v>
      </c>
      <c r="C583" s="370" t="inlineStr">
        <is>
          <t>FITX</t>
        </is>
      </c>
      <c r="D583" s="371" t="inlineStr">
        <is>
          <t>台指09</t>
        </is>
      </c>
      <c r="E583" s="371" t="inlineStr">
        <is>
          <t>平倉</t>
        </is>
      </c>
      <c r="F583" s="371" t="inlineStr">
        <is>
          <t>賣</t>
        </is>
      </c>
      <c r="G583" s="371" t="inlineStr">
        <is>
          <t>-</t>
        </is>
      </c>
      <c r="H583" s="785" t="n">
        <v>1</v>
      </c>
      <c r="I583" s="785" t="n">
        <v>9017</v>
      </c>
      <c r="J583" s="785" t="n">
        <v>0</v>
      </c>
      <c r="K583" s="786" t="n">
        <v>100</v>
      </c>
      <c r="L583" s="786" t="n">
        <v>36</v>
      </c>
      <c r="M583" s="743">
        <f>IF(C583="TXO",J583-SUM(K583:L583),IF(C583="FITX",IF(E583="新倉",-SUM(K583:L583),IF(F583="賣",(I583-I582)*H583*200-SUM(K583:L583),(I582-I583)*H583*200-SUM(K583:L583)))))</f>
        <v/>
      </c>
      <c r="N583" s="780">
        <f>IF(C583="TXO","",IF(C583="FITX",IF(E583="新倉","",IF(F583="賣",(I583-I582)*H583,(I582-I583)*H583))))</f>
        <v/>
      </c>
      <c r="O583" s="334">
        <f>ABS(J583)</f>
        <v/>
      </c>
      <c r="P583" s="764" t="n"/>
      <c r="R583" s="61" t="n"/>
      <c r="S583" s="61" t="n"/>
      <c r="T583" s="61" t="n"/>
      <c r="U583" s="61" t="n"/>
      <c r="V583" s="61" t="n"/>
      <c r="W583" s="61" t="n"/>
      <c r="X583" s="61" t="n"/>
      <c r="Y583" s="61" t="n"/>
    </row>
    <row r="584" hidden="1" outlineLevel="2" ht="17.25" customHeight="1" thickBot="1">
      <c r="A584" s="374" t="n"/>
      <c r="B584" s="369" t="n">
        <v>42607</v>
      </c>
      <c r="C584" s="370" t="inlineStr">
        <is>
          <t>FITX</t>
        </is>
      </c>
      <c r="D584" s="371" t="inlineStr">
        <is>
          <t>台指09</t>
        </is>
      </c>
      <c r="E584" s="371" t="inlineStr">
        <is>
          <t>新倉</t>
        </is>
      </c>
      <c r="F584" s="371" t="inlineStr">
        <is>
          <t>買</t>
        </is>
      </c>
      <c r="G584" s="371" t="inlineStr">
        <is>
          <t>-</t>
        </is>
      </c>
      <c r="H584" s="785" t="n">
        <v>1</v>
      </c>
      <c r="I584" s="785" t="n">
        <v>9022</v>
      </c>
      <c r="J584" s="785" t="n">
        <v>0</v>
      </c>
      <c r="K584" s="786" t="n">
        <v>100</v>
      </c>
      <c r="L584" s="786" t="n">
        <v>36</v>
      </c>
      <c r="M584" s="743">
        <f>IF(C584="TXO",J584-SUM(K584:L584),IF(C584="FITX",IF(E584="新倉",-SUM(K584:L584),IF(F584="賣",(I584-I583)*H584*200-SUM(K584:L584),(I583-I584)*H584*200-SUM(K584:L584)))))</f>
        <v/>
      </c>
      <c r="N584" s="780">
        <f>IF(C584="TXO","",IF(C584="FITX",IF(E584="新倉","",IF(F584="賣",(I584-I583)*H584,(I583-I584)*H584))))</f>
        <v/>
      </c>
      <c r="O584" s="334">
        <f>ABS(J584)</f>
        <v/>
      </c>
      <c r="P584" s="764" t="n"/>
      <c r="R584" s="61" t="n"/>
      <c r="S584" s="61" t="n"/>
      <c r="T584" s="61" t="n"/>
      <c r="U584" s="61" t="n"/>
      <c r="V584" s="61" t="n"/>
      <c r="W584" s="61" t="n"/>
      <c r="X584" s="61" t="n"/>
      <c r="Y584" s="61" t="n"/>
    </row>
    <row r="585" hidden="1" outlineLevel="2" ht="17.25" customHeight="1" thickBot="1">
      <c r="A585" s="374" t="n"/>
      <c r="B585" s="369" t="n">
        <v>42607</v>
      </c>
      <c r="C585" s="370" t="inlineStr">
        <is>
          <t>FITX</t>
        </is>
      </c>
      <c r="D585" s="371" t="inlineStr">
        <is>
          <t>台指09</t>
        </is>
      </c>
      <c r="E585" s="371" t="inlineStr">
        <is>
          <t>平倉</t>
        </is>
      </c>
      <c r="F585" s="371" t="inlineStr">
        <is>
          <t>賣</t>
        </is>
      </c>
      <c r="G585" s="371" t="inlineStr">
        <is>
          <t>-</t>
        </is>
      </c>
      <c r="H585" s="785" t="n">
        <v>1</v>
      </c>
      <c r="I585" s="785" t="n">
        <v>9025</v>
      </c>
      <c r="J585" s="785" t="n">
        <v>0</v>
      </c>
      <c r="K585" s="786" t="n">
        <v>100</v>
      </c>
      <c r="L585" s="786" t="n">
        <v>36</v>
      </c>
      <c r="M585" s="743">
        <f>IF(C585="TXO",J585-SUM(K585:L585),IF(C585="FITX",IF(E585="新倉",-SUM(K585:L585),IF(F585="賣",(I585-I584)*H585*200-SUM(K585:L585),(I584-I585)*H585*200-SUM(K585:L585)))))</f>
        <v/>
      </c>
      <c r="N585" s="780">
        <f>IF(C585="TXO","",IF(C585="FITX",IF(E585="新倉","",IF(F585="賣",(I585-I584)*H585,(I584-I585)*H585))))</f>
        <v/>
      </c>
      <c r="O585" s="334">
        <f>ABS(J585)</f>
        <v/>
      </c>
      <c r="P585" s="764" t="n"/>
      <c r="R585" s="61" t="n"/>
      <c r="S585" s="61" t="n"/>
      <c r="T585" s="61" t="n"/>
      <c r="U585" s="61" t="n"/>
      <c r="V585" s="61" t="n"/>
      <c r="W585" s="61" t="n"/>
      <c r="X585" s="61" t="n"/>
      <c r="Y585" s="61" t="n"/>
    </row>
    <row r="586" hidden="1" outlineLevel="2" ht="17.25" customHeight="1" thickBot="1">
      <c r="A586" s="374" t="n"/>
      <c r="B586" s="369" t="n">
        <v>42607</v>
      </c>
      <c r="C586" s="370" t="inlineStr">
        <is>
          <t>FITX</t>
        </is>
      </c>
      <c r="D586" s="371" t="inlineStr">
        <is>
          <t>台指09</t>
        </is>
      </c>
      <c r="E586" s="371" t="inlineStr">
        <is>
          <t>新倉</t>
        </is>
      </c>
      <c r="F586" s="371" t="inlineStr">
        <is>
          <t>買</t>
        </is>
      </c>
      <c r="G586" s="371" t="inlineStr">
        <is>
          <t>-</t>
        </is>
      </c>
      <c r="H586" s="785" t="n">
        <v>1</v>
      </c>
      <c r="I586" s="785" t="n">
        <v>9038</v>
      </c>
      <c r="J586" s="785" t="n">
        <v>0</v>
      </c>
      <c r="K586" s="786" t="n">
        <v>100</v>
      </c>
      <c r="L586" s="786" t="n">
        <v>36</v>
      </c>
      <c r="M586" s="743">
        <f>IF(C586="TXO",J586-SUM(K586:L586),IF(C586="FITX",IF(E586="新倉",-SUM(K586:L586),IF(F586="賣",(I586-I585)*H586*200-SUM(K586:L586),(I585-I586)*H586*200-SUM(K586:L586)))))</f>
        <v/>
      </c>
      <c r="N586" s="780">
        <f>IF(C586="TXO","",IF(C586="FITX",IF(E586="新倉","",IF(F586="賣",(I586-I585)*H586,(I585-I586)*H586))))</f>
        <v/>
      </c>
      <c r="O586" s="334">
        <f>ABS(J586)</f>
        <v/>
      </c>
      <c r="P586" s="764" t="n"/>
      <c r="R586" s="61" t="n"/>
      <c r="S586" s="61" t="n"/>
      <c r="T586" s="61" t="n"/>
      <c r="U586" s="61" t="n"/>
      <c r="V586" s="61" t="n"/>
      <c r="W586" s="61" t="n"/>
      <c r="X586" s="61" t="n"/>
      <c r="Y586" s="61" t="n"/>
    </row>
    <row r="587" hidden="1" outlineLevel="2" ht="17.25" customHeight="1" thickBot="1">
      <c r="A587" s="374" t="n"/>
      <c r="B587" s="369" t="n">
        <v>42607</v>
      </c>
      <c r="C587" s="370" t="inlineStr">
        <is>
          <t>FITX</t>
        </is>
      </c>
      <c r="D587" s="371" t="inlineStr">
        <is>
          <t>台指09</t>
        </is>
      </c>
      <c r="E587" s="371" t="inlineStr">
        <is>
          <t>平倉</t>
        </is>
      </c>
      <c r="F587" s="371" t="inlineStr">
        <is>
          <t>賣</t>
        </is>
      </c>
      <c r="G587" s="371" t="inlineStr">
        <is>
          <t>-</t>
        </is>
      </c>
      <c r="H587" s="785" t="n">
        <v>1</v>
      </c>
      <c r="I587" s="785" t="n">
        <v>9041</v>
      </c>
      <c r="J587" s="785" t="n">
        <v>0</v>
      </c>
      <c r="K587" s="786" t="n">
        <v>100</v>
      </c>
      <c r="L587" s="786" t="n">
        <v>36</v>
      </c>
      <c r="M587" s="743">
        <f>IF(C587="TXO",J587-SUM(K587:L587),IF(C587="FITX",IF(E587="新倉",-SUM(K587:L587),IF(F587="賣",(I587-I586)*H587*200-SUM(K587:L587),(I586-I587)*H587*200-SUM(K587:L587)))))</f>
        <v/>
      </c>
      <c r="N587" s="780">
        <f>IF(C587="TXO","",IF(C587="FITX",IF(E587="新倉","",IF(F587="賣",(I587-I586)*H587,(I586-I587)*H587))))</f>
        <v/>
      </c>
      <c r="O587" s="334">
        <f>ABS(J587)</f>
        <v/>
      </c>
      <c r="P587" s="764" t="n"/>
      <c r="R587" s="61" t="n"/>
      <c r="S587" s="61" t="n"/>
      <c r="T587" s="61" t="n"/>
      <c r="U587" s="61" t="n"/>
      <c r="V587" s="61" t="n"/>
      <c r="W587" s="61" t="n"/>
      <c r="X587" s="61" t="n"/>
      <c r="Y587" s="61" t="n"/>
    </row>
    <row r="588" hidden="1" outlineLevel="2" ht="17.25" customHeight="1" thickBot="1">
      <c r="A588" s="374" t="n"/>
      <c r="B588" s="369" t="n">
        <v>42607</v>
      </c>
      <c r="C588" s="370" t="inlineStr">
        <is>
          <t>FITX</t>
        </is>
      </c>
      <c r="D588" s="371" t="inlineStr">
        <is>
          <t>台指09</t>
        </is>
      </c>
      <c r="E588" s="371" t="inlineStr">
        <is>
          <t>新倉</t>
        </is>
      </c>
      <c r="F588" s="371" t="inlineStr">
        <is>
          <t>買</t>
        </is>
      </c>
      <c r="G588" s="371" t="inlineStr">
        <is>
          <t>-</t>
        </is>
      </c>
      <c r="H588" s="785" t="n">
        <v>1</v>
      </c>
      <c r="I588" s="785" t="n">
        <v>9046</v>
      </c>
      <c r="J588" s="785" t="n">
        <v>0</v>
      </c>
      <c r="K588" s="786" t="n">
        <v>100</v>
      </c>
      <c r="L588" s="786" t="n">
        <v>36</v>
      </c>
      <c r="M588" s="743">
        <f>IF(C588="TXO",J588-SUM(K588:L588),IF(C588="FITX",IF(E588="新倉",-SUM(K588:L588),IF(F588="賣",(I588-I587)*H588*200-SUM(K588:L588),(I587-I588)*H588*200-SUM(K588:L588)))))</f>
        <v/>
      </c>
      <c r="N588" s="780">
        <f>IF(C588="TXO","",IF(C588="FITX",IF(E588="新倉","",IF(F588="賣",(I588-I587)*H588,(I587-I588)*H588))))</f>
        <v/>
      </c>
      <c r="O588" s="334">
        <f>ABS(J588)</f>
        <v/>
      </c>
      <c r="P588" s="764" t="n"/>
      <c r="R588" s="61" t="n"/>
      <c r="S588" s="61" t="n"/>
      <c r="T588" s="61" t="n"/>
      <c r="U588" s="61" t="n"/>
      <c r="V588" s="61" t="n"/>
      <c r="W588" s="61" t="n"/>
      <c r="X588" s="61" t="n"/>
      <c r="Y588" s="61" t="n"/>
    </row>
    <row r="589" hidden="1" outlineLevel="2" ht="17.25" customHeight="1" thickBot="1">
      <c r="A589" s="374" t="n"/>
      <c r="B589" s="369" t="n">
        <v>42607</v>
      </c>
      <c r="C589" s="370" t="inlineStr">
        <is>
          <t>FITX</t>
        </is>
      </c>
      <c r="D589" s="371" t="inlineStr">
        <is>
          <t>台指09</t>
        </is>
      </c>
      <c r="E589" s="371" t="inlineStr">
        <is>
          <t>平倉</t>
        </is>
      </c>
      <c r="F589" s="371" t="inlineStr">
        <is>
          <t>賣</t>
        </is>
      </c>
      <c r="G589" s="371" t="inlineStr">
        <is>
          <t>-</t>
        </is>
      </c>
      <c r="H589" s="785" t="n">
        <v>1</v>
      </c>
      <c r="I589" s="785" t="n">
        <v>9044</v>
      </c>
      <c r="J589" s="785" t="n">
        <v>0</v>
      </c>
      <c r="K589" s="786" t="n">
        <v>100</v>
      </c>
      <c r="L589" s="786" t="n">
        <v>36</v>
      </c>
      <c r="M589" s="743">
        <f>IF(C589="TXO",J589-SUM(K589:L589),IF(C589="FITX",IF(E589="新倉",-SUM(K589:L589),IF(F589="賣",(I589-I588)*H589*200-SUM(K589:L589),(I588-I589)*H589*200-SUM(K589:L589)))))</f>
        <v/>
      </c>
      <c r="N589" s="780">
        <f>IF(C589="TXO","",IF(C589="FITX",IF(E589="新倉","",IF(F589="賣",(I589-I588)*H589,(I588-I589)*H589))))</f>
        <v/>
      </c>
      <c r="O589" s="334">
        <f>ABS(J589)</f>
        <v/>
      </c>
      <c r="P589" s="764" t="n"/>
      <c r="R589" s="61" t="n"/>
      <c r="S589" s="61" t="n"/>
      <c r="T589" s="61" t="n"/>
      <c r="U589" s="61" t="n"/>
      <c r="V589" s="61" t="n"/>
      <c r="W589" s="61" t="n"/>
      <c r="X589" s="61" t="n"/>
      <c r="Y589" s="61" t="n"/>
    </row>
    <row r="590" hidden="1" outlineLevel="1" collapsed="1" ht="17.25" customHeight="1" thickBot="1">
      <c r="B590" s="368" t="n">
        <v>42608</v>
      </c>
      <c r="C590" s="337" t="inlineStr">
        <is>
          <t>FITX</t>
        </is>
      </c>
      <c r="D590" s="338" t="inlineStr">
        <is>
          <t>台指09</t>
        </is>
      </c>
      <c r="E590" s="338" t="inlineStr">
        <is>
          <t>新倉</t>
        </is>
      </c>
      <c r="F590" s="338" t="inlineStr">
        <is>
          <t>賣</t>
        </is>
      </c>
      <c r="G590" s="338" t="inlineStr">
        <is>
          <t>-</t>
        </is>
      </c>
      <c r="H590" s="767" t="n">
        <v>1</v>
      </c>
      <c r="I590" s="767" t="n">
        <v>9067</v>
      </c>
      <c r="J590" s="767" t="n">
        <v>0</v>
      </c>
      <c r="K590" s="769" t="n">
        <v>100</v>
      </c>
      <c r="L590" s="769" t="n">
        <v>36</v>
      </c>
      <c r="M590" s="699">
        <f>IF(C590="TXO",J590-SUM(K590:L590),IF(C590="FITX",IF(E590="新倉",-SUM(K590:L590),IF(F590="賣",(I590-I589)*H590*200-SUM(K590:L590),(I589-I590)*H590*200-SUM(K590:L590)))))</f>
        <v/>
      </c>
      <c r="N590" s="686">
        <f>IF(C590="TXO","",IF(C590="FITX",IF(E590="新倉","",IF(F590="賣",(I590-I589)*H590,(I589-I590)*H590))))</f>
        <v/>
      </c>
      <c r="O590" s="334">
        <f>ABS(J590)</f>
        <v/>
      </c>
      <c r="P590" s="667">
        <f>SUM(M590:M605)</f>
        <v/>
      </c>
      <c r="R590" s="61" t="n"/>
      <c r="S590" s="61" t="n"/>
      <c r="T590" s="61" t="n"/>
      <c r="U590" s="61" t="n"/>
      <c r="V590" s="61" t="n"/>
      <c r="W590" s="61" t="n"/>
      <c r="X590" s="61" t="n"/>
      <c r="Y590" s="61" t="n"/>
    </row>
    <row r="591" hidden="1" outlineLevel="2" collapsed="1" ht="17.25" customHeight="1" thickBot="1">
      <c r="B591" s="368" t="n">
        <v>42608</v>
      </c>
      <c r="C591" s="337" t="inlineStr">
        <is>
          <t>FITX</t>
        </is>
      </c>
      <c r="D591" s="338" t="inlineStr">
        <is>
          <t>台指09</t>
        </is>
      </c>
      <c r="E591" s="338" t="inlineStr">
        <is>
          <t>平倉</t>
        </is>
      </c>
      <c r="F591" s="338" t="inlineStr">
        <is>
          <t>買</t>
        </is>
      </c>
      <c r="G591" s="338" t="inlineStr">
        <is>
          <t>-</t>
        </is>
      </c>
      <c r="H591" s="767" t="n">
        <v>1</v>
      </c>
      <c r="I591" s="767" t="n">
        <v>9063</v>
      </c>
      <c r="J591" s="767" t="n">
        <v>0</v>
      </c>
      <c r="K591" s="769" t="n">
        <v>100</v>
      </c>
      <c r="L591" s="769" t="n">
        <v>36</v>
      </c>
      <c r="M591" s="699">
        <f>IF(C591="TXO",J591-SUM(K591:L591),IF(C591="FITX",IF(E591="新倉",-SUM(K591:L591),IF(F591="賣",(I591-I590)*H591*200-SUM(K591:L591),(I590-I591)*H591*200-SUM(K591:L591)))))</f>
        <v/>
      </c>
      <c r="N591" s="686">
        <f>IF(C591="TXO","",IF(C591="FITX",IF(E591="新倉","",IF(F591="賣",(I591-I590)*H591,(I590-I591)*H591))))</f>
        <v/>
      </c>
      <c r="O591" s="334">
        <f>ABS(J591)</f>
        <v/>
      </c>
      <c r="P591" s="667" t="n"/>
      <c r="R591" s="61" t="n"/>
      <c r="S591" s="61" t="n"/>
      <c r="T591" s="61" t="n"/>
      <c r="U591" s="61" t="n"/>
      <c r="V591" s="61" t="n"/>
      <c r="W591" s="61" t="n"/>
      <c r="X591" s="61" t="n"/>
      <c r="Y591" s="61" t="n"/>
    </row>
    <row r="592" hidden="1" outlineLevel="2" collapsed="1" ht="17.25" customHeight="1" thickBot="1">
      <c r="B592" s="368" t="n">
        <v>42608</v>
      </c>
      <c r="C592" s="337" t="inlineStr">
        <is>
          <t>FITX</t>
        </is>
      </c>
      <c r="D592" s="338" t="inlineStr">
        <is>
          <t>台指09</t>
        </is>
      </c>
      <c r="E592" s="338" t="inlineStr">
        <is>
          <t>新倉</t>
        </is>
      </c>
      <c r="F592" s="338" t="inlineStr">
        <is>
          <t>賣</t>
        </is>
      </c>
      <c r="G592" s="338" t="inlineStr">
        <is>
          <t>-</t>
        </is>
      </c>
      <c r="H592" s="767" t="n">
        <v>1</v>
      </c>
      <c r="I592" s="767" t="n">
        <v>9061</v>
      </c>
      <c r="J592" s="767" t="n">
        <v>0</v>
      </c>
      <c r="K592" s="769" t="n">
        <v>100</v>
      </c>
      <c r="L592" s="769" t="n">
        <v>36</v>
      </c>
      <c r="M592" s="699">
        <f>IF(C592="TXO",J592-SUM(K592:L592),IF(C592="FITX",IF(E592="新倉",-SUM(K592:L592),IF(F592="賣",(I592-I591)*H592*200-SUM(K592:L592),(I591-I592)*H592*200-SUM(K592:L592)))))</f>
        <v/>
      </c>
      <c r="N592" s="686">
        <f>IF(C592="TXO","",IF(C592="FITX",IF(E592="新倉","",IF(F592="賣",(I592-I591)*H592,(I591-I592)*H592))))</f>
        <v/>
      </c>
      <c r="O592" s="334">
        <f>ABS(J592)</f>
        <v/>
      </c>
      <c r="P592" s="667" t="n"/>
      <c r="R592" s="61" t="n"/>
      <c r="S592" s="61" t="n"/>
      <c r="T592" s="61" t="n"/>
      <c r="U592" s="61" t="n"/>
      <c r="V592" s="61" t="n"/>
      <c r="W592" s="61" t="n"/>
      <c r="X592" s="61" t="n"/>
      <c r="Y592" s="61" t="n"/>
    </row>
    <row r="593" hidden="1" outlineLevel="2" collapsed="1" ht="17.25" customHeight="1" thickBot="1">
      <c r="B593" s="368" t="n">
        <v>42608</v>
      </c>
      <c r="C593" s="337" t="inlineStr">
        <is>
          <t>FITX</t>
        </is>
      </c>
      <c r="D593" s="338" t="inlineStr">
        <is>
          <t>台指09</t>
        </is>
      </c>
      <c r="E593" s="338" t="inlineStr">
        <is>
          <t>平倉</t>
        </is>
      </c>
      <c r="F593" s="338" t="inlineStr">
        <is>
          <t>買</t>
        </is>
      </c>
      <c r="G593" s="338" t="inlineStr">
        <is>
          <t>-</t>
        </is>
      </c>
      <c r="H593" s="767" t="n">
        <v>1</v>
      </c>
      <c r="I593" s="767" t="n">
        <v>9060</v>
      </c>
      <c r="J593" s="767" t="n">
        <v>0</v>
      </c>
      <c r="K593" s="769" t="n">
        <v>100</v>
      </c>
      <c r="L593" s="769" t="n">
        <v>36</v>
      </c>
      <c r="M593" s="699">
        <f>IF(C593="TXO",J593-SUM(K593:L593),IF(C593="FITX",IF(E593="新倉",-SUM(K593:L593),IF(F593="賣",(I593-I592)*H593*200-SUM(K593:L593),(I592-I593)*H593*200-SUM(K593:L593)))))</f>
        <v/>
      </c>
      <c r="N593" s="686">
        <f>IF(C593="TXO","",IF(C593="FITX",IF(E593="新倉","",IF(F593="賣",(I593-I592)*H593,(I592-I593)*H593))))</f>
        <v/>
      </c>
      <c r="O593" s="334">
        <f>ABS(J593)</f>
        <v/>
      </c>
      <c r="P593" s="667" t="n"/>
      <c r="R593" s="61" t="n"/>
      <c r="S593" s="61" t="n"/>
      <c r="T593" s="61" t="n"/>
      <c r="U593" s="61" t="n"/>
      <c r="V593" s="61" t="n"/>
      <c r="W593" s="61" t="n"/>
      <c r="X593" s="61" t="n"/>
      <c r="Y593" s="61" t="n"/>
    </row>
    <row r="594" hidden="1" outlineLevel="2" collapsed="1" ht="17.25" customHeight="1" thickBot="1">
      <c r="B594" s="368" t="n">
        <v>42608</v>
      </c>
      <c r="C594" s="337" t="inlineStr">
        <is>
          <t>FITX</t>
        </is>
      </c>
      <c r="D594" s="338" t="inlineStr">
        <is>
          <t>台指09</t>
        </is>
      </c>
      <c r="E594" s="338" t="inlineStr">
        <is>
          <t>新倉</t>
        </is>
      </c>
      <c r="F594" s="338" t="inlineStr">
        <is>
          <t>賣</t>
        </is>
      </c>
      <c r="G594" s="338" t="inlineStr">
        <is>
          <t>-</t>
        </is>
      </c>
      <c r="H594" s="767" t="n">
        <v>1</v>
      </c>
      <c r="I594" s="767" t="n">
        <v>9060</v>
      </c>
      <c r="J594" s="767" t="n">
        <v>0</v>
      </c>
      <c r="K594" s="769" t="n">
        <v>100</v>
      </c>
      <c r="L594" s="769" t="n">
        <v>36</v>
      </c>
      <c r="M594" s="699">
        <f>IF(C594="TXO",J594-SUM(K594:L594),IF(C594="FITX",IF(E594="新倉",-SUM(K594:L594),IF(F594="賣",(I594-I593)*H594*200-SUM(K594:L594),(I593-I594)*H594*200-SUM(K594:L594)))))</f>
        <v/>
      </c>
      <c r="N594" s="686">
        <f>IF(C594="TXO","",IF(C594="FITX",IF(E594="新倉","",IF(F594="賣",(I594-I593)*H594,(I593-I594)*H594))))</f>
        <v/>
      </c>
      <c r="O594" s="334">
        <f>ABS(J594)</f>
        <v/>
      </c>
      <c r="P594" s="667" t="n"/>
      <c r="R594" s="61" t="n"/>
      <c r="S594" s="61" t="n"/>
      <c r="T594" s="61" t="n"/>
      <c r="U594" s="61" t="n"/>
      <c r="V594" s="61" t="n"/>
      <c r="W594" s="61" t="n"/>
      <c r="X594" s="61" t="n"/>
      <c r="Y594" s="61" t="n"/>
    </row>
    <row r="595" hidden="1" outlineLevel="2" collapsed="1" ht="17.25" customHeight="1" thickBot="1">
      <c r="B595" s="368" t="n">
        <v>42608</v>
      </c>
      <c r="C595" s="337" t="inlineStr">
        <is>
          <t>FITX</t>
        </is>
      </c>
      <c r="D595" s="338" t="inlineStr">
        <is>
          <t>台指09</t>
        </is>
      </c>
      <c r="E595" s="338" t="inlineStr">
        <is>
          <t>平倉</t>
        </is>
      </c>
      <c r="F595" s="338" t="inlineStr">
        <is>
          <t>買</t>
        </is>
      </c>
      <c r="G595" s="338" t="inlineStr">
        <is>
          <t>-</t>
        </is>
      </c>
      <c r="H595" s="767" t="n">
        <v>1</v>
      </c>
      <c r="I595" s="767" t="n">
        <v>9079</v>
      </c>
      <c r="J595" s="767" t="n">
        <v>0</v>
      </c>
      <c r="K595" s="769" t="n">
        <v>100</v>
      </c>
      <c r="L595" s="769" t="n">
        <v>36</v>
      </c>
      <c r="M595" s="699">
        <f>IF(C595="TXO",J595-SUM(K595:L595),IF(C595="FITX",IF(E595="新倉",-SUM(K595:L595),IF(F595="賣",(I595-I594)*H595*200-SUM(K595:L595),(I594-I595)*H595*200-SUM(K595:L595)))))</f>
        <v/>
      </c>
      <c r="N595" s="686">
        <f>IF(C595="TXO","",IF(C595="FITX",IF(E595="新倉","",IF(F595="賣",(I595-I594)*H595,(I594-I595)*H595))))</f>
        <v/>
      </c>
      <c r="O595" s="334">
        <f>ABS(J595)</f>
        <v/>
      </c>
      <c r="P595" s="667" t="n"/>
      <c r="R595" s="61" t="n"/>
      <c r="S595" s="61" t="n"/>
      <c r="T595" s="61" t="n"/>
      <c r="U595" s="61" t="n"/>
      <c r="V595" s="61" t="n"/>
      <c r="W595" s="61" t="n"/>
      <c r="X595" s="61" t="n"/>
      <c r="Y595" s="61" t="n"/>
    </row>
    <row r="596" hidden="1" outlineLevel="2" collapsed="1" ht="17.25" customHeight="1" thickBot="1">
      <c r="B596" s="368" t="n">
        <v>42608</v>
      </c>
      <c r="C596" s="337" t="inlineStr">
        <is>
          <t>FITX</t>
        </is>
      </c>
      <c r="D596" s="338" t="inlineStr">
        <is>
          <t>台指09</t>
        </is>
      </c>
      <c r="E596" s="338" t="inlineStr">
        <is>
          <t>新倉</t>
        </is>
      </c>
      <c r="F596" s="338" t="inlineStr">
        <is>
          <t>賣</t>
        </is>
      </c>
      <c r="G596" s="338" t="inlineStr">
        <is>
          <t>-</t>
        </is>
      </c>
      <c r="H596" s="767" t="n">
        <v>1</v>
      </c>
      <c r="I596" s="767" t="n">
        <v>9081</v>
      </c>
      <c r="J596" s="767" t="n">
        <v>0</v>
      </c>
      <c r="K596" s="769" t="n">
        <v>100</v>
      </c>
      <c r="L596" s="769" t="n">
        <v>36</v>
      </c>
      <c r="M596" s="699">
        <f>IF(C596="TXO",J596-SUM(K596:L596),IF(C596="FITX",IF(E596="新倉",-SUM(K596:L596),IF(F596="賣",(I596-I595)*H596*200-SUM(K596:L596),(I595-I596)*H596*200-SUM(K596:L596)))))</f>
        <v/>
      </c>
      <c r="N596" s="686">
        <f>IF(C596="TXO","",IF(C596="FITX",IF(E596="新倉","",IF(F596="賣",(I596-I595)*H596,(I595-I596)*H596))))</f>
        <v/>
      </c>
      <c r="O596" s="334">
        <f>ABS(J596)</f>
        <v/>
      </c>
      <c r="P596" s="667" t="n"/>
      <c r="R596" s="61" t="n"/>
      <c r="S596" s="61" t="n"/>
      <c r="T596" s="61" t="n"/>
      <c r="U596" s="61" t="n"/>
      <c r="V596" s="61" t="n"/>
      <c r="W596" s="61" t="n"/>
      <c r="X596" s="61" t="n"/>
      <c r="Y596" s="61" t="n"/>
    </row>
    <row r="597" hidden="1" outlineLevel="2" collapsed="1" ht="17.25" customHeight="1" thickBot="1">
      <c r="B597" s="368" t="n">
        <v>42608</v>
      </c>
      <c r="C597" s="337" t="inlineStr">
        <is>
          <t>FITX</t>
        </is>
      </c>
      <c r="D597" s="338" t="inlineStr">
        <is>
          <t>台指09</t>
        </is>
      </c>
      <c r="E597" s="338" t="inlineStr">
        <is>
          <t>平倉</t>
        </is>
      </c>
      <c r="F597" s="338" t="inlineStr">
        <is>
          <t>買</t>
        </is>
      </c>
      <c r="G597" s="338" t="inlineStr">
        <is>
          <t>-</t>
        </is>
      </c>
      <c r="H597" s="767" t="n">
        <v>1</v>
      </c>
      <c r="I597" s="767" t="n">
        <v>9076</v>
      </c>
      <c r="J597" s="767" t="n">
        <v>0</v>
      </c>
      <c r="K597" s="769" t="n">
        <v>100</v>
      </c>
      <c r="L597" s="769" t="n">
        <v>36</v>
      </c>
      <c r="M597" s="699">
        <f>IF(C597="TXO",J597-SUM(K597:L597),IF(C597="FITX",IF(E597="新倉",-SUM(K597:L597),IF(F597="賣",(I597-I596)*H597*200-SUM(K597:L597),(I596-I597)*H597*200-SUM(K597:L597)))))</f>
        <v/>
      </c>
      <c r="N597" s="686">
        <f>IF(C597="TXO","",IF(C597="FITX",IF(E597="新倉","",IF(F597="賣",(I597-I596)*H597,(I596-I597)*H597))))</f>
        <v/>
      </c>
      <c r="O597" s="334">
        <f>ABS(J597)</f>
        <v/>
      </c>
      <c r="P597" s="667" t="n"/>
      <c r="R597" s="61" t="n"/>
      <c r="S597" s="61" t="n"/>
      <c r="T597" s="61" t="n"/>
      <c r="U597" s="61" t="n"/>
      <c r="V597" s="61" t="n"/>
      <c r="W597" s="61" t="n"/>
      <c r="X597" s="61" t="n"/>
      <c r="Y597" s="61" t="n"/>
    </row>
    <row r="598" hidden="1" outlineLevel="2" collapsed="1" ht="17.25" customHeight="1" thickBot="1">
      <c r="B598" s="368" t="n">
        <v>42608</v>
      </c>
      <c r="C598" s="337" t="inlineStr">
        <is>
          <t>FITX</t>
        </is>
      </c>
      <c r="D598" s="338" t="inlineStr">
        <is>
          <t>台指09</t>
        </is>
      </c>
      <c r="E598" s="338" t="inlineStr">
        <is>
          <t>新倉</t>
        </is>
      </c>
      <c r="F598" s="338" t="inlineStr">
        <is>
          <t>賣</t>
        </is>
      </c>
      <c r="G598" s="338" t="inlineStr">
        <is>
          <t>-</t>
        </is>
      </c>
      <c r="H598" s="767" t="n">
        <v>1</v>
      </c>
      <c r="I598" s="767" t="n">
        <v>9068</v>
      </c>
      <c r="J598" s="767" t="n">
        <v>0</v>
      </c>
      <c r="K598" s="769" t="n">
        <v>100</v>
      </c>
      <c r="L598" s="769" t="n">
        <v>36</v>
      </c>
      <c r="M598" s="699">
        <f>IF(C598="TXO",J598-SUM(K598:L598),IF(C598="FITX",IF(E598="新倉",-SUM(K598:L598),IF(F598="賣",(I598-I597)*H598*200-SUM(K598:L598),(I597-I598)*H598*200-SUM(K598:L598)))))</f>
        <v/>
      </c>
      <c r="N598" s="686">
        <f>IF(C598="TXO","",IF(C598="FITX",IF(E598="新倉","",IF(F598="賣",(I598-I597)*H598,(I597-I598)*H598))))</f>
        <v/>
      </c>
      <c r="O598" s="334">
        <f>ABS(J598)</f>
        <v/>
      </c>
      <c r="P598" s="667" t="n"/>
      <c r="R598" s="61" t="n"/>
      <c r="S598" s="61" t="n"/>
      <c r="T598" s="61" t="n"/>
      <c r="U598" s="61" t="n"/>
      <c r="V598" s="61" t="n"/>
      <c r="W598" s="61" t="n"/>
      <c r="X598" s="61" t="n"/>
      <c r="Y598" s="61" t="n"/>
    </row>
    <row r="599" hidden="1" outlineLevel="2" collapsed="1" ht="17.25" customHeight="1" thickBot="1">
      <c r="B599" s="368" t="n">
        <v>42608</v>
      </c>
      <c r="C599" s="337" t="inlineStr">
        <is>
          <t>FITX</t>
        </is>
      </c>
      <c r="D599" s="338" t="inlineStr">
        <is>
          <t>台指09</t>
        </is>
      </c>
      <c r="E599" s="338" t="inlineStr">
        <is>
          <t>平倉</t>
        </is>
      </c>
      <c r="F599" s="338" t="inlineStr">
        <is>
          <t>買</t>
        </is>
      </c>
      <c r="G599" s="338" t="inlineStr">
        <is>
          <t>-</t>
        </is>
      </c>
      <c r="H599" s="767" t="n">
        <v>1</v>
      </c>
      <c r="I599" s="767" t="n">
        <v>9064</v>
      </c>
      <c r="J599" s="767" t="n">
        <v>0</v>
      </c>
      <c r="K599" s="769" t="n">
        <v>100</v>
      </c>
      <c r="L599" s="769" t="n">
        <v>36</v>
      </c>
      <c r="M599" s="699">
        <f>IF(C599="TXO",J599-SUM(K599:L599),IF(C599="FITX",IF(E599="新倉",-SUM(K599:L599),IF(F599="賣",(I599-I598)*H599*200-SUM(K599:L599),(I598-I599)*H599*200-SUM(K599:L599)))))</f>
        <v/>
      </c>
      <c r="N599" s="686">
        <f>IF(C599="TXO","",IF(C599="FITX",IF(E599="新倉","",IF(F599="賣",(I599-I598)*H599,(I598-I599)*H599))))</f>
        <v/>
      </c>
      <c r="O599" s="334">
        <f>ABS(J599)</f>
        <v/>
      </c>
      <c r="P599" s="667" t="n"/>
      <c r="R599" s="61" t="n"/>
      <c r="S599" s="61" t="n"/>
      <c r="T599" s="61" t="n"/>
      <c r="U599" s="61" t="n"/>
      <c r="V599" s="61" t="n"/>
      <c r="W599" s="61" t="n"/>
      <c r="X599" s="61" t="n"/>
      <c r="Y599" s="61" t="n"/>
    </row>
    <row r="600" hidden="1" outlineLevel="2" collapsed="1" ht="17.25" customHeight="1" thickBot="1">
      <c r="B600" s="368" t="n">
        <v>42608</v>
      </c>
      <c r="C600" s="337" t="inlineStr">
        <is>
          <t>FITX</t>
        </is>
      </c>
      <c r="D600" s="338" t="inlineStr">
        <is>
          <t>台指09</t>
        </is>
      </c>
      <c r="E600" s="338" t="inlineStr">
        <is>
          <t>新倉</t>
        </is>
      </c>
      <c r="F600" s="338" t="inlineStr">
        <is>
          <t>賣</t>
        </is>
      </c>
      <c r="G600" s="338" t="inlineStr">
        <is>
          <t>-</t>
        </is>
      </c>
      <c r="H600" s="767" t="n">
        <v>1</v>
      </c>
      <c r="I600" s="767" t="n">
        <v>9064</v>
      </c>
      <c r="J600" s="767" t="n">
        <v>0</v>
      </c>
      <c r="K600" s="769" t="n">
        <v>100</v>
      </c>
      <c r="L600" s="769" t="n">
        <v>36</v>
      </c>
      <c r="M600" s="699">
        <f>IF(C600="TXO",J600-SUM(K600:L600),IF(C600="FITX",IF(E600="新倉",-SUM(K600:L600),IF(F600="賣",(I600-I599)*H600*200-SUM(K600:L600),(I599-I600)*H600*200-SUM(K600:L600)))))</f>
        <v/>
      </c>
      <c r="N600" s="686">
        <f>IF(C600="TXO","",IF(C600="FITX",IF(E600="新倉","",IF(F600="賣",(I600-I599)*H600,(I599-I600)*H600))))</f>
        <v/>
      </c>
      <c r="O600" s="334">
        <f>ABS(J600)</f>
        <v/>
      </c>
      <c r="P600" s="667" t="n"/>
      <c r="R600" s="61" t="n"/>
      <c r="S600" s="61" t="n"/>
      <c r="T600" s="61" t="n"/>
      <c r="U600" s="61" t="n"/>
      <c r="V600" s="61" t="n"/>
      <c r="W600" s="61" t="n"/>
      <c r="X600" s="61" t="n"/>
      <c r="Y600" s="61" t="n"/>
    </row>
    <row r="601" hidden="1" outlineLevel="2" collapsed="1" ht="17.25" customHeight="1" thickBot="1">
      <c r="B601" s="368" t="n">
        <v>42608</v>
      </c>
      <c r="C601" s="337" t="inlineStr">
        <is>
          <t>FITX</t>
        </is>
      </c>
      <c r="D601" s="338" t="inlineStr">
        <is>
          <t>台指09</t>
        </is>
      </c>
      <c r="E601" s="338" t="inlineStr">
        <is>
          <t>平倉</t>
        </is>
      </c>
      <c r="F601" s="338" t="inlineStr">
        <is>
          <t>買</t>
        </is>
      </c>
      <c r="G601" s="338" t="inlineStr">
        <is>
          <t>-</t>
        </is>
      </c>
      <c r="H601" s="767" t="n">
        <v>1</v>
      </c>
      <c r="I601" s="767" t="n">
        <v>9078</v>
      </c>
      <c r="J601" s="767" t="n">
        <v>0</v>
      </c>
      <c r="K601" s="769" t="n">
        <v>100</v>
      </c>
      <c r="L601" s="769" t="n">
        <v>36</v>
      </c>
      <c r="M601" s="699">
        <f>IF(C601="TXO",J601-SUM(K601:L601),IF(C601="FITX",IF(E601="新倉",-SUM(K601:L601),IF(F601="賣",(I601-I600)*H601*200-SUM(K601:L601),(I600-I601)*H601*200-SUM(K601:L601)))))</f>
        <v/>
      </c>
      <c r="N601" s="686">
        <f>IF(C601="TXO","",IF(C601="FITX",IF(E601="新倉","",IF(F601="賣",(I601-I600)*H601,(I600-I601)*H601))))</f>
        <v/>
      </c>
      <c r="O601" s="334">
        <f>ABS(J601)</f>
        <v/>
      </c>
      <c r="P601" s="667" t="n"/>
      <c r="R601" s="61" t="n"/>
      <c r="S601" s="61" t="n"/>
      <c r="T601" s="61" t="n"/>
      <c r="U601" s="61" t="n"/>
      <c r="V601" s="61" t="n"/>
      <c r="W601" s="61" t="n"/>
      <c r="X601" s="61" t="n"/>
      <c r="Y601" s="61" t="n"/>
    </row>
    <row r="602" hidden="1" outlineLevel="2" collapsed="1" ht="17.25" customHeight="1" thickBot="1">
      <c r="B602" s="368" t="n">
        <v>42608</v>
      </c>
      <c r="C602" s="337" t="inlineStr">
        <is>
          <t>FITX</t>
        </is>
      </c>
      <c r="D602" s="338" t="inlineStr">
        <is>
          <t>台指09</t>
        </is>
      </c>
      <c r="E602" s="338" t="inlineStr">
        <is>
          <t>新倉</t>
        </is>
      </c>
      <c r="F602" s="338" t="inlineStr">
        <is>
          <t>賣</t>
        </is>
      </c>
      <c r="G602" s="338" t="inlineStr">
        <is>
          <t>-</t>
        </is>
      </c>
      <c r="H602" s="767" t="n">
        <v>1</v>
      </c>
      <c r="I602" s="767" t="n">
        <v>9082</v>
      </c>
      <c r="J602" s="767" t="n">
        <v>0</v>
      </c>
      <c r="K602" s="769" t="n">
        <v>100</v>
      </c>
      <c r="L602" s="769" t="n">
        <v>36</v>
      </c>
      <c r="M602" s="699">
        <f>IF(C602="TXO",J602-SUM(K602:L602),IF(C602="FITX",IF(E602="新倉",-SUM(K602:L602),IF(F602="賣",(I602-I601)*H602*200-SUM(K602:L602),(I601-I602)*H602*200-SUM(K602:L602)))))</f>
        <v/>
      </c>
      <c r="N602" s="686">
        <f>IF(C602="TXO","",IF(C602="FITX",IF(E602="新倉","",IF(F602="賣",(I602-I601)*H602,(I601-I602)*H602))))</f>
        <v/>
      </c>
      <c r="O602" s="334">
        <f>ABS(J602)</f>
        <v/>
      </c>
      <c r="P602" s="667" t="n"/>
      <c r="R602" s="61" t="n"/>
      <c r="S602" s="61" t="n"/>
      <c r="T602" s="61" t="n"/>
      <c r="U602" s="61" t="n"/>
      <c r="V602" s="61" t="n"/>
      <c r="W602" s="61" t="n"/>
      <c r="X602" s="61" t="n"/>
      <c r="Y602" s="61" t="n"/>
    </row>
    <row r="603" hidden="1" outlineLevel="2" collapsed="1" ht="17.25" customHeight="1" thickBot="1">
      <c r="B603" s="368" t="n">
        <v>42608</v>
      </c>
      <c r="C603" s="337" t="inlineStr">
        <is>
          <t>FITX</t>
        </is>
      </c>
      <c r="D603" s="338" t="inlineStr">
        <is>
          <t>台指09</t>
        </is>
      </c>
      <c r="E603" s="338" t="inlineStr">
        <is>
          <t>平倉</t>
        </is>
      </c>
      <c r="F603" s="338" t="inlineStr">
        <is>
          <t>買</t>
        </is>
      </c>
      <c r="G603" s="338" t="inlineStr">
        <is>
          <t>-</t>
        </is>
      </c>
      <c r="H603" s="767" t="n">
        <v>1</v>
      </c>
      <c r="I603" s="767" t="n">
        <v>9077</v>
      </c>
      <c r="J603" s="767" t="n">
        <v>0</v>
      </c>
      <c r="K603" s="769" t="n">
        <v>100</v>
      </c>
      <c r="L603" s="769" t="n">
        <v>36</v>
      </c>
      <c r="M603" s="699">
        <f>IF(C603="TXO",J603-SUM(K603:L603),IF(C603="FITX",IF(E603="新倉",-SUM(K603:L603),IF(F603="賣",(I603-I602)*H603*200-SUM(K603:L603),(I602-I603)*H603*200-SUM(K603:L603)))))</f>
        <v/>
      </c>
      <c r="N603" s="686">
        <f>IF(C603="TXO","",IF(C603="FITX",IF(E603="新倉","",IF(F603="賣",(I603-I602)*H603,(I602-I603)*H603))))</f>
        <v/>
      </c>
      <c r="O603" s="334">
        <f>ABS(J603)</f>
        <v/>
      </c>
      <c r="P603" s="667" t="n"/>
      <c r="R603" s="61" t="n"/>
      <c r="S603" s="61" t="n"/>
      <c r="T603" s="61" t="n"/>
      <c r="U603" s="61" t="n"/>
      <c r="V603" s="61" t="n"/>
      <c r="W603" s="61" t="n"/>
      <c r="X603" s="61" t="n"/>
      <c r="Y603" s="61" t="n"/>
    </row>
    <row r="604" hidden="1" outlineLevel="2" collapsed="1" ht="17.25" customHeight="1" thickBot="1">
      <c r="B604" s="368" t="n">
        <v>42608</v>
      </c>
      <c r="C604" s="337" t="inlineStr">
        <is>
          <t>FITX</t>
        </is>
      </c>
      <c r="D604" s="338" t="inlineStr">
        <is>
          <t>台指09</t>
        </is>
      </c>
      <c r="E604" s="338" t="inlineStr">
        <is>
          <t>新倉</t>
        </is>
      </c>
      <c r="F604" s="338" t="inlineStr">
        <is>
          <t>賣</t>
        </is>
      </c>
      <c r="G604" s="338" t="inlineStr">
        <is>
          <t>-</t>
        </is>
      </c>
      <c r="H604" s="767" t="n">
        <v>1</v>
      </c>
      <c r="I604" s="767" t="n">
        <v>9049</v>
      </c>
      <c r="J604" s="767" t="n">
        <v>0</v>
      </c>
      <c r="K604" s="769" t="n">
        <v>100</v>
      </c>
      <c r="L604" s="769" t="n">
        <v>36</v>
      </c>
      <c r="M604" s="699">
        <f>IF(C604="TXO",J604-SUM(K604:L604),IF(C604="FITX",IF(E604="新倉",-SUM(K604:L604),IF(F604="賣",(I604-I603)*H604*200-SUM(K604:L604),(I603-I604)*H604*200-SUM(K604:L604)))))</f>
        <v/>
      </c>
      <c r="N604" s="686">
        <f>IF(C604="TXO","",IF(C604="FITX",IF(E604="新倉","",IF(F604="賣",(I604-I603)*H604,(I603-I604)*H604))))</f>
        <v/>
      </c>
      <c r="O604" s="334">
        <f>ABS(J604)</f>
        <v/>
      </c>
      <c r="P604" s="667" t="n"/>
      <c r="R604" s="61" t="n"/>
      <c r="S604" s="61" t="n"/>
      <c r="T604" s="61" t="n"/>
      <c r="U604" s="61" t="n"/>
      <c r="V604" s="61" t="n"/>
      <c r="W604" s="61" t="n"/>
      <c r="X604" s="61" t="n"/>
      <c r="Y604" s="61" t="n"/>
    </row>
    <row r="605" hidden="1" outlineLevel="2" ht="17.25" customHeight="1" thickBot="1">
      <c r="B605" s="368" t="n">
        <v>42608</v>
      </c>
      <c r="C605" s="337" t="inlineStr">
        <is>
          <t>FITX</t>
        </is>
      </c>
      <c r="D605" s="338" t="inlineStr">
        <is>
          <t>台指09</t>
        </is>
      </c>
      <c r="E605" s="338" t="inlineStr">
        <is>
          <t>平倉</t>
        </is>
      </c>
      <c r="F605" s="338" t="inlineStr">
        <is>
          <t>買</t>
        </is>
      </c>
      <c r="G605" s="338" t="inlineStr">
        <is>
          <t>-</t>
        </is>
      </c>
      <c r="H605" s="767" t="n">
        <v>1</v>
      </c>
      <c r="I605" s="767" t="n">
        <v>9062</v>
      </c>
      <c r="J605" s="767" t="n">
        <v>0</v>
      </c>
      <c r="K605" s="769" t="n">
        <v>100</v>
      </c>
      <c r="L605" s="769" t="n">
        <v>36</v>
      </c>
      <c r="M605" s="699">
        <f>IF(C605="TXO",J605-SUM(K605:L605),IF(C605="FITX",IF(E605="新倉",-SUM(K605:L605),IF(F605="賣",(I605-I604)*H605*200-SUM(K605:L605),(I604-I605)*H605*200-SUM(K605:L605)))))</f>
        <v/>
      </c>
      <c r="N605" s="686">
        <f>IF(C605="TXO","",IF(C605="FITX",IF(E605="新倉","",IF(F605="賣",(I605-I604)*H605,(I604-I605)*H605))))</f>
        <v/>
      </c>
      <c r="O605" s="334">
        <f>ABS(J605)</f>
        <v/>
      </c>
      <c r="P605" s="667" t="n"/>
      <c r="R605" s="61" t="n"/>
      <c r="S605" s="61" t="n"/>
      <c r="T605" s="61" t="n"/>
      <c r="U605" s="61" t="n"/>
      <c r="V605" s="61" t="n"/>
      <c r="W605" s="61" t="n"/>
      <c r="X605" s="61" t="n"/>
      <c r="Y605" s="61" t="n"/>
    </row>
    <row r="606" hidden="1" outlineLevel="1" ht="17.25" customHeight="1" thickBot="1">
      <c r="A606" s="374" t="n"/>
      <c r="B606" s="369" t="n">
        <v>42611</v>
      </c>
      <c r="C606" s="370" t="inlineStr">
        <is>
          <t>FITX</t>
        </is>
      </c>
      <c r="D606" s="371" t="inlineStr">
        <is>
          <t>台指09</t>
        </is>
      </c>
      <c r="E606" s="371" t="inlineStr">
        <is>
          <t>新倉</t>
        </is>
      </c>
      <c r="F606" s="371" t="inlineStr">
        <is>
          <t>買</t>
        </is>
      </c>
      <c r="G606" s="371" t="inlineStr">
        <is>
          <t>-</t>
        </is>
      </c>
      <c r="H606" s="785" t="n">
        <v>1</v>
      </c>
      <c r="I606" s="785" t="n">
        <v>8991</v>
      </c>
      <c r="J606" s="785" t="n">
        <v>0</v>
      </c>
      <c r="K606" s="786" t="n">
        <v>100</v>
      </c>
      <c r="L606" s="786" t="n">
        <v>36</v>
      </c>
      <c r="M606" s="743">
        <f>IF(C606="TXO",J606-SUM(K606:L606),IF(C606="FITX",IF(E606="新倉",-SUM(K606:L606),IF(F606="賣",(I606-I605)*H606*200-SUM(K606:L606),(I605-I606)*H606*200-SUM(K606:L606)))))</f>
        <v/>
      </c>
      <c r="N606" s="780">
        <f>IF(C606="TXO","",IF(C606="FITX",IF(E606="新倉","",IF(F606="賣",(I606-I605)*H606,(I605-I606)*H606))))</f>
        <v/>
      </c>
      <c r="O606" s="334">
        <f>ABS(J606)</f>
        <v/>
      </c>
      <c r="P606" s="764">
        <f>SUM(M606:M607)</f>
        <v/>
      </c>
      <c r="R606" s="61" t="n"/>
      <c r="S606" s="61" t="n"/>
      <c r="T606" s="61" t="n"/>
      <c r="U606" s="61" t="n"/>
      <c r="V606" s="61" t="n"/>
      <c r="W606" s="61" t="n"/>
      <c r="X606" s="61" t="n"/>
      <c r="Y606" s="61" t="n"/>
    </row>
    <row r="607" hidden="1" outlineLevel="1" ht="17.25" customHeight="1" thickBot="1">
      <c r="A607" s="374" t="n"/>
      <c r="B607" s="369" t="n">
        <v>42611</v>
      </c>
      <c r="C607" s="370" t="inlineStr">
        <is>
          <t>FITX</t>
        </is>
      </c>
      <c r="D607" s="371" t="inlineStr">
        <is>
          <t>台指09</t>
        </is>
      </c>
      <c r="E607" s="371" t="inlineStr">
        <is>
          <t>平倉</t>
        </is>
      </c>
      <c r="F607" s="371" t="inlineStr">
        <is>
          <t>賣</t>
        </is>
      </c>
      <c r="G607" s="371" t="inlineStr">
        <is>
          <t>-</t>
        </is>
      </c>
      <c r="H607" s="785" t="n">
        <v>1</v>
      </c>
      <c r="I607" s="785" t="n">
        <v>9001</v>
      </c>
      <c r="J607" s="785" t="n">
        <v>0</v>
      </c>
      <c r="K607" s="786" t="n">
        <v>100</v>
      </c>
      <c r="L607" s="786" t="n">
        <v>36</v>
      </c>
      <c r="M607" s="743">
        <f>IF(C607="TXO",J607-SUM(K607:L607),IF(C607="FITX",IF(E607="新倉",-SUM(K607:L607),IF(F607="賣",(I607-I606)*H607*200-SUM(K607:L607),(I606-I607)*H607*200-SUM(K607:L607)))))</f>
        <v/>
      </c>
      <c r="N607" s="780">
        <f>IF(C607="TXO","",IF(C607="FITX",IF(E607="新倉","",IF(F607="賣",(I607-I606)*H607,(I606-I607)*H607))))</f>
        <v/>
      </c>
      <c r="O607" s="334">
        <f>ABS(J607)</f>
        <v/>
      </c>
      <c r="P607" s="764" t="n"/>
      <c r="R607" s="61" t="n"/>
      <c r="S607" s="61" t="n"/>
      <c r="T607" s="61" t="n"/>
      <c r="U607" s="61" t="n"/>
      <c r="V607" s="61" t="n"/>
      <c r="W607" s="61" t="n"/>
      <c r="X607" s="61" t="n"/>
      <c r="Y607" s="61" t="n"/>
    </row>
    <row r="608" collapsed="1" ht="17.25" customHeight="1" thickBot="1">
      <c r="B608" s="352" t="inlineStr">
        <is>
          <t>8月總計</t>
        </is>
      </c>
      <c r="C608" s="292" t="n"/>
      <c r="D608" s="292" t="n"/>
      <c r="E608" s="292" t="n"/>
      <c r="F608" s="292" t="n"/>
      <c r="G608" s="292" t="n"/>
      <c r="H608" s="719" t="n"/>
      <c r="I608" s="719" t="n"/>
      <c r="J608" s="719" t="n"/>
      <c r="K608" s="720" t="n"/>
      <c r="L608" s="719" t="n"/>
      <c r="M608" s="721" t="n"/>
      <c r="N608" s="760" t="n"/>
      <c r="P608" s="775">
        <f>SUM(P378:P607)</f>
        <v/>
      </c>
    </row>
    <row r="609" hidden="1" outlineLevel="1" collapsed="1" ht="17.25" customHeight="1" thickBot="1">
      <c r="B609" s="368" t="n">
        <v>42614</v>
      </c>
      <c r="C609" s="337" t="inlineStr">
        <is>
          <t>FITX</t>
        </is>
      </c>
      <c r="D609" s="338" t="inlineStr">
        <is>
          <t>台指09</t>
        </is>
      </c>
      <c r="E609" s="338" t="inlineStr">
        <is>
          <t>新倉</t>
        </is>
      </c>
      <c r="F609" s="338" t="inlineStr">
        <is>
          <t>賣</t>
        </is>
      </c>
      <c r="G609" s="338" t="inlineStr">
        <is>
          <t>-</t>
        </is>
      </c>
      <c r="H609" s="767" t="n">
        <v>1</v>
      </c>
      <c r="I609" s="767" t="n">
        <v>8941</v>
      </c>
      <c r="J609" s="767" t="n">
        <v>0</v>
      </c>
      <c r="K609" s="769" t="n">
        <v>100</v>
      </c>
      <c r="L609" s="769" t="n">
        <v>36</v>
      </c>
      <c r="M609" s="699">
        <f>IF(C609="TXO",J609-SUM(K609:L609),IF(C609="FITX",IF(E609="新倉",-SUM(K609:L609),IF(F609="賣",(I609-I608)*H609*200-SUM(K609:L609),(I608-I609)*H609*200-SUM(K609:L609)))))</f>
        <v/>
      </c>
      <c r="N609" s="686">
        <f>IF(C609="TXO","",IF(C609="FITX",IF(E609="新倉","",IF(F609="賣",(I609-I608)*H609,(I608-I609)*H609))))</f>
        <v/>
      </c>
      <c r="O609" s="334">
        <f>ABS(J609)</f>
        <v/>
      </c>
      <c r="P609" s="667">
        <f>SUM(M609:M612)</f>
        <v/>
      </c>
      <c r="R609" s="61" t="n"/>
      <c r="S609" s="61" t="n"/>
      <c r="T609" s="61" t="n"/>
      <c r="U609" s="61" t="n"/>
      <c r="V609" s="61" t="n"/>
      <c r="W609" s="61" t="n"/>
      <c r="X609" s="61" t="n"/>
      <c r="Y609" s="61" t="n"/>
    </row>
    <row r="610" hidden="1" outlineLevel="2" ht="17.25" customHeight="1" thickBot="1">
      <c r="B610" s="368" t="n">
        <v>42614</v>
      </c>
      <c r="C610" s="337" t="inlineStr">
        <is>
          <t>FITX</t>
        </is>
      </c>
      <c r="D610" s="338" t="inlineStr">
        <is>
          <t>台指09</t>
        </is>
      </c>
      <c r="E610" s="338" t="inlineStr">
        <is>
          <t>平倉</t>
        </is>
      </c>
      <c r="F610" s="338" t="inlineStr">
        <is>
          <t>買</t>
        </is>
      </c>
      <c r="G610" s="338" t="inlineStr">
        <is>
          <t>-</t>
        </is>
      </c>
      <c r="H610" s="767" t="n">
        <v>1</v>
      </c>
      <c r="I610" s="767" t="n">
        <v>8957</v>
      </c>
      <c r="J610" s="767" t="n">
        <v>0</v>
      </c>
      <c r="K610" s="769" t="n">
        <v>100</v>
      </c>
      <c r="L610" s="769" t="n">
        <v>36</v>
      </c>
      <c r="M610" s="699">
        <f>IF(C610="TXO",J610-SUM(K610:L610),IF(C610="FITX",IF(E610="新倉",-SUM(K610:L610),IF(F610="賣",(I610-I609)*H610*200-SUM(K610:L610),(I609-I610)*H610*200-SUM(K610:L610)))))</f>
        <v/>
      </c>
      <c r="N610" s="686">
        <f>IF(C610="TXO","",IF(C610="FITX",IF(E610="新倉","",IF(F610="賣",(I610-I609)*H610,(I609-I610)*H610))))</f>
        <v/>
      </c>
      <c r="O610" s="334">
        <f>ABS(J610)</f>
        <v/>
      </c>
      <c r="P610" s="226" t="n"/>
      <c r="R610" s="61" t="n"/>
      <c r="S610" s="61" t="n"/>
      <c r="T610" s="61" t="n"/>
      <c r="U610" s="61" t="n"/>
      <c r="V610" s="61" t="n"/>
      <c r="W610" s="61" t="n"/>
      <c r="X610" s="61" t="n"/>
      <c r="Y610" s="61" t="n"/>
    </row>
    <row r="611" hidden="1" outlineLevel="2" ht="17.25" customHeight="1" thickBot="1">
      <c r="B611" s="368" t="n">
        <v>42614</v>
      </c>
      <c r="C611" s="337" t="inlineStr">
        <is>
          <t>FITX</t>
        </is>
      </c>
      <c r="D611" s="338" t="inlineStr">
        <is>
          <t>台指09</t>
        </is>
      </c>
      <c r="E611" s="338" t="inlineStr">
        <is>
          <t>新倉</t>
        </is>
      </c>
      <c r="F611" s="338" t="inlineStr">
        <is>
          <t>賣</t>
        </is>
      </c>
      <c r="G611" s="338" t="inlineStr">
        <is>
          <t>-</t>
        </is>
      </c>
      <c r="H611" s="767" t="n">
        <v>1</v>
      </c>
      <c r="I611" s="767" t="n">
        <v>8910</v>
      </c>
      <c r="J611" s="767" t="n">
        <v>0</v>
      </c>
      <c r="K611" s="769" t="n">
        <v>100</v>
      </c>
      <c r="L611" s="769" t="n">
        <v>36</v>
      </c>
      <c r="M611" s="699">
        <f>IF(C611="TXO",J611-SUM(K611:L611),IF(C611="FITX",IF(E611="新倉",-SUM(K611:L611),IF(F611="賣",(I611-I610)*H611*200-SUM(K611:L611),(I610-I611)*H611*200-SUM(K611:L611)))))</f>
        <v/>
      </c>
      <c r="N611" s="686">
        <f>IF(C611="TXO","",IF(C611="FITX",IF(E611="新倉","",IF(F611="賣",(I611-I610)*H611,(I610-I611)*H611))))</f>
        <v/>
      </c>
      <c r="O611" s="334">
        <f>ABS(J611)</f>
        <v/>
      </c>
      <c r="P611" s="667" t="n"/>
      <c r="R611" s="61" t="n"/>
      <c r="S611" s="61" t="n"/>
      <c r="T611" s="61" t="n"/>
      <c r="U611" s="61" t="n"/>
      <c r="V611" s="61" t="n"/>
      <c r="W611" s="61" t="n"/>
      <c r="X611" s="61" t="n"/>
      <c r="Y611" s="61" t="n"/>
    </row>
    <row r="612" hidden="1" outlineLevel="2" ht="17.25" customHeight="1" thickBot="1">
      <c r="B612" s="368" t="n">
        <v>42614</v>
      </c>
      <c r="C612" s="337" t="inlineStr">
        <is>
          <t>FITX</t>
        </is>
      </c>
      <c r="D612" s="338" t="inlineStr">
        <is>
          <t>台指09</t>
        </is>
      </c>
      <c r="E612" s="338" t="inlineStr">
        <is>
          <t>平倉</t>
        </is>
      </c>
      <c r="F612" s="338" t="inlineStr">
        <is>
          <t>買</t>
        </is>
      </c>
      <c r="G612" s="338" t="inlineStr">
        <is>
          <t>-</t>
        </is>
      </c>
      <c r="H612" s="767" t="n">
        <v>1</v>
      </c>
      <c r="I612" s="767" t="n">
        <v>8890</v>
      </c>
      <c r="J612" s="767" t="n">
        <v>0</v>
      </c>
      <c r="K612" s="769" t="n">
        <v>100</v>
      </c>
      <c r="L612" s="769" t="n">
        <v>36</v>
      </c>
      <c r="M612" s="699">
        <f>IF(C612="TXO",J612-SUM(K612:L612),IF(C612="FITX",IF(E612="新倉",-SUM(K612:L612),IF(F612="賣",(I612-I611)*H612*200-SUM(K612:L612),(I611-I612)*H612*200-SUM(K612:L612)))))</f>
        <v/>
      </c>
      <c r="N612" s="686">
        <f>IF(C612="TXO","",IF(C612="FITX",IF(E612="新倉","",IF(F612="賣",(I612-I611)*H612,(I611-I612)*H612))))</f>
        <v/>
      </c>
      <c r="O612" s="334">
        <f>ABS(J612)</f>
        <v/>
      </c>
      <c r="P612" s="667" t="n"/>
      <c r="R612" s="61" t="n"/>
      <c r="S612" s="61" t="n"/>
      <c r="T612" s="61" t="n"/>
      <c r="U612" s="61" t="n"/>
      <c r="V612" s="61" t="n"/>
      <c r="W612" s="61" t="n"/>
      <c r="X612" s="61" t="n"/>
      <c r="Y612" s="61" t="n"/>
    </row>
    <row r="613" hidden="1" outlineLevel="1" ht="17.25" customHeight="1" thickBot="1">
      <c r="A613" s="374" t="n"/>
      <c r="B613" s="369" t="n">
        <v>42619</v>
      </c>
      <c r="C613" s="370" t="inlineStr">
        <is>
          <t>FITX</t>
        </is>
      </c>
      <c r="D613" s="371" t="inlineStr">
        <is>
          <t>台指09</t>
        </is>
      </c>
      <c r="E613" s="371" t="inlineStr">
        <is>
          <t>新倉</t>
        </is>
      </c>
      <c r="F613" s="371" t="inlineStr">
        <is>
          <t>賣</t>
        </is>
      </c>
      <c r="G613" s="371" t="inlineStr">
        <is>
          <t>-</t>
        </is>
      </c>
      <c r="H613" s="785" t="n">
        <v>1</v>
      </c>
      <c r="I613" s="785" t="n">
        <v>9098</v>
      </c>
      <c r="J613" s="785" t="n">
        <v>0</v>
      </c>
      <c r="K613" s="786" t="n">
        <v>100</v>
      </c>
      <c r="L613" s="786" t="n">
        <v>36</v>
      </c>
      <c r="M613" s="743">
        <f>IF(C613="TXO",J613-SUM(K613:L613),IF(C613="FITX",IF(E613="新倉",-SUM(K613:L613),IF(F613="賣",(I613-I612)*H613*200-SUM(K613:L613),(I612-I613)*H613*200-SUM(K613:L613)))))</f>
        <v/>
      </c>
      <c r="N613" s="780">
        <f>IF(C613="TXO","",IF(C613="FITX",IF(E613="新倉","",IF(F613="賣",(I613-I612)*H613,(I612-I613)*H613))))</f>
        <v/>
      </c>
      <c r="O613" s="334">
        <f>ABS(J613)</f>
        <v/>
      </c>
      <c r="P613" s="764">
        <f>SUM(M613:M614)</f>
        <v/>
      </c>
      <c r="R613" s="61" t="n"/>
      <c r="S613" s="61" t="n"/>
      <c r="T613" s="61" t="n"/>
      <c r="U613" s="61" t="n"/>
      <c r="V613" s="61" t="n"/>
      <c r="W613" s="61" t="n"/>
      <c r="X613" s="61" t="n"/>
      <c r="Y613" s="61" t="n"/>
    </row>
    <row r="614" hidden="1" outlineLevel="1" ht="17.25" customHeight="1" thickBot="1">
      <c r="A614" s="374" t="n"/>
      <c r="B614" s="369" t="n">
        <v>42619</v>
      </c>
      <c r="C614" s="370" t="inlineStr">
        <is>
          <t>FITX</t>
        </is>
      </c>
      <c r="D614" s="371" t="inlineStr">
        <is>
          <t>台指09</t>
        </is>
      </c>
      <c r="E614" s="371" t="inlineStr">
        <is>
          <t>平倉</t>
        </is>
      </c>
      <c r="F614" s="371" t="inlineStr">
        <is>
          <t>買</t>
        </is>
      </c>
      <c r="G614" s="371" t="inlineStr">
        <is>
          <t>-</t>
        </is>
      </c>
      <c r="H614" s="785" t="n">
        <v>1</v>
      </c>
      <c r="I614" s="785" t="n">
        <v>9091</v>
      </c>
      <c r="J614" s="785" t="n">
        <v>0</v>
      </c>
      <c r="K614" s="786" t="n">
        <v>100</v>
      </c>
      <c r="L614" s="786" t="n">
        <v>36</v>
      </c>
      <c r="M614" s="743">
        <f>IF(C614="TXO",J614-SUM(K614:L614),IF(C614="FITX",IF(E614="新倉",-SUM(K614:L614),IF(F614="賣",(I614-I613)*H614*200-SUM(K614:L614),(I613-I614)*H614*200-SUM(K614:L614)))))</f>
        <v/>
      </c>
      <c r="N614" s="780">
        <f>IF(C614="TXO","",IF(C614="FITX",IF(E614="新倉","",IF(F614="賣",(I614-I613)*H614,(I613-I614)*H614))))</f>
        <v/>
      </c>
      <c r="O614" s="334">
        <f>ABS(J614)</f>
        <v/>
      </c>
      <c r="P614" s="764" t="n"/>
      <c r="R614" s="61" t="n"/>
      <c r="S614" s="61" t="n"/>
      <c r="T614" s="61" t="n"/>
      <c r="U614" s="61" t="n"/>
      <c r="V614" s="61" t="n"/>
      <c r="W614" s="61" t="n"/>
      <c r="X614" s="61" t="n"/>
      <c r="Y614" s="61" t="n"/>
    </row>
    <row r="615" hidden="1" outlineLevel="1" collapsed="1" ht="17.25" customHeight="1" thickBot="1">
      <c r="B615" s="368" t="n">
        <v>42623</v>
      </c>
      <c r="C615" s="337" t="inlineStr">
        <is>
          <t>FITX</t>
        </is>
      </c>
      <c r="D615" s="338" t="inlineStr">
        <is>
          <t>台指09</t>
        </is>
      </c>
      <c r="E615" s="338" t="inlineStr">
        <is>
          <t>新倉</t>
        </is>
      </c>
      <c r="F615" s="338" t="inlineStr">
        <is>
          <t>賣</t>
        </is>
      </c>
      <c r="G615" s="338" t="inlineStr">
        <is>
          <t>-</t>
        </is>
      </c>
      <c r="H615" s="767" t="n">
        <v>1</v>
      </c>
      <c r="I615" s="767" t="n">
        <v>8986</v>
      </c>
      <c r="J615" s="767" t="n">
        <v>0</v>
      </c>
      <c r="K615" s="769" t="n">
        <v>100</v>
      </c>
      <c r="L615" s="769" t="n">
        <v>36</v>
      </c>
      <c r="M615" s="699">
        <f>IF(C615="TXO",J615-SUM(K615:L615),IF(C615="FITX",IF(E615="新倉",-SUM(K615:L615),IF(F615="賣",(I615-I614)*H615*200-SUM(K615:L615),(I614-I615)*H615*200-SUM(K615:L615)))))</f>
        <v/>
      </c>
      <c r="N615" s="686">
        <f>IF(C615="TXO","",IF(C615="FITX",IF(E615="新倉","",IF(F615="賣",(I615-I614)*H615,(I614-I615)*H615))))</f>
        <v/>
      </c>
      <c r="O615" s="334">
        <f>ABS(J615)</f>
        <v/>
      </c>
      <c r="P615" s="667">
        <f>SUM(M615:M648)</f>
        <v/>
      </c>
      <c r="R615" s="61" t="n"/>
      <c r="S615" s="61" t="n"/>
      <c r="T615" s="61" t="n"/>
      <c r="U615" s="61" t="n"/>
      <c r="V615" s="61" t="n"/>
      <c r="W615" s="61" t="n"/>
      <c r="X615" s="61" t="n"/>
      <c r="Y615" s="61" t="n"/>
    </row>
    <row r="616" hidden="1" outlineLevel="2" ht="17.25" customHeight="1" thickBot="1">
      <c r="B616" s="368" t="n">
        <v>42623</v>
      </c>
      <c r="C616" s="337" t="inlineStr">
        <is>
          <t>FITX</t>
        </is>
      </c>
      <c r="D616" s="338" t="inlineStr">
        <is>
          <t>台指09</t>
        </is>
      </c>
      <c r="E616" s="338" t="inlineStr">
        <is>
          <t>平倉</t>
        </is>
      </c>
      <c r="F616" s="338" t="inlineStr">
        <is>
          <t>買</t>
        </is>
      </c>
      <c r="G616" s="338" t="inlineStr">
        <is>
          <t>-</t>
        </is>
      </c>
      <c r="H616" s="767" t="n">
        <v>1</v>
      </c>
      <c r="I616" s="767" t="n">
        <v>8988</v>
      </c>
      <c r="J616" s="767" t="n">
        <v>0</v>
      </c>
      <c r="K616" s="769" t="n">
        <v>100</v>
      </c>
      <c r="L616" s="769" t="n">
        <v>36</v>
      </c>
      <c r="M616" s="699">
        <f>IF(C616="TXO",J616-SUM(K616:L616),IF(C616="FITX",IF(E616="新倉",-SUM(K616:L616),IF(F616="賣",(I616-I615)*H616*200-SUM(K616:L616),(I615-I616)*H616*200-SUM(K616:L616)))))</f>
        <v/>
      </c>
      <c r="N616" s="686">
        <f>IF(C616="TXO","",IF(C616="FITX",IF(E616="新倉","",IF(F616="賣",(I616-I615)*H616,(I615-I616)*H616))))</f>
        <v/>
      </c>
      <c r="O616" s="334">
        <f>ABS(J616)</f>
        <v/>
      </c>
      <c r="P616" s="667" t="n"/>
      <c r="R616" s="61" t="n"/>
      <c r="S616" s="61" t="n"/>
      <c r="T616" s="61" t="n"/>
      <c r="U616" s="61" t="n"/>
      <c r="V616" s="61" t="n"/>
      <c r="W616" s="61" t="n"/>
      <c r="X616" s="61" t="n"/>
      <c r="Y616" s="61" t="n"/>
    </row>
    <row r="617" hidden="1" outlineLevel="2" ht="17.25" customHeight="1" thickBot="1">
      <c r="B617" s="368" t="n">
        <v>42623</v>
      </c>
      <c r="C617" s="337" t="inlineStr">
        <is>
          <t>FITX</t>
        </is>
      </c>
      <c r="D617" s="338" t="inlineStr">
        <is>
          <t>台指09</t>
        </is>
      </c>
      <c r="E617" s="338" t="inlineStr">
        <is>
          <t>新倉</t>
        </is>
      </c>
      <c r="F617" s="338" t="inlineStr">
        <is>
          <t>賣</t>
        </is>
      </c>
      <c r="G617" s="338" t="inlineStr">
        <is>
          <t>-</t>
        </is>
      </c>
      <c r="H617" s="767" t="n">
        <v>1</v>
      </c>
      <c r="I617" s="767" t="n">
        <v>8981</v>
      </c>
      <c r="J617" s="767" t="n">
        <v>0</v>
      </c>
      <c r="K617" s="769" t="n">
        <v>100</v>
      </c>
      <c r="L617" s="769" t="n">
        <v>36</v>
      </c>
      <c r="M617" s="699">
        <f>IF(C617="TXO",J617-SUM(K617:L617),IF(C617="FITX",IF(E617="新倉",-SUM(K617:L617),IF(F617="賣",(I617-I616)*H617*200-SUM(K617:L617),(I616-I617)*H617*200-SUM(K617:L617)))))</f>
        <v/>
      </c>
      <c r="N617" s="686">
        <f>IF(C617="TXO","",IF(C617="FITX",IF(E617="新倉","",IF(F617="賣",(I617-I616)*H617,(I616-I617)*H617))))</f>
        <v/>
      </c>
      <c r="O617" s="334">
        <f>ABS(J617)</f>
        <v/>
      </c>
      <c r="P617" s="667" t="n"/>
      <c r="R617" s="61" t="n"/>
      <c r="S617" s="61" t="n"/>
      <c r="T617" s="61" t="n"/>
      <c r="U617" s="61" t="n"/>
      <c r="V617" s="61" t="n"/>
      <c r="W617" s="61" t="n"/>
      <c r="X617" s="61" t="n"/>
      <c r="Y617" s="61" t="n"/>
    </row>
    <row r="618" hidden="1" outlineLevel="2" ht="17.25" customHeight="1" thickBot="1">
      <c r="B618" s="368" t="n">
        <v>42623</v>
      </c>
      <c r="C618" s="337" t="inlineStr">
        <is>
          <t>FITX</t>
        </is>
      </c>
      <c r="D618" s="338" t="inlineStr">
        <is>
          <t>台指09</t>
        </is>
      </c>
      <c r="E618" s="338" t="inlineStr">
        <is>
          <t>平倉</t>
        </is>
      </c>
      <c r="F618" s="338" t="inlineStr">
        <is>
          <t>買</t>
        </is>
      </c>
      <c r="G618" s="338" t="inlineStr">
        <is>
          <t>-</t>
        </is>
      </c>
      <c r="H618" s="767" t="n">
        <v>1</v>
      </c>
      <c r="I618" s="767" t="n">
        <v>8967</v>
      </c>
      <c r="J618" s="767" t="n">
        <v>0</v>
      </c>
      <c r="K618" s="769" t="n">
        <v>100</v>
      </c>
      <c r="L618" s="769" t="n">
        <v>36</v>
      </c>
      <c r="M618" s="699">
        <f>IF(C618="TXO",J618-SUM(K618:L618),IF(C618="FITX",IF(E618="新倉",-SUM(K618:L618),IF(F618="賣",(I618-I617)*H618*200-SUM(K618:L618),(I617-I618)*H618*200-SUM(K618:L618)))))</f>
        <v/>
      </c>
      <c r="N618" s="686">
        <f>IF(C618="TXO","",IF(C618="FITX",IF(E618="新倉","",IF(F618="賣",(I618-I617)*H618,(I617-I618)*H618))))</f>
        <v/>
      </c>
      <c r="O618" s="334">
        <f>ABS(J618)</f>
        <v/>
      </c>
      <c r="P618" s="667" t="n"/>
      <c r="R618" s="61" t="n"/>
      <c r="S618" s="61" t="n"/>
      <c r="T618" s="61" t="n"/>
      <c r="U618" s="61" t="n"/>
      <c r="V618" s="61" t="n"/>
      <c r="W618" s="61" t="n"/>
      <c r="X618" s="61" t="n"/>
      <c r="Y618" s="61" t="n"/>
    </row>
    <row r="619" hidden="1" outlineLevel="2" ht="17.25" customHeight="1" thickBot="1">
      <c r="B619" s="368" t="n">
        <v>42623</v>
      </c>
      <c r="C619" s="337" t="inlineStr">
        <is>
          <t>FITX</t>
        </is>
      </c>
      <c r="D619" s="338" t="inlineStr">
        <is>
          <t>台指09</t>
        </is>
      </c>
      <c r="E619" s="338" t="inlineStr">
        <is>
          <t>新倉</t>
        </is>
      </c>
      <c r="F619" s="338" t="inlineStr">
        <is>
          <t>賣</t>
        </is>
      </c>
      <c r="G619" s="338" t="inlineStr">
        <is>
          <t>-</t>
        </is>
      </c>
      <c r="H619" s="767" t="n">
        <v>1</v>
      </c>
      <c r="I619" s="767" t="n">
        <v>8956</v>
      </c>
      <c r="J619" s="767" t="n">
        <v>0</v>
      </c>
      <c r="K619" s="769" t="n">
        <v>100</v>
      </c>
      <c r="L619" s="769" t="n">
        <v>36</v>
      </c>
      <c r="M619" s="699">
        <f>IF(C619="TXO",J619-SUM(K619:L619),IF(C619="FITX",IF(E619="新倉",-SUM(K619:L619),IF(F619="賣",(I619-I618)*H619*200-SUM(K619:L619),(I618-I619)*H619*200-SUM(K619:L619)))))</f>
        <v/>
      </c>
      <c r="N619" s="686">
        <f>IF(C619="TXO","",IF(C619="FITX",IF(E619="新倉","",IF(F619="賣",(I619-I618)*H619,(I618-I619)*H619))))</f>
        <v/>
      </c>
      <c r="O619" s="334">
        <f>ABS(J619)</f>
        <v/>
      </c>
      <c r="P619" s="667" t="n"/>
      <c r="R619" s="61" t="n"/>
      <c r="S619" s="61" t="n"/>
      <c r="T619" s="61" t="n"/>
      <c r="U619" s="61" t="n"/>
      <c r="V619" s="61" t="n"/>
      <c r="W619" s="61" t="n"/>
      <c r="X619" s="61" t="n"/>
      <c r="Y619" s="61" t="n"/>
    </row>
    <row r="620" hidden="1" outlineLevel="2" ht="17.25" customHeight="1" thickBot="1">
      <c r="B620" s="368" t="n">
        <v>42623</v>
      </c>
      <c r="C620" s="337" t="inlineStr">
        <is>
          <t>FITX</t>
        </is>
      </c>
      <c r="D620" s="338" t="inlineStr">
        <is>
          <t>台指09</t>
        </is>
      </c>
      <c r="E620" s="338" t="inlineStr">
        <is>
          <t>平倉</t>
        </is>
      </c>
      <c r="F620" s="338" t="inlineStr">
        <is>
          <t>買</t>
        </is>
      </c>
      <c r="G620" s="338" t="inlineStr">
        <is>
          <t>-</t>
        </is>
      </c>
      <c r="H620" s="767" t="n">
        <v>1</v>
      </c>
      <c r="I620" s="767" t="n">
        <v>8962</v>
      </c>
      <c r="J620" s="767" t="n">
        <v>0</v>
      </c>
      <c r="K620" s="769" t="n">
        <v>100</v>
      </c>
      <c r="L620" s="769" t="n">
        <v>36</v>
      </c>
      <c r="M620" s="699">
        <f>IF(C620="TXO",J620-SUM(K620:L620),IF(C620="FITX",IF(E620="新倉",-SUM(K620:L620),IF(F620="賣",(I620-I619)*H620*200-SUM(K620:L620),(I619-I620)*H620*200-SUM(K620:L620)))))</f>
        <v/>
      </c>
      <c r="N620" s="686">
        <f>IF(C620="TXO","",IF(C620="FITX",IF(E620="新倉","",IF(F620="賣",(I620-I619)*H620,(I619-I620)*H620))))</f>
        <v/>
      </c>
      <c r="O620" s="334">
        <f>ABS(J620)</f>
        <v/>
      </c>
      <c r="P620" s="667" t="n"/>
      <c r="R620" s="61" t="n"/>
      <c r="S620" s="61" t="n"/>
      <c r="T620" s="61" t="n"/>
      <c r="U620" s="61" t="n"/>
      <c r="V620" s="61" t="n"/>
      <c r="W620" s="61" t="n"/>
      <c r="X620" s="61" t="n"/>
      <c r="Y620" s="61" t="n"/>
    </row>
    <row r="621" hidden="1" outlineLevel="2" ht="17.25" customHeight="1" thickBot="1">
      <c r="B621" s="368" t="n">
        <v>42623</v>
      </c>
      <c r="C621" s="337" t="inlineStr">
        <is>
          <t>FITX</t>
        </is>
      </c>
      <c r="D621" s="338" t="inlineStr">
        <is>
          <t>台指09</t>
        </is>
      </c>
      <c r="E621" s="338" t="inlineStr">
        <is>
          <t>新倉</t>
        </is>
      </c>
      <c r="F621" s="338" t="inlineStr">
        <is>
          <t>賣</t>
        </is>
      </c>
      <c r="G621" s="338" t="inlineStr">
        <is>
          <t>-</t>
        </is>
      </c>
      <c r="H621" s="767" t="n">
        <v>1</v>
      </c>
      <c r="I621" s="767" t="n">
        <v>8955</v>
      </c>
      <c r="J621" s="767" t="n">
        <v>0</v>
      </c>
      <c r="K621" s="769" t="n">
        <v>100</v>
      </c>
      <c r="L621" s="769" t="n">
        <v>36</v>
      </c>
      <c r="M621" s="699">
        <f>IF(C621="TXO",J621-SUM(K621:L621),IF(C621="FITX",IF(E621="新倉",-SUM(K621:L621),IF(F621="賣",(I621-I620)*H621*200-SUM(K621:L621),(I620-I621)*H621*200-SUM(K621:L621)))))</f>
        <v/>
      </c>
      <c r="N621" s="686">
        <f>IF(C621="TXO","",IF(C621="FITX",IF(E621="新倉","",IF(F621="賣",(I621-I620)*H621,(I620-I621)*H621))))</f>
        <v/>
      </c>
      <c r="O621" s="334">
        <f>ABS(J621)</f>
        <v/>
      </c>
      <c r="P621" s="667" t="n"/>
      <c r="R621" s="61" t="n"/>
      <c r="S621" s="61" t="n"/>
      <c r="T621" s="61" t="n"/>
      <c r="U621" s="61" t="n"/>
      <c r="V621" s="61" t="n"/>
      <c r="W621" s="61" t="n"/>
      <c r="X621" s="61" t="n"/>
      <c r="Y621" s="61" t="n"/>
    </row>
    <row r="622" hidden="1" outlineLevel="2" ht="17.25" customHeight="1" thickBot="1">
      <c r="B622" s="368" t="n">
        <v>42623</v>
      </c>
      <c r="C622" s="337" t="inlineStr">
        <is>
          <t>FITX</t>
        </is>
      </c>
      <c r="D622" s="338" t="inlineStr">
        <is>
          <t>台指09</t>
        </is>
      </c>
      <c r="E622" s="338" t="inlineStr">
        <is>
          <t>平倉</t>
        </is>
      </c>
      <c r="F622" s="338" t="inlineStr">
        <is>
          <t>買</t>
        </is>
      </c>
      <c r="G622" s="338" t="inlineStr">
        <is>
          <t>-</t>
        </is>
      </c>
      <c r="H622" s="767" t="n">
        <v>1</v>
      </c>
      <c r="I622" s="767" t="n">
        <v>8947</v>
      </c>
      <c r="J622" s="767" t="n">
        <v>0</v>
      </c>
      <c r="K622" s="769" t="n">
        <v>100</v>
      </c>
      <c r="L622" s="769" t="n">
        <v>36</v>
      </c>
      <c r="M622" s="699">
        <f>IF(C622="TXO",J622-SUM(K622:L622),IF(C622="FITX",IF(E622="新倉",-SUM(K622:L622),IF(F622="賣",(I622-I621)*H622*200-SUM(K622:L622),(I621-I622)*H622*200-SUM(K622:L622)))))</f>
        <v/>
      </c>
      <c r="N622" s="686">
        <f>IF(C622="TXO","",IF(C622="FITX",IF(E622="新倉","",IF(F622="賣",(I622-I621)*H622,(I621-I622)*H622))))</f>
        <v/>
      </c>
      <c r="O622" s="334">
        <f>ABS(J622)</f>
        <v/>
      </c>
      <c r="P622" s="667" t="n"/>
      <c r="R622" s="61" t="n"/>
      <c r="S622" s="61" t="n"/>
      <c r="T622" s="61" t="n"/>
      <c r="U622" s="61" t="n"/>
      <c r="V622" s="61" t="n"/>
      <c r="W622" s="61" t="n"/>
      <c r="X622" s="61" t="n"/>
      <c r="Y622" s="61" t="n"/>
    </row>
    <row r="623" hidden="1" outlineLevel="2" ht="17.25" customHeight="1" thickBot="1">
      <c r="B623" s="368" t="n">
        <v>42623</v>
      </c>
      <c r="C623" s="337" t="inlineStr">
        <is>
          <t>FITX</t>
        </is>
      </c>
      <c r="D623" s="338" t="inlineStr">
        <is>
          <t>台指09</t>
        </is>
      </c>
      <c r="E623" s="338" t="inlineStr">
        <is>
          <t>新倉</t>
        </is>
      </c>
      <c r="F623" s="338" t="inlineStr">
        <is>
          <t>賣</t>
        </is>
      </c>
      <c r="G623" s="338" t="inlineStr">
        <is>
          <t>-</t>
        </is>
      </c>
      <c r="H623" s="767" t="n">
        <v>1</v>
      </c>
      <c r="I623" s="767" t="n">
        <v>8961</v>
      </c>
      <c r="J623" s="767" t="n">
        <v>0</v>
      </c>
      <c r="K623" s="769" t="n">
        <v>100</v>
      </c>
      <c r="L623" s="769" t="n">
        <v>36</v>
      </c>
      <c r="M623" s="699">
        <f>IF(C623="TXO",J623-SUM(K623:L623),IF(C623="FITX",IF(E623="新倉",-SUM(K623:L623),IF(F623="賣",(I623-I622)*H623*200-SUM(K623:L623),(I622-I623)*H623*200-SUM(K623:L623)))))</f>
        <v/>
      </c>
      <c r="N623" s="686">
        <f>IF(C623="TXO","",IF(C623="FITX",IF(E623="新倉","",IF(F623="賣",(I623-I622)*H623,(I622-I623)*H623))))</f>
        <v/>
      </c>
      <c r="O623" s="334">
        <f>ABS(J623)</f>
        <v/>
      </c>
      <c r="P623" s="667" t="n"/>
      <c r="R623" s="61" t="n"/>
      <c r="S623" s="61" t="n"/>
      <c r="T623" s="61" t="n"/>
      <c r="U623" s="61" t="n"/>
      <c r="V623" s="61" t="n"/>
      <c r="W623" s="61" t="n"/>
      <c r="X623" s="61" t="n"/>
      <c r="Y623" s="61" t="n"/>
    </row>
    <row r="624" hidden="1" outlineLevel="2" ht="17.25" customHeight="1" thickBot="1">
      <c r="B624" s="368" t="n">
        <v>42623</v>
      </c>
      <c r="C624" s="337" t="inlineStr">
        <is>
          <t>FITX</t>
        </is>
      </c>
      <c r="D624" s="338" t="inlineStr">
        <is>
          <t>台指09</t>
        </is>
      </c>
      <c r="E624" s="338" t="inlineStr">
        <is>
          <t>平倉</t>
        </is>
      </c>
      <c r="F624" s="338" t="inlineStr">
        <is>
          <t>買</t>
        </is>
      </c>
      <c r="G624" s="338" t="inlineStr">
        <is>
          <t>-</t>
        </is>
      </c>
      <c r="H624" s="767" t="n">
        <v>1</v>
      </c>
      <c r="I624" s="767" t="n">
        <v>8960</v>
      </c>
      <c r="J624" s="767" t="n">
        <v>0</v>
      </c>
      <c r="K624" s="769" t="n">
        <v>100</v>
      </c>
      <c r="L624" s="769" t="n">
        <v>36</v>
      </c>
      <c r="M624" s="699">
        <f>IF(C624="TXO",J624-SUM(K624:L624),IF(C624="FITX",IF(E624="新倉",-SUM(K624:L624),IF(F624="賣",(I624-I623)*H624*200-SUM(K624:L624),(I623-I624)*H624*200-SUM(K624:L624)))))</f>
        <v/>
      </c>
      <c r="N624" s="686">
        <f>IF(C624="TXO","",IF(C624="FITX",IF(E624="新倉","",IF(F624="賣",(I624-I623)*H624,(I623-I624)*H624))))</f>
        <v/>
      </c>
      <c r="O624" s="334">
        <f>ABS(J624)</f>
        <v/>
      </c>
      <c r="P624" s="667" t="n"/>
      <c r="R624" s="61" t="n"/>
      <c r="S624" s="61" t="n"/>
      <c r="T624" s="61" t="n"/>
      <c r="U624" s="61" t="n"/>
      <c r="V624" s="61" t="n"/>
      <c r="W624" s="61" t="n"/>
      <c r="X624" s="61" t="n"/>
      <c r="Y624" s="61" t="n"/>
    </row>
    <row r="625" hidden="1" outlineLevel="2" ht="17.25" customHeight="1" thickBot="1">
      <c r="B625" s="368" t="n">
        <v>42623</v>
      </c>
      <c r="C625" s="337" t="inlineStr">
        <is>
          <t>FITX</t>
        </is>
      </c>
      <c r="D625" s="338" t="inlineStr">
        <is>
          <t>台指09</t>
        </is>
      </c>
      <c r="E625" s="338" t="inlineStr">
        <is>
          <t>新倉</t>
        </is>
      </c>
      <c r="F625" s="338" t="inlineStr">
        <is>
          <t>賣</t>
        </is>
      </c>
      <c r="G625" s="338" t="inlineStr">
        <is>
          <t>-</t>
        </is>
      </c>
      <c r="H625" s="767" t="n">
        <v>1</v>
      </c>
      <c r="I625" s="767" t="n">
        <v>8988</v>
      </c>
      <c r="J625" s="767" t="n">
        <v>0</v>
      </c>
      <c r="K625" s="769" t="n">
        <v>100</v>
      </c>
      <c r="L625" s="769" t="n">
        <v>36</v>
      </c>
      <c r="M625" s="699">
        <f>IF(C625="TXO",J625-SUM(K625:L625),IF(C625="FITX",IF(E625="新倉",-SUM(K625:L625),IF(F625="賣",(I625-I624)*H625*200-SUM(K625:L625),(I624-I625)*H625*200-SUM(K625:L625)))))</f>
        <v/>
      </c>
      <c r="N625" s="686">
        <f>IF(C625="TXO","",IF(C625="FITX",IF(E625="新倉","",IF(F625="賣",(I625-I624)*H625,(I624-I625)*H625))))</f>
        <v/>
      </c>
      <c r="O625" s="334">
        <f>ABS(J625)</f>
        <v/>
      </c>
      <c r="P625" s="667" t="n"/>
      <c r="R625" s="61" t="n"/>
      <c r="S625" s="61" t="n"/>
      <c r="T625" s="61" t="n"/>
      <c r="U625" s="61" t="n"/>
      <c r="V625" s="61" t="n"/>
      <c r="W625" s="61" t="n"/>
      <c r="X625" s="61" t="n"/>
      <c r="Y625" s="61" t="n"/>
    </row>
    <row r="626" hidden="1" outlineLevel="2" ht="17.25" customHeight="1" thickBot="1">
      <c r="B626" s="368" t="n">
        <v>42623</v>
      </c>
      <c r="C626" s="337" t="inlineStr">
        <is>
          <t>FITX</t>
        </is>
      </c>
      <c r="D626" s="338" t="inlineStr">
        <is>
          <t>台指09</t>
        </is>
      </c>
      <c r="E626" s="338" t="inlineStr">
        <is>
          <t>平倉</t>
        </is>
      </c>
      <c r="F626" s="338" t="inlineStr">
        <is>
          <t>買</t>
        </is>
      </c>
      <c r="G626" s="338" t="inlineStr">
        <is>
          <t>-</t>
        </is>
      </c>
      <c r="H626" s="767" t="n">
        <v>1</v>
      </c>
      <c r="I626" s="767" t="n">
        <v>8995</v>
      </c>
      <c r="J626" s="767" t="n">
        <v>0</v>
      </c>
      <c r="K626" s="769" t="n">
        <v>100</v>
      </c>
      <c r="L626" s="769" t="n">
        <v>36</v>
      </c>
      <c r="M626" s="699">
        <f>IF(C626="TXO",J626-SUM(K626:L626),IF(C626="FITX",IF(E626="新倉",-SUM(K626:L626),IF(F626="賣",(I626-I625)*H626*200-SUM(K626:L626),(I625-I626)*H626*200-SUM(K626:L626)))))</f>
        <v/>
      </c>
      <c r="N626" s="686">
        <f>IF(C626="TXO","",IF(C626="FITX",IF(E626="新倉","",IF(F626="賣",(I626-I625)*H626,(I625-I626)*H626))))</f>
        <v/>
      </c>
      <c r="O626" s="334">
        <f>ABS(J626)</f>
        <v/>
      </c>
      <c r="P626" s="667" t="n"/>
      <c r="R626" s="61" t="n"/>
      <c r="S626" s="61" t="n"/>
      <c r="T626" s="61" t="n"/>
      <c r="U626" s="61" t="n"/>
      <c r="V626" s="61" t="n"/>
      <c r="W626" s="61" t="n"/>
      <c r="X626" s="61" t="n"/>
      <c r="Y626" s="61" t="n"/>
    </row>
    <row r="627" hidden="1" outlineLevel="2" ht="17.25" customHeight="1" thickBot="1">
      <c r="B627" s="368" t="n">
        <v>42623</v>
      </c>
      <c r="C627" s="337" t="inlineStr">
        <is>
          <t>FITX</t>
        </is>
      </c>
      <c r="D627" s="338" t="inlineStr">
        <is>
          <t>台指09</t>
        </is>
      </c>
      <c r="E627" s="338" t="inlineStr">
        <is>
          <t>新倉</t>
        </is>
      </c>
      <c r="F627" s="338" t="inlineStr">
        <is>
          <t>賣</t>
        </is>
      </c>
      <c r="G627" s="338" t="inlineStr">
        <is>
          <t>-</t>
        </is>
      </c>
      <c r="H627" s="767" t="n">
        <v>1</v>
      </c>
      <c r="I627" s="767" t="n">
        <v>8974</v>
      </c>
      <c r="J627" s="767" t="n">
        <v>0</v>
      </c>
      <c r="K627" s="769" t="n">
        <v>100</v>
      </c>
      <c r="L627" s="769" t="n">
        <v>36</v>
      </c>
      <c r="M627" s="699">
        <f>IF(C627="TXO",J627-SUM(K627:L627),IF(C627="FITX",IF(E627="新倉",-SUM(K627:L627),IF(F627="賣",(I627-I626)*H627*200-SUM(K627:L627),(I626-I627)*H627*200-SUM(K627:L627)))))</f>
        <v/>
      </c>
      <c r="N627" s="686">
        <f>IF(C627="TXO","",IF(C627="FITX",IF(E627="新倉","",IF(F627="賣",(I627-I626)*H627,(I626-I627)*H627))))</f>
        <v/>
      </c>
      <c r="O627" s="334">
        <f>ABS(J627)</f>
        <v/>
      </c>
      <c r="P627" s="667" t="n"/>
      <c r="R627" s="61" t="n"/>
      <c r="S627" s="61" t="n"/>
      <c r="T627" s="61" t="n"/>
      <c r="U627" s="61" t="n"/>
      <c r="V627" s="61" t="n"/>
      <c r="W627" s="61" t="n"/>
      <c r="X627" s="61" t="n"/>
      <c r="Y627" s="61" t="n"/>
    </row>
    <row r="628" hidden="1" outlineLevel="2" ht="17.25" customHeight="1" thickBot="1">
      <c r="B628" s="368" t="n">
        <v>42623</v>
      </c>
      <c r="C628" s="337" t="inlineStr">
        <is>
          <t>FITX</t>
        </is>
      </c>
      <c r="D628" s="338" t="inlineStr">
        <is>
          <t>台指09</t>
        </is>
      </c>
      <c r="E628" s="338" t="inlineStr">
        <is>
          <t>平倉</t>
        </is>
      </c>
      <c r="F628" s="338" t="inlineStr">
        <is>
          <t>買</t>
        </is>
      </c>
      <c r="G628" s="338" t="inlineStr">
        <is>
          <t>-</t>
        </is>
      </c>
      <c r="H628" s="767" t="n">
        <v>1</v>
      </c>
      <c r="I628" s="767" t="n">
        <v>8974</v>
      </c>
      <c r="J628" s="767" t="n">
        <v>0</v>
      </c>
      <c r="K628" s="769" t="n">
        <v>100</v>
      </c>
      <c r="L628" s="769" t="n">
        <v>36</v>
      </c>
      <c r="M628" s="699">
        <f>IF(C628="TXO",J628-SUM(K628:L628),IF(C628="FITX",IF(E628="新倉",-SUM(K628:L628),IF(F628="賣",(I628-I627)*H628*200-SUM(K628:L628),(I627-I628)*H628*200-SUM(K628:L628)))))</f>
        <v/>
      </c>
      <c r="N628" s="686">
        <f>IF(C628="TXO","",IF(C628="FITX",IF(E628="新倉","",IF(F628="賣",(I628-I627)*H628,(I627-I628)*H628))))</f>
        <v/>
      </c>
      <c r="O628" s="334">
        <f>ABS(J628)</f>
        <v/>
      </c>
      <c r="P628" s="667" t="n"/>
      <c r="R628" s="61" t="n"/>
      <c r="S628" s="61" t="n"/>
      <c r="T628" s="61" t="n"/>
      <c r="U628" s="61" t="n"/>
      <c r="V628" s="61" t="n"/>
      <c r="W628" s="61" t="n"/>
      <c r="X628" s="61" t="n"/>
      <c r="Y628" s="61" t="n"/>
    </row>
    <row r="629" hidden="1" outlineLevel="2" ht="17.25" customHeight="1" thickBot="1">
      <c r="B629" s="368" t="n">
        <v>42623</v>
      </c>
      <c r="C629" s="337" t="inlineStr">
        <is>
          <t>FITX</t>
        </is>
      </c>
      <c r="D629" s="338" t="inlineStr">
        <is>
          <t>台指09</t>
        </is>
      </c>
      <c r="E629" s="338" t="inlineStr">
        <is>
          <t>新倉</t>
        </is>
      </c>
      <c r="F629" s="338" t="inlineStr">
        <is>
          <t>賣</t>
        </is>
      </c>
      <c r="G629" s="338" t="inlineStr">
        <is>
          <t>-</t>
        </is>
      </c>
      <c r="H629" s="767" t="n">
        <v>1</v>
      </c>
      <c r="I629" s="767" t="n">
        <v>8976</v>
      </c>
      <c r="J629" s="767" t="n">
        <v>0</v>
      </c>
      <c r="K629" s="769" t="n">
        <v>100</v>
      </c>
      <c r="L629" s="769" t="n">
        <v>36</v>
      </c>
      <c r="M629" s="699">
        <f>IF(C629="TXO",J629-SUM(K629:L629),IF(C629="FITX",IF(E629="新倉",-SUM(K629:L629),IF(F629="賣",(I629-I628)*H629*200-SUM(K629:L629),(I628-I629)*H629*200-SUM(K629:L629)))))</f>
        <v/>
      </c>
      <c r="N629" s="686">
        <f>IF(C629="TXO","",IF(C629="FITX",IF(E629="新倉","",IF(F629="賣",(I629-I628)*H629,(I628-I629)*H629))))</f>
        <v/>
      </c>
      <c r="O629" s="334">
        <f>ABS(J629)</f>
        <v/>
      </c>
      <c r="P629" s="667" t="n"/>
      <c r="R629" s="61" t="n"/>
      <c r="S629" s="61" t="n"/>
      <c r="T629" s="61" t="n"/>
      <c r="U629" s="61" t="n"/>
      <c r="V629" s="61" t="n"/>
      <c r="W629" s="61" t="n"/>
      <c r="X629" s="61" t="n"/>
      <c r="Y629" s="61" t="n"/>
    </row>
    <row r="630" hidden="1" outlineLevel="2" ht="17.25" customHeight="1" thickBot="1">
      <c r="B630" s="368" t="n">
        <v>42623</v>
      </c>
      <c r="C630" s="337" t="inlineStr">
        <is>
          <t>FITX</t>
        </is>
      </c>
      <c r="D630" s="338" t="inlineStr">
        <is>
          <t>台指09</t>
        </is>
      </c>
      <c r="E630" s="338" t="inlineStr">
        <is>
          <t>平倉</t>
        </is>
      </c>
      <c r="F630" s="338" t="inlineStr">
        <is>
          <t>買</t>
        </is>
      </c>
      <c r="G630" s="338" t="inlineStr">
        <is>
          <t>-</t>
        </is>
      </c>
      <c r="H630" s="767" t="n">
        <v>1</v>
      </c>
      <c r="I630" s="767" t="n">
        <v>8980</v>
      </c>
      <c r="J630" s="767" t="n">
        <v>0</v>
      </c>
      <c r="K630" s="769" t="n">
        <v>100</v>
      </c>
      <c r="L630" s="769" t="n">
        <v>36</v>
      </c>
      <c r="M630" s="699">
        <f>IF(C630="TXO",J630-SUM(K630:L630),IF(C630="FITX",IF(E630="新倉",-SUM(K630:L630),IF(F630="賣",(I630-I629)*H630*200-SUM(K630:L630),(I629-I630)*H630*200-SUM(K630:L630)))))</f>
        <v/>
      </c>
      <c r="N630" s="686">
        <f>IF(C630="TXO","",IF(C630="FITX",IF(E630="新倉","",IF(F630="賣",(I630-I629)*H630,(I629-I630)*H630))))</f>
        <v/>
      </c>
      <c r="O630" s="334">
        <f>ABS(J630)</f>
        <v/>
      </c>
      <c r="P630" s="667" t="n"/>
      <c r="R630" s="61" t="n"/>
      <c r="S630" s="61" t="n"/>
      <c r="T630" s="61" t="n"/>
      <c r="U630" s="61" t="n"/>
      <c r="V630" s="61" t="n"/>
      <c r="W630" s="61" t="n"/>
      <c r="X630" s="61" t="n"/>
      <c r="Y630" s="61" t="n"/>
    </row>
    <row r="631" hidden="1" outlineLevel="2" ht="17.25" customHeight="1" thickBot="1">
      <c r="B631" s="368" t="n">
        <v>42623</v>
      </c>
      <c r="C631" s="337" t="inlineStr">
        <is>
          <t>FITX</t>
        </is>
      </c>
      <c r="D631" s="338" t="inlineStr">
        <is>
          <t>台指09</t>
        </is>
      </c>
      <c r="E631" s="338" t="inlineStr">
        <is>
          <t>新倉</t>
        </is>
      </c>
      <c r="F631" s="338" t="inlineStr">
        <is>
          <t>賣</t>
        </is>
      </c>
      <c r="G631" s="338" t="inlineStr">
        <is>
          <t>-</t>
        </is>
      </c>
      <c r="H631" s="767" t="n">
        <v>1</v>
      </c>
      <c r="I631" s="767" t="n">
        <v>8971</v>
      </c>
      <c r="J631" s="767" t="n">
        <v>0</v>
      </c>
      <c r="K631" s="769" t="n">
        <v>100</v>
      </c>
      <c r="L631" s="769" t="n">
        <v>36</v>
      </c>
      <c r="M631" s="699">
        <f>IF(C631="TXO",J631-SUM(K631:L631),IF(C631="FITX",IF(E631="新倉",-SUM(K631:L631),IF(F631="賣",(I631-I630)*H631*200-SUM(K631:L631),(I630-I631)*H631*200-SUM(K631:L631)))))</f>
        <v/>
      </c>
      <c r="N631" s="686">
        <f>IF(C631="TXO","",IF(C631="FITX",IF(E631="新倉","",IF(F631="賣",(I631-I630)*H631,(I630-I631)*H631))))</f>
        <v/>
      </c>
      <c r="O631" s="334">
        <f>ABS(J631)</f>
        <v/>
      </c>
      <c r="P631" s="667" t="n"/>
      <c r="R631" s="61" t="n"/>
      <c r="S631" s="61" t="n"/>
      <c r="T631" s="61" t="n"/>
      <c r="U631" s="61" t="n"/>
      <c r="V631" s="61" t="n"/>
      <c r="W631" s="61" t="n"/>
      <c r="X631" s="61" t="n"/>
      <c r="Y631" s="61" t="n"/>
    </row>
    <row r="632" hidden="1" outlineLevel="2" ht="17.25" customHeight="1" thickBot="1">
      <c r="B632" s="368" t="n">
        <v>42623</v>
      </c>
      <c r="C632" s="337" t="inlineStr">
        <is>
          <t>FITX</t>
        </is>
      </c>
      <c r="D632" s="338" t="inlineStr">
        <is>
          <t>台指09</t>
        </is>
      </c>
      <c r="E632" s="338" t="inlineStr">
        <is>
          <t>平倉</t>
        </is>
      </c>
      <c r="F632" s="338" t="inlineStr">
        <is>
          <t>買</t>
        </is>
      </c>
      <c r="G632" s="338" t="inlineStr">
        <is>
          <t>-</t>
        </is>
      </c>
      <c r="H632" s="767" t="n">
        <v>1</v>
      </c>
      <c r="I632" s="767" t="n">
        <v>8980</v>
      </c>
      <c r="J632" s="767" t="n">
        <v>0</v>
      </c>
      <c r="K632" s="769" t="n">
        <v>100</v>
      </c>
      <c r="L632" s="769" t="n">
        <v>36</v>
      </c>
      <c r="M632" s="699">
        <f>IF(C632="TXO",J632-SUM(K632:L632),IF(C632="FITX",IF(E632="新倉",-SUM(K632:L632),IF(F632="賣",(I632-I631)*H632*200-SUM(K632:L632),(I631-I632)*H632*200-SUM(K632:L632)))))</f>
        <v/>
      </c>
      <c r="N632" s="686">
        <f>IF(C632="TXO","",IF(C632="FITX",IF(E632="新倉","",IF(F632="賣",(I632-I631)*H632,(I631-I632)*H632))))</f>
        <v/>
      </c>
      <c r="O632" s="334">
        <f>ABS(J632)</f>
        <v/>
      </c>
      <c r="P632" s="667" t="n"/>
      <c r="R632" s="61" t="n"/>
      <c r="S632" s="61" t="n"/>
      <c r="T632" s="61" t="n"/>
      <c r="U632" s="61" t="n"/>
      <c r="V632" s="61" t="n"/>
      <c r="W632" s="61" t="n"/>
      <c r="X632" s="61" t="n"/>
      <c r="Y632" s="61" t="n"/>
    </row>
    <row r="633" hidden="1" outlineLevel="2" ht="17.25" customHeight="1" thickBot="1">
      <c r="B633" s="368" t="n">
        <v>42623</v>
      </c>
      <c r="C633" s="337" t="inlineStr">
        <is>
          <t>FITX</t>
        </is>
      </c>
      <c r="D633" s="338" t="inlineStr">
        <is>
          <t>台指09</t>
        </is>
      </c>
      <c r="E633" s="338" t="inlineStr">
        <is>
          <t>新倉</t>
        </is>
      </c>
      <c r="F633" s="338" t="inlineStr">
        <is>
          <t>賣</t>
        </is>
      </c>
      <c r="G633" s="338" t="inlineStr">
        <is>
          <t>-</t>
        </is>
      </c>
      <c r="H633" s="767" t="n">
        <v>1</v>
      </c>
      <c r="I633" s="767" t="n">
        <v>8966</v>
      </c>
      <c r="J633" s="767" t="n">
        <v>0</v>
      </c>
      <c r="K633" s="769" t="n">
        <v>100</v>
      </c>
      <c r="L633" s="769" t="n">
        <v>36</v>
      </c>
      <c r="M633" s="699">
        <f>IF(C633="TXO",J633-SUM(K633:L633),IF(C633="FITX",IF(E633="新倉",-SUM(K633:L633),IF(F633="賣",(I633-I632)*H633*200-SUM(K633:L633),(I632-I633)*H633*200-SUM(K633:L633)))))</f>
        <v/>
      </c>
      <c r="N633" s="686">
        <f>IF(C633="TXO","",IF(C633="FITX",IF(E633="新倉","",IF(F633="賣",(I633-I632)*H633,(I632-I633)*H633))))</f>
        <v/>
      </c>
      <c r="O633" s="334">
        <f>ABS(J633)</f>
        <v/>
      </c>
      <c r="P633" s="667" t="n"/>
      <c r="R633" s="61" t="n"/>
      <c r="S633" s="61" t="n"/>
      <c r="T633" s="61" t="n"/>
      <c r="U633" s="61" t="n"/>
      <c r="V633" s="61" t="n"/>
      <c r="W633" s="61" t="n"/>
      <c r="X633" s="61" t="n"/>
      <c r="Y633" s="61" t="n"/>
    </row>
    <row r="634" hidden="1" outlineLevel="2" ht="17.25" customHeight="1" thickBot="1">
      <c r="B634" s="368" t="n">
        <v>42623</v>
      </c>
      <c r="C634" s="337" t="inlineStr">
        <is>
          <t>FITX</t>
        </is>
      </c>
      <c r="D634" s="338" t="inlineStr">
        <is>
          <t>台指09</t>
        </is>
      </c>
      <c r="E634" s="338" t="inlineStr">
        <is>
          <t>平倉</t>
        </is>
      </c>
      <c r="F634" s="338" t="inlineStr">
        <is>
          <t>買</t>
        </is>
      </c>
      <c r="G634" s="338" t="inlineStr">
        <is>
          <t>-</t>
        </is>
      </c>
      <c r="H634" s="767" t="n">
        <v>1</v>
      </c>
      <c r="I634" s="767" t="n">
        <v>8966</v>
      </c>
      <c r="J634" s="767" t="n">
        <v>0</v>
      </c>
      <c r="K634" s="769" t="n">
        <v>100</v>
      </c>
      <c r="L634" s="769" t="n">
        <v>36</v>
      </c>
      <c r="M634" s="699">
        <f>IF(C634="TXO",J634-SUM(K634:L634),IF(C634="FITX",IF(E634="新倉",-SUM(K634:L634),IF(F634="賣",(I634-I633)*H634*200-SUM(K634:L634),(I633-I634)*H634*200-SUM(K634:L634)))))</f>
        <v/>
      </c>
      <c r="N634" s="686">
        <f>IF(C634="TXO","",IF(C634="FITX",IF(E634="新倉","",IF(F634="賣",(I634-I633)*H634,(I633-I634)*H634))))</f>
        <v/>
      </c>
      <c r="O634" s="334">
        <f>ABS(J634)</f>
        <v/>
      </c>
      <c r="P634" s="667" t="n"/>
      <c r="R634" s="61" t="n"/>
      <c r="S634" s="61" t="n"/>
      <c r="T634" s="61" t="n"/>
      <c r="U634" s="61" t="n"/>
      <c r="V634" s="61" t="n"/>
      <c r="W634" s="61" t="n"/>
      <c r="X634" s="61" t="n"/>
      <c r="Y634" s="61" t="n"/>
    </row>
    <row r="635" hidden="1" outlineLevel="2" ht="17.25" customHeight="1" thickBot="1">
      <c r="B635" s="368" t="n">
        <v>42623</v>
      </c>
      <c r="C635" s="337" t="inlineStr">
        <is>
          <t>FITX</t>
        </is>
      </c>
      <c r="D635" s="338" t="inlineStr">
        <is>
          <t>台指09</t>
        </is>
      </c>
      <c r="E635" s="338" t="inlineStr">
        <is>
          <t>新倉</t>
        </is>
      </c>
      <c r="F635" s="338" t="inlineStr">
        <is>
          <t>賣</t>
        </is>
      </c>
      <c r="G635" s="338" t="inlineStr">
        <is>
          <t>-</t>
        </is>
      </c>
      <c r="H635" s="767" t="n">
        <v>1</v>
      </c>
      <c r="I635" s="767" t="n">
        <v>8974</v>
      </c>
      <c r="J635" s="767" t="n">
        <v>0</v>
      </c>
      <c r="K635" s="769" t="n">
        <v>100</v>
      </c>
      <c r="L635" s="769" t="n">
        <v>36</v>
      </c>
      <c r="M635" s="699">
        <f>IF(C635="TXO",J635-SUM(K635:L635),IF(C635="FITX",IF(E635="新倉",-SUM(K635:L635),IF(F635="賣",(I635-I634)*H635*200-SUM(K635:L635),(I634-I635)*H635*200-SUM(K635:L635)))))</f>
        <v/>
      </c>
      <c r="N635" s="686">
        <f>IF(C635="TXO","",IF(C635="FITX",IF(E635="新倉","",IF(F635="賣",(I635-I634)*H635,(I634-I635)*H635))))</f>
        <v/>
      </c>
      <c r="O635" s="334">
        <f>ABS(J635)</f>
        <v/>
      </c>
      <c r="P635" s="667" t="n"/>
      <c r="R635" s="61" t="n"/>
      <c r="S635" s="61" t="n"/>
      <c r="T635" s="61" t="n"/>
      <c r="U635" s="61" t="n"/>
      <c r="V635" s="61" t="n"/>
      <c r="W635" s="61" t="n"/>
      <c r="X635" s="61" t="n"/>
      <c r="Y635" s="61" t="n"/>
    </row>
    <row r="636" hidden="1" outlineLevel="2" ht="17.25" customHeight="1" thickBot="1">
      <c r="B636" s="368" t="n">
        <v>42623</v>
      </c>
      <c r="C636" s="337" t="inlineStr">
        <is>
          <t>FITX</t>
        </is>
      </c>
      <c r="D636" s="338" t="inlineStr">
        <is>
          <t>台指09</t>
        </is>
      </c>
      <c r="E636" s="338" t="inlineStr">
        <is>
          <t>平倉</t>
        </is>
      </c>
      <c r="F636" s="338" t="inlineStr">
        <is>
          <t>買</t>
        </is>
      </c>
      <c r="G636" s="338" t="inlineStr">
        <is>
          <t>-</t>
        </is>
      </c>
      <c r="H636" s="767" t="n">
        <v>1</v>
      </c>
      <c r="I636" s="767" t="n">
        <v>8979</v>
      </c>
      <c r="J636" s="767" t="n">
        <v>0</v>
      </c>
      <c r="K636" s="769" t="n">
        <v>100</v>
      </c>
      <c r="L636" s="769" t="n">
        <v>36</v>
      </c>
      <c r="M636" s="699">
        <f>IF(C636="TXO",J636-SUM(K636:L636),IF(C636="FITX",IF(E636="新倉",-SUM(K636:L636),IF(F636="賣",(I636-I635)*H636*200-SUM(K636:L636),(I635-I636)*H636*200-SUM(K636:L636)))))</f>
        <v/>
      </c>
      <c r="N636" s="686">
        <f>IF(C636="TXO","",IF(C636="FITX",IF(E636="新倉","",IF(F636="賣",(I636-I635)*H636,(I635-I636)*H636))))</f>
        <v/>
      </c>
      <c r="O636" s="334">
        <f>ABS(J636)</f>
        <v/>
      </c>
      <c r="P636" s="667" t="n"/>
      <c r="R636" s="61" t="n"/>
      <c r="S636" s="61" t="n"/>
      <c r="T636" s="61" t="n"/>
      <c r="U636" s="61" t="n"/>
      <c r="V636" s="61" t="n"/>
      <c r="W636" s="61" t="n"/>
      <c r="X636" s="61" t="n"/>
      <c r="Y636" s="61" t="n"/>
    </row>
    <row r="637" hidden="1" outlineLevel="2" ht="17.25" customHeight="1" thickBot="1">
      <c r="B637" s="368" t="n">
        <v>42623</v>
      </c>
      <c r="C637" s="337" t="inlineStr">
        <is>
          <t>FITX</t>
        </is>
      </c>
      <c r="D637" s="338" t="inlineStr">
        <is>
          <t>台指09</t>
        </is>
      </c>
      <c r="E637" s="338" t="inlineStr">
        <is>
          <t>新倉</t>
        </is>
      </c>
      <c r="F637" s="338" t="inlineStr">
        <is>
          <t>賣</t>
        </is>
      </c>
      <c r="G637" s="338" t="inlineStr">
        <is>
          <t>-</t>
        </is>
      </c>
      <c r="H637" s="767" t="n">
        <v>1</v>
      </c>
      <c r="I637" s="767" t="n">
        <v>8966</v>
      </c>
      <c r="J637" s="767" t="n">
        <v>0</v>
      </c>
      <c r="K637" s="769" t="n">
        <v>100</v>
      </c>
      <c r="L637" s="769" t="n">
        <v>36</v>
      </c>
      <c r="M637" s="699">
        <f>IF(C637="TXO",J637-SUM(K637:L637),IF(C637="FITX",IF(E637="新倉",-SUM(K637:L637),IF(F637="賣",(I637-I636)*H637*200-SUM(K637:L637),(I636-I637)*H637*200-SUM(K637:L637)))))</f>
        <v/>
      </c>
      <c r="N637" s="686">
        <f>IF(C637="TXO","",IF(C637="FITX",IF(E637="新倉","",IF(F637="賣",(I637-I636)*H637,(I636-I637)*H637))))</f>
        <v/>
      </c>
      <c r="O637" s="334">
        <f>ABS(J637)</f>
        <v/>
      </c>
      <c r="P637" s="667" t="n"/>
      <c r="R637" s="61" t="n"/>
      <c r="S637" s="61" t="n"/>
      <c r="T637" s="61" t="n"/>
      <c r="U637" s="61" t="n"/>
      <c r="V637" s="61" t="n"/>
      <c r="W637" s="61" t="n"/>
      <c r="X637" s="61" t="n"/>
      <c r="Y637" s="61" t="n"/>
    </row>
    <row r="638" hidden="1" outlineLevel="2" ht="17.25" customHeight="1" thickBot="1">
      <c r="B638" s="368" t="n">
        <v>42623</v>
      </c>
      <c r="C638" s="337" t="inlineStr">
        <is>
          <t>FITX</t>
        </is>
      </c>
      <c r="D638" s="338" t="inlineStr">
        <is>
          <t>台指09</t>
        </is>
      </c>
      <c r="E638" s="338" t="inlineStr">
        <is>
          <t>平倉</t>
        </is>
      </c>
      <c r="F638" s="338" t="inlineStr">
        <is>
          <t>買</t>
        </is>
      </c>
      <c r="G638" s="338" t="inlineStr">
        <is>
          <t>-</t>
        </is>
      </c>
      <c r="H638" s="767" t="n">
        <v>1</v>
      </c>
      <c r="I638" s="767" t="n">
        <v>8967</v>
      </c>
      <c r="J638" s="767" t="n">
        <v>0</v>
      </c>
      <c r="K638" s="769" t="n">
        <v>100</v>
      </c>
      <c r="L638" s="769" t="n">
        <v>36</v>
      </c>
      <c r="M638" s="699">
        <f>IF(C638="TXO",J638-SUM(K638:L638),IF(C638="FITX",IF(E638="新倉",-SUM(K638:L638),IF(F638="賣",(I638-I637)*H638*200-SUM(K638:L638),(I637-I638)*H638*200-SUM(K638:L638)))))</f>
        <v/>
      </c>
      <c r="N638" s="686">
        <f>IF(C638="TXO","",IF(C638="FITX",IF(E638="新倉","",IF(F638="賣",(I638-I637)*H638,(I637-I638)*H638))))</f>
        <v/>
      </c>
      <c r="O638" s="334">
        <f>ABS(J638)</f>
        <v/>
      </c>
      <c r="P638" s="667" t="n"/>
      <c r="R638" s="61" t="n"/>
      <c r="S638" s="61" t="n"/>
      <c r="T638" s="61" t="n"/>
      <c r="U638" s="61" t="n"/>
      <c r="V638" s="61" t="n"/>
      <c r="W638" s="61" t="n"/>
      <c r="X638" s="61" t="n"/>
      <c r="Y638" s="61" t="n"/>
    </row>
    <row r="639" hidden="1" outlineLevel="2" ht="17.25" customHeight="1" thickBot="1">
      <c r="B639" s="368" t="n">
        <v>42623</v>
      </c>
      <c r="C639" s="337" t="inlineStr">
        <is>
          <t>FITX</t>
        </is>
      </c>
      <c r="D639" s="338" t="inlineStr">
        <is>
          <t>台指09</t>
        </is>
      </c>
      <c r="E639" s="338" t="inlineStr">
        <is>
          <t>新倉</t>
        </is>
      </c>
      <c r="F639" s="338" t="inlineStr">
        <is>
          <t>賣</t>
        </is>
      </c>
      <c r="G639" s="338" t="inlineStr">
        <is>
          <t>-</t>
        </is>
      </c>
      <c r="H639" s="767" t="n">
        <v>1</v>
      </c>
      <c r="I639" s="767" t="n">
        <v>8981</v>
      </c>
      <c r="J639" s="767" t="n">
        <v>0</v>
      </c>
      <c r="K639" s="769" t="n">
        <v>100</v>
      </c>
      <c r="L639" s="769" t="n">
        <v>36</v>
      </c>
      <c r="M639" s="699">
        <f>IF(C639="TXO",J639-SUM(K639:L639),IF(C639="FITX",IF(E639="新倉",-SUM(K639:L639),IF(F639="賣",(I639-I638)*H639*200-SUM(K639:L639),(I638-I639)*H639*200-SUM(K639:L639)))))</f>
        <v/>
      </c>
      <c r="N639" s="686">
        <f>IF(C639="TXO","",IF(C639="FITX",IF(E639="新倉","",IF(F639="賣",(I639-I638)*H639,(I638-I639)*H639))))</f>
        <v/>
      </c>
      <c r="O639" s="334">
        <f>ABS(J639)</f>
        <v/>
      </c>
      <c r="P639" s="667" t="n"/>
      <c r="R639" s="61" t="n"/>
      <c r="S639" s="61" t="n"/>
      <c r="T639" s="61" t="n"/>
      <c r="U639" s="61" t="n"/>
      <c r="V639" s="61" t="n"/>
      <c r="W639" s="61" t="n"/>
      <c r="X639" s="61" t="n"/>
      <c r="Y639" s="61" t="n"/>
    </row>
    <row r="640" hidden="1" outlineLevel="2" ht="17.25" customHeight="1" thickBot="1">
      <c r="B640" s="368" t="n">
        <v>42623</v>
      </c>
      <c r="C640" s="337" t="inlineStr">
        <is>
          <t>FITX</t>
        </is>
      </c>
      <c r="D640" s="338" t="inlineStr">
        <is>
          <t>台指09</t>
        </is>
      </c>
      <c r="E640" s="338" t="inlineStr">
        <is>
          <t>平倉</t>
        </is>
      </c>
      <c r="F640" s="338" t="inlineStr">
        <is>
          <t>買</t>
        </is>
      </c>
      <c r="G640" s="338" t="inlineStr">
        <is>
          <t>-</t>
        </is>
      </c>
      <c r="H640" s="767" t="n">
        <v>1</v>
      </c>
      <c r="I640" s="767" t="n">
        <v>8985</v>
      </c>
      <c r="J640" s="767" t="n">
        <v>0</v>
      </c>
      <c r="K640" s="769" t="n">
        <v>100</v>
      </c>
      <c r="L640" s="769" t="n">
        <v>36</v>
      </c>
      <c r="M640" s="699">
        <f>IF(C640="TXO",J640-SUM(K640:L640),IF(C640="FITX",IF(E640="新倉",-SUM(K640:L640),IF(F640="賣",(I640-I639)*H640*200-SUM(K640:L640),(I639-I640)*H640*200-SUM(K640:L640)))))</f>
        <v/>
      </c>
      <c r="N640" s="686">
        <f>IF(C640="TXO","",IF(C640="FITX",IF(E640="新倉","",IF(F640="賣",(I640-I639)*H640,(I639-I640)*H640))))</f>
        <v/>
      </c>
      <c r="O640" s="334">
        <f>ABS(J640)</f>
        <v/>
      </c>
      <c r="P640" s="667" t="n"/>
      <c r="R640" s="61" t="n"/>
      <c r="S640" s="61" t="n"/>
      <c r="T640" s="61" t="n"/>
      <c r="U640" s="61" t="n"/>
      <c r="V640" s="61" t="n"/>
      <c r="W640" s="61" t="n"/>
      <c r="X640" s="61" t="n"/>
      <c r="Y640" s="61" t="n"/>
    </row>
    <row r="641" hidden="1" outlineLevel="2" ht="17.25" customHeight="1" thickBot="1">
      <c r="B641" s="368" t="n">
        <v>42623</v>
      </c>
      <c r="C641" s="337" t="inlineStr">
        <is>
          <t>FITX</t>
        </is>
      </c>
      <c r="D641" s="338" t="inlineStr">
        <is>
          <t>台指09</t>
        </is>
      </c>
      <c r="E641" s="338" t="inlineStr">
        <is>
          <t>新倉</t>
        </is>
      </c>
      <c r="F641" s="338" t="inlineStr">
        <is>
          <t>賣</t>
        </is>
      </c>
      <c r="G641" s="338" t="inlineStr">
        <is>
          <t>-</t>
        </is>
      </c>
      <c r="H641" s="767" t="n">
        <v>1</v>
      </c>
      <c r="I641" s="767" t="n">
        <v>8984</v>
      </c>
      <c r="J641" s="767" t="n">
        <v>0</v>
      </c>
      <c r="K641" s="769" t="n">
        <v>100</v>
      </c>
      <c r="L641" s="769" t="n">
        <v>36</v>
      </c>
      <c r="M641" s="699">
        <f>IF(C641="TXO",J641-SUM(K641:L641),IF(C641="FITX",IF(E641="新倉",-SUM(K641:L641),IF(F641="賣",(I641-I640)*H641*200-SUM(K641:L641),(I640-I641)*H641*200-SUM(K641:L641)))))</f>
        <v/>
      </c>
      <c r="N641" s="686">
        <f>IF(C641="TXO","",IF(C641="FITX",IF(E641="新倉","",IF(F641="賣",(I641-I640)*H641,(I640-I641)*H641))))</f>
        <v/>
      </c>
      <c r="O641" s="334">
        <f>ABS(J641)</f>
        <v/>
      </c>
      <c r="P641" s="667" t="n"/>
      <c r="R641" s="61" t="n"/>
      <c r="S641" s="61" t="n"/>
      <c r="T641" s="61" t="n"/>
      <c r="U641" s="61" t="n"/>
      <c r="V641" s="61" t="n"/>
      <c r="W641" s="61" t="n"/>
      <c r="X641" s="61" t="n"/>
      <c r="Y641" s="61" t="n"/>
    </row>
    <row r="642" hidden="1" outlineLevel="2" ht="17.25" customHeight="1" thickBot="1">
      <c r="B642" s="368" t="n">
        <v>42623</v>
      </c>
      <c r="C642" s="337" t="inlineStr">
        <is>
          <t>FITX</t>
        </is>
      </c>
      <c r="D642" s="338" t="inlineStr">
        <is>
          <t>台指09</t>
        </is>
      </c>
      <c r="E642" s="338" t="inlineStr">
        <is>
          <t>平倉</t>
        </is>
      </c>
      <c r="F642" s="338" t="inlineStr">
        <is>
          <t>買</t>
        </is>
      </c>
      <c r="G642" s="338" t="inlineStr">
        <is>
          <t>-</t>
        </is>
      </c>
      <c r="H642" s="767" t="n">
        <v>1</v>
      </c>
      <c r="I642" s="767" t="n">
        <v>8982</v>
      </c>
      <c r="J642" s="767" t="n">
        <v>0</v>
      </c>
      <c r="K642" s="769" t="n">
        <v>100</v>
      </c>
      <c r="L642" s="769" t="n">
        <v>36</v>
      </c>
      <c r="M642" s="699">
        <f>IF(C642="TXO",J642-SUM(K642:L642),IF(C642="FITX",IF(E642="新倉",-SUM(K642:L642),IF(F642="賣",(I642-I641)*H642*200-SUM(K642:L642),(I641-I642)*H642*200-SUM(K642:L642)))))</f>
        <v/>
      </c>
      <c r="N642" s="686">
        <f>IF(C642="TXO","",IF(C642="FITX",IF(E642="新倉","",IF(F642="賣",(I642-I641)*H642,(I641-I642)*H642))))</f>
        <v/>
      </c>
      <c r="O642" s="334">
        <f>ABS(J642)</f>
        <v/>
      </c>
      <c r="P642" s="667" t="n"/>
      <c r="R642" s="61" t="n"/>
      <c r="S642" s="61" t="n"/>
      <c r="T642" s="61" t="n"/>
      <c r="U642" s="61" t="n"/>
      <c r="V642" s="61" t="n"/>
      <c r="W642" s="61" t="n"/>
      <c r="X642" s="61" t="n"/>
      <c r="Y642" s="61" t="n"/>
    </row>
    <row r="643" hidden="1" outlineLevel="2" ht="17.25" customHeight="1" thickBot="1">
      <c r="B643" s="368" t="n">
        <v>42623</v>
      </c>
      <c r="C643" s="337" t="inlineStr">
        <is>
          <t>FITX</t>
        </is>
      </c>
      <c r="D643" s="338" t="inlineStr">
        <is>
          <t>台指09</t>
        </is>
      </c>
      <c r="E643" s="338" t="inlineStr">
        <is>
          <t>新倉</t>
        </is>
      </c>
      <c r="F643" s="338" t="inlineStr">
        <is>
          <t>賣</t>
        </is>
      </c>
      <c r="G643" s="338" t="inlineStr">
        <is>
          <t>-</t>
        </is>
      </c>
      <c r="H643" s="767" t="n">
        <v>1</v>
      </c>
      <c r="I643" s="767" t="n">
        <v>8970</v>
      </c>
      <c r="J643" s="767" t="n">
        <v>0</v>
      </c>
      <c r="K643" s="769" t="n">
        <v>100</v>
      </c>
      <c r="L643" s="769" t="n">
        <v>36</v>
      </c>
      <c r="M643" s="699">
        <f>IF(C643="TXO",J643-SUM(K643:L643),IF(C643="FITX",IF(E643="新倉",-SUM(K643:L643),IF(F643="賣",(I643-I642)*H643*200-SUM(K643:L643),(I642-I643)*H643*200-SUM(K643:L643)))))</f>
        <v/>
      </c>
      <c r="N643" s="686">
        <f>IF(C643="TXO","",IF(C643="FITX",IF(E643="新倉","",IF(F643="賣",(I643-I642)*H643,(I642-I643)*H643))))</f>
        <v/>
      </c>
      <c r="O643" s="334">
        <f>ABS(J643)</f>
        <v/>
      </c>
      <c r="P643" s="667" t="n"/>
      <c r="R643" s="61" t="n"/>
      <c r="S643" s="61" t="n"/>
      <c r="T643" s="61" t="n"/>
      <c r="U643" s="61" t="n"/>
      <c r="V643" s="61" t="n"/>
      <c r="W643" s="61" t="n"/>
      <c r="X643" s="61" t="n"/>
      <c r="Y643" s="61" t="n"/>
    </row>
    <row r="644" hidden="1" outlineLevel="2" ht="17.25" customHeight="1" thickBot="1">
      <c r="B644" s="368" t="n">
        <v>42623</v>
      </c>
      <c r="C644" s="337" t="inlineStr">
        <is>
          <t>FITX</t>
        </is>
      </c>
      <c r="D644" s="338" t="inlineStr">
        <is>
          <t>台指09</t>
        </is>
      </c>
      <c r="E644" s="338" t="inlineStr">
        <is>
          <t>平倉</t>
        </is>
      </c>
      <c r="F644" s="338" t="inlineStr">
        <is>
          <t>買</t>
        </is>
      </c>
      <c r="G644" s="338" t="inlineStr">
        <is>
          <t>-</t>
        </is>
      </c>
      <c r="H644" s="767" t="n">
        <v>1</v>
      </c>
      <c r="I644" s="767" t="n">
        <v>8976</v>
      </c>
      <c r="J644" s="767" t="n">
        <v>0</v>
      </c>
      <c r="K644" s="769" t="n">
        <v>100</v>
      </c>
      <c r="L644" s="769" t="n">
        <v>36</v>
      </c>
      <c r="M644" s="699">
        <f>IF(C644="TXO",J644-SUM(K644:L644),IF(C644="FITX",IF(E644="新倉",-SUM(K644:L644),IF(F644="賣",(I644-I643)*H644*200-SUM(K644:L644),(I643-I644)*H644*200-SUM(K644:L644)))))</f>
        <v/>
      </c>
      <c r="N644" s="686">
        <f>IF(C644="TXO","",IF(C644="FITX",IF(E644="新倉","",IF(F644="賣",(I644-I643)*H644,(I643-I644)*H644))))</f>
        <v/>
      </c>
      <c r="O644" s="334">
        <f>ABS(J644)</f>
        <v/>
      </c>
      <c r="P644" s="667" t="n"/>
      <c r="R644" s="61" t="n"/>
      <c r="S644" s="61" t="n"/>
      <c r="T644" s="61" t="n"/>
      <c r="U644" s="61" t="n"/>
      <c r="V644" s="61" t="n"/>
      <c r="W644" s="61" t="n"/>
      <c r="X644" s="61" t="n"/>
      <c r="Y644" s="61" t="n"/>
    </row>
    <row r="645" hidden="1" outlineLevel="2" ht="17.25" customHeight="1" thickBot="1">
      <c r="B645" s="368" t="n">
        <v>42623</v>
      </c>
      <c r="C645" s="337" t="inlineStr">
        <is>
          <t>FITX</t>
        </is>
      </c>
      <c r="D645" s="338" t="inlineStr">
        <is>
          <t>台指09</t>
        </is>
      </c>
      <c r="E645" s="338" t="inlineStr">
        <is>
          <t>新倉</t>
        </is>
      </c>
      <c r="F645" s="338" t="inlineStr">
        <is>
          <t>賣</t>
        </is>
      </c>
      <c r="G645" s="338" t="inlineStr">
        <is>
          <t>-</t>
        </is>
      </c>
      <c r="H645" s="767" t="n">
        <v>1</v>
      </c>
      <c r="I645" s="767" t="n">
        <v>8973</v>
      </c>
      <c r="J645" s="767" t="n">
        <v>0</v>
      </c>
      <c r="K645" s="769" t="n">
        <v>100</v>
      </c>
      <c r="L645" s="769" t="n">
        <v>36</v>
      </c>
      <c r="M645" s="699">
        <f>IF(C645="TXO",J645-SUM(K645:L645),IF(C645="FITX",IF(E645="新倉",-SUM(K645:L645),IF(F645="賣",(I645-I644)*H645*200-SUM(K645:L645),(I644-I645)*H645*200-SUM(K645:L645)))))</f>
        <v/>
      </c>
      <c r="N645" s="686">
        <f>IF(C645="TXO","",IF(C645="FITX",IF(E645="新倉","",IF(F645="賣",(I645-I644)*H645,(I644-I645)*H645))))</f>
        <v/>
      </c>
      <c r="O645" s="334">
        <f>ABS(J645)</f>
        <v/>
      </c>
      <c r="P645" s="667" t="n"/>
      <c r="R645" s="61" t="n"/>
      <c r="S645" s="61" t="n"/>
      <c r="T645" s="61" t="n"/>
      <c r="U645" s="61" t="n"/>
      <c r="V645" s="61" t="n"/>
      <c r="W645" s="61" t="n"/>
      <c r="X645" s="61" t="n"/>
      <c r="Y645" s="61" t="n"/>
    </row>
    <row r="646" hidden="1" outlineLevel="2" ht="17.25" customHeight="1" thickBot="1">
      <c r="B646" s="368" t="n">
        <v>42623</v>
      </c>
      <c r="C646" s="337" t="inlineStr">
        <is>
          <t>FITX</t>
        </is>
      </c>
      <c r="D646" s="338" t="inlineStr">
        <is>
          <t>台指09</t>
        </is>
      </c>
      <c r="E646" s="338" t="inlineStr">
        <is>
          <t>平倉</t>
        </is>
      </c>
      <c r="F646" s="338" t="inlineStr">
        <is>
          <t>買</t>
        </is>
      </c>
      <c r="G646" s="338" t="inlineStr">
        <is>
          <t>-</t>
        </is>
      </c>
      <c r="H646" s="767" t="n">
        <v>1</v>
      </c>
      <c r="I646" s="767" t="n">
        <v>8973</v>
      </c>
      <c r="J646" s="767" t="n">
        <v>0</v>
      </c>
      <c r="K646" s="769" t="n">
        <v>100</v>
      </c>
      <c r="L646" s="769" t="n">
        <v>36</v>
      </c>
      <c r="M646" s="699">
        <f>IF(C646="TXO",J646-SUM(K646:L646),IF(C646="FITX",IF(E646="新倉",-SUM(K646:L646),IF(F646="賣",(I646-I645)*H646*200-SUM(K646:L646),(I645-I646)*H646*200-SUM(K646:L646)))))</f>
        <v/>
      </c>
      <c r="N646" s="686">
        <f>IF(C646="TXO","",IF(C646="FITX",IF(E646="新倉","",IF(F646="賣",(I646-I645)*H646,(I645-I646)*H646))))</f>
        <v/>
      </c>
      <c r="O646" s="334">
        <f>ABS(J646)</f>
        <v/>
      </c>
      <c r="P646" s="667" t="n"/>
      <c r="R646" s="61" t="n"/>
      <c r="S646" s="61" t="n"/>
      <c r="T646" s="61" t="n"/>
      <c r="U646" s="61" t="n"/>
      <c r="V646" s="61" t="n"/>
      <c r="W646" s="61" t="n"/>
      <c r="X646" s="61" t="n"/>
      <c r="Y646" s="61" t="n"/>
    </row>
    <row r="647" hidden="1" outlineLevel="2" ht="17.25" customHeight="1" thickBot="1">
      <c r="B647" s="368" t="n">
        <v>42623</v>
      </c>
      <c r="C647" s="337" t="inlineStr">
        <is>
          <t>FITX</t>
        </is>
      </c>
      <c r="D647" s="338" t="inlineStr">
        <is>
          <t>台指09</t>
        </is>
      </c>
      <c r="E647" s="338" t="inlineStr">
        <is>
          <t>新倉</t>
        </is>
      </c>
      <c r="F647" s="338" t="inlineStr">
        <is>
          <t>賣</t>
        </is>
      </c>
      <c r="G647" s="338" t="inlineStr">
        <is>
          <t>-</t>
        </is>
      </c>
      <c r="H647" s="767" t="n">
        <v>1</v>
      </c>
      <c r="I647" s="767" t="n">
        <v>8981</v>
      </c>
      <c r="J647" s="767" t="n">
        <v>0</v>
      </c>
      <c r="K647" s="769" t="n">
        <v>100</v>
      </c>
      <c r="L647" s="769" t="n">
        <v>36</v>
      </c>
      <c r="M647" s="699">
        <f>IF(C647="TXO",J647-SUM(K647:L647),IF(C647="FITX",IF(E647="新倉",-SUM(K647:L647),IF(F647="賣",(I647-I646)*H647*200-SUM(K647:L647),(I646-I647)*H647*200-SUM(K647:L647)))))</f>
        <v/>
      </c>
      <c r="N647" s="686">
        <f>IF(C647="TXO","",IF(C647="FITX",IF(E647="新倉","",IF(F647="賣",(I647-I646)*H647,(I646-I647)*H647))))</f>
        <v/>
      </c>
      <c r="O647" s="334">
        <f>ABS(J647)</f>
        <v/>
      </c>
      <c r="P647" s="667" t="n"/>
      <c r="R647" s="61" t="n"/>
      <c r="S647" s="61" t="n"/>
      <c r="T647" s="61" t="n"/>
      <c r="U647" s="61" t="n"/>
      <c r="V647" s="61" t="n"/>
      <c r="W647" s="61" t="n"/>
      <c r="X647" s="61" t="n"/>
      <c r="Y647" s="61" t="n"/>
    </row>
    <row r="648" hidden="1" outlineLevel="2" ht="17.25" customHeight="1" thickBot="1">
      <c r="B648" s="368" t="n">
        <v>42623</v>
      </c>
      <c r="C648" s="337" t="inlineStr">
        <is>
          <t>FITX</t>
        </is>
      </c>
      <c r="D648" s="338" t="inlineStr">
        <is>
          <t>台指09</t>
        </is>
      </c>
      <c r="E648" s="338" t="inlineStr">
        <is>
          <t>平倉</t>
        </is>
      </c>
      <c r="F648" s="338" t="inlineStr">
        <is>
          <t>買</t>
        </is>
      </c>
      <c r="G648" s="338" t="inlineStr">
        <is>
          <t>-</t>
        </is>
      </c>
      <c r="H648" s="767" t="n">
        <v>1</v>
      </c>
      <c r="I648" s="767" t="n">
        <v>8983</v>
      </c>
      <c r="J648" s="767" t="n">
        <v>0</v>
      </c>
      <c r="K648" s="769" t="n">
        <v>100</v>
      </c>
      <c r="L648" s="769" t="n">
        <v>36</v>
      </c>
      <c r="M648" s="699">
        <f>IF(C648="TXO",J648-SUM(K648:L648),IF(C648="FITX",IF(E648="新倉",-SUM(K648:L648),IF(F648="賣",(I648-I647)*H648*200-SUM(K648:L648),(I647-I648)*H648*200-SUM(K648:L648)))))</f>
        <v/>
      </c>
      <c r="N648" s="686">
        <f>IF(C648="TXO","",IF(C648="FITX",IF(E648="新倉","",IF(F648="賣",(I648-I647)*H648,(I647-I648)*H648))))</f>
        <v/>
      </c>
      <c r="O648" s="334">
        <f>ABS(J648)</f>
        <v/>
      </c>
      <c r="P648" s="667" t="n"/>
      <c r="R648" s="61" t="n"/>
      <c r="S648" s="61" t="n"/>
      <c r="T648" s="61" t="n"/>
      <c r="U648" s="61" t="n"/>
      <c r="V648" s="61" t="n"/>
      <c r="W648" s="61" t="n"/>
      <c r="X648" s="61" t="n"/>
      <c r="Y648" s="61" t="n"/>
    </row>
    <row r="649" hidden="1" outlineLevel="1" collapsed="1" ht="17.25" customHeight="1" thickBot="1">
      <c r="A649" s="374" t="n"/>
      <c r="B649" s="369" t="n">
        <v>42625</v>
      </c>
      <c r="C649" s="370" t="inlineStr">
        <is>
          <t>FITX</t>
        </is>
      </c>
      <c r="D649" s="371" t="inlineStr">
        <is>
          <t>台指09</t>
        </is>
      </c>
      <c r="E649" s="371" t="inlineStr">
        <is>
          <t>新倉</t>
        </is>
      </c>
      <c r="F649" s="371" t="inlineStr">
        <is>
          <t>賣</t>
        </is>
      </c>
      <c r="G649" s="371" t="inlineStr">
        <is>
          <t>-</t>
        </is>
      </c>
      <c r="H649" s="785" t="n">
        <v>1</v>
      </c>
      <c r="I649" s="785" t="n">
        <v>8959</v>
      </c>
      <c r="J649" s="785" t="n">
        <v>0</v>
      </c>
      <c r="K649" s="786" t="n">
        <v>100</v>
      </c>
      <c r="L649" s="786" t="n">
        <v>36</v>
      </c>
      <c r="M649" s="743">
        <f>IF(C649="TXO",J649-SUM(K649:L649),IF(C649="FITX",IF(E649="新倉",-SUM(K649:L649),IF(F649="賣",(I649-I648)*H649*200-SUM(K649:L649),(I648-I649)*H649*200-SUM(K649:L649)))))</f>
        <v/>
      </c>
      <c r="N649" s="780">
        <f>IF(C649="TXO","",IF(C649="FITX",IF(E649="新倉","",IF(F649="賣",(I649-I648)*H649,(I648-I649)*H649))))</f>
        <v/>
      </c>
      <c r="O649" s="334">
        <f>ABS(J649)</f>
        <v/>
      </c>
      <c r="P649" s="764">
        <f>SUM(M649:M670)</f>
        <v/>
      </c>
      <c r="R649" s="61" t="n"/>
      <c r="S649" s="61" t="n"/>
      <c r="T649" s="61" t="n"/>
      <c r="U649" s="61" t="n"/>
      <c r="V649" s="61" t="n"/>
      <c r="W649" s="61" t="n"/>
      <c r="X649" s="61" t="n"/>
      <c r="Y649" s="61" t="n"/>
    </row>
    <row r="650" hidden="1" outlineLevel="2" ht="17.25" customHeight="1" thickBot="1">
      <c r="A650" s="374" t="n"/>
      <c r="B650" s="369" t="n">
        <v>42625</v>
      </c>
      <c r="C650" s="370" t="inlineStr">
        <is>
          <t>FITX</t>
        </is>
      </c>
      <c r="D650" s="371" t="inlineStr">
        <is>
          <t>台指09</t>
        </is>
      </c>
      <c r="E650" s="371" t="inlineStr">
        <is>
          <t>平倉</t>
        </is>
      </c>
      <c r="F650" s="371" t="inlineStr">
        <is>
          <t>買</t>
        </is>
      </c>
      <c r="G650" s="371" t="inlineStr">
        <is>
          <t>-</t>
        </is>
      </c>
      <c r="H650" s="785" t="n">
        <v>1</v>
      </c>
      <c r="I650" s="785" t="n">
        <v>8960</v>
      </c>
      <c r="J650" s="785" t="n">
        <v>0</v>
      </c>
      <c r="K650" s="786" t="n">
        <v>100</v>
      </c>
      <c r="L650" s="786" t="n">
        <v>36</v>
      </c>
      <c r="M650" s="743">
        <f>IF(C650="TXO",J650-SUM(K650:L650),IF(C650="FITX",IF(E650="新倉",-SUM(K650:L650),IF(F650="賣",(I650-I649)*H650*200-SUM(K650:L650),(I649-I650)*H650*200-SUM(K650:L650)))))</f>
        <v/>
      </c>
      <c r="N650" s="780">
        <f>IF(C650="TXO","",IF(C650="FITX",IF(E650="新倉","",IF(F650="賣",(I650-I649)*H650,(I649-I650)*H650))))</f>
        <v/>
      </c>
      <c r="O650" s="334">
        <f>ABS(J650)</f>
        <v/>
      </c>
      <c r="P650" s="764" t="n"/>
      <c r="R650" s="61" t="n"/>
      <c r="S650" s="61" t="n"/>
      <c r="T650" s="61" t="n"/>
      <c r="U650" s="61" t="n"/>
      <c r="V650" s="61" t="n"/>
      <c r="W650" s="61" t="n"/>
      <c r="X650" s="61" t="n"/>
      <c r="Y650" s="61" t="n"/>
    </row>
    <row r="651" hidden="1" outlineLevel="2" ht="17.25" customHeight="1" thickBot="1">
      <c r="A651" s="374" t="n"/>
      <c r="B651" s="369" t="n">
        <v>42625</v>
      </c>
      <c r="C651" s="370" t="inlineStr">
        <is>
          <t>FITX</t>
        </is>
      </c>
      <c r="D651" s="371" t="inlineStr">
        <is>
          <t>台指09</t>
        </is>
      </c>
      <c r="E651" s="371" t="inlineStr">
        <is>
          <t>新倉</t>
        </is>
      </c>
      <c r="F651" s="371" t="inlineStr">
        <is>
          <t>賣</t>
        </is>
      </c>
      <c r="G651" s="371" t="inlineStr">
        <is>
          <t>-</t>
        </is>
      </c>
      <c r="H651" s="785" t="n">
        <v>1</v>
      </c>
      <c r="I651" s="785" t="n">
        <v>8955</v>
      </c>
      <c r="J651" s="785" t="n">
        <v>0</v>
      </c>
      <c r="K651" s="786" t="n">
        <v>100</v>
      </c>
      <c r="L651" s="786" t="n">
        <v>36</v>
      </c>
      <c r="M651" s="743">
        <f>IF(C651="TXO",J651-SUM(K651:L651),IF(C651="FITX",IF(E651="新倉",-SUM(K651:L651),IF(F651="賣",(I651-I650)*H651*200-SUM(K651:L651),(I650-I651)*H651*200-SUM(K651:L651)))))</f>
        <v/>
      </c>
      <c r="N651" s="780">
        <f>IF(C651="TXO","",IF(C651="FITX",IF(E651="新倉","",IF(F651="賣",(I651-I650)*H651,(I650-I651)*H651))))</f>
        <v/>
      </c>
      <c r="O651" s="334">
        <f>ABS(J651)</f>
        <v/>
      </c>
      <c r="P651" s="764" t="n"/>
      <c r="R651" s="61" t="n"/>
      <c r="S651" s="61" t="n"/>
      <c r="T651" s="61" t="n"/>
      <c r="U651" s="61" t="n"/>
      <c r="V651" s="61" t="n"/>
      <c r="W651" s="61" t="n"/>
      <c r="X651" s="61" t="n"/>
      <c r="Y651" s="61" t="n"/>
    </row>
    <row r="652" hidden="1" outlineLevel="2" ht="17.25" customHeight="1" thickBot="1">
      <c r="A652" s="374" t="n"/>
      <c r="B652" s="369" t="n">
        <v>42625</v>
      </c>
      <c r="C652" s="370" t="inlineStr">
        <is>
          <t>FITX</t>
        </is>
      </c>
      <c r="D652" s="371" t="inlineStr">
        <is>
          <t>台指09</t>
        </is>
      </c>
      <c r="E652" s="371" t="inlineStr">
        <is>
          <t>平倉</t>
        </is>
      </c>
      <c r="F652" s="371" t="inlineStr">
        <is>
          <t>買</t>
        </is>
      </c>
      <c r="G652" s="371" t="inlineStr">
        <is>
          <t>-</t>
        </is>
      </c>
      <c r="H652" s="785" t="n">
        <v>1</v>
      </c>
      <c r="I652" s="785" t="n">
        <v>8956</v>
      </c>
      <c r="J652" s="785" t="n">
        <v>0</v>
      </c>
      <c r="K652" s="786" t="n">
        <v>100</v>
      </c>
      <c r="L652" s="786" t="n">
        <v>36</v>
      </c>
      <c r="M652" s="743">
        <f>IF(C652="TXO",J652-SUM(K652:L652),IF(C652="FITX",IF(E652="新倉",-SUM(K652:L652),IF(F652="賣",(I652-I651)*H652*200-SUM(K652:L652),(I651-I652)*H652*200-SUM(K652:L652)))))</f>
        <v/>
      </c>
      <c r="N652" s="780">
        <f>IF(C652="TXO","",IF(C652="FITX",IF(E652="新倉","",IF(F652="賣",(I652-I651)*H652,(I651-I652)*H652))))</f>
        <v/>
      </c>
      <c r="O652" s="334">
        <f>ABS(J652)</f>
        <v/>
      </c>
      <c r="P652" s="764" t="n"/>
      <c r="R652" s="61" t="n"/>
      <c r="S652" s="61" t="n"/>
      <c r="T652" s="61" t="n"/>
      <c r="U652" s="61" t="n"/>
      <c r="V652" s="61" t="n"/>
      <c r="W652" s="61" t="n"/>
      <c r="X652" s="61" t="n"/>
      <c r="Y652" s="61" t="n"/>
    </row>
    <row r="653" hidden="1" outlineLevel="2" ht="17.25" customHeight="1" thickBot="1">
      <c r="A653" s="374" t="n"/>
      <c r="B653" s="369" t="n">
        <v>42625</v>
      </c>
      <c r="C653" s="370" t="inlineStr">
        <is>
          <t>FITX</t>
        </is>
      </c>
      <c r="D653" s="371" t="inlineStr">
        <is>
          <t>台指09</t>
        </is>
      </c>
      <c r="E653" s="371" t="inlineStr">
        <is>
          <t>新倉</t>
        </is>
      </c>
      <c r="F653" s="371" t="inlineStr">
        <is>
          <t>賣</t>
        </is>
      </c>
      <c r="G653" s="371" t="inlineStr">
        <is>
          <t>-</t>
        </is>
      </c>
      <c r="H653" s="785" t="n">
        <v>1</v>
      </c>
      <c r="I653" s="785" t="n">
        <v>8921</v>
      </c>
      <c r="J653" s="785" t="n">
        <v>0</v>
      </c>
      <c r="K653" s="786" t="n">
        <v>100</v>
      </c>
      <c r="L653" s="786" t="n">
        <v>36</v>
      </c>
      <c r="M653" s="743">
        <f>IF(C653="TXO",J653-SUM(K653:L653),IF(C653="FITX",IF(E653="新倉",-SUM(K653:L653),IF(F653="賣",(I653-I652)*H653*200-SUM(K653:L653),(I652-I653)*H653*200-SUM(K653:L653)))))</f>
        <v/>
      </c>
      <c r="N653" s="780">
        <f>IF(C653="TXO","",IF(C653="FITX",IF(E653="新倉","",IF(F653="賣",(I653-I652)*H653,(I652-I653)*H653))))</f>
        <v/>
      </c>
      <c r="O653" s="334">
        <f>ABS(J653)</f>
        <v/>
      </c>
      <c r="P653" s="764" t="n"/>
      <c r="R653" s="61" t="n"/>
      <c r="S653" s="61" t="n"/>
      <c r="T653" s="61" t="n"/>
      <c r="U653" s="61" t="n"/>
      <c r="V653" s="61" t="n"/>
      <c r="W653" s="61" t="n"/>
      <c r="X653" s="61" t="n"/>
      <c r="Y653" s="61" t="n"/>
    </row>
    <row r="654" hidden="1" outlineLevel="2" ht="17.25" customHeight="1" thickBot="1">
      <c r="A654" s="374" t="n"/>
      <c r="B654" s="369" t="n">
        <v>42625</v>
      </c>
      <c r="C654" s="370" t="inlineStr">
        <is>
          <t>FITX</t>
        </is>
      </c>
      <c r="D654" s="371" t="inlineStr">
        <is>
          <t>台指09</t>
        </is>
      </c>
      <c r="E654" s="371" t="inlineStr">
        <is>
          <t>平倉</t>
        </is>
      </c>
      <c r="F654" s="371" t="inlineStr">
        <is>
          <t>買</t>
        </is>
      </c>
      <c r="G654" s="371" t="inlineStr">
        <is>
          <t>-</t>
        </is>
      </c>
      <c r="H654" s="785" t="n">
        <v>1</v>
      </c>
      <c r="I654" s="785" t="n">
        <v>8918</v>
      </c>
      <c r="J654" s="785" t="n">
        <v>0</v>
      </c>
      <c r="K654" s="786" t="n">
        <v>100</v>
      </c>
      <c r="L654" s="786" t="n">
        <v>36</v>
      </c>
      <c r="M654" s="743">
        <f>IF(C654="TXO",J654-SUM(K654:L654),IF(C654="FITX",IF(E654="新倉",-SUM(K654:L654),IF(F654="賣",(I654-I653)*H654*200-SUM(K654:L654),(I653-I654)*H654*200-SUM(K654:L654)))))</f>
        <v/>
      </c>
      <c r="N654" s="780">
        <f>IF(C654="TXO","",IF(C654="FITX",IF(E654="新倉","",IF(F654="賣",(I654-I653)*H654,(I653-I654)*H654))))</f>
        <v/>
      </c>
      <c r="O654" s="334">
        <f>ABS(J654)</f>
        <v/>
      </c>
      <c r="P654" s="764" t="n"/>
      <c r="R654" s="61" t="n"/>
      <c r="S654" s="61" t="n"/>
      <c r="T654" s="61" t="n"/>
      <c r="U654" s="61" t="n"/>
      <c r="V654" s="61" t="n"/>
      <c r="W654" s="61" t="n"/>
      <c r="X654" s="61" t="n"/>
      <c r="Y654" s="61" t="n"/>
    </row>
    <row r="655" hidden="1" outlineLevel="2" ht="17.25" customHeight="1" thickBot="1">
      <c r="A655" s="374" t="n"/>
      <c r="B655" s="369" t="n">
        <v>42625</v>
      </c>
      <c r="C655" s="370" t="inlineStr">
        <is>
          <t>FITX</t>
        </is>
      </c>
      <c r="D655" s="371" t="inlineStr">
        <is>
          <t>台指09</t>
        </is>
      </c>
      <c r="E655" s="371" t="inlineStr">
        <is>
          <t>新倉</t>
        </is>
      </c>
      <c r="F655" s="371" t="inlineStr">
        <is>
          <t>賣</t>
        </is>
      </c>
      <c r="G655" s="371" t="inlineStr">
        <is>
          <t>-</t>
        </is>
      </c>
      <c r="H655" s="785" t="n">
        <v>1</v>
      </c>
      <c r="I655" s="785" t="n">
        <v>8918</v>
      </c>
      <c r="J655" s="785" t="n">
        <v>0</v>
      </c>
      <c r="K655" s="786" t="n">
        <v>100</v>
      </c>
      <c r="L655" s="786" t="n">
        <v>36</v>
      </c>
      <c r="M655" s="743">
        <f>IF(C655="TXO",J655-SUM(K655:L655),IF(C655="FITX",IF(E655="新倉",-SUM(K655:L655),IF(F655="賣",(I655-I654)*H655*200-SUM(K655:L655),(I654-I655)*H655*200-SUM(K655:L655)))))</f>
        <v/>
      </c>
      <c r="N655" s="780">
        <f>IF(C655="TXO","",IF(C655="FITX",IF(E655="新倉","",IF(F655="賣",(I655-I654)*H655,(I654-I655)*H655))))</f>
        <v/>
      </c>
      <c r="O655" s="334">
        <f>ABS(J655)</f>
        <v/>
      </c>
      <c r="P655" s="764" t="n"/>
      <c r="R655" s="61" t="n"/>
      <c r="S655" s="61" t="n"/>
      <c r="T655" s="61" t="n"/>
      <c r="U655" s="61" t="n"/>
      <c r="V655" s="61" t="n"/>
      <c r="W655" s="61" t="n"/>
      <c r="X655" s="61" t="n"/>
      <c r="Y655" s="61" t="n"/>
    </row>
    <row r="656" hidden="1" outlineLevel="2" ht="17.25" customHeight="1" thickBot="1">
      <c r="A656" s="374" t="n"/>
      <c r="B656" s="369" t="n">
        <v>42625</v>
      </c>
      <c r="C656" s="370" t="inlineStr">
        <is>
          <t>FITX</t>
        </is>
      </c>
      <c r="D656" s="371" t="inlineStr">
        <is>
          <t>台指09</t>
        </is>
      </c>
      <c r="E656" s="371" t="inlineStr">
        <is>
          <t>平倉</t>
        </is>
      </c>
      <c r="F656" s="371" t="inlineStr">
        <is>
          <t>買</t>
        </is>
      </c>
      <c r="G656" s="371" t="inlineStr">
        <is>
          <t>-</t>
        </is>
      </c>
      <c r="H656" s="785" t="n">
        <v>1</v>
      </c>
      <c r="I656" s="785" t="n">
        <v>8939</v>
      </c>
      <c r="J656" s="785" t="n">
        <v>0</v>
      </c>
      <c r="K656" s="786" t="n">
        <v>100</v>
      </c>
      <c r="L656" s="786" t="n">
        <v>36</v>
      </c>
      <c r="M656" s="743">
        <f>IF(C656="TXO",J656-SUM(K656:L656),IF(C656="FITX",IF(E656="新倉",-SUM(K656:L656),IF(F656="賣",(I656-I655)*H656*200-SUM(K656:L656),(I655-I656)*H656*200-SUM(K656:L656)))))</f>
        <v/>
      </c>
      <c r="N656" s="780">
        <f>IF(C656="TXO","",IF(C656="FITX",IF(E656="新倉","",IF(F656="賣",(I656-I655)*H656,(I655-I656)*H656))))</f>
        <v/>
      </c>
      <c r="O656" s="334">
        <f>ABS(J656)</f>
        <v/>
      </c>
      <c r="P656" s="764" t="n"/>
      <c r="R656" s="61" t="n"/>
      <c r="S656" s="61" t="n"/>
      <c r="T656" s="61" t="n"/>
      <c r="U656" s="61" t="n"/>
      <c r="V656" s="61" t="n"/>
      <c r="W656" s="61" t="n"/>
      <c r="X656" s="61" t="n"/>
      <c r="Y656" s="61" t="n"/>
    </row>
    <row r="657" hidden="1" outlineLevel="2" ht="17.25" customHeight="1" thickBot="1">
      <c r="A657" s="374" t="n"/>
      <c r="B657" s="369" t="n">
        <v>42625</v>
      </c>
      <c r="C657" s="370" t="inlineStr">
        <is>
          <t>FITX</t>
        </is>
      </c>
      <c r="D657" s="371" t="inlineStr">
        <is>
          <t>台指09</t>
        </is>
      </c>
      <c r="E657" s="371" t="inlineStr">
        <is>
          <t>新倉</t>
        </is>
      </c>
      <c r="F657" s="371" t="inlineStr">
        <is>
          <t>賣</t>
        </is>
      </c>
      <c r="G657" s="371" t="inlineStr">
        <is>
          <t>-</t>
        </is>
      </c>
      <c r="H657" s="785" t="n">
        <v>1</v>
      </c>
      <c r="I657" s="785" t="n">
        <v>8920</v>
      </c>
      <c r="J657" s="785" t="n">
        <v>0</v>
      </c>
      <c r="K657" s="786" t="n">
        <v>100</v>
      </c>
      <c r="L657" s="786" t="n">
        <v>36</v>
      </c>
      <c r="M657" s="743">
        <f>IF(C657="TXO",J657-SUM(K657:L657),IF(C657="FITX",IF(E657="新倉",-SUM(K657:L657),IF(F657="賣",(I657-I656)*H657*200-SUM(K657:L657),(I656-I657)*H657*200-SUM(K657:L657)))))</f>
        <v/>
      </c>
      <c r="N657" s="780">
        <f>IF(C657="TXO","",IF(C657="FITX",IF(E657="新倉","",IF(F657="賣",(I657-I656)*H657,(I656-I657)*H657))))</f>
        <v/>
      </c>
      <c r="O657" s="334">
        <f>ABS(J657)</f>
        <v/>
      </c>
      <c r="P657" s="764" t="n"/>
      <c r="R657" s="61" t="n"/>
      <c r="S657" s="61" t="n"/>
      <c r="T657" s="61" t="n"/>
      <c r="U657" s="61" t="n"/>
      <c r="V657" s="61" t="n"/>
      <c r="W657" s="61" t="n"/>
      <c r="X657" s="61" t="n"/>
      <c r="Y657" s="61" t="n"/>
    </row>
    <row r="658" hidden="1" outlineLevel="2" ht="17.25" customHeight="1" thickBot="1">
      <c r="A658" s="374" t="n"/>
      <c r="B658" s="369" t="n">
        <v>42625</v>
      </c>
      <c r="C658" s="370" t="inlineStr">
        <is>
          <t>FITX</t>
        </is>
      </c>
      <c r="D658" s="371" t="inlineStr">
        <is>
          <t>台指09</t>
        </is>
      </c>
      <c r="E658" s="371" t="inlineStr">
        <is>
          <t>平倉</t>
        </is>
      </c>
      <c r="F658" s="371" t="inlineStr">
        <is>
          <t>買</t>
        </is>
      </c>
      <c r="G658" s="371" t="inlineStr">
        <is>
          <t>-</t>
        </is>
      </c>
      <c r="H658" s="785" t="n">
        <v>1</v>
      </c>
      <c r="I658" s="785" t="n">
        <v>8934</v>
      </c>
      <c r="J658" s="785" t="n">
        <v>0</v>
      </c>
      <c r="K658" s="786" t="n">
        <v>100</v>
      </c>
      <c r="L658" s="786" t="n">
        <v>36</v>
      </c>
      <c r="M658" s="743">
        <f>IF(C658="TXO",J658-SUM(K658:L658),IF(C658="FITX",IF(E658="新倉",-SUM(K658:L658),IF(F658="賣",(I658-I657)*H658*200-SUM(K658:L658),(I657-I658)*H658*200-SUM(K658:L658)))))</f>
        <v/>
      </c>
      <c r="N658" s="780">
        <f>IF(C658="TXO","",IF(C658="FITX",IF(E658="新倉","",IF(F658="賣",(I658-I657)*H658,(I657-I658)*H658))))</f>
        <v/>
      </c>
      <c r="O658" s="334">
        <f>ABS(J658)</f>
        <v/>
      </c>
      <c r="P658" s="764" t="n"/>
      <c r="R658" s="61" t="n"/>
      <c r="S658" s="61" t="n"/>
      <c r="T658" s="61" t="n"/>
      <c r="U658" s="61" t="n"/>
      <c r="V658" s="61" t="n"/>
      <c r="W658" s="61" t="n"/>
      <c r="X658" s="61" t="n"/>
      <c r="Y658" s="61" t="n"/>
    </row>
    <row r="659" hidden="1" outlineLevel="2" ht="17.25" customHeight="1" thickBot="1">
      <c r="A659" s="374" t="n"/>
      <c r="B659" s="369" t="n">
        <v>42625</v>
      </c>
      <c r="C659" s="370" t="inlineStr">
        <is>
          <t>FITX</t>
        </is>
      </c>
      <c r="D659" s="371" t="inlineStr">
        <is>
          <t>台指09</t>
        </is>
      </c>
      <c r="E659" s="371" t="inlineStr">
        <is>
          <t>新倉</t>
        </is>
      </c>
      <c r="F659" s="371" t="inlineStr">
        <is>
          <t>賣</t>
        </is>
      </c>
      <c r="G659" s="371" t="inlineStr">
        <is>
          <t>-</t>
        </is>
      </c>
      <c r="H659" s="785" t="n">
        <v>1</v>
      </c>
      <c r="I659" s="785" t="n">
        <v>8947</v>
      </c>
      <c r="J659" s="785" t="n">
        <v>0</v>
      </c>
      <c r="K659" s="786" t="n">
        <v>100</v>
      </c>
      <c r="L659" s="786" t="n">
        <v>36</v>
      </c>
      <c r="M659" s="743">
        <f>IF(C659="TXO",J659-SUM(K659:L659),IF(C659="FITX",IF(E659="新倉",-SUM(K659:L659),IF(F659="賣",(I659-I658)*H659*200-SUM(K659:L659),(I658-I659)*H659*200-SUM(K659:L659)))))</f>
        <v/>
      </c>
      <c r="N659" s="780">
        <f>IF(C659="TXO","",IF(C659="FITX",IF(E659="新倉","",IF(F659="賣",(I659-I658)*H659,(I658-I659)*H659))))</f>
        <v/>
      </c>
      <c r="O659" s="334">
        <f>ABS(J659)</f>
        <v/>
      </c>
      <c r="P659" s="764" t="n"/>
      <c r="R659" s="61" t="n"/>
      <c r="S659" s="61" t="n"/>
      <c r="T659" s="61" t="n"/>
      <c r="U659" s="61" t="n"/>
      <c r="V659" s="61" t="n"/>
      <c r="W659" s="61" t="n"/>
      <c r="X659" s="61" t="n"/>
      <c r="Y659" s="61" t="n"/>
    </row>
    <row r="660" hidden="1" outlineLevel="2" ht="17.25" customHeight="1" thickBot="1">
      <c r="A660" s="374" t="n"/>
      <c r="B660" s="369" t="n">
        <v>42625</v>
      </c>
      <c r="C660" s="370" t="inlineStr">
        <is>
          <t>FITX</t>
        </is>
      </c>
      <c r="D660" s="371" t="inlineStr">
        <is>
          <t>台指09</t>
        </is>
      </c>
      <c r="E660" s="371" t="inlineStr">
        <is>
          <t>平倉</t>
        </is>
      </c>
      <c r="F660" s="371" t="inlineStr">
        <is>
          <t>買</t>
        </is>
      </c>
      <c r="G660" s="371" t="inlineStr">
        <is>
          <t>-</t>
        </is>
      </c>
      <c r="H660" s="785" t="n">
        <v>1</v>
      </c>
      <c r="I660" s="785" t="n">
        <v>8961</v>
      </c>
      <c r="J660" s="785" t="n">
        <v>0</v>
      </c>
      <c r="K660" s="786" t="n">
        <v>100</v>
      </c>
      <c r="L660" s="786" t="n">
        <v>36</v>
      </c>
      <c r="M660" s="743">
        <f>IF(C660="TXO",J660-SUM(K660:L660),IF(C660="FITX",IF(E660="新倉",-SUM(K660:L660),IF(F660="賣",(I660-I659)*H660*200-SUM(K660:L660),(I659-I660)*H660*200-SUM(K660:L660)))))</f>
        <v/>
      </c>
      <c r="N660" s="780">
        <f>IF(C660="TXO","",IF(C660="FITX",IF(E660="新倉","",IF(F660="賣",(I660-I659)*H660,(I659-I660)*H660))))</f>
        <v/>
      </c>
      <c r="O660" s="334">
        <f>ABS(J660)</f>
        <v/>
      </c>
      <c r="P660" s="764" t="n"/>
      <c r="R660" s="61" t="n"/>
      <c r="S660" s="61" t="n"/>
      <c r="T660" s="61" t="n"/>
      <c r="U660" s="61" t="n"/>
      <c r="V660" s="61" t="n"/>
      <c r="W660" s="61" t="n"/>
      <c r="X660" s="61" t="n"/>
      <c r="Y660" s="61" t="n"/>
    </row>
    <row r="661" hidden="1" outlineLevel="2" ht="17.25" customHeight="1" thickBot="1">
      <c r="A661" s="374" t="n"/>
      <c r="B661" s="369" t="n">
        <v>42625</v>
      </c>
      <c r="C661" s="370" t="inlineStr">
        <is>
          <t>FITX</t>
        </is>
      </c>
      <c r="D661" s="371" t="inlineStr">
        <is>
          <t>台指09</t>
        </is>
      </c>
      <c r="E661" s="371" t="inlineStr">
        <is>
          <t>新倉</t>
        </is>
      </c>
      <c r="F661" s="371" t="inlineStr">
        <is>
          <t>賣</t>
        </is>
      </c>
      <c r="G661" s="371" t="inlineStr">
        <is>
          <t>-</t>
        </is>
      </c>
      <c r="H661" s="785" t="n">
        <v>1</v>
      </c>
      <c r="I661" s="785" t="n">
        <v>8959</v>
      </c>
      <c r="J661" s="785" t="n">
        <v>0</v>
      </c>
      <c r="K661" s="786" t="n">
        <v>100</v>
      </c>
      <c r="L661" s="786" t="n">
        <v>36</v>
      </c>
      <c r="M661" s="743">
        <f>IF(C661="TXO",J661-SUM(K661:L661),IF(C661="FITX",IF(E661="新倉",-SUM(K661:L661),IF(F661="賣",(I661-I660)*H661*200-SUM(K661:L661),(I660-I661)*H661*200-SUM(K661:L661)))))</f>
        <v/>
      </c>
      <c r="N661" s="780">
        <f>IF(C661="TXO","",IF(C661="FITX",IF(E661="新倉","",IF(F661="賣",(I661-I660)*H661,(I660-I661)*H661))))</f>
        <v/>
      </c>
      <c r="O661" s="334">
        <f>ABS(J661)</f>
        <v/>
      </c>
      <c r="P661" s="764" t="n"/>
      <c r="R661" s="61" t="n"/>
      <c r="S661" s="61" t="n"/>
      <c r="T661" s="61" t="n"/>
      <c r="U661" s="61" t="n"/>
      <c r="V661" s="61" t="n"/>
      <c r="W661" s="61" t="n"/>
      <c r="X661" s="61" t="n"/>
      <c r="Y661" s="61" t="n"/>
    </row>
    <row r="662" hidden="1" outlineLevel="2" ht="17.25" customHeight="1" thickBot="1">
      <c r="A662" s="374" t="n"/>
      <c r="B662" s="369" t="n">
        <v>42625</v>
      </c>
      <c r="C662" s="370" t="inlineStr">
        <is>
          <t>FITX</t>
        </is>
      </c>
      <c r="D662" s="371" t="inlineStr">
        <is>
          <t>台指09</t>
        </is>
      </c>
      <c r="E662" s="371" t="inlineStr">
        <is>
          <t>平倉</t>
        </is>
      </c>
      <c r="F662" s="371" t="inlineStr">
        <is>
          <t>買</t>
        </is>
      </c>
      <c r="G662" s="371" t="inlineStr">
        <is>
          <t>-</t>
        </is>
      </c>
      <c r="H662" s="785" t="n">
        <v>1</v>
      </c>
      <c r="I662" s="785" t="n">
        <v>8946</v>
      </c>
      <c r="J662" s="785" t="n">
        <v>0</v>
      </c>
      <c r="K662" s="786" t="n">
        <v>100</v>
      </c>
      <c r="L662" s="786" t="n">
        <v>36</v>
      </c>
      <c r="M662" s="743">
        <f>IF(C662="TXO",J662-SUM(K662:L662),IF(C662="FITX",IF(E662="新倉",-SUM(K662:L662),IF(F662="賣",(I662-I661)*H662*200-SUM(K662:L662),(I661-I662)*H662*200-SUM(K662:L662)))))</f>
        <v/>
      </c>
      <c r="N662" s="780">
        <f>IF(C662="TXO","",IF(C662="FITX",IF(E662="新倉","",IF(F662="賣",(I662-I661)*H662,(I661-I662)*H662))))</f>
        <v/>
      </c>
      <c r="O662" s="334">
        <f>ABS(J662)</f>
        <v/>
      </c>
      <c r="P662" s="764" t="n"/>
      <c r="R662" s="61" t="n"/>
      <c r="S662" s="61" t="n"/>
      <c r="T662" s="61" t="n"/>
      <c r="U662" s="61" t="n"/>
      <c r="V662" s="61" t="n"/>
      <c r="W662" s="61" t="n"/>
      <c r="X662" s="61" t="n"/>
      <c r="Y662" s="61" t="n"/>
    </row>
    <row r="663" hidden="1" outlineLevel="2" ht="17.25" customHeight="1" thickBot="1">
      <c r="A663" s="374" t="n"/>
      <c r="B663" s="369" t="n">
        <v>42625</v>
      </c>
      <c r="C663" s="370" t="inlineStr">
        <is>
          <t>FITX</t>
        </is>
      </c>
      <c r="D663" s="371" t="inlineStr">
        <is>
          <t>台指09</t>
        </is>
      </c>
      <c r="E663" s="371" t="inlineStr">
        <is>
          <t>新倉</t>
        </is>
      </c>
      <c r="F663" s="371" t="inlineStr">
        <is>
          <t>賣</t>
        </is>
      </c>
      <c r="G663" s="371" t="inlineStr">
        <is>
          <t>-</t>
        </is>
      </c>
      <c r="H663" s="785" t="n">
        <v>1</v>
      </c>
      <c r="I663" s="785" t="n">
        <v>8935</v>
      </c>
      <c r="J663" s="785" t="n">
        <v>0</v>
      </c>
      <c r="K663" s="786" t="n">
        <v>100</v>
      </c>
      <c r="L663" s="786" t="n">
        <v>36</v>
      </c>
      <c r="M663" s="743">
        <f>IF(C663="TXO",J663-SUM(K663:L663),IF(C663="FITX",IF(E663="新倉",-SUM(K663:L663),IF(F663="賣",(I663-I662)*H663*200-SUM(K663:L663),(I662-I663)*H663*200-SUM(K663:L663)))))</f>
        <v/>
      </c>
      <c r="N663" s="780">
        <f>IF(C663="TXO","",IF(C663="FITX",IF(E663="新倉","",IF(F663="賣",(I663-I662)*H663,(I662-I663)*H663))))</f>
        <v/>
      </c>
      <c r="O663" s="334">
        <f>ABS(J663)</f>
        <v/>
      </c>
      <c r="P663" s="764" t="n"/>
      <c r="R663" s="61" t="n"/>
      <c r="S663" s="61" t="n"/>
      <c r="T663" s="61" t="n"/>
      <c r="U663" s="61" t="n"/>
      <c r="V663" s="61" t="n"/>
      <c r="W663" s="61" t="n"/>
      <c r="X663" s="61" t="n"/>
      <c r="Y663" s="61" t="n"/>
    </row>
    <row r="664" hidden="1" outlineLevel="2" ht="17.25" customHeight="1" thickBot="1">
      <c r="A664" s="374" t="n"/>
      <c r="B664" s="369" t="n">
        <v>42625</v>
      </c>
      <c r="C664" s="370" t="inlineStr">
        <is>
          <t>FITX</t>
        </is>
      </c>
      <c r="D664" s="371" t="inlineStr">
        <is>
          <t>台指09</t>
        </is>
      </c>
      <c r="E664" s="371" t="inlineStr">
        <is>
          <t>平倉</t>
        </is>
      </c>
      <c r="F664" s="371" t="inlineStr">
        <is>
          <t>買</t>
        </is>
      </c>
      <c r="G664" s="371" t="inlineStr">
        <is>
          <t>-</t>
        </is>
      </c>
      <c r="H664" s="785" t="n">
        <v>1</v>
      </c>
      <c r="I664" s="785" t="n">
        <v>8931</v>
      </c>
      <c r="J664" s="785" t="n">
        <v>0</v>
      </c>
      <c r="K664" s="786" t="n">
        <v>100</v>
      </c>
      <c r="L664" s="786" t="n">
        <v>36</v>
      </c>
      <c r="M664" s="743">
        <f>IF(C664="TXO",J664-SUM(K664:L664),IF(C664="FITX",IF(E664="新倉",-SUM(K664:L664),IF(F664="賣",(I664-I663)*H664*200-SUM(K664:L664),(I663-I664)*H664*200-SUM(K664:L664)))))</f>
        <v/>
      </c>
      <c r="N664" s="780">
        <f>IF(C664="TXO","",IF(C664="FITX",IF(E664="新倉","",IF(F664="賣",(I664-I663)*H664,(I663-I664)*H664))))</f>
        <v/>
      </c>
      <c r="O664" s="334">
        <f>ABS(J664)</f>
        <v/>
      </c>
      <c r="P664" s="764" t="n"/>
      <c r="R664" s="61" t="n"/>
      <c r="S664" s="61" t="n"/>
      <c r="T664" s="61" t="n"/>
      <c r="U664" s="61" t="n"/>
      <c r="V664" s="61" t="n"/>
      <c r="W664" s="61" t="n"/>
      <c r="X664" s="61" t="n"/>
      <c r="Y664" s="61" t="n"/>
    </row>
    <row r="665" hidden="1" outlineLevel="2" ht="17.25" customHeight="1" thickBot="1">
      <c r="A665" s="374" t="n"/>
      <c r="B665" s="369" t="n">
        <v>42625</v>
      </c>
      <c r="C665" s="370" t="inlineStr">
        <is>
          <t>FITX</t>
        </is>
      </c>
      <c r="D665" s="371" t="inlineStr">
        <is>
          <t>台指09</t>
        </is>
      </c>
      <c r="E665" s="371" t="inlineStr">
        <is>
          <t>新倉</t>
        </is>
      </c>
      <c r="F665" s="371" t="inlineStr">
        <is>
          <t>賣</t>
        </is>
      </c>
      <c r="G665" s="371" t="inlineStr">
        <is>
          <t>-</t>
        </is>
      </c>
      <c r="H665" s="785" t="n">
        <v>1</v>
      </c>
      <c r="I665" s="785" t="n">
        <v>8959</v>
      </c>
      <c r="J665" s="785" t="n">
        <v>0</v>
      </c>
      <c r="K665" s="786" t="n">
        <v>100</v>
      </c>
      <c r="L665" s="786" t="n">
        <v>36</v>
      </c>
      <c r="M665" s="743">
        <f>IF(C665="TXO",J665-SUM(K665:L665),IF(C665="FITX",IF(E665="新倉",-SUM(K665:L665),IF(F665="賣",(I665-I664)*H665*200-SUM(K665:L665),(I664-I665)*H665*200-SUM(K665:L665)))))</f>
        <v/>
      </c>
      <c r="N665" s="780">
        <f>IF(C665="TXO","",IF(C665="FITX",IF(E665="新倉","",IF(F665="賣",(I665-I664)*H665,(I664-I665)*H665))))</f>
        <v/>
      </c>
      <c r="O665" s="334">
        <f>ABS(J665)</f>
        <v/>
      </c>
      <c r="P665" s="764" t="n"/>
      <c r="R665" s="61" t="n"/>
      <c r="S665" s="61" t="n"/>
      <c r="T665" s="61" t="n"/>
      <c r="U665" s="61" t="n"/>
      <c r="V665" s="61" t="n"/>
      <c r="W665" s="61" t="n"/>
      <c r="X665" s="61" t="n"/>
      <c r="Y665" s="61" t="n"/>
    </row>
    <row r="666" hidden="1" outlineLevel="2" ht="17.25" customHeight="1" thickBot="1">
      <c r="A666" s="374" t="n"/>
      <c r="B666" s="369" t="n">
        <v>42625</v>
      </c>
      <c r="C666" s="370" t="inlineStr">
        <is>
          <t>FITX</t>
        </is>
      </c>
      <c r="D666" s="371" t="inlineStr">
        <is>
          <t>台指09</t>
        </is>
      </c>
      <c r="E666" s="371" t="inlineStr">
        <is>
          <t>平倉</t>
        </is>
      </c>
      <c r="F666" s="371" t="inlineStr">
        <is>
          <t>買</t>
        </is>
      </c>
      <c r="G666" s="371" t="inlineStr">
        <is>
          <t>-</t>
        </is>
      </c>
      <c r="H666" s="785" t="n">
        <v>1</v>
      </c>
      <c r="I666" s="785" t="n">
        <v>8951</v>
      </c>
      <c r="J666" s="785" t="n">
        <v>0</v>
      </c>
      <c r="K666" s="786" t="n">
        <v>100</v>
      </c>
      <c r="L666" s="786" t="n">
        <v>36</v>
      </c>
      <c r="M666" s="743">
        <f>IF(C666="TXO",J666-SUM(K666:L666),IF(C666="FITX",IF(E666="新倉",-SUM(K666:L666),IF(F666="賣",(I666-I665)*H666*200-SUM(K666:L666),(I665-I666)*H666*200-SUM(K666:L666)))))</f>
        <v/>
      </c>
      <c r="N666" s="780">
        <f>IF(C666="TXO","",IF(C666="FITX",IF(E666="新倉","",IF(F666="賣",(I666-I665)*H666,(I665-I666)*H666))))</f>
        <v/>
      </c>
      <c r="O666" s="334">
        <f>ABS(J666)</f>
        <v/>
      </c>
      <c r="P666" s="764" t="n"/>
      <c r="R666" s="61" t="n"/>
      <c r="S666" s="61" t="n"/>
      <c r="T666" s="61" t="n"/>
      <c r="U666" s="61" t="n"/>
      <c r="V666" s="61" t="n"/>
      <c r="W666" s="61" t="n"/>
      <c r="X666" s="61" t="n"/>
      <c r="Y666" s="61" t="n"/>
    </row>
    <row r="667" hidden="1" outlineLevel="2" ht="17.25" customHeight="1" thickBot="1">
      <c r="A667" s="374" t="n"/>
      <c r="B667" s="369" t="n">
        <v>42625</v>
      </c>
      <c r="C667" s="370" t="inlineStr">
        <is>
          <t>FITX</t>
        </is>
      </c>
      <c r="D667" s="371" t="inlineStr">
        <is>
          <t>台指09</t>
        </is>
      </c>
      <c r="E667" s="371" t="inlineStr">
        <is>
          <t>新倉</t>
        </is>
      </c>
      <c r="F667" s="371" t="inlineStr">
        <is>
          <t>賣</t>
        </is>
      </c>
      <c r="G667" s="371" t="inlineStr">
        <is>
          <t>-</t>
        </is>
      </c>
      <c r="H667" s="785" t="n">
        <v>1</v>
      </c>
      <c r="I667" s="785" t="n">
        <v>8943</v>
      </c>
      <c r="J667" s="785" t="n">
        <v>0</v>
      </c>
      <c r="K667" s="786" t="n">
        <v>100</v>
      </c>
      <c r="L667" s="786" t="n">
        <v>36</v>
      </c>
      <c r="M667" s="743">
        <f>IF(C667="TXO",J667-SUM(K667:L667),IF(C667="FITX",IF(E667="新倉",-SUM(K667:L667),IF(F667="賣",(I667-I666)*H667*200-SUM(K667:L667),(I666-I667)*H667*200-SUM(K667:L667)))))</f>
        <v/>
      </c>
      <c r="N667" s="780">
        <f>IF(C667="TXO","",IF(C667="FITX",IF(E667="新倉","",IF(F667="賣",(I667-I666)*H667,(I666-I667)*H667))))</f>
        <v/>
      </c>
      <c r="O667" s="334">
        <f>ABS(J667)</f>
        <v/>
      </c>
      <c r="P667" s="764" t="n"/>
      <c r="R667" s="61" t="n"/>
      <c r="S667" s="61" t="n"/>
      <c r="T667" s="61" t="n"/>
      <c r="U667" s="61" t="n"/>
      <c r="V667" s="61" t="n"/>
      <c r="W667" s="61" t="n"/>
      <c r="X667" s="61" t="n"/>
      <c r="Y667" s="61" t="n"/>
    </row>
    <row r="668" hidden="1" outlineLevel="2" ht="17.25" customHeight="1" thickBot="1">
      <c r="A668" s="374" t="n"/>
      <c r="B668" s="369" t="n">
        <v>42625</v>
      </c>
      <c r="C668" s="370" t="inlineStr">
        <is>
          <t>FITX</t>
        </is>
      </c>
      <c r="D668" s="371" t="inlineStr">
        <is>
          <t>台指09</t>
        </is>
      </c>
      <c r="E668" s="371" t="inlineStr">
        <is>
          <t>平倉</t>
        </is>
      </c>
      <c r="F668" s="371" t="inlineStr">
        <is>
          <t>買</t>
        </is>
      </c>
      <c r="G668" s="371" t="inlineStr">
        <is>
          <t>-</t>
        </is>
      </c>
      <c r="H668" s="785" t="n">
        <v>1</v>
      </c>
      <c r="I668" s="785" t="n">
        <v>8943</v>
      </c>
      <c r="J668" s="785" t="n">
        <v>0</v>
      </c>
      <c r="K668" s="786" t="n">
        <v>100</v>
      </c>
      <c r="L668" s="786" t="n">
        <v>36</v>
      </c>
      <c r="M668" s="743">
        <f>IF(C668="TXO",J668-SUM(K668:L668),IF(C668="FITX",IF(E668="新倉",-SUM(K668:L668),IF(F668="賣",(I668-I667)*H668*200-SUM(K668:L668),(I667-I668)*H668*200-SUM(K668:L668)))))</f>
        <v/>
      </c>
      <c r="N668" s="780">
        <f>IF(C668="TXO","",IF(C668="FITX",IF(E668="新倉","",IF(F668="賣",(I668-I667)*H668,(I667-I668)*H668))))</f>
        <v/>
      </c>
      <c r="O668" s="334">
        <f>ABS(J668)</f>
        <v/>
      </c>
      <c r="P668" s="764" t="n"/>
      <c r="R668" s="61" t="n"/>
      <c r="S668" s="61" t="n"/>
      <c r="T668" s="61" t="n"/>
      <c r="U668" s="61" t="n"/>
      <c r="V668" s="61" t="n"/>
      <c r="W668" s="61" t="n"/>
      <c r="X668" s="61" t="n"/>
      <c r="Y668" s="61" t="n"/>
    </row>
    <row r="669" hidden="1" outlineLevel="2" ht="17.25" customHeight="1" thickBot="1">
      <c r="A669" s="374" t="n"/>
      <c r="B669" s="369" t="n">
        <v>42625</v>
      </c>
      <c r="C669" s="370" t="inlineStr">
        <is>
          <t>FITX</t>
        </is>
      </c>
      <c r="D669" s="371" t="inlineStr">
        <is>
          <t>台指09</t>
        </is>
      </c>
      <c r="E669" s="371" t="inlineStr">
        <is>
          <t>新倉</t>
        </is>
      </c>
      <c r="F669" s="371" t="inlineStr">
        <is>
          <t>買</t>
        </is>
      </c>
      <c r="G669" s="371" t="inlineStr">
        <is>
          <t>-</t>
        </is>
      </c>
      <c r="H669" s="785" t="n">
        <v>1</v>
      </c>
      <c r="I669" s="785" t="n">
        <v>8936</v>
      </c>
      <c r="J669" s="785" t="n">
        <v>0</v>
      </c>
      <c r="K669" s="786" t="n">
        <v>100</v>
      </c>
      <c r="L669" s="786" t="n">
        <v>36</v>
      </c>
      <c r="M669" s="743">
        <f>IF(C669="TXO",J669-SUM(K669:L669),IF(C669="FITX",IF(E669="新倉",-SUM(K669:L669),IF(F669="賣",(I669-I668)*H669*200-SUM(K669:L669),(I668-I669)*H669*200-SUM(K669:L669)))))</f>
        <v/>
      </c>
      <c r="N669" s="780">
        <f>IF(C669="TXO","",IF(C669="FITX",IF(E669="新倉","",IF(F669="賣",(I669-I668)*H669,(I668-I669)*H669))))</f>
        <v/>
      </c>
      <c r="O669" s="334">
        <f>ABS(J669)</f>
        <v/>
      </c>
      <c r="P669" s="764" t="n"/>
      <c r="R669" s="61" t="n"/>
      <c r="S669" s="61" t="n"/>
      <c r="T669" s="61" t="n"/>
      <c r="U669" s="61" t="n"/>
      <c r="V669" s="61" t="n"/>
      <c r="W669" s="61" t="n"/>
      <c r="X669" s="61" t="n"/>
      <c r="Y669" s="61" t="n"/>
    </row>
    <row r="670" hidden="1" outlineLevel="2" ht="17.25" customHeight="1" thickBot="1">
      <c r="A670" s="374" t="n"/>
      <c r="B670" s="369" t="n">
        <v>42625</v>
      </c>
      <c r="C670" s="370" t="inlineStr">
        <is>
          <t>FITX</t>
        </is>
      </c>
      <c r="D670" s="371" t="inlineStr">
        <is>
          <t>台指09</t>
        </is>
      </c>
      <c r="E670" s="371" t="inlineStr">
        <is>
          <t>平倉</t>
        </is>
      </c>
      <c r="F670" s="371" t="inlineStr">
        <is>
          <t>賣</t>
        </is>
      </c>
      <c r="G670" s="371" t="inlineStr">
        <is>
          <t>-</t>
        </is>
      </c>
      <c r="H670" s="785" t="n">
        <v>1</v>
      </c>
      <c r="I670" s="785" t="n">
        <v>8936</v>
      </c>
      <c r="J670" s="785" t="n">
        <v>0</v>
      </c>
      <c r="K670" s="786" t="n">
        <v>100</v>
      </c>
      <c r="L670" s="786" t="n">
        <v>36</v>
      </c>
      <c r="M670" s="743">
        <f>IF(C670="TXO",J670-SUM(K670:L670),IF(C670="FITX",IF(E670="新倉",-SUM(K670:L670),IF(F670="賣",(I670-I669)*H670*200-SUM(K670:L670),(I669-I670)*H670*200-SUM(K670:L670)))))</f>
        <v/>
      </c>
      <c r="N670" s="780">
        <f>IF(C670="TXO","",IF(C670="FITX",IF(E670="新倉","",IF(F670="賣",(I670-I669)*H670,(I669-I670)*H670))))</f>
        <v/>
      </c>
      <c r="O670" s="334">
        <f>ABS(J670)</f>
        <v/>
      </c>
      <c r="P670" s="764" t="n"/>
      <c r="R670" s="61" t="n"/>
      <c r="S670" s="61" t="n"/>
      <c r="T670" s="61" t="n"/>
      <c r="U670" s="61" t="n"/>
      <c r="V670" s="61" t="n"/>
      <c r="W670" s="61" t="n"/>
      <c r="X670" s="61" t="n"/>
      <c r="Y670" s="61" t="n"/>
    </row>
    <row r="671" hidden="1" outlineLevel="1" collapsed="1" ht="17.25" customHeight="1" thickBot="1">
      <c r="B671" s="368" t="n">
        <v>42633</v>
      </c>
      <c r="C671" s="337" t="inlineStr">
        <is>
          <t>FITX</t>
        </is>
      </c>
      <c r="D671" s="338" t="inlineStr">
        <is>
          <t>台指09</t>
        </is>
      </c>
      <c r="E671" s="338" t="inlineStr">
        <is>
          <t>新倉</t>
        </is>
      </c>
      <c r="F671" s="338" t="inlineStr">
        <is>
          <t>賣</t>
        </is>
      </c>
      <c r="G671" s="338" t="inlineStr">
        <is>
          <t>-</t>
        </is>
      </c>
      <c r="H671" s="767" t="n">
        <v>1</v>
      </c>
      <c r="I671" s="767" t="n">
        <v>9134</v>
      </c>
      <c r="J671" s="767" t="n">
        <v>0</v>
      </c>
      <c r="K671" s="769" t="n">
        <v>100</v>
      </c>
      <c r="L671" s="769" t="n">
        <v>37</v>
      </c>
      <c r="M671" s="699">
        <f>IF(C671="TXO",J671-SUM(K671:L671),IF(C671="FITX",IF(E671="新倉",-SUM(K671:L671),IF(F671="賣",(I671-I670)*H671*200-SUM(K671:L671),(I670-I671)*H671*200-SUM(K671:L671)))))</f>
        <v/>
      </c>
      <c r="N671" s="686">
        <f>IF(C671="TXO","",IF(C671="FITX",IF(E671="新倉","",IF(F671="賣",(I671-I670)*H671,(I670-I671)*H671))))</f>
        <v/>
      </c>
      <c r="O671" s="334">
        <f>ABS(J671)</f>
        <v/>
      </c>
      <c r="P671" s="667">
        <f>SUM(M671:M674)</f>
        <v/>
      </c>
      <c r="R671" s="61" t="n"/>
      <c r="S671" s="61" t="n"/>
      <c r="T671" s="61" t="n"/>
      <c r="U671" s="61" t="n"/>
      <c r="V671" s="61" t="n"/>
      <c r="W671" s="61" t="n"/>
      <c r="X671" s="61" t="n"/>
      <c r="Y671" s="61" t="n"/>
    </row>
    <row r="672" hidden="1" outlineLevel="2" ht="17.25" customHeight="1" thickBot="1">
      <c r="B672" s="368" t="n">
        <v>42633</v>
      </c>
      <c r="C672" s="337" t="inlineStr">
        <is>
          <t>FITX</t>
        </is>
      </c>
      <c r="D672" s="338" t="inlineStr">
        <is>
          <t>台指09</t>
        </is>
      </c>
      <c r="E672" s="338" t="inlineStr">
        <is>
          <t>平倉</t>
        </is>
      </c>
      <c r="F672" s="338" t="inlineStr">
        <is>
          <t>買</t>
        </is>
      </c>
      <c r="G672" s="338" t="inlineStr">
        <is>
          <t>-</t>
        </is>
      </c>
      <c r="H672" s="767" t="n">
        <v>1</v>
      </c>
      <c r="I672" s="767" t="n">
        <v>9130</v>
      </c>
      <c r="J672" s="767" t="n">
        <v>0</v>
      </c>
      <c r="K672" s="769" t="n">
        <v>100</v>
      </c>
      <c r="L672" s="769" t="n">
        <v>37</v>
      </c>
      <c r="M672" s="699">
        <f>IF(C672="TXO",J672-SUM(K672:L672),IF(C672="FITX",IF(E672="新倉",-SUM(K672:L672),IF(F672="賣",(I672-I671)*H672*200-SUM(K672:L672),(I671-I672)*H672*200-SUM(K672:L672)))))</f>
        <v/>
      </c>
      <c r="N672" s="686">
        <f>IF(C672="TXO","",IF(C672="FITX",IF(E672="新倉","",IF(F672="賣",(I672-I671)*H672,(I671-I672)*H672))))</f>
        <v/>
      </c>
      <c r="O672" s="334">
        <f>ABS(J672)</f>
        <v/>
      </c>
      <c r="P672" s="667" t="n"/>
      <c r="R672" s="61" t="n"/>
      <c r="S672" s="61" t="n"/>
      <c r="T672" s="61" t="n"/>
      <c r="U672" s="61" t="n"/>
      <c r="V672" s="61" t="n"/>
      <c r="W672" s="61" t="n"/>
      <c r="X672" s="61" t="n"/>
      <c r="Y672" s="61" t="n"/>
    </row>
    <row r="673" hidden="1" outlineLevel="2" ht="17.25" customHeight="1" thickBot="1">
      <c r="B673" s="368" t="n">
        <v>42633</v>
      </c>
      <c r="C673" s="337" t="inlineStr">
        <is>
          <t>FITX</t>
        </is>
      </c>
      <c r="D673" s="338" t="inlineStr">
        <is>
          <t>台指09</t>
        </is>
      </c>
      <c r="E673" s="338" t="inlineStr">
        <is>
          <t>新倉</t>
        </is>
      </c>
      <c r="F673" s="338" t="inlineStr">
        <is>
          <t>賣</t>
        </is>
      </c>
      <c r="G673" s="338" t="inlineStr">
        <is>
          <t>-</t>
        </is>
      </c>
      <c r="H673" s="767" t="n">
        <v>1</v>
      </c>
      <c r="I673" s="767" t="n">
        <v>9125</v>
      </c>
      <c r="J673" s="767" t="n">
        <v>0</v>
      </c>
      <c r="K673" s="769" t="n">
        <v>100</v>
      </c>
      <c r="L673" s="769" t="n">
        <v>36</v>
      </c>
      <c r="M673" s="699">
        <f>IF(C673="TXO",J673-SUM(K673:L673),IF(C673="FITX",IF(E673="新倉",-SUM(K673:L673),IF(F673="賣",(I673-I672)*H673*200-SUM(K673:L673),(I672-I673)*H673*200-SUM(K673:L673)))))</f>
        <v/>
      </c>
      <c r="N673" s="686">
        <f>IF(C673="TXO","",IF(C673="FITX",IF(E673="新倉","",IF(F673="賣",(I673-I672)*H673,(I672-I673)*H673))))</f>
        <v/>
      </c>
      <c r="O673" s="334">
        <f>ABS(J673)</f>
        <v/>
      </c>
      <c r="P673" s="667" t="n"/>
      <c r="R673" s="61" t="n"/>
      <c r="S673" s="61" t="n"/>
      <c r="T673" s="61" t="n"/>
      <c r="U673" s="61" t="n"/>
      <c r="V673" s="61" t="n"/>
      <c r="W673" s="61" t="n"/>
      <c r="X673" s="61" t="n"/>
      <c r="Y673" s="61" t="n"/>
    </row>
    <row r="674" hidden="1" outlineLevel="2" ht="17.25" customHeight="1" thickBot="1">
      <c r="B674" s="368" t="n">
        <v>42633</v>
      </c>
      <c r="C674" s="337" t="inlineStr">
        <is>
          <t>FITX</t>
        </is>
      </c>
      <c r="D674" s="338" t="inlineStr">
        <is>
          <t>台指09</t>
        </is>
      </c>
      <c r="E674" s="338" t="inlineStr">
        <is>
          <t>平倉</t>
        </is>
      </c>
      <c r="F674" s="338" t="inlineStr">
        <is>
          <t>買</t>
        </is>
      </c>
      <c r="G674" s="338" t="inlineStr">
        <is>
          <t>-</t>
        </is>
      </c>
      <c r="H674" s="767" t="n">
        <v>1</v>
      </c>
      <c r="I674" s="767" t="n">
        <v>9122</v>
      </c>
      <c r="J674" s="767" t="n">
        <v>0</v>
      </c>
      <c r="K674" s="769" t="n">
        <v>100</v>
      </c>
      <c r="L674" s="769" t="n">
        <v>37</v>
      </c>
      <c r="M674" s="699">
        <f>IF(C674="TXO",J674-SUM(K674:L674),IF(C674="FITX",IF(E674="新倉",-SUM(K674:L674),IF(F674="賣",(I674-I673)*H674*200-SUM(K674:L674),(I673-I674)*H674*200-SUM(K674:L674)))))</f>
        <v/>
      </c>
      <c r="N674" s="686">
        <f>IF(C674="TXO","",IF(C674="FITX",IF(E674="新倉","",IF(F674="賣",(I674-I673)*H674,(I673-I674)*H674))))</f>
        <v/>
      </c>
      <c r="O674" s="334">
        <f>ABS(J674)</f>
        <v/>
      </c>
      <c r="P674" s="667" t="n"/>
      <c r="R674" s="61" t="n"/>
      <c r="S674" s="61" t="n"/>
      <c r="T674" s="61" t="n"/>
      <c r="U674" s="61" t="n"/>
      <c r="V674" s="61" t="n"/>
      <c r="W674" s="61" t="n"/>
      <c r="X674" s="61" t="n"/>
      <c r="Y674" s="61" t="n"/>
    </row>
    <row r="675" hidden="1" outlineLevel="1" collapsed="1" ht="17.25" customHeight="1" thickBot="1">
      <c r="A675" s="374" t="n"/>
      <c r="B675" s="369" t="n">
        <v>42635</v>
      </c>
      <c r="C675" s="370" t="inlineStr">
        <is>
          <t>FITX</t>
        </is>
      </c>
      <c r="D675" s="371" t="inlineStr">
        <is>
          <t>台指09</t>
        </is>
      </c>
      <c r="E675" s="371" t="inlineStr">
        <is>
          <t>新倉</t>
        </is>
      </c>
      <c r="F675" s="371" t="inlineStr">
        <is>
          <t>賣</t>
        </is>
      </c>
      <c r="G675" s="371" t="inlineStr">
        <is>
          <t>-</t>
        </is>
      </c>
      <c r="H675" s="785" t="n">
        <v>1</v>
      </c>
      <c r="I675" s="785" t="n">
        <v>9203</v>
      </c>
      <c r="J675" s="785" t="n">
        <v>0</v>
      </c>
      <c r="K675" s="786" t="n">
        <v>100</v>
      </c>
      <c r="L675" s="786" t="n">
        <v>37</v>
      </c>
      <c r="M675" s="743">
        <f>IF(C675="TXO",J675-SUM(K675:L675),IF(C675="FITX",IF(E675="新倉",-SUM(K675:L675),IF(F675="賣",(I675-I674)*H675*200-SUM(K675:L675),(I674-I675)*H675*200-SUM(K675:L675)))))</f>
        <v/>
      </c>
      <c r="N675" s="780">
        <f>IF(C675="TXO","",IF(C675="FITX",IF(E675="新倉","",IF(F675="賣",(I675-I674)*H675,(I674-I675)*H675))))</f>
        <v/>
      </c>
      <c r="O675" s="334">
        <f>ABS(J675)</f>
        <v/>
      </c>
      <c r="P675" s="764">
        <f>SUM(M675:M680)</f>
        <v/>
      </c>
      <c r="R675" s="61" t="n"/>
      <c r="S675" s="61" t="n"/>
      <c r="T675" s="61" t="n"/>
      <c r="U675" s="61" t="n"/>
      <c r="V675" s="61" t="n"/>
      <c r="W675" s="61" t="n"/>
      <c r="X675" s="61" t="n"/>
      <c r="Y675" s="61" t="n"/>
    </row>
    <row r="676" hidden="1" outlineLevel="2" ht="17.25" customHeight="1" thickBot="1">
      <c r="A676" s="374" t="n"/>
      <c r="B676" s="369" t="n">
        <v>42635</v>
      </c>
      <c r="C676" s="370" t="inlineStr">
        <is>
          <t>FITX</t>
        </is>
      </c>
      <c r="D676" s="371" t="inlineStr">
        <is>
          <t>台指09</t>
        </is>
      </c>
      <c r="E676" s="371" t="inlineStr">
        <is>
          <t>平倉</t>
        </is>
      </c>
      <c r="F676" s="371" t="inlineStr">
        <is>
          <t>買</t>
        </is>
      </c>
      <c r="G676" s="371" t="inlineStr">
        <is>
          <t>-</t>
        </is>
      </c>
      <c r="H676" s="785" t="n">
        <v>1</v>
      </c>
      <c r="I676" s="785" t="n">
        <v>9254</v>
      </c>
      <c r="J676" s="785" t="n">
        <v>0</v>
      </c>
      <c r="K676" s="786" t="n">
        <v>100</v>
      </c>
      <c r="L676" s="786" t="n">
        <v>37</v>
      </c>
      <c r="M676" s="743">
        <f>IF(C676="TXO",J676-SUM(K676:L676),IF(C676="FITX",IF(E676="新倉",-SUM(K676:L676),IF(F676="賣",(I676-I675)*H676*200-SUM(K676:L676),(I675-I676)*H676*200-SUM(K676:L676)))))</f>
        <v/>
      </c>
      <c r="N676" s="780">
        <f>IF(C676="TXO","",IF(C676="FITX",IF(E676="新倉","",IF(F676="賣",(I676-I675)*H676,(I675-I676)*H676))))</f>
        <v/>
      </c>
      <c r="O676" s="334">
        <f>ABS(J676)</f>
        <v/>
      </c>
      <c r="P676" s="764" t="n"/>
      <c r="R676" s="61" t="n"/>
      <c r="S676" s="61" t="n"/>
      <c r="T676" s="61" t="n"/>
      <c r="U676" s="61" t="n"/>
      <c r="V676" s="61" t="n"/>
      <c r="W676" s="61" t="n"/>
      <c r="X676" s="61" t="n"/>
      <c r="Y676" s="61" t="n"/>
    </row>
    <row r="677" hidden="1" outlineLevel="2" ht="17.25" customHeight="1" thickBot="1">
      <c r="A677" s="374" t="n"/>
      <c r="B677" s="369" t="n">
        <v>42635</v>
      </c>
      <c r="C677" s="370" t="inlineStr">
        <is>
          <t>FITX</t>
        </is>
      </c>
      <c r="D677" s="371" t="inlineStr">
        <is>
          <t>台指09</t>
        </is>
      </c>
      <c r="E677" s="371" t="inlineStr">
        <is>
          <t>新倉</t>
        </is>
      </c>
      <c r="F677" s="371" t="inlineStr">
        <is>
          <t>賣</t>
        </is>
      </c>
      <c r="G677" s="371" t="inlineStr">
        <is>
          <t>-</t>
        </is>
      </c>
      <c r="H677" s="785" t="n">
        <v>1</v>
      </c>
      <c r="I677" s="785" t="n">
        <v>9206</v>
      </c>
      <c r="J677" s="785" t="n">
        <v>0</v>
      </c>
      <c r="K677" s="786" t="n">
        <v>100</v>
      </c>
      <c r="L677" s="786" t="n">
        <v>37</v>
      </c>
      <c r="M677" s="743">
        <f>IF(C677="TXO",J677-SUM(K677:L677),IF(C677="FITX",IF(E677="新倉",-SUM(K677:L677),IF(F677="賣",(I677-I676)*H677*200-SUM(K677:L677),(I676-I677)*H677*200-SUM(K677:L677)))))</f>
        <v/>
      </c>
      <c r="N677" s="780">
        <f>IF(C677="TXO","",IF(C677="FITX",IF(E677="新倉","",IF(F677="賣",(I677-I676)*H677,(I676-I677)*H677))))</f>
        <v/>
      </c>
      <c r="O677" s="334">
        <f>ABS(J677)</f>
        <v/>
      </c>
      <c r="P677" s="764" t="n"/>
      <c r="R677" s="61" t="n"/>
      <c r="S677" s="61" t="n"/>
      <c r="T677" s="61" t="n"/>
      <c r="U677" s="61" t="n"/>
      <c r="V677" s="61" t="n"/>
      <c r="W677" s="61" t="n"/>
      <c r="X677" s="61" t="n"/>
      <c r="Y677" s="61" t="n"/>
    </row>
    <row r="678" hidden="1" outlineLevel="2" ht="17.25" customHeight="1" thickBot="1">
      <c r="A678" s="374" t="n"/>
      <c r="B678" s="369" t="n">
        <v>42635</v>
      </c>
      <c r="C678" s="370" t="inlineStr">
        <is>
          <t>FITX</t>
        </is>
      </c>
      <c r="D678" s="371" t="inlineStr">
        <is>
          <t>台指09</t>
        </is>
      </c>
      <c r="E678" s="371" t="inlineStr">
        <is>
          <t>平倉</t>
        </is>
      </c>
      <c r="F678" s="371" t="inlineStr">
        <is>
          <t>買</t>
        </is>
      </c>
      <c r="G678" s="371" t="inlineStr">
        <is>
          <t>-</t>
        </is>
      </c>
      <c r="H678" s="785" t="n">
        <v>1</v>
      </c>
      <c r="I678" s="785" t="n">
        <v>9258</v>
      </c>
      <c r="J678" s="785" t="n">
        <v>0</v>
      </c>
      <c r="K678" s="786" t="n">
        <v>100</v>
      </c>
      <c r="L678" s="786" t="n">
        <v>37</v>
      </c>
      <c r="M678" s="743">
        <f>IF(C678="TXO",J678-SUM(K678:L678),IF(C678="FITX",IF(E678="新倉",-SUM(K678:L678),IF(F678="賣",(I678-I677)*H678*200-SUM(K678:L678),(I677-I678)*H678*200-SUM(K678:L678)))))</f>
        <v/>
      </c>
      <c r="N678" s="780">
        <f>IF(C678="TXO","",IF(C678="FITX",IF(E678="新倉","",IF(F678="賣",(I678-I677)*H678,(I677-I678)*H678))))</f>
        <v/>
      </c>
      <c r="O678" s="334">
        <f>ABS(J678)</f>
        <v/>
      </c>
      <c r="P678" s="764" t="n"/>
      <c r="R678" s="61" t="n"/>
      <c r="S678" s="61" t="n"/>
      <c r="T678" s="61" t="n"/>
      <c r="U678" s="61" t="n"/>
      <c r="V678" s="61" t="n"/>
      <c r="W678" s="61" t="n"/>
      <c r="X678" s="61" t="n"/>
      <c r="Y678" s="61" t="n"/>
    </row>
    <row r="679" hidden="1" outlineLevel="2" ht="17.25" customHeight="1" thickBot="1">
      <c r="A679" s="374" t="n"/>
      <c r="B679" s="369" t="n">
        <v>42635</v>
      </c>
      <c r="C679" s="370" t="inlineStr">
        <is>
          <t>FITX</t>
        </is>
      </c>
      <c r="D679" s="371" t="inlineStr">
        <is>
          <t>台指09</t>
        </is>
      </c>
      <c r="E679" s="371" t="inlineStr">
        <is>
          <t>新倉</t>
        </is>
      </c>
      <c r="F679" s="371" t="inlineStr">
        <is>
          <t>賣</t>
        </is>
      </c>
      <c r="G679" s="371" t="inlineStr">
        <is>
          <t>-</t>
        </is>
      </c>
      <c r="H679" s="785" t="n">
        <v>1</v>
      </c>
      <c r="I679" s="785" t="n">
        <v>9183</v>
      </c>
      <c r="J679" s="785" t="n">
        <v>0</v>
      </c>
      <c r="K679" s="786" t="n">
        <v>100</v>
      </c>
      <c r="L679" s="786" t="n">
        <v>37</v>
      </c>
      <c r="M679" s="743">
        <f>IF(C679="TXO",J679-SUM(K679:L679),IF(C679="FITX",IF(E679="新倉",-SUM(K679:L679),IF(F679="賣",(I679-I678)*H679*200-SUM(K679:L679),(I678-I679)*H679*200-SUM(K679:L679)))))</f>
        <v/>
      </c>
      <c r="N679" s="780">
        <f>IF(C679="TXO","",IF(C679="FITX",IF(E679="新倉","",IF(F679="賣",(I679-I678)*H679,(I678-I679)*H679))))</f>
        <v/>
      </c>
      <c r="O679" s="334">
        <f>ABS(J679)</f>
        <v/>
      </c>
      <c r="P679" s="764" t="n"/>
      <c r="R679" s="61" t="n"/>
      <c r="S679" s="61" t="n"/>
      <c r="T679" s="61" t="n"/>
      <c r="U679" s="61" t="n"/>
      <c r="V679" s="61" t="n"/>
      <c r="W679" s="61" t="n"/>
      <c r="X679" s="61" t="n"/>
      <c r="Y679" s="61" t="n"/>
    </row>
    <row r="680" hidden="1" outlineLevel="2" ht="17.25" customHeight="1" thickBot="1">
      <c r="A680" s="374" t="n"/>
      <c r="B680" s="369" t="n">
        <v>42635</v>
      </c>
      <c r="C680" s="370" t="inlineStr">
        <is>
          <t>FITX</t>
        </is>
      </c>
      <c r="D680" s="371" t="inlineStr">
        <is>
          <t>台指09</t>
        </is>
      </c>
      <c r="E680" s="371" t="inlineStr">
        <is>
          <t>平倉</t>
        </is>
      </c>
      <c r="F680" s="371" t="inlineStr">
        <is>
          <t>買</t>
        </is>
      </c>
      <c r="G680" s="371" t="inlineStr">
        <is>
          <t>-</t>
        </is>
      </c>
      <c r="H680" s="785" t="n">
        <v>1</v>
      </c>
      <c r="I680" s="785" t="n">
        <v>9192</v>
      </c>
      <c r="J680" s="785" t="n">
        <v>0</v>
      </c>
      <c r="K680" s="786" t="n">
        <v>100</v>
      </c>
      <c r="L680" s="786" t="n">
        <v>37</v>
      </c>
      <c r="M680" s="743">
        <f>IF(C680="TXO",J680-SUM(K680:L680),IF(C680="FITX",IF(E680="新倉",-SUM(K680:L680),IF(F680="賣",(I680-I679)*H680*200-SUM(K680:L680),(I679-I680)*H680*200-SUM(K680:L680)))))</f>
        <v/>
      </c>
      <c r="N680" s="780">
        <f>IF(C680="TXO","",IF(C680="FITX",IF(E680="新倉","",IF(F680="賣",(I680-I679)*H680,(I679-I680)*H680))))</f>
        <v/>
      </c>
      <c r="O680" s="334">
        <f>ABS(J680)</f>
        <v/>
      </c>
      <c r="P680" s="764" t="n"/>
      <c r="R680" s="61" t="n"/>
      <c r="S680" s="61" t="n"/>
      <c r="T680" s="61" t="n"/>
      <c r="U680" s="61" t="n"/>
      <c r="V680" s="61" t="n"/>
      <c r="W680" s="61" t="n"/>
      <c r="X680" s="61" t="n"/>
      <c r="Y680" s="61" t="n"/>
    </row>
    <row r="681" hidden="1" outlineLevel="1" collapsed="1" ht="17.25" customHeight="1" thickBot="1">
      <c r="B681" s="368" t="n">
        <v>42639</v>
      </c>
      <c r="C681" s="337" t="inlineStr">
        <is>
          <t>FITX</t>
        </is>
      </c>
      <c r="D681" s="338" t="inlineStr">
        <is>
          <t>台指09</t>
        </is>
      </c>
      <c r="E681" s="338" t="inlineStr">
        <is>
          <t>新倉</t>
        </is>
      </c>
      <c r="F681" s="338" t="inlineStr">
        <is>
          <t>賣</t>
        </is>
      </c>
      <c r="G681" s="338" t="inlineStr">
        <is>
          <t>-</t>
        </is>
      </c>
      <c r="H681" s="767" t="n">
        <v>1</v>
      </c>
      <c r="I681" s="767" t="n">
        <v>9192</v>
      </c>
      <c r="J681" s="767" t="n">
        <v>0</v>
      </c>
      <c r="K681" s="769" t="n">
        <v>100</v>
      </c>
      <c r="L681" s="769" t="n">
        <v>37</v>
      </c>
      <c r="M681" s="699">
        <f>IF(C681="TXO",J681-SUM(K681:L681),IF(C681="FITX",IF(E681="新倉",-SUM(K681:L681),IF(F681="賣",(I681-I680)*H681*200-SUM(K681:L681),(I680-I681)*H681*200-SUM(K681:L681)))))</f>
        <v/>
      </c>
      <c r="N681" s="686">
        <f>IF(C681="TXO","",IF(C681="FITX",IF(E681="新倉","",IF(F681="賣",(I681-I680)*H681,(I680-I681)*H681))))</f>
        <v/>
      </c>
      <c r="O681" s="334">
        <f>ABS(J681)</f>
        <v/>
      </c>
      <c r="P681" s="667">
        <f>SUM(M681:M684)</f>
        <v/>
      </c>
      <c r="R681" s="61" t="n"/>
      <c r="S681" s="61" t="n"/>
      <c r="T681" s="61" t="n"/>
      <c r="U681" s="61" t="n"/>
      <c r="V681" s="61" t="n"/>
      <c r="W681" s="61" t="n"/>
      <c r="X681" s="61" t="n"/>
      <c r="Y681" s="61" t="n"/>
    </row>
    <row r="682" hidden="1" outlineLevel="2" ht="17.25" customHeight="1" thickBot="1">
      <c r="B682" s="368" t="n">
        <v>42639</v>
      </c>
      <c r="C682" s="337" t="inlineStr">
        <is>
          <t>FITX</t>
        </is>
      </c>
      <c r="D682" s="338" t="inlineStr">
        <is>
          <t>台指09</t>
        </is>
      </c>
      <c r="E682" s="338" t="inlineStr">
        <is>
          <t>平倉</t>
        </is>
      </c>
      <c r="F682" s="338" t="inlineStr">
        <is>
          <t>買</t>
        </is>
      </c>
      <c r="G682" s="338" t="inlineStr">
        <is>
          <t>-</t>
        </is>
      </c>
      <c r="H682" s="767" t="n">
        <v>1</v>
      </c>
      <c r="I682" s="767" t="n">
        <v>9184</v>
      </c>
      <c r="J682" s="767" t="n">
        <v>0</v>
      </c>
      <c r="K682" s="769" t="n">
        <v>100</v>
      </c>
      <c r="L682" s="769" t="n">
        <v>37</v>
      </c>
      <c r="M682" s="699">
        <f>IF(C682="TXO",J682-SUM(K682:L682),IF(C682="FITX",IF(E682="新倉",-SUM(K682:L682),IF(F682="賣",(I682-I681)*H682*200-SUM(K682:L682),(I681-I682)*H682*200-SUM(K682:L682)))))</f>
        <v/>
      </c>
      <c r="N682" s="686">
        <f>IF(C682="TXO","",IF(C682="FITX",IF(E682="新倉","",IF(F682="賣",(I682-I681)*H682,(I681-I682)*H682))))</f>
        <v/>
      </c>
      <c r="O682" s="334">
        <f>ABS(J682)</f>
        <v/>
      </c>
      <c r="P682" s="667" t="n"/>
      <c r="R682" s="61" t="n"/>
      <c r="S682" s="61" t="n"/>
      <c r="T682" s="61" t="n"/>
      <c r="U682" s="61" t="n"/>
      <c r="V682" s="61" t="n"/>
      <c r="W682" s="61" t="n"/>
      <c r="X682" s="61" t="n"/>
      <c r="Y682" s="61" t="n"/>
    </row>
    <row r="683" hidden="1" outlineLevel="2" ht="17.25" customHeight="1" thickBot="1">
      <c r="B683" s="368" t="n">
        <v>42639</v>
      </c>
      <c r="C683" s="337" t="inlineStr">
        <is>
          <t>FITX</t>
        </is>
      </c>
      <c r="D683" s="338" t="inlineStr">
        <is>
          <t>台指09</t>
        </is>
      </c>
      <c r="E683" s="338" t="inlineStr">
        <is>
          <t>新倉</t>
        </is>
      </c>
      <c r="F683" s="338" t="inlineStr">
        <is>
          <t>賣</t>
        </is>
      </c>
      <c r="G683" s="338" t="inlineStr">
        <is>
          <t>-</t>
        </is>
      </c>
      <c r="H683" s="767" t="n">
        <v>1</v>
      </c>
      <c r="I683" s="767" t="n">
        <v>9185</v>
      </c>
      <c r="J683" s="767" t="n">
        <v>0</v>
      </c>
      <c r="K683" s="769" t="n">
        <v>100</v>
      </c>
      <c r="L683" s="769" t="n">
        <v>37</v>
      </c>
      <c r="M683" s="699">
        <f>IF(C683="TXO",J683-SUM(K683:L683),IF(C683="FITX",IF(E683="新倉",-SUM(K683:L683),IF(F683="賣",(I683-I682)*H683*200-SUM(K683:L683),(I682-I683)*H683*200-SUM(K683:L683)))))</f>
        <v/>
      </c>
      <c r="N683" s="686">
        <f>IF(C683="TXO","",IF(C683="FITX",IF(E683="新倉","",IF(F683="賣",(I683-I682)*H683,(I682-I683)*H683))))</f>
        <v/>
      </c>
      <c r="O683" s="334">
        <f>ABS(J683)</f>
        <v/>
      </c>
      <c r="P683" s="667" t="n"/>
      <c r="R683" s="61" t="n"/>
      <c r="S683" s="61" t="n"/>
      <c r="T683" s="61" t="n"/>
      <c r="U683" s="61" t="n"/>
      <c r="V683" s="61" t="n"/>
      <c r="W683" s="61" t="n"/>
      <c r="X683" s="61" t="n"/>
      <c r="Y683" s="61" t="n"/>
    </row>
    <row r="684" hidden="1" outlineLevel="2" ht="17.25" customHeight="1" thickBot="1">
      <c r="B684" s="368" t="n">
        <v>42639</v>
      </c>
      <c r="C684" s="337" t="inlineStr">
        <is>
          <t>FITX</t>
        </is>
      </c>
      <c r="D684" s="338" t="inlineStr">
        <is>
          <t>台指09</t>
        </is>
      </c>
      <c r="E684" s="338" t="inlineStr">
        <is>
          <t>平倉</t>
        </is>
      </c>
      <c r="F684" s="338" t="inlineStr">
        <is>
          <t>買</t>
        </is>
      </c>
      <c r="G684" s="338" t="inlineStr">
        <is>
          <t>-</t>
        </is>
      </c>
      <c r="H684" s="767" t="n">
        <v>1</v>
      </c>
      <c r="I684" s="767" t="n">
        <v>9182</v>
      </c>
      <c r="J684" s="767" t="n">
        <v>0</v>
      </c>
      <c r="K684" s="769" t="n">
        <v>100</v>
      </c>
      <c r="L684" s="769" t="n">
        <v>37</v>
      </c>
      <c r="M684" s="699">
        <f>IF(C684="TXO",J684-SUM(K684:L684),IF(C684="FITX",IF(E684="新倉",-SUM(K684:L684),IF(F684="賣",(I684-I683)*H684*200-SUM(K684:L684),(I683-I684)*H684*200-SUM(K684:L684)))))</f>
        <v/>
      </c>
      <c r="N684" s="686">
        <f>IF(C684="TXO","",IF(C684="FITX",IF(E684="新倉","",IF(F684="賣",(I684-I683)*H684,(I683-I684)*H684))))</f>
        <v/>
      </c>
      <c r="O684" s="334">
        <f>ABS(J684)</f>
        <v/>
      </c>
      <c r="P684" s="667" t="n"/>
      <c r="R684" s="61" t="n"/>
      <c r="S684" s="61" t="n"/>
      <c r="T684" s="61" t="n"/>
      <c r="U684" s="61" t="n"/>
      <c r="V684" s="61" t="n"/>
      <c r="W684" s="61" t="n"/>
      <c r="X684" s="61" t="n"/>
      <c r="Y684" s="61" t="n"/>
    </row>
    <row r="685" collapsed="1" ht="17.25" customHeight="1" thickBot="1">
      <c r="B685" s="352" t="inlineStr">
        <is>
          <t>9月總計</t>
        </is>
      </c>
      <c r="C685" s="292" t="n"/>
      <c r="D685" s="292" t="n"/>
      <c r="E685" s="292" t="n"/>
      <c r="F685" s="292" t="n"/>
      <c r="G685" s="292" t="n"/>
      <c r="H685" s="719" t="n"/>
      <c r="I685" s="719" t="n"/>
      <c r="J685" s="719" t="n"/>
      <c r="K685" s="720" t="n"/>
      <c r="L685" s="719" t="n"/>
      <c r="M685" s="721" t="n"/>
      <c r="N685" s="760" t="n"/>
      <c r="P685" s="775">
        <f>SUM(P609:P684)</f>
        <v/>
      </c>
    </row>
    <row r="686">
      <c r="A686" s="374" t="n">
        <v>42735</v>
      </c>
      <c r="B686" s="375" t="n"/>
      <c r="C686" s="241" t="n"/>
      <c r="F686" s="226" t="n"/>
      <c r="H686" s="686" t="n"/>
      <c r="I686" s="686" t="n"/>
      <c r="J686" s="686" t="n"/>
      <c r="K686" s="667" t="n"/>
      <c r="L686" s="667" t="n"/>
      <c r="M686" s="787" t="n"/>
      <c r="P686" s="667" t="n"/>
      <c r="R686" s="61" t="n"/>
      <c r="S686" s="61" t="n"/>
      <c r="T686" s="61" t="n"/>
      <c r="U686" s="61" t="n"/>
      <c r="V686" s="61" t="n"/>
      <c r="W686" s="61" t="n"/>
      <c r="X686" s="61" t="n"/>
      <c r="Y686" s="61" t="n"/>
    </row>
    <row r="687" ht="17.25" customHeight="1" thickBot="1">
      <c r="B687" s="377" t="n"/>
      <c r="C687" s="378" t="n"/>
      <c r="D687" s="379" t="n"/>
      <c r="E687" s="379" t="n"/>
      <c r="F687" s="379" t="n"/>
      <c r="G687" s="379" t="n"/>
      <c r="H687" s="379" t="n"/>
      <c r="I687" s="379" t="n"/>
      <c r="J687" s="379" t="n"/>
      <c r="K687" s="378" t="n"/>
      <c r="L687" s="380" t="n"/>
      <c r="M687" s="788" t="n"/>
      <c r="P687" s="667" t="n"/>
      <c r="R687" s="61" t="n"/>
      <c r="S687" s="61" t="n"/>
      <c r="T687" s="61" t="n"/>
      <c r="U687" s="61" t="n"/>
      <c r="V687" s="61" t="n"/>
      <c r="W687" s="61" t="n"/>
      <c r="X687" s="61" t="n"/>
      <c r="Y687" s="61" t="n"/>
    </row>
    <row r="688" ht="17.25" customHeight="1" thickBot="1">
      <c r="B688" s="241" t="n"/>
      <c r="C688" s="241" t="n"/>
      <c r="F688" s="226" t="n"/>
      <c r="K688" s="30" t="n"/>
      <c r="L688" s="31" t="n"/>
      <c r="M688" s="667" t="n"/>
      <c r="P688" s="667" t="n"/>
      <c r="R688" s="61" t="n"/>
      <c r="S688" s="61" t="n"/>
      <c r="T688" s="61" t="n"/>
      <c r="U688" s="61" t="n"/>
      <c r="V688" s="61" t="n"/>
      <c r="W688" s="61" t="n"/>
      <c r="X688" s="61" t="n"/>
      <c r="Y688" s="61" t="n"/>
    </row>
    <row r="689" ht="17.25" customHeight="1" thickBot="1">
      <c r="F689" s="704" t="inlineStr">
        <is>
          <t>權利金</t>
        </is>
      </c>
      <c r="G689" s="723" t="inlineStr">
        <is>
          <t>手續費</t>
        </is>
      </c>
      <c r="H689" s="723" t="inlineStr">
        <is>
          <t>交易稅</t>
        </is>
      </c>
      <c r="I689" s="723" t="inlineStr">
        <is>
          <t>已實現損益</t>
        </is>
      </c>
      <c r="J689" s="724" t="inlineStr">
        <is>
          <t>報酬率</t>
        </is>
      </c>
    </row>
    <row r="690" ht="17.25" customHeight="1" thickBot="1">
      <c r="B690" s="141" t="inlineStr">
        <is>
          <t>權證總計</t>
        </is>
      </c>
      <c r="C690" s="579" t="n"/>
      <c r="D690" s="143" t="n"/>
      <c r="E690" s="144" t="n"/>
      <c r="F690" s="704">
        <f>SUMIF($C3:$C687,"TXO",J3:J687)</f>
        <v/>
      </c>
      <c r="G690" s="723">
        <f>SUMIF($C3:$C687,"TXO",K3:K687)</f>
        <v/>
      </c>
      <c r="H690" s="723">
        <f>SUMIF($C3:$C687,"TXO",L3:L687)</f>
        <v/>
      </c>
      <c r="I690" s="723">
        <f>SUMIF($C3:$C687,"TXO",M3:M687)</f>
        <v/>
      </c>
      <c r="J690" s="789">
        <f>I690/SUMIF($C3:$C687,"TXO",O3:O687)</f>
        <v/>
      </c>
      <c r="K690" s="570" t="inlineStr">
        <is>
          <t>年化報酬率</t>
        </is>
      </c>
      <c r="L690" s="727">
        <f>IF(J690&lt;0,-((1+ABS(J690))^(1/((TODAY()-B2)/365.25))-1),(1+ABS(J690))^(1/((TODAY()-B2)/365.25))-1)</f>
        <v/>
      </c>
      <c r="R690" s="61" t="n"/>
      <c r="S690" s="61" t="n"/>
      <c r="T690" s="61" t="n"/>
      <c r="U690" s="61" t="n"/>
      <c r="V690" s="61" t="n"/>
      <c r="W690" s="61" t="n"/>
      <c r="X690" s="61" t="n"/>
      <c r="Y690" s="61" t="n"/>
    </row>
    <row r="691" ht="17.25" customHeight="1" thickBot="1">
      <c r="B691" s="141" t="inlineStr">
        <is>
          <t>期貨總計</t>
        </is>
      </c>
      <c r="C691" s="579" t="n"/>
      <c r="D691" s="143" t="n"/>
      <c r="E691" s="144" t="n"/>
      <c r="F691" s="704">
        <f>SUMIF($C3:$C687,"FITX",J3:J687)</f>
        <v/>
      </c>
      <c r="G691" s="723">
        <f>SUMIF($C3:$C687,"FITX",K3:K687)</f>
        <v/>
      </c>
      <c r="H691" s="723">
        <f>SUMIF($C3:$C687,"FITX",L3:L687)</f>
        <v/>
      </c>
      <c r="I691" s="723">
        <f>SUMIF($C3:$C687,"FITX",M3:M687)</f>
        <v/>
      </c>
      <c r="J691" s="789">
        <f>I691/D693</f>
        <v/>
      </c>
      <c r="K691" s="604" t="n"/>
      <c r="L691" s="746" t="n">
        <v>-0.9547382798304058</v>
      </c>
      <c r="R691" s="61" t="n"/>
      <c r="S691" s="61" t="n"/>
      <c r="T691" s="61" t="n"/>
      <c r="U691" s="61" t="n"/>
      <c r="V691" s="61" t="n"/>
      <c r="W691" s="61" t="n"/>
      <c r="X691" s="61" t="n"/>
      <c r="Y691" s="61" t="n"/>
    </row>
    <row r="692" ht="17.25" customHeight="1" thickBot="1">
      <c r="B692" s="141" t="inlineStr">
        <is>
          <t>2016總計</t>
        </is>
      </c>
      <c r="C692" s="579" t="n"/>
      <c r="D692" s="143" t="n"/>
      <c r="E692" s="144" t="n"/>
      <c r="F692" s="704">
        <f>SUM(F690:F691)</f>
        <v/>
      </c>
      <c r="G692" s="723">
        <f>SUM(G690:G691)</f>
        <v/>
      </c>
      <c r="H692" s="723">
        <f>SUM(H690:H691)</f>
        <v/>
      </c>
      <c r="I692" s="723">
        <f>SUM(M2:M687)</f>
        <v/>
      </c>
      <c r="J692" s="789">
        <f>I692/D693</f>
        <v/>
      </c>
      <c r="K692" s="613" t="n"/>
      <c r="L692" s="746" t="n">
        <v>-1.087863166262871</v>
      </c>
    </row>
    <row r="693" ht="17.25" customHeight="1" thickBot="1">
      <c r="B693" s="149" t="inlineStr">
        <is>
          <t>帳戶本金</t>
        </is>
      </c>
      <c r="C693" s="141" t="n"/>
      <c r="D693" s="790" t="n">
        <v>380000</v>
      </c>
      <c r="E693" s="701" t="n"/>
    </row>
    <row r="694" ht="17.25" customHeight="1" thickBot="1">
      <c r="B694" s="149" t="inlineStr">
        <is>
          <t>可用資金</t>
        </is>
      </c>
      <c r="C694" s="141" t="n"/>
      <c r="D694" s="728">
        <f>D693+I692-M2</f>
        <v/>
      </c>
      <c r="E694" s="701" t="n"/>
    </row>
    <row r="695">
      <c r="B695" s="62" t="n"/>
      <c r="C695" s="62" t="n"/>
      <c r="E695" s="61" t="n"/>
      <c r="F695" s="226" t="n"/>
    </row>
    <row r="696">
      <c r="B696" s="62" t="n"/>
      <c r="C696" s="62" t="n"/>
      <c r="E696" s="61" t="n"/>
      <c r="F696" s="226" t="n"/>
    </row>
    <row r="697">
      <c r="B697" s="62" t="n"/>
      <c r="C697" s="62" t="n"/>
      <c r="E697" s="61" t="n"/>
      <c r="F697" s="226" t="n"/>
    </row>
    <row r="698">
      <c r="B698" s="62" t="n"/>
      <c r="C698" s="62" t="n"/>
      <c r="E698" s="61" t="n"/>
      <c r="F698" s="226" t="n"/>
    </row>
    <row r="699">
      <c r="B699" s="62" t="n"/>
      <c r="C699" s="62" t="n"/>
      <c r="E699" s="61" t="n"/>
      <c r="F699" s="226" t="n"/>
    </row>
    <row r="700">
      <c r="B700" s="62" t="n"/>
      <c r="C700" s="62" t="n"/>
      <c r="E700" s="61" t="n"/>
      <c r="F700" s="226" t="n"/>
    </row>
    <row r="701">
      <c r="D701" s="245" t="n"/>
      <c r="E701" s="288" t="n"/>
      <c r="F701" s="226" t="n"/>
    </row>
    <row r="702">
      <c r="D702" s="245" t="n"/>
      <c r="E702" s="288" t="n"/>
      <c r="F702" s="226" t="n"/>
    </row>
    <row r="703">
      <c r="D703" s="245" t="n"/>
      <c r="E703" s="288" t="n"/>
      <c r="F703" s="226" t="n"/>
    </row>
    <row r="704">
      <c r="D704" s="245" t="n"/>
      <c r="E704" s="288" t="n"/>
      <c r="F704" s="226" t="n"/>
    </row>
    <row r="705">
      <c r="D705" s="245" t="n"/>
      <c r="E705" s="288" t="n"/>
      <c r="F705" s="226" t="n"/>
    </row>
    <row r="706">
      <c r="D706" s="245" t="n"/>
      <c r="E706" s="288" t="n"/>
      <c r="F706" s="226" t="n"/>
    </row>
    <row r="707">
      <c r="D707" s="245" t="n"/>
      <c r="E707" s="245" t="n"/>
      <c r="F707" s="226" t="n"/>
    </row>
    <row r="708">
      <c r="D708" s="245" t="n"/>
      <c r="E708" s="245" t="n"/>
      <c r="F708" s="226" t="n"/>
    </row>
    <row r="709">
      <c r="D709" s="245" t="n"/>
      <c r="E709" s="245" t="n"/>
      <c r="F709" s="226" t="n"/>
    </row>
    <row r="710">
      <c r="D710" s="245" t="n"/>
      <c r="E710" s="245" t="n"/>
      <c r="F710" s="226" t="n"/>
    </row>
    <row r="711">
      <c r="D711" s="245" t="n"/>
      <c r="E711" s="245" t="n"/>
      <c r="F711" s="226" t="n"/>
    </row>
    <row r="712">
      <c r="D712" s="245" t="n"/>
      <c r="E712" s="245" t="n"/>
      <c r="F712" s="226" t="n"/>
    </row>
    <row r="713">
      <c r="B713" s="245" t="n"/>
      <c r="C713" s="245" t="n"/>
      <c r="D713" s="245" t="n"/>
      <c r="E713" s="245" t="n"/>
      <c r="F713" s="226" t="n"/>
    </row>
    <row r="714">
      <c r="B714" s="245" t="n"/>
      <c r="C714" s="245" t="n"/>
      <c r="D714" s="245" t="n"/>
      <c r="E714" s="245" t="n"/>
      <c r="F714" s="226" t="n"/>
    </row>
    <row r="715">
      <c r="B715" s="245" t="n"/>
      <c r="C715" s="245" t="n"/>
      <c r="D715" s="245" t="n"/>
      <c r="E715" s="245" t="n"/>
      <c r="F715" s="226" t="n"/>
    </row>
    <row r="716">
      <c r="B716" s="245" t="n"/>
      <c r="C716" s="245" t="n"/>
      <c r="D716" s="245" t="n"/>
      <c r="E716" s="245" t="n"/>
      <c r="F716" s="226" t="n"/>
    </row>
    <row r="717">
      <c r="B717" s="245" t="n"/>
      <c r="C717" s="245" t="n"/>
      <c r="D717" s="245" t="n"/>
      <c r="E717" s="245" t="n"/>
      <c r="F717" s="226" t="n"/>
    </row>
    <row r="718">
      <c r="B718" s="245" t="n"/>
      <c r="C718" s="245" t="n"/>
      <c r="D718" s="245" t="n"/>
      <c r="E718" s="245" t="n"/>
      <c r="F718" s="226" t="n"/>
    </row>
    <row r="719">
      <c r="B719" s="245" t="n"/>
      <c r="C719" s="245" t="n"/>
      <c r="D719" s="245" t="n"/>
      <c r="E719" s="245" t="n"/>
      <c r="F719" s="226" t="n"/>
    </row>
    <row r="720">
      <c r="B720" s="245" t="n"/>
      <c r="C720" s="245" t="n"/>
      <c r="D720" s="245" t="n"/>
      <c r="E720" s="245" t="n"/>
      <c r="F720" s="226" t="n"/>
    </row>
  </sheetData>
  <mergeCells count="3">
    <mergeCell ref="D694:E694"/>
    <mergeCell ref="D693:E693"/>
    <mergeCell ref="K690:K692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 codeName="Sheet6">
    <outlinePr summaryBelow="0" summaryRight="0"/>
    <pageSetUpPr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 outlineLevelRow="1"/>
  <cols>
    <col width="11.125" customWidth="1" style="226" min="1" max="1"/>
    <col width="10" customWidth="1" style="226" min="2" max="2"/>
    <col width="11.375" customWidth="1" style="226" min="3" max="3"/>
    <col width="11.375" customWidth="1" style="245" min="4" max="4"/>
    <col hidden="1" width="7.125" customWidth="1" style="226" min="5" max="5"/>
    <col width="9.125" customWidth="1" style="226" min="6" max="6"/>
    <col width="11.87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8.5" bestFit="1" customWidth="1" style="226" min="18" max="18"/>
    <col hidden="1" outlineLevel="1" width="10.125" customWidth="1" style="226" min="19" max="19"/>
    <col hidden="1" outlineLevel="1" width="16.87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0.625" bestFit="1" customWidth="1" style="226" min="26" max="26"/>
    <col width="11" bestFit="1" customWidth="1" style="226" min="27" max="27"/>
    <col width="9" customWidth="1" style="226" min="28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>
        <f>'14股'!F63</f>
        <v/>
      </c>
      <c r="G2" s="229">
        <f>'14股'!G63</f>
        <v/>
      </c>
      <c r="H2" s="229">
        <f>'14股'!H63</f>
        <v/>
      </c>
      <c r="I2" s="229">
        <f>'14股'!I63</f>
        <v/>
      </c>
      <c r="J2" s="229">
        <f>'14股'!J63</f>
        <v/>
      </c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280">
        <f>'14股'!P63</f>
        <v/>
      </c>
      <c r="Q2" s="585">
        <f>IF(I2="",(O2-G2-(O2*0.1425%*0.65)-(O2*0.3%)-S2-T2),0)</f>
        <v/>
      </c>
      <c r="R2" s="229">
        <f>'14股'!R63</f>
        <v/>
      </c>
      <c r="S2" s="229" t="n"/>
      <c r="T2" s="585">
        <f>IF(ROUND(R2*(1+V2),0)&gt;5000,ROUND(ROUND(R2*(1+V2),0)*2%,0),0)</f>
        <v/>
      </c>
      <c r="U2" s="65">
        <f>(V2*50%)/(1+50%*V2)</f>
        <v/>
      </c>
      <c r="V2" s="285" t="n"/>
      <c r="W2" s="286" t="n"/>
      <c r="X2" s="285">
        <f>'14股'!W63</f>
        <v/>
      </c>
      <c r="Y2" s="229" t="n"/>
      <c r="Z2" s="587" t="n"/>
      <c r="AA2" s="791" t="n"/>
    </row>
    <row r="3" collapsed="1">
      <c r="A3" s="228" t="n">
        <v>41954</v>
      </c>
      <c r="B3" s="229" t="inlineStr">
        <is>
          <t>普通買進</t>
        </is>
      </c>
      <c r="C3" s="229" t="n">
        <v>2404</v>
      </c>
      <c r="D3" s="229">
        <f>VLOOKUP(C3,每日行情!A:B,2,FALSE)</f>
        <v/>
      </c>
      <c r="E3" s="229" t="n">
        <v>1000</v>
      </c>
      <c r="F3" s="229" t="n">
        <v>28.75</v>
      </c>
      <c r="G3" s="229">
        <f>E3*F3</f>
        <v/>
      </c>
      <c r="H3" s="229" t="n">
        <v>24</v>
      </c>
      <c r="I3" s="325" t="n">
        <v>42072</v>
      </c>
      <c r="J3" s="17" t="n">
        <v>32.9</v>
      </c>
      <c r="K3" s="229">
        <f>E3*J3</f>
        <v/>
      </c>
      <c r="L3" s="17" t="n">
        <v>28</v>
      </c>
      <c r="M3" s="229" t="n">
        <v>98</v>
      </c>
      <c r="N3" s="229" t="n">
        <v>0</v>
      </c>
      <c r="O3" s="584">
        <f>IF(I3="",E3*Y3,0)</f>
        <v/>
      </c>
      <c r="P3" s="585">
        <f>IF(I3="",R3-H3,(K3-H3-SUM(L3:N3)+R3-S3-T3)-G3)+(ROUND(R3*V3,0)-ROUND(R3*(1+V3),0)*W3)</f>
        <v/>
      </c>
      <c r="Q3" s="585">
        <f>IF(I3="",(O3-G3-(O3*0.1425%*0.65)-(O3*0.3%)-S3-T3),0)</f>
        <v/>
      </c>
      <c r="R3" s="585" t="n"/>
      <c r="S3" s="585" t="n"/>
      <c r="T3" s="585">
        <f>IF(ROUND(R3*(1+V3),0)&gt;5000,ROUND(ROUND(R3*(1+V3),0)*2%,0),0)</f>
        <v/>
      </c>
      <c r="U3" s="65">
        <f>(V3*50%)/(1+50%*V3)</f>
        <v/>
      </c>
      <c r="V3" s="65" t="n"/>
      <c r="W3" s="66" t="n"/>
      <c r="X3" s="586">
        <f>(P3+Q3)/G3</f>
        <v/>
      </c>
      <c r="Y3" s="16">
        <f>VLOOKUP(C3,#REF!,3,FALSE)</f>
        <v/>
      </c>
      <c r="Z3" s="587" t="n"/>
      <c r="AA3" s="588">
        <f>((I3-A3)*G3)/365.24</f>
        <v/>
      </c>
    </row>
    <row r="4" hidden="1" outlineLevel="1">
      <c r="A4" s="228" t="n">
        <v>42002</v>
      </c>
      <c r="B4" s="229" t="inlineStr">
        <is>
          <t>普通買進</t>
        </is>
      </c>
      <c r="C4" s="229" t="n">
        <v>2015</v>
      </c>
      <c r="D4" s="229">
        <f>VLOOKUP(C4,每日行情!A:B,2,FALSE)</f>
        <v/>
      </c>
      <c r="E4" s="229" t="n">
        <v>1000</v>
      </c>
      <c r="F4" s="229" t="n">
        <v>39.3</v>
      </c>
      <c r="G4" s="229">
        <f>E4*F4</f>
        <v/>
      </c>
      <c r="H4" s="229" t="n">
        <v>33</v>
      </c>
      <c r="I4" s="325" t="n">
        <v>42072</v>
      </c>
      <c r="J4" s="17" t="n">
        <v>39.05</v>
      </c>
      <c r="K4" s="229">
        <f>E4*J4</f>
        <v/>
      </c>
      <c r="L4" s="17" t="n">
        <v>33</v>
      </c>
      <c r="M4" s="229" t="n">
        <v>117</v>
      </c>
      <c r="N4" s="229" t="n">
        <v>0</v>
      </c>
      <c r="O4" s="584">
        <f>IF(I4="",E4*Y4,0)</f>
        <v/>
      </c>
      <c r="P4" s="585">
        <f>IF(I4="",R4-H4,(K4-H4-SUM(L4:N4)+R4-S4-T4)-G4)+(ROUND(R4*V4,0)-ROUND(R4*(1+V4),0)*W4)</f>
        <v/>
      </c>
      <c r="Q4" s="585">
        <f>IF(I4="",(O4-G4-(O4*0.1425%*0.65)-(O4*0.3%)-S4-T4),0)</f>
        <v/>
      </c>
      <c r="R4" s="585" t="n"/>
      <c r="S4" s="585" t="n"/>
      <c r="T4" s="585">
        <f>IF(ROUND(R4*(1+V4),0)&gt;5000,ROUND(ROUND(R4*(1+V4),0)*2%,0),0)</f>
        <v/>
      </c>
      <c r="U4" s="65">
        <f>(V4*50%)/(1+50%*V4)</f>
        <v/>
      </c>
      <c r="V4" s="65" t="n"/>
      <c r="W4" s="66" t="n"/>
      <c r="X4" s="586">
        <f>(P4+Q4)/G4</f>
        <v/>
      </c>
      <c r="Y4" s="16">
        <f>VLOOKUP(C4,#REF!,3,FALSE)</f>
        <v/>
      </c>
      <c r="Z4" s="587" t="n"/>
      <c r="AA4" s="588">
        <f>((I4-A4)*G4)/365.24</f>
        <v/>
      </c>
    </row>
    <row r="5" hidden="1" outlineLevel="1">
      <c r="A5" s="228" t="n">
        <v>42013</v>
      </c>
      <c r="B5" s="229" t="inlineStr">
        <is>
          <t>普通買進</t>
        </is>
      </c>
      <c r="C5" s="229" t="inlineStr">
        <is>
          <t>03003X</t>
        </is>
      </c>
      <c r="D5" s="229">
        <f>VLOOKUP(C5,每日行情!A:B,2,FALSE)</f>
        <v/>
      </c>
      <c r="E5" s="229" t="n">
        <v>1000</v>
      </c>
      <c r="F5" s="229" t="n">
        <v>42.1</v>
      </c>
      <c r="G5" s="229">
        <f>E5*F5</f>
        <v/>
      </c>
      <c r="H5" s="229" t="n">
        <v>35</v>
      </c>
      <c r="I5" s="324" t="n">
        <v>42023</v>
      </c>
      <c r="J5" s="17" t="n">
        <v>44.4</v>
      </c>
      <c r="K5" s="229">
        <f>E5*J5</f>
        <v/>
      </c>
      <c r="L5" s="17" t="n">
        <v>37</v>
      </c>
      <c r="M5" s="229" t="n">
        <v>44</v>
      </c>
      <c r="N5" s="229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/>
      <c r="S5" s="585" t="n"/>
      <c r="T5" s="585">
        <f>IF(ROUND(R5*(1+V5),0)&gt;5000,ROUND(ROUND(R5*(1+V5),0)*2%,0),0)</f>
        <v/>
      </c>
      <c r="U5" s="65">
        <f>(V5*50%)/(1+50%*V5)</f>
        <v/>
      </c>
      <c r="V5" s="65" t="n"/>
      <c r="W5" s="66" t="n"/>
      <c r="X5" s="586">
        <f>(P5+Q5)/G5</f>
        <v/>
      </c>
      <c r="Y5" s="16">
        <f>VLOOKUP(C5,#REF!,3,FALSE)</f>
        <v/>
      </c>
      <c r="Z5" s="587" t="n"/>
      <c r="AA5" s="588">
        <f>((I5-A5)*G5)/365.24</f>
        <v/>
      </c>
    </row>
    <row r="6" hidden="1" outlineLevel="1">
      <c r="A6" s="228" t="n">
        <v>42003</v>
      </c>
      <c r="B6" s="229" t="inlineStr">
        <is>
          <t>普通買進</t>
        </is>
      </c>
      <c r="C6" s="229" t="n">
        <v>6147</v>
      </c>
      <c r="D6" s="229">
        <f>VLOOKUP(C6,每日行情!A:B,2,FALSE)</f>
        <v/>
      </c>
      <c r="E6" s="229" t="n">
        <v>1000</v>
      </c>
      <c r="F6" s="229" t="n">
        <v>58.4</v>
      </c>
      <c r="G6" s="229">
        <f>E6*F6</f>
        <v/>
      </c>
      <c r="H6" s="229" t="n">
        <v>49</v>
      </c>
      <c r="I6" s="324" t="n">
        <v>42023</v>
      </c>
      <c r="J6" s="16" t="n">
        <v>63.3</v>
      </c>
      <c r="K6" s="229">
        <f>E6*J6</f>
        <v/>
      </c>
      <c r="L6" s="792" t="n">
        <v>54</v>
      </c>
      <c r="M6" s="229" t="n">
        <v>189</v>
      </c>
      <c r="N6" s="229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/>
      <c r="T6" s="585">
        <f>IF(ROUND(R6*(1+V6),0)&gt;5000,ROUND(ROUND(R6*(1+V6),0)*2%,0),0)</f>
        <v/>
      </c>
      <c r="U6" s="65">
        <f>(V6*50%)/(1+50%*V6)</f>
        <v/>
      </c>
      <c r="V6" s="65" t="n"/>
      <c r="W6" s="66" t="n"/>
      <c r="X6" s="586">
        <f>(P6+Q6)/G6</f>
        <v/>
      </c>
      <c r="Y6" s="16">
        <f>VLOOKUP(C6,#REF!,3,FALSE)</f>
        <v/>
      </c>
      <c r="Z6" s="587" t="n"/>
      <c r="AA6" s="588">
        <f>((I6-A6)*G6)/365.24</f>
        <v/>
      </c>
    </row>
    <row r="7" hidden="1" outlineLevel="1">
      <c r="A7" s="228" t="n">
        <v>42018</v>
      </c>
      <c r="B7" s="229" t="inlineStr">
        <is>
          <t>普通買進</t>
        </is>
      </c>
      <c r="C7" s="229" t="inlineStr">
        <is>
          <t>03003X</t>
        </is>
      </c>
      <c r="D7" s="229">
        <f>VLOOKUP(C7,每日行情!A:B,2,FALSE)</f>
        <v/>
      </c>
      <c r="E7" s="229" t="n">
        <v>1000</v>
      </c>
      <c r="F7" s="229" t="n">
        <v>40.4</v>
      </c>
      <c r="G7" s="229">
        <f>E7*F7</f>
        <v/>
      </c>
      <c r="H7" s="229" t="n">
        <v>34</v>
      </c>
      <c r="I7" s="324" t="n">
        <v>42024</v>
      </c>
      <c r="J7" s="17" t="n">
        <v>44.4</v>
      </c>
      <c r="K7" s="229">
        <f>E7*J7</f>
        <v/>
      </c>
      <c r="L7" s="17" t="n">
        <v>37</v>
      </c>
      <c r="M7" s="229" t="n">
        <v>44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/>
      <c r="T7" s="585">
        <f>IF(ROUND(R7*(1+V7),0)&gt;5000,ROUND(ROUND(R7*(1+V7),0)*2%,0),0)</f>
        <v/>
      </c>
      <c r="U7" s="65">
        <f>(V7*50%)/(1+50%*V7)</f>
        <v/>
      </c>
      <c r="V7" s="65" t="n"/>
      <c r="W7" s="66" t="n"/>
      <c r="X7" s="586">
        <f>(P7+Q7)/G7</f>
        <v/>
      </c>
      <c r="Y7" s="16">
        <f>VLOOKUP(C7,#REF!,3,FALSE)</f>
        <v/>
      </c>
      <c r="Z7" s="587" t="n"/>
      <c r="AA7" s="588">
        <f>((I7-A7)*G7)/365.24</f>
        <v/>
      </c>
    </row>
    <row r="8" hidden="1" outlineLevel="1">
      <c r="A8" s="228" t="n">
        <v>42010</v>
      </c>
      <c r="B8" s="229" t="inlineStr">
        <is>
          <t>普通買進</t>
        </is>
      </c>
      <c r="C8" s="229" t="n">
        <v>2330</v>
      </c>
      <c r="D8" s="229">
        <f>VLOOKUP(C8,每日行情!A:B,2,FALSE)</f>
        <v/>
      </c>
      <c r="E8" s="229" t="n">
        <v>1000</v>
      </c>
      <c r="F8" s="229" t="n">
        <v>136.5</v>
      </c>
      <c r="G8" s="229">
        <f>E8*F8</f>
        <v/>
      </c>
      <c r="H8" s="229" t="n">
        <v>116</v>
      </c>
      <c r="I8" s="324" t="n">
        <v>42024</v>
      </c>
      <c r="J8" s="17" t="n">
        <v>138.5</v>
      </c>
      <c r="K8" s="229">
        <f>E8*J8</f>
        <v/>
      </c>
      <c r="L8" s="17" t="n">
        <v>118</v>
      </c>
      <c r="M8" s="229" t="n">
        <v>415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/>
      <c r="T8" s="585">
        <f>IF(ROUND(R8*(1+V8),0)&gt;5000,ROUND(ROUND(R8*(1+V8),0)*2%,0),0)</f>
        <v/>
      </c>
      <c r="U8" s="65">
        <f>(V8*50%)/(1+50%*V8)</f>
        <v/>
      </c>
      <c r="V8" s="65" t="n"/>
      <c r="W8" s="66" t="n"/>
      <c r="X8" s="586">
        <f>(P8+Q8)/G8</f>
        <v/>
      </c>
      <c r="Y8" s="16">
        <f>VLOOKUP(C8,#REF!,3,FALSE)</f>
        <v/>
      </c>
      <c r="Z8" s="587" t="n"/>
      <c r="AA8" s="588">
        <f>((I8-A8)*G8)/365.24</f>
        <v/>
      </c>
    </row>
    <row r="9" hidden="1" outlineLevel="1">
      <c r="A9" s="228" t="n">
        <v>42010</v>
      </c>
      <c r="B9" s="229" t="inlineStr">
        <is>
          <t>普通買進</t>
        </is>
      </c>
      <c r="C9" s="229" t="n">
        <v>2412</v>
      </c>
      <c r="D9" s="229">
        <f>VLOOKUP(C9,每日行情!A:B,2,FALSE)</f>
        <v/>
      </c>
      <c r="E9" s="229" t="n">
        <v>1000</v>
      </c>
      <c r="F9" s="229" t="n">
        <v>92.3</v>
      </c>
      <c r="G9" s="229">
        <f>E9*F9</f>
        <v/>
      </c>
      <c r="H9" s="229" t="n">
        <v>78</v>
      </c>
      <c r="I9" s="234" t="n">
        <v>42061</v>
      </c>
      <c r="J9" s="229" t="n">
        <v>98.3</v>
      </c>
      <c r="K9" s="229">
        <f>E9*J9</f>
        <v/>
      </c>
      <c r="L9" s="229" t="n">
        <v>84</v>
      </c>
      <c r="M9" s="229" t="n">
        <v>294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/>
      <c r="T9" s="585">
        <f>IF(ROUND(R9*(1+V9),0)&gt;5000,ROUND(ROUND(R9*(1+V9),0)*2%,0),0)</f>
        <v/>
      </c>
      <c r="U9" s="65">
        <f>(V9*50%)/(1+50%*V9)</f>
        <v/>
      </c>
      <c r="V9" s="65" t="n"/>
      <c r="W9" s="66" t="n"/>
      <c r="X9" s="586">
        <f>(P9+Q9)/G9</f>
        <v/>
      </c>
      <c r="Y9" s="16">
        <f>VLOOKUP(C9,#REF!,3,FALSE)</f>
        <v/>
      </c>
      <c r="Z9" s="587" t="n"/>
      <c r="AA9" s="588">
        <f>((I9-A9)*G9)/365.24</f>
        <v/>
      </c>
    </row>
    <row r="10" hidden="1" outlineLevel="1">
      <c r="A10" s="228" t="n">
        <v>42018</v>
      </c>
      <c r="B10" s="229" t="inlineStr">
        <is>
          <t>普通買進</t>
        </is>
      </c>
      <c r="C10" s="229" t="n">
        <v>2330</v>
      </c>
      <c r="D10" s="229">
        <f>VLOOKUP(C10,每日行情!A:B,2,FALSE)</f>
        <v/>
      </c>
      <c r="E10" s="229" t="n">
        <v>1000</v>
      </c>
      <c r="F10" s="229" t="n">
        <v>131</v>
      </c>
      <c r="G10" s="229">
        <f>E10*F10</f>
        <v/>
      </c>
      <c r="H10" s="229" t="n">
        <v>112</v>
      </c>
      <c r="I10" s="324" t="n">
        <v>42025</v>
      </c>
      <c r="J10" s="17" t="n">
        <v>140.5</v>
      </c>
      <c r="K10" s="229">
        <f>E10*J10</f>
        <v/>
      </c>
      <c r="L10" s="17" t="n">
        <v>120</v>
      </c>
      <c r="M10" s="229" t="n">
        <v>421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/>
      <c r="T10" s="585">
        <f>IF(ROUND(R10*(1+V10),0)&gt;5000,ROUND(ROUND(R10*(1+V10),0)*2%,0),0)</f>
        <v/>
      </c>
      <c r="U10" s="65">
        <f>(V10*50%)/(1+50%*V10)</f>
        <v/>
      </c>
      <c r="V10" s="65" t="n"/>
      <c r="W10" s="66" t="n"/>
      <c r="X10" s="586">
        <f>(P10+Q10)/G10</f>
        <v/>
      </c>
      <c r="Y10" s="16">
        <f>VLOOKUP(C10,#REF!,3,FALSE)</f>
        <v/>
      </c>
      <c r="Z10" s="587" t="n"/>
      <c r="AA10" s="588">
        <f>((I10-A10)*G10)/365.24</f>
        <v/>
      </c>
    </row>
    <row r="11" hidden="1" outlineLevel="1">
      <c r="A11" s="228" t="n">
        <v>42024</v>
      </c>
      <c r="B11" s="229" t="inlineStr">
        <is>
          <t>普通買進</t>
        </is>
      </c>
      <c r="C11" s="229" t="n">
        <v>1416</v>
      </c>
      <c r="D11" s="229">
        <f>VLOOKUP(C11,每日行情!A:B,2,FALSE)</f>
        <v/>
      </c>
      <c r="E11" s="229" t="n">
        <v>1000</v>
      </c>
      <c r="F11" s="229" t="n">
        <v>18.05</v>
      </c>
      <c r="G11" s="229">
        <f>E11*F11</f>
        <v/>
      </c>
      <c r="H11" s="229" t="n">
        <v>20</v>
      </c>
      <c r="I11" s="324" t="n">
        <v>42087</v>
      </c>
      <c r="J11" s="17" t="n">
        <v>19.15</v>
      </c>
      <c r="K11" s="229">
        <f>E11*J11</f>
        <v/>
      </c>
      <c r="L11" s="17" t="n">
        <v>20</v>
      </c>
      <c r="M11" s="229" t="n">
        <v>57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/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/>
      <c r="X11" s="586">
        <f>(P11+Q11)/G11</f>
        <v/>
      </c>
      <c r="Y11" s="16">
        <f>VLOOKUP(C11,#REF!,3,FALSE)</f>
        <v/>
      </c>
      <c r="Z11" s="587" t="n"/>
      <c r="AA11" s="588">
        <f>((I11-A11)*G11)/365.24</f>
        <v/>
      </c>
    </row>
    <row r="12" hidden="1" outlineLevel="1">
      <c r="A12" s="228" t="n">
        <v>42024</v>
      </c>
      <c r="B12" s="229" t="inlineStr">
        <is>
          <t>普通買進</t>
        </is>
      </c>
      <c r="C12" s="229" t="n">
        <v>2015</v>
      </c>
      <c r="D12" s="229">
        <f>VLOOKUP(C12,每日行情!A:B,2,FALSE)</f>
        <v/>
      </c>
      <c r="E12" s="229" t="n">
        <v>1000</v>
      </c>
      <c r="F12" s="229" t="n">
        <v>38.3</v>
      </c>
      <c r="G12" s="229">
        <f>E12*F12</f>
        <v/>
      </c>
      <c r="H12" s="229" t="n">
        <v>32</v>
      </c>
      <c r="I12" s="325" t="n">
        <v>42087</v>
      </c>
      <c r="J12" s="17" t="n">
        <v>38.6</v>
      </c>
      <c r="K12" s="229">
        <f>E12*J12</f>
        <v/>
      </c>
      <c r="L12" s="17" t="n">
        <v>33</v>
      </c>
      <c r="M12" s="229" t="n">
        <v>155</v>
      </c>
      <c r="N12" s="229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/>
      <c r="T12" s="585">
        <f>IF(ROUND(R12*(1+V12),0)&gt;5000,ROUND(ROUND(R12*(1+V12),0)*2%,0),0)</f>
        <v/>
      </c>
      <c r="U12" s="65">
        <f>(V12*50%)/(1+50%*V12)</f>
        <v/>
      </c>
      <c r="V12" s="65" t="n"/>
      <c r="W12" s="66" t="n"/>
      <c r="X12" s="586">
        <f>(P12+Q12)/G12</f>
        <v/>
      </c>
      <c r="Y12" s="16">
        <f>VLOOKUP(C12,#REF!,3,FALSE)</f>
        <v/>
      </c>
      <c r="Z12" s="587" t="n"/>
      <c r="AA12" s="588">
        <f>((I12-A12)*G12)/365.24</f>
        <v/>
      </c>
    </row>
    <row r="13" hidden="1" outlineLevel="1" ht="15.75" customHeight="1">
      <c r="A13" s="228" t="n">
        <v>42041</v>
      </c>
      <c r="B13" s="229" t="inlineStr">
        <is>
          <t>普通買進</t>
        </is>
      </c>
      <c r="C13" s="229" t="n">
        <v>2618</v>
      </c>
      <c r="D13" s="229">
        <f>VLOOKUP(C13,每日行情!A:B,2,FALSE)</f>
        <v/>
      </c>
      <c r="E13" s="229" t="n">
        <v>294</v>
      </c>
      <c r="F13" s="229" t="n">
        <v>17</v>
      </c>
      <c r="G13" s="229">
        <f>E13*F13</f>
        <v/>
      </c>
      <c r="H13" s="229" t="n">
        <v>0</v>
      </c>
      <c r="I13" s="325" t="n">
        <v>42072</v>
      </c>
      <c r="J13" s="17" t="n">
        <v>21.35</v>
      </c>
      <c r="K13" s="229">
        <f>E13*J13</f>
        <v/>
      </c>
      <c r="L13" s="17" t="n">
        <v>20</v>
      </c>
      <c r="M13" s="229" t="n">
        <v>18</v>
      </c>
      <c r="N13" s="229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/>
      <c r="T13" s="585">
        <f>IF(ROUND(R13*(1+V13),0)&gt;5000,ROUND(ROUND(R13*(1+V13),0)*2%,0),0)</f>
        <v/>
      </c>
      <c r="U13" s="65">
        <f>(V13*50%)/(1+50%*V13)</f>
        <v/>
      </c>
      <c r="V13" s="65" t="n"/>
      <c r="W13" s="66" t="n"/>
      <c r="X13" s="586">
        <f>(P13+Q13)/G13</f>
        <v/>
      </c>
      <c r="Y13" s="16">
        <f>VLOOKUP(C13,#REF!,3,FALSE)</f>
        <v/>
      </c>
      <c r="Z13" s="587" t="n"/>
      <c r="AA13" s="588">
        <f>((I13-A13)*G13)/365.24</f>
        <v/>
      </c>
    </row>
    <row r="14" hidden="1" outlineLevel="1">
      <c r="A14" s="228" t="n">
        <v>42061</v>
      </c>
      <c r="B14" s="229" t="inlineStr">
        <is>
          <t>普通買進</t>
        </is>
      </c>
      <c r="C14" s="229" t="n">
        <v>1723</v>
      </c>
      <c r="D14" s="229">
        <f>VLOOKUP(C14,每日行情!A:B,2,FALSE)</f>
        <v/>
      </c>
      <c r="E14" s="229" t="n">
        <v>1000</v>
      </c>
      <c r="F14" s="229" t="n">
        <v>146.5</v>
      </c>
      <c r="G14" s="229">
        <f>E14*F14</f>
        <v/>
      </c>
      <c r="H14" s="229" t="n">
        <v>125</v>
      </c>
      <c r="I14" s="325" t="n">
        <v>42067</v>
      </c>
      <c r="J14" s="17" t="n">
        <v>148.5</v>
      </c>
      <c r="K14" s="229">
        <f>E14*J14</f>
        <v/>
      </c>
      <c r="L14" s="17" t="n">
        <v>126</v>
      </c>
      <c r="M14" s="229" t="n">
        <v>445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/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/>
      <c r="X14" s="586">
        <f>(P14+Q14)/G14</f>
        <v/>
      </c>
      <c r="Y14" s="16">
        <f>VLOOKUP(C14,#REF!,3,FALSE)</f>
        <v/>
      </c>
      <c r="Z14" s="587" t="n"/>
      <c r="AA14" s="588">
        <f>((I14-A14)*G14)/365.24</f>
        <v/>
      </c>
    </row>
    <row r="15" hidden="1" outlineLevel="1">
      <c r="A15" s="228" t="n">
        <v>42061</v>
      </c>
      <c r="B15" s="229" t="inlineStr">
        <is>
          <t>普通買進</t>
        </is>
      </c>
      <c r="C15" s="229" t="n">
        <v>2881</v>
      </c>
      <c r="D15" s="229">
        <f>VLOOKUP(C15,每日行情!A:B,2,FALSE)</f>
        <v/>
      </c>
      <c r="E15" s="229" t="n">
        <v>1000</v>
      </c>
      <c r="F15" s="229" t="n">
        <v>54.8</v>
      </c>
      <c r="G15" s="229">
        <f>E15*F15</f>
        <v/>
      </c>
      <c r="H15" s="229" t="n">
        <v>46</v>
      </c>
      <c r="I15" s="325" t="n">
        <v>42072</v>
      </c>
      <c r="J15" s="17" t="n">
        <v>55.4</v>
      </c>
      <c r="K15" s="229">
        <f>E15*J15</f>
        <v/>
      </c>
      <c r="L15" s="17" t="n">
        <v>47</v>
      </c>
      <c r="M15" s="229" t="n">
        <v>166</v>
      </c>
      <c r="N15" s="229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/>
      <c r="T15" s="585">
        <f>IF(ROUND(R15*(1+V15),0)&gt;5000,ROUND(ROUND(R15*(1+V15),0)*2%,0),0)</f>
        <v/>
      </c>
      <c r="U15" s="65">
        <f>(V15*50%)/(1+50%*V15)</f>
        <v/>
      </c>
      <c r="V15" s="65" t="n"/>
      <c r="W15" s="66" t="n"/>
      <c r="X15" s="586">
        <f>(P15+Q15)/G15</f>
        <v/>
      </c>
      <c r="Y15" s="16">
        <f>VLOOKUP(C15,#REF!,3,FALSE)</f>
        <v/>
      </c>
      <c r="Z15" s="587" t="n"/>
      <c r="AA15" s="588">
        <f>((I15-A15)*G15)/365.24</f>
        <v/>
      </c>
    </row>
    <row r="16" hidden="1" outlineLevel="1">
      <c r="A16" s="228" t="n">
        <v>42061</v>
      </c>
      <c r="B16" s="229" t="inlineStr">
        <is>
          <t>普通買進</t>
        </is>
      </c>
      <c r="C16" s="229" t="n">
        <v>4938</v>
      </c>
      <c r="D16" s="229">
        <f>VLOOKUP(C16,每日行情!A:B,2,FALSE)</f>
        <v/>
      </c>
      <c r="E16" s="229" t="n">
        <v>1000</v>
      </c>
      <c r="F16" s="229" t="n">
        <v>86.3</v>
      </c>
      <c r="G16" s="229">
        <f>E16*F16</f>
        <v/>
      </c>
      <c r="H16" s="229" t="n">
        <v>73</v>
      </c>
      <c r="I16" s="325" t="n">
        <v>42088</v>
      </c>
      <c r="J16" s="17" t="n">
        <v>86.5</v>
      </c>
      <c r="K16" s="229">
        <f>E16*J16</f>
        <v/>
      </c>
      <c r="L16" s="17" t="n">
        <v>73</v>
      </c>
      <c r="M16" s="229" t="n">
        <v>259</v>
      </c>
      <c r="N16" s="229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/>
      <c r="T16" s="585">
        <f>IF(ROUND(R16*(1+V16),0)&gt;5000,ROUND(ROUND(R16*(1+V16),0)*2%,0),0)</f>
        <v/>
      </c>
      <c r="U16" s="65">
        <f>(V16*50%)/(1+50%*V16)</f>
        <v/>
      </c>
      <c r="V16" s="65" t="n"/>
      <c r="W16" s="66" t="n"/>
      <c r="X16" s="586">
        <f>(P16+Q16)/G16</f>
        <v/>
      </c>
      <c r="Y16" s="16">
        <f>VLOOKUP(C16,#REF!,3,FALSE)</f>
        <v/>
      </c>
      <c r="Z16" s="587" t="n"/>
      <c r="AA16" s="588">
        <f>((I16-A16)*G16)/365.24</f>
        <v/>
      </c>
    </row>
    <row r="17" hidden="1" outlineLevel="1">
      <c r="A17" s="228" t="n">
        <v>42066</v>
      </c>
      <c r="B17" s="229" t="inlineStr">
        <is>
          <t>普通買進</t>
        </is>
      </c>
      <c r="C17" s="229" t="n">
        <v>2420</v>
      </c>
      <c r="D17" s="229">
        <f>VLOOKUP(C17,每日行情!A:B,2,FALSE)</f>
        <v/>
      </c>
      <c r="E17" s="229" t="n">
        <v>1000</v>
      </c>
      <c r="F17" s="229" t="n">
        <v>46.25</v>
      </c>
      <c r="G17" s="229">
        <f>E17*F17</f>
        <v/>
      </c>
      <c r="H17" s="229" t="n">
        <v>39</v>
      </c>
      <c r="I17" s="325" t="n">
        <v>42072</v>
      </c>
      <c r="J17" s="17" t="n">
        <v>47.4</v>
      </c>
      <c r="K17" s="229">
        <f>E17*J17</f>
        <v/>
      </c>
      <c r="L17" s="17" t="n">
        <v>40</v>
      </c>
      <c r="M17" s="229" t="n">
        <v>142</v>
      </c>
      <c r="N17" s="229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/>
      <c r="T17" s="585">
        <f>IF(ROUND(R17*(1+V17),0)&gt;5000,ROUND(ROUND(R17*(1+V17),0)*2%,0),0)</f>
        <v/>
      </c>
      <c r="U17" s="65">
        <f>(V17*50%)/(1+50%*V17)</f>
        <v/>
      </c>
      <c r="V17" s="65" t="n"/>
      <c r="W17" s="66" t="n"/>
      <c r="X17" s="586">
        <f>(P17+Q17)/G17</f>
        <v/>
      </c>
      <c r="Y17" s="16">
        <f>VLOOKUP(C17,#REF!,3,FALSE)</f>
        <v/>
      </c>
      <c r="Z17" s="587" t="n"/>
      <c r="AA17" s="588">
        <f>((I17-A17)*G17)/365.24</f>
        <v/>
      </c>
    </row>
    <row r="18" hidden="1" outlineLevel="1">
      <c r="A18" s="228" t="n">
        <v>42066</v>
      </c>
      <c r="B18" s="229" t="inlineStr">
        <is>
          <t>普通買進</t>
        </is>
      </c>
      <c r="C18" s="229" t="n">
        <v>2330</v>
      </c>
      <c r="D18" s="229">
        <f>VLOOKUP(C18,每日行情!A:B,2,FALSE)</f>
        <v/>
      </c>
      <c r="E18" s="229" t="n">
        <v>1000</v>
      </c>
      <c r="F18" s="229" t="n">
        <v>149</v>
      </c>
      <c r="G18" s="229">
        <f>E18*F18</f>
        <v/>
      </c>
      <c r="H18" s="229" t="n">
        <v>127</v>
      </c>
      <c r="I18" s="325" t="n">
        <v>42088</v>
      </c>
      <c r="J18" s="17" t="n">
        <v>151.5</v>
      </c>
      <c r="K18" s="229">
        <f>E18*J18</f>
        <v/>
      </c>
      <c r="L18" s="17" t="n">
        <v>129</v>
      </c>
      <c r="M18" s="229" t="n">
        <v>454</v>
      </c>
      <c r="N18" s="229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/>
      <c r="T18" s="585">
        <f>IF(ROUND(R18*(1+V18),0)&gt;5000,ROUND(ROUND(R18*(1+V18),0)*2%,0),0)</f>
        <v/>
      </c>
      <c r="U18" s="65">
        <f>(V18*50%)/(1+50%*V18)</f>
        <v/>
      </c>
      <c r="V18" s="65" t="n"/>
      <c r="W18" s="66" t="n"/>
      <c r="X18" s="586">
        <f>(P18+Q18)/G18</f>
        <v/>
      </c>
      <c r="Y18" s="16">
        <f>VLOOKUP(C18,#REF!,3,FALSE)</f>
        <v/>
      </c>
      <c r="Z18" s="587" t="n"/>
      <c r="AA18" s="588">
        <f>((I18-A18)*G18)/365.24</f>
        <v/>
      </c>
    </row>
    <row r="19" hidden="1" outlineLevel="1">
      <c r="A19" s="228" t="n">
        <v>42067</v>
      </c>
      <c r="B19" s="229" t="inlineStr">
        <is>
          <t>普通買進</t>
        </is>
      </c>
      <c r="C19" s="229" t="n">
        <v>6147</v>
      </c>
      <c r="D19" s="229">
        <f>VLOOKUP(C19,每日行情!A:B,2,FALSE)</f>
        <v/>
      </c>
      <c r="E19" s="229" t="n">
        <v>1000</v>
      </c>
      <c r="F19" s="229" t="n">
        <v>61.7</v>
      </c>
      <c r="G19" s="229">
        <f>E19*F19</f>
        <v/>
      </c>
      <c r="H19" s="229" t="n">
        <v>52</v>
      </c>
      <c r="I19" s="324" t="n">
        <v>42086</v>
      </c>
      <c r="J19" s="16" t="n">
        <v>66.09999999999999</v>
      </c>
      <c r="K19" s="229">
        <f>E19*J19</f>
        <v/>
      </c>
      <c r="L19" s="792" t="n">
        <v>56</v>
      </c>
      <c r="M19" s="229" t="n">
        <v>198</v>
      </c>
      <c r="N19" s="229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/>
      <c r="T19" s="585">
        <f>IF(ROUND(R19*(1+V19),0)&gt;5000,ROUND(ROUND(R19*(1+V19),0)*2%,0),0)</f>
        <v/>
      </c>
      <c r="U19" s="65">
        <f>(V19*50%)/(1+50%*V19)</f>
        <v/>
      </c>
      <c r="V19" s="65" t="n"/>
      <c r="W19" s="66" t="n"/>
      <c r="X19" s="586">
        <f>(P19+Q19)/G19</f>
        <v/>
      </c>
      <c r="Y19" s="16">
        <f>VLOOKUP(C19,#REF!,3,FALSE)</f>
        <v/>
      </c>
      <c r="Z19" s="587" t="n"/>
      <c r="AA19" s="588">
        <f>((I19-A19)*G19)/365.24</f>
        <v/>
      </c>
    </row>
    <row r="20" hidden="1" outlineLevel="1">
      <c r="A20" s="228" t="n">
        <v>42072</v>
      </c>
      <c r="B20" s="229" t="inlineStr">
        <is>
          <t>普通買進</t>
        </is>
      </c>
      <c r="C20" s="229" t="n">
        <v>4938</v>
      </c>
      <c r="D20" s="229">
        <f>VLOOKUP(C20,每日行情!A:B,2,FALSE)</f>
        <v/>
      </c>
      <c r="E20" s="229" t="n">
        <v>1000</v>
      </c>
      <c r="F20" s="229" t="n">
        <v>88.5</v>
      </c>
      <c r="G20" s="229">
        <f>E20*F20</f>
        <v/>
      </c>
      <c r="H20" s="229" t="n">
        <v>75</v>
      </c>
      <c r="I20" s="325" t="n">
        <v>42072</v>
      </c>
      <c r="J20" s="17" t="n">
        <v>88.8</v>
      </c>
      <c r="K20" s="229">
        <f>E20*J20</f>
        <v/>
      </c>
      <c r="L20" s="17" t="n">
        <v>75</v>
      </c>
      <c r="M20" s="229" t="n">
        <v>266</v>
      </c>
      <c r="N20" s="229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/>
      <c r="T20" s="585">
        <f>IF(ROUND(R20*(1+V20),0)&gt;5000,ROUND(ROUND(R20*(1+V20),0)*2%,0),0)</f>
        <v/>
      </c>
      <c r="U20" s="65">
        <f>(V20*50%)/(1+50%*V20)</f>
        <v/>
      </c>
      <c r="V20" s="65" t="n"/>
      <c r="W20" s="66" t="n"/>
      <c r="X20" s="586">
        <f>(P20+Q20)/G20</f>
        <v/>
      </c>
      <c r="Y20" s="16">
        <f>VLOOKUP(C20,#REF!,3,FALSE)</f>
        <v/>
      </c>
      <c r="Z20" s="587" t="n"/>
      <c r="AA20" s="588">
        <f>((I20-A20)*G20)/365.24</f>
        <v/>
      </c>
    </row>
    <row r="21" hidden="1" outlineLevel="1">
      <c r="A21" s="228" t="n">
        <v>42072</v>
      </c>
      <c r="B21" s="229" t="inlineStr">
        <is>
          <t>普通買進</t>
        </is>
      </c>
      <c r="C21" s="229" t="n">
        <v>4958</v>
      </c>
      <c r="D21" s="229">
        <f>VLOOKUP(C21,每日行情!A:B,2,FALSE)</f>
        <v/>
      </c>
      <c r="E21" s="229" t="n">
        <v>1000</v>
      </c>
      <c r="F21" s="229" t="n">
        <v>104.5</v>
      </c>
      <c r="G21" s="229">
        <f>E21*F21</f>
        <v/>
      </c>
      <c r="H21" s="229" t="n">
        <v>89</v>
      </c>
      <c r="I21" s="324" t="n">
        <v>42083</v>
      </c>
      <c r="J21" s="16" t="n">
        <v>104</v>
      </c>
      <c r="K21" s="229">
        <f>E21*J21</f>
        <v/>
      </c>
      <c r="L21" s="792" t="n">
        <v>88</v>
      </c>
      <c r="M21" s="229" t="n">
        <v>312</v>
      </c>
      <c r="N21" s="229" t="n">
        <v>0</v>
      </c>
      <c r="O21" s="584">
        <f>IF(I21="",E21*Y21,0)</f>
        <v/>
      </c>
      <c r="P21" s="585">
        <f>IF(I21="",R21-H21,(K21-H21-SUM(L21:N21)+R21-S21-T21)-G21)+(ROUND(R21*V21,0)-ROUND(R21*(1+V21),0)*W21)</f>
        <v/>
      </c>
      <c r="Q21" s="585">
        <f>IF(I21="",(O21-G21-(O21*0.1425%*0.65)-(O21*0.3%)-S21-T21),0)</f>
        <v/>
      </c>
      <c r="R21" s="585" t="n"/>
      <c r="S21" s="585" t="n"/>
      <c r="T21" s="585">
        <f>IF(ROUND(R21*(1+V21),0)&gt;5000,ROUND(ROUND(R21*(1+V21),0)*2%,0),0)</f>
        <v/>
      </c>
      <c r="U21" s="65">
        <f>(V21*50%)/(1+50%*V21)</f>
        <v/>
      </c>
      <c r="V21" s="65" t="n"/>
      <c r="W21" s="66" t="n"/>
      <c r="X21" s="586">
        <f>(P21+Q21)/G21</f>
        <v/>
      </c>
      <c r="Y21" s="16">
        <f>VLOOKUP(C21,#REF!,3,FALSE)</f>
        <v/>
      </c>
      <c r="Z21" s="587" t="n"/>
      <c r="AA21" s="588">
        <f>((I21-A21)*G21)/365.24</f>
        <v/>
      </c>
    </row>
    <row r="22" hidden="1" outlineLevel="1">
      <c r="A22" s="228" t="n">
        <v>42072</v>
      </c>
      <c r="B22" s="229" t="inlineStr">
        <is>
          <t>普通買進</t>
        </is>
      </c>
      <c r="C22" s="229" t="n">
        <v>1108</v>
      </c>
      <c r="D22" s="229">
        <f>VLOOKUP(C22,每日行情!A:B,2,FALSE)</f>
        <v/>
      </c>
      <c r="E22" s="229" t="n">
        <v>1000</v>
      </c>
      <c r="F22" s="229" t="n">
        <v>10.6</v>
      </c>
      <c r="G22" s="229">
        <f>E22*F22</f>
        <v/>
      </c>
      <c r="H22" s="229" t="n">
        <v>20</v>
      </c>
      <c r="I22" s="324" t="n">
        <v>42086</v>
      </c>
      <c r="J22" s="16" t="n">
        <v>11.1</v>
      </c>
      <c r="K22" s="229">
        <f>E22*J22</f>
        <v/>
      </c>
      <c r="L22" s="792" t="n">
        <v>20</v>
      </c>
      <c r="M22" s="229" t="n">
        <v>33</v>
      </c>
      <c r="N22" s="229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/>
      <c r="T22" s="585">
        <f>IF(ROUND(R22*(1+V22),0)&gt;5000,ROUND(ROUND(R22*(1+V22),0)*2%,0),0)</f>
        <v/>
      </c>
      <c r="U22" s="65">
        <f>(V22*50%)/(1+50%*V22)</f>
        <v/>
      </c>
      <c r="V22" s="65" t="n"/>
      <c r="W22" s="66" t="n"/>
      <c r="X22" s="586">
        <f>(P22+Q22)/G22</f>
        <v/>
      </c>
      <c r="Y22" s="16">
        <f>VLOOKUP(C22,#REF!,3,FALSE)</f>
        <v/>
      </c>
      <c r="Z22" s="587" t="n"/>
      <c r="AA22" s="588">
        <f>((I22-A22)*G22)/365.24</f>
        <v/>
      </c>
    </row>
    <row r="23" hidden="1" outlineLevel="1">
      <c r="A23" s="228" t="n">
        <v>42073</v>
      </c>
      <c r="B23" s="229" t="inlineStr">
        <is>
          <t>普通買進</t>
        </is>
      </c>
      <c r="C23" s="229" t="n">
        <v>4958</v>
      </c>
      <c r="D23" s="229">
        <f>VLOOKUP(C23,每日行情!A:B,2,FALSE)</f>
        <v/>
      </c>
      <c r="E23" s="229" t="n">
        <v>1000</v>
      </c>
      <c r="F23" s="229" t="n">
        <v>103.5</v>
      </c>
      <c r="G23" s="229">
        <f>E23*F23</f>
        <v/>
      </c>
      <c r="H23" s="229" t="n">
        <v>88</v>
      </c>
      <c r="I23" s="324" t="n">
        <v>42088</v>
      </c>
      <c r="J23" s="16" t="n">
        <v>101.5</v>
      </c>
      <c r="K23" s="229">
        <f>E23*J23</f>
        <v/>
      </c>
      <c r="L23" s="792" t="n">
        <v>86</v>
      </c>
      <c r="M23" s="229" t="n">
        <v>304</v>
      </c>
      <c r="N23" s="229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/>
      <c r="T23" s="585">
        <f>IF(ROUND(R23*(1+V23),0)&gt;5000,ROUND(ROUND(R23*(1+V23),0)*2%,0),0)</f>
        <v/>
      </c>
      <c r="U23" s="65">
        <f>(V23*50%)/(1+50%*V23)</f>
        <v/>
      </c>
      <c r="V23" s="65" t="n"/>
      <c r="W23" s="66" t="n"/>
      <c r="X23" s="586">
        <f>(P23+Q23)/G23</f>
        <v/>
      </c>
      <c r="Y23" s="16">
        <f>VLOOKUP(C23,#REF!,3,FALSE)</f>
        <v/>
      </c>
      <c r="Z23" s="587" t="n"/>
      <c r="AA23" s="588">
        <f>((I23-A23)*G23)/365.24</f>
        <v/>
      </c>
    </row>
    <row r="24" hidden="1" outlineLevel="1">
      <c r="A24" s="228" t="n">
        <v>42086</v>
      </c>
      <c r="B24" s="229" t="inlineStr">
        <is>
          <t>普通買進</t>
        </is>
      </c>
      <c r="C24" s="229" t="n">
        <v>2489</v>
      </c>
      <c r="D24" s="229">
        <f>VLOOKUP(C24,每日行情!A:B,2,FALSE)</f>
        <v/>
      </c>
      <c r="E24" s="229" t="n">
        <v>1000</v>
      </c>
      <c r="F24" s="229" t="n">
        <v>17.8</v>
      </c>
      <c r="G24" s="229">
        <f>E24*F24</f>
        <v/>
      </c>
      <c r="H24" s="229" t="n">
        <v>20</v>
      </c>
      <c r="I24" s="324" t="n">
        <v>42090</v>
      </c>
      <c r="J24" s="16" t="n">
        <v>17.6</v>
      </c>
      <c r="K24" s="229">
        <f>E24*J24</f>
        <v/>
      </c>
      <c r="L24" s="792" t="n">
        <v>20</v>
      </c>
      <c r="M24" s="229" t="n">
        <v>52</v>
      </c>
      <c r="N24" s="229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/>
      <c r="T24" s="585">
        <f>IF(ROUND(R24*(1+V24),0)&gt;5000,ROUND(ROUND(R24*(1+V24),0)*2%,0),0)</f>
        <v/>
      </c>
      <c r="U24" s="65">
        <f>(V24*50%)/(1+50%*V24)</f>
        <v/>
      </c>
      <c r="V24" s="65" t="n"/>
      <c r="W24" s="66" t="n"/>
      <c r="X24" s="586">
        <f>(P24+Q24)/G24</f>
        <v/>
      </c>
      <c r="Y24" s="16">
        <f>VLOOKUP(C24,#REF!,3,FALSE)</f>
        <v/>
      </c>
      <c r="Z24" s="587" t="n"/>
      <c r="AA24" s="588">
        <f>((I24-A24)*G24)/365.24</f>
        <v/>
      </c>
    </row>
    <row r="25" hidden="1" outlineLevel="1">
      <c r="A25" s="385" t="n">
        <v>42086</v>
      </c>
      <c r="B25" s="386" t="inlineStr">
        <is>
          <t>普通買進</t>
        </is>
      </c>
      <c r="C25" s="386" t="n"/>
      <c r="D25" s="386" t="inlineStr">
        <is>
          <t>承銷申購</t>
        </is>
      </c>
      <c r="E25" s="386" t="n"/>
      <c r="F25" s="386" t="n"/>
      <c r="G25" s="386" t="n"/>
      <c r="H25" s="386" t="n"/>
      <c r="I25" s="387" t="n"/>
      <c r="J25" s="388" t="n"/>
      <c r="K25" s="386" t="n"/>
      <c r="L25" s="388">
        <f>20*17</f>
        <v/>
      </c>
      <c r="M25" s="386" t="n"/>
      <c r="N25" s="386" t="n"/>
      <c r="O25" s="793" t="n"/>
      <c r="P25" s="794">
        <f>-L25</f>
        <v/>
      </c>
      <c r="Q25" s="794">
        <f>IF(I25="",(O25-G25-(O25*0.1425%*0.65)-(O25*0.3%)-S25-T25),0)</f>
        <v/>
      </c>
      <c r="R25" s="794" t="n"/>
      <c r="S25" s="794" t="n"/>
      <c r="T25" s="794" t="n"/>
      <c r="U25" s="391" t="n"/>
      <c r="V25" s="391" t="n"/>
      <c r="W25" s="392" t="n"/>
      <c r="X25" s="795" t="n"/>
      <c r="Y25" s="394" t="n"/>
      <c r="Z25" s="796" t="n"/>
      <c r="AA25" s="588" t="n"/>
    </row>
    <row r="26" hidden="1" outlineLevel="1">
      <c r="A26" s="228" t="n">
        <v>42086</v>
      </c>
      <c r="B26" s="229" t="inlineStr">
        <is>
          <t>普通買進</t>
        </is>
      </c>
      <c r="C26" s="229" t="n">
        <v>2546</v>
      </c>
      <c r="D26" s="229">
        <f>VLOOKUP(C26,每日行情!A:B,2,FALSE)</f>
        <v/>
      </c>
      <c r="E26" s="229" t="n">
        <v>1000</v>
      </c>
      <c r="F26" s="229" t="n">
        <v>17.45</v>
      </c>
      <c r="G26" s="229">
        <f>E26*F26</f>
        <v/>
      </c>
      <c r="H26" s="229" t="n">
        <v>20</v>
      </c>
      <c r="I26" s="325" t="n">
        <v>42123</v>
      </c>
      <c r="J26" s="16" t="n">
        <v>18.15</v>
      </c>
      <c r="K26" s="229">
        <f>E26*J26</f>
        <v/>
      </c>
      <c r="L26" s="792" t="n">
        <v>20</v>
      </c>
      <c r="M26" s="229" t="n">
        <v>54</v>
      </c>
      <c r="N26" s="229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/>
      <c r="T26" s="585">
        <f>IF(ROUND(R26*(1+V26),0)&gt;5000,ROUND(ROUND(R26*(1+V26),0)*2%,0),0)</f>
        <v/>
      </c>
      <c r="U26" s="65">
        <f>(V26*50%)/(1+50%*V26)</f>
        <v/>
      </c>
      <c r="V26" s="65" t="n"/>
      <c r="W26" s="66" t="n"/>
      <c r="X26" s="586">
        <f>(P26+Q26)/G26</f>
        <v/>
      </c>
      <c r="Y26" s="16">
        <f>VLOOKUP(C26,#REF!,3,FALSE)</f>
        <v/>
      </c>
      <c r="Z26" s="587" t="n"/>
      <c r="AA26" s="588">
        <f>((I26-A26)*G26)/365.24</f>
        <v/>
      </c>
    </row>
    <row r="27" hidden="1" outlineLevel="1">
      <c r="A27" s="228" t="n">
        <v>42086</v>
      </c>
      <c r="B27" s="229" t="inlineStr">
        <is>
          <t>普通買進</t>
        </is>
      </c>
      <c r="C27" s="229" t="n">
        <v>2107</v>
      </c>
      <c r="D27" s="229">
        <f>VLOOKUP(C27,每日行情!A:B,2,FALSE)</f>
        <v/>
      </c>
      <c r="E27" s="229" t="n">
        <v>1000</v>
      </c>
      <c r="F27" s="229" t="n">
        <v>31.75</v>
      </c>
      <c r="G27" s="229">
        <f>E27*F27</f>
        <v/>
      </c>
      <c r="H27" s="229" t="n">
        <v>27</v>
      </c>
      <c r="I27" s="325" t="n">
        <v>42278</v>
      </c>
      <c r="J27" s="16" t="n">
        <v>18</v>
      </c>
      <c r="K27" s="229">
        <f>E27*J27</f>
        <v/>
      </c>
      <c r="L27" s="792" t="n">
        <v>20</v>
      </c>
      <c r="M27" s="229" t="n">
        <v>45</v>
      </c>
      <c r="N27" s="229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>
        <v>2800</v>
      </c>
      <c r="S27" s="585" t="n">
        <v>10</v>
      </c>
      <c r="T27" s="585">
        <f>IF(ROUND(R27*(1+V27),0)&gt;5000,ROUND(ROUND(R27*(1+V27),0)*2%,0),0)</f>
        <v/>
      </c>
      <c r="U27" s="65">
        <f>(V27*50%)/(1+50%*V27)</f>
        <v/>
      </c>
      <c r="V27" s="65" t="n">
        <v>0.0653</v>
      </c>
      <c r="W27" s="66" t="n">
        <v>0.12</v>
      </c>
      <c r="X27" s="586">
        <f>(P27+Q27)/G27</f>
        <v/>
      </c>
      <c r="Y27" s="16">
        <f>VLOOKUP(C27,#REF!,3,FALSE)</f>
        <v/>
      </c>
      <c r="Z27" s="587" t="n"/>
      <c r="AA27" s="588">
        <f>((I27-A27)*G27)/365.24</f>
        <v/>
      </c>
    </row>
    <row r="28" hidden="1" outlineLevel="1">
      <c r="A28" s="228" t="n">
        <v>42087</v>
      </c>
      <c r="B28" s="229" t="inlineStr">
        <is>
          <t>普通買進</t>
        </is>
      </c>
      <c r="C28" s="229" t="n">
        <v>4930</v>
      </c>
      <c r="D28" s="229">
        <f>VLOOKUP(C28,每日行情!A:B,2,FALSE)</f>
        <v/>
      </c>
      <c r="E28" s="229" t="n">
        <v>1000</v>
      </c>
      <c r="F28" s="229" t="n">
        <v>33</v>
      </c>
      <c r="G28" s="229">
        <f>E28*F28</f>
        <v/>
      </c>
      <c r="H28" s="229" t="n">
        <v>28</v>
      </c>
      <c r="I28" s="324" t="n">
        <v>42135</v>
      </c>
      <c r="J28" s="16" t="n">
        <v>34.4</v>
      </c>
      <c r="K28" s="229">
        <f>E28*J28</f>
        <v/>
      </c>
      <c r="L28" s="792" t="n">
        <v>29</v>
      </c>
      <c r="M28" s="229" t="n">
        <v>103</v>
      </c>
      <c r="N28" s="229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/>
      <c r="T28" s="585">
        <f>IF(ROUND(R28*(1+V28),0)&gt;5000,ROUND(ROUND(R28*(1+V28),0)*2%,0),0)</f>
        <v/>
      </c>
      <c r="U28" s="65">
        <f>(V28*50%)/(1+50%*V28)</f>
        <v/>
      </c>
      <c r="V28" s="65" t="n"/>
      <c r="W28" s="66" t="n"/>
      <c r="X28" s="586">
        <f>(P28+Q28)/G28</f>
        <v/>
      </c>
      <c r="Y28" s="16">
        <f>VLOOKUP(C28,#REF!,3,FALSE)</f>
        <v/>
      </c>
      <c r="Z28" s="587" t="n"/>
      <c r="AA28" s="588">
        <f>((I28-A28)*G28)/365.24</f>
        <v/>
      </c>
    </row>
    <row r="29" hidden="1" outlineLevel="1">
      <c r="A29" s="228" t="n">
        <v>42088</v>
      </c>
      <c r="B29" s="229" t="inlineStr">
        <is>
          <t>普通買進</t>
        </is>
      </c>
      <c r="C29" s="229" t="n">
        <v>2451</v>
      </c>
      <c r="D29" s="229">
        <f>VLOOKUP(C29,每日行情!A:B,2,FALSE)</f>
        <v/>
      </c>
      <c r="E29" s="229" t="n">
        <v>1000</v>
      </c>
      <c r="F29" s="229" t="n">
        <v>111.5</v>
      </c>
      <c r="G29" s="229">
        <f>E29*F29</f>
        <v/>
      </c>
      <c r="H29" s="229" t="n">
        <v>95</v>
      </c>
      <c r="I29" s="324" t="n">
        <v>42111</v>
      </c>
      <c r="J29" s="16" t="n">
        <v>115</v>
      </c>
      <c r="K29" s="229">
        <f>E29*J29</f>
        <v/>
      </c>
      <c r="L29" s="792" t="n">
        <v>98</v>
      </c>
      <c r="M29" s="229" t="n">
        <v>345</v>
      </c>
      <c r="N29" s="229" t="n">
        <v>0</v>
      </c>
      <c r="O29" s="584">
        <f>IF(I29="",E29*Y29,0)</f>
        <v/>
      </c>
      <c r="P29" s="585">
        <f>IF(I29="",R29-H29,(K29-H29-SUM(L29:N29)+R29-S29-T29)-G29)+(ROUND(R29*V29,0)-ROUND(R29*(1+V29),0)*W29)</f>
        <v/>
      </c>
      <c r="Q29" s="585">
        <f>IF(I29="",(O29-G29-(O29*0.1425%*0.65)-(O29*0.3%)-S29-T29),0)</f>
        <v/>
      </c>
      <c r="R29" s="585" t="n"/>
      <c r="S29" s="585" t="n"/>
      <c r="T29" s="585">
        <f>IF(ROUND(R29*(1+V29),0)&gt;5000,ROUND(ROUND(R29*(1+V29),0)*2%,0),0)</f>
        <v/>
      </c>
      <c r="U29" s="65">
        <f>(V29*50%)/(1+50%*V29)</f>
        <v/>
      </c>
      <c r="V29" s="65" t="n"/>
      <c r="W29" s="66" t="n"/>
      <c r="X29" s="586">
        <f>(P29+Q29)/G29</f>
        <v/>
      </c>
      <c r="Y29" s="16">
        <f>VLOOKUP(C29,#REF!,3,FALSE)</f>
        <v/>
      </c>
      <c r="Z29" s="587" t="n"/>
      <c r="AA29" s="588">
        <f>((I29-A29)*G29)/365.24</f>
        <v/>
      </c>
    </row>
    <row r="30" hidden="1" outlineLevel="1">
      <c r="A30" s="228" t="n">
        <v>42088</v>
      </c>
      <c r="B30" s="229" t="inlineStr">
        <is>
          <t>普通買進</t>
        </is>
      </c>
      <c r="C30" s="229" t="n">
        <v>2548</v>
      </c>
      <c r="D30" s="229">
        <f>VLOOKUP(C30,每日行情!A:B,2,FALSE)</f>
        <v/>
      </c>
      <c r="E30" s="229" t="n">
        <v>1000</v>
      </c>
      <c r="F30" s="229" t="n">
        <v>62.5</v>
      </c>
      <c r="G30" s="229">
        <f>E30*F30</f>
        <v/>
      </c>
      <c r="H30" s="229" t="n">
        <v>53</v>
      </c>
      <c r="I30" s="324" t="n">
        <v>42111</v>
      </c>
      <c r="J30" s="16" t="n">
        <v>67.3</v>
      </c>
      <c r="K30" s="229">
        <f>E30*J30</f>
        <v/>
      </c>
      <c r="L30" s="792" t="n">
        <v>57</v>
      </c>
      <c r="M30" s="229" t="n">
        <v>201</v>
      </c>
      <c r="N30" s="229" t="n">
        <v>0</v>
      </c>
      <c r="O30" s="584">
        <f>IF(I30="",E30*Y30,0)</f>
        <v/>
      </c>
      <c r="P30" s="585">
        <f>IF(I30="",R30-H30,(K30-H30-SUM(L30:N30)+R30-S30-T30)-G30)+(ROUND(R30*V30,0)-ROUND(R30*(1+V30),0)*W30)</f>
        <v/>
      </c>
      <c r="Q30" s="585">
        <f>IF(I30="",(O30-G30-(O30*0.1425%*0.65)-(O30*0.3%)-S30-T30),0)</f>
        <v/>
      </c>
      <c r="R30" s="585" t="n"/>
      <c r="S30" s="585" t="n"/>
      <c r="T30" s="585">
        <f>IF(ROUND(R30*(1+V30),0)&gt;5000,ROUND(ROUND(R30*(1+V30),0)*2%,0),0)</f>
        <v/>
      </c>
      <c r="U30" s="65">
        <f>(V30*50%)/(1+50%*V30)</f>
        <v/>
      </c>
      <c r="V30" s="65" t="n"/>
      <c r="W30" s="66" t="n"/>
      <c r="X30" s="586">
        <f>(P30+Q30)/G30</f>
        <v/>
      </c>
      <c r="Y30" s="16">
        <f>VLOOKUP(C30,#REF!,3,FALSE)</f>
        <v/>
      </c>
      <c r="Z30" s="587" t="n"/>
      <c r="AA30" s="588">
        <f>((I30-A30)*G30)/365.24</f>
        <v/>
      </c>
    </row>
    <row r="31" hidden="1" outlineLevel="1">
      <c r="A31" s="228" t="n">
        <v>42088</v>
      </c>
      <c r="B31" s="229" t="inlineStr">
        <is>
          <t>普通買進</t>
        </is>
      </c>
      <c r="C31" s="229" t="n">
        <v>5203</v>
      </c>
      <c r="D31" s="229">
        <f>VLOOKUP(C31,每日行情!A:B,2,FALSE)</f>
        <v/>
      </c>
      <c r="E31" s="229" t="n">
        <v>1000</v>
      </c>
      <c r="F31" s="229" t="n">
        <v>92.8</v>
      </c>
      <c r="G31" s="229">
        <f>E31*F31</f>
        <v/>
      </c>
      <c r="H31" s="229" t="n">
        <v>79</v>
      </c>
      <c r="I31" s="324" t="n">
        <v>42122</v>
      </c>
      <c r="J31" s="16" t="n">
        <v>93.5</v>
      </c>
      <c r="K31" s="229">
        <f>E31*J31</f>
        <v/>
      </c>
      <c r="L31" s="792" t="n">
        <v>79</v>
      </c>
      <c r="M31" s="229" t="n">
        <v>280</v>
      </c>
      <c r="N31" s="229" t="n">
        <v>0</v>
      </c>
      <c r="O31" s="584">
        <f>IF(I31="",E31*Y31,0)</f>
        <v/>
      </c>
      <c r="P31" s="585">
        <f>IF(I31="",R31-H31,(K31-H31-SUM(L31:N31)+R31-S31-T31)-G31)+(ROUND(R31*V31,0)-ROUND(R31*(1+V31),0)*W31)</f>
        <v/>
      </c>
      <c r="Q31" s="585">
        <f>IF(I31="",(O31-G31-(O31*0.1425%*0.65)-(O31*0.3%)-S31-T31),0)</f>
        <v/>
      </c>
      <c r="R31" s="585" t="n"/>
      <c r="S31" s="585" t="n"/>
      <c r="T31" s="585">
        <f>IF(ROUND(R31*(1+V31),0)&gt;5000,ROUND(ROUND(R31*(1+V31),0)*2%,0),0)</f>
        <v/>
      </c>
      <c r="U31" s="65">
        <f>(V31*50%)/(1+50%*V31)</f>
        <v/>
      </c>
      <c r="V31" s="65" t="n"/>
      <c r="W31" s="66" t="n"/>
      <c r="X31" s="586">
        <f>(P31+Q31)/G31</f>
        <v/>
      </c>
      <c r="Y31" s="16">
        <f>VLOOKUP(C31,#REF!,3,FALSE)</f>
        <v/>
      </c>
      <c r="Z31" s="587" t="n"/>
      <c r="AA31" s="588">
        <f>((I31-A31)*G31)/365.24</f>
        <v/>
      </c>
    </row>
    <row r="32" hidden="1" outlineLevel="1">
      <c r="A32" s="228" t="n">
        <v>42089</v>
      </c>
      <c r="B32" s="229" t="inlineStr">
        <is>
          <t>普通買進</t>
        </is>
      </c>
      <c r="C32" s="229" t="n">
        <v>6177</v>
      </c>
      <c r="D32" s="229">
        <f>VLOOKUP(C32,每日行情!A:B,2,FALSE)</f>
        <v/>
      </c>
      <c r="E32" s="229" t="n">
        <v>1000</v>
      </c>
      <c r="F32" s="229" t="n">
        <v>45.8</v>
      </c>
      <c r="G32" s="229">
        <f>E32*F32</f>
        <v/>
      </c>
      <c r="H32" s="229" t="n">
        <v>39</v>
      </c>
      <c r="I32" s="325" t="n">
        <v>42118</v>
      </c>
      <c r="J32" s="17" t="n">
        <v>42.7</v>
      </c>
      <c r="K32" s="229">
        <f>E32*J32</f>
        <v/>
      </c>
      <c r="L32" s="17" t="n">
        <v>36</v>
      </c>
      <c r="M32" s="229" t="n">
        <v>128</v>
      </c>
      <c r="N32" s="229" t="n">
        <v>0</v>
      </c>
      <c r="O32" s="584">
        <f>IF(I32="",E32*Y32,0)</f>
        <v/>
      </c>
      <c r="P32" s="585">
        <f>IF(I32="",R32-H32,(K32-H32-SUM(L32:N32)+R32-S32-T32)-G32)+(ROUND(R32*V32,0)-ROUND(R32*(1+V32),0)*W32)</f>
        <v/>
      </c>
      <c r="Q32" s="585">
        <f>IF(I32="",(O32-G32-(O32*0.1425%*0.65)-(O32*0.3%)-S32-T32),0)</f>
        <v/>
      </c>
      <c r="R32" s="585" t="n"/>
      <c r="S32" s="585" t="n"/>
      <c r="T32" s="585">
        <f>IF(ROUND(R32*(1+V32),0)&gt;5000,ROUND(ROUND(R32*(1+V32),0)*2%,0),0)</f>
        <v/>
      </c>
      <c r="U32" s="65">
        <f>(V32*50%)/(1+50%*V32)</f>
        <v/>
      </c>
      <c r="V32" s="65" t="n"/>
      <c r="W32" s="66" t="n"/>
      <c r="X32" s="586">
        <f>(P32+Q32)/G32</f>
        <v/>
      </c>
      <c r="Y32" s="16">
        <f>VLOOKUP(C32,#REF!,3,FALSE)</f>
        <v/>
      </c>
      <c r="Z32" s="587" t="n"/>
      <c r="AA32" s="588">
        <f>((I32-A32)*G32)/365.24</f>
        <v/>
      </c>
    </row>
    <row r="33" hidden="1" outlineLevel="1">
      <c r="A33" s="228" t="n">
        <v>42089</v>
      </c>
      <c r="B33" s="229" t="inlineStr">
        <is>
          <t>普通買進</t>
        </is>
      </c>
      <c r="C33" s="229" t="n">
        <v>2511</v>
      </c>
      <c r="D33" s="229">
        <f>VLOOKUP(C33,每日行情!A:B,2,FALSE)</f>
        <v/>
      </c>
      <c r="E33" s="229" t="n">
        <v>1000</v>
      </c>
      <c r="F33" s="229" t="n">
        <v>12.85</v>
      </c>
      <c r="G33" s="229">
        <f>E33*F33</f>
        <v/>
      </c>
      <c r="H33" s="229" t="n">
        <v>20</v>
      </c>
      <c r="I33" s="325" t="n">
        <v>42118</v>
      </c>
      <c r="J33" s="17" t="n">
        <v>13.05</v>
      </c>
      <c r="K33" s="229">
        <f>E33*J33</f>
        <v/>
      </c>
      <c r="L33" s="17" t="n">
        <v>20</v>
      </c>
      <c r="M33" s="229" t="n">
        <v>39</v>
      </c>
      <c r="N33" s="229" t="n">
        <v>0</v>
      </c>
      <c r="O33" s="584">
        <f>IF(I33="",E33*Y33,0)</f>
        <v/>
      </c>
      <c r="P33" s="585">
        <f>IF(I33="",R33-H33,(K33-H33-SUM(L33:N33)+R33-S33-T33)-G33)+(ROUND(R33*V33,0)-ROUND(R33*(1+V33),0)*W33)</f>
        <v/>
      </c>
      <c r="Q33" s="585">
        <f>IF(I33="",(O33-G33-(O33*0.1425%*0.65)-(O33*0.3%)-S33-T33),0)</f>
        <v/>
      </c>
      <c r="R33" s="585" t="n"/>
      <c r="S33" s="585" t="n"/>
      <c r="T33" s="585">
        <f>IF(ROUND(R33*(1+V33),0)&gt;5000,ROUND(ROUND(R33*(1+V33),0)*2%,0),0)</f>
        <v/>
      </c>
      <c r="U33" s="65">
        <f>(V33*50%)/(1+50%*V33)</f>
        <v/>
      </c>
      <c r="V33" s="65" t="n"/>
      <c r="W33" s="66" t="n"/>
      <c r="X33" s="586">
        <f>(P33+Q33)/G33</f>
        <v/>
      </c>
      <c r="Y33" s="16">
        <f>VLOOKUP(C33,#REF!,3,FALSE)</f>
        <v/>
      </c>
      <c r="Z33" s="587" t="n"/>
      <c r="AA33" s="588">
        <f>((I33-A33)*G33)/365.24</f>
        <v/>
      </c>
    </row>
    <row r="34" hidden="1" outlineLevel="1">
      <c r="A34" s="228" t="n">
        <v>42089</v>
      </c>
      <c r="B34" s="229" t="inlineStr">
        <is>
          <t>普通買進</t>
        </is>
      </c>
      <c r="C34" s="229" t="n">
        <v>2330</v>
      </c>
      <c r="D34" s="229">
        <f>VLOOKUP(C34,每日行情!A:B,2,FALSE)</f>
        <v/>
      </c>
      <c r="E34" s="229" t="n">
        <v>1000</v>
      </c>
      <c r="F34" s="229" t="n">
        <v>146</v>
      </c>
      <c r="G34" s="229">
        <f>E34*F34</f>
        <v/>
      </c>
      <c r="H34" s="229" t="n">
        <v>127</v>
      </c>
      <c r="I34" s="325" t="n">
        <v>42118</v>
      </c>
      <c r="J34" s="17" t="n">
        <v>151.5</v>
      </c>
      <c r="K34" s="229">
        <f>E34*J34</f>
        <v/>
      </c>
      <c r="L34" s="17" t="n">
        <v>129</v>
      </c>
      <c r="M34" s="229" t="n">
        <v>454</v>
      </c>
      <c r="N34" s="229" t="n">
        <v>0</v>
      </c>
      <c r="O34" s="584">
        <f>IF(I34="",E34*Y34,0)</f>
        <v/>
      </c>
      <c r="P34" s="585">
        <f>IF(I34="",R34-H34,(K34-H34-SUM(L34:N34)+R34-S34-T34)-G34)+(ROUND(R34*V34,0)-ROUND(R34*(1+V34),0)*W34)</f>
        <v/>
      </c>
      <c r="Q34" s="585">
        <f>IF(I34="",(O34-G34-(O34*0.1425%*0.65)-(O34*0.3%)-S34-T34),0)</f>
        <v/>
      </c>
      <c r="R34" s="585" t="n"/>
      <c r="S34" s="585" t="n"/>
      <c r="T34" s="585">
        <f>IF(ROUND(R34*(1+V34),0)&gt;5000,ROUND(ROUND(R34*(1+V34),0)*2%,0),0)</f>
        <v/>
      </c>
      <c r="U34" s="65">
        <f>(V34*50%)/(1+50%*V34)</f>
        <v/>
      </c>
      <c r="V34" s="65" t="n"/>
      <c r="W34" s="66" t="n"/>
      <c r="X34" s="586">
        <f>(P34+Q34)/G34</f>
        <v/>
      </c>
      <c r="Y34" s="16">
        <f>VLOOKUP(C34,#REF!,3,FALSE)</f>
        <v/>
      </c>
      <c r="Z34" s="587" t="n"/>
      <c r="AA34" s="588">
        <f>((I34-A34)*G34)/365.24</f>
        <v/>
      </c>
    </row>
    <row r="35" hidden="1" outlineLevel="1">
      <c r="A35" s="228" t="n">
        <v>42089</v>
      </c>
      <c r="B35" s="229" t="inlineStr">
        <is>
          <t>普通買進</t>
        </is>
      </c>
      <c r="C35" s="229" t="n">
        <v>2527</v>
      </c>
      <c r="D35" s="229">
        <f>VLOOKUP(C35,每日行情!A:B,2,FALSE)</f>
        <v/>
      </c>
      <c r="E35" s="229" t="n">
        <v>1000</v>
      </c>
      <c r="F35" s="229" t="n">
        <v>23.6</v>
      </c>
      <c r="G35" s="229">
        <f>E35*F35</f>
        <v/>
      </c>
      <c r="H35" s="229" t="n">
        <v>20</v>
      </c>
      <c r="I35" s="325" t="n">
        <v>42123</v>
      </c>
      <c r="J35" s="17" t="n">
        <v>23.25</v>
      </c>
      <c r="K35" s="229">
        <f>E35*J35</f>
        <v/>
      </c>
      <c r="L35" s="17" t="n">
        <v>20</v>
      </c>
      <c r="M35" s="229" t="n">
        <v>69</v>
      </c>
      <c r="N35" s="229" t="n">
        <v>0</v>
      </c>
      <c r="O35" s="584">
        <f>IF(I35="",E35*Y35,0)</f>
        <v/>
      </c>
      <c r="P35" s="585">
        <f>IF(I35="",R35-H35,(K35-H35-SUM(L35:N35)+R35-S35-T35)-G35)+(ROUND(R35*V35,0)-ROUND(R35*(1+V35),0)*W35)</f>
        <v/>
      </c>
      <c r="Q35" s="585">
        <f>IF(I35="",(O35-G35-(O35*0.1425%*0.65)-(O35*0.3%)-S35-T35),0)</f>
        <v/>
      </c>
      <c r="R35" s="585" t="n"/>
      <c r="S35" s="585" t="n"/>
      <c r="T35" s="585">
        <f>IF(ROUND(R35*(1+V35),0)&gt;5000,ROUND(ROUND(R35*(1+V35),0)*2%,0),0)</f>
        <v/>
      </c>
      <c r="U35" s="65">
        <f>(V35*50%)/(1+50%*V35)</f>
        <v/>
      </c>
      <c r="V35" s="65" t="n"/>
      <c r="W35" s="66" t="n"/>
      <c r="X35" s="586">
        <f>(P35+Q35)/G35</f>
        <v/>
      </c>
      <c r="Y35" s="16">
        <f>VLOOKUP(C35,#REF!,3,FALSE)</f>
        <v/>
      </c>
      <c r="Z35" s="587" t="n"/>
      <c r="AA35" s="588">
        <f>((I35-A35)*G35)/365.24</f>
        <v/>
      </c>
    </row>
    <row r="36" hidden="1" outlineLevel="1">
      <c r="A36" s="228" t="n">
        <v>42094</v>
      </c>
      <c r="B36" s="229" t="inlineStr">
        <is>
          <t>普通買進</t>
        </is>
      </c>
      <c r="C36" s="229" t="n">
        <v>4938</v>
      </c>
      <c r="D36" s="229">
        <f>VLOOKUP(C36,每日行情!A:B,2,FALSE)</f>
        <v/>
      </c>
      <c r="E36" s="229" t="n">
        <v>1000</v>
      </c>
      <c r="F36" s="229" t="n">
        <v>85.2</v>
      </c>
      <c r="G36" s="229">
        <f>E36*F36</f>
        <v/>
      </c>
      <c r="H36" s="229" t="n">
        <v>72</v>
      </c>
      <c r="I36" s="325" t="n">
        <v>42123</v>
      </c>
      <c r="J36" s="17" t="n">
        <v>92.40000000000001</v>
      </c>
      <c r="K36" s="229">
        <f>E36*J36</f>
        <v/>
      </c>
      <c r="L36" s="17" t="n">
        <v>79</v>
      </c>
      <c r="M36" s="229" t="n">
        <v>227</v>
      </c>
      <c r="N36" s="229" t="n">
        <v>0</v>
      </c>
      <c r="O36" s="584">
        <f>IF(I36="",E36*Y36,0)</f>
        <v/>
      </c>
      <c r="P36" s="585">
        <f>IF(I36="",R36-H36,(K36-H36-SUM(L36:N36)+R36-S36-T36)-G36)+(ROUND(R36*V36,0)-ROUND(R36*(1+V36),0)*W36)</f>
        <v/>
      </c>
      <c r="Q36" s="585">
        <f>IF(I36="",(O36-G36-(O36*0.1425%*0.65)-(O36*0.3%)-S36-T36),0)</f>
        <v/>
      </c>
      <c r="R36" s="585" t="n"/>
      <c r="S36" s="585" t="n"/>
      <c r="T36" s="585">
        <f>IF(ROUND(R36*(1+V36),0)&gt;5000,ROUND(ROUND(R36*(1+V36),0)*2%,0),0)</f>
        <v/>
      </c>
      <c r="U36" s="65">
        <f>(V36*50%)/(1+50%*V36)</f>
        <v/>
      </c>
      <c r="V36" s="65" t="n"/>
      <c r="W36" s="66" t="n"/>
      <c r="X36" s="586">
        <f>(P36+Q36)/G36</f>
        <v/>
      </c>
      <c r="Y36" s="16">
        <f>VLOOKUP(C36,#REF!,3,FALSE)</f>
        <v/>
      </c>
      <c r="Z36" s="587" t="n"/>
      <c r="AA36" s="588">
        <f>((I36-A36)*G36)/365.24</f>
        <v/>
      </c>
    </row>
    <row r="37" hidden="1" outlineLevel="1">
      <c r="A37" s="228" t="n">
        <v>42094</v>
      </c>
      <c r="B37" s="229" t="inlineStr">
        <is>
          <t>普通買進</t>
        </is>
      </c>
      <c r="C37" s="229" t="n">
        <v>6115</v>
      </c>
      <c r="D37" s="229">
        <f>VLOOKUP(C37,每日行情!A:B,2,FALSE)</f>
        <v/>
      </c>
      <c r="E37" s="229" t="n">
        <v>1000</v>
      </c>
      <c r="F37" s="229" t="n">
        <v>45.8</v>
      </c>
      <c r="G37" s="229">
        <f>E37*F37</f>
        <v/>
      </c>
      <c r="H37" s="229" t="n">
        <v>39</v>
      </c>
      <c r="I37" s="325" t="n">
        <v>42278</v>
      </c>
      <c r="J37" s="17" t="n">
        <v>31.3</v>
      </c>
      <c r="K37" s="229">
        <f>E37*J37</f>
        <v/>
      </c>
      <c r="L37" s="17" t="n">
        <v>26</v>
      </c>
      <c r="M37" s="229" t="n">
        <v>93</v>
      </c>
      <c r="N37" s="229" t="n">
        <v>0</v>
      </c>
      <c r="O37" s="584">
        <f>IF(I37="",E37*Y37,0)</f>
        <v/>
      </c>
      <c r="P37" s="585">
        <f>IF(I37="",R37-H37,(K37-H37-SUM(L37:N37)+R37-S37-T37)-G37)+(ROUND(R37*V37,0)-ROUND(R37*(1+V37),0)*W37)</f>
        <v/>
      </c>
      <c r="Q37" s="585">
        <f>IF(I37="",(O37-G37-(O37*0.1425%*0.65)-(O37*0.3%)-S37-T37),0)</f>
        <v/>
      </c>
      <c r="R37" s="585" t="n">
        <v>3500</v>
      </c>
      <c r="S37" s="585" t="n">
        <v>10</v>
      </c>
      <c r="T37" s="585">
        <f>IF(ROUND(R37*(1+V37),0)&gt;5000,ROUND(ROUND(R37*(1+V37),0)*2%,0),0)</f>
        <v/>
      </c>
      <c r="U37" s="65">
        <f>(V37*50%)/(1+50%*V37)</f>
        <v/>
      </c>
      <c r="V37" s="65" t="n">
        <v>0.11</v>
      </c>
      <c r="W37" s="66" t="n">
        <v>0.12</v>
      </c>
      <c r="X37" s="586">
        <f>(P37+Q37)/G37</f>
        <v/>
      </c>
      <c r="Y37" s="16">
        <f>VLOOKUP(C37,#REF!,3,FALSE)</f>
        <v/>
      </c>
      <c r="Z37" s="587" t="n"/>
      <c r="AA37" s="588">
        <f>((I37-A37)*G37)/365.24</f>
        <v/>
      </c>
    </row>
    <row r="38" collapsed="1">
      <c r="A38" s="231" t="n">
        <v>42110</v>
      </c>
      <c r="B38" s="232" t="n"/>
      <c r="C38" s="232" t="n">
        <v>93204</v>
      </c>
      <c r="D38" s="232" t="n"/>
      <c r="E38" s="232" t="n"/>
      <c r="F38" s="232" t="n"/>
      <c r="G38" s="232" t="n"/>
      <c r="H38" s="232" t="n"/>
      <c r="I38" s="233" t="n"/>
      <c r="J38" s="42" t="n"/>
      <c r="K38" s="232" t="n"/>
      <c r="L38" s="589" t="n"/>
      <c r="M38" s="232" t="n"/>
      <c r="N38" s="232" t="n"/>
      <c r="O38" s="590" t="n"/>
      <c r="P38" s="591" t="n">
        <v>-1070</v>
      </c>
      <c r="Q38" s="591" t="n"/>
      <c r="R38" s="591" t="n"/>
      <c r="S38" s="591" t="n"/>
      <c r="T38" s="591" t="n"/>
      <c r="U38" s="69" t="n"/>
      <c r="V38" s="69" t="n"/>
      <c r="W38" s="71" t="n"/>
      <c r="X38" s="592" t="n"/>
      <c r="Y38" s="42" t="n"/>
      <c r="Z38" s="47" t="n"/>
      <c r="AA38" s="588" t="n"/>
    </row>
    <row r="39" hidden="1" outlineLevel="1">
      <c r="A39" s="231" t="n">
        <v>42110</v>
      </c>
      <c r="B39" s="232" t="n"/>
      <c r="C39" s="232" t="n">
        <v>93205</v>
      </c>
      <c r="D39" s="232" t="n"/>
      <c r="E39" s="232" t="n"/>
      <c r="F39" s="232" t="n"/>
      <c r="G39" s="232" t="n"/>
      <c r="H39" s="232" t="n"/>
      <c r="I39" s="233" t="n"/>
      <c r="J39" s="42" t="n"/>
      <c r="K39" s="232" t="n"/>
      <c r="L39" s="589" t="n"/>
      <c r="M39" s="232" t="n"/>
      <c r="N39" s="232" t="n"/>
      <c r="O39" s="590" t="n"/>
      <c r="P39" s="591" t="n">
        <v>-1313</v>
      </c>
      <c r="Q39" s="591" t="n"/>
      <c r="R39" s="591" t="n"/>
      <c r="S39" s="591" t="n"/>
      <c r="T39" s="591" t="n"/>
      <c r="U39" s="69" t="n"/>
      <c r="V39" s="69" t="n"/>
      <c r="W39" s="71" t="n"/>
      <c r="X39" s="592" t="n"/>
      <c r="Y39" s="42" t="n"/>
      <c r="Z39" s="47" t="n"/>
      <c r="AA39" s="588">
        <f>((I39-A39)*G39)/365.24</f>
        <v/>
      </c>
    </row>
    <row r="40" hidden="1" outlineLevel="1">
      <c r="A40" s="231" t="n">
        <v>42110</v>
      </c>
      <c r="B40" s="232" t="n"/>
      <c r="C40" s="232" t="n">
        <v>93207</v>
      </c>
      <c r="D40" s="232" t="n"/>
      <c r="E40" s="232" t="n"/>
      <c r="F40" s="232" t="n"/>
      <c r="G40" s="232" t="n"/>
      <c r="H40" s="232" t="n"/>
      <c r="I40" s="233" t="n"/>
      <c r="J40" s="42" t="n"/>
      <c r="K40" s="232" t="n"/>
      <c r="L40" s="589" t="n"/>
      <c r="M40" s="232" t="n"/>
      <c r="N40" s="232" t="n"/>
      <c r="O40" s="590" t="n"/>
      <c r="P40" s="591" t="n">
        <v>-3606</v>
      </c>
      <c r="Q40" s="591" t="n"/>
      <c r="R40" s="591" t="n"/>
      <c r="S40" s="591" t="n"/>
      <c r="T40" s="591" t="n"/>
      <c r="U40" s="69" t="n"/>
      <c r="V40" s="69" t="n"/>
      <c r="W40" s="71" t="n"/>
      <c r="X40" s="592" t="n"/>
      <c r="Y40" s="42" t="n"/>
      <c r="Z40" s="47" t="n"/>
      <c r="AA40" s="588">
        <f>((I40-A40)*G40)/365.24</f>
        <v/>
      </c>
    </row>
    <row r="41" hidden="1" outlineLevel="1">
      <c r="A41" s="231" t="n">
        <v>42110</v>
      </c>
      <c r="B41" s="232" t="n"/>
      <c r="C41" s="232" t="n">
        <v>93211</v>
      </c>
      <c r="D41" s="232" t="n"/>
      <c r="E41" s="232" t="n"/>
      <c r="F41" s="232" t="n"/>
      <c r="G41" s="232" t="n"/>
      <c r="H41" s="232" t="n"/>
      <c r="I41" s="233" t="n"/>
      <c r="J41" s="42" t="n"/>
      <c r="K41" s="232" t="n"/>
      <c r="L41" s="589" t="n"/>
      <c r="M41" s="232" t="n"/>
      <c r="N41" s="232" t="n"/>
      <c r="O41" s="590" t="n"/>
      <c r="P41" s="591" t="n">
        <v>-2147</v>
      </c>
      <c r="Q41" s="591" t="n"/>
      <c r="R41" s="591" t="n"/>
      <c r="S41" s="591" t="n"/>
      <c r="T41" s="591" t="n"/>
      <c r="U41" s="69" t="n"/>
      <c r="V41" s="69" t="n"/>
      <c r="W41" s="71" t="n"/>
      <c r="X41" s="592" t="n"/>
      <c r="Y41" s="42" t="n"/>
      <c r="Z41" s="47" t="n"/>
      <c r="AA41" s="588">
        <f>((I41-A41)*G41)/365.24</f>
        <v/>
      </c>
    </row>
    <row r="42" hidden="1" outlineLevel="1">
      <c r="A42" s="228" t="n">
        <v>42111</v>
      </c>
      <c r="B42" s="229" t="inlineStr">
        <is>
          <t>普通買進</t>
        </is>
      </c>
      <c r="C42" s="229" t="n">
        <v>2330</v>
      </c>
      <c r="D42" s="229">
        <f>VLOOKUP(C42,每日行情!A:B,2,FALSE)</f>
        <v/>
      </c>
      <c r="E42" s="229" t="n">
        <v>1000</v>
      </c>
      <c r="F42" s="229" t="n">
        <v>143</v>
      </c>
      <c r="G42" s="229">
        <f>E42*F42</f>
        <v/>
      </c>
      <c r="H42" s="229" t="n">
        <v>122</v>
      </c>
      <c r="I42" s="325" t="n">
        <v>42123</v>
      </c>
      <c r="J42" s="17" t="n">
        <v>149.5</v>
      </c>
      <c r="K42" s="229">
        <f>E42*J42</f>
        <v/>
      </c>
      <c r="L42" s="17" t="n">
        <v>127</v>
      </c>
      <c r="M42" s="229" t="n">
        <v>448</v>
      </c>
      <c r="N42" s="229" t="n">
        <v>0</v>
      </c>
      <c r="O42" s="584">
        <f>IF(I42="",E42*Y42,0)</f>
        <v/>
      </c>
      <c r="P42" s="585">
        <f>IF(I42="",R42-H42,(K42-H42-SUM(L42:N42)+R42-S42-T42)-G42)+(ROUND(R42*V42,0)-ROUND(R42*(1+V42),0)*W42)</f>
        <v/>
      </c>
      <c r="Q42" s="585">
        <f>IF(I42="",(O42-G42-(O42*0.1425%*0.65)-(O42*0.3%)-S42-T42),0)</f>
        <v/>
      </c>
      <c r="R42" s="585" t="n"/>
      <c r="S42" s="585" t="n"/>
      <c r="T42" s="585">
        <f>IF(ROUND(R42*(1+V42),0)&gt;5000,ROUND(ROUND(R42*(1+V42),0)*2%,0),0)</f>
        <v/>
      </c>
      <c r="U42" s="65">
        <f>(V42*50%)/(1+50%*V42)</f>
        <v/>
      </c>
      <c r="V42" s="65" t="n"/>
      <c r="W42" s="66" t="n"/>
      <c r="X42" s="586">
        <f>(P42+Q42)/G42</f>
        <v/>
      </c>
      <c r="Y42" s="16">
        <f>VLOOKUP(C42,#REF!,3,FALSE)</f>
        <v/>
      </c>
      <c r="Z42" s="587" t="n"/>
      <c r="AA42" s="588">
        <f>((I42-A42)*G42)/365.24</f>
        <v/>
      </c>
    </row>
    <row r="43" hidden="1" outlineLevel="1">
      <c r="A43" s="228" t="n">
        <v>42121</v>
      </c>
      <c r="B43" s="229" t="inlineStr">
        <is>
          <t>普通買進</t>
        </is>
      </c>
      <c r="C43" s="229" t="n">
        <v>3265</v>
      </c>
      <c r="D43" s="229">
        <f>VLOOKUP(C43,每日行情!A:B,2,FALSE)</f>
        <v/>
      </c>
      <c r="E43" s="229" t="n">
        <v>1000</v>
      </c>
      <c r="F43" s="229" t="n">
        <v>45.55</v>
      </c>
      <c r="G43" s="229">
        <f>E43*F43</f>
        <v/>
      </c>
      <c r="H43" s="229" t="n">
        <v>38</v>
      </c>
      <c r="I43" s="324" t="n">
        <v>42187</v>
      </c>
      <c r="J43" s="17" t="n">
        <v>33.55</v>
      </c>
      <c r="K43" s="229">
        <f>E43*J43</f>
        <v/>
      </c>
      <c r="L43" s="17" t="n">
        <v>28</v>
      </c>
      <c r="M43" s="229" t="n">
        <v>100</v>
      </c>
      <c r="N43" s="229" t="n">
        <v>0</v>
      </c>
      <c r="O43" s="584">
        <f>IF(I43="",E43*Y43,0)</f>
        <v/>
      </c>
      <c r="P43" s="585">
        <f>IF(I43="",R43-H43,(K43-H43-SUM(L43:N43)+R43-S43-T43)-G43)+(ROUND(R43*V43,0)-ROUND(R43*(1+V43),0)*W43)</f>
        <v/>
      </c>
      <c r="Q43" s="585">
        <f>IF(I43="",(O43-G43-(O43*0.1425%*0.65)-(O43*0.3%)-S43-T43),0)</f>
        <v/>
      </c>
      <c r="R43" s="585" t="n">
        <v>2265</v>
      </c>
      <c r="S43" s="585" t="n">
        <v>5</v>
      </c>
      <c r="T43" s="585" t="n">
        <v>50</v>
      </c>
      <c r="U43" s="65">
        <f>(V43*50%)/(1+50%*V43)</f>
        <v/>
      </c>
      <c r="V43" s="65" t="n">
        <v>0.2153</v>
      </c>
      <c r="W43" s="66" t="n">
        <v>0.12</v>
      </c>
      <c r="X43" s="586">
        <f>(P43+Q43)/G43</f>
        <v/>
      </c>
      <c r="Y43" s="16">
        <f>VLOOKUP(C43,#REF!,3,FALSE)</f>
        <v/>
      </c>
      <c r="Z43" s="587" t="n"/>
      <c r="AA43" s="588">
        <f>((I43-A43)*G43)/365.24</f>
        <v/>
      </c>
    </row>
    <row r="44" hidden="1" outlineLevel="1">
      <c r="A44" s="228" t="n">
        <v>42122</v>
      </c>
      <c r="B44" s="229" t="inlineStr">
        <is>
          <t>普通買進</t>
        </is>
      </c>
      <c r="C44" s="229" t="n">
        <v>4938</v>
      </c>
      <c r="D44" s="229">
        <f>VLOOKUP(C44,每日行情!A:B,2,FALSE)</f>
        <v/>
      </c>
      <c r="E44" s="229" t="n">
        <v>1000</v>
      </c>
      <c r="F44" s="229" t="n">
        <v>92.5</v>
      </c>
      <c r="G44" s="229">
        <f>E44*F44</f>
        <v/>
      </c>
      <c r="H44" s="229" t="n">
        <v>79</v>
      </c>
      <c r="I44" s="325" t="n">
        <v>42156</v>
      </c>
      <c r="J44" s="17" t="n">
        <v>90.3</v>
      </c>
      <c r="K44" s="229">
        <f>E44*J44</f>
        <v/>
      </c>
      <c r="L44" s="17" t="n">
        <v>77</v>
      </c>
      <c r="M44" s="229" t="n">
        <v>270</v>
      </c>
      <c r="N44" s="229" t="n">
        <v>0</v>
      </c>
      <c r="O44" s="584">
        <f>IF(I44="",E44*Y44,0)</f>
        <v/>
      </c>
      <c r="P44" s="585">
        <f>IF(I44="",R44-H44,(K44-H44-SUM(L44:N44)+R44-S44-T44)-G44)+(ROUND(R44*V44,0)-ROUND(R44*(1+V44),0)*W44)</f>
        <v/>
      </c>
      <c r="Q44" s="585">
        <f>IF(I44="",(O44-G44-(O44*0.1425%*0.65)-(O44*0.3%)-S44-T44),0)</f>
        <v/>
      </c>
      <c r="R44" s="585" t="n"/>
      <c r="S44" s="585" t="n"/>
      <c r="T44" s="585">
        <f>IF(ROUND(R44*(1+V44),0)&gt;5000,ROUND(ROUND(R44*(1+V44),0)*2%,0),0)</f>
        <v/>
      </c>
      <c r="U44" s="65">
        <f>(V44*50%)/(1+50%*V44)</f>
        <v/>
      </c>
      <c r="V44" s="65" t="n"/>
      <c r="W44" s="66" t="n"/>
      <c r="X44" s="586">
        <f>(P44+Q44)/G44</f>
        <v/>
      </c>
      <c r="Y44" s="16">
        <f>VLOOKUP(C44,#REF!,3,FALSE)</f>
        <v/>
      </c>
      <c r="Z44" s="587" t="n"/>
      <c r="AA44" s="588">
        <f>((I44-A44)*G44)/365.24</f>
        <v/>
      </c>
    </row>
    <row r="45" hidden="1" outlineLevel="1">
      <c r="A45" s="228" t="n">
        <v>42123</v>
      </c>
      <c r="B45" s="229" t="inlineStr">
        <is>
          <t>普通買進</t>
        </is>
      </c>
      <c r="C45" s="229" t="n">
        <v>4938</v>
      </c>
      <c r="D45" s="229">
        <f>VLOOKUP(C45,每日行情!A:B,2,FALSE)</f>
        <v/>
      </c>
      <c r="E45" s="229" t="n">
        <v>1000</v>
      </c>
      <c r="F45" s="229" t="n">
        <v>92</v>
      </c>
      <c r="G45" s="229">
        <f>E45*F45</f>
        <v/>
      </c>
      <c r="H45" s="229" t="n">
        <v>78</v>
      </c>
      <c r="I45" s="325" t="n">
        <v>42136</v>
      </c>
      <c r="J45" s="17" t="n">
        <v>92.2</v>
      </c>
      <c r="K45" s="229">
        <f>E45*J45</f>
        <v/>
      </c>
      <c r="L45" s="17" t="n">
        <v>78</v>
      </c>
      <c r="M45" s="229" t="n">
        <v>276</v>
      </c>
      <c r="N45" s="229" t="n">
        <v>0</v>
      </c>
      <c r="O45" s="584">
        <f>IF(I45="",E45*Y45,0)</f>
        <v/>
      </c>
      <c r="P45" s="585">
        <f>IF(I45="",R45-H45,(K45-H45-SUM(L45:N45)+R45-S45-T45)-G45)+(ROUND(R45*V45,0)-ROUND(R45*(1+V45),0)*W45)</f>
        <v/>
      </c>
      <c r="Q45" s="585">
        <f>IF(I45="",(O45-G45-(O45*0.1425%*0.65)-(O45*0.3%)-S45-T45),0)</f>
        <v/>
      </c>
      <c r="R45" s="585" t="n"/>
      <c r="S45" s="585" t="n"/>
      <c r="T45" s="585">
        <f>IF(ROUND(R45*(1+V45),0)&gt;5000,ROUND(ROUND(R45*(1+V45),0)*2%,0),0)</f>
        <v/>
      </c>
      <c r="U45" s="65">
        <f>(V45*50%)/(1+50%*V45)</f>
        <v/>
      </c>
      <c r="V45" s="65" t="n"/>
      <c r="W45" s="66" t="n"/>
      <c r="X45" s="586">
        <f>(P45+Q45)/G45</f>
        <v/>
      </c>
      <c r="Y45" s="16">
        <f>VLOOKUP(C45,#REF!,3,FALSE)</f>
        <v/>
      </c>
      <c r="Z45" s="587" t="n"/>
      <c r="AA45" s="588">
        <f>((I45-A45)*G45)/365.24</f>
        <v/>
      </c>
    </row>
    <row r="46" hidden="1" outlineLevel="1">
      <c r="A46" s="228" t="n">
        <v>42123</v>
      </c>
      <c r="B46" s="229" t="inlineStr">
        <is>
          <t>普通買進</t>
        </is>
      </c>
      <c r="C46" s="229" t="n">
        <v>3265</v>
      </c>
      <c r="D46" s="229">
        <f>VLOOKUP(C46,每日行情!A:B,2,FALSE)</f>
        <v/>
      </c>
      <c r="E46" s="229" t="n">
        <v>1000</v>
      </c>
      <c r="F46" s="229" t="n">
        <v>45</v>
      </c>
      <c r="G46" s="229">
        <f>E46*F46</f>
        <v/>
      </c>
      <c r="H46" s="229" t="n">
        <v>38</v>
      </c>
      <c r="I46" s="325" t="n">
        <v>42194</v>
      </c>
      <c r="J46" s="17" t="n">
        <v>26.05</v>
      </c>
      <c r="K46" s="229">
        <f>E46*J46</f>
        <v/>
      </c>
      <c r="L46" s="17" t="n">
        <v>22</v>
      </c>
      <c r="M46" s="229" t="n">
        <v>78</v>
      </c>
      <c r="N46" s="229" t="n">
        <v>0</v>
      </c>
      <c r="O46" s="584">
        <f>IF(I46="",E46*Y46,0)</f>
        <v/>
      </c>
      <c r="P46" s="585">
        <f>IF(I46="",R46-H46,(K46-H46-SUM(L46:N46)+R46-S46-T46)-G46)+(ROUND(R46*V46,0)-ROUND(R46*(1+V46),0)*W46)</f>
        <v/>
      </c>
      <c r="Q46" s="585">
        <f>IF(I46="",(O46-G46-(O46*0.1425%*0.65)-(O46*0.3%)-S46-T46),0)</f>
        <v/>
      </c>
      <c r="R46" s="585" t="n">
        <v>2264</v>
      </c>
      <c r="S46" s="585" t="n">
        <v>5</v>
      </c>
      <c r="T46" s="585" t="n">
        <v>50</v>
      </c>
      <c r="U46" s="65">
        <f>(V46*50%)/(1+50%*V46)</f>
        <v/>
      </c>
      <c r="V46" s="65" t="n">
        <v>0.2153</v>
      </c>
      <c r="W46" s="66" t="n">
        <v>0.12</v>
      </c>
      <c r="X46" s="586">
        <f>(P46+Q46)/G46</f>
        <v/>
      </c>
      <c r="Y46" s="16">
        <f>VLOOKUP(C46,#REF!,3,FALSE)</f>
        <v/>
      </c>
      <c r="Z46" s="587" t="n"/>
      <c r="AA46" s="588">
        <f>((I46-A46)*G46)/365.24</f>
        <v/>
      </c>
    </row>
    <row r="47" hidden="1" outlineLevel="1">
      <c r="A47" s="228" t="n">
        <v>42131</v>
      </c>
      <c r="B47" s="229" t="inlineStr">
        <is>
          <t>普通買進</t>
        </is>
      </c>
      <c r="C47" s="229" t="n">
        <v>4938</v>
      </c>
      <c r="D47" s="229">
        <f>VLOOKUP(C47,每日行情!A:B,2,FALSE)</f>
        <v/>
      </c>
      <c r="E47" s="229" t="n">
        <v>1000</v>
      </c>
      <c r="F47" s="229" t="n">
        <v>92.5</v>
      </c>
      <c r="G47" s="229">
        <f>E47*F47</f>
        <v/>
      </c>
      <c r="H47" s="229" t="n">
        <v>79</v>
      </c>
      <c r="I47" s="325" t="n">
        <v>42192</v>
      </c>
      <c r="J47" s="17" t="n">
        <v>93.09999999999999</v>
      </c>
      <c r="K47" s="229">
        <f>E47*J47</f>
        <v/>
      </c>
      <c r="L47" s="17" t="n">
        <v>79</v>
      </c>
      <c r="M47" s="229" t="n">
        <v>279</v>
      </c>
      <c r="N47" s="229" t="n">
        <v>0</v>
      </c>
      <c r="O47" s="584">
        <f>IF(I47="",E47*Y47,0)</f>
        <v/>
      </c>
      <c r="P47" s="585">
        <f>IF(I47="",R47-H47,(K47-H47-SUM(L47:N47)+R47-S47-T47)-G47)+(ROUND(R47*V47,0)-ROUND(R47*(1+V47),0)*W47)</f>
        <v/>
      </c>
      <c r="Q47" s="585">
        <f>IF(I47="",(O47-G47-(O47*0.1425%*0.65)-(O47*0.3%)-S47-T47),0)</f>
        <v/>
      </c>
      <c r="R47" s="585" t="n"/>
      <c r="S47" s="585" t="n"/>
      <c r="T47" s="585">
        <f>IF(ROUND(R47*(1+V47),0)&gt;5000,ROUND(ROUND(R47*(1+V47),0)*2%,0),0)</f>
        <v/>
      </c>
      <c r="U47" s="65">
        <f>(V47*50%)/(1+50%*V47)</f>
        <v/>
      </c>
      <c r="V47" s="65" t="n"/>
      <c r="W47" s="66" t="n"/>
      <c r="X47" s="586">
        <f>(P47+Q47)/G47</f>
        <v/>
      </c>
      <c r="Y47" s="16">
        <f>VLOOKUP(C47,#REF!,3,FALSE)</f>
        <v/>
      </c>
      <c r="Z47" s="587" t="n"/>
      <c r="AA47" s="588">
        <f>((I47-A47)*G47)/365.24</f>
        <v/>
      </c>
    </row>
    <row r="48" hidden="1" outlineLevel="1">
      <c r="A48" s="228" t="n">
        <v>42135</v>
      </c>
      <c r="B48" s="229" t="inlineStr">
        <is>
          <t>普通買進</t>
        </is>
      </c>
      <c r="C48" s="229" t="n">
        <v>2330</v>
      </c>
      <c r="D48" s="229">
        <f>VLOOKUP(C48,每日行情!A:B,2,FALSE)</f>
        <v/>
      </c>
      <c r="E48" s="229" t="n">
        <v>1000</v>
      </c>
      <c r="F48" s="229" t="n">
        <v>147.5</v>
      </c>
      <c r="G48" s="229">
        <f>E48*F48</f>
        <v/>
      </c>
      <c r="H48" s="229" t="n">
        <v>126</v>
      </c>
      <c r="I48" s="325" t="n">
        <v>42157</v>
      </c>
      <c r="J48" s="17" t="n">
        <v>144</v>
      </c>
      <c r="K48" s="229">
        <f>E48*J48</f>
        <v/>
      </c>
      <c r="L48" s="17" t="n">
        <v>123</v>
      </c>
      <c r="M48" s="229" t="n">
        <v>432</v>
      </c>
      <c r="N48" s="229" t="n">
        <v>0</v>
      </c>
      <c r="O48" s="584">
        <f>IF(I48="",E48*Y48,0)</f>
        <v/>
      </c>
      <c r="P48" s="585">
        <f>IF(I48="",R48-H48,(K48-H48-SUM(L48:N48)+R48-S48-T48)-G48)+(ROUND(R48*V48,0)-ROUND(R48*(1+V48),0)*W48)</f>
        <v/>
      </c>
      <c r="Q48" s="585">
        <f>IF(I48="",(O48-G48-(O48*0.1425%*0.65)-(O48*0.3%)-S48-T48),0)</f>
        <v/>
      </c>
      <c r="R48" s="585" t="n"/>
      <c r="S48" s="585" t="n"/>
      <c r="T48" s="585">
        <f>IF(ROUND(R48*(1+V48),0)&gt;5000,ROUND(ROUND(R48*(1+V48),0)*2%,0),0)</f>
        <v/>
      </c>
      <c r="U48" s="65">
        <f>(V48*50%)/(1+50%*V48)</f>
        <v/>
      </c>
      <c r="V48" s="65" t="n"/>
      <c r="W48" s="66" t="n"/>
      <c r="X48" s="586">
        <f>(P48+Q48)/G48</f>
        <v/>
      </c>
      <c r="Y48" s="16">
        <f>VLOOKUP(C48,#REF!,3,FALSE)</f>
        <v/>
      </c>
      <c r="Z48" s="587" t="n"/>
      <c r="AA48" s="588">
        <f>((I48-A48)*G48)/365.24</f>
        <v/>
      </c>
    </row>
    <row r="49" hidden="1" outlineLevel="1">
      <c r="A49" s="228" t="n">
        <v>42135</v>
      </c>
      <c r="B49" s="229" t="inlineStr">
        <is>
          <t>普通買進</t>
        </is>
      </c>
      <c r="C49" s="229" t="n">
        <v>2881</v>
      </c>
      <c r="D49" s="229">
        <f>VLOOKUP(C49,每日行情!A:B,2,FALSE)</f>
        <v/>
      </c>
      <c r="E49" s="229" t="n">
        <v>1000</v>
      </c>
      <c r="F49" s="229" t="n">
        <v>67.40000000000001</v>
      </c>
      <c r="G49" s="229">
        <f>E49*F49</f>
        <v/>
      </c>
      <c r="H49" s="229" t="n">
        <v>57</v>
      </c>
      <c r="I49" s="325" t="n">
        <v>42235</v>
      </c>
      <c r="J49" s="17" t="n">
        <v>49.95</v>
      </c>
      <c r="K49" s="229">
        <f>E49*J49</f>
        <v/>
      </c>
      <c r="L49" s="17" t="n">
        <v>42</v>
      </c>
      <c r="M49" s="229" t="n">
        <v>149</v>
      </c>
      <c r="N49" s="229" t="n">
        <v>0</v>
      </c>
      <c r="O49" s="584">
        <f>IF(I49="",E49*Y49,0)</f>
        <v/>
      </c>
      <c r="P49" s="585">
        <f>IF(I49="",R49-H49,(K49-H49-SUM(L49:N49)+R49-S49-T49)-G49)+(ROUND(R49*V49,0)-ROUND(R49*(1+V49),0)*W49)</f>
        <v/>
      </c>
      <c r="Q49" s="585">
        <f>IF(I49="",(O49-G49-(O49*0.1425%*0.65)-(O49*0.3%)-S49-T49),0)</f>
        <v/>
      </c>
      <c r="R49" s="585" t="n">
        <v>3000</v>
      </c>
      <c r="S49" s="585" t="n">
        <v>10</v>
      </c>
      <c r="T49" s="585">
        <f>IF(ROUND(R49*(1+V49),0)&gt;5000,ROUND(ROUND(R49*(1+V49),0)*2%,0),0)</f>
        <v/>
      </c>
      <c r="U49" s="65">
        <f>(V49*50%)/(1+50%*V49)</f>
        <v/>
      </c>
      <c r="V49" s="65" t="n">
        <v>0.1269</v>
      </c>
      <c r="W49" s="66" t="n">
        <v>0.12</v>
      </c>
      <c r="X49" s="586">
        <f>(P49+Q49)/G49</f>
        <v/>
      </c>
      <c r="Y49" s="16">
        <f>VLOOKUP(C49,#REF!,3,FALSE)</f>
        <v/>
      </c>
      <c r="Z49" s="587" t="n"/>
      <c r="AA49" s="588">
        <f>((I49-A49)*G49)/365.24</f>
        <v/>
      </c>
    </row>
    <row r="50" hidden="1" outlineLevel="1">
      <c r="A50" s="228" t="n">
        <v>42139</v>
      </c>
      <c r="B50" s="229" t="inlineStr">
        <is>
          <t>普通買進</t>
        </is>
      </c>
      <c r="C50" s="229" t="n">
        <v>3231</v>
      </c>
      <c r="D50" s="229">
        <f>VLOOKUP(C50,每日行情!A:B,2,FALSE)</f>
        <v/>
      </c>
      <c r="E50" s="229" t="n">
        <v>1000</v>
      </c>
      <c r="F50" s="229" t="n">
        <v>25.7</v>
      </c>
      <c r="G50" s="229">
        <f>E50*F50</f>
        <v/>
      </c>
      <c r="H50" s="229" t="n">
        <v>21</v>
      </c>
      <c r="I50" s="324" t="n">
        <v>42187</v>
      </c>
      <c r="J50" s="17" t="n">
        <v>24.15</v>
      </c>
      <c r="K50" s="229">
        <f>E50*J50</f>
        <v/>
      </c>
      <c r="L50" s="17" t="n">
        <v>20</v>
      </c>
      <c r="M50" s="229" t="n">
        <v>72</v>
      </c>
      <c r="N50" s="229" t="n">
        <v>0</v>
      </c>
      <c r="O50" s="584">
        <f>IF(I50="",E50*Y50,0)</f>
        <v/>
      </c>
      <c r="P50" s="585">
        <f>IF(I50="",R50-H50,(K50-H50-SUM(L50:N50)+R50-S50-T50)-G50)+(ROUND(R50*V50,0)-ROUND(R50*(1+V50),0)*W50)</f>
        <v/>
      </c>
      <c r="Q50" s="585">
        <f>IF(I50="",(O50-G50-(O50*0.1425%*0.65)-(O50*0.3%)-S50-T50),0)</f>
        <v/>
      </c>
      <c r="R50" s="585" t="n"/>
      <c r="S50" s="585" t="n"/>
      <c r="T50" s="585">
        <f>IF(ROUND(R50*(1+V50),0)&gt;5000,ROUND(ROUND(R50*(1+V50),0)*2%,0),0)</f>
        <v/>
      </c>
      <c r="U50" s="65">
        <f>(V50*50%)/(1+50%*V50)</f>
        <v/>
      </c>
      <c r="V50" s="65" t="n"/>
      <c r="W50" s="66" t="n"/>
      <c r="X50" s="586">
        <f>(P50+Q50)/G50</f>
        <v/>
      </c>
      <c r="Y50" s="16">
        <f>VLOOKUP(C50,#REF!,3,FALSE)</f>
        <v/>
      </c>
      <c r="Z50" s="587" t="n"/>
      <c r="AA50" s="588">
        <f>((I50-A50)*G50)/365.24</f>
        <v/>
      </c>
    </row>
    <row r="51" hidden="1" outlineLevel="1">
      <c r="A51" s="228" t="n">
        <v>42150</v>
      </c>
      <c r="B51" s="229" t="inlineStr">
        <is>
          <t>普通買進</t>
        </is>
      </c>
      <c r="C51" s="229" t="n">
        <v>5225</v>
      </c>
      <c r="D51" s="229">
        <f>VLOOKUP(C51,每日行情!A:B,2,FALSE)</f>
        <v/>
      </c>
      <c r="E51" s="229" t="n">
        <v>1000</v>
      </c>
      <c r="F51" s="229" t="n">
        <v>67.40000000000001</v>
      </c>
      <c r="G51" s="229">
        <f>E51*F51</f>
        <v/>
      </c>
      <c r="H51" s="229" t="n">
        <v>57</v>
      </c>
      <c r="I51" s="325" t="n">
        <v>42185</v>
      </c>
      <c r="J51" s="17" t="n">
        <v>48.4</v>
      </c>
      <c r="K51" s="229">
        <f>E51*J51</f>
        <v/>
      </c>
      <c r="L51" s="17" t="n">
        <v>41</v>
      </c>
      <c r="M51" s="229" t="n">
        <v>145</v>
      </c>
      <c r="N51" s="229" t="n">
        <v>0</v>
      </c>
      <c r="O51" s="584">
        <f>IF(I51="",E51*Y51,0)</f>
        <v/>
      </c>
      <c r="P51" s="585">
        <f>IF(I51="",R51-H51,(K51-H51-SUM(L51:N51)+R51-S51-T51)-G51)+(ROUND(R51*V51,0)-ROUND(R51*(1+V51),0)*W51)</f>
        <v/>
      </c>
      <c r="Q51" s="585">
        <f>IF(I51="",(O51-G51-(O51*0.1425%*0.65)-(O51*0.3%)-S51-T51),0)</f>
        <v/>
      </c>
      <c r="R51" s="585" t="n">
        <v>5000</v>
      </c>
      <c r="S51" s="585" t="n">
        <v>10</v>
      </c>
      <c r="T51" s="585">
        <f>IF(ROUND(R51*(1+V51),0)&gt;5000,ROUND(ROUND(R51*(1+V51),0)*2%,0),0)</f>
        <v/>
      </c>
      <c r="U51" s="65">
        <f>(V51*50%)/(1+50%*V51)</f>
        <v/>
      </c>
      <c r="V51" s="65" t="n">
        <v>0</v>
      </c>
      <c r="W51" s="66" t="n">
        <v>0.12</v>
      </c>
      <c r="X51" s="586">
        <f>(P51+Q51)/G51</f>
        <v/>
      </c>
      <c r="Y51" s="16">
        <f>VLOOKUP(C51,#REF!,3,FALSE)</f>
        <v/>
      </c>
      <c r="Z51" s="587" t="n"/>
      <c r="AA51" s="588">
        <f>((I51-A51)*G51)/365.24</f>
        <v/>
      </c>
    </row>
    <row r="52" hidden="1" outlineLevel="1">
      <c r="A52" s="228" t="n">
        <v>42159</v>
      </c>
      <c r="B52" s="229" t="inlineStr">
        <is>
          <t>普通買進</t>
        </is>
      </c>
      <c r="C52" s="229" t="n">
        <v>1813</v>
      </c>
      <c r="D52" s="229">
        <f>VLOOKUP(C52,每日行情!A:B,2,FALSE)</f>
        <v/>
      </c>
      <c r="E52" s="229" t="n">
        <v>1000</v>
      </c>
      <c r="F52" s="229" t="n">
        <v>30</v>
      </c>
      <c r="G52" s="229">
        <f>E52*F52</f>
        <v/>
      </c>
      <c r="H52" s="229" t="n">
        <v>25</v>
      </c>
      <c r="I52" s="325" t="n">
        <v>42186</v>
      </c>
      <c r="J52" s="17" t="n">
        <v>25.65</v>
      </c>
      <c r="K52" s="229">
        <f>E52*J52</f>
        <v/>
      </c>
      <c r="L52" s="17" t="n">
        <v>21</v>
      </c>
      <c r="M52" s="229" t="n">
        <v>76</v>
      </c>
      <c r="N52" s="229" t="n">
        <v>0</v>
      </c>
      <c r="O52" s="584">
        <f>IF(I52="",E52*Y52,0)</f>
        <v/>
      </c>
      <c r="P52" s="585">
        <f>IF(I52="",R52-H52,(K52-H52-SUM(L52:N52)+R52-S52-T52)-G52)+(ROUND(R52*V52,0)-ROUND(R52*(1+V52),0)*W52)</f>
        <v/>
      </c>
      <c r="Q52" s="585">
        <f>IF(I52="",(O52-G52-(O52*0.1425%*0.65)-(O52*0.3%)-S52-T52),0)</f>
        <v/>
      </c>
      <c r="R52" s="585" t="n">
        <v>1000</v>
      </c>
      <c r="S52" s="585" t="n">
        <v>10</v>
      </c>
      <c r="T52" s="585">
        <f>IF(ROUND(R52*(1+V52),0)&gt;5000,ROUND(ROUND(R52*(1+V52),0)*2%,0),0)</f>
        <v/>
      </c>
      <c r="U52" s="65">
        <f>(V52*50%)/(1+50%*V52)</f>
        <v/>
      </c>
      <c r="V52" s="65" t="n">
        <v>0.2953</v>
      </c>
      <c r="W52" s="66" t="n">
        <v>0.12</v>
      </c>
      <c r="X52" s="586">
        <f>(P52+Q52)/G52</f>
        <v/>
      </c>
      <c r="Y52" s="16">
        <f>VLOOKUP(C52,#REF!,3,FALSE)</f>
        <v/>
      </c>
      <c r="Z52" s="587" t="n"/>
      <c r="AA52" s="588">
        <f>((I52-A52)*G52)/365.24</f>
        <v/>
      </c>
    </row>
    <row r="53" hidden="1" outlineLevel="1">
      <c r="A53" s="228" t="n">
        <v>42166</v>
      </c>
      <c r="B53" s="229" t="inlineStr">
        <is>
          <t>普通買進</t>
        </is>
      </c>
      <c r="C53" s="229" t="n">
        <v>8942</v>
      </c>
      <c r="D53" s="229">
        <f>VLOOKUP(C53,每日行情!A:B,2,FALSE)</f>
        <v/>
      </c>
      <c r="E53" s="229" t="n">
        <v>1000</v>
      </c>
      <c r="F53" s="229" t="n">
        <v>101.5</v>
      </c>
      <c r="G53" s="229">
        <f>E53*F53</f>
        <v/>
      </c>
      <c r="H53" s="229" t="n">
        <v>86</v>
      </c>
      <c r="I53" s="325" t="n">
        <v>42187</v>
      </c>
      <c r="J53" s="17" t="n">
        <v>92.2</v>
      </c>
      <c r="K53" s="229">
        <f>E53*J53</f>
        <v/>
      </c>
      <c r="L53" s="17" t="n">
        <v>78</v>
      </c>
      <c r="M53" s="229" t="n">
        <v>296</v>
      </c>
      <c r="N53" s="229" t="n">
        <v>0</v>
      </c>
      <c r="O53" s="584">
        <f>IF(I53="",E53*Y53,0)</f>
        <v/>
      </c>
      <c r="P53" s="585">
        <f>IF(I53="",R53-H53,(K53-H53-SUM(L53:N53)+R53-S53-T53)-G53)+(ROUND(R53*V53,0)-ROUND(R53*(1+V53),0)*W53)</f>
        <v/>
      </c>
      <c r="Q53" s="585">
        <f>IF(I53="",(O53-G53-(O53*0.1425%*0.65)-(O53*0.3%)-S53-T53),0)</f>
        <v/>
      </c>
      <c r="R53" s="585" t="n">
        <v>3998</v>
      </c>
      <c r="S53" s="585" t="n">
        <v>10</v>
      </c>
      <c r="T53" s="585">
        <f>IF(ROUND(R53*(1+V53),0)&gt;5000,ROUND(ROUND(R53*(1+V53),0)*2%,0),0)</f>
        <v/>
      </c>
      <c r="U53" s="65">
        <f>(V53*50%)/(1+50%*V53)</f>
        <v/>
      </c>
      <c r="V53" s="65" t="n">
        <v>0.2483</v>
      </c>
      <c r="W53" s="66" t="n">
        <v>0.12</v>
      </c>
      <c r="X53" s="586">
        <f>(P53+Q53)/G53</f>
        <v/>
      </c>
      <c r="Y53" s="16">
        <f>VLOOKUP(C53,#REF!,3,FALSE)</f>
        <v/>
      </c>
      <c r="Z53" s="587" t="n"/>
      <c r="AA53" s="588">
        <f>((I53-A53)*G53)/365.24</f>
        <v/>
      </c>
    </row>
    <row r="54" hidden="1" outlineLevel="1">
      <c r="A54" s="228" t="n">
        <v>42171</v>
      </c>
      <c r="B54" s="229" t="inlineStr">
        <is>
          <t>普通買進</t>
        </is>
      </c>
      <c r="C54" s="229" t="n">
        <v>4144</v>
      </c>
      <c r="D54" s="229">
        <f>VLOOKUP(C54,每日行情!A:B,2,FALSE)</f>
        <v/>
      </c>
      <c r="E54" s="229" t="n">
        <v>1000</v>
      </c>
      <c r="F54" s="229" t="n">
        <v>67.40000000000001</v>
      </c>
      <c r="G54" s="229">
        <f>E54*F54</f>
        <v/>
      </c>
      <c r="H54" s="229" t="n">
        <v>57</v>
      </c>
      <c r="I54" s="325" t="n">
        <v>42180</v>
      </c>
      <c r="J54" s="17" t="n">
        <v>65.2</v>
      </c>
      <c r="K54" s="229">
        <f>E54*J54</f>
        <v/>
      </c>
      <c r="L54" s="17" t="n">
        <v>55</v>
      </c>
      <c r="M54" s="229" t="n">
        <v>195</v>
      </c>
      <c r="N54" s="229" t="n">
        <v>0</v>
      </c>
      <c r="O54" s="584">
        <f>IF(I54="",E54*Y54,0)</f>
        <v/>
      </c>
      <c r="P54" s="585">
        <f>IF(I54="",R54-H54,(K54-H54-SUM(L54:N54)+R54-S54-T54)-G54)+(ROUND(R54*V54,0)-ROUND(R54*(1+V54),0)*W54)</f>
        <v/>
      </c>
      <c r="Q54" s="585">
        <f>IF(I54="",(O54-G54-(O54*0.1425%*0.65)-(O54*0.3%)-S54-T54),0)</f>
        <v/>
      </c>
      <c r="R54" s="585" t="n">
        <v>3616</v>
      </c>
      <c r="S54" s="585" t="n">
        <v>10</v>
      </c>
      <c r="T54" s="585">
        <f>IF(ROUND(R54*(1+V54),0)&gt;5000,ROUND(ROUND(R54*(1+V54),0)*2%,0),0)</f>
        <v/>
      </c>
      <c r="U54" s="65">
        <f>(V54*50%)/(1+50%*V54)</f>
        <v/>
      </c>
      <c r="V54" s="65" t="n">
        <v>0</v>
      </c>
      <c r="W54" s="66" t="n">
        <v>0.12</v>
      </c>
      <c r="X54" s="586">
        <f>(P54+Q54)/G54</f>
        <v/>
      </c>
      <c r="Y54" s="16">
        <f>VLOOKUP(C54,#REF!,3,FALSE)</f>
        <v/>
      </c>
      <c r="Z54" s="587" t="n"/>
      <c r="AA54" s="588">
        <f>((I54-A54)*G54)/365.24</f>
        <v/>
      </c>
    </row>
    <row r="55" hidden="1" outlineLevel="1">
      <c r="A55" s="228" t="n">
        <v>42180</v>
      </c>
      <c r="B55" s="229" t="inlineStr">
        <is>
          <t>普通買進</t>
        </is>
      </c>
      <c r="C55" s="229" t="n">
        <v>3045</v>
      </c>
      <c r="D55" s="229">
        <f>VLOOKUP(C55,每日行情!A:B,2,FALSE)</f>
        <v/>
      </c>
      <c r="E55" s="229" t="n">
        <v>1000</v>
      </c>
      <c r="F55" s="229" t="n">
        <v>108</v>
      </c>
      <c r="G55" s="229">
        <f>E55*F55</f>
        <v/>
      </c>
      <c r="H55" s="229" t="n">
        <v>92</v>
      </c>
      <c r="I55" s="325" t="n">
        <v>42184</v>
      </c>
      <c r="J55" s="17" t="n">
        <v>103</v>
      </c>
      <c r="K55" s="229">
        <f>E55*J55</f>
        <v/>
      </c>
      <c r="L55" s="17" t="n">
        <v>88</v>
      </c>
      <c r="M55" s="229" t="n">
        <v>309</v>
      </c>
      <c r="N55" s="229" t="n">
        <v>0</v>
      </c>
      <c r="O55" s="584">
        <f>IF(I55="",E55*Y55,0)</f>
        <v/>
      </c>
      <c r="P55" s="585">
        <f>IF(I55="",R55-H55,(K55-H55-SUM(L55:N55)+R55-S55-T55)-G55)+(ROUND(R55*V55,0)-ROUND(R55*(1+V55),0)*W55)</f>
        <v/>
      </c>
      <c r="Q55" s="585">
        <f>IF(I55="",(O55-G55-(O55*0.1425%*0.65)-(O55*0.3%)-S55-T55),0)</f>
        <v/>
      </c>
      <c r="R55" s="585" t="n">
        <v>5600</v>
      </c>
      <c r="S55" s="585" t="n">
        <v>10</v>
      </c>
      <c r="T55" s="585" t="n">
        <v>121</v>
      </c>
      <c r="U55" s="65">
        <f>(V55*50%)/(1+50%*V55)</f>
        <v/>
      </c>
      <c r="V55" s="65" t="n">
        <v>0.1606</v>
      </c>
      <c r="W55" s="66" t="n">
        <v>0.12</v>
      </c>
      <c r="X55" s="586">
        <f>(P55+Q55)/G55</f>
        <v/>
      </c>
      <c r="Y55" s="16">
        <f>VLOOKUP(C55,#REF!,3,FALSE)</f>
        <v/>
      </c>
      <c r="Z55" s="587" t="n"/>
      <c r="AA55" s="588">
        <f>((I55-A55)*G55)/365.24</f>
        <v/>
      </c>
    </row>
    <row r="56" hidden="1" outlineLevel="1">
      <c r="A56" s="228" t="n">
        <v>42184</v>
      </c>
      <c r="B56" s="229" t="inlineStr">
        <is>
          <t>普通買進</t>
        </is>
      </c>
      <c r="C56" s="229" t="n">
        <v>2330</v>
      </c>
      <c r="D56" s="229">
        <f>VLOOKUP(C56,每日行情!A:B,2,FALSE)</f>
        <v/>
      </c>
      <c r="E56" s="229" t="n">
        <v>1000</v>
      </c>
      <c r="F56" s="229" t="n">
        <v>140</v>
      </c>
      <c r="G56" s="229">
        <f>E56*F56</f>
        <v/>
      </c>
      <c r="H56" s="229" t="n">
        <v>119</v>
      </c>
      <c r="I56" s="325" t="n">
        <v>42192</v>
      </c>
      <c r="J56" s="17" t="n">
        <v>141.5</v>
      </c>
      <c r="K56" s="229">
        <f>E56*J56</f>
        <v/>
      </c>
      <c r="L56" s="17" t="n">
        <v>120</v>
      </c>
      <c r="M56" s="229" t="n">
        <v>424</v>
      </c>
      <c r="N56" s="229" t="n">
        <v>0</v>
      </c>
      <c r="O56" s="584">
        <f>IF(I56="",E56*Y56,0)</f>
        <v/>
      </c>
      <c r="P56" s="585">
        <f>IF(I56="",R56-H56,(K56-H56-SUM(L56:N56)+R56-S56-T56)-G56)+(ROUND(R56*V56,0)-ROUND(R56*(1+V56),0)*W56)</f>
        <v/>
      </c>
      <c r="Q56" s="585">
        <f>IF(I56="",(O56-G56-(O56*0.1425%*0.65)-(O56*0.3%)-S56-T56),0)</f>
        <v/>
      </c>
      <c r="R56" s="585" t="n"/>
      <c r="S56" s="585" t="n"/>
      <c r="T56" s="585">
        <f>IF(ROUND(R56*(1+V56),0)&gt;5000,ROUND(ROUND(R56*(1+V56),0)*2%,0),0)</f>
        <v/>
      </c>
      <c r="U56" s="65">
        <f>(V56*50%)/(1+50%*V56)</f>
        <v/>
      </c>
      <c r="V56" s="65" t="n"/>
      <c r="W56" s="66" t="n"/>
      <c r="X56" s="586">
        <f>(P56+Q56)/G56</f>
        <v/>
      </c>
      <c r="Y56" s="16">
        <f>VLOOKUP(C56,#REF!,3,FALSE)</f>
        <v/>
      </c>
      <c r="Z56" s="587" t="n"/>
      <c r="AA56" s="588">
        <f>((I56-A56)*G56)/365.24</f>
        <v/>
      </c>
    </row>
    <row r="57" collapsed="1">
      <c r="A57" s="228" t="n">
        <v>42186</v>
      </c>
      <c r="B57" s="229" t="inlineStr">
        <is>
          <t>普通買進</t>
        </is>
      </c>
      <c r="C57" s="229" t="n">
        <v>1710</v>
      </c>
      <c r="D57" s="229">
        <f>VLOOKUP(C57,每日行情!A:B,2,FALSE)</f>
        <v/>
      </c>
      <c r="E57" s="229" t="n">
        <v>1000</v>
      </c>
      <c r="F57" s="229" t="n">
        <v>24.4</v>
      </c>
      <c r="G57" s="229">
        <f>E57*F57</f>
        <v/>
      </c>
      <c r="H57" s="229" t="n">
        <v>20</v>
      </c>
      <c r="I57" s="325" t="n">
        <v>42194</v>
      </c>
      <c r="J57" s="16" t="n">
        <v>21.3</v>
      </c>
      <c r="K57" s="229">
        <f>E57*J57</f>
        <v/>
      </c>
      <c r="L57" s="792" t="n">
        <v>20</v>
      </c>
      <c r="M57" s="229" t="n">
        <v>64</v>
      </c>
      <c r="N57" s="229" t="n">
        <v>0</v>
      </c>
      <c r="O57" s="584">
        <f>IF(I57="",E57*Y57,0)</f>
        <v/>
      </c>
      <c r="P57" s="585">
        <f>IF(I57="",R57-H57,(K57-H57-SUM(L57:N57)+R57-S57-T57)-G57)+(ROUND(R57*V57,0)-ROUND(R57*(1+V57),0)*W57)</f>
        <v/>
      </c>
      <c r="Q57" s="585">
        <f>IF(I57="",(O57-G57-(O57*0.1425%*0.65)-(O57*0.3%)-S57-T57),0)</f>
        <v/>
      </c>
      <c r="R57" s="585" t="n">
        <v>1000</v>
      </c>
      <c r="S57" s="585" t="n">
        <v>5</v>
      </c>
      <c r="T57" s="585">
        <f>IF(ROUND(R57*(1+V57),0)&gt;5000,ROUND(ROUND(R57*(1+V57),0)*2%,0),0)</f>
        <v/>
      </c>
      <c r="U57" s="65">
        <f>(V57*50%)/(1+50%*V57)</f>
        <v/>
      </c>
      <c r="V57" s="65" t="n">
        <v>0.3471</v>
      </c>
      <c r="W57" s="66" t="n">
        <v>0.12</v>
      </c>
      <c r="X57" s="586">
        <f>(P57+Q57)/G57</f>
        <v/>
      </c>
      <c r="Y57" s="16">
        <f>VLOOKUP(C57,#REF!,3,FALSE)</f>
        <v/>
      </c>
      <c r="Z57" s="587" t="n"/>
      <c r="AA57" s="588">
        <f>((I57-A57)*G57)/365.24</f>
        <v/>
      </c>
    </row>
    <row r="58" hidden="1" outlineLevel="1">
      <c r="A58" s="228" t="n">
        <v>42186</v>
      </c>
      <c r="B58" s="229" t="inlineStr">
        <is>
          <t>普通買進</t>
        </is>
      </c>
      <c r="C58" s="229" t="n">
        <v>1710</v>
      </c>
      <c r="D58" s="229">
        <f>VLOOKUP(C58,每日行情!A:B,2,FALSE)</f>
        <v/>
      </c>
      <c r="E58" s="229" t="n">
        <v>1000</v>
      </c>
      <c r="F58" s="229" t="n">
        <v>24.4</v>
      </c>
      <c r="G58" s="229">
        <f>E58*F58</f>
        <v/>
      </c>
      <c r="H58" s="229" t="n">
        <v>20</v>
      </c>
      <c r="I58" s="324" t="n">
        <v>42187</v>
      </c>
      <c r="J58" s="16" t="n">
        <v>23.35</v>
      </c>
      <c r="K58" s="229">
        <f>E58*J58</f>
        <v/>
      </c>
      <c r="L58" s="792" t="n">
        <v>20</v>
      </c>
      <c r="M58" s="229" t="n">
        <v>70</v>
      </c>
      <c r="N58" s="229" t="n">
        <v>0</v>
      </c>
      <c r="O58" s="584">
        <f>IF(I58="",E58*Y58,0)</f>
        <v/>
      </c>
      <c r="P58" s="585">
        <f>IF(I58="",R58-H58,(K58-H58-SUM(L58:N58)+R58-S58-T58)-G58)+(ROUND(R58*V58,0)-ROUND(R58*(1+V58),0)*W58)</f>
        <v/>
      </c>
      <c r="Q58" s="585">
        <f>IF(I58="",(O58-G58-(O58*0.1425%*0.65)-(O58*0.3%)-S58-T58),0)</f>
        <v/>
      </c>
      <c r="R58" s="585" t="n">
        <v>1000</v>
      </c>
      <c r="S58" s="585" t="n">
        <v>5</v>
      </c>
      <c r="T58" s="585">
        <f>IF(ROUND(R58*(1+V58),0)&gt;5000,ROUND(ROUND(R58*(1+V58),0)*2%,0),0)</f>
        <v/>
      </c>
      <c r="U58" s="65">
        <f>(V58*50%)/(1+50%*V58)</f>
        <v/>
      </c>
      <c r="V58" s="65" t="n">
        <v>0.3471</v>
      </c>
      <c r="W58" s="66" t="n">
        <v>0.12</v>
      </c>
      <c r="X58" s="586">
        <f>(P58+Q58)/G58</f>
        <v/>
      </c>
      <c r="Y58" s="16">
        <f>VLOOKUP(C58,#REF!,3,FALSE)</f>
        <v/>
      </c>
      <c r="Z58" s="587" t="n"/>
      <c r="AA58" s="588">
        <f>((I58-A58)*G58)/365.24</f>
        <v/>
      </c>
    </row>
    <row r="59" hidden="1" outlineLevel="1">
      <c r="A59" s="228" t="n">
        <v>42187</v>
      </c>
      <c r="B59" s="229" t="inlineStr">
        <is>
          <t>普通買進</t>
        </is>
      </c>
      <c r="C59" s="229" t="n">
        <v>8401</v>
      </c>
      <c r="D59" s="229">
        <f>VLOOKUP(C59,每日行情!A:B,2,FALSE)</f>
        <v/>
      </c>
      <c r="E59" s="229" t="n">
        <v>1000</v>
      </c>
      <c r="F59" s="229" t="n">
        <v>15.15</v>
      </c>
      <c r="G59" s="229">
        <f>E59*F59</f>
        <v/>
      </c>
      <c r="H59" s="229" t="n">
        <v>20</v>
      </c>
      <c r="I59" s="325" t="n">
        <v>42194</v>
      </c>
      <c r="J59" s="17" t="n">
        <v>13.2</v>
      </c>
      <c r="K59" s="229">
        <f>E59*J59</f>
        <v/>
      </c>
      <c r="L59" s="17" t="n">
        <v>20</v>
      </c>
      <c r="M59" s="229" t="n">
        <v>39</v>
      </c>
      <c r="N59" s="229" t="n">
        <v>0</v>
      </c>
      <c r="O59" s="584">
        <f>IF(I59="",E59*Y59,0)</f>
        <v/>
      </c>
      <c r="P59" s="585">
        <f>IF(I59="",R59-H59,(K59-H59-SUM(L59:N59)+R59-S59-T59)-G59)+(ROUND(R59*V59,0)-ROUND(R59*(1+V59),0)*W59)</f>
        <v/>
      </c>
      <c r="Q59" s="585">
        <f>IF(I59="",(O59-G59-(O59*0.1425%*0.65)-(O59*0.3%)-S59-T59),0)</f>
        <v/>
      </c>
      <c r="R59" s="585" t="n">
        <v>1138</v>
      </c>
      <c r="S59" s="585" t="n">
        <v>10</v>
      </c>
      <c r="T59" s="585">
        <f>IF(ROUND(R59*(1+V59),0)&gt;5000,ROUND(ROUND(R59*(1+V59),0)*2%,0),0)</f>
        <v/>
      </c>
      <c r="U59" s="65">
        <f>(V59*50%)/(1+50%*V59)</f>
        <v/>
      </c>
      <c r="V59" s="65" t="n">
        <v>0.2048</v>
      </c>
      <c r="W59" s="66" t="n">
        <v>0.12</v>
      </c>
      <c r="X59" s="586">
        <f>(P59+Q59)/G59</f>
        <v/>
      </c>
      <c r="Y59" s="16">
        <f>VLOOKUP(C59,#REF!,3,FALSE)</f>
        <v/>
      </c>
      <c r="Z59" s="587" t="n"/>
      <c r="AA59" s="588">
        <f>((I59-A59)*G59)/365.24</f>
        <v/>
      </c>
    </row>
    <row r="60" hidden="1" outlineLevel="1">
      <c r="A60" s="228" t="n">
        <v>42187</v>
      </c>
      <c r="B60" s="229" t="inlineStr">
        <is>
          <t>普通買進</t>
        </is>
      </c>
      <c r="C60" s="229" t="n">
        <v>3213</v>
      </c>
      <c r="D60" s="229">
        <f>VLOOKUP(C60,每日行情!A:B,2,FALSE)</f>
        <v/>
      </c>
      <c r="E60" s="229" t="n">
        <v>1000</v>
      </c>
      <c r="F60" s="229" t="n">
        <v>47.95</v>
      </c>
      <c r="G60" s="229">
        <f>E60*F60</f>
        <v/>
      </c>
      <c r="H60" s="229" t="n">
        <v>40</v>
      </c>
      <c r="I60" s="325" t="n">
        <v>42194</v>
      </c>
      <c r="J60" s="17" t="n">
        <v>39.6</v>
      </c>
      <c r="K60" s="229">
        <f>E60*J60</f>
        <v/>
      </c>
      <c r="L60" s="17" t="n">
        <v>33</v>
      </c>
      <c r="M60" s="229" t="n">
        <v>18</v>
      </c>
      <c r="N60" s="229" t="n">
        <v>0</v>
      </c>
      <c r="O60" s="584">
        <f>IF(I60="",E60*Y60,0)</f>
        <v/>
      </c>
      <c r="P60" s="585">
        <f>IF(I60="",R60-H60,(K60-H60-SUM(L60:N60)+R60-S60-T60)-G60)+(ROUND(R60*V60,0)-ROUND(R60*(1+V60),0)*W60)</f>
        <v/>
      </c>
      <c r="Q60" s="585">
        <f>IF(I60="",(O60-G60-(O60*0.1425%*0.65)-(O60*0.3%)-S60-T60),0)</f>
        <v/>
      </c>
      <c r="R60" s="585" t="n">
        <v>3100</v>
      </c>
      <c r="S60" s="585" t="n">
        <v>10</v>
      </c>
      <c r="T60" s="585">
        <f>IF(ROUND(R60*(1+V60),0)&gt;5000,ROUND(ROUND(R60*(1+V60),0)*2%,0),0)</f>
        <v/>
      </c>
      <c r="U60" s="65">
        <f>(V60*50%)/(1+50%*V60)</f>
        <v/>
      </c>
      <c r="V60" s="65" t="n">
        <v>0.2365</v>
      </c>
      <c r="W60" s="66" t="n">
        <v>0.12</v>
      </c>
      <c r="X60" s="586">
        <f>(P60+Q60)/G60</f>
        <v/>
      </c>
      <c r="Y60" s="16">
        <f>VLOOKUP(C60,#REF!,3,FALSE)</f>
        <v/>
      </c>
      <c r="Z60" s="587" t="n"/>
      <c r="AA60" s="588">
        <f>((I60-A60)*G60)/365.24</f>
        <v/>
      </c>
    </row>
    <row r="61" hidden="1" outlineLevel="1">
      <c r="A61" s="228" t="n">
        <v>42187</v>
      </c>
      <c r="B61" s="229" t="inlineStr">
        <is>
          <t>普通買進</t>
        </is>
      </c>
      <c r="C61" s="229" t="n">
        <v>2362</v>
      </c>
      <c r="D61" s="229">
        <f>VLOOKUP(C61,每日行情!A:B,2,FALSE)</f>
        <v/>
      </c>
      <c r="E61" s="229" t="n">
        <v>1000</v>
      </c>
      <c r="F61" s="229" t="n">
        <v>37.1</v>
      </c>
      <c r="G61" s="229">
        <f>E61*F61</f>
        <v/>
      </c>
      <c r="H61" s="229" t="n">
        <v>31</v>
      </c>
      <c r="I61" s="325" t="n">
        <v>42277</v>
      </c>
      <c r="J61" s="17" t="n">
        <v>36.4</v>
      </c>
      <c r="K61" s="229">
        <f>E61*J61</f>
        <v/>
      </c>
      <c r="L61" s="17" t="n">
        <v>31</v>
      </c>
      <c r="M61" s="229" t="n">
        <v>109</v>
      </c>
      <c r="N61" s="229" t="n">
        <v>0</v>
      </c>
      <c r="O61" s="584">
        <f>IF(I61="",E61*Y61,0)</f>
        <v/>
      </c>
      <c r="P61" s="585">
        <f>IF(I61="",R61-H61,(K61-H61-SUM(L61:N61)+R61-S61-T61)-G61)+(ROUND(R61*V61,0)-ROUND(R61*(1+V61),0)*W61)</f>
        <v/>
      </c>
      <c r="Q61" s="585">
        <f>IF(I61="",(O61-G61-(O61*0.1425%*0.65)-(O61*0.3%)-S61-T61),0)</f>
        <v/>
      </c>
      <c r="R61" s="585" t="n">
        <v>2500</v>
      </c>
      <c r="S61" s="585" t="n">
        <v>10</v>
      </c>
      <c r="T61" s="585">
        <f>IF(ROUND(R61*(1+V61),0)&gt;5000,ROUND(ROUND(R61*(1+V61),0)*2%,0),0)</f>
        <v/>
      </c>
      <c r="U61" s="65">
        <f>(V61*50%)/(1+50%*V61)</f>
        <v/>
      </c>
      <c r="V61" s="65" t="n">
        <v>0.0421</v>
      </c>
      <c r="W61" s="66" t="n">
        <v>0.12</v>
      </c>
      <c r="X61" s="586">
        <f>(P61+Q61)/G61</f>
        <v/>
      </c>
      <c r="Y61" s="16">
        <f>VLOOKUP(C61,#REF!,3,FALSE)</f>
        <v/>
      </c>
      <c r="Z61" s="587" t="n"/>
      <c r="AA61" s="588">
        <f>((I61-A61)*G61)/365.24</f>
        <v/>
      </c>
    </row>
    <row r="62" hidden="1" outlineLevel="1">
      <c r="A62" s="228" t="n">
        <v>42192</v>
      </c>
      <c r="B62" s="229" t="inlineStr">
        <is>
          <t>普通買進</t>
        </is>
      </c>
      <c r="C62" s="229" t="n">
        <v>2904</v>
      </c>
      <c r="D62" s="229">
        <f>VLOOKUP(C62,每日行情!A:B,2,FALSE)</f>
        <v/>
      </c>
      <c r="E62" s="229" t="n">
        <v>1000</v>
      </c>
      <c r="F62" s="229" t="n">
        <v>25.85</v>
      </c>
      <c r="G62" s="229">
        <f>E62*F62</f>
        <v/>
      </c>
      <c r="H62" s="229" t="n">
        <v>22</v>
      </c>
      <c r="I62" s="325" t="n">
        <v>42212</v>
      </c>
      <c r="J62" s="17" t="n">
        <v>25.9</v>
      </c>
      <c r="K62" s="229">
        <f>E62*J62</f>
        <v/>
      </c>
      <c r="L62" s="17" t="n">
        <v>22</v>
      </c>
      <c r="M62" s="229" t="n">
        <v>77</v>
      </c>
      <c r="N62" s="229" t="n">
        <v>0</v>
      </c>
      <c r="O62" s="584">
        <f>IF(I62="",E62*Y62,0)</f>
        <v/>
      </c>
      <c r="P62" s="585">
        <f>IF(I62="",R62-H62,(K62-H62-SUM(L62:N62)+R62-S62-T62)-G62)+(ROUND(R62*V62,0)-ROUND(R62*(1+V62),0)*W62)</f>
        <v/>
      </c>
      <c r="Q62" s="585">
        <f>IF(I62="",(O62-G62-(O62*0.1425%*0.65)-(O62*0.3%)-S62-T62),0)</f>
        <v/>
      </c>
      <c r="R62" s="585" t="n">
        <v>2800</v>
      </c>
      <c r="S62" s="585" t="n">
        <v>10</v>
      </c>
      <c r="T62" s="585">
        <f>IF(ROUND(R62*(1+V62),0)&gt;5000,ROUND(ROUND(R62*(1+V62),0)*2%,0),0)</f>
        <v/>
      </c>
      <c r="U62" s="396">
        <f>(V62*50%)/(1+50%*V62)</f>
        <v/>
      </c>
      <c r="V62" s="396" t="n">
        <v>0.1075</v>
      </c>
      <c r="W62" s="66" t="n">
        <v>0.12</v>
      </c>
      <c r="X62" s="586">
        <f>(P62+Q62)/G62</f>
        <v/>
      </c>
      <c r="Y62" s="16">
        <f>VLOOKUP(C62,#REF!,3,FALSE)</f>
        <v/>
      </c>
      <c r="Z62" s="587" t="n"/>
      <c r="AA62" s="588">
        <f>((I62-A62)*G62)/365.24</f>
        <v/>
      </c>
    </row>
    <row r="63" hidden="1" outlineLevel="1">
      <c r="A63" s="228" t="n">
        <v>42192</v>
      </c>
      <c r="B63" s="229" t="inlineStr">
        <is>
          <t>普通買進</t>
        </is>
      </c>
      <c r="C63" s="229" t="n">
        <v>6281</v>
      </c>
      <c r="D63" s="229">
        <f>VLOOKUP(C63,每日行情!A:B,2,FALSE)</f>
        <v/>
      </c>
      <c r="E63" s="229" t="n">
        <v>1000</v>
      </c>
      <c r="F63" s="229" t="n">
        <v>64.09999999999999</v>
      </c>
      <c r="G63" s="229">
        <f>E63*F63</f>
        <v/>
      </c>
      <c r="H63" s="229" t="n">
        <v>54</v>
      </c>
      <c r="I63" s="325" t="n">
        <v>42235</v>
      </c>
      <c r="J63" s="17" t="n">
        <v>57.8</v>
      </c>
      <c r="K63" s="229">
        <f>E63*J63</f>
        <v/>
      </c>
      <c r="L63" s="17" t="n">
        <v>49</v>
      </c>
      <c r="M63" s="229" t="n">
        <v>173</v>
      </c>
      <c r="N63" s="229" t="n">
        <v>0</v>
      </c>
      <c r="O63" s="584">
        <f>IF(I63="",E63*Y63,0)</f>
        <v/>
      </c>
      <c r="P63" s="585">
        <f>IF(I63="",R63-H63,(K63-H63-SUM(L63:N63)+R63-S63-T63)-G63)+(ROUND(R63*V63,0)-ROUND(R63*(1+V63),0)*W63)</f>
        <v/>
      </c>
      <c r="Q63" s="585">
        <f>IF(I63="",(O63-G63-(O63*0.1425%*0.65)-(O63*0.3%)-S63-T63),0)</f>
        <v/>
      </c>
      <c r="R63" s="585" t="n">
        <v>3900</v>
      </c>
      <c r="S63" s="585" t="n">
        <v>10</v>
      </c>
      <c r="T63" s="585">
        <f>IF(ROUND(R63*(1+V63),0)&gt;5000,ROUND(ROUND(R63*(1+V63),0)*2%,0),0)</f>
        <v/>
      </c>
      <c r="U63" s="65">
        <f>(V63*50%)/(1+50%*V63)</f>
        <v/>
      </c>
      <c r="V63" s="65" t="n">
        <v>0.2048</v>
      </c>
      <c r="W63" s="66" t="n">
        <v>0.12</v>
      </c>
      <c r="X63" s="586">
        <f>(P63+Q63)/G63</f>
        <v/>
      </c>
      <c r="Y63" s="16">
        <f>VLOOKUP(C63,#REF!,3,FALSE)</f>
        <v/>
      </c>
      <c r="Z63" s="587" t="n"/>
      <c r="AA63" s="588">
        <f>((I63-A63)*G63)/365.24</f>
        <v/>
      </c>
    </row>
    <row r="64" hidden="1" outlineLevel="1">
      <c r="A64" s="228" t="n">
        <v>42200</v>
      </c>
      <c r="B64" s="229" t="inlineStr">
        <is>
          <t>普通買進</t>
        </is>
      </c>
      <c r="C64" s="229" t="n">
        <v>6147</v>
      </c>
      <c r="D64" s="229">
        <f>VLOOKUP(C64,每日行情!A:B,2,FALSE)</f>
        <v/>
      </c>
      <c r="E64" s="229" t="n">
        <v>1000</v>
      </c>
      <c r="F64" s="229" t="n">
        <v>56.8</v>
      </c>
      <c r="G64" s="229">
        <f>E64*F64</f>
        <v/>
      </c>
      <c r="H64" s="229" t="n">
        <v>48</v>
      </c>
      <c r="I64" s="324" t="n">
        <v>42237</v>
      </c>
      <c r="J64" s="16" t="n">
        <v>44.6</v>
      </c>
      <c r="K64" s="229">
        <f>E64*J64</f>
        <v/>
      </c>
      <c r="L64" s="792" t="n">
        <v>38</v>
      </c>
      <c r="M64" s="229" t="n">
        <v>133</v>
      </c>
      <c r="N64" s="229" t="n">
        <v>0</v>
      </c>
      <c r="O64" s="584">
        <f>IF(I64="",E64*Y64,0)</f>
        <v/>
      </c>
      <c r="P64" s="585">
        <f>IF(I64="",R64-H64,(K64-H64-SUM(L64:N64)+R64-S64-T64)-G64)+(ROUND(R64*V64,0)-ROUND(R64*(1+V64),0)*W64)</f>
        <v/>
      </c>
      <c r="Q64" s="585">
        <f>IF(I64="",(O64-G64-(O64*0.1425%*0.65)-(O64*0.3%)-S64-T64),0)</f>
        <v/>
      </c>
      <c r="R64" s="585" t="n">
        <v>2600</v>
      </c>
      <c r="S64" s="585" t="n">
        <v>10</v>
      </c>
      <c r="T64" s="585">
        <f>IF(ROUND(R64*(1+V64),0)&gt;5000,ROUND(ROUND(R64*(1+V64),0)*2%,0),0)</f>
        <v/>
      </c>
      <c r="U64" s="65">
        <f>(V64*50%)/(1+50%*V64)</f>
        <v/>
      </c>
      <c r="V64" s="65" t="n">
        <v>0.1451</v>
      </c>
      <c r="W64" s="66" t="n">
        <v>0.12</v>
      </c>
      <c r="X64" s="586">
        <f>(P64+Q64)/G64</f>
        <v/>
      </c>
      <c r="Y64" s="16">
        <f>VLOOKUP(C64,#REF!,3,FALSE)</f>
        <v/>
      </c>
      <c r="Z64" s="587" t="n"/>
      <c r="AA64" s="588">
        <f>((I64-A64)*G64)/365.24</f>
        <v/>
      </c>
    </row>
    <row r="65" hidden="1" outlineLevel="1">
      <c r="A65" s="228" t="n">
        <v>42201</v>
      </c>
      <c r="B65" s="229" t="inlineStr">
        <is>
          <t>普通買進</t>
        </is>
      </c>
      <c r="C65" s="229" t="n">
        <v>2412</v>
      </c>
      <c r="D65" s="229">
        <f>VLOOKUP(C65,每日行情!A:B,2,FALSE)</f>
        <v/>
      </c>
      <c r="E65" s="229" t="n">
        <v>1000</v>
      </c>
      <c r="F65" s="229" t="n">
        <v>94.40000000000001</v>
      </c>
      <c r="G65" s="229">
        <f>E65*F65</f>
        <v/>
      </c>
      <c r="H65" s="229" t="n">
        <v>80</v>
      </c>
      <c r="I65" s="324" t="n">
        <v>42222</v>
      </c>
      <c r="J65" s="16" t="n">
        <v>98.90000000000001</v>
      </c>
      <c r="K65" s="229">
        <f>E65*J65</f>
        <v/>
      </c>
      <c r="L65" s="792" t="n">
        <v>84</v>
      </c>
      <c r="M65" s="229" t="n">
        <v>269</v>
      </c>
      <c r="N65" s="229" t="n">
        <v>0</v>
      </c>
      <c r="O65" s="584">
        <f>IF(I65="",E65*Y65,0)</f>
        <v/>
      </c>
      <c r="P65" s="585">
        <f>IF(I65="",R65-H65,(K65-H65-SUM(L65:N65)+R65-S65-T65)-G65)+(ROUND(R65*V65,0)-ROUND(R65*(1+V65),0)*W65)</f>
        <v/>
      </c>
      <c r="Q65" s="585">
        <f>IF(I65="",(O65-G65-(O65*0.1425%*0.65)-(O65*0.3%)-S65-T65),0)</f>
        <v/>
      </c>
      <c r="R65" s="585" t="n"/>
      <c r="S65" s="585" t="n"/>
      <c r="T65" s="585">
        <f>IF(ROUND(R65*(1+V65),0)&gt;5000,ROUND(ROUND(R65*(1+V65),0)*2%,0),0)</f>
        <v/>
      </c>
      <c r="U65" s="65">
        <f>(V65*50%)/(1+50%*V65)</f>
        <v/>
      </c>
      <c r="V65" s="65" t="n"/>
      <c r="W65" s="66" t="n"/>
      <c r="X65" s="586">
        <f>(P65+Q65)/G65</f>
        <v/>
      </c>
      <c r="Y65" s="16">
        <f>VLOOKUP(C65,#REF!,3,FALSE)</f>
        <v/>
      </c>
      <c r="Z65" s="587" t="n"/>
      <c r="AA65" s="588">
        <f>((I65-A65)*G65)/365.24</f>
        <v/>
      </c>
    </row>
    <row r="66" hidden="1" outlineLevel="1">
      <c r="A66" s="228" t="n">
        <v>42201</v>
      </c>
      <c r="B66" s="229" t="inlineStr">
        <is>
          <t>普通買進</t>
        </is>
      </c>
      <c r="C66" s="229" t="n">
        <v>2610</v>
      </c>
      <c r="D66" s="229">
        <f>VLOOKUP(C66,每日行情!A:B,2,FALSE)</f>
        <v/>
      </c>
      <c r="E66" s="229" t="n">
        <v>1000</v>
      </c>
      <c r="F66" s="229" t="n">
        <v>14.35</v>
      </c>
      <c r="G66" s="229">
        <f>E66*F66</f>
        <v/>
      </c>
      <c r="H66" s="229" t="n">
        <v>20</v>
      </c>
      <c r="I66" s="324" t="n">
        <v>42338</v>
      </c>
      <c r="J66" s="16" t="n">
        <v>10.7</v>
      </c>
      <c r="K66" s="229">
        <f>E66*J66</f>
        <v/>
      </c>
      <c r="L66" s="17" t="n">
        <v>20</v>
      </c>
      <c r="M66" s="229" t="n">
        <v>32</v>
      </c>
      <c r="N66" s="229" t="n">
        <v>0</v>
      </c>
      <c r="O66" s="584">
        <f>IF(I66="",E66*Y66,0)</f>
        <v/>
      </c>
      <c r="P66" s="585">
        <f>IF(I66="",R66-H66,(K66-H66-SUM(L66:N66)+R66-S66-T66)-G66)+(ROUND(R66*V66,0)-ROUND(R66*(1+V66),0)*W66)</f>
        <v/>
      </c>
      <c r="Q66" s="585">
        <f>IF(I66="",(O66-G66-(O66*0.1425%*0.65)-(O66*0.3%)-S66-T66),0)</f>
        <v/>
      </c>
      <c r="R66" s="585" t="n"/>
      <c r="S66" s="585" t="n"/>
      <c r="T66" s="585">
        <f>IF(ROUND(R66*(1+V66),0)&gt;5000,ROUND(ROUND(R66*(1+V66),0)*2%,0),0)</f>
        <v/>
      </c>
      <c r="U66" s="65">
        <f>(V66*50%)/(1+50%*V66)</f>
        <v/>
      </c>
      <c r="V66" s="65" t="n"/>
      <c r="W66" s="66" t="n"/>
      <c r="X66" s="586">
        <f>(P66+Q66)/G66</f>
        <v/>
      </c>
      <c r="Y66" s="16">
        <f>VLOOKUP(C66,#REF!,3,FALSE)</f>
        <v/>
      </c>
      <c r="Z66" s="587" t="n"/>
      <c r="AA66" s="588">
        <f>((I66-A66)*G66)/365.24</f>
        <v/>
      </c>
    </row>
    <row r="67" hidden="1" outlineLevel="1">
      <c r="A67" s="228" t="n">
        <v>42212</v>
      </c>
      <c r="B67" s="229" t="inlineStr">
        <is>
          <t>普通買進</t>
        </is>
      </c>
      <c r="C67" s="229" t="n">
        <v>1730</v>
      </c>
      <c r="D67" s="229">
        <f>VLOOKUP(C67,每日行情!A:B,2,FALSE)</f>
        <v/>
      </c>
      <c r="E67" s="229" t="n">
        <v>1000</v>
      </c>
      <c r="F67" s="229" t="n">
        <v>30</v>
      </c>
      <c r="G67" s="229">
        <f>E67*F67</f>
        <v/>
      </c>
      <c r="H67" s="229" t="n">
        <v>25</v>
      </c>
      <c r="I67" s="324" t="n">
        <v>42214</v>
      </c>
      <c r="J67" s="16" t="n">
        <v>28.9</v>
      </c>
      <c r="K67" s="229">
        <f>E67*J67</f>
        <v/>
      </c>
      <c r="L67" s="792" t="n">
        <v>24</v>
      </c>
      <c r="M67" s="229" t="n">
        <v>86</v>
      </c>
      <c r="N67" s="229" t="n">
        <v>0</v>
      </c>
      <c r="O67" s="584">
        <f>IF(I67="",E67*Y67,0)</f>
        <v/>
      </c>
      <c r="P67" s="585">
        <f>IF(I67="",R67-H67,(K67-H67-SUM(L67:N67)+R67-S67-T67)-G67)+(ROUND(R67*V67,0)-ROUND(R67*(1+V67),0)*W67)</f>
        <v/>
      </c>
      <c r="Q67" s="585">
        <f>IF(I67="",(O67-G67-(O67*0.1425%*0.65)-(O67*0.3%)-S67-T67),0)</f>
        <v/>
      </c>
      <c r="R67" s="585" t="n">
        <v>1700</v>
      </c>
      <c r="S67" s="585" t="n">
        <v>10</v>
      </c>
      <c r="T67" s="585">
        <f>IF(ROUND(R67*(1+V67),0)&gt;5000,ROUND(ROUND(R67*(1+V67),0)*2%,0),0)</f>
        <v/>
      </c>
      <c r="U67" s="65">
        <f>(V67*50%)/(1+50%*V67)</f>
        <v/>
      </c>
      <c r="V67" s="65" t="n">
        <v>0.1981</v>
      </c>
      <c r="W67" s="66" t="n">
        <v>0.12</v>
      </c>
      <c r="X67" s="586">
        <f>(P67+Q67)/G67</f>
        <v/>
      </c>
      <c r="Y67" s="16">
        <f>VLOOKUP(C67,#REF!,3,FALSE)</f>
        <v/>
      </c>
      <c r="Z67" s="587" t="n"/>
      <c r="AA67" s="588">
        <f>((I67-A67)*G67)/365.24</f>
        <v/>
      </c>
    </row>
    <row r="68" hidden="1" outlineLevel="1">
      <c r="A68" s="228" t="n">
        <v>42213</v>
      </c>
      <c r="B68" s="229" t="inlineStr">
        <is>
          <t>普通買進</t>
        </is>
      </c>
      <c r="C68" s="229" t="n">
        <v>2393</v>
      </c>
      <c r="D68" s="229">
        <f>VLOOKUP(C68,每日行情!A:B,2,FALSE)</f>
        <v/>
      </c>
      <c r="E68" s="229" t="n">
        <v>1000</v>
      </c>
      <c r="F68" s="229" t="n">
        <v>44.3</v>
      </c>
      <c r="G68" s="229">
        <f>E68*F68</f>
        <v/>
      </c>
      <c r="H68" s="229" t="n">
        <v>37</v>
      </c>
      <c r="I68" s="324" t="n">
        <v>42214</v>
      </c>
      <c r="J68" s="16" t="n">
        <v>43.3</v>
      </c>
      <c r="K68" s="229">
        <f>E68*J68</f>
        <v/>
      </c>
      <c r="L68" s="792" t="n">
        <v>37</v>
      </c>
      <c r="M68" s="229" t="n">
        <v>129</v>
      </c>
      <c r="N68" s="229" t="n">
        <v>0</v>
      </c>
      <c r="O68" s="584">
        <f>IF(I68="",E68*Y68,0)</f>
        <v/>
      </c>
      <c r="P68" s="585">
        <f>IF(I68="",R68-H68,(K68-H68-SUM(L68:N68)+R68-S68-T68)-G68)+(ROUND(R68*V68,0)-ROUND(R68*(1+V68),0)*W68)</f>
        <v/>
      </c>
      <c r="Q68" s="585">
        <f>IF(I68="",(O68-G68-(O68*0.1425%*0.65)-(O68*0.3%)-S68-T68),0)</f>
        <v/>
      </c>
      <c r="R68" s="585" t="n"/>
      <c r="S68" s="585" t="n"/>
      <c r="T68" s="585">
        <f>IF(ROUND(R68*(1+V68),0)&gt;5000,ROUND(ROUND(R68*(1+V68),0)*2%,0),0)</f>
        <v/>
      </c>
      <c r="U68" s="65">
        <f>(V68*50%)/(1+50%*V68)</f>
        <v/>
      </c>
      <c r="V68" s="65" t="n"/>
      <c r="W68" s="66" t="n"/>
      <c r="X68" s="586">
        <f>(P68+Q68)/G68</f>
        <v/>
      </c>
      <c r="Y68" s="16">
        <f>VLOOKUP(C68,#REF!,3,FALSE)</f>
        <v/>
      </c>
      <c r="Z68" s="587" t="n"/>
      <c r="AA68" s="588">
        <f>((I68-A68)*G68)/365.24</f>
        <v/>
      </c>
    </row>
    <row r="69" hidden="1" outlineLevel="1">
      <c r="A69" s="228" t="n">
        <v>42215</v>
      </c>
      <c r="B69" s="229" t="inlineStr">
        <is>
          <t>普通買進</t>
        </is>
      </c>
      <c r="C69" s="229" t="n">
        <v>2303</v>
      </c>
      <c r="D69" s="229">
        <f>VLOOKUP(C69,每日行情!A:B,2,FALSE)</f>
        <v/>
      </c>
      <c r="E69" s="229" t="n">
        <v>1000</v>
      </c>
      <c r="F69" s="229" t="n">
        <v>11.2</v>
      </c>
      <c r="G69" s="229">
        <f>E69*F69</f>
        <v/>
      </c>
      <c r="H69" s="229" t="n">
        <v>20</v>
      </c>
      <c r="I69" s="324" t="n">
        <v>42290</v>
      </c>
      <c r="J69" s="16" t="n">
        <v>11.4</v>
      </c>
      <c r="K69" s="229">
        <f>E69*J69</f>
        <v/>
      </c>
      <c r="L69" s="17" t="n">
        <v>20</v>
      </c>
      <c r="M69" s="229" t="n">
        <v>34</v>
      </c>
      <c r="N69" s="229" t="n">
        <v>0</v>
      </c>
      <c r="O69" s="584">
        <f>IF(I69="",E69*Y69,0)</f>
        <v/>
      </c>
      <c r="P69" s="585">
        <f>IF(I69="",R69-H69,(K69-H69-SUM(L69:N69)+R69-S69-T69)-G69)+(ROUND(R69*V69,0)-ROUND(R69*(1+V69),0)*W69)</f>
        <v/>
      </c>
      <c r="Q69" s="585">
        <f>IF(I69="",(O69-G69-(O69*0.1425%*0.65)-(O69*0.3%)-S69-T69),0)</f>
        <v/>
      </c>
      <c r="R69" s="585" t="n"/>
      <c r="S69" s="585" t="n"/>
      <c r="T69" s="585">
        <f>IF(ROUND(R69*(1+V69),0)&gt;5000,ROUND(ROUND(R69*(1+V69),0)*2%,0),0)</f>
        <v/>
      </c>
      <c r="U69" s="65">
        <f>(V69*50%)/(1+50%*V69)</f>
        <v/>
      </c>
      <c r="V69" s="65" t="n"/>
      <c r="W69" s="66" t="n"/>
      <c r="X69" s="586">
        <f>(P69+Q69)/G69</f>
        <v/>
      </c>
      <c r="Y69" s="16">
        <f>VLOOKUP(C69,#REF!,3,FALSE)</f>
        <v/>
      </c>
      <c r="Z69" s="587" t="n"/>
      <c r="AA69" s="588">
        <f>((I69-A69)*G69)/365.24</f>
        <v/>
      </c>
    </row>
    <row r="70" hidden="1" outlineLevel="1">
      <c r="A70" s="228" t="n">
        <v>42215</v>
      </c>
      <c r="B70" s="229" t="inlineStr">
        <is>
          <t>普通買進</t>
        </is>
      </c>
      <c r="C70" s="229" t="n">
        <v>2303</v>
      </c>
      <c r="D70" s="229">
        <f>VLOOKUP(C70,每日行情!A:B,2,FALSE)</f>
        <v/>
      </c>
      <c r="E70" s="229" t="n">
        <v>1000</v>
      </c>
      <c r="F70" s="229" t="n">
        <v>12.1</v>
      </c>
      <c r="G70" s="229">
        <f>E70*F70</f>
        <v/>
      </c>
      <c r="H70" s="229" t="n">
        <v>20</v>
      </c>
      <c r="I70" s="324" t="n">
        <v>42317</v>
      </c>
      <c r="J70" s="16" t="n">
        <v>12.15</v>
      </c>
      <c r="K70" s="229">
        <f>E70*J70</f>
        <v/>
      </c>
      <c r="L70" s="17" t="n">
        <v>20</v>
      </c>
      <c r="M70" s="229" t="n">
        <v>36</v>
      </c>
      <c r="N70" s="229" t="n">
        <v>0</v>
      </c>
      <c r="O70" s="584">
        <f>IF(I70="",E70*Y70,0)</f>
        <v/>
      </c>
      <c r="P70" s="585">
        <f>IF(I70="",R70-H70,(K70-H70-SUM(L70:N70)+R70-S70-T70)-G70)+(ROUND(R70*V70,0)-ROUND(R70*(1+V70),0)*W70)</f>
        <v/>
      </c>
      <c r="Q70" s="585">
        <f>IF(I70="",(O70-G70-(O70*0.1425%*0.65)-(O70*0.3%)-S70-T70),0)</f>
        <v/>
      </c>
      <c r="R70" s="585" t="n"/>
      <c r="S70" s="585" t="n"/>
      <c r="T70" s="585">
        <f>IF(ROUND(R70*(1+V70),0)&gt;5000,ROUND(ROUND(R70*(1+V70),0)*2%,0),0)</f>
        <v/>
      </c>
      <c r="U70" s="65">
        <f>(V70*50%)/(1+50%*V70)</f>
        <v/>
      </c>
      <c r="V70" s="65" t="n"/>
      <c r="W70" s="66" t="n"/>
      <c r="X70" s="586">
        <f>(P70+Q70)/G70</f>
        <v/>
      </c>
      <c r="Y70" s="16">
        <f>VLOOKUP(C70,#REF!,3,FALSE)</f>
        <v/>
      </c>
      <c r="Z70" s="587" t="n"/>
      <c r="AA70" s="588">
        <f>((I70-A70)*G70)/365.24</f>
        <v/>
      </c>
    </row>
    <row r="71" hidden="1" outlineLevel="1">
      <c r="A71" s="228" t="n">
        <v>42219</v>
      </c>
      <c r="B71" s="229" t="inlineStr">
        <is>
          <t>普通買進</t>
        </is>
      </c>
      <c r="C71" s="229" t="n">
        <v>4938</v>
      </c>
      <c r="D71" s="229">
        <f>VLOOKUP(C71,每日行情!A:B,2,FALSE)</f>
        <v/>
      </c>
      <c r="E71" s="229" t="n">
        <v>1000</v>
      </c>
      <c r="F71" s="229" t="n">
        <v>88.8</v>
      </c>
      <c r="G71" s="229">
        <f>E71*F71</f>
        <v/>
      </c>
      <c r="H71" s="229" t="n">
        <v>75</v>
      </c>
      <c r="I71" s="325" t="n">
        <v>42235</v>
      </c>
      <c r="J71" s="17" t="n">
        <v>85.90000000000001</v>
      </c>
      <c r="K71" s="229">
        <f>E71*J71</f>
        <v/>
      </c>
      <c r="L71" s="17" t="n">
        <v>73</v>
      </c>
      <c r="M71" s="229" t="n">
        <v>257</v>
      </c>
      <c r="N71" s="229" t="n">
        <v>0</v>
      </c>
      <c r="O71" s="584">
        <f>IF(I71="",E71*Y71,0)</f>
        <v/>
      </c>
      <c r="P71" s="585">
        <f>IF(I71="",R71-H71,(K71-H71-SUM(L71:N71)+R71-S71-T71)-G71)+(ROUND(R71*V71,0)-ROUND(R71*(1+V71),0)*W71)</f>
        <v/>
      </c>
      <c r="Q71" s="585">
        <f>IF(I71="",(O71-G71-(O71*0.1425%*0.65)-(O71*0.3%)-S71-T71),0)</f>
        <v/>
      </c>
      <c r="R71" s="585" t="n">
        <v>4037</v>
      </c>
      <c r="S71" s="585" t="n">
        <v>10</v>
      </c>
      <c r="T71" s="585">
        <f>IF(ROUND(R71*(1+V71),0)&gt;5000,ROUND(ROUND(R71*(1+V71),0)*2%,0),0)</f>
        <v/>
      </c>
      <c r="U71" s="65">
        <f>(V71*50%)/(1+50%*V71)</f>
        <v/>
      </c>
      <c r="V71" s="65" t="n">
        <v>0.1249</v>
      </c>
      <c r="W71" s="66" t="n">
        <v>0.12</v>
      </c>
      <c r="X71" s="586">
        <f>(P71+Q71)/G71</f>
        <v/>
      </c>
      <c r="Y71" s="16">
        <f>VLOOKUP(C71,#REF!,3,FALSE)</f>
        <v/>
      </c>
      <c r="Z71" s="587" t="n"/>
      <c r="AA71" s="588">
        <f>((I71-A71)*G71)/365.24</f>
        <v/>
      </c>
    </row>
    <row r="72" hidden="1" outlineLevel="1">
      <c r="A72" s="228" t="n">
        <v>42222</v>
      </c>
      <c r="B72" s="229" t="inlineStr">
        <is>
          <t>普通買進</t>
        </is>
      </c>
      <c r="C72" s="229" t="n">
        <v>3231</v>
      </c>
      <c r="D72" s="229">
        <f>VLOOKUP(C72,每日行情!A:B,2,FALSE)</f>
        <v/>
      </c>
      <c r="E72" s="229" t="n">
        <v>1000</v>
      </c>
      <c r="F72" s="229" t="n">
        <v>18.15</v>
      </c>
      <c r="G72" s="229">
        <f>E72*F72</f>
        <v/>
      </c>
      <c r="H72" s="229" t="n">
        <v>20</v>
      </c>
      <c r="I72" s="325" t="n">
        <v>42235</v>
      </c>
      <c r="J72" s="17" t="n">
        <v>13.55</v>
      </c>
      <c r="K72" s="229">
        <f>E72*J72</f>
        <v/>
      </c>
      <c r="L72" s="17" t="n">
        <v>20</v>
      </c>
      <c r="M72" s="229" t="n">
        <v>40</v>
      </c>
      <c r="N72" s="229" t="n">
        <v>0</v>
      </c>
      <c r="O72" s="584">
        <f>IF(I72="",E72*Y72,0)</f>
        <v/>
      </c>
      <c r="P72" s="585">
        <f>IF(I72="",R72-H72,(K72-H72-SUM(L72:N72)+R72-S72-T72)-G72)+(ROUND(R72*V72,0)-ROUND(R72*(1+V72),0)*W72)</f>
        <v/>
      </c>
      <c r="Q72" s="585">
        <f>IF(I72="",(O72-G72-(O72*0.1425%*0.65)-(O72*0.3%)-S72-T72),0)</f>
        <v/>
      </c>
      <c r="R72" s="585" t="n"/>
      <c r="S72" s="585" t="n"/>
      <c r="T72" s="585">
        <f>IF(ROUND(R72*(1+V72),0)&gt;5000,ROUND(ROUND(R72*(1+V72),0)*2%,0),0)</f>
        <v/>
      </c>
      <c r="U72" s="65">
        <f>(V72*50%)/(1+50%*V72)</f>
        <v/>
      </c>
      <c r="V72" s="65" t="n"/>
      <c r="W72" s="66" t="n"/>
      <c r="X72" s="586">
        <f>(P72+Q72)/G72</f>
        <v/>
      </c>
      <c r="Y72" s="16">
        <f>VLOOKUP(C72,#REF!,3,FALSE)</f>
        <v/>
      </c>
      <c r="Z72" s="587" t="n"/>
      <c r="AA72" s="588">
        <f>((I72-A72)*G72)/365.24</f>
        <v/>
      </c>
    </row>
    <row r="73" hidden="1" outlineLevel="1">
      <c r="A73" s="228" t="n">
        <v>42222</v>
      </c>
      <c r="B73" s="229" t="inlineStr">
        <is>
          <t>普通買進</t>
        </is>
      </c>
      <c r="C73" s="229" t="n">
        <v>2618</v>
      </c>
      <c r="D73" s="229">
        <f>VLOOKUP(C73,每日行情!A:B,2,FALSE)</f>
        <v/>
      </c>
      <c r="E73" s="229" t="n">
        <v>1000</v>
      </c>
      <c r="F73" s="229" t="n">
        <v>22.8</v>
      </c>
      <c r="G73" s="229">
        <f>E73*F73</f>
        <v/>
      </c>
      <c r="H73" s="229" t="n">
        <v>20</v>
      </c>
      <c r="I73" s="324" t="n">
        <v>42284</v>
      </c>
      <c r="J73" s="17" t="n">
        <v>18.2</v>
      </c>
      <c r="K73" s="229">
        <f>E73*J73</f>
        <v/>
      </c>
      <c r="L73" s="17" t="n">
        <v>20</v>
      </c>
      <c r="M73" s="229" t="n">
        <v>54</v>
      </c>
      <c r="N73" s="229" t="n">
        <v>0</v>
      </c>
      <c r="O73" s="584">
        <f>IF(I73="",E73*Y73,0)</f>
        <v/>
      </c>
      <c r="P73" s="585">
        <f>IF(I73="",R73-H73,(K73-H73-SUM(L73:N73)+R73-S73-T73)-G73)+(ROUND(R73*V73,0)-ROUND(R73*(1+V73),0)*W73)</f>
        <v/>
      </c>
      <c r="Q73" s="585">
        <f>IF(I73="",(O73-G73-(O73*0.1425%*0.65)-(O73*0.3%)-S73-T73),0)</f>
        <v/>
      </c>
      <c r="R73" s="585" t="n"/>
      <c r="S73" s="585" t="n"/>
      <c r="T73" s="585">
        <f>IF(ROUND(R73*(1+V73),0)&gt;5000,ROUND(ROUND(R73*(1+V73),0)*2%,0),0)</f>
        <v/>
      </c>
      <c r="U73" s="65">
        <f>(V73*50%)/(1+50%*V73)</f>
        <v/>
      </c>
      <c r="V73" s="65" t="n"/>
      <c r="W73" s="66" t="n"/>
      <c r="X73" s="586">
        <f>(P73+Q73)/G73</f>
        <v/>
      </c>
      <c r="Y73" s="16">
        <f>VLOOKUP(C73,#REF!,3,FALSE)</f>
        <v/>
      </c>
      <c r="Z73" s="587" t="n"/>
      <c r="AA73" s="588">
        <f>((I73-A73)*G73)/365.24</f>
        <v/>
      </c>
    </row>
    <row r="74" hidden="1" outlineLevel="1">
      <c r="A74" s="325" t="n">
        <v>42235</v>
      </c>
      <c r="B74" s="229" t="inlineStr">
        <is>
          <t>普通買進</t>
        </is>
      </c>
      <c r="C74" s="229" t="n">
        <v>6147</v>
      </c>
      <c r="D74" s="229">
        <f>VLOOKUP(C74,每日行情!A:B,2,FALSE)</f>
        <v/>
      </c>
      <c r="E74" s="229" t="n">
        <v>1000</v>
      </c>
      <c r="F74" s="229" t="n">
        <v>50.5</v>
      </c>
      <c r="G74" s="229">
        <f>E74*F74</f>
        <v/>
      </c>
      <c r="H74" s="229" t="n">
        <v>43</v>
      </c>
      <c r="I74" s="324" t="n">
        <v>42237</v>
      </c>
      <c r="J74" s="16" t="n">
        <v>43.45</v>
      </c>
      <c r="K74" s="229">
        <f>E74*J74</f>
        <v/>
      </c>
      <c r="L74" s="792" t="n">
        <v>37</v>
      </c>
      <c r="M74" s="229" t="n">
        <v>130</v>
      </c>
      <c r="N74" s="229" t="n">
        <v>0</v>
      </c>
      <c r="O74" s="584">
        <f>IF(I74="",E74*Y74,0)</f>
        <v/>
      </c>
      <c r="P74" s="585">
        <f>IF(I74="",R74-H74,(K74-H74-SUM(L74:N74)+R74-S74-T74)-G74)+(ROUND(R74*V74,0)-ROUND(R74*(1+V74),0)*W74)</f>
        <v/>
      </c>
      <c r="Q74" s="585">
        <f>IF(I74="",(O74-G74-(O74*0.1425%*0.65)-(O74*0.3%)-S74-T74),0)</f>
        <v/>
      </c>
      <c r="R74" s="585" t="n"/>
      <c r="S74" s="585" t="n"/>
      <c r="T74" s="585">
        <f>IF(ROUND(R74*(1+V74),0)&gt;5000,ROUND(ROUND(R74*(1+V74),0)*2%,0),0)</f>
        <v/>
      </c>
      <c r="U74" s="65">
        <f>(V74*50%)/(1+50%*V74)</f>
        <v/>
      </c>
      <c r="V74" s="65" t="n"/>
      <c r="W74" s="66" t="n"/>
      <c r="X74" s="586">
        <f>(P74+Q74)/G74</f>
        <v/>
      </c>
      <c r="Y74" s="16">
        <f>VLOOKUP(C74,#REF!,3,FALSE)</f>
        <v/>
      </c>
      <c r="Z74" s="587" t="n"/>
      <c r="AA74" s="588">
        <f>((I74-A74)*G74)/365.24</f>
        <v/>
      </c>
    </row>
    <row r="75" hidden="1" outlineLevel="1">
      <c r="A75" s="325" t="n">
        <v>42235</v>
      </c>
      <c r="B75" s="229" t="inlineStr">
        <is>
          <t>普通買進</t>
        </is>
      </c>
      <c r="C75" s="229" t="n">
        <v>6147</v>
      </c>
      <c r="D75" s="229">
        <f>VLOOKUP(C75,每日行情!A:B,2,FALSE)</f>
        <v/>
      </c>
      <c r="E75" s="229" t="n">
        <v>1000</v>
      </c>
      <c r="F75" s="229" t="n">
        <v>49</v>
      </c>
      <c r="G75" s="229">
        <f>E75*F75</f>
        <v/>
      </c>
      <c r="H75" s="229" t="n">
        <v>41</v>
      </c>
      <c r="I75" s="325" t="n">
        <v>42278</v>
      </c>
      <c r="J75" s="16" t="n">
        <v>49.25</v>
      </c>
      <c r="K75" s="229">
        <f>E75*J75</f>
        <v/>
      </c>
      <c r="L75" s="792" t="n">
        <v>42</v>
      </c>
      <c r="M75" s="229" t="n">
        <v>147</v>
      </c>
      <c r="N75" s="229" t="n">
        <v>0</v>
      </c>
      <c r="O75" s="584">
        <f>IF(I75="",E75*Y75,0)</f>
        <v/>
      </c>
      <c r="P75" s="585">
        <f>IF(I75="",R75-H75,(K75-H75-SUM(L75:N75)+R75-S75-T75)-G75)+(ROUND(R75*V75,0)-ROUND(R75*(1+V75),0)*W75)</f>
        <v/>
      </c>
      <c r="Q75" s="585">
        <f>IF(I75="",(O75-G75-(O75*0.1425%*0.65)-(O75*0.3%)-S75-T75),0)</f>
        <v/>
      </c>
      <c r="R75" s="585" t="n"/>
      <c r="S75" s="585" t="n"/>
      <c r="T75" s="585">
        <f>IF(ROUND(R75*(1+V75),0)&gt;5000,ROUND(ROUND(R75*(1+V75),0)*2%,0),0)</f>
        <v/>
      </c>
      <c r="U75" s="65">
        <f>(V75*50%)/(1+50%*V75)</f>
        <v/>
      </c>
      <c r="V75" s="65" t="n"/>
      <c r="W75" s="66" t="n"/>
      <c r="X75" s="586">
        <f>(P75+Q75)/G75</f>
        <v/>
      </c>
      <c r="Y75" s="16">
        <f>VLOOKUP(C75,#REF!,3,FALSE)</f>
        <v/>
      </c>
      <c r="Z75" s="587" t="n"/>
      <c r="AA75" s="588">
        <f>((I75-A75)*G75)/365.24</f>
        <v/>
      </c>
    </row>
    <row r="76" hidden="1" outlineLevel="1">
      <c r="A76" s="231" t="n">
        <v>42247</v>
      </c>
      <c r="B76" s="232" t="n"/>
      <c r="C76" s="232" t="n">
        <v>93207</v>
      </c>
      <c r="D76" s="232" t="n"/>
      <c r="E76" s="232" t="n"/>
      <c r="F76" s="232" t="n"/>
      <c r="G76" s="232" t="n"/>
      <c r="H76" s="232" t="n"/>
      <c r="I76" s="233" t="n"/>
      <c r="J76" s="42" t="n"/>
      <c r="K76" s="232" t="n"/>
      <c r="L76" s="589" t="n"/>
      <c r="M76" s="232" t="n"/>
      <c r="N76" s="232" t="n"/>
      <c r="O76" s="590" t="n"/>
      <c r="P76" s="591" t="n">
        <v>-1262</v>
      </c>
      <c r="Q76" s="591" t="n"/>
      <c r="R76" s="591" t="n"/>
      <c r="S76" s="591" t="n"/>
      <c r="T76" s="591" t="n"/>
      <c r="U76" s="69" t="n"/>
      <c r="V76" s="69" t="n"/>
      <c r="W76" s="71" t="n"/>
      <c r="X76" s="592" t="n"/>
      <c r="Y76" s="42" t="n"/>
      <c r="Z76" s="47" t="n"/>
      <c r="AA76" s="588">
        <f>((I76-A76)*G76)/365.24</f>
        <v/>
      </c>
    </row>
    <row r="77" hidden="1" outlineLevel="1">
      <c r="A77" s="325" t="n">
        <v>42254</v>
      </c>
      <c r="B77" s="229" t="inlineStr">
        <is>
          <t>普通買進</t>
        </is>
      </c>
      <c r="C77" s="229" t="n">
        <v>2325</v>
      </c>
      <c r="D77" s="229">
        <f>VLOOKUP(C77,每日行情!A:B,2,FALSE)</f>
        <v/>
      </c>
      <c r="E77" s="229" t="n">
        <v>1000</v>
      </c>
      <c r="F77" s="229" t="n">
        <v>40.8</v>
      </c>
      <c r="G77" s="229">
        <f>E77*F77</f>
        <v/>
      </c>
      <c r="H77" s="229" t="n">
        <v>34</v>
      </c>
      <c r="I77" s="324" t="n">
        <v>42293</v>
      </c>
      <c r="J77" s="16" t="n">
        <v>43.2</v>
      </c>
      <c r="K77" s="229">
        <f>E77*J77</f>
        <v/>
      </c>
      <c r="L77" s="17" t="n">
        <v>36</v>
      </c>
      <c r="M77" s="229" t="n">
        <v>129</v>
      </c>
      <c r="N77" s="229" t="n">
        <v>0</v>
      </c>
      <c r="O77" s="584">
        <f>IF(I77="",E77*Y77,0)</f>
        <v/>
      </c>
      <c r="P77" s="585">
        <f>IF(I77="",R77-H77,(K77-H77-SUM(L77:N77)+R77-S77-T77)-G77)+(ROUND(R77*V77,0)-ROUND(R77*(1+V77),0)*W77)</f>
        <v/>
      </c>
      <c r="Q77" s="585">
        <f>IF(I77="",(O77-G77-(O77*0.1425%*0.65)-(O77*0.3%)-S77-T77),0)</f>
        <v/>
      </c>
      <c r="R77" s="585" t="n"/>
      <c r="S77" s="585" t="n"/>
      <c r="T77" s="585">
        <f>IF(ROUND(R77*(1+V77),0)&gt;5000,ROUND(ROUND(R77*(1+V77),0)*2%,0),0)</f>
        <v/>
      </c>
      <c r="U77" s="65">
        <f>(V77*50%)/(1+50%*V77)</f>
        <v/>
      </c>
      <c r="V77" s="65" t="n"/>
      <c r="W77" s="66" t="n"/>
      <c r="X77" s="586">
        <f>(P77+Q77)/G77</f>
        <v/>
      </c>
      <c r="Y77" s="16">
        <f>VLOOKUP(C77,#REF!,3,FALSE)</f>
        <v/>
      </c>
      <c r="Z77" s="587" t="n"/>
      <c r="AA77" s="588">
        <f>((I77-A77)*G77)/365.24</f>
        <v/>
      </c>
    </row>
    <row r="78" hidden="1" outlineLevel="1">
      <c r="A78" s="228" t="n">
        <v>42262</v>
      </c>
      <c r="B78" s="229" t="inlineStr">
        <is>
          <t>普通買進</t>
        </is>
      </c>
      <c r="C78" s="229" t="n">
        <v>4938</v>
      </c>
      <c r="D78" s="229">
        <f>VLOOKUP(C78,每日行情!A:B,2,FALSE)</f>
        <v/>
      </c>
      <c r="E78" s="229" t="n">
        <v>1000</v>
      </c>
      <c r="F78" s="229" t="n">
        <v>87</v>
      </c>
      <c r="G78" s="229">
        <f>E78*F78</f>
        <v/>
      </c>
      <c r="H78" s="229" t="n">
        <v>74</v>
      </c>
      <c r="I78" s="324" t="n">
        <v>42284</v>
      </c>
      <c r="J78" s="17" t="n">
        <v>79.90000000000001</v>
      </c>
      <c r="K78" s="229">
        <f>E78*J78</f>
        <v/>
      </c>
      <c r="L78" s="17" t="n">
        <v>68</v>
      </c>
      <c r="M78" s="229" t="n">
        <v>239</v>
      </c>
      <c r="N78" s="229" t="n">
        <v>0</v>
      </c>
      <c r="O78" s="584">
        <f>IF(I78="",E78*Y78,0)</f>
        <v/>
      </c>
      <c r="P78" s="585">
        <f>IF(I78="",R78-H78,(K78-H78-SUM(L78:N78)+R78-S78-T78)-G78)+(ROUND(R78*V78,0)-ROUND(R78*(1+V78),0)*W78)</f>
        <v/>
      </c>
      <c r="Q78" s="585">
        <f>IF(I78="",(O78-G78-(O78*0.1425%*0.65)-(O78*0.3%)-S78-T78),0)</f>
        <v/>
      </c>
      <c r="R78" s="585" t="n"/>
      <c r="S78" s="585" t="n"/>
      <c r="T78" s="585">
        <f>IF(ROUND(R78*(1+V78),0)&gt;5000,ROUND(ROUND(R78*(1+V78),0)*2%,0),0)</f>
        <v/>
      </c>
      <c r="U78" s="65">
        <f>(V78*50%)/(1+50%*V78)</f>
        <v/>
      </c>
      <c r="V78" s="65" t="n"/>
      <c r="W78" s="66" t="n"/>
      <c r="X78" s="586">
        <f>(P78+Q78)/G78</f>
        <v/>
      </c>
      <c r="Y78" s="16">
        <f>VLOOKUP(C78,#REF!,3,FALSE)</f>
        <v/>
      </c>
      <c r="Z78" s="587" t="n"/>
      <c r="AA78" s="588">
        <f>((I78-A78)*G78)/365.24</f>
        <v/>
      </c>
    </row>
    <row r="79" hidden="1" outlineLevel="1">
      <c r="A79" s="228" t="n">
        <v>42262</v>
      </c>
      <c r="B79" s="229" t="inlineStr">
        <is>
          <t>普通買進</t>
        </is>
      </c>
      <c r="C79" s="229" t="n">
        <v>3515</v>
      </c>
      <c r="D79" s="229">
        <f>VLOOKUP(C79,每日行情!A:B,2,FALSE)</f>
        <v/>
      </c>
      <c r="E79" s="229" t="n">
        <v>1000</v>
      </c>
      <c r="F79" s="229" t="n">
        <v>39.6</v>
      </c>
      <c r="G79" s="229">
        <f>E79*F79</f>
        <v/>
      </c>
      <c r="H79" s="229" t="n">
        <v>33</v>
      </c>
      <c r="I79" s="324" t="n">
        <v>42293</v>
      </c>
      <c r="J79" s="17" t="n">
        <v>41.5</v>
      </c>
      <c r="K79" s="229">
        <f>E79*J79</f>
        <v/>
      </c>
      <c r="L79" s="17" t="n">
        <v>35</v>
      </c>
      <c r="M79" s="229" t="n">
        <v>124</v>
      </c>
      <c r="N79" s="229" t="n">
        <v>0</v>
      </c>
      <c r="O79" s="584">
        <f>IF(I79="",E79*Y79,0)</f>
        <v/>
      </c>
      <c r="P79" s="585">
        <f>IF(I79="",R79-H79,(K79-H79-SUM(L79:N79)+R79-S79-T79)-G79)+(ROUND(R79*V79,0)-ROUND(R79*(1+V79),0)*W79)</f>
        <v/>
      </c>
      <c r="Q79" s="585">
        <f>IF(I79="",(O79-G79-(O79*0.1425%*0.65)-(O79*0.3%)-S79-T79),0)</f>
        <v/>
      </c>
      <c r="R79" s="585" t="n"/>
      <c r="S79" s="585" t="n"/>
      <c r="T79" s="585">
        <f>IF(ROUND(R79*(1+V79),0)&gt;5000,ROUND(ROUND(R79*(1+V79),0)*2%,0),0)</f>
        <v/>
      </c>
      <c r="U79" s="65">
        <f>(V79*50%)/(1+50%*V79)</f>
        <v/>
      </c>
      <c r="V79" s="65" t="n"/>
      <c r="W79" s="66" t="n"/>
      <c r="X79" s="586">
        <f>(P79+Q79)/G79</f>
        <v/>
      </c>
      <c r="Y79" s="16">
        <f>VLOOKUP(C79,#REF!,3,FALSE)</f>
        <v/>
      </c>
      <c r="Z79" s="587" t="n"/>
      <c r="AA79" s="588">
        <f>((I79-A79)*G79)/365.24</f>
        <v/>
      </c>
    </row>
    <row r="80" hidden="1" outlineLevel="1">
      <c r="A80" s="325" t="n">
        <v>42269</v>
      </c>
      <c r="B80" s="229" t="inlineStr">
        <is>
          <t>普通買進</t>
        </is>
      </c>
      <c r="C80" s="229" t="n">
        <v>2325</v>
      </c>
      <c r="D80" s="229">
        <f>VLOOKUP(C80,每日行情!A:B,2,FALSE)</f>
        <v/>
      </c>
      <c r="E80" s="229" t="n">
        <v>1000</v>
      </c>
      <c r="F80" s="229" t="n">
        <v>40.7</v>
      </c>
      <c r="G80" s="229">
        <f>E80*F80</f>
        <v/>
      </c>
      <c r="H80" s="229" t="n">
        <v>34</v>
      </c>
      <c r="I80" s="324" t="n">
        <v>42297</v>
      </c>
      <c r="J80" s="16" t="n">
        <v>42.7</v>
      </c>
      <c r="K80" s="229">
        <f>E80*J80</f>
        <v/>
      </c>
      <c r="L80" s="17" t="n">
        <v>36</v>
      </c>
      <c r="M80" s="229" t="n">
        <v>128</v>
      </c>
      <c r="N80" s="229" t="n">
        <v>0</v>
      </c>
      <c r="O80" s="584">
        <f>IF(I80="",E80*Y80,0)</f>
        <v/>
      </c>
      <c r="P80" s="585">
        <f>IF(I80="",R80-H80,(K80-H80-SUM(L80:N80)+R80-S80-T80)-G80)+(ROUND(R80*V80,0)-ROUND(R80*(1+V80),0)*W80)</f>
        <v/>
      </c>
      <c r="Q80" s="585">
        <f>IF(I80="",(O80-G80-(O80*0.1425%*0.65)-(O80*0.3%)-S80-T80),0)</f>
        <v/>
      </c>
      <c r="R80" s="585" t="n"/>
      <c r="S80" s="585" t="n"/>
      <c r="T80" s="585">
        <f>IF(ROUND(R80*(1+V80),0)&gt;5000,ROUND(ROUND(R80*(1+V80),0)*2%,0),0)</f>
        <v/>
      </c>
      <c r="U80" s="65">
        <f>(V80*50%)/(1+50%*V80)</f>
        <v/>
      </c>
      <c r="V80" s="65" t="n"/>
      <c r="W80" s="66" t="n"/>
      <c r="X80" s="586">
        <f>(P80+Q80)/G80</f>
        <v/>
      </c>
      <c r="Y80" s="16">
        <f>VLOOKUP(C80,#REF!,3,FALSE)</f>
        <v/>
      </c>
      <c r="Z80" s="587" t="n"/>
      <c r="AA80" s="588">
        <f>((I80-A80)*G80)/365.24</f>
        <v/>
      </c>
    </row>
    <row r="81" hidden="1" outlineLevel="1">
      <c r="A81" s="325" t="n">
        <v>42270</v>
      </c>
      <c r="B81" s="229" t="inlineStr">
        <is>
          <t>普通買進</t>
        </is>
      </c>
      <c r="C81" s="229" t="n">
        <v>2325</v>
      </c>
      <c r="D81" s="229">
        <f>VLOOKUP(C81,每日行情!A:B,2,FALSE)</f>
        <v/>
      </c>
      <c r="E81" s="229" t="n">
        <v>1000</v>
      </c>
      <c r="F81" s="229" t="n">
        <v>39.7</v>
      </c>
      <c r="G81" s="229">
        <f>E81*F81</f>
        <v/>
      </c>
      <c r="H81" s="229" t="n">
        <v>33</v>
      </c>
      <c r="I81" s="325" t="n">
        <v>42278</v>
      </c>
      <c r="J81" s="17" t="n">
        <v>40.4</v>
      </c>
      <c r="K81" s="229">
        <f>E81*J81</f>
        <v/>
      </c>
      <c r="L81" s="17" t="n">
        <v>34</v>
      </c>
      <c r="M81" s="229" t="n">
        <v>121</v>
      </c>
      <c r="N81" s="229" t="n">
        <v>0</v>
      </c>
      <c r="O81" s="584">
        <f>IF(I81="",E81*Y81,0)</f>
        <v/>
      </c>
      <c r="P81" s="585">
        <f>IF(I81="",R81-H81,(K81-H81-SUM(L81:N81)+R81-S81-T81)-G81)+(ROUND(R81*V81,0)-ROUND(R81*(1+V81),0)*W81)</f>
        <v/>
      </c>
      <c r="Q81" s="585">
        <f>IF(I81="",(O81-G81-(O81*0.1425%*0.65)-(O81*0.3%)-S81-T81),0)</f>
        <v/>
      </c>
      <c r="R81" s="585" t="n"/>
      <c r="S81" s="585" t="n"/>
      <c r="T81" s="585">
        <f>IF(ROUND(R81*(1+V81),0)&gt;5000,ROUND(ROUND(R81*(1+V81),0)*2%,0),0)</f>
        <v/>
      </c>
      <c r="U81" s="65">
        <f>(V81*50%)/(1+50%*V81)</f>
        <v/>
      </c>
      <c r="V81" s="65" t="n"/>
      <c r="W81" s="66" t="n"/>
      <c r="X81" s="586">
        <f>(P81+Q81)/G81</f>
        <v/>
      </c>
      <c r="Y81" s="16">
        <f>VLOOKUP(C81,#REF!,3,FALSE)</f>
        <v/>
      </c>
      <c r="Z81" s="587" t="n"/>
      <c r="AA81" s="588">
        <f>((I81-A81)*G81)/365.24</f>
        <v/>
      </c>
    </row>
    <row r="82" hidden="1" outlineLevel="1">
      <c r="A82" s="325" t="n">
        <v>42270</v>
      </c>
      <c r="B82" s="229" t="inlineStr">
        <is>
          <t>普通買進</t>
        </is>
      </c>
      <c r="C82" s="229" t="n">
        <v>3265</v>
      </c>
      <c r="D82" s="229">
        <f>VLOOKUP(C82,每日行情!A:B,2,FALSE)</f>
        <v/>
      </c>
      <c r="E82" s="229" t="n">
        <v>1000</v>
      </c>
      <c r="F82" s="229" t="n">
        <v>26.45</v>
      </c>
      <c r="G82" s="229">
        <f>E82*F82</f>
        <v/>
      </c>
      <c r="H82" s="229" t="n">
        <v>22</v>
      </c>
      <c r="I82" s="325" t="n">
        <v>42278</v>
      </c>
      <c r="J82" s="17" t="n">
        <v>28.3</v>
      </c>
      <c r="K82" s="229">
        <f>E82*J82</f>
        <v/>
      </c>
      <c r="L82" s="17" t="n">
        <v>24</v>
      </c>
      <c r="M82" s="229" t="n">
        <v>84</v>
      </c>
      <c r="N82" s="229" t="n">
        <v>0</v>
      </c>
      <c r="O82" s="584">
        <f>IF(I82="",E82*Y82,0)</f>
        <v/>
      </c>
      <c r="P82" s="585">
        <f>IF(I82="",R82-H82,(K82-H82-SUM(L82:N82)+R82-S82-T82)-G82)+(ROUND(R82*V82,0)-ROUND(R82*(1+V82),0)*W82)</f>
        <v/>
      </c>
      <c r="Q82" s="585">
        <f>IF(I82="",(O82-G82-(O82*0.1425%*0.65)-(O82*0.3%)-S82-T82),0)</f>
        <v/>
      </c>
      <c r="R82" s="585" t="n"/>
      <c r="S82" s="585" t="n"/>
      <c r="T82" s="585">
        <f>IF(ROUND(R82*(1+V82),0)&gt;5000,ROUND(ROUND(R82*(1+V82),0)*2%,0),0)</f>
        <v/>
      </c>
      <c r="U82" s="65">
        <f>(V82*50%)/(1+50%*V82)</f>
        <v/>
      </c>
      <c r="V82" s="65" t="n"/>
      <c r="W82" s="66" t="n"/>
      <c r="X82" s="586">
        <f>(P82+Q82)/G82</f>
        <v/>
      </c>
      <c r="Y82" s="16">
        <f>VLOOKUP(C82,#REF!,3,FALSE)</f>
        <v/>
      </c>
      <c r="Z82" s="587" t="n"/>
      <c r="AA82" s="588">
        <f>((I82-A82)*G82)/365.24</f>
        <v/>
      </c>
    </row>
    <row r="83" hidden="1" outlineLevel="1">
      <c r="A83" s="325" t="n">
        <v>42271</v>
      </c>
      <c r="B83" s="229" t="inlineStr">
        <is>
          <t>普通買進</t>
        </is>
      </c>
      <c r="C83" s="349" t="inlineStr">
        <is>
          <t>0050</t>
        </is>
      </c>
      <c r="D83" s="229">
        <f>VLOOKUP(C83,每日行情!A:B,2,FALSE)</f>
        <v/>
      </c>
      <c r="E83" s="229" t="n">
        <v>1000</v>
      </c>
      <c r="F83" s="229" t="n">
        <v>62</v>
      </c>
      <c r="G83" s="229">
        <f>E83*F83</f>
        <v/>
      </c>
      <c r="H83" s="229" t="n">
        <v>53</v>
      </c>
      <c r="I83" s="325" t="n">
        <v>42278</v>
      </c>
      <c r="J83" s="17" t="n">
        <v>63.6</v>
      </c>
      <c r="K83" s="229">
        <f>E83*J83</f>
        <v/>
      </c>
      <c r="L83" s="17" t="n">
        <v>54</v>
      </c>
      <c r="M83" s="229" t="n">
        <v>63</v>
      </c>
      <c r="N83" s="229" t="n">
        <v>0</v>
      </c>
      <c r="O83" s="584">
        <f>IF(I83="",E83*Y83,0)</f>
        <v/>
      </c>
      <c r="P83" s="585">
        <f>IF(I83="",R83-H83,(K83-H83-SUM(L83:N83)+R83-S83-T83)-G83)+(ROUND(R83*V83,0)-ROUND(R83*(1+V83),0)*W83)</f>
        <v/>
      </c>
      <c r="Q83" s="585">
        <f>IF(I83="",(O83-G83-(O83*0.1425%*0.65)-(O83*0.3%)-S83-T83),0)</f>
        <v/>
      </c>
      <c r="R83" s="585" t="n"/>
      <c r="S83" s="585" t="n"/>
      <c r="T83" s="585">
        <f>IF(ROUND(R83*(1+V83),0)&gt;5000,ROUND(ROUND(R83*(1+V83),0)*2%,0),0)</f>
        <v/>
      </c>
      <c r="U83" s="65">
        <f>(V83*50%)/(1+50%*V83)</f>
        <v/>
      </c>
      <c r="V83" s="65" t="n"/>
      <c r="W83" s="66" t="n"/>
      <c r="X83" s="586">
        <f>(P83+Q83)/G83</f>
        <v/>
      </c>
      <c r="Y83" s="16">
        <f>VLOOKUP(C83,#REF!,3,FALSE)</f>
        <v/>
      </c>
      <c r="Z83" s="587" t="n"/>
      <c r="AA83" s="588">
        <f>((I83-A83)*G83)/365.24</f>
        <v/>
      </c>
    </row>
    <row r="84" hidden="1" outlineLevel="1">
      <c r="A84" s="325" t="n">
        <v>42277</v>
      </c>
      <c r="B84" s="229" t="inlineStr">
        <is>
          <t>普通買進</t>
        </is>
      </c>
      <c r="C84" s="349" t="inlineStr">
        <is>
          <t>0050</t>
        </is>
      </c>
      <c r="D84" s="229">
        <f>VLOOKUP(C84,每日行情!A:B,2,FALSE)</f>
        <v/>
      </c>
      <c r="E84" s="229" t="n">
        <v>1000</v>
      </c>
      <c r="F84" s="229" t="n">
        <v>62.15</v>
      </c>
      <c r="G84" s="229">
        <f>E84*F84</f>
        <v/>
      </c>
      <c r="H84" s="229" t="n">
        <v>50</v>
      </c>
      <c r="I84" s="324" t="n">
        <v>42284</v>
      </c>
      <c r="J84" s="17" t="n">
        <v>64.5</v>
      </c>
      <c r="K84" s="229">
        <f>E84*J84</f>
        <v/>
      </c>
      <c r="L84" s="17" t="n">
        <v>55</v>
      </c>
      <c r="M84" s="229" t="n">
        <v>64</v>
      </c>
      <c r="N84" s="229" t="n">
        <v>0</v>
      </c>
      <c r="O84" s="584">
        <f>IF(I84="",E84*Y84,0)</f>
        <v/>
      </c>
      <c r="P84" s="585">
        <f>IF(I84="",R84-H84,(K84-H84-SUM(L84:N84)+R84-S84-T84)-G84)+(ROUND(R84*V84,0)-ROUND(R84*(1+V84),0)*W84)</f>
        <v/>
      </c>
      <c r="Q84" s="585">
        <f>IF(I84="",(O84-G84-(O84*0.1425%*0.65)-(O84*0.3%)-S84-T84),0)</f>
        <v/>
      </c>
      <c r="R84" s="585" t="n"/>
      <c r="S84" s="585" t="n"/>
      <c r="T84" s="585">
        <f>IF(ROUND(R84*(1+V84),0)&gt;5000,ROUND(ROUND(R84*(1+V84),0)*2%,0),0)</f>
        <v/>
      </c>
      <c r="U84" s="65">
        <f>(V84*50%)/(1+50%*V84)</f>
        <v/>
      </c>
      <c r="V84" s="65" t="n"/>
      <c r="W84" s="66" t="n"/>
      <c r="X84" s="586">
        <f>(P84+Q84)/G84</f>
        <v/>
      </c>
      <c r="Y84" s="16">
        <f>VLOOKUP(C84,#REF!,3,FALSE)</f>
        <v/>
      </c>
      <c r="Z84" s="587" t="n"/>
      <c r="AA84" s="588">
        <f>((I84-A84)*G84)/365.24</f>
        <v/>
      </c>
    </row>
    <row r="85" hidden="1" outlineLevel="1">
      <c r="A85" s="231" t="n">
        <v>42277</v>
      </c>
      <c r="B85" s="232" t="n"/>
      <c r="C85" s="232" t="n">
        <v>93204</v>
      </c>
      <c r="D85" s="232" t="n"/>
      <c r="E85" s="232" t="n"/>
      <c r="F85" s="232" t="n"/>
      <c r="G85" s="232" t="n"/>
      <c r="H85" s="232" t="n"/>
      <c r="I85" s="233" t="n"/>
      <c r="J85" s="42" t="n"/>
      <c r="K85" s="232" t="n"/>
      <c r="L85" s="589" t="n"/>
      <c r="M85" s="232" t="n"/>
      <c r="N85" s="232" t="n"/>
      <c r="O85" s="590" t="n"/>
      <c r="P85" s="591" t="n">
        <v>-981</v>
      </c>
      <c r="Q85" s="591" t="n"/>
      <c r="R85" s="591" t="n"/>
      <c r="S85" s="591" t="n"/>
      <c r="T85" s="591" t="n"/>
      <c r="U85" s="69" t="n"/>
      <c r="V85" s="69" t="n"/>
      <c r="W85" s="71" t="n"/>
      <c r="X85" s="592" t="n"/>
      <c r="Y85" s="42" t="n"/>
      <c r="Z85" s="47" t="n"/>
      <c r="AA85" s="588">
        <f>((I85-A85)*G85)/365.24</f>
        <v/>
      </c>
    </row>
    <row r="86" hidden="1" outlineLevel="1">
      <c r="A86" s="231" t="n">
        <v>42277</v>
      </c>
      <c r="B86" s="232" t="n"/>
      <c r="C86" s="232" t="n">
        <v>93207</v>
      </c>
      <c r="D86" s="232" t="n"/>
      <c r="E86" s="232" t="n"/>
      <c r="F86" s="232" t="n"/>
      <c r="G86" s="232" t="n"/>
      <c r="H86" s="232" t="n"/>
      <c r="I86" s="233" t="n"/>
      <c r="J86" s="42" t="n"/>
      <c r="K86" s="232" t="n"/>
      <c r="L86" s="589" t="n"/>
      <c r="M86" s="232" t="n"/>
      <c r="N86" s="232" t="n"/>
      <c r="O86" s="590" t="n"/>
      <c r="P86" s="591" t="n">
        <v>-763</v>
      </c>
      <c r="Q86" s="591" t="n"/>
      <c r="R86" s="591" t="n"/>
      <c r="S86" s="591" t="n"/>
      <c r="T86" s="591" t="n"/>
      <c r="U86" s="69" t="n"/>
      <c r="V86" s="69" t="n"/>
      <c r="W86" s="71" t="n"/>
      <c r="X86" s="592" t="n"/>
      <c r="Y86" s="42" t="n"/>
      <c r="Z86" s="47" t="n"/>
      <c r="AA86" s="588">
        <f>((I86-A86)*G86)/365.24</f>
        <v/>
      </c>
    </row>
    <row r="87" hidden="1" outlineLevel="1">
      <c r="A87" s="231" t="n">
        <v>42277</v>
      </c>
      <c r="B87" s="232" t="n"/>
      <c r="C87" s="232" t="n">
        <v>93211</v>
      </c>
      <c r="D87" s="232" t="n"/>
      <c r="E87" s="232" t="n"/>
      <c r="F87" s="232" t="n"/>
      <c r="G87" s="232" t="n"/>
      <c r="H87" s="232" t="n"/>
      <c r="I87" s="233" t="n"/>
      <c r="J87" s="42" t="n"/>
      <c r="K87" s="232" t="n"/>
      <c r="L87" s="589" t="n"/>
      <c r="M87" s="232" t="n"/>
      <c r="N87" s="232" t="n"/>
      <c r="O87" s="590" t="n"/>
      <c r="P87" s="591" t="n">
        <v>-2621</v>
      </c>
      <c r="Q87" s="591" t="n"/>
      <c r="R87" s="591" t="n"/>
      <c r="S87" s="591" t="n"/>
      <c r="T87" s="591" t="n"/>
      <c r="U87" s="69" t="n"/>
      <c r="V87" s="69" t="n"/>
      <c r="W87" s="71" t="n"/>
      <c r="X87" s="592" t="n"/>
      <c r="Y87" s="42" t="n"/>
      <c r="Z87" s="47" t="n"/>
      <c r="AA87" s="588">
        <f>((I87-A87)*G87)/365.24</f>
        <v/>
      </c>
    </row>
    <row r="88" collapsed="1">
      <c r="A88" s="228" t="n">
        <v>42278</v>
      </c>
      <c r="B88" s="229" t="inlineStr">
        <is>
          <t>普通買進</t>
        </is>
      </c>
      <c r="C88" s="229" t="n">
        <v>2618</v>
      </c>
      <c r="D88" s="229">
        <f>VLOOKUP(C88,每日行情!A:B,2,FALSE)</f>
        <v/>
      </c>
      <c r="E88" s="229" t="n">
        <v>1000</v>
      </c>
      <c r="F88" s="229" t="n">
        <v>19.15</v>
      </c>
      <c r="G88" s="229">
        <f>E88*F88</f>
        <v/>
      </c>
      <c r="H88" s="229" t="n">
        <v>20</v>
      </c>
      <c r="I88" s="325" t="n">
        <v>42278</v>
      </c>
      <c r="J88" s="17" t="n">
        <v>19.7</v>
      </c>
      <c r="K88" s="229">
        <f>E88*J88</f>
        <v/>
      </c>
      <c r="L88" s="17" t="n">
        <v>20</v>
      </c>
      <c r="M88" s="229" t="n">
        <v>59</v>
      </c>
      <c r="N88" s="229" t="n">
        <v>0</v>
      </c>
      <c r="O88" s="584">
        <f>IF(I88="",E88*Y88,0)</f>
        <v/>
      </c>
      <c r="P88" s="585">
        <f>IF(I88="",R88-H88,(K88-H88-SUM(L88:N88)+R88-S88-T88)-G88)+(ROUND(R88*V88,0)-ROUND(R88*(1+V88),0)*W88)</f>
        <v/>
      </c>
      <c r="Q88" s="585">
        <f>IF(I88="",(O88-G88-(O88*0.1425%*0.65)-(O88*0.3%)-S88-T88),0)</f>
        <v/>
      </c>
      <c r="R88" s="585" t="n"/>
      <c r="S88" s="585" t="n"/>
      <c r="T88" s="585">
        <f>IF(ROUND(R88*(1+V88),0)&gt;5000,ROUND(ROUND(R88*(1+V88),0)*2%,0),0)</f>
        <v/>
      </c>
      <c r="U88" s="65">
        <f>(V88*50%)/(1+50%*V88)</f>
        <v/>
      </c>
      <c r="V88" s="65" t="n"/>
      <c r="W88" s="66" t="n"/>
      <c r="X88" s="586">
        <f>(P88+Q88)/G88</f>
        <v/>
      </c>
      <c r="Y88" s="16">
        <f>VLOOKUP(C88,#REF!,3,FALSE)</f>
        <v/>
      </c>
      <c r="Z88" s="587" t="n"/>
      <c r="AA88" s="588">
        <f>((I88-A88)*G88)/365.24</f>
        <v/>
      </c>
    </row>
    <row r="89" hidden="1" outlineLevel="1">
      <c r="A89" s="228" t="n">
        <v>42278</v>
      </c>
      <c r="B89" s="229" t="inlineStr">
        <is>
          <t>普通買進</t>
        </is>
      </c>
      <c r="C89" s="229" t="n">
        <v>2610</v>
      </c>
      <c r="D89" s="229">
        <f>VLOOKUP(C89,每日行情!A:B,2,FALSE)</f>
        <v/>
      </c>
      <c r="E89" s="229" t="n">
        <v>1000</v>
      </c>
      <c r="F89" s="229" t="n">
        <v>11.65</v>
      </c>
      <c r="G89" s="229">
        <f>E89*F89</f>
        <v/>
      </c>
      <c r="H89" s="229" t="n">
        <v>20</v>
      </c>
      <c r="I89" s="325" t="n">
        <v>42278</v>
      </c>
      <c r="J89" s="16" t="n">
        <v>11.85</v>
      </c>
      <c r="K89" s="229">
        <f>E89*J89</f>
        <v/>
      </c>
      <c r="L89" s="792" t="n">
        <v>20</v>
      </c>
      <c r="M89" s="229" t="n">
        <v>35</v>
      </c>
      <c r="N89" s="229" t="n">
        <v>0</v>
      </c>
      <c r="O89" s="584">
        <f>IF(I89="",E89*Y89,0)</f>
        <v/>
      </c>
      <c r="P89" s="585">
        <f>IF(I89="",R89-H89,(K89-H89-SUM(L89:N89)+R89-S89-T89)-G89)+(ROUND(R89*V89,0)-ROUND(R89*(1+V89),0)*W89)</f>
        <v/>
      </c>
      <c r="Q89" s="585">
        <f>IF(I89="",(O89-G89-(O89*0.1425%*0.65)-(O89*0.3%)-S89-T89),0)</f>
        <v/>
      </c>
      <c r="R89" s="585" t="n"/>
      <c r="S89" s="585" t="n"/>
      <c r="T89" s="585">
        <f>IF(ROUND(R89*(1+V89),0)&gt;5000,ROUND(ROUND(R89*(1+V89),0)*2%,0),0)</f>
        <v/>
      </c>
      <c r="U89" s="65">
        <f>(V89*50%)/(1+50%*V89)</f>
        <v/>
      </c>
      <c r="V89" s="65" t="n"/>
      <c r="W89" s="66" t="n"/>
      <c r="X89" s="586">
        <f>(P89+Q89)/G89</f>
        <v/>
      </c>
      <c r="Y89" s="16">
        <f>VLOOKUP(C89,#REF!,3,FALSE)</f>
        <v/>
      </c>
      <c r="Z89" s="587" t="n"/>
      <c r="AA89" s="588">
        <f>((I89-A89)*G89)/365.24</f>
        <v/>
      </c>
    </row>
    <row r="90" hidden="1" outlineLevel="1">
      <c r="A90" s="228" t="n">
        <v>42278</v>
      </c>
      <c r="B90" s="229" t="inlineStr">
        <is>
          <t>普通買進</t>
        </is>
      </c>
      <c r="C90" s="229" t="n">
        <v>4105</v>
      </c>
      <c r="D90" s="229">
        <f>VLOOKUP(C90,每日行情!A:B,2,FALSE)</f>
        <v/>
      </c>
      <c r="E90" s="229" t="n">
        <v>1000</v>
      </c>
      <c r="F90" s="229" t="n">
        <v>99.3</v>
      </c>
      <c r="G90" s="229">
        <f>E90*F90</f>
        <v/>
      </c>
      <c r="H90" s="229" t="n">
        <v>84</v>
      </c>
      <c r="I90" s="324" t="n">
        <v>42284</v>
      </c>
      <c r="J90" s="229" t="n">
        <v>93.59999999999999</v>
      </c>
      <c r="K90" s="229">
        <f>E90*J90</f>
        <v/>
      </c>
      <c r="L90" s="17" t="n">
        <v>80</v>
      </c>
      <c r="M90" s="229" t="n">
        <v>280</v>
      </c>
      <c r="N90" s="229" t="n">
        <v>0</v>
      </c>
      <c r="O90" s="584">
        <f>IF(I90="",E90*Y90,0)</f>
        <v/>
      </c>
      <c r="P90" s="585">
        <f>IF(I90="",R90-H90,(K90-H90-SUM(L90:N90)+R90-S90-T90)-G90)+(ROUND(R90*V90,0)-ROUND(R90*(1+V90),0)*W90)</f>
        <v/>
      </c>
      <c r="Q90" s="585">
        <f>IF(I90="",(O90-G90-(O90*0.1425%*0.65)-(O90*0.3%)-S90-T90),0)</f>
        <v/>
      </c>
      <c r="R90" s="585" t="n"/>
      <c r="S90" s="585" t="n"/>
      <c r="T90" s="585">
        <f>IF(ROUND(R90*(1+V90),0)&gt;5000,ROUND(ROUND(R90*(1+V90),0)*2%,0),0)</f>
        <v/>
      </c>
      <c r="U90" s="65">
        <f>(V90*50%)/(1+50%*V90)</f>
        <v/>
      </c>
      <c r="V90" s="65" t="n"/>
      <c r="W90" s="66" t="n"/>
      <c r="X90" s="586">
        <f>(P90+Q90)/G90</f>
        <v/>
      </c>
      <c r="Y90" s="16">
        <f>VLOOKUP(C90,#REF!,3,FALSE)</f>
        <v/>
      </c>
      <c r="Z90" s="587" t="n"/>
      <c r="AA90" s="588">
        <f>((I90-A90)*G90)/365.24</f>
        <v/>
      </c>
    </row>
    <row r="91" hidden="1" outlineLevel="1">
      <c r="A91" s="228" t="n">
        <v>42279</v>
      </c>
      <c r="B91" s="229" t="inlineStr">
        <is>
          <t>普通買進</t>
        </is>
      </c>
      <c r="C91" s="229" t="n">
        <v>8383</v>
      </c>
      <c r="D91" s="229">
        <f>VLOOKUP(C91,每日行情!A:B,2,FALSE)</f>
        <v/>
      </c>
      <c r="E91" s="229" t="n">
        <v>1000</v>
      </c>
      <c r="F91" s="229" t="n">
        <v>59.6</v>
      </c>
      <c r="G91" s="229">
        <f>E91*F91</f>
        <v/>
      </c>
      <c r="H91" s="229" t="n">
        <v>50</v>
      </c>
      <c r="I91" s="324" t="n">
        <v>42279</v>
      </c>
      <c r="J91" s="229" t="n">
        <v>60</v>
      </c>
      <c r="K91" s="229">
        <f>E91*J91</f>
        <v/>
      </c>
      <c r="L91" s="17" t="n">
        <v>51</v>
      </c>
      <c r="M91" s="229" t="n">
        <v>180</v>
      </c>
      <c r="N91" s="229" t="n">
        <v>0</v>
      </c>
      <c r="O91" s="584">
        <f>IF(I91="",E91*Y91,0)</f>
        <v/>
      </c>
      <c r="P91" s="585">
        <f>IF(I91="",R91-H91,(K91-H91-SUM(L91:N91)+R91-S91-T91)-G91)+(ROUND(R91*V91,0)-ROUND(R91*(1+V91),0)*W91)</f>
        <v/>
      </c>
      <c r="Q91" s="585">
        <f>IF(I91="",(O91-G91-(O91*0.1425%*0.65)-(O91*0.3%)-S91-T91),0)</f>
        <v/>
      </c>
      <c r="R91" s="585" t="n"/>
      <c r="S91" s="585" t="n"/>
      <c r="T91" s="585">
        <f>IF(ROUND(R91*(1+V91),0)&gt;5000,ROUND(ROUND(R91*(1+V91),0)*2%,0),0)</f>
        <v/>
      </c>
      <c r="U91" s="65">
        <f>(V91*50%)/(1+50%*V91)</f>
        <v/>
      </c>
      <c r="V91" s="65" t="n"/>
      <c r="W91" s="66" t="n"/>
      <c r="X91" s="586">
        <f>(P91+Q91)/G91</f>
        <v/>
      </c>
      <c r="Y91" s="16">
        <f>VLOOKUP(C91,#REF!,3,FALSE)</f>
        <v/>
      </c>
      <c r="Z91" s="587" t="n"/>
      <c r="AA91" s="588">
        <f>((I91-A91)*G91)/365.24</f>
        <v/>
      </c>
    </row>
    <row r="92" hidden="1" outlineLevel="1">
      <c r="A92" s="228" t="n">
        <v>42279</v>
      </c>
      <c r="B92" s="229" t="inlineStr">
        <is>
          <t>普通買進</t>
        </is>
      </c>
      <c r="C92" s="229" t="n">
        <v>3105</v>
      </c>
      <c r="D92" s="229">
        <f>VLOOKUP(C92,每日行情!A:B,2,FALSE)</f>
        <v/>
      </c>
      <c r="E92" s="229" t="n">
        <v>1000</v>
      </c>
      <c r="F92" s="229" t="n">
        <v>40.7</v>
      </c>
      <c r="G92" s="229">
        <f>E92*F92</f>
        <v/>
      </c>
      <c r="H92" s="229" t="n">
        <v>34</v>
      </c>
      <c r="I92" s="324" t="n">
        <v>42282</v>
      </c>
      <c r="J92" s="229" t="n">
        <v>42.85</v>
      </c>
      <c r="K92" s="229">
        <f>E92*J92</f>
        <v/>
      </c>
      <c r="L92" s="17" t="n">
        <v>36</v>
      </c>
      <c r="M92" s="229" t="n">
        <v>128</v>
      </c>
      <c r="N92" s="229" t="n">
        <v>0</v>
      </c>
      <c r="O92" s="584">
        <f>IF(I92="",E92*Y92,0)</f>
        <v/>
      </c>
      <c r="P92" s="585">
        <f>IF(I92="",R92-H92,(K92-H92-SUM(L92:N92)+R92-S92-T92)-G92)+(ROUND(R92*V92,0)-ROUND(R92*(1+V92),0)*W92)</f>
        <v/>
      </c>
      <c r="Q92" s="585">
        <f>IF(I92="",(O92-G92-(O92*0.1425%*0.65)-(O92*0.3%)-S92-T92),0)</f>
        <v/>
      </c>
      <c r="R92" s="585" t="n"/>
      <c r="S92" s="585" t="n"/>
      <c r="T92" s="585">
        <f>IF(ROUND(R92*(1+V92),0)&gt;5000,ROUND(ROUND(R92*(1+V92),0)*2%,0),0)</f>
        <v/>
      </c>
      <c r="U92" s="65">
        <f>(V92*50%)/(1+50%*V92)</f>
        <v/>
      </c>
      <c r="V92" s="65" t="n"/>
      <c r="W92" s="66" t="n"/>
      <c r="X92" s="586">
        <f>(P92+Q92)/G92</f>
        <v/>
      </c>
      <c r="Y92" s="16">
        <f>VLOOKUP(C92,#REF!,3,FALSE)</f>
        <v/>
      </c>
      <c r="Z92" s="587" t="n"/>
      <c r="AA92" s="588">
        <f>((I92-A92)*G92)/365.24</f>
        <v/>
      </c>
    </row>
    <row r="93" hidden="1" outlineLevel="1">
      <c r="A93" s="228" t="n">
        <v>42279</v>
      </c>
      <c r="B93" s="229" t="inlineStr">
        <is>
          <t>普通買進</t>
        </is>
      </c>
      <c r="C93" s="229" t="n">
        <v>6282</v>
      </c>
      <c r="D93" s="229">
        <f>VLOOKUP(C93,每日行情!A:B,2,FALSE)</f>
        <v/>
      </c>
      <c r="E93" s="229" t="n">
        <v>1000</v>
      </c>
      <c r="F93" s="229" t="n">
        <v>22.25</v>
      </c>
      <c r="G93" s="229">
        <f>E93*F93</f>
        <v/>
      </c>
      <c r="H93" s="229" t="n">
        <v>20</v>
      </c>
      <c r="I93" s="324" t="n">
        <v>42289</v>
      </c>
      <c r="J93" s="229" t="n">
        <v>22.35</v>
      </c>
      <c r="K93" s="229">
        <f>E93*J93</f>
        <v/>
      </c>
      <c r="L93" s="17" t="n">
        <v>20</v>
      </c>
      <c r="M93" s="229" t="n">
        <v>67</v>
      </c>
      <c r="N93" s="229" t="n">
        <v>0</v>
      </c>
      <c r="O93" s="584">
        <f>IF(I93="",E93*Y93,0)</f>
        <v/>
      </c>
      <c r="P93" s="585">
        <f>IF(I93="",R93-H93,(K93-H93-SUM(L93:N93)+R93-S93-T93)-G93)+(ROUND(R93*V93,0)-ROUND(R93*(1+V93),0)*W93)</f>
        <v/>
      </c>
      <c r="Q93" s="585">
        <f>IF(I93="",(O93-G93-(O93*0.1425%*0.65)-(O93*0.3%)-S93-T93),0)</f>
        <v/>
      </c>
      <c r="R93" s="585" t="n"/>
      <c r="S93" s="585" t="n"/>
      <c r="T93" s="585">
        <f>IF(ROUND(R93*(1+V93),0)&gt;5000,ROUND(ROUND(R93*(1+V93),0)*2%,0),0)</f>
        <v/>
      </c>
      <c r="U93" s="65">
        <f>(V93*50%)/(1+50%*V93)</f>
        <v/>
      </c>
      <c r="V93" s="65" t="n"/>
      <c r="W93" s="66" t="n"/>
      <c r="X93" s="586">
        <f>(P93+Q93)/G93</f>
        <v/>
      </c>
      <c r="Y93" s="16">
        <f>VLOOKUP(C93,#REF!,3,FALSE)</f>
        <v/>
      </c>
      <c r="Z93" s="587" t="n"/>
      <c r="AA93" s="588">
        <f>((I93-A93)*G93)/365.24</f>
        <v/>
      </c>
    </row>
    <row r="94" hidden="1" outlineLevel="1">
      <c r="A94" s="228" t="n">
        <v>42284</v>
      </c>
      <c r="B94" s="229" t="inlineStr">
        <is>
          <t>普通買進</t>
        </is>
      </c>
      <c r="C94" s="229" t="n">
        <v>2404</v>
      </c>
      <c r="D94" s="229">
        <f>VLOOKUP(C94,每日行情!A:B,2,FALSE)</f>
        <v/>
      </c>
      <c r="E94" s="229" t="n">
        <v>1000</v>
      </c>
      <c r="F94" s="229" t="n">
        <v>37.75</v>
      </c>
      <c r="G94" s="229">
        <f>E94*F94</f>
        <v/>
      </c>
      <c r="H94" s="229" t="n">
        <v>32</v>
      </c>
      <c r="I94" s="324" t="n">
        <v>42289</v>
      </c>
      <c r="J94" s="229" t="n">
        <v>38.35</v>
      </c>
      <c r="K94" s="229">
        <f>E94*J94</f>
        <v/>
      </c>
      <c r="L94" s="17" t="n">
        <v>32</v>
      </c>
      <c r="M94" s="229" t="n">
        <v>115</v>
      </c>
      <c r="N94" s="229" t="n">
        <v>0</v>
      </c>
      <c r="O94" s="584">
        <f>IF(I94="",E94*Y94,0)</f>
        <v/>
      </c>
      <c r="P94" s="585">
        <f>IF(I94="",R94-H94,(K94-H94-SUM(L94:N94)+R94-S94-T94)-G94)+(ROUND(R94*V94,0)-ROUND(R94*(1+V94),0)*W94)</f>
        <v/>
      </c>
      <c r="Q94" s="585">
        <f>IF(I94="",(O94-G94-(O94*0.1425%*0.65)-(O94*0.3%)-S94-T94),0)</f>
        <v/>
      </c>
      <c r="R94" s="585" t="n"/>
      <c r="S94" s="585" t="n"/>
      <c r="T94" s="585">
        <f>IF(ROUND(R94*(1+V94),0)&gt;5000,ROUND(ROUND(R94*(1+V94),0)*2%,0),0)</f>
        <v/>
      </c>
      <c r="U94" s="65">
        <f>(V94*50%)/(1+50%*V94)</f>
        <v/>
      </c>
      <c r="V94" s="65" t="n"/>
      <c r="W94" s="66" t="n"/>
      <c r="X94" s="586">
        <f>(P94+Q94)/G94</f>
        <v/>
      </c>
      <c r="Y94" s="16">
        <f>VLOOKUP(C94,#REF!,3,FALSE)</f>
        <v/>
      </c>
      <c r="Z94" s="587" t="n"/>
      <c r="AA94" s="588">
        <f>((I94-A94)*G94)/365.24</f>
        <v/>
      </c>
    </row>
    <row r="95" hidden="1" outlineLevel="1">
      <c r="A95" s="228" t="n">
        <v>42284</v>
      </c>
      <c r="B95" s="229" t="inlineStr">
        <is>
          <t>普通買進</t>
        </is>
      </c>
      <c r="C95" s="229" t="n">
        <v>4958</v>
      </c>
      <c r="D95" s="229">
        <f>VLOOKUP(C95,每日行情!A:B,2,FALSE)</f>
        <v/>
      </c>
      <c r="E95" s="229" t="n">
        <v>1000</v>
      </c>
      <c r="F95" s="229" t="n">
        <v>98.3</v>
      </c>
      <c r="G95" s="229">
        <f>E95*F95</f>
        <v/>
      </c>
      <c r="H95" s="229" t="n">
        <v>84</v>
      </c>
      <c r="I95" s="324" t="n">
        <v>42290</v>
      </c>
      <c r="J95" s="229" t="n">
        <v>97.59999999999999</v>
      </c>
      <c r="K95" s="229">
        <f>E95*J95</f>
        <v/>
      </c>
      <c r="L95" s="17" t="n">
        <v>83</v>
      </c>
      <c r="M95" s="229" t="n">
        <v>292</v>
      </c>
      <c r="N95" s="229" t="n">
        <v>0</v>
      </c>
      <c r="O95" s="584">
        <f>IF(I95="",E95*Y95,0)</f>
        <v/>
      </c>
      <c r="P95" s="585">
        <f>IF(I95="",R95-H95,(K95-H95-SUM(L95:N95)+R95-S95-T95)-G95)+(ROUND(R95*V95,0)-ROUND(R95*(1+V95),0)*W95)</f>
        <v/>
      </c>
      <c r="Q95" s="585">
        <f>IF(I95="",(O95-G95-(O95*0.1425%*0.65)-(O95*0.3%)-S95-T95),0)</f>
        <v/>
      </c>
      <c r="R95" s="585" t="n"/>
      <c r="S95" s="585" t="n"/>
      <c r="T95" s="585">
        <f>IF(ROUND(R95*(1+V95),0)&gt;5000,ROUND(ROUND(R95*(1+V95),0)*2%,0),0)</f>
        <v/>
      </c>
      <c r="U95" s="65">
        <f>(V95*50%)/(1+50%*V95)</f>
        <v/>
      </c>
      <c r="V95" s="65" t="n"/>
      <c r="W95" s="66" t="n"/>
      <c r="X95" s="586">
        <f>(P95+Q95)/G95</f>
        <v/>
      </c>
      <c r="Y95" s="16">
        <f>VLOOKUP(C95,#REF!,3,FALSE)</f>
        <v/>
      </c>
      <c r="Z95" s="587" t="n"/>
      <c r="AA95" s="588">
        <f>((I95-A95)*G95)/365.24</f>
        <v/>
      </c>
    </row>
    <row r="96" hidden="1" outlineLevel="1">
      <c r="A96" s="228" t="n">
        <v>42284</v>
      </c>
      <c r="B96" s="229" t="inlineStr">
        <is>
          <t>普通買進</t>
        </is>
      </c>
      <c r="C96" s="229" t="n">
        <v>1301</v>
      </c>
      <c r="D96" s="229">
        <f>VLOOKUP(C96,每日行情!A:B,2,FALSE)</f>
        <v/>
      </c>
      <c r="E96" s="229" t="n">
        <v>1000</v>
      </c>
      <c r="F96" s="229" t="n">
        <v>73.7</v>
      </c>
      <c r="G96" s="229">
        <f>E96*F96</f>
        <v/>
      </c>
      <c r="H96" s="229" t="n">
        <v>63</v>
      </c>
      <c r="I96" s="324" t="n">
        <v>42290</v>
      </c>
      <c r="J96" s="229" t="n">
        <v>77.09999999999999</v>
      </c>
      <c r="K96" s="229">
        <f>E96*J96</f>
        <v/>
      </c>
      <c r="L96" s="17" t="n">
        <v>65</v>
      </c>
      <c r="M96" s="229" t="n">
        <v>231</v>
      </c>
      <c r="N96" s="229" t="n">
        <v>0</v>
      </c>
      <c r="O96" s="584">
        <f>IF(I96="",E96*Y96,0)</f>
        <v/>
      </c>
      <c r="P96" s="585">
        <f>IF(I96="",R96-H96,(K96-H96-SUM(L96:N96)+R96-S96-T96)-G96)+(ROUND(R96*V96,0)-ROUND(R96*(1+V96),0)*W96)</f>
        <v/>
      </c>
      <c r="Q96" s="585">
        <f>IF(I96="",(O96-G96-(O96*0.1425%*0.65)-(O96*0.3%)-S96-T96),0)</f>
        <v/>
      </c>
      <c r="R96" s="585" t="n"/>
      <c r="S96" s="585" t="n"/>
      <c r="T96" s="585">
        <f>IF(ROUND(R96*(1+V96),0)&gt;5000,ROUND(ROUND(R96*(1+V96),0)*2%,0),0)</f>
        <v/>
      </c>
      <c r="U96" s="65">
        <f>(V96*50%)/(1+50%*V96)</f>
        <v/>
      </c>
      <c r="V96" s="65" t="n"/>
      <c r="W96" s="66" t="n"/>
      <c r="X96" s="586">
        <f>(P96+Q96)/G96</f>
        <v/>
      </c>
      <c r="Y96" s="16">
        <f>VLOOKUP(C96,#REF!,3,FALSE)</f>
        <v/>
      </c>
      <c r="Z96" s="587" t="n"/>
      <c r="AA96" s="588">
        <f>((I96-A96)*G96)/365.24</f>
        <v/>
      </c>
    </row>
    <row r="97" hidden="1" outlineLevel="1">
      <c r="A97" s="228" t="n">
        <v>42289</v>
      </c>
      <c r="B97" s="229" t="inlineStr">
        <is>
          <t>普通買進</t>
        </is>
      </c>
      <c r="C97" s="229" t="n">
        <v>2610</v>
      </c>
      <c r="D97" s="229">
        <f>VLOOKUP(C97,每日行情!A:B,2,FALSE)</f>
        <v/>
      </c>
      <c r="E97" s="229" t="n">
        <v>1000</v>
      </c>
      <c r="F97" s="229" t="n">
        <v>11</v>
      </c>
      <c r="G97" s="229">
        <f>E97*F97</f>
        <v/>
      </c>
      <c r="H97" s="229" t="n">
        <v>20</v>
      </c>
      <c r="I97" s="324" t="n">
        <v>42293</v>
      </c>
      <c r="J97" s="16" t="n">
        <v>11.6</v>
      </c>
      <c r="K97" s="229">
        <f>E97*J97</f>
        <v/>
      </c>
      <c r="L97" s="17" t="n">
        <v>20</v>
      </c>
      <c r="M97" s="229" t="n">
        <v>34</v>
      </c>
      <c r="N97" s="229" t="n">
        <v>0</v>
      </c>
      <c r="O97" s="584">
        <f>IF(I97="",E97*Y97,0)</f>
        <v/>
      </c>
      <c r="P97" s="585">
        <f>IF(I97="",R97-H97,(K97-H97-SUM(L97:N97)+R97-S97-T97)-G97)+(ROUND(R97*V97,0)-ROUND(R97*(1+V97),0)*W97)</f>
        <v/>
      </c>
      <c r="Q97" s="585">
        <f>IF(I97="",(O97-G97-(O97*0.1425%*0.65)-(O97*0.3%)-S97-T97),0)</f>
        <v/>
      </c>
      <c r="R97" s="585" t="n"/>
      <c r="S97" s="585" t="n"/>
      <c r="T97" s="585">
        <f>IF(ROUND(R97*(1+V97),0)&gt;5000,ROUND(ROUND(R97*(1+V97),0)*2%,0),0)</f>
        <v/>
      </c>
      <c r="U97" s="65">
        <f>(V97*50%)/(1+50%*V97)</f>
        <v/>
      </c>
      <c r="V97" s="65" t="n"/>
      <c r="W97" s="66" t="n"/>
      <c r="X97" s="586">
        <f>(P97+Q97)/G97</f>
        <v/>
      </c>
      <c r="Y97" s="16">
        <f>VLOOKUP(C97,#REF!,3,FALSE)</f>
        <v/>
      </c>
      <c r="Z97" s="587" t="n"/>
      <c r="AA97" s="588">
        <f>((I97-A97)*G97)/365.24</f>
        <v/>
      </c>
    </row>
    <row r="98" hidden="1" outlineLevel="1">
      <c r="A98" s="231" t="n">
        <v>42289</v>
      </c>
      <c r="B98" s="232" t="n"/>
      <c r="C98" s="232" t="n">
        <v>93204</v>
      </c>
      <c r="D98" s="232" t="n"/>
      <c r="E98" s="232" t="n"/>
      <c r="F98" s="232" t="n"/>
      <c r="G98" s="232" t="n"/>
      <c r="H98" s="232" t="n"/>
      <c r="I98" s="233" t="n"/>
      <c r="J98" s="42" t="n"/>
      <c r="K98" s="232" t="n"/>
      <c r="L98" s="589" t="n"/>
      <c r="M98" s="232" t="n"/>
      <c r="N98" s="232" t="n"/>
      <c r="O98" s="590" t="n"/>
      <c r="P98" s="591" t="n">
        <v>-32</v>
      </c>
      <c r="Q98" s="591" t="n"/>
      <c r="R98" s="591" t="n"/>
      <c r="S98" s="591" t="n"/>
      <c r="T98" s="591" t="n"/>
      <c r="U98" s="69" t="n"/>
      <c r="V98" s="69" t="n"/>
      <c r="W98" s="71" t="n"/>
      <c r="X98" s="592" t="n"/>
      <c r="Y98" s="42" t="n"/>
      <c r="Z98" s="47" t="n"/>
      <c r="AA98" s="588">
        <f>((I98-A98)*G98)/365.24</f>
        <v/>
      </c>
    </row>
    <row r="99" hidden="1" outlineLevel="1">
      <c r="A99" s="231" t="n">
        <v>42289</v>
      </c>
      <c r="B99" s="232" t="n"/>
      <c r="C99" s="232" t="n">
        <v>93205</v>
      </c>
      <c r="D99" s="232" t="n"/>
      <c r="E99" s="232" t="n"/>
      <c r="F99" s="232" t="n"/>
      <c r="G99" s="232" t="n"/>
      <c r="H99" s="232" t="n"/>
      <c r="I99" s="233" t="n"/>
      <c r="J99" s="42" t="n"/>
      <c r="K99" s="232" t="n"/>
      <c r="L99" s="589" t="n"/>
      <c r="M99" s="232" t="n"/>
      <c r="N99" s="232" t="n"/>
      <c r="O99" s="590" t="n"/>
      <c r="P99" s="591" t="n">
        <v>-1130</v>
      </c>
      <c r="Q99" s="591" t="n"/>
      <c r="R99" s="591" t="n"/>
      <c r="S99" s="591" t="n"/>
      <c r="T99" s="591" t="n"/>
      <c r="U99" s="69" t="n"/>
      <c r="V99" s="69" t="n"/>
      <c r="W99" s="71" t="n"/>
      <c r="X99" s="592" t="n"/>
      <c r="Y99" s="42" t="n"/>
      <c r="Z99" s="47" t="n"/>
      <c r="AA99" s="588">
        <f>((I99-A99)*G99)/365.24</f>
        <v/>
      </c>
    </row>
    <row r="100" hidden="1" outlineLevel="1">
      <c r="A100" s="228" t="n">
        <v>42292</v>
      </c>
      <c r="B100" s="229" t="inlineStr">
        <is>
          <t>普通買進</t>
        </is>
      </c>
      <c r="C100" s="229" t="n">
        <v>2412</v>
      </c>
      <c r="D100" s="229">
        <f>VLOOKUP(C100,每日行情!A:B,2,FALSE)</f>
        <v/>
      </c>
      <c r="E100" s="229" t="n">
        <v>1000</v>
      </c>
      <c r="F100" s="229" t="n">
        <v>99.2</v>
      </c>
      <c r="G100" s="229">
        <f>E100*F100</f>
        <v/>
      </c>
      <c r="H100" s="229" t="n">
        <v>84</v>
      </c>
      <c r="I100" s="324" t="n">
        <v>42293</v>
      </c>
      <c r="J100" s="16" t="n">
        <v>99.59999999999999</v>
      </c>
      <c r="K100" s="229">
        <f>E100*J100</f>
        <v/>
      </c>
      <c r="L100" s="17" t="n">
        <v>85</v>
      </c>
      <c r="M100" s="229" t="n">
        <v>298</v>
      </c>
      <c r="N100" s="229" t="n">
        <v>0</v>
      </c>
      <c r="O100" s="584">
        <f>IF(I100="",E100*Y100,0)</f>
        <v/>
      </c>
      <c r="P100" s="585">
        <f>IF(I100="",R100-H100,(K100-H100-SUM(L100:N100)+R100-S100-T100)-G100)+(ROUND(R100*V100,0)-ROUND(R100*(1+V100),0)*W100)</f>
        <v/>
      </c>
      <c r="Q100" s="585">
        <f>IF(I100="",(O100-G100-(O100*0.1425%*0.65)-(O100*0.3%)-S100-T100),0)</f>
        <v/>
      </c>
      <c r="R100" s="585" t="n"/>
      <c r="S100" s="585" t="n"/>
      <c r="T100" s="585">
        <f>IF(ROUND(R100*(1+V100),0)&gt;5000,ROUND(ROUND(R100*(1+V100),0)*2%,0),0)</f>
        <v/>
      </c>
      <c r="U100" s="65">
        <f>(V100*50%)/(1+50%*V100)</f>
        <v/>
      </c>
      <c r="V100" s="65" t="n"/>
      <c r="W100" s="66" t="n"/>
      <c r="X100" s="586">
        <f>(P100+Q100)/G100</f>
        <v/>
      </c>
      <c r="Y100" s="16">
        <f>VLOOKUP(C100,#REF!,3,FALSE)</f>
        <v/>
      </c>
      <c r="Z100" s="587" t="n"/>
      <c r="AA100" s="588">
        <f>((I100-A100)*G100)/365.24</f>
        <v/>
      </c>
    </row>
    <row r="101" hidden="1" outlineLevel="1">
      <c r="A101" s="228" t="n">
        <v>42292</v>
      </c>
      <c r="B101" s="229" t="inlineStr">
        <is>
          <t>普通買進</t>
        </is>
      </c>
      <c r="C101" s="229" t="n">
        <v>2881</v>
      </c>
      <c r="D101" s="229">
        <f>VLOOKUP(C101,每日行情!A:B,2,FALSE)</f>
        <v/>
      </c>
      <c r="E101" s="229" t="n">
        <v>1000</v>
      </c>
      <c r="F101" s="229" t="n">
        <v>52.4</v>
      </c>
      <c r="G101" s="229">
        <f>E101*F101</f>
        <v/>
      </c>
      <c r="H101" s="229" t="n">
        <v>44</v>
      </c>
      <c r="I101" s="324" t="n">
        <v>42293</v>
      </c>
      <c r="J101" s="16" t="n">
        <v>52.7</v>
      </c>
      <c r="K101" s="229">
        <f>E101*J101</f>
        <v/>
      </c>
      <c r="L101" s="17" t="n">
        <v>45</v>
      </c>
      <c r="M101" s="229" t="n">
        <v>158</v>
      </c>
      <c r="N101" s="229" t="n">
        <v>0</v>
      </c>
      <c r="O101" s="584">
        <f>IF(I101="",E101*Y101,0)</f>
        <v/>
      </c>
      <c r="P101" s="585">
        <f>IF(I101="",R101-H101,(K101-H101-SUM(L101:N101)+R101-S101-T101)-G101)+(ROUND(R101*V101,0)-ROUND(R101*(1+V101),0)*W101)</f>
        <v/>
      </c>
      <c r="Q101" s="585">
        <f>IF(I101="",(O101-G101-(O101*0.1425%*0.65)-(O101*0.3%)-S101-T101),0)</f>
        <v/>
      </c>
      <c r="R101" s="585" t="n"/>
      <c r="S101" s="585" t="n"/>
      <c r="T101" s="585">
        <f>IF(ROUND(R101*(1+V101),0)&gt;5000,ROUND(ROUND(R101*(1+V101),0)*2%,0),0)</f>
        <v/>
      </c>
      <c r="U101" s="65">
        <f>(V101*50%)/(1+50%*V101)</f>
        <v/>
      </c>
      <c r="V101" s="65" t="n"/>
      <c r="W101" s="66" t="n"/>
      <c r="X101" s="586">
        <f>(P101+Q101)/G101</f>
        <v/>
      </c>
      <c r="Y101" s="16">
        <f>VLOOKUP(C101,#REF!,3,FALSE)</f>
        <v/>
      </c>
      <c r="Z101" s="587" t="n"/>
      <c r="AA101" s="588">
        <f>((I101-A101)*G101)/365.24</f>
        <v/>
      </c>
    </row>
    <row r="102" hidden="1" outlineLevel="1">
      <c r="A102" s="228" t="n">
        <v>42292</v>
      </c>
      <c r="B102" s="229" t="inlineStr">
        <is>
          <t>普通買進</t>
        </is>
      </c>
      <c r="C102" s="229" t="n">
        <v>2330</v>
      </c>
      <c r="D102" s="229">
        <f>VLOOKUP(C102,每日行情!A:B,2,FALSE)</f>
        <v/>
      </c>
      <c r="E102" s="229" t="n">
        <v>1000</v>
      </c>
      <c r="F102" s="229" t="n">
        <v>137</v>
      </c>
      <c r="G102" s="229">
        <f>E102*F102</f>
        <v/>
      </c>
      <c r="H102" s="229" t="n">
        <v>117</v>
      </c>
      <c r="I102" s="324" t="n">
        <v>42298</v>
      </c>
      <c r="J102" s="16" t="n">
        <v>138</v>
      </c>
      <c r="K102" s="229">
        <f>E102*J102</f>
        <v/>
      </c>
      <c r="L102" s="17" t="n">
        <v>117</v>
      </c>
      <c r="M102" s="229" t="n">
        <v>414</v>
      </c>
      <c r="N102" s="229" t="n">
        <v>0</v>
      </c>
      <c r="O102" s="584">
        <f>IF(I102="",E102*Y102,0)</f>
        <v/>
      </c>
      <c r="P102" s="585">
        <f>IF(I102="",R102-H102,(K102-H102-SUM(L102:N102)+R102-S102-T102)-G102)+(ROUND(R102*V102,0)-ROUND(R102*(1+V102),0)*W102)</f>
        <v/>
      </c>
      <c r="Q102" s="585">
        <f>IF(I102="",(O102-G102-(O102*0.1425%*0.65)-(O102*0.3%)-S102-T102),0)</f>
        <v/>
      </c>
      <c r="R102" s="585" t="n"/>
      <c r="S102" s="585" t="n"/>
      <c r="T102" s="585">
        <f>IF(ROUND(R102*(1+V102),0)&gt;5000,ROUND(ROUND(R102*(1+V102),0)*2%,0),0)</f>
        <v/>
      </c>
      <c r="U102" s="65">
        <f>(V102*50%)/(1+50%*V102)</f>
        <v/>
      </c>
      <c r="V102" s="65" t="n"/>
      <c r="W102" s="66" t="n"/>
      <c r="X102" s="586">
        <f>(P102+Q102)/G102</f>
        <v/>
      </c>
      <c r="Y102" s="16">
        <f>VLOOKUP(C102,#REF!,3,FALSE)</f>
        <v/>
      </c>
      <c r="Z102" s="587" t="n"/>
      <c r="AA102" s="588">
        <f>((I102-A102)*G102)/365.24</f>
        <v/>
      </c>
    </row>
    <row r="103" hidden="1" outlineLevel="1">
      <c r="A103" s="228" t="n">
        <v>42293</v>
      </c>
      <c r="B103" s="229" t="inlineStr">
        <is>
          <t>普通買進</t>
        </is>
      </c>
      <c r="C103" s="229" t="n">
        <v>2330</v>
      </c>
      <c r="D103" s="229">
        <f>VLOOKUP(C103,每日行情!A:B,2,FALSE)</f>
        <v/>
      </c>
      <c r="E103" s="229" t="n">
        <v>1000</v>
      </c>
      <c r="F103" s="229" t="n">
        <v>140</v>
      </c>
      <c r="G103" s="229">
        <f>E103*F103</f>
        <v/>
      </c>
      <c r="H103" s="229" t="n">
        <v>119</v>
      </c>
      <c r="I103" s="324" t="n">
        <v>42313</v>
      </c>
      <c r="J103" s="16" t="n">
        <v>143</v>
      </c>
      <c r="K103" s="229">
        <f>E103*J103</f>
        <v/>
      </c>
      <c r="L103" s="17">
        <f>K103*0.1425%*0.6</f>
        <v/>
      </c>
      <c r="M103" s="229">
        <f>K103*0.3%</f>
        <v/>
      </c>
      <c r="N103" s="229" t="n">
        <v>0</v>
      </c>
      <c r="O103" s="584">
        <f>IF(I103="",E103*Y103,0)</f>
        <v/>
      </c>
      <c r="P103" s="585">
        <f>IF(I103="",R103-H103,(K103-H103-SUM(L103:N103)+R103-S103-T103)-G103)+(ROUND(R103*V103,0)-ROUND(R103*(1+V103),0)*W103)</f>
        <v/>
      </c>
      <c r="Q103" s="585">
        <f>IF(I103="",(O103-G103-(O103*0.1425%*0.65)-(O103*0.3%)-S103-T103),0)</f>
        <v/>
      </c>
      <c r="R103" s="585" t="n"/>
      <c r="S103" s="585" t="n"/>
      <c r="T103" s="585">
        <f>IF(ROUND(R103*(1+V103),0)&gt;5000,ROUND(ROUND(R103*(1+V103),0)*2%,0),0)</f>
        <v/>
      </c>
      <c r="U103" s="65">
        <f>(V103*50%)/(1+50%*V103)</f>
        <v/>
      </c>
      <c r="V103" s="65" t="n"/>
      <c r="W103" s="66" t="n"/>
      <c r="X103" s="586">
        <f>(P103+Q103)/G103</f>
        <v/>
      </c>
      <c r="Y103" s="16">
        <f>VLOOKUP(C103,#REF!,3,FALSE)</f>
        <v/>
      </c>
      <c r="Z103" s="587" t="n"/>
      <c r="AA103" s="588">
        <f>((I103-A103)*G103)/365.24</f>
        <v/>
      </c>
    </row>
    <row r="104" hidden="1" outlineLevel="1">
      <c r="A104" s="228" t="n">
        <v>42314</v>
      </c>
      <c r="B104" s="229" t="inlineStr">
        <is>
          <t>普通買進</t>
        </is>
      </c>
      <c r="C104" s="229" t="n">
        <v>2330</v>
      </c>
      <c r="D104" s="229">
        <f>VLOOKUP(C104,每日行情!A:B,2,FALSE)</f>
        <v/>
      </c>
      <c r="E104" s="229" t="n">
        <v>1000</v>
      </c>
      <c r="F104" s="229" t="n">
        <v>139.5</v>
      </c>
      <c r="G104" s="229">
        <f>E104*F104</f>
        <v/>
      </c>
      <c r="H104" s="229" t="n">
        <v>119</v>
      </c>
      <c r="I104" s="324" t="n">
        <v>42317</v>
      </c>
      <c r="J104" s="16" t="n">
        <v>142</v>
      </c>
      <c r="K104" s="229">
        <f>E104*J104</f>
        <v/>
      </c>
      <c r="L104" s="17" t="n">
        <v>121</v>
      </c>
      <c r="M104" s="229" t="n">
        <v>426</v>
      </c>
      <c r="N104" s="229" t="n">
        <v>0</v>
      </c>
      <c r="O104" s="584">
        <f>IF(I104="",E104*Y104,0)</f>
        <v/>
      </c>
      <c r="P104" s="585">
        <f>IF(I104="",R104-H104,(K104-H104-SUM(L104:N104)+R104-S104-T104)-G104)+(ROUND(R104*V104,0)-ROUND(R104*(1+V104),0)*W104)</f>
        <v/>
      </c>
      <c r="Q104" s="585">
        <f>IF(I104="",(O104-G104-(O104*0.1425%*0.65)-(O104*0.3%)-S104-T104),0)</f>
        <v/>
      </c>
      <c r="R104" s="585" t="n"/>
      <c r="S104" s="585" t="n"/>
      <c r="T104" s="585">
        <f>IF(ROUND(R104*(1+V104),0)&gt;5000,ROUND(ROUND(R104*(1+V104),0)*2%,0),0)</f>
        <v/>
      </c>
      <c r="U104" s="65">
        <f>(V104*50%)/(1+50%*V104)</f>
        <v/>
      </c>
      <c r="V104" s="65" t="n"/>
      <c r="W104" s="66" t="n"/>
      <c r="X104" s="586">
        <f>(P104+Q104)/G104</f>
        <v/>
      </c>
      <c r="Y104" s="16">
        <f>VLOOKUP(C104,#REF!,3,FALSE)</f>
        <v/>
      </c>
      <c r="Z104" s="587" t="n"/>
      <c r="AA104" s="588">
        <f>((I104-A104)*G104)/365.24</f>
        <v/>
      </c>
    </row>
    <row r="105" hidden="1" outlineLevel="1">
      <c r="A105" s="228" t="n">
        <v>42314</v>
      </c>
      <c r="B105" s="229" t="inlineStr">
        <is>
          <t>普通買進</t>
        </is>
      </c>
      <c r="C105" s="229" t="n">
        <v>2881</v>
      </c>
      <c r="D105" s="229">
        <f>VLOOKUP(C105,每日行情!A:B,2,FALSE)</f>
        <v/>
      </c>
      <c r="E105" s="229" t="n">
        <v>1000</v>
      </c>
      <c r="F105" s="229" t="n">
        <v>54.8</v>
      </c>
      <c r="G105" s="229">
        <f>E105*F105</f>
        <v/>
      </c>
      <c r="H105" s="229" t="n">
        <v>46</v>
      </c>
      <c r="I105" s="324" t="n">
        <v>42317</v>
      </c>
      <c r="J105" s="17" t="n">
        <v>55.4</v>
      </c>
      <c r="K105" s="229">
        <f>E105*J105</f>
        <v/>
      </c>
      <c r="L105" s="17" t="n">
        <v>47</v>
      </c>
      <c r="M105" s="229" t="n">
        <v>166</v>
      </c>
      <c r="N105" s="229" t="n">
        <v>0</v>
      </c>
      <c r="O105" s="584">
        <f>IF(I105="",E105*Y105,0)</f>
        <v/>
      </c>
      <c r="P105" s="585">
        <f>IF(I105="",R105-H105,(K105-H105-SUM(L105:N105)+R105-S105-T105)-G105)+(ROUND(R105*V105,0)-ROUND(R105*(1+V105),0)*W105)</f>
        <v/>
      </c>
      <c r="Q105" s="585">
        <f>IF(I105="",(O105-G105-(O105*0.1425%*0.65)-(O105*0.3%)-S105-T105),0)</f>
        <v/>
      </c>
      <c r="R105" s="585" t="n"/>
      <c r="S105" s="585" t="n"/>
      <c r="T105" s="585">
        <f>IF(ROUND(R105*(1+V105),0)&gt;5000,ROUND(ROUND(R105*(1+V105),0)*2%,0),0)</f>
        <v/>
      </c>
      <c r="U105" s="65">
        <f>(V105*50%)/(1+50%*V105)</f>
        <v/>
      </c>
      <c r="V105" s="65" t="n"/>
      <c r="W105" s="66" t="n"/>
      <c r="X105" s="586">
        <f>(P105+Q105)/G105</f>
        <v/>
      </c>
      <c r="Y105" s="16">
        <f>VLOOKUP(C105,#REF!,3,FALSE)</f>
        <v/>
      </c>
      <c r="Z105" s="587" t="n"/>
      <c r="AA105" s="588">
        <f>((I105-A105)*G105)/365.24</f>
        <v/>
      </c>
    </row>
    <row r="106" hidden="1" outlineLevel="1">
      <c r="A106" s="228" t="n">
        <v>42318</v>
      </c>
      <c r="B106" s="229" t="inlineStr">
        <is>
          <t>普通買進</t>
        </is>
      </c>
      <c r="C106" s="229" t="n">
        <v>4938</v>
      </c>
      <c r="D106" s="229">
        <f>VLOOKUP(C106,每日行情!A:B,2,FALSE)</f>
        <v/>
      </c>
      <c r="E106" s="229" t="n">
        <v>1000</v>
      </c>
      <c r="F106" s="229" t="n">
        <v>82.7</v>
      </c>
      <c r="G106" s="229">
        <f>E106*F106</f>
        <v/>
      </c>
      <c r="H106" s="229" t="n">
        <v>70</v>
      </c>
      <c r="I106" s="324" t="n">
        <v>42319</v>
      </c>
      <c r="J106" s="17" t="n">
        <v>83.2</v>
      </c>
      <c r="K106" s="229">
        <f>E106*J106</f>
        <v/>
      </c>
      <c r="L106" s="17" t="n">
        <v>71</v>
      </c>
      <c r="M106" s="229" t="n">
        <v>249</v>
      </c>
      <c r="N106" s="229" t="n">
        <v>0</v>
      </c>
      <c r="O106" s="584">
        <f>IF(I106="",E106*Y106,0)</f>
        <v/>
      </c>
      <c r="P106" s="585">
        <f>IF(I106="",R106-H106,(K106-H106-SUM(L106:N106)+R106-S106-T106)-G106)+(ROUND(R106*V106,0)-ROUND(R106*(1+V106),0)*W106)</f>
        <v/>
      </c>
      <c r="Q106" s="585">
        <f>IF(I106="",(O106-G106-(O106*0.1425%*0.65)-(O106*0.3%)-S106-T106),0)</f>
        <v/>
      </c>
      <c r="R106" s="585" t="n"/>
      <c r="S106" s="585" t="n"/>
      <c r="T106" s="585">
        <f>IF(ROUND(R106*(1+V106),0)&gt;5000,ROUND(ROUND(R106*(1+V106),0)*2%,0),0)</f>
        <v/>
      </c>
      <c r="U106" s="65">
        <f>(V106*50%)/(1+50%*V106)</f>
        <v/>
      </c>
      <c r="V106" s="65" t="n"/>
      <c r="W106" s="66" t="n"/>
      <c r="X106" s="586">
        <f>(P106+Q106)/G106</f>
        <v/>
      </c>
      <c r="Y106" s="16">
        <f>VLOOKUP(C106,#REF!,3,FALSE)</f>
        <v/>
      </c>
      <c r="Z106" s="587" t="n"/>
      <c r="AA106" s="588">
        <f>((I106-A106)*G106)/365.24</f>
        <v/>
      </c>
    </row>
    <row r="107" hidden="1" outlineLevel="1">
      <c r="A107" s="228" t="n">
        <v>42324</v>
      </c>
      <c r="B107" s="229" t="inlineStr">
        <is>
          <t>普通買進</t>
        </is>
      </c>
      <c r="C107" s="229" t="n">
        <v>2412</v>
      </c>
      <c r="D107" s="229">
        <f>VLOOKUP(C107,每日行情!A:B,2,FALSE)</f>
        <v/>
      </c>
      <c r="E107" s="229" t="n">
        <v>1000</v>
      </c>
      <c r="F107" s="229" t="n">
        <v>97.59999999999999</v>
      </c>
      <c r="G107" s="229">
        <f>E107*F107</f>
        <v/>
      </c>
      <c r="H107" s="229" t="n">
        <v>83</v>
      </c>
      <c r="I107" s="324" t="n">
        <v>42325</v>
      </c>
      <c r="J107" s="16" t="n">
        <v>99.7</v>
      </c>
      <c r="K107" s="229">
        <f>E107*J107</f>
        <v/>
      </c>
      <c r="L107" s="17" t="n">
        <v>85</v>
      </c>
      <c r="M107" s="229" t="n">
        <v>299</v>
      </c>
      <c r="N107" s="229" t="n">
        <v>0</v>
      </c>
      <c r="O107" s="584">
        <f>IF(I107="",E107*Y107,0)</f>
        <v/>
      </c>
      <c r="P107" s="585">
        <f>IF(I107="",R107-H107,(K107-H107-SUM(L107:N107)+R107-S107-T107)-G107)+(ROUND(R107*V107,0)-ROUND(R107*(1+V107),0)*W107)</f>
        <v/>
      </c>
      <c r="Q107" s="585">
        <f>IF(I107="",(O107-G107-(O107*0.1425%*0.65)-(O107*0.3%)-S107-T107),0)</f>
        <v/>
      </c>
      <c r="R107" s="585" t="n"/>
      <c r="S107" s="585" t="n"/>
      <c r="T107" s="585">
        <f>IF(ROUND(R107*(1+V107),0)&gt;5000,ROUND(ROUND(R107*(1+V107),0)*2%,0),0)</f>
        <v/>
      </c>
      <c r="U107" s="65">
        <f>(V107*50%)/(1+50%*V107)</f>
        <v/>
      </c>
      <c r="V107" s="65" t="n"/>
      <c r="W107" s="66" t="n"/>
      <c r="X107" s="586">
        <f>(P107+Q107)/G107</f>
        <v/>
      </c>
      <c r="Y107" s="16">
        <f>VLOOKUP(C107,#REF!,3,FALSE)</f>
        <v/>
      </c>
      <c r="Z107" s="587" t="n"/>
      <c r="AA107" s="588">
        <f>((I107-A107)*G107)/365.24</f>
        <v/>
      </c>
    </row>
    <row r="108" hidden="1" outlineLevel="1">
      <c r="A108" s="228" t="n">
        <v>42324</v>
      </c>
      <c r="B108" s="229" t="inlineStr">
        <is>
          <t>普通買進</t>
        </is>
      </c>
      <c r="C108" s="229" t="n">
        <v>2330</v>
      </c>
      <c r="D108" s="229">
        <f>VLOOKUP(C108,每日行情!A:B,2,FALSE)</f>
        <v/>
      </c>
      <c r="E108" s="229" t="n">
        <v>1000</v>
      </c>
      <c r="F108" s="229" t="n">
        <v>135</v>
      </c>
      <c r="G108" s="229">
        <f>E108*F108</f>
        <v/>
      </c>
      <c r="H108" s="229" t="n">
        <v>115</v>
      </c>
      <c r="I108" s="324" t="n">
        <v>42326</v>
      </c>
      <c r="J108" s="16" t="n">
        <v>138</v>
      </c>
      <c r="K108" s="229">
        <f>E108*J108</f>
        <v/>
      </c>
      <c r="L108" s="17" t="n">
        <v>117</v>
      </c>
      <c r="M108" s="229" t="n">
        <v>414</v>
      </c>
      <c r="N108" s="229" t="n">
        <v>0</v>
      </c>
      <c r="O108" s="584">
        <f>IF(I108="",E108*Y108,0)</f>
        <v/>
      </c>
      <c r="P108" s="585">
        <f>IF(I108="",R108-H108,(K108-H108-SUM(L108:N108)+R108-S108-T108)-G108)+(ROUND(R108*V108,0)-ROUND(R108*(1+V108),0)*W108)</f>
        <v/>
      </c>
      <c r="Q108" s="585">
        <f>IF(I108="",(O108-G108-(O108*0.1425%*0.65)-(O108*0.3%)-S108-T108),0)</f>
        <v/>
      </c>
      <c r="R108" s="585" t="n"/>
      <c r="S108" s="585" t="n"/>
      <c r="T108" s="585">
        <f>IF(ROUND(R108*(1+V108),0)&gt;5000,ROUND(ROUND(R108*(1+V108),0)*2%,0),0)</f>
        <v/>
      </c>
      <c r="U108" s="65">
        <f>(V108*50%)/(1+50%*V108)</f>
        <v/>
      </c>
      <c r="V108" s="65" t="n"/>
      <c r="W108" s="66" t="n"/>
      <c r="X108" s="586">
        <f>(P108+Q108)/G108</f>
        <v/>
      </c>
      <c r="Y108" s="16">
        <f>VLOOKUP(C108,#REF!,3,FALSE)</f>
        <v/>
      </c>
      <c r="Z108" s="587" t="n"/>
      <c r="AA108" s="588">
        <f>((I108-A108)*G108)/365.24</f>
        <v/>
      </c>
    </row>
    <row r="109" hidden="1" outlineLevel="1">
      <c r="A109" s="228" t="n">
        <v>42331</v>
      </c>
      <c r="B109" s="229" t="inlineStr">
        <is>
          <t>普通買進</t>
        </is>
      </c>
      <c r="C109" s="229" t="n">
        <v>3662</v>
      </c>
      <c r="D109" s="229">
        <f>VLOOKUP(C109,每日行情!A:B,2,FALSE)</f>
        <v/>
      </c>
      <c r="E109" s="229" t="n">
        <v>1000</v>
      </c>
      <c r="F109" s="229" t="n">
        <v>98.5</v>
      </c>
      <c r="G109" s="229">
        <f>E109*F109</f>
        <v/>
      </c>
      <c r="H109" s="229" t="n">
        <v>84</v>
      </c>
      <c r="I109" s="324" t="n">
        <v>42332</v>
      </c>
      <c r="J109" s="16" t="n">
        <v>94.59999999999999</v>
      </c>
      <c r="K109" s="229">
        <f>E109*J109</f>
        <v/>
      </c>
      <c r="L109" s="17" t="n">
        <v>80</v>
      </c>
      <c r="M109" s="229" t="n">
        <v>283</v>
      </c>
      <c r="N109" s="229" t="n">
        <v>0</v>
      </c>
      <c r="O109" s="584">
        <f>IF(I109="",E109*Y109,0)</f>
        <v/>
      </c>
      <c r="P109" s="585">
        <f>IF(I109="",R109-H109,(K109-H109-SUM(L109:N109)+R109-S109-T109)-G109)+(ROUND(R109*V109,0)-ROUND(R109*(1+V109),0)*W109)</f>
        <v/>
      </c>
      <c r="Q109" s="585">
        <f>IF(I109="",(O109-G109-(O109*0.1425%*0.65)-(O109*0.3%)-S109-T109),0)</f>
        <v/>
      </c>
      <c r="R109" s="585" t="n"/>
      <c r="S109" s="585" t="n"/>
      <c r="T109" s="585">
        <f>IF(ROUND(R109*(1+V109),0)&gt;5000,ROUND(ROUND(R109*(1+V109),0)*2%,0),0)</f>
        <v/>
      </c>
      <c r="U109" s="65">
        <f>(V109*50%)/(1+50%*V109)</f>
        <v/>
      </c>
      <c r="V109" s="65" t="n"/>
      <c r="W109" s="66" t="n"/>
      <c r="X109" s="586">
        <f>(P109+Q109)/G109</f>
        <v/>
      </c>
      <c r="Y109" s="16">
        <f>VLOOKUP(C109,#REF!,3,FALSE)</f>
        <v/>
      </c>
      <c r="Z109" s="587" t="n"/>
      <c r="AA109" s="588">
        <f>((I109-A109)*G109)/365.24</f>
        <v/>
      </c>
    </row>
    <row r="110" hidden="1" outlineLevel="1">
      <c r="A110" s="228" t="n">
        <v>42331</v>
      </c>
      <c r="B110" s="229" t="inlineStr">
        <is>
          <t>普通買進</t>
        </is>
      </c>
      <c r="C110" s="229" t="n">
        <v>6105</v>
      </c>
      <c r="D110" s="229">
        <f>VLOOKUP(C110,每日行情!A:B,2,FALSE)</f>
        <v/>
      </c>
      <c r="E110" s="229" t="n">
        <v>1000</v>
      </c>
      <c r="F110" s="229" t="n">
        <v>45.1</v>
      </c>
      <c r="G110" s="229">
        <f>E110*F110</f>
        <v/>
      </c>
      <c r="H110" s="229" t="n">
        <v>38</v>
      </c>
      <c r="I110" s="324" t="n">
        <v>42332</v>
      </c>
      <c r="J110" s="16" t="n">
        <v>43.85</v>
      </c>
      <c r="K110" s="229">
        <f>E110*J110</f>
        <v/>
      </c>
      <c r="L110" s="17" t="n">
        <v>37</v>
      </c>
      <c r="M110" s="229" t="n">
        <v>131</v>
      </c>
      <c r="N110" s="229" t="n">
        <v>0</v>
      </c>
      <c r="O110" s="584">
        <f>IF(I110="",E110*Y110,0)</f>
        <v/>
      </c>
      <c r="P110" s="585">
        <f>IF(I110="",R110-H110,(K110-H110-SUM(L110:N110)+R110-S110-T110)-G110)+(ROUND(R110*V110,0)-ROUND(R110*(1+V110),0)*W110)</f>
        <v/>
      </c>
      <c r="Q110" s="585">
        <f>IF(I110="",(O110-G110-(O110*0.1425%*0.65)-(O110*0.3%)-S110-T110),0)</f>
        <v/>
      </c>
      <c r="R110" s="585" t="n"/>
      <c r="S110" s="585" t="n"/>
      <c r="T110" s="585">
        <f>IF(ROUND(R110*(1+V110),0)&gt;5000,ROUND(ROUND(R110*(1+V110),0)*2%,0),0)</f>
        <v/>
      </c>
      <c r="U110" s="65">
        <f>(V110*50%)/(1+50%*V110)</f>
        <v/>
      </c>
      <c r="V110" s="65" t="n"/>
      <c r="W110" s="66" t="n"/>
      <c r="X110" s="586">
        <f>(P110+Q110)/G110</f>
        <v/>
      </c>
      <c r="Y110" s="16">
        <f>VLOOKUP(C110,#REF!,3,FALSE)</f>
        <v/>
      </c>
      <c r="Z110" s="587" t="n"/>
      <c r="AA110" s="588">
        <f>((I110-A110)*G110)/365.24</f>
        <v/>
      </c>
    </row>
    <row r="111" hidden="1" outlineLevel="1">
      <c r="A111" s="228" t="n">
        <v>42331</v>
      </c>
      <c r="B111" s="229" t="inlineStr">
        <is>
          <t>普通買進</t>
        </is>
      </c>
      <c r="C111" s="229" t="n">
        <v>6282</v>
      </c>
      <c r="D111" s="229">
        <f>VLOOKUP(C111,每日行情!A:B,2,FALSE)</f>
        <v/>
      </c>
      <c r="E111" s="229" t="n">
        <v>1000</v>
      </c>
      <c r="F111" s="229" t="n">
        <v>28</v>
      </c>
      <c r="G111" s="229">
        <f>E111*F111</f>
        <v/>
      </c>
      <c r="H111" s="229" t="n">
        <v>23</v>
      </c>
      <c r="I111" s="324" t="n">
        <v>42332</v>
      </c>
      <c r="J111" s="16" t="n">
        <v>27.1</v>
      </c>
      <c r="K111" s="229">
        <f>E111*J111</f>
        <v/>
      </c>
      <c r="L111" s="17" t="n">
        <v>23</v>
      </c>
      <c r="M111" s="229" t="n">
        <v>81</v>
      </c>
      <c r="N111" s="229" t="n">
        <v>0</v>
      </c>
      <c r="O111" s="584">
        <f>IF(I111="",E111*Y111,0)</f>
        <v/>
      </c>
      <c r="P111" s="585">
        <f>IF(I111="",R111-H111,(K111-H111-SUM(L111:N111)+R111-S111-T111)-G111)+(ROUND(R111*V111,0)-ROUND(R111*(1+V111),0)*W111)</f>
        <v/>
      </c>
      <c r="Q111" s="585">
        <f>IF(I111="",(O111-G111-(O111*0.1425%*0.65)-(O111*0.3%)-S111-T111),0)</f>
        <v/>
      </c>
      <c r="R111" s="585" t="n"/>
      <c r="S111" s="585" t="n"/>
      <c r="T111" s="585">
        <f>IF(ROUND(R111*(1+V111),0)&gt;5000,ROUND(ROUND(R111*(1+V111),0)*2%,0),0)</f>
        <v/>
      </c>
      <c r="U111" s="65">
        <f>(V111*50%)/(1+50%*V111)</f>
        <v/>
      </c>
      <c r="V111" s="65" t="n"/>
      <c r="W111" s="66" t="n"/>
      <c r="X111" s="586">
        <f>(P111+Q111)/G111</f>
        <v/>
      </c>
      <c r="Y111" s="16">
        <f>VLOOKUP(C111,#REF!,3,FALSE)</f>
        <v/>
      </c>
      <c r="Z111" s="587" t="n"/>
      <c r="AA111" s="588">
        <f>((I111-A111)*G111)/365.24</f>
        <v/>
      </c>
    </row>
    <row r="112" hidden="1" outlineLevel="1">
      <c r="A112" s="228" t="n">
        <v>42332</v>
      </c>
      <c r="B112" s="229" t="inlineStr">
        <is>
          <t>普通買進</t>
        </is>
      </c>
      <c r="C112" s="229" t="n">
        <v>2377</v>
      </c>
      <c r="D112" s="229">
        <f>VLOOKUP(C112,每日行情!A:B,2,FALSE)</f>
        <v/>
      </c>
      <c r="E112" s="229" t="n">
        <v>1000</v>
      </c>
      <c r="F112" s="229" t="n">
        <v>42.95</v>
      </c>
      <c r="G112" s="229">
        <f>E112*F112</f>
        <v/>
      </c>
      <c r="H112" s="229" t="n">
        <v>36</v>
      </c>
      <c r="I112" s="324" t="n">
        <v>42333</v>
      </c>
      <c r="J112" s="16" t="n">
        <v>43.9</v>
      </c>
      <c r="K112" s="229">
        <f>E112*J112</f>
        <v/>
      </c>
      <c r="L112" s="17" t="n">
        <v>37</v>
      </c>
      <c r="M112" s="229" t="n">
        <v>131</v>
      </c>
      <c r="N112" s="229" t="n">
        <v>0</v>
      </c>
      <c r="O112" s="584">
        <f>IF(I112="",E112*Y112,0)</f>
        <v/>
      </c>
      <c r="P112" s="585">
        <f>IF(I112="",R112-H112,(K112-H112-SUM(L112:N112)+R112-S112-T112)-G112)+(ROUND(R112*V112,0)-ROUND(R112*(1+V112),0)*W112)</f>
        <v/>
      </c>
      <c r="Q112" s="585">
        <f>IF(I112="",(O112-G112-(O112*0.1425%*0.65)-(O112*0.3%)-S112-T112),0)</f>
        <v/>
      </c>
      <c r="R112" s="585" t="n"/>
      <c r="S112" s="585" t="n"/>
      <c r="T112" s="585">
        <f>IF(ROUND(R112*(1+V112),0)&gt;5000,ROUND(ROUND(R112*(1+V112),0)*2%,0),0)</f>
        <v/>
      </c>
      <c r="U112" s="65">
        <f>(V112*50%)/(1+50%*V112)</f>
        <v/>
      </c>
      <c r="V112" s="65" t="n"/>
      <c r="W112" s="66" t="n"/>
      <c r="X112" s="586">
        <f>(P112+Q112)/G112</f>
        <v/>
      </c>
      <c r="Y112" s="16">
        <f>VLOOKUP(C112,#REF!,3,FALSE)</f>
        <v/>
      </c>
      <c r="Z112" s="587" t="n"/>
      <c r="AA112" s="588">
        <f>((I112-A112)*G112)/365.24</f>
        <v/>
      </c>
    </row>
    <row r="113" hidden="1" outlineLevel="1">
      <c r="A113" s="228" t="n">
        <v>42332</v>
      </c>
      <c r="B113" s="229" t="inlineStr">
        <is>
          <t>普通買進</t>
        </is>
      </c>
      <c r="C113" s="229" t="n">
        <v>1732</v>
      </c>
      <c r="D113" s="229">
        <f>VLOOKUP(C113,每日行情!A:B,2,FALSE)</f>
        <v/>
      </c>
      <c r="E113" s="229" t="n">
        <v>1000</v>
      </c>
      <c r="F113" s="229" t="n">
        <v>13</v>
      </c>
      <c r="G113" s="229">
        <f>E113*F113</f>
        <v/>
      </c>
      <c r="H113" s="229" t="n">
        <v>20</v>
      </c>
      <c r="I113" s="324" t="n">
        <v>42334</v>
      </c>
      <c r="J113" s="16" t="n">
        <v>13.3</v>
      </c>
      <c r="K113" s="229">
        <f>E113*J113</f>
        <v/>
      </c>
      <c r="L113" s="17" t="n">
        <v>20</v>
      </c>
      <c r="M113" s="229" t="n">
        <v>39</v>
      </c>
      <c r="N113" s="229" t="n">
        <v>0</v>
      </c>
      <c r="O113" s="584">
        <f>IF(I113="",E113*Y113,0)</f>
        <v/>
      </c>
      <c r="P113" s="585">
        <f>IF(I113="",R113-H113,(K113-H113-SUM(L113:N113)+R113-S113-T113)-G113)+(ROUND(R113*V113,0)-ROUND(R113*(1+V113),0)*W113)</f>
        <v/>
      </c>
      <c r="Q113" s="585">
        <f>IF(I113="",(O113-G113-(O113*0.1425%*0.65)-(O113*0.3%)-S113-T113),0)</f>
        <v/>
      </c>
      <c r="R113" s="585" t="n"/>
      <c r="S113" s="585" t="n"/>
      <c r="T113" s="585">
        <f>IF(ROUND(R113*(1+V113),0)&gt;5000,ROUND(ROUND(R113*(1+V113),0)*2%,0),0)</f>
        <v/>
      </c>
      <c r="U113" s="65">
        <f>(V113*50%)/(1+50%*V113)</f>
        <v/>
      </c>
      <c r="V113" s="65" t="n"/>
      <c r="W113" s="66" t="n"/>
      <c r="X113" s="586">
        <f>(P113+Q113)/G113</f>
        <v/>
      </c>
      <c r="Y113" s="16">
        <f>VLOOKUP(C113,#REF!,3,FALSE)</f>
        <v/>
      </c>
      <c r="Z113" s="587" t="n"/>
      <c r="AA113" s="588">
        <f>((I113-A113)*G113)/365.24</f>
        <v/>
      </c>
    </row>
    <row r="114" hidden="1" outlineLevel="1">
      <c r="A114" s="228" t="n">
        <v>42332</v>
      </c>
      <c r="B114" s="229" t="inlineStr">
        <is>
          <t>普通買進</t>
        </is>
      </c>
      <c r="C114" s="229" t="n">
        <v>1787</v>
      </c>
      <c r="D114" s="229">
        <f>VLOOKUP(C114,每日行情!A:B,2,FALSE)</f>
        <v/>
      </c>
      <c r="E114" s="229" t="n">
        <v>1000</v>
      </c>
      <c r="F114" s="229" t="n">
        <v>23.6</v>
      </c>
      <c r="G114" s="229">
        <f>E114*F114</f>
        <v/>
      </c>
      <c r="H114" s="229" t="n">
        <v>20</v>
      </c>
      <c r="I114" s="324" t="n">
        <v>42334</v>
      </c>
      <c r="J114" s="16" t="n">
        <v>23.2</v>
      </c>
      <c r="K114" s="229">
        <f>E114*J114</f>
        <v/>
      </c>
      <c r="L114" s="17" t="n">
        <v>20</v>
      </c>
      <c r="M114" s="229" t="n">
        <v>69</v>
      </c>
      <c r="N114" s="229" t="n">
        <v>0</v>
      </c>
      <c r="O114" s="584">
        <f>IF(I114="",E114*Y114,0)</f>
        <v/>
      </c>
      <c r="P114" s="585">
        <f>IF(I114="",R114-H114,(K114-H114-SUM(L114:N114)+R114-S114-T114)-G114)+(ROUND(R114*V114,0)-ROUND(R114*(1+V114),0)*W114)</f>
        <v/>
      </c>
      <c r="Q114" s="585">
        <f>IF(I114="",(O114-G114-(O114*0.1425%*0.65)-(O114*0.3%)-S114-T114),0)</f>
        <v/>
      </c>
      <c r="R114" s="585" t="n"/>
      <c r="S114" s="585" t="n"/>
      <c r="T114" s="585">
        <f>IF(ROUND(R114*(1+V114),0)&gt;5000,ROUND(ROUND(R114*(1+V114),0)*2%,0),0)</f>
        <v/>
      </c>
      <c r="U114" s="65">
        <f>(V114*50%)/(1+50%*V114)</f>
        <v/>
      </c>
      <c r="V114" s="65" t="n"/>
      <c r="W114" s="66" t="n"/>
      <c r="X114" s="586">
        <f>(P114+Q114)/G114</f>
        <v/>
      </c>
      <c r="Y114" s="16">
        <f>VLOOKUP(C114,#REF!,3,FALSE)</f>
        <v/>
      </c>
      <c r="Z114" s="587" t="n"/>
      <c r="AA114" s="588">
        <f>((I114-A114)*G114)/365.24</f>
        <v/>
      </c>
    </row>
    <row r="115" hidden="1" outlineLevel="1">
      <c r="A115" s="228" t="n">
        <v>42332</v>
      </c>
      <c r="B115" s="229" t="inlineStr">
        <is>
          <t>普通買進</t>
        </is>
      </c>
      <c r="C115" s="229" t="n">
        <v>3019</v>
      </c>
      <c r="D115" s="229">
        <f>VLOOKUP(C115,每日行情!A:B,2,FALSE)</f>
        <v/>
      </c>
      <c r="E115" s="229" t="n">
        <v>1000</v>
      </c>
      <c r="F115" s="229" t="n">
        <v>33.85</v>
      </c>
      <c r="G115" s="229">
        <f>E115*F115</f>
        <v/>
      </c>
      <c r="H115" s="229" t="n">
        <v>28</v>
      </c>
      <c r="I115" s="324" t="n">
        <v>42338</v>
      </c>
      <c r="J115" s="16" t="n">
        <v>31.5</v>
      </c>
      <c r="K115" s="229">
        <f>E115*J115</f>
        <v/>
      </c>
      <c r="L115" s="17" t="n">
        <v>26</v>
      </c>
      <c r="M115" s="229" t="n">
        <v>94</v>
      </c>
      <c r="N115" s="229" t="n">
        <v>0</v>
      </c>
      <c r="O115" s="584">
        <f>IF(I115="",E115*Y115,0)</f>
        <v/>
      </c>
      <c r="P115" s="585">
        <f>IF(I115="",R115-H115,(K115-H115-SUM(L115:N115)+R115-S115-T115)-G115)+(ROUND(R115*V115,0)-ROUND(R115*(1+V115),0)*W115)</f>
        <v/>
      </c>
      <c r="Q115" s="585">
        <f>IF(I115="",(O115-G115-(O115*0.1425%*0.65)-(O115*0.3%)-S115-T115),0)</f>
        <v/>
      </c>
      <c r="R115" s="585" t="n"/>
      <c r="S115" s="585" t="n"/>
      <c r="T115" s="585">
        <f>IF(ROUND(R115*(1+V115),0)&gt;5000,ROUND(ROUND(R115*(1+V115),0)*2%,0),0)</f>
        <v/>
      </c>
      <c r="U115" s="65">
        <f>(V115*50%)/(1+50%*V115)</f>
        <v/>
      </c>
      <c r="V115" s="65" t="n"/>
      <c r="W115" s="66" t="n"/>
      <c r="X115" s="586">
        <f>(P115+Q115)/G115</f>
        <v/>
      </c>
      <c r="Y115" s="16">
        <f>VLOOKUP(C115,#REF!,3,FALSE)</f>
        <v/>
      </c>
      <c r="Z115" s="587" t="n"/>
      <c r="AA115" s="588">
        <f>((I115-A115)*G115)/365.24</f>
        <v/>
      </c>
    </row>
    <row r="116" hidden="1" outlineLevel="1" collapsed="1">
      <c r="A116" s="228" t="n">
        <v>42332</v>
      </c>
      <c r="B116" s="229" t="inlineStr">
        <is>
          <t>普通買進</t>
        </is>
      </c>
      <c r="C116" s="229" t="n">
        <v>2002</v>
      </c>
      <c r="D116" s="229">
        <f>VLOOKUP(C116,每日行情!A:B,2,FALSE)</f>
        <v/>
      </c>
      <c r="E116" s="229" t="n">
        <v>1000</v>
      </c>
      <c r="F116" s="229" t="n">
        <v>18.55</v>
      </c>
      <c r="G116" s="229">
        <f>E116*F116</f>
        <v/>
      </c>
      <c r="H116" s="229" t="n">
        <v>20</v>
      </c>
      <c r="I116" s="324" t="n">
        <v>42338</v>
      </c>
      <c r="J116" s="16" t="n">
        <v>17.65</v>
      </c>
      <c r="K116" s="229">
        <f>E116*J116</f>
        <v/>
      </c>
      <c r="L116" s="17" t="n">
        <v>20</v>
      </c>
      <c r="M116" s="229" t="n">
        <v>52</v>
      </c>
      <c r="N116" s="229" t="n">
        <v>0</v>
      </c>
      <c r="O116" s="584">
        <f>IF(I116="",E116*Y116,0)</f>
        <v/>
      </c>
      <c r="P116" s="585">
        <f>IF(I116="",R116-H116,(K116-H116-SUM(L116:N116)+R116-S116-T116)-G116)+(ROUND(R116*V116,0)-ROUND(R116*(1+V116),0)*W116)</f>
        <v/>
      </c>
      <c r="Q116" s="585">
        <f>IF(I116="",(O116-G116-(O116*0.1425%*0.65)-(O116*0.3%)-S116-T116),0)</f>
        <v/>
      </c>
      <c r="R116" s="585" t="n"/>
      <c r="S116" s="585" t="n"/>
      <c r="T116" s="585">
        <f>IF(ROUND(R116*(1+V116),0)&gt;5000,ROUND(ROUND(R116*(1+V116),0)*2%,0),0)</f>
        <v/>
      </c>
      <c r="U116" s="65">
        <f>(V116*50%)/(1+50%*V116)</f>
        <v/>
      </c>
      <c r="V116" s="65" t="n"/>
      <c r="W116" s="66" t="n"/>
      <c r="X116" s="586">
        <f>(P116+Q116)/G116</f>
        <v/>
      </c>
      <c r="Y116" s="16">
        <f>VLOOKUP(C116,#REF!,3,FALSE)</f>
        <v/>
      </c>
      <c r="Z116" s="587" t="n"/>
      <c r="AA116" s="588">
        <f>((I116-A116)*G116)/365.24</f>
        <v/>
      </c>
    </row>
    <row r="117" hidden="1" outlineLevel="1">
      <c r="A117" s="228" t="n">
        <v>42333</v>
      </c>
      <c r="B117" s="229" t="inlineStr">
        <is>
          <t>普通買進</t>
        </is>
      </c>
      <c r="C117" s="229" t="n">
        <v>2610</v>
      </c>
      <c r="D117" s="229">
        <f>VLOOKUP(C117,每日行情!A:B,2,FALSE)</f>
        <v/>
      </c>
      <c r="E117" s="229" t="n">
        <v>1000</v>
      </c>
      <c r="F117" s="229" t="n">
        <v>10.9</v>
      </c>
      <c r="G117" s="229">
        <f>E117*F117</f>
        <v/>
      </c>
      <c r="H117" s="229" t="n">
        <v>20</v>
      </c>
      <c r="I117" s="324" t="n">
        <v>42338</v>
      </c>
      <c r="J117" s="16" t="n">
        <v>10.7</v>
      </c>
      <c r="K117" s="229">
        <f>E117*J117</f>
        <v/>
      </c>
      <c r="L117" s="17" t="n">
        <v>20</v>
      </c>
      <c r="M117" s="229" t="n">
        <v>32</v>
      </c>
      <c r="N117" s="229" t="n">
        <v>0</v>
      </c>
      <c r="O117" s="584">
        <f>IF(I117="",E117*Y117,0)</f>
        <v/>
      </c>
      <c r="P117" s="585">
        <f>IF(I117="",R117-H117,(K117-H117-SUM(L117:N117)+R117-S117-T117)-G117)+(ROUND(R117*V117,0)-ROUND(R117*(1+V117),0)*W117)</f>
        <v/>
      </c>
      <c r="Q117" s="585">
        <f>IF(I117="",(O117-G117-(O117*0.1425%*0.65)-(O117*0.3%)-S117-T117),0)</f>
        <v/>
      </c>
      <c r="R117" s="585" t="n"/>
      <c r="S117" s="585" t="n"/>
      <c r="T117" s="585">
        <f>IF(ROUND(R117*(1+V117),0)&gt;5000,ROUND(ROUND(R117*(1+V117),0)*2%,0),0)</f>
        <v/>
      </c>
      <c r="U117" s="65">
        <f>(V117*50%)/(1+50%*V117)</f>
        <v/>
      </c>
      <c r="V117" s="65" t="n"/>
      <c r="W117" s="66" t="n"/>
      <c r="X117" s="586">
        <f>(P117+Q117)/G117</f>
        <v/>
      </c>
      <c r="Y117" s="16">
        <f>VLOOKUP(C117,#REF!,3,FALSE)</f>
        <v/>
      </c>
      <c r="Z117" s="587" t="n"/>
      <c r="AA117" s="588">
        <f>((I117-A117)*G117)/365.24</f>
        <v/>
      </c>
    </row>
    <row r="118" hidden="1" outlineLevel="1">
      <c r="A118" s="228" t="n">
        <v>42334</v>
      </c>
      <c r="B118" s="229" t="inlineStr">
        <is>
          <t>普通買進</t>
        </is>
      </c>
      <c r="C118" s="229" t="n">
        <v>2353</v>
      </c>
      <c r="D118" s="229">
        <f>VLOOKUP(C118,每日行情!A:B,2,FALSE)</f>
        <v/>
      </c>
      <c r="E118" s="229" t="n">
        <v>1000</v>
      </c>
      <c r="F118" s="229" t="n">
        <v>12.35</v>
      </c>
      <c r="G118" s="229">
        <f>E118*F118</f>
        <v/>
      </c>
      <c r="H118" s="229" t="n">
        <v>20</v>
      </c>
      <c r="I118" s="324" t="n">
        <v>42334</v>
      </c>
      <c r="J118" s="16" t="n">
        <v>12.25</v>
      </c>
      <c r="K118" s="229">
        <f>E118*J118</f>
        <v/>
      </c>
      <c r="L118" s="17" t="n">
        <v>20</v>
      </c>
      <c r="M118" s="229" t="n">
        <v>36</v>
      </c>
      <c r="N118" s="229" t="n">
        <v>0</v>
      </c>
      <c r="O118" s="584">
        <f>IF(I118="",E118*Y118,0)</f>
        <v/>
      </c>
      <c r="P118" s="585">
        <f>IF(I118="",R118-H118,(K118-H118-SUM(L118:N118)+R118-S118-T118)-G118)+(ROUND(R118*V118,0)-ROUND(R118*(1+V118),0)*W118)</f>
        <v/>
      </c>
      <c r="Q118" s="585">
        <f>IF(I118="",(O118-G118-(O118*0.1425%*0.65)-(O118*0.3%)-S118-T118),0)</f>
        <v/>
      </c>
      <c r="R118" s="585" t="n"/>
      <c r="S118" s="585" t="n"/>
      <c r="T118" s="585">
        <f>IF(ROUND(R118*(1+V118),0)&gt;5000,ROUND(ROUND(R118*(1+V118),0)*2%,0),0)</f>
        <v/>
      </c>
      <c r="U118" s="65">
        <f>(V118*50%)/(1+50%*V118)</f>
        <v/>
      </c>
      <c r="V118" s="65" t="n"/>
      <c r="W118" s="66" t="n"/>
      <c r="X118" s="586">
        <f>(P118+Q118)/G118</f>
        <v/>
      </c>
      <c r="Y118" s="16">
        <f>VLOOKUP(C118,#REF!,3,FALSE)</f>
        <v/>
      </c>
      <c r="Z118" s="587" t="n"/>
      <c r="AA118" s="588">
        <f>((I118-A118)*G118)/365.24</f>
        <v/>
      </c>
    </row>
    <row r="119" hidden="1" outlineLevel="1">
      <c r="A119" s="231" t="n">
        <v>42336</v>
      </c>
      <c r="B119" s="232" t="n"/>
      <c r="C119" s="232" t="n"/>
      <c r="D119" s="232" t="inlineStr">
        <is>
          <t>股市阿水</t>
        </is>
      </c>
      <c r="E119" s="232" t="n"/>
      <c r="F119" s="232" t="n"/>
      <c r="G119" s="232" t="n"/>
      <c r="H119" s="232" t="n"/>
      <c r="I119" s="233" t="n"/>
      <c r="J119" s="42" t="n"/>
      <c r="K119" s="232" t="n"/>
      <c r="L119" s="589" t="n"/>
      <c r="M119" s="232" t="n"/>
      <c r="N119" s="232" t="n"/>
      <c r="O119" s="590" t="n"/>
      <c r="P119" s="591" t="n">
        <v>-3888</v>
      </c>
      <c r="Q119" s="591" t="n"/>
      <c r="R119" s="591" t="n"/>
      <c r="S119" s="591" t="n"/>
      <c r="T119" s="591" t="n"/>
      <c r="U119" s="69" t="n"/>
      <c r="V119" s="69" t="n"/>
      <c r="W119" s="71" t="n"/>
      <c r="X119" s="592" t="n"/>
      <c r="Y119" s="42" t="n"/>
      <c r="Z119" s="47" t="n"/>
      <c r="AA119" s="588">
        <f>((I119-A119)*G119)/365.24</f>
        <v/>
      </c>
    </row>
    <row r="120" hidden="1" outlineLevel="1">
      <c r="A120" s="228" t="n">
        <v>42331</v>
      </c>
      <c r="B120" s="229" t="inlineStr">
        <is>
          <t>普通買進</t>
        </is>
      </c>
      <c r="C120" s="229" t="n">
        <v>6509</v>
      </c>
      <c r="D120" s="229">
        <f>VLOOKUP(C120,每日行情!A:B,2,FALSE)</f>
        <v/>
      </c>
      <c r="E120" s="229" t="n">
        <v>1000</v>
      </c>
      <c r="F120" s="229" t="n">
        <v>21.25</v>
      </c>
      <c r="G120" s="229">
        <f>E120*F120</f>
        <v/>
      </c>
      <c r="H120" s="229" t="n">
        <v>20</v>
      </c>
      <c r="I120" s="324" t="n">
        <v>42352</v>
      </c>
      <c r="J120" s="16" t="n">
        <v>18.4</v>
      </c>
      <c r="K120" s="229">
        <f>E120*J120</f>
        <v/>
      </c>
      <c r="L120" s="17" t="n">
        <v>20</v>
      </c>
      <c r="M120" s="229" t="n">
        <v>55</v>
      </c>
      <c r="N120" s="229" t="n">
        <v>0</v>
      </c>
      <c r="O120" s="584">
        <f>IF(I120="",E120*Y120,0)</f>
        <v/>
      </c>
      <c r="P120" s="585">
        <f>IF(I120="",R120-H120,(K120-H120-SUM(L120:N120)+R120-S120-T120)-G120)+(ROUND(R120*V120,0)-ROUND(R120*(1+V120),0)*W120)</f>
        <v/>
      </c>
      <c r="Q120" s="585">
        <f>IF(I120="",(O120-G120-(O120*0.1425%*0.65)-(O120*0.3%)-S120-T120),0)</f>
        <v/>
      </c>
      <c r="R120" s="585" t="n"/>
      <c r="S120" s="585" t="n"/>
      <c r="T120" s="585">
        <f>IF(ROUND(R120*(1+V120),0)&gt;5000,ROUND(ROUND(R120*(1+V120),0)*2%,0),0)</f>
        <v/>
      </c>
      <c r="U120" s="65">
        <f>(V120*50%)/(1+50%*V120)</f>
        <v/>
      </c>
      <c r="V120" s="65" t="n"/>
      <c r="W120" s="66" t="n"/>
      <c r="X120" s="586">
        <f>(P120+Q120)/G120</f>
        <v/>
      </c>
      <c r="Y120" s="16">
        <f>VLOOKUP(C120,#REF!,3,FALSE)</f>
        <v/>
      </c>
      <c r="Z120" s="587" t="n"/>
      <c r="AA120" s="588">
        <f>((I120-A120)*G120)/365.24</f>
        <v/>
      </c>
    </row>
    <row r="121" hidden="1" outlineLevel="1">
      <c r="A121" s="228" t="n">
        <v>42352</v>
      </c>
      <c r="B121" s="229" t="inlineStr">
        <is>
          <t>普通買進</t>
        </is>
      </c>
      <c r="C121" s="229" t="n">
        <v>2495</v>
      </c>
      <c r="D121" s="229">
        <f>VLOOKUP(C121,每日行情!A:B,2,FALSE)</f>
        <v/>
      </c>
      <c r="E121" s="229" t="n">
        <v>1000</v>
      </c>
      <c r="F121" s="229" t="n">
        <v>16.2</v>
      </c>
      <c r="G121" s="229">
        <f>E121*F121</f>
        <v/>
      </c>
      <c r="H121" s="229" t="n">
        <v>20</v>
      </c>
      <c r="I121" s="324" t="n">
        <v>42362</v>
      </c>
      <c r="J121" s="16" t="n">
        <v>16.9</v>
      </c>
      <c r="K121" s="229">
        <f>E121*J121</f>
        <v/>
      </c>
      <c r="L121" s="17" t="n">
        <v>20</v>
      </c>
      <c r="M121" s="229" t="n">
        <v>50</v>
      </c>
      <c r="N121" s="229" t="n">
        <v>0</v>
      </c>
      <c r="O121" s="584">
        <f>IF(I121="",E121*Y121,0)</f>
        <v/>
      </c>
      <c r="P121" s="585">
        <f>IF(I121="",R121-H121,(K121-H121-SUM(L121:N121)+R121-S121-T121)-G121)+(ROUND(R121*V121,0)-ROUND(R121*(1+V121),0)*W121)</f>
        <v/>
      </c>
      <c r="Q121" s="585">
        <f>IF(I121="",(O121-G121-(O121*0.1425%*0.65)-(O121*0.3%)-S121-T121),0)</f>
        <v/>
      </c>
      <c r="R121" s="585" t="n"/>
      <c r="S121" s="585" t="n"/>
      <c r="T121" s="585">
        <f>IF(ROUND(R121*(1+V121),0)&gt;5000,ROUND(ROUND(R121*(1+V121),0)*2%,0),0)</f>
        <v/>
      </c>
      <c r="U121" s="65">
        <f>(V121*50%)/(1+50%*V121)</f>
        <v/>
      </c>
      <c r="V121" s="65" t="n"/>
      <c r="W121" s="66" t="n"/>
      <c r="X121" s="586">
        <f>(P121+Q121)/G121</f>
        <v/>
      </c>
      <c r="Y121" s="16">
        <f>VLOOKUP(C121,#REF!,3,FALSE)</f>
        <v/>
      </c>
      <c r="Z121" s="587" t="n"/>
      <c r="AA121" s="588">
        <f>((I121-A121)*G121)/365.24</f>
        <v/>
      </c>
    </row>
    <row r="122" hidden="1" outlineLevel="1">
      <c r="A122" s="228" t="n">
        <v>42354</v>
      </c>
      <c r="B122" s="229" t="inlineStr">
        <is>
          <t>普通買進</t>
        </is>
      </c>
      <c r="C122" s="229" t="n">
        <v>2849</v>
      </c>
      <c r="D122" s="229">
        <f>VLOOKUP(C122,每日行情!A:B,2,FALSE)</f>
        <v/>
      </c>
      <c r="E122" s="229" t="n">
        <v>1000</v>
      </c>
      <c r="F122" s="229" t="n">
        <v>19.65</v>
      </c>
      <c r="G122" s="229">
        <f>E122*F122</f>
        <v/>
      </c>
      <c r="H122" s="229" t="n">
        <v>20</v>
      </c>
      <c r="I122" s="324" t="n">
        <v>42362</v>
      </c>
      <c r="J122" s="16" t="n">
        <v>18.05</v>
      </c>
      <c r="K122" s="229">
        <f>E122*J122</f>
        <v/>
      </c>
      <c r="L122" s="17" t="n">
        <v>20</v>
      </c>
      <c r="M122" s="229" t="n">
        <v>54</v>
      </c>
      <c r="N122" s="229" t="n">
        <v>0</v>
      </c>
      <c r="O122" s="584">
        <f>IF(I122="",E122*Y122,0)</f>
        <v/>
      </c>
      <c r="P122" s="585">
        <f>IF(I122="",R122-H122,(K122-H122-SUM(L122:N122)+R122-S122-T122)-G122)+(ROUND(R122*V122,0)-ROUND(R122*(1+V122),0)*W122)</f>
        <v/>
      </c>
      <c r="Q122" s="585">
        <f>IF(I122="",(O122-G122-(O122*0.1425%*0.65)-(O122*0.3%)-S122-T122),0)</f>
        <v/>
      </c>
      <c r="R122" s="585" t="n"/>
      <c r="S122" s="585" t="n"/>
      <c r="T122" s="585">
        <f>IF(ROUND(R122*(1+V122),0)&gt;5000,ROUND(ROUND(R122*(1+V122),0)*2%,0),0)</f>
        <v/>
      </c>
      <c r="U122" s="65">
        <f>(V122*50%)/(1+50%*V122)</f>
        <v/>
      </c>
      <c r="V122" s="65" t="n"/>
      <c r="W122" s="66" t="n"/>
      <c r="X122" s="586">
        <f>(P122+Q122)/G122</f>
        <v/>
      </c>
      <c r="Y122" s="16">
        <f>VLOOKUP(C122,#REF!,3,FALSE)</f>
        <v/>
      </c>
      <c r="Z122" s="587" t="n"/>
      <c r="AA122" s="588">
        <f>((I122-A122)*G122)/365.24</f>
        <v/>
      </c>
    </row>
    <row r="123" hidden="1" outlineLevel="1">
      <c r="A123" s="228" t="n">
        <v>42354</v>
      </c>
      <c r="B123" s="229" t="inlineStr">
        <is>
          <t>普通買進</t>
        </is>
      </c>
      <c r="C123" s="229" t="n">
        <v>3428</v>
      </c>
      <c r="D123" s="229">
        <f>VLOOKUP(C123,每日行情!A:B,2,FALSE)</f>
        <v/>
      </c>
      <c r="E123" s="229" t="n">
        <v>1000</v>
      </c>
      <c r="F123" s="229" t="n">
        <v>53.7</v>
      </c>
      <c r="G123" s="229">
        <f>E123*F123</f>
        <v/>
      </c>
      <c r="H123" s="229" t="n">
        <v>45</v>
      </c>
      <c r="I123" s="324" t="n">
        <v>42362</v>
      </c>
      <c r="J123" s="16" t="n">
        <v>54.8</v>
      </c>
      <c r="K123" s="229">
        <f>E123*J123</f>
        <v/>
      </c>
      <c r="L123" s="17" t="n">
        <v>46</v>
      </c>
      <c r="M123" s="229" t="n">
        <v>164</v>
      </c>
      <c r="N123" s="229" t="n">
        <v>0</v>
      </c>
      <c r="O123" s="584">
        <f>IF(I123="",E123*Y123,0)</f>
        <v/>
      </c>
      <c r="P123" s="585">
        <f>IF(I123="",R123-H123,(K123-H123-SUM(L123:N123)+R123-S123-T123)-G123)+(ROUND(R123*V123,0)-ROUND(R123*(1+V123),0)*W123)</f>
        <v/>
      </c>
      <c r="Q123" s="585">
        <f>IF(I123="",(O123-G123-(O123*0.1425%*0.65)-(O123*0.3%)-S123-T123),0)</f>
        <v/>
      </c>
      <c r="R123" s="585" t="n"/>
      <c r="S123" s="585" t="n"/>
      <c r="T123" s="585">
        <f>IF(ROUND(R123*(1+V123),0)&gt;5000,ROUND(ROUND(R123*(1+V123),0)*2%,0),0)</f>
        <v/>
      </c>
      <c r="U123" s="65">
        <f>(V123*50%)/(1+50%*V123)</f>
        <v/>
      </c>
      <c r="V123" s="65" t="n"/>
      <c r="W123" s="66" t="n"/>
      <c r="X123" s="586">
        <f>(P123+Q123)/G123</f>
        <v/>
      </c>
      <c r="Y123" s="16">
        <f>VLOOKUP(C123,#REF!,3,FALSE)</f>
        <v/>
      </c>
      <c r="Z123" s="587" t="n"/>
      <c r="AA123" s="588">
        <f>((I123-A123)*G123)/365.24</f>
        <v/>
      </c>
    </row>
    <row r="124" hidden="1" outlineLevel="1">
      <c r="A124" s="228" t="n">
        <v>42354</v>
      </c>
      <c r="B124" s="229" t="inlineStr">
        <is>
          <t>普通買進</t>
        </is>
      </c>
      <c r="C124" s="229" t="n">
        <v>5443</v>
      </c>
      <c r="D124" s="229">
        <f>VLOOKUP(C124,每日行情!A:B,2,FALSE)</f>
        <v/>
      </c>
      <c r="E124" s="229" t="n">
        <v>1000</v>
      </c>
      <c r="F124" s="229" t="n">
        <v>17.5</v>
      </c>
      <c r="G124" s="229">
        <f>E124*F124</f>
        <v/>
      </c>
      <c r="H124" s="229" t="n">
        <v>20</v>
      </c>
      <c r="I124" s="324" t="n">
        <v>42362</v>
      </c>
      <c r="J124" s="16" t="n">
        <v>16.15</v>
      </c>
      <c r="K124" s="229">
        <f>E124*J124</f>
        <v/>
      </c>
      <c r="L124" s="17" t="n">
        <v>20</v>
      </c>
      <c r="M124" s="229" t="n">
        <v>48</v>
      </c>
      <c r="N124" s="229" t="n">
        <v>0</v>
      </c>
      <c r="O124" s="584">
        <f>IF(I124="",E124*Y124,0)</f>
        <v/>
      </c>
      <c r="P124" s="585">
        <f>IF(I124="",R124-H124,(K124-H124-SUM(L124:N124)+R124-S124-T124)-G124)+(ROUND(R124*V124,0)-ROUND(R124*(1+V124),0)*W124)</f>
        <v/>
      </c>
      <c r="Q124" s="585">
        <f>IF(I124="",(O124-G124-(O124*0.1425%*0.65)-(O124*0.3%)-S124-T124),0)</f>
        <v/>
      </c>
      <c r="R124" s="585" t="n"/>
      <c r="S124" s="585" t="n"/>
      <c r="T124" s="585">
        <f>IF(ROUND(R124*(1+V124),0)&gt;5000,ROUND(ROUND(R124*(1+V124),0)*2%,0),0)</f>
        <v/>
      </c>
      <c r="U124" s="65">
        <f>(V124*50%)/(1+50%*V124)</f>
        <v/>
      </c>
      <c r="V124" s="65" t="n"/>
      <c r="W124" s="66" t="n"/>
      <c r="X124" s="586">
        <f>(P124+Q124)/G124</f>
        <v/>
      </c>
      <c r="Y124" s="16">
        <f>VLOOKUP(C124,#REF!,3,FALSE)</f>
        <v/>
      </c>
      <c r="Z124" s="587" t="n"/>
      <c r="AA124" s="588">
        <f>((I124-A124)*G124)/365.24</f>
        <v/>
      </c>
    </row>
    <row r="125" hidden="1" outlineLevel="1">
      <c r="A125" s="228" t="n">
        <v>42355</v>
      </c>
      <c r="B125" s="229" t="inlineStr">
        <is>
          <t>普通買進</t>
        </is>
      </c>
      <c r="C125" s="229" t="n">
        <v>3035</v>
      </c>
      <c r="D125" s="229">
        <f>VLOOKUP(C125,每日行情!A:B,2,FALSE)</f>
        <v/>
      </c>
      <c r="E125" s="229" t="n">
        <v>1000</v>
      </c>
      <c r="F125" s="229" t="n">
        <v>48</v>
      </c>
      <c r="G125" s="229">
        <f>E125*F125</f>
        <v/>
      </c>
      <c r="H125" s="229" t="n">
        <v>41</v>
      </c>
      <c r="I125" s="324" t="n">
        <v>42362</v>
      </c>
      <c r="J125" s="16" t="n">
        <v>47.65</v>
      </c>
      <c r="K125" s="229">
        <f>E125*J125</f>
        <v/>
      </c>
      <c r="L125" s="17" t="n">
        <v>40</v>
      </c>
      <c r="M125" s="229" t="n">
        <v>142</v>
      </c>
      <c r="N125" s="229" t="n">
        <v>0</v>
      </c>
      <c r="O125" s="584">
        <f>IF(I125="",E125*Y125,0)</f>
        <v/>
      </c>
      <c r="P125" s="585">
        <f>IF(I125="",R125-H125,(K125-H125-SUM(L125:N125)+R125-S125-T125)-G125)+(ROUND(R125*V125,0)-ROUND(R125*(1+V125),0)*W125)</f>
        <v/>
      </c>
      <c r="Q125" s="585">
        <f>IF(I125="",(O125-G125-(O125*0.1425%*0.65)-(O125*0.3%)-S125-T125),0)</f>
        <v/>
      </c>
      <c r="R125" s="585" t="n"/>
      <c r="S125" s="585" t="n"/>
      <c r="T125" s="585">
        <f>IF(ROUND(R125*(1+V125),0)&gt;5000,ROUND(ROUND(R125*(1+V125),0)*2%,0),0)</f>
        <v/>
      </c>
      <c r="U125" s="65">
        <f>(V125*50%)/(1+50%*V125)</f>
        <v/>
      </c>
      <c r="V125" s="65" t="n"/>
      <c r="W125" s="66" t="n"/>
      <c r="X125" s="586">
        <f>(P125+Q125)/G125</f>
        <v/>
      </c>
      <c r="Y125" s="16">
        <f>VLOOKUP(C125,#REF!,3,FALSE)</f>
        <v/>
      </c>
      <c r="Z125" s="587" t="n"/>
      <c r="AA125" s="588">
        <f>((I125-A125)*G125)/365.24</f>
        <v/>
      </c>
    </row>
    <row r="126" hidden="1" outlineLevel="1">
      <c r="A126" s="228" t="n">
        <v>42355</v>
      </c>
      <c r="B126" s="229" t="inlineStr">
        <is>
          <t>普通買進</t>
        </is>
      </c>
      <c r="C126" s="229" t="n">
        <v>3474</v>
      </c>
      <c r="D126" s="229">
        <f>VLOOKUP(C126,每日行情!A:B,2,FALSE)</f>
        <v/>
      </c>
      <c r="E126" s="229" t="n">
        <v>1000</v>
      </c>
      <c r="F126" s="229" t="n">
        <v>28.4</v>
      </c>
      <c r="G126" s="229">
        <f>E126*F126</f>
        <v/>
      </c>
      <c r="H126" s="229" t="n">
        <v>24</v>
      </c>
      <c r="I126" s="324" t="n">
        <v>42362</v>
      </c>
      <c r="J126" s="16" t="n">
        <v>27.5</v>
      </c>
      <c r="K126" s="229">
        <f>E126*J126</f>
        <v/>
      </c>
      <c r="L126" s="17" t="n">
        <v>23</v>
      </c>
      <c r="M126" s="229" t="n">
        <v>82</v>
      </c>
      <c r="N126" s="229" t="n">
        <v>0</v>
      </c>
      <c r="O126" s="584">
        <f>IF(I126="",E126*Y126,0)</f>
        <v/>
      </c>
      <c r="P126" s="585">
        <f>IF(I126="",R126-H126,(K126-H126-SUM(L126:N126)+R126-S126-T126)-G126)+(ROUND(R126*V126,0)-ROUND(R126*(1+V126),0)*W126)</f>
        <v/>
      </c>
      <c r="Q126" s="585">
        <f>IF(I126="",(O126-G126-(O126*0.1425%*0.65)-(O126*0.3%)-S126-T126),0)</f>
        <v/>
      </c>
      <c r="R126" s="585" t="n"/>
      <c r="S126" s="585" t="n"/>
      <c r="T126" s="585">
        <f>IF(ROUND(R126*(1+V126),0)&gt;5000,ROUND(ROUND(R126*(1+V126),0)*2%,0),0)</f>
        <v/>
      </c>
      <c r="U126" s="65">
        <f>(V126*50%)/(1+50%*V126)</f>
        <v/>
      </c>
      <c r="V126" s="65" t="n"/>
      <c r="W126" s="66" t="n"/>
      <c r="X126" s="586">
        <f>(P126+Q126)/G126</f>
        <v/>
      </c>
      <c r="Y126" s="16">
        <f>VLOOKUP(C126,#REF!,3,FALSE)</f>
        <v/>
      </c>
      <c r="Z126" s="587" t="n"/>
      <c r="AA126" s="588">
        <f>((I126-A126)*G126)/365.24</f>
        <v/>
      </c>
    </row>
    <row r="127" hidden="1" outlineLevel="1">
      <c r="A127" s="228" t="n">
        <v>42359</v>
      </c>
      <c r="B127" s="229" t="inlineStr">
        <is>
          <t>普通買進</t>
        </is>
      </c>
      <c r="C127" s="229" t="n">
        <v>2849</v>
      </c>
      <c r="D127" s="229">
        <f>VLOOKUP(C127,每日行情!A:B,2,FALSE)</f>
        <v/>
      </c>
      <c r="E127" s="229" t="n">
        <v>1000</v>
      </c>
      <c r="F127" s="229" t="n">
        <v>18</v>
      </c>
      <c r="G127" s="229">
        <f>E127*F127</f>
        <v/>
      </c>
      <c r="H127" s="229" t="n">
        <v>20</v>
      </c>
      <c r="I127" s="324" t="n">
        <v>42361</v>
      </c>
      <c r="J127" s="16" t="n">
        <v>18.35</v>
      </c>
      <c r="K127" s="229">
        <f>E127*J127</f>
        <v/>
      </c>
      <c r="L127" s="17" t="n">
        <v>20</v>
      </c>
      <c r="M127" s="229" t="n">
        <v>55</v>
      </c>
      <c r="N127" s="229" t="n">
        <v>0</v>
      </c>
      <c r="O127" s="584">
        <f>IF(I127="",E127*Y127,0)</f>
        <v/>
      </c>
      <c r="P127" s="585">
        <f>IF(I127="",R127-H127,(K127-H127-SUM(L127:N127)+R127-S127-T127)-G127)+(ROUND(R127*V127,0)-ROUND(R127*(1+V127),0)*W127)</f>
        <v/>
      </c>
      <c r="Q127" s="585">
        <f>IF(I127="",(O127-G127-(O127*0.1425%*0.65)-(O127*0.3%)-S127-T127),0)</f>
        <v/>
      </c>
      <c r="R127" s="585" t="n"/>
      <c r="S127" s="585" t="n"/>
      <c r="T127" s="585">
        <f>IF(ROUND(R127*(1+V127),0)&gt;5000,ROUND(ROUND(R127*(1+V127),0)*2%,0),0)</f>
        <v/>
      </c>
      <c r="U127" s="65">
        <f>(V127*50%)/(1+50%*V127)</f>
        <v/>
      </c>
      <c r="V127" s="65" t="n"/>
      <c r="W127" s="66" t="n"/>
      <c r="X127" s="586">
        <f>(P127+Q127)/G127</f>
        <v/>
      </c>
      <c r="Y127" s="16">
        <f>VLOOKUP(C127,#REF!,3,FALSE)</f>
        <v/>
      </c>
      <c r="Z127" s="587" t="n"/>
      <c r="AA127" s="588">
        <f>((I127-A127)*G127)/365.24</f>
        <v/>
      </c>
    </row>
    <row r="128" hidden="1" outlineLevel="1">
      <c r="A128" s="228" t="n">
        <v>42361</v>
      </c>
      <c r="B128" s="229" t="inlineStr">
        <is>
          <t>普通買進</t>
        </is>
      </c>
      <c r="C128" s="229" t="n">
        <v>1218</v>
      </c>
      <c r="D128" s="229">
        <f>VLOOKUP(C128,每日行情!A:B,2,FALSE)</f>
        <v/>
      </c>
      <c r="E128" s="229" t="n">
        <v>1000</v>
      </c>
      <c r="F128" s="229" t="n">
        <v>11.95</v>
      </c>
      <c r="G128" s="229">
        <f>E128*F128</f>
        <v/>
      </c>
      <c r="H128" s="229" t="n">
        <v>20</v>
      </c>
      <c r="I128" s="324" t="n">
        <v>42362</v>
      </c>
      <c r="J128" s="16" t="n">
        <v>11.7</v>
      </c>
      <c r="K128" s="229">
        <f>E128*J128</f>
        <v/>
      </c>
      <c r="L128" s="17" t="n">
        <v>20</v>
      </c>
      <c r="M128" s="229" t="n">
        <v>35</v>
      </c>
      <c r="N128" s="229" t="n">
        <v>0</v>
      </c>
      <c r="O128" s="584">
        <f>IF(I128="",E128*Y128,0)</f>
        <v/>
      </c>
      <c r="P128" s="585">
        <f>IF(I128="",R128-H128,(K128-H128-SUM(L128:N128)+R128-S128-T128)-G128)+(ROUND(R128*V128,0)-ROUND(R128*(1+V128),0)*W128)</f>
        <v/>
      </c>
      <c r="Q128" s="585">
        <f>IF(I128="",(O128-G128-(O128*0.1425%*0.65)-(O128*0.3%)-S128-T128),0)</f>
        <v/>
      </c>
      <c r="R128" s="585" t="n"/>
      <c r="S128" s="585" t="n"/>
      <c r="T128" s="585">
        <f>IF(ROUND(R128*(1+V128),0)&gt;5000,ROUND(ROUND(R128*(1+V128),0)*2%,0),0)</f>
        <v/>
      </c>
      <c r="U128" s="65">
        <f>(V128*50%)/(1+50%*V128)</f>
        <v/>
      </c>
      <c r="V128" s="65" t="n"/>
      <c r="W128" s="66" t="n"/>
      <c r="X128" s="586">
        <f>(P128+Q128)/G128</f>
        <v/>
      </c>
      <c r="Y128" s="16">
        <f>VLOOKUP(C128,#REF!,3,FALSE)</f>
        <v/>
      </c>
      <c r="Z128" s="587" t="n"/>
      <c r="AA128" s="588">
        <f>((I128-A128)*G128)/365.24</f>
        <v/>
      </c>
    </row>
    <row r="129" hidden="1" outlineLevel="1">
      <c r="A129" s="228" t="n">
        <v>42352</v>
      </c>
      <c r="B129" s="229" t="inlineStr">
        <is>
          <t>普通買進</t>
        </is>
      </c>
      <c r="C129" s="229" t="n">
        <v>2457</v>
      </c>
      <c r="D129" s="229">
        <f>VLOOKUP(C129,每日行情!A:B,2,FALSE)</f>
        <v/>
      </c>
      <c r="E129" s="229" t="n">
        <v>1000</v>
      </c>
      <c r="F129" s="229" t="n">
        <v>13.8</v>
      </c>
      <c r="G129" s="229">
        <f>E129*F129</f>
        <v/>
      </c>
      <c r="H129" s="229" t="n">
        <v>20</v>
      </c>
      <c r="I129" s="324" t="n">
        <v>42366</v>
      </c>
      <c r="J129" s="16" t="n">
        <v>13.85</v>
      </c>
      <c r="K129" s="229">
        <f>E129*J129</f>
        <v/>
      </c>
      <c r="L129" s="17" t="n">
        <v>20</v>
      </c>
      <c r="M129" s="229" t="n">
        <v>41</v>
      </c>
      <c r="N129" s="229" t="n">
        <v>0</v>
      </c>
      <c r="O129" s="584">
        <f>IF(I129="",E129*Y129,0)</f>
        <v/>
      </c>
      <c r="P129" s="585">
        <f>IF(I129="",R129-H129,(K129-H129-SUM(L129:N129)+R129-S129-T129)-G129)+(ROUND(R129*V129,0)-ROUND(R129*(1+V129),0)*W129)</f>
        <v/>
      </c>
      <c r="Q129" s="585">
        <f>IF(I129="",(O129-G129-(O129*0.1425%*0.65)-(O129*0.3%)-S129-T129),0)</f>
        <v/>
      </c>
      <c r="R129" s="585" t="n"/>
      <c r="S129" s="585" t="n"/>
      <c r="T129" s="585">
        <f>IF(ROUND(R129*(1+V129),0)&gt;5000,ROUND(ROUND(R129*(1+V129),0)*2%,0),0)</f>
        <v/>
      </c>
      <c r="U129" s="65">
        <f>(V129*50%)/(1+50%*V129)</f>
        <v/>
      </c>
      <c r="V129" s="65" t="n"/>
      <c r="W129" s="66" t="n"/>
      <c r="X129" s="586">
        <f>(P129+Q129)/G129</f>
        <v/>
      </c>
      <c r="Y129" s="16">
        <f>VLOOKUP(C129,#REF!,3,FALSE)</f>
        <v/>
      </c>
      <c r="Z129" s="587" t="n"/>
      <c r="AA129" s="588">
        <f>((I129-A129)*G129)/365.24</f>
        <v/>
      </c>
    </row>
    <row r="130" hidden="1" outlineLevel="1">
      <c r="A130" s="228" t="n">
        <v>42355</v>
      </c>
      <c r="B130" s="229" t="inlineStr">
        <is>
          <t>普通買進</t>
        </is>
      </c>
      <c r="C130" s="229" t="n">
        <v>2464</v>
      </c>
      <c r="D130" s="229">
        <f>VLOOKUP(C130,每日行情!A:B,2,FALSE)</f>
        <v/>
      </c>
      <c r="E130" s="229" t="n">
        <v>1000</v>
      </c>
      <c r="F130" s="229" t="n">
        <v>34.85</v>
      </c>
      <c r="G130" s="229">
        <f>E130*F130</f>
        <v/>
      </c>
      <c r="H130" s="229" t="n">
        <v>29</v>
      </c>
      <c r="I130" s="324" t="n">
        <v>42362</v>
      </c>
      <c r="J130" s="16" t="n">
        <v>34.25</v>
      </c>
      <c r="K130" s="229">
        <f>E130*J130</f>
        <v/>
      </c>
      <c r="L130" s="17" t="n">
        <v>29</v>
      </c>
      <c r="M130" s="229" t="n">
        <v>102</v>
      </c>
      <c r="N130" s="229" t="n">
        <v>0</v>
      </c>
      <c r="O130" s="584">
        <f>IF(I130="",E130*Y130,0)</f>
        <v/>
      </c>
      <c r="P130" s="585">
        <f>IF(I130="",R130-H130,(K130-H130-SUM(L130:N130)+R130-S130-T130)-G130)+(ROUND(R130*V130,0)-ROUND(R130*(1+V130),0)*W130)</f>
        <v/>
      </c>
      <c r="Q130" s="585">
        <f>IF(I130="",(O130-G130-(O130*0.1425%*0.65)-(O130*0.3%)-S130-T130),0)</f>
        <v/>
      </c>
      <c r="R130" s="585" t="n"/>
      <c r="S130" s="585" t="n"/>
      <c r="T130" s="585">
        <f>IF(ROUND(R130*(1+V130),0)&gt;5000,ROUND(ROUND(R130*(1+V130),0)*2%,0),0)</f>
        <v/>
      </c>
      <c r="U130" s="65">
        <f>(V130*50%)/(1+50%*V130)</f>
        <v/>
      </c>
      <c r="V130" s="65" t="n"/>
      <c r="W130" s="66" t="n"/>
      <c r="X130" s="586">
        <f>(P130+Q130)/G130</f>
        <v/>
      </c>
      <c r="Y130" s="16">
        <f>VLOOKUP(C130,#REF!,3,FALSE)</f>
        <v/>
      </c>
      <c r="Z130" s="587" t="n"/>
      <c r="AA130" s="588">
        <f>((I130-A130)*G130)/365.24</f>
        <v/>
      </c>
    </row>
    <row r="131" hidden="1" outlineLevel="1">
      <c r="A131" s="228" t="n">
        <v>42362</v>
      </c>
      <c r="B131" s="229" t="inlineStr">
        <is>
          <t>普通買進</t>
        </is>
      </c>
      <c r="C131" s="229" t="n">
        <v>8287</v>
      </c>
      <c r="D131" s="229">
        <f>VLOOKUP(C131,每日行情!A:B,2,FALSE)</f>
        <v/>
      </c>
      <c r="E131" s="229" t="n">
        <v>1000</v>
      </c>
      <c r="F131" s="229" t="n">
        <v>19.1</v>
      </c>
      <c r="G131" s="229">
        <f>E131*F131</f>
        <v/>
      </c>
      <c r="H131" s="229" t="n">
        <v>20</v>
      </c>
      <c r="I131" s="324" t="n">
        <v>42363</v>
      </c>
      <c r="J131" s="16" t="n">
        <v>19.2</v>
      </c>
      <c r="K131" s="229">
        <f>E131*J131</f>
        <v/>
      </c>
      <c r="L131" s="17" t="n">
        <v>20</v>
      </c>
      <c r="M131" s="229" t="n">
        <v>57</v>
      </c>
      <c r="N131" s="229" t="n">
        <v>0</v>
      </c>
      <c r="O131" s="584">
        <f>IF(I131="",E131*Y131,0)</f>
        <v/>
      </c>
      <c r="P131" s="585">
        <f>IF(I131="",R131-H131,(K131-H131-SUM(L131:N131)+R131-S131-T131)-G131)+(ROUND(R131*V131,0)-ROUND(R131*(1+V131),0)*W131)</f>
        <v/>
      </c>
      <c r="Q131" s="585">
        <f>IF(I131="",(O131-G131-(O131*0.1425%*0.65)-(O131*0.3%)-S131-T131),0)</f>
        <v/>
      </c>
      <c r="R131" s="585" t="n"/>
      <c r="S131" s="585" t="n"/>
      <c r="T131" s="585">
        <f>IF(ROUND(R131*(1+V131),0)&gt;5000,ROUND(ROUND(R131*(1+V131),0)*2%,0),0)</f>
        <v/>
      </c>
      <c r="U131" s="65">
        <f>(V131*50%)/(1+50%*V131)</f>
        <v/>
      </c>
      <c r="V131" s="65" t="n"/>
      <c r="W131" s="66" t="n"/>
      <c r="X131" s="586">
        <f>(P131+Q131)/G131</f>
        <v/>
      </c>
      <c r="Y131" s="16">
        <f>VLOOKUP(C131,#REF!,3,FALSE)</f>
        <v/>
      </c>
      <c r="Z131" s="587" t="n"/>
      <c r="AA131" s="588">
        <f>((I131-A131)*G131)/365.24</f>
        <v/>
      </c>
    </row>
    <row r="132" hidden="1" outlineLevel="1">
      <c r="A132" s="228" t="n">
        <v>42355</v>
      </c>
      <c r="B132" s="229" t="inlineStr">
        <is>
          <t>普通買進</t>
        </is>
      </c>
      <c r="C132" s="229" t="n">
        <v>8287</v>
      </c>
      <c r="D132" s="229">
        <f>VLOOKUP(C132,每日行情!A:B,2,FALSE)</f>
        <v/>
      </c>
      <c r="E132" s="229" t="n">
        <v>1000</v>
      </c>
      <c r="F132" s="229" t="n">
        <v>16.6</v>
      </c>
      <c r="G132" s="229">
        <f>E132*F132</f>
        <v/>
      </c>
      <c r="H132" s="229" t="n">
        <v>20</v>
      </c>
      <c r="I132" s="324" t="n">
        <v>42366</v>
      </c>
      <c r="J132" s="16" t="n">
        <v>19.4</v>
      </c>
      <c r="K132" s="229">
        <f>E132*J132</f>
        <v/>
      </c>
      <c r="L132" s="17" t="n">
        <v>20</v>
      </c>
      <c r="M132" s="229" t="n">
        <v>58</v>
      </c>
      <c r="N132" s="229" t="n">
        <v>0</v>
      </c>
      <c r="O132" s="584">
        <f>IF(I132="",E132*Y132,0)</f>
        <v/>
      </c>
      <c r="P132" s="585">
        <f>IF(I132="",R132-H132,(K132-H132-SUM(L132:N132)+R132-S132-T132)-G132)+(ROUND(R132*V132,0)-ROUND(R132*(1+V132),0)*W132)</f>
        <v/>
      </c>
      <c r="Q132" s="585">
        <f>IF(I132="",(O132-G132-(O132*0.1425%*0.65)-(O132*0.3%)-S132-T132),0)</f>
        <v/>
      </c>
      <c r="R132" s="585" t="n"/>
      <c r="S132" s="585" t="n"/>
      <c r="T132" s="585">
        <f>IF(ROUND(R132*(1+V132),0)&gt;5000,ROUND(ROUND(R132*(1+V132),0)*2%,0),0)</f>
        <v/>
      </c>
      <c r="U132" s="65">
        <f>(V132*50%)/(1+50%*V132)</f>
        <v/>
      </c>
      <c r="V132" s="65" t="n"/>
      <c r="W132" s="66" t="n"/>
      <c r="X132" s="586">
        <f>(P132+Q132)/G132</f>
        <v/>
      </c>
      <c r="Y132" s="16">
        <f>VLOOKUP(C132,#REF!,3,FALSE)</f>
        <v/>
      </c>
      <c r="Z132" s="587" t="n"/>
      <c r="AA132" s="588">
        <f>((I132-A132)*G132)/365.24</f>
        <v/>
      </c>
    </row>
    <row r="133" hidden="1" outlineLevel="1">
      <c r="A133" s="228" t="n">
        <v>42355</v>
      </c>
      <c r="B133" s="229" t="inlineStr">
        <is>
          <t>普通買進</t>
        </is>
      </c>
      <c r="C133" s="229" t="n">
        <v>5425</v>
      </c>
      <c r="D133" s="229">
        <f>VLOOKUP(C133,每日行情!A:B,2,FALSE)</f>
        <v/>
      </c>
      <c r="E133" s="229" t="n">
        <v>1000</v>
      </c>
      <c r="F133" s="229" t="n">
        <v>33.15</v>
      </c>
      <c r="G133" s="229">
        <f>E133*F133</f>
        <v/>
      </c>
      <c r="H133" s="229" t="n">
        <v>28</v>
      </c>
      <c r="I133" s="324" t="n">
        <v>42366</v>
      </c>
      <c r="J133" s="16" t="n">
        <v>33.65</v>
      </c>
      <c r="K133" s="229">
        <f>E133*J133</f>
        <v/>
      </c>
      <c r="L133" s="17" t="n">
        <v>28</v>
      </c>
      <c r="M133" s="229" t="n">
        <v>100</v>
      </c>
      <c r="N133" s="229" t="n">
        <v>0</v>
      </c>
      <c r="O133" s="584">
        <f>IF(I133="",E133*Y133,0)</f>
        <v/>
      </c>
      <c r="P133" s="585">
        <f>IF(I133="",R133-H133,(K133-H133-SUM(L133:N133)+R133-S133-T133)-G133)+(ROUND(R133*V133,0)-ROUND(R133*(1+V133),0)*W133)</f>
        <v/>
      </c>
      <c r="Q133" s="585">
        <f>IF(I133="",(O133-G133-(O133*0.1425%*0.65)-(O133*0.3%)-S133-T133),0)</f>
        <v/>
      </c>
      <c r="R133" s="585" t="n"/>
      <c r="S133" s="585" t="n"/>
      <c r="T133" s="585">
        <f>IF(ROUND(R133*(1+V133),0)&gt;5000,ROUND(ROUND(R133*(1+V133),0)*2%,0),0)</f>
        <v/>
      </c>
      <c r="U133" s="65">
        <f>(V133*50%)/(1+50%*V133)</f>
        <v/>
      </c>
      <c r="V133" s="65" t="n"/>
      <c r="W133" s="66" t="n"/>
      <c r="X133" s="586">
        <f>(P133+Q133)/G133</f>
        <v/>
      </c>
      <c r="Y133" s="16">
        <f>VLOOKUP(C133,#REF!,3,FALSE)</f>
        <v/>
      </c>
      <c r="Z133" s="587" t="n"/>
      <c r="AA133" s="588">
        <f>((I133-A133)*G133)/365.24</f>
        <v/>
      </c>
    </row>
    <row r="134" hidden="1" outlineLevel="1">
      <c r="A134" s="228" t="n">
        <v>42363</v>
      </c>
      <c r="B134" s="229" t="inlineStr">
        <is>
          <t>普通買進</t>
        </is>
      </c>
      <c r="C134" s="229" t="n">
        <v>2457</v>
      </c>
      <c r="D134" s="229">
        <f>VLOOKUP(C134,每日行情!A:B,2,FALSE)</f>
        <v/>
      </c>
      <c r="E134" s="229" t="n">
        <v>1000</v>
      </c>
      <c r="F134" s="229" t="n">
        <v>13.6</v>
      </c>
      <c r="G134" s="229">
        <f>E134*F134</f>
        <v/>
      </c>
      <c r="H134" s="229" t="n">
        <v>20</v>
      </c>
      <c r="I134" s="324" t="n">
        <v>42368</v>
      </c>
      <c r="J134" s="16" t="n">
        <v>13.2</v>
      </c>
      <c r="K134" s="229">
        <f>E134*J134</f>
        <v/>
      </c>
      <c r="L134" s="17" t="n">
        <v>20</v>
      </c>
      <c r="M134" s="229" t="n">
        <v>39</v>
      </c>
      <c r="N134" s="229" t="n">
        <v>0</v>
      </c>
      <c r="O134" s="584">
        <f>IF(I134="",E134*Y134,0)</f>
        <v/>
      </c>
      <c r="P134" s="585">
        <f>IF(I134="",R134-H134,(K134-H134-SUM(L134:N134)+R134-S134-T134)-G134)+(ROUND(R134*V134,0)-ROUND(R134*(1+V134),0)*W134)</f>
        <v/>
      </c>
      <c r="Q134" s="585">
        <f>IF(I134="",(O134-G134-(O134*0.1425%*0.65)-(O134*0.3%)-S134-T134),0)</f>
        <v/>
      </c>
      <c r="R134" s="585" t="n"/>
      <c r="S134" s="585" t="n"/>
      <c r="T134" s="585">
        <f>IF(ROUND(R134*(1+V134),0)&gt;5000,ROUND(ROUND(R134*(1+V134),0)*2%,0),0)</f>
        <v/>
      </c>
      <c r="U134" s="65">
        <f>(V134*50%)/(1+50%*V134)</f>
        <v/>
      </c>
      <c r="V134" s="65" t="n"/>
      <c r="W134" s="66" t="n"/>
      <c r="X134" s="586">
        <f>(P134+Q134)/G134</f>
        <v/>
      </c>
      <c r="Y134" s="16">
        <f>VLOOKUP(C134,#REF!,3,FALSE)</f>
        <v/>
      </c>
      <c r="Z134" s="587" t="n"/>
      <c r="AA134" s="588">
        <f>((I134-A134)*G134)/365.24</f>
        <v/>
      </c>
    </row>
    <row r="135" hidden="1" outlineLevel="1">
      <c r="A135" s="228" t="n">
        <v>42363</v>
      </c>
      <c r="B135" s="229" t="inlineStr">
        <is>
          <t>普通買進</t>
        </is>
      </c>
      <c r="C135" s="229" t="n">
        <v>3642</v>
      </c>
      <c r="D135" s="229">
        <f>VLOOKUP(C135,每日行情!A:B,2,FALSE)</f>
        <v/>
      </c>
      <c r="E135" s="229" t="n">
        <v>1000</v>
      </c>
      <c r="F135" s="229" t="n">
        <v>28.95</v>
      </c>
      <c r="G135" s="229">
        <f>E135*F135</f>
        <v/>
      </c>
      <c r="H135" s="229" t="n">
        <v>24</v>
      </c>
      <c r="I135" s="324" t="n">
        <v>42368</v>
      </c>
      <c r="J135" s="16" t="n">
        <v>27.55</v>
      </c>
      <c r="K135" s="229">
        <f>E135*J135</f>
        <v/>
      </c>
      <c r="L135" s="17" t="n">
        <v>23</v>
      </c>
      <c r="M135" s="229" t="n">
        <v>82</v>
      </c>
      <c r="N135" s="229" t="n">
        <v>0</v>
      </c>
      <c r="O135" s="584">
        <f>IF(I135="",E135*Y135,0)</f>
        <v/>
      </c>
      <c r="P135" s="585">
        <f>IF(I135="",R135-H135,(K135-H135-SUM(L135:N135)+R135-S135-T135)-G135)+(ROUND(R135*V135,0)-ROUND(R135*(1+V135),0)*W135)</f>
        <v/>
      </c>
      <c r="Q135" s="585">
        <f>IF(I135="",(O135-G135-(O135*0.1425%*0.65)-(O135*0.3%)-S135-T135),0)</f>
        <v/>
      </c>
      <c r="R135" s="585" t="n"/>
      <c r="S135" s="585" t="n"/>
      <c r="T135" s="585">
        <f>IF(ROUND(R135*(1+V135),0)&gt;5000,ROUND(ROUND(R135*(1+V135),0)*2%,0),0)</f>
        <v/>
      </c>
      <c r="U135" s="65">
        <f>(V135*50%)/(1+50%*V135)</f>
        <v/>
      </c>
      <c r="V135" s="65" t="n"/>
      <c r="W135" s="66" t="n"/>
      <c r="X135" s="586">
        <f>(P135+Q135)/G135</f>
        <v/>
      </c>
      <c r="Y135" s="16">
        <f>VLOOKUP(C135,#REF!,3,FALSE)</f>
        <v/>
      </c>
      <c r="Z135" s="587" t="n"/>
      <c r="AA135" s="588">
        <f>((I135-A135)*G135)/365.24</f>
        <v/>
      </c>
    </row>
    <row r="136" hidden="1" outlineLevel="1">
      <c r="A136" s="228" t="n">
        <v>42355</v>
      </c>
      <c r="B136" s="229" t="inlineStr">
        <is>
          <t>普通買進</t>
        </is>
      </c>
      <c r="C136" s="229" t="n">
        <v>2881</v>
      </c>
      <c r="D136" s="229">
        <f>VLOOKUP(C136,每日行情!A:B,2,FALSE)</f>
        <v/>
      </c>
      <c r="E136" s="229" t="n">
        <v>1000</v>
      </c>
      <c r="F136" s="229" t="n">
        <v>47.05</v>
      </c>
      <c r="G136" s="229">
        <f>E136*F136</f>
        <v/>
      </c>
      <c r="H136" s="229" t="n">
        <v>40</v>
      </c>
      <c r="I136" s="324" t="n">
        <v>42369</v>
      </c>
      <c r="J136" s="16" t="n">
        <v>44.75</v>
      </c>
      <c r="K136" s="229">
        <f>E136*J136</f>
        <v/>
      </c>
      <c r="L136" s="17" t="n">
        <v>38</v>
      </c>
      <c r="M136" s="229" t="n">
        <v>134</v>
      </c>
      <c r="N136" s="229" t="n">
        <v>0</v>
      </c>
      <c r="O136" s="584">
        <f>IF(I136="",E136*Y136,0)</f>
        <v/>
      </c>
      <c r="P136" s="585">
        <f>IF(I136="",R136-H136,(K136-H136-SUM(L136:N136)+R136-S136-T136)-G136)+(ROUND(R136*V136,0)-ROUND(R136*(1+V136),0)*W136)</f>
        <v/>
      </c>
      <c r="Q136" s="585">
        <f>IF(I136="",(O136-G136-(O136*0.1425%*0.65)-(O136*0.3%)-S136-T136),0)</f>
        <v/>
      </c>
      <c r="R136" s="585" t="n"/>
      <c r="S136" s="585" t="n"/>
      <c r="T136" s="585">
        <f>IF(ROUND(R136*(1+V136),0)&gt;5000,ROUND(ROUND(R136*(1+V136),0)*2%,0),0)</f>
        <v/>
      </c>
      <c r="U136" s="65">
        <f>(V136*50%)/(1+50%*V136)</f>
        <v/>
      </c>
      <c r="V136" s="65" t="n"/>
      <c r="W136" s="66" t="n"/>
      <c r="X136" s="586">
        <f>(P136+Q136)/G136</f>
        <v/>
      </c>
      <c r="Y136" s="16">
        <f>VLOOKUP(C136,#REF!,3,FALSE)</f>
        <v/>
      </c>
      <c r="Z136" s="587" t="n"/>
      <c r="AA136" s="588">
        <f>((I136-A136)*G136)/365.24</f>
        <v/>
      </c>
    </row>
    <row r="137" hidden="1" outlineLevel="1">
      <c r="A137" s="231" t="n">
        <v>42369</v>
      </c>
      <c r="B137" s="232" t="n"/>
      <c r="C137" s="232" t="n">
        <v>93211</v>
      </c>
      <c r="D137" s="232" t="n"/>
      <c r="E137" s="232" t="n"/>
      <c r="F137" s="232" t="n"/>
      <c r="G137" s="232" t="n"/>
      <c r="H137" s="232" t="n"/>
      <c r="I137" s="233" t="n"/>
      <c r="J137" s="42" t="n"/>
      <c r="K137" s="232" t="n"/>
      <c r="L137" s="589" t="n"/>
      <c r="M137" s="232" t="n"/>
      <c r="N137" s="232" t="n"/>
      <c r="O137" s="590" t="n"/>
      <c r="P137" s="591" t="n">
        <v>-1194</v>
      </c>
      <c r="Q137" s="591" t="n"/>
      <c r="R137" s="591" t="n"/>
      <c r="S137" s="591" t="n"/>
      <c r="T137" s="591" t="n"/>
      <c r="U137" s="69" t="n"/>
      <c r="V137" s="69" t="n"/>
      <c r="W137" s="71" t="n"/>
      <c r="X137" s="592" t="n"/>
      <c r="Y137" s="42" t="n"/>
      <c r="Z137" s="47" t="n"/>
      <c r="AA137" s="588">
        <f>((I137-A137)*G137)/365.24</f>
        <v/>
      </c>
    </row>
    <row r="138">
      <c r="A138" s="228" t="n"/>
      <c r="B138" s="229" t="n"/>
      <c r="C138" s="229" t="n"/>
      <c r="D138" s="229" t="n"/>
      <c r="E138" s="229" t="n"/>
      <c r="F138" s="229" t="n"/>
      <c r="G138" s="229" t="n"/>
      <c r="H138" s="229" t="n"/>
      <c r="I138" s="234" t="n"/>
      <c r="J138" s="229" t="n"/>
      <c r="K138" s="229" t="n"/>
      <c r="L138" s="229" t="n"/>
      <c r="M138" s="229" t="n"/>
      <c r="N138" s="229" t="n"/>
      <c r="O138" s="584" t="n"/>
      <c r="P138" s="585" t="n"/>
      <c r="Q138" s="585" t="n"/>
      <c r="R138" s="585" t="n"/>
      <c r="S138" s="585" t="n"/>
      <c r="T138" s="585" t="n"/>
      <c r="U138" s="585" t="n"/>
      <c r="V138" s="65" t="n"/>
      <c r="W138" s="66" t="n"/>
      <c r="X138" s="586" t="n"/>
      <c r="Y138" s="16" t="n"/>
      <c r="Z138" s="587" t="n"/>
      <c r="AA138" s="588" t="n"/>
    </row>
    <row r="139">
      <c r="A139" s="235">
        <f>MIN(A140:A141)</f>
        <v/>
      </c>
      <c r="B139" s="236" t="n"/>
      <c r="C139" s="237" t="n"/>
      <c r="D139" s="236" t="n"/>
      <c r="E139" s="236" t="n"/>
      <c r="F139" s="236" t="n"/>
      <c r="G139" s="236" t="n"/>
      <c r="H139" s="236" t="n"/>
      <c r="I139" s="21" t="n"/>
      <c r="J139" s="22" t="n"/>
      <c r="K139" s="236" t="n"/>
      <c r="L139" s="661" t="n"/>
      <c r="M139" s="236" t="n"/>
      <c r="N139" s="236" t="n"/>
      <c r="O139" s="662" t="n"/>
      <c r="P139" s="663" t="n"/>
      <c r="Q139" s="663" t="n"/>
      <c r="R139" s="663" t="n"/>
      <c r="S139" s="663" t="n"/>
      <c r="T139" s="663" t="n"/>
      <c r="U139" s="663" t="n"/>
      <c r="V139" s="70" t="n"/>
      <c r="W139" s="72" t="n"/>
      <c r="X139" s="664" t="n"/>
      <c r="Y139" s="22" t="n"/>
      <c r="Z139" s="27" t="n"/>
      <c r="AA139" s="588" t="n"/>
    </row>
    <row r="140" hidden="1">
      <c r="A140" s="235" t="n"/>
      <c r="B140" s="236" t="n"/>
      <c r="C140" s="237" t="n"/>
      <c r="D140" s="236" t="n"/>
      <c r="E140" s="236" t="n"/>
      <c r="F140" s="236" t="n"/>
      <c r="G140" s="236" t="n"/>
      <c r="H140" s="236" t="n"/>
      <c r="I140" s="21" t="n"/>
      <c r="J140" s="22" t="n"/>
      <c r="K140" s="236" t="n"/>
      <c r="L140" s="661" t="n"/>
      <c r="M140" s="236" t="n"/>
      <c r="N140" s="236" t="n"/>
      <c r="O140" s="662" t="n"/>
      <c r="P140" s="663" t="n"/>
      <c r="Q140" s="663" t="n"/>
      <c r="R140" s="663" t="n"/>
      <c r="S140" s="663" t="n"/>
      <c r="T140" s="663" t="n"/>
      <c r="U140" s="663" t="n"/>
      <c r="V140" s="70" t="n"/>
      <c r="W140" s="72" t="n"/>
      <c r="X140" s="664" t="n"/>
      <c r="Y140" s="22" t="n"/>
      <c r="Z140" s="27" t="n"/>
      <c r="AA140" s="588" t="n"/>
    </row>
    <row r="141" ht="17.25" customHeight="1" thickBot="1">
      <c r="A141" s="238" t="n"/>
      <c r="B141" s="239" t="n"/>
      <c r="C141" s="239" t="n"/>
      <c r="D141" s="239" t="n"/>
      <c r="E141" s="239" t="n"/>
      <c r="F141" s="239" t="n"/>
      <c r="G141" s="239" t="n"/>
      <c r="H141" s="239" t="n"/>
      <c r="I141" s="240" t="n"/>
      <c r="J141" s="51" t="n"/>
      <c r="K141" s="239" t="n"/>
      <c r="L141" s="593" t="n"/>
      <c r="M141" s="239" t="n"/>
      <c r="N141" s="239" t="n"/>
      <c r="O141" s="594" t="n"/>
      <c r="P141" s="595" t="n"/>
      <c r="Q141" s="595" t="n"/>
      <c r="R141" s="595" t="n"/>
      <c r="S141" s="595" t="n"/>
      <c r="T141" s="596" t="n"/>
      <c r="U141" s="595" t="n"/>
      <c r="V141" s="595" t="n"/>
      <c r="W141" s="73" t="n"/>
      <c r="X141" s="597" t="n"/>
      <c r="Y141" s="51" t="n"/>
      <c r="Z141" s="56" t="n"/>
      <c r="AA141" s="588">
        <f>((I141-A141)*G141)/365.24</f>
        <v/>
      </c>
    </row>
    <row r="142" ht="17.25" customHeight="1" thickBot="1">
      <c r="A142" s="241" t="n"/>
      <c r="D142" s="226" t="n"/>
      <c r="I142" s="30" t="n"/>
      <c r="J142" s="31" t="n"/>
      <c r="L142" s="665" t="n"/>
      <c r="O142" s="666" t="n"/>
      <c r="P142" s="667" t="n"/>
      <c r="Q142" s="667" t="n"/>
      <c r="R142" s="667" t="n"/>
      <c r="S142" s="667" t="n"/>
      <c r="T142" s="667" t="n"/>
      <c r="U142" s="667" t="n"/>
      <c r="V142" s="667" t="n"/>
      <c r="W142" s="667" t="n"/>
      <c r="X142" s="668" t="n"/>
      <c r="Y142" s="31" t="n"/>
      <c r="Z142" s="31" t="n"/>
      <c r="AA142" s="31" t="n"/>
    </row>
    <row r="143" ht="17.25" customHeight="1" thickBot="1">
      <c r="A143" s="669" t="n"/>
      <c r="B143" s="600" t="n"/>
      <c r="C143" s="670" t="n"/>
      <c r="D143" s="569" t="inlineStr">
        <is>
          <t>持股小計</t>
        </is>
      </c>
      <c r="E143" s="736" t="n"/>
      <c r="F143" s="670" t="n"/>
      <c r="G143" s="59">
        <f>SUM(G139:G141)</f>
        <v/>
      </c>
      <c r="H143" s="59">
        <f>SUM(H139:H141)</f>
        <v/>
      </c>
      <c r="I143" s="736" t="n"/>
      <c r="J143" s="670" t="n"/>
      <c r="K143" s="59" t="n"/>
      <c r="L143" s="671" t="n"/>
      <c r="M143" s="671" t="n"/>
      <c r="N143" s="672" t="n"/>
      <c r="O143" s="59">
        <f>SUM(O139:O141)</f>
        <v/>
      </c>
      <c r="P143" s="59">
        <f>SUM(P139:P141)</f>
        <v/>
      </c>
      <c r="Q143" s="59">
        <f>SUM(Q139:Q141)</f>
        <v/>
      </c>
      <c r="R143" s="59">
        <f>SUM(R139:R141)</f>
        <v/>
      </c>
      <c r="S143" s="548" t="n"/>
      <c r="T143" s="548" t="n"/>
      <c r="U143" s="548" t="n"/>
      <c r="V143" s="548" t="n"/>
      <c r="W143" s="548" t="n"/>
      <c r="X143" s="674" t="n">
        <v>0</v>
      </c>
      <c r="Y143" s="532" t="inlineStr">
        <is>
          <t>年化報酬率</t>
        </is>
      </c>
      <c r="Z143" s="675">
        <f>IF(AA143=0,0,(P143+Q143)/(AA143))</f>
        <v/>
      </c>
      <c r="AA143" s="588">
        <f>SUM(AA139:AA141)</f>
        <v/>
      </c>
    </row>
    <row r="144" ht="17.25" customFormat="1" customHeight="1" s="244" thickBot="1">
      <c r="A144" s="602" t="n"/>
      <c r="C144" s="676" t="n"/>
      <c r="D144" s="569" t="inlineStr">
        <is>
          <t>2015總計</t>
        </is>
      </c>
      <c r="E144" s="677" t="n"/>
      <c r="F144" s="676" t="n"/>
      <c r="G144" s="60">
        <f>SUM(G3:G141)</f>
        <v/>
      </c>
      <c r="H144" s="60">
        <f>SUM(H3:H141)</f>
        <v/>
      </c>
      <c r="I144" s="677" t="n"/>
      <c r="J144" s="676" t="n"/>
      <c r="K144" s="60">
        <f>SUM(K3:K141)</f>
        <v/>
      </c>
      <c r="L144" s="60">
        <f>SUM(L3:L141)</f>
        <v/>
      </c>
      <c r="M144" s="60">
        <f>SUM(M3:M141)</f>
        <v/>
      </c>
      <c r="N144" s="60">
        <f>SUM(N3:N141)</f>
        <v/>
      </c>
      <c r="O144" s="60">
        <f>SUM(O3:O141)</f>
        <v/>
      </c>
      <c r="P144" s="60">
        <f>SUM(P3:P141)</f>
        <v/>
      </c>
      <c r="Q144" s="60">
        <f>SUM(Q3:Q141)</f>
        <v/>
      </c>
      <c r="R144" s="60">
        <f>SUM(R3:R141)</f>
        <v/>
      </c>
      <c r="S144" s="68" t="n"/>
      <c r="T144" s="68" t="n"/>
      <c r="U144" s="68" t="n"/>
      <c r="V144" s="68" t="n"/>
      <c r="W144" s="68" t="n"/>
      <c r="X144" s="674">
        <f>(P144+Q144)/G144</f>
        <v/>
      </c>
      <c r="Y144" s="604" t="n"/>
      <c r="Z144" s="675">
        <f>IF(AA144=0,0,(P144+Q144)/(AA144))</f>
        <v/>
      </c>
      <c r="AA144" s="588">
        <f>SUM(AA2:AA138)</f>
        <v/>
      </c>
    </row>
    <row r="145" ht="17.25" customFormat="1" customHeight="1" s="244" thickBot="1">
      <c r="A145" s="610" t="n"/>
      <c r="B145" s="611" t="n"/>
      <c r="C145" s="679" t="n"/>
      <c r="D145" s="569" t="inlineStr">
        <is>
          <t>總計</t>
        </is>
      </c>
      <c r="E145" s="680" t="n"/>
      <c r="F145" s="679" t="n"/>
      <c r="G145" s="60">
        <f>SUM(G2:G141)</f>
        <v/>
      </c>
      <c r="H145" s="60">
        <f>SUM(H2:H141)</f>
        <v/>
      </c>
      <c r="I145" s="680" t="n"/>
      <c r="J145" s="679" t="n"/>
      <c r="K145" s="397">
        <f>SUM(K2:K141)</f>
        <v/>
      </c>
      <c r="L145" s="398">
        <f>SUM(L2:L141)</f>
        <v/>
      </c>
      <c r="M145" s="398">
        <f>SUM(M2:M141)</f>
        <v/>
      </c>
      <c r="N145" s="399">
        <f>SUM(N2:N141)</f>
        <v/>
      </c>
      <c r="O145" s="60">
        <f>SUM(O2:O141)</f>
        <v/>
      </c>
      <c r="P145" s="60">
        <f>SUM(P2:P141)</f>
        <v/>
      </c>
      <c r="Q145" s="60">
        <f>SUM(Q2:Q141)</f>
        <v/>
      </c>
      <c r="R145" s="60">
        <f>SUM(R2:R141)</f>
        <v/>
      </c>
      <c r="S145" s="68" t="n"/>
      <c r="T145" s="68" t="n"/>
      <c r="U145" s="68" t="n"/>
      <c r="V145" s="68" t="n"/>
      <c r="W145" s="68" t="n"/>
      <c r="X145" s="674">
        <f>(P145+Q145)/G145</f>
        <v/>
      </c>
      <c r="Y145" s="613" t="n"/>
      <c r="Z145" s="675">
        <f>IF(AA145=0,0,(P145+Q145)/(AA145))</f>
        <v/>
      </c>
      <c r="AA145" s="588">
        <f>AA144+'14股'!Z63</f>
        <v/>
      </c>
    </row>
    <row r="146">
      <c r="A146" s="288" t="n"/>
      <c r="B146" s="245" t="n"/>
      <c r="C146" s="245" t="n"/>
      <c r="D146" s="226" t="n"/>
    </row>
    <row r="147">
      <c r="A147" s="288" t="n"/>
      <c r="B147" s="245" t="n"/>
      <c r="C147" s="245" t="n"/>
      <c r="D147" s="226" t="n"/>
    </row>
    <row r="148">
      <c r="A148" s="61" t="inlineStr">
        <is>
          <t>申購日</t>
        </is>
      </c>
      <c r="C148" s="61" t="inlineStr">
        <is>
          <t>股票名稱</t>
        </is>
      </c>
      <c r="D148" s="226" t="n"/>
    </row>
    <row r="149">
      <c r="A149" s="62" t="n">
        <v>42086</v>
      </c>
      <c r="C149" s="61" t="inlineStr">
        <is>
          <t>2115 F-六暉</t>
        </is>
      </c>
      <c r="D149" s="226" t="n"/>
    </row>
    <row r="150">
      <c r="A150" s="62" t="n">
        <v>42086</v>
      </c>
      <c r="C150" s="61" t="inlineStr">
        <is>
          <t>4743 合一</t>
        </is>
      </c>
      <c r="D150" s="226" t="n"/>
    </row>
    <row r="151">
      <c r="A151" s="62" t="n">
        <v>42081</v>
      </c>
      <c r="C151" s="61" t="inlineStr">
        <is>
          <t>1316 上曜</t>
        </is>
      </c>
      <c r="D151" s="226" t="n"/>
    </row>
    <row r="152">
      <c r="A152" s="62" t="n">
        <v>42081</v>
      </c>
      <c r="C152" s="61" t="inlineStr">
        <is>
          <t>3374 精材</t>
        </is>
      </c>
      <c r="D152" s="226" t="n"/>
    </row>
    <row r="153">
      <c r="A153" s="62" t="n">
        <v>42081</v>
      </c>
      <c r="C153" s="61" t="inlineStr">
        <is>
          <t>8431 匯鑽科</t>
        </is>
      </c>
      <c r="D153" s="226" t="n"/>
    </row>
    <row r="154">
      <c r="A154" s="62" t="n">
        <v>42076</v>
      </c>
      <c r="C154" s="61" t="inlineStr">
        <is>
          <t>5880 合庫金</t>
        </is>
      </c>
      <c r="D154" s="226" t="n"/>
    </row>
    <row r="155">
      <c r="A155" s="62" t="n">
        <v>42074</v>
      </c>
      <c r="C155" s="61" t="inlineStr">
        <is>
          <t>8341 日友</t>
        </is>
      </c>
      <c r="D155" s="226" t="n"/>
    </row>
    <row r="156">
      <c r="A156" s="62" t="n">
        <v>42072</v>
      </c>
      <c r="C156" s="61" t="inlineStr">
        <is>
          <t>1593 祺驊</t>
        </is>
      </c>
      <c r="D156" s="226" t="n"/>
    </row>
    <row r="157">
      <c r="A157" s="62" t="n">
        <v>42072</v>
      </c>
      <c r="C157" s="61" t="inlineStr">
        <is>
          <t>8050 廣積科技</t>
        </is>
      </c>
      <c r="D157" s="226" t="n"/>
    </row>
    <row r="158">
      <c r="A158" s="62" t="n">
        <v>42069</v>
      </c>
      <c r="C158" s="61" t="inlineStr">
        <is>
          <t>4550 長佳機電</t>
        </is>
      </c>
      <c r="D158" s="226" t="n"/>
    </row>
    <row r="159">
      <c r="A159" s="62" t="n">
        <v>42068</v>
      </c>
      <c r="C159" s="61" t="inlineStr">
        <is>
          <t>3224 三顧</t>
        </is>
      </c>
      <c r="D159" s="226" t="n"/>
    </row>
    <row r="160">
      <c r="B160" s="245" t="n"/>
      <c r="C160" s="288" t="inlineStr">
        <is>
          <t>寶一</t>
        </is>
      </c>
      <c r="D160" s="226" t="n"/>
    </row>
    <row r="161">
      <c r="B161" s="245" t="n"/>
      <c r="C161" s="288" t="inlineStr">
        <is>
          <t>智易</t>
        </is>
      </c>
      <c r="D161" s="226" t="n"/>
    </row>
    <row r="162">
      <c r="B162" s="245" t="n"/>
      <c r="C162" s="288" t="inlineStr">
        <is>
          <t>健亞</t>
        </is>
      </c>
      <c r="D162" s="226" t="n"/>
    </row>
    <row r="163">
      <c r="B163" s="245" t="n"/>
      <c r="C163" s="288" t="inlineStr">
        <is>
          <t>合晶科技</t>
        </is>
      </c>
      <c r="D163" s="226" t="n"/>
    </row>
    <row r="164">
      <c r="B164" s="245" t="n"/>
      <c r="C164" s="288" t="inlineStr">
        <is>
          <t>F君耀</t>
        </is>
      </c>
      <c r="D164" s="226" t="n"/>
    </row>
    <row r="165">
      <c r="B165" s="245" t="n"/>
      <c r="C165" s="288" t="inlineStr">
        <is>
          <t>風青 98</t>
        </is>
      </c>
      <c r="D165" s="226" t="n"/>
    </row>
    <row r="166">
      <c r="B166" s="245" t="n"/>
      <c r="C166" s="245" t="n"/>
      <c r="D166" s="226" t="n"/>
    </row>
    <row r="167">
      <c r="B167" s="245" t="n"/>
      <c r="C167" s="245" t="n"/>
      <c r="D167" s="226" t="n"/>
    </row>
    <row r="168">
      <c r="B168" s="245" t="n"/>
      <c r="C168" s="245" t="n"/>
      <c r="D168" s="226" t="n"/>
    </row>
    <row r="169">
      <c r="B169" s="245" t="n"/>
      <c r="C169" s="245" t="n"/>
      <c r="D169" s="226" t="n"/>
    </row>
    <row r="170">
      <c r="B170" s="245" t="n"/>
      <c r="C170" s="245" t="n"/>
      <c r="D170" s="226" t="n"/>
    </row>
    <row r="171">
      <c r="B171" s="245" t="n"/>
      <c r="C171" s="245" t="n"/>
      <c r="D171" s="226" t="n"/>
    </row>
    <row r="172">
      <c r="A172" s="245" t="n"/>
      <c r="B172" s="245" t="n"/>
      <c r="C172" s="245" t="n"/>
      <c r="D172" s="226" t="n"/>
    </row>
    <row r="173">
      <c r="A173" s="245" t="n"/>
      <c r="B173" s="245" t="n"/>
      <c r="C173" s="245" t="n"/>
      <c r="D173" s="226" t="n"/>
    </row>
    <row r="174">
      <c r="A174" s="245" t="n"/>
      <c r="B174" s="245" t="n"/>
      <c r="C174" s="245" t="n"/>
      <c r="D174" s="226" t="n"/>
    </row>
    <row r="175">
      <c r="A175" s="245" t="n"/>
      <c r="B175" s="245" t="n"/>
      <c r="C175" s="245" t="n"/>
      <c r="D175" s="226" t="n"/>
    </row>
    <row r="176">
      <c r="A176" s="245" t="n"/>
      <c r="B176" s="245" t="n"/>
      <c r="C176" s="245" t="n"/>
      <c r="D176" s="226" t="n"/>
    </row>
    <row r="177">
      <c r="A177" s="245" t="n"/>
      <c r="B177" s="245" t="n"/>
      <c r="C177" s="245" t="n"/>
      <c r="D177" s="226" t="n"/>
    </row>
    <row r="178">
      <c r="A178" s="245" t="n"/>
      <c r="B178" s="245" t="n"/>
      <c r="C178" s="245" t="n"/>
      <c r="D178" s="226" t="n"/>
    </row>
    <row r="179">
      <c r="A179" s="245" t="n"/>
      <c r="B179" s="245" t="n"/>
      <c r="C179" s="245" t="n"/>
      <c r="D179" s="226" t="n"/>
    </row>
  </sheetData>
  <autoFilter ref="A1:AA181"/>
  <mergeCells count="5">
    <mergeCell ref="E143:F145"/>
    <mergeCell ref="K143:N143"/>
    <mergeCell ref="Y143:Y145"/>
    <mergeCell ref="A143:C145"/>
    <mergeCell ref="I143:J145"/>
  </mergeCells>
  <conditionalFormatting sqref="Z1:AA1048576">
    <cfRule type="containsText" priority="1" operator="containsText" dxfId="1" text="△">
      <formula>NOT(ISERROR(SEARCH("△",Z1)))</formula>
    </cfRule>
    <cfRule type="containsText" priority="2" operator="containsText" dxfId="0" text="▽">
      <formula>NOT(ISERROR(SEARCH("▽",Z1)))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codeName="Sheet5">
    <outlinePr summaryBelow="0" summaryRight="0"/>
    <pageSetUpPr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 outlineLevelRow="2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1.87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collapsed="1" width="11.375" customWidth="1" style="226" min="15" max="15"/>
    <col width="13.375" customWidth="1" style="226" min="16" max="16"/>
    <col width="13.125" customWidth="1" style="226" min="17" max="17"/>
    <col width="8.5" bestFit="1" customWidth="1" style="226" min="18" max="18"/>
    <col width="10.125" bestFit="1" customWidth="1" style="226" min="19" max="19"/>
    <col width="16.875" bestFit="1" customWidth="1" style="226" min="20" max="20"/>
    <col collapsed="1" width="16.875" customWidth="1" style="226" min="21" max="21"/>
    <col hidden="1" outlineLevel="1" width="12.375" customWidth="1" style="226" min="22" max="23"/>
    <col collapsed="1" width="13.875" customWidth="1" style="226" min="24" max="24"/>
    <col width="13.125" bestFit="1" customWidth="1" style="226" min="25" max="25"/>
    <col width="10" customWidth="1" style="226" min="26" max="26"/>
    <col width="10.375" bestFit="1" customWidth="1" style="226" min="27" max="27"/>
    <col width="15" bestFit="1" customWidth="1" style="226" min="28" max="28"/>
    <col width="12.125" bestFit="1" customWidth="1" style="226" min="29" max="29"/>
    <col width="9" customWidth="1" style="226" min="30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227" t="inlineStr">
        <is>
          <t>買進理由</t>
        </is>
      </c>
      <c r="AB1" s="227" t="inlineStr">
        <is>
          <t>賣出理由</t>
        </is>
      </c>
      <c r="AC1" s="227" t="inlineStr">
        <is>
          <t>一週後價格</t>
        </is>
      </c>
    </row>
    <row r="2">
      <c r="A2" s="235" t="n"/>
      <c r="B2" s="236" t="n"/>
      <c r="C2" s="237" t="n"/>
      <c r="D2" s="236" t="n"/>
      <c r="E2" s="236" t="n"/>
      <c r="F2" s="236" t="n"/>
      <c r="G2" s="236" t="n"/>
      <c r="H2" s="236" t="n"/>
      <c r="I2" s="21" t="n"/>
      <c r="J2" s="22" t="n"/>
      <c r="K2" s="236" t="n"/>
      <c r="L2" s="661" t="n"/>
      <c r="M2" s="236" t="n"/>
      <c r="N2" s="236" t="n"/>
      <c r="O2" s="662" t="n"/>
      <c r="P2" s="663" t="n"/>
      <c r="Q2" s="663" t="n"/>
      <c r="R2" s="663" t="n"/>
      <c r="S2" s="663" t="n"/>
      <c r="T2" s="663" t="n"/>
      <c r="U2" s="663" t="n"/>
      <c r="V2" s="70" t="n"/>
      <c r="W2" s="72" t="n"/>
      <c r="X2" s="664" t="n"/>
      <c r="Y2" s="22" t="n"/>
      <c r="Z2" s="27" t="n"/>
    </row>
    <row r="3" outlineLevel="1" collapsed="1">
      <c r="A3" s="228" t="n">
        <v>42170</v>
      </c>
      <c r="B3" s="229" t="inlineStr">
        <is>
          <t>普通買進</t>
        </is>
      </c>
      <c r="C3" s="229" t="n">
        <v>2885</v>
      </c>
      <c r="D3" s="229">
        <f>VLOOKUP(C3,每日行情!A:B,2,FALSE)</f>
        <v/>
      </c>
      <c r="E3" s="229" t="n">
        <v>1000</v>
      </c>
      <c r="F3" s="229" t="n">
        <v>16.9</v>
      </c>
      <c r="G3" s="229">
        <f>E3*F3</f>
        <v/>
      </c>
      <c r="H3" s="229" t="n">
        <v>20</v>
      </c>
      <c r="I3" s="324" t="n">
        <v>42338</v>
      </c>
      <c r="J3" s="16" t="n">
        <v>12.55</v>
      </c>
      <c r="K3" s="229">
        <f>E3*J3</f>
        <v/>
      </c>
      <c r="L3" s="17" t="n">
        <v>20</v>
      </c>
      <c r="M3" s="229" t="n">
        <v>37</v>
      </c>
      <c r="N3" s="229" t="n">
        <v>0</v>
      </c>
      <c r="O3" s="584">
        <f>IF(I3="",E3*Y3,0)</f>
        <v/>
      </c>
      <c r="P3" s="585">
        <f>IF(I3="",R3-H3,(K3-H3-SUM(L3:N3)+R3-S3-T3)-G3)+(ROUND(R3*V3,0)-ROUND(R3*(1+V3),0)*W3)</f>
        <v/>
      </c>
      <c r="Q3" s="585">
        <f>IF(I3="",(O3-G3-(O3*0.1425%*0.65)-(O3*0.3%)-S3-T3),0)</f>
        <v/>
      </c>
      <c r="R3" s="585" t="n">
        <v>617</v>
      </c>
      <c r="S3" s="585" t="n">
        <v>10</v>
      </c>
      <c r="T3" s="585">
        <f>IF(ROUND(R3*(1+V3),0)&gt;5000,ROUND(ROUND(R3*(1+V3),0)*2%,0),0)</f>
        <v/>
      </c>
      <c r="U3" s="65">
        <f>(V3*50%)/(1+50%*V3)</f>
        <v/>
      </c>
      <c r="V3" s="65" t="n">
        <v>0.1355</v>
      </c>
      <c r="W3" s="66" t="n">
        <v>0.12</v>
      </c>
      <c r="X3" s="586">
        <f>(P3+Q3)/G3</f>
        <v/>
      </c>
      <c r="Y3" s="16">
        <f>VLOOKUP(C3,#REF!,3,FALSE)</f>
        <v/>
      </c>
      <c r="Z3" s="587" t="n"/>
    </row>
    <row r="4" hidden="1" outlineLevel="2">
      <c r="A4" s="385" t="n">
        <v>42221</v>
      </c>
      <c r="B4" s="386" t="inlineStr">
        <is>
          <t>普通買進</t>
        </is>
      </c>
      <c r="C4" s="386" t="n">
        <v>2885</v>
      </c>
      <c r="D4" s="386">
        <f>VLOOKUP(C4,每日行情!A:B,2,FALSE)</f>
        <v/>
      </c>
      <c r="E4" s="386" t="n">
        <v>52</v>
      </c>
      <c r="F4" s="386" t="n">
        <v>0</v>
      </c>
      <c r="G4" s="386">
        <f>E4*F4</f>
        <v/>
      </c>
      <c r="H4" s="386" t="n">
        <v>0</v>
      </c>
      <c r="I4" s="387" t="n">
        <v>42361</v>
      </c>
      <c r="J4" s="394" t="n">
        <v>12.15</v>
      </c>
      <c r="K4" s="386">
        <f>E4*J4</f>
        <v/>
      </c>
      <c r="L4" s="17" t="n">
        <v>20</v>
      </c>
      <c r="M4" s="229" t="n">
        <v>1</v>
      </c>
      <c r="N4" s="386" t="n">
        <v>0</v>
      </c>
      <c r="O4" s="793">
        <f>IF(I4="",E4*Y4,0)</f>
        <v/>
      </c>
      <c r="P4" s="794">
        <f>IF(I4="",R4-H4,(K4-H4-SUM(L4:N4)+R4-S4-T4)-G4)+(ROUND(R4*V4,0)-ROUND(R4*(1+V4),0)*W4)</f>
        <v/>
      </c>
      <c r="Q4" s="794">
        <f>IF(I4="",(O4-G4-(O4*0.1425%*0.65)-(O4*0.3%)-S4-T4),0)</f>
        <v/>
      </c>
      <c r="R4" s="794" t="n"/>
      <c r="S4" s="794" t="n"/>
      <c r="T4" s="794">
        <f>IF(ROUND(R4*(1+V4),0)&gt;5000,ROUND(ROUND(R4*(1+V4),0)*2%,0),0)</f>
        <v/>
      </c>
      <c r="U4" s="391">
        <f>(V4*50%)/(1+50%*V4)</f>
        <v/>
      </c>
      <c r="V4" s="391" t="n"/>
      <c r="W4" s="392" t="n"/>
      <c r="X4" s="795" t="n"/>
      <c r="Y4" s="394">
        <f>VLOOKUP(C4,#REF!,3,FALSE)</f>
        <v/>
      </c>
      <c r="Z4" s="796" t="n"/>
    </row>
    <row r="5" outlineLevel="1" collapsed="1">
      <c r="A5" s="228" t="n">
        <v>42170</v>
      </c>
      <c r="B5" s="229" t="inlineStr">
        <is>
          <t>普通買進</t>
        </is>
      </c>
      <c r="C5" s="229" t="n">
        <v>2891</v>
      </c>
      <c r="D5" s="229">
        <f>VLOOKUP(C5,每日行情!A:B,2,FALSE)</f>
        <v/>
      </c>
      <c r="E5" s="229" t="n">
        <v>1000</v>
      </c>
      <c r="F5" s="229" t="n">
        <v>23.9</v>
      </c>
      <c r="G5" s="229">
        <f>E5*F5</f>
        <v/>
      </c>
      <c r="H5" s="229" t="n">
        <v>20</v>
      </c>
      <c r="I5" s="324" t="n">
        <v>42338</v>
      </c>
      <c r="J5" s="16" t="n">
        <v>17.05</v>
      </c>
      <c r="K5" s="229">
        <f>E5*J5</f>
        <v/>
      </c>
      <c r="L5" s="17" t="n">
        <v>20</v>
      </c>
      <c r="M5" s="229" t="n">
        <v>51</v>
      </c>
      <c r="N5" s="229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>
        <v>810</v>
      </c>
      <c r="S5" s="585" t="n">
        <v>10</v>
      </c>
      <c r="T5" s="585">
        <f>IF(ROUND(R5*(1+V5),0)&gt;5000,ROUND(ROUND(R5*(1+V5),0)*2%,0),0)</f>
        <v/>
      </c>
      <c r="U5" s="65">
        <f>(V5*50%)/(1+50%*V5)</f>
        <v/>
      </c>
      <c r="V5" s="65" t="n">
        <v>0.074</v>
      </c>
      <c r="W5" s="66" t="n">
        <v>0.12</v>
      </c>
      <c r="X5" s="586">
        <f>(P5+Q5)/G5</f>
        <v/>
      </c>
      <c r="Y5" s="16">
        <f>VLOOKUP(C5,#REF!,3,FALSE)</f>
        <v/>
      </c>
      <c r="Z5" s="587" t="n"/>
    </row>
    <row r="6" hidden="1" outlineLevel="2">
      <c r="A6" s="385" t="n">
        <v>42247</v>
      </c>
      <c r="B6" s="386" t="inlineStr">
        <is>
          <t>普通買進</t>
        </is>
      </c>
      <c r="C6" s="386" t="n">
        <v>2891</v>
      </c>
      <c r="D6" s="386">
        <f>VLOOKUP(C6,每日行情!A:B,2,FALSE)</f>
        <v/>
      </c>
      <c r="E6" s="386" t="n">
        <v>81</v>
      </c>
      <c r="F6" s="386" t="n">
        <v>0</v>
      </c>
      <c r="G6" s="386">
        <f>E6*F6</f>
        <v/>
      </c>
      <c r="H6" s="386" t="n">
        <v>0</v>
      </c>
      <c r="I6" s="387" t="n">
        <v>42361</v>
      </c>
      <c r="J6" s="394" t="n">
        <v>16.9</v>
      </c>
      <c r="K6" s="386">
        <f>E6*J6</f>
        <v/>
      </c>
      <c r="L6" s="17" t="n">
        <v>20</v>
      </c>
      <c r="M6" s="229" t="n">
        <v>4</v>
      </c>
      <c r="N6" s="386" t="n">
        <v>0</v>
      </c>
      <c r="O6" s="793">
        <f>IF(I6="",E6*Y6,0)</f>
        <v/>
      </c>
      <c r="P6" s="794">
        <f>IF(I6="",R6-H6,(K6-H6-SUM(L6:N6)+R6-S6-T6)-G6)+(ROUND(R6*V6,0)-ROUND(R6*(1+V6),0)*W6)</f>
        <v/>
      </c>
      <c r="Q6" s="794">
        <f>IF(I6="",(O6-G6-(O6*0.1425%*0.65)-(O6*0.3%)-S6-T6),0)</f>
        <v/>
      </c>
      <c r="R6" s="794" t="n"/>
      <c r="S6" s="794" t="n"/>
      <c r="T6" s="794">
        <f>IF(ROUND(R6*(1+V6),0)&gt;5000,ROUND(ROUND(R6*(1+V6),0)*2%,0),0)</f>
        <v/>
      </c>
      <c r="U6" s="391" t="n">
        <v>0</v>
      </c>
      <c r="V6" s="391" t="n">
        <v>0.074</v>
      </c>
      <c r="W6" s="392" t="n">
        <v>0.12</v>
      </c>
      <c r="X6" s="795" t="n"/>
      <c r="Y6" s="394">
        <f>VLOOKUP(C6,#REF!,3,FALSE)</f>
        <v/>
      </c>
      <c r="Z6" s="796" t="n"/>
    </row>
    <row r="7" outlineLevel="1">
      <c r="A7" s="228" t="n">
        <v>42212</v>
      </c>
      <c r="B7" s="229" t="inlineStr">
        <is>
          <t>普通買進</t>
        </is>
      </c>
      <c r="C7" s="229" t="n">
        <v>1710</v>
      </c>
      <c r="D7" s="229">
        <f>VLOOKUP(C7,每日行情!A:B,2,FALSE)</f>
        <v/>
      </c>
      <c r="E7" s="229" t="n">
        <v>1000</v>
      </c>
      <c r="F7" s="229" t="n">
        <v>20.25</v>
      </c>
      <c r="G7" s="229">
        <f>E7*F7</f>
        <v/>
      </c>
      <c r="H7" s="229" t="n">
        <v>20</v>
      </c>
      <c r="I7" s="324" t="n">
        <v>42222</v>
      </c>
      <c r="J7" s="16" t="n">
        <v>20.5</v>
      </c>
      <c r="K7" s="229">
        <f>E7*J7</f>
        <v/>
      </c>
      <c r="L7" s="792" t="n">
        <v>20</v>
      </c>
      <c r="M7" s="229" t="n">
        <v>61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/>
      <c r="T7" s="585">
        <f>IF(ROUND(R7*(1+V7),0)&gt;5000,ROUND(ROUND(R7*(1+V7),0)*2%,0),0)</f>
        <v/>
      </c>
      <c r="U7" s="65">
        <f>(V7*50%)/(1+50%*V7)</f>
        <v/>
      </c>
      <c r="V7" s="65" t="n"/>
      <c r="W7" s="66" t="n"/>
      <c r="X7" s="586">
        <f>(P7+Q7)/G7</f>
        <v/>
      </c>
      <c r="Y7" s="16">
        <f>VLOOKUP(C7,#REF!,3,FALSE)</f>
        <v/>
      </c>
      <c r="Z7" s="587" t="n"/>
    </row>
    <row r="8" outlineLevel="1">
      <c r="A8" s="228" t="n">
        <v>42187</v>
      </c>
      <c r="B8" s="229" t="inlineStr">
        <is>
          <t>普通買進</t>
        </is>
      </c>
      <c r="C8" s="229" t="n">
        <v>2404</v>
      </c>
      <c r="D8" s="229">
        <f>VLOOKUP(C8,每日行情!A:B,2,FALSE)</f>
        <v/>
      </c>
      <c r="E8" s="229" t="n">
        <v>1000</v>
      </c>
      <c r="F8" s="229" t="n">
        <v>33.85</v>
      </c>
      <c r="G8" s="229">
        <f>E8*F8</f>
        <v/>
      </c>
      <c r="H8" s="229" t="n">
        <v>28</v>
      </c>
      <c r="I8" s="324" t="n">
        <v>42289</v>
      </c>
      <c r="J8" s="17" t="n">
        <v>38</v>
      </c>
      <c r="K8" s="229">
        <f>E8*J8</f>
        <v/>
      </c>
      <c r="L8" s="17" t="n">
        <v>32</v>
      </c>
      <c r="M8" s="229" t="n">
        <v>114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>
        <v>2500</v>
      </c>
      <c r="S8" s="585" t="n">
        <v>10</v>
      </c>
      <c r="T8" s="585">
        <f>IF(ROUND(R8*(1+V8),0)&gt;5000,ROUND(ROUND(R8*(1+V8),0)*2%,0),0)</f>
        <v/>
      </c>
      <c r="U8" s="65">
        <f>(V8*50%)/(1+50%*V8)</f>
        <v/>
      </c>
      <c r="V8" s="65" t="n">
        <v>0.2224</v>
      </c>
      <c r="W8" s="66" t="n">
        <v>0.12</v>
      </c>
      <c r="X8" s="586">
        <f>(P8+Q8)/G8</f>
        <v/>
      </c>
      <c r="Y8" s="16">
        <f>VLOOKUP(C8,#REF!,3,FALSE)</f>
        <v/>
      </c>
      <c r="Z8" s="587" t="n"/>
    </row>
    <row r="9" outlineLevel="1">
      <c r="A9" s="228" t="n">
        <v>42187</v>
      </c>
      <c r="B9" s="229" t="inlineStr">
        <is>
          <t>普通買進</t>
        </is>
      </c>
      <c r="C9" s="229" t="n">
        <v>2404</v>
      </c>
      <c r="D9" s="229">
        <f>VLOOKUP(C9,每日行情!A:B,2,FALSE)</f>
        <v/>
      </c>
      <c r="E9" s="229" t="n">
        <v>1000</v>
      </c>
      <c r="F9" s="229" t="n">
        <v>38.9</v>
      </c>
      <c r="G9" s="229">
        <f>E9*F9</f>
        <v/>
      </c>
      <c r="H9" s="229" t="n">
        <v>33</v>
      </c>
      <c r="I9" s="324" t="n">
        <v>42325</v>
      </c>
      <c r="J9" s="16" t="n">
        <v>42.25</v>
      </c>
      <c r="K9" s="229">
        <f>E9*J9</f>
        <v/>
      </c>
      <c r="L9" s="792" t="n">
        <v>36</v>
      </c>
      <c r="M9" s="229" t="n">
        <v>126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/>
      <c r="T9" s="585">
        <f>IF(ROUND(R9*(1+V9),0)&gt;5000,ROUND(ROUND(R9*(1+V9),0)*2%,0),0)</f>
        <v/>
      </c>
      <c r="U9" s="65">
        <f>(V9*50%)/(1+50%*V9)</f>
        <v/>
      </c>
      <c r="V9" s="65" t="n"/>
      <c r="W9" s="66" t="n"/>
      <c r="X9" s="586">
        <f>(P9+Q9)/G9</f>
        <v/>
      </c>
      <c r="Y9" s="16">
        <f>VLOOKUP(C9,#REF!,3,FALSE)</f>
        <v/>
      </c>
      <c r="Z9" s="587" t="n"/>
    </row>
    <row r="10" outlineLevel="1">
      <c r="A10" s="228" t="n">
        <v>42222</v>
      </c>
      <c r="B10" s="229" t="inlineStr">
        <is>
          <t>普通買進</t>
        </is>
      </c>
      <c r="C10" s="229" t="n">
        <v>2891</v>
      </c>
      <c r="D10" s="229">
        <f>VLOOKUP(C10,每日行情!A:B,2,FALSE)</f>
        <v/>
      </c>
      <c r="E10" s="229" t="n">
        <v>1000</v>
      </c>
      <c r="F10" s="229" t="n">
        <v>21.35</v>
      </c>
      <c r="G10" s="229">
        <f>E10*F10</f>
        <v/>
      </c>
      <c r="H10" s="229" t="n">
        <v>20</v>
      </c>
      <c r="I10" s="324" t="n">
        <v>42318</v>
      </c>
      <c r="J10" s="16" t="n">
        <v>17.85</v>
      </c>
      <c r="K10" s="229">
        <f>E10*J10</f>
        <v/>
      </c>
      <c r="L10" s="792" t="n">
        <v>20</v>
      </c>
      <c r="M10" s="229" t="n">
        <v>53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/>
      <c r="T10" s="585">
        <f>IF(ROUND(R10*(1+V10),0)&gt;5000,ROUND(ROUND(R10*(1+V10),0)*2%,0),0)</f>
        <v/>
      </c>
      <c r="U10" s="65">
        <f>(V10*50%)/(1+50%*V10)</f>
        <v/>
      </c>
      <c r="V10" s="65" t="n"/>
      <c r="W10" s="66" t="n"/>
      <c r="X10" s="586">
        <f>(P10+Q10)/G10</f>
        <v/>
      </c>
      <c r="Y10" s="16">
        <f>VLOOKUP(C10,#REF!,3,FALSE)</f>
        <v/>
      </c>
      <c r="Z10" s="587" t="n"/>
    </row>
    <row r="11" outlineLevel="1">
      <c r="A11" s="228" t="n">
        <v>42222</v>
      </c>
      <c r="B11" s="229" t="inlineStr">
        <is>
          <t>普通買進</t>
        </is>
      </c>
      <c r="C11" s="229" t="n">
        <v>2885</v>
      </c>
      <c r="D11" s="229">
        <f>VLOOKUP(C11,每日行情!A:B,2,FALSE)</f>
        <v/>
      </c>
      <c r="E11" s="229" t="n">
        <v>1000</v>
      </c>
      <c r="F11" s="229" t="n">
        <v>14.65</v>
      </c>
      <c r="G11" s="229">
        <f>E11*F11</f>
        <v/>
      </c>
      <c r="H11" s="229" t="n">
        <v>20</v>
      </c>
      <c r="I11" s="324" t="n">
        <v>42318</v>
      </c>
      <c r="J11" s="16" t="n">
        <v>13.05</v>
      </c>
      <c r="K11" s="229">
        <f>E11*J11</f>
        <v/>
      </c>
      <c r="L11" s="792" t="n">
        <v>20</v>
      </c>
      <c r="M11" s="229" t="n">
        <v>39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/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/>
      <c r="X11" s="586">
        <f>(P11+Q11)/G11</f>
        <v/>
      </c>
      <c r="Y11" s="16">
        <f>VLOOKUP(C11,#REF!,3,FALSE)</f>
        <v/>
      </c>
      <c r="Z11" s="587" t="n"/>
    </row>
    <row r="12" outlineLevel="1">
      <c r="A12" s="228" t="n">
        <v>42289</v>
      </c>
      <c r="B12" s="229" t="inlineStr">
        <is>
          <t>普通買進</t>
        </is>
      </c>
      <c r="C12" s="229" t="n">
        <v>2891</v>
      </c>
      <c r="D12" s="229">
        <f>VLOOKUP(C12,每日行情!A:B,2,FALSE)</f>
        <v/>
      </c>
      <c r="E12" s="229" t="n">
        <v>1000</v>
      </c>
      <c r="F12" s="229" t="n">
        <v>17.8</v>
      </c>
      <c r="G12" s="229">
        <f>E12*F12</f>
        <v/>
      </c>
      <c r="H12" s="229" t="n">
        <v>20</v>
      </c>
      <c r="I12" s="324" t="n">
        <v>42290</v>
      </c>
      <c r="J12" s="16" t="n">
        <v>18</v>
      </c>
      <c r="K12" s="229">
        <f>E12*J12</f>
        <v/>
      </c>
      <c r="L12" s="792" t="n">
        <v>83</v>
      </c>
      <c r="M12" s="229" t="n">
        <v>292</v>
      </c>
      <c r="N12" s="229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>
        <v>810</v>
      </c>
      <c r="S12" s="585" t="n">
        <v>10</v>
      </c>
      <c r="T12" s="585">
        <f>IF(ROUND(R12*(1+V12),0)&gt;5000,ROUND(ROUND(R12*(1+V12),0)*2%,0),0)</f>
        <v/>
      </c>
      <c r="U12" s="65">
        <f>(V12*50%)/(1+50%*V12)</f>
        <v/>
      </c>
      <c r="V12" s="65" t="n">
        <v>0.074</v>
      </c>
      <c r="W12" s="66" t="n">
        <v>0.12</v>
      </c>
      <c r="X12" s="586">
        <f>(P12+Q12)/G12</f>
        <v/>
      </c>
      <c r="Y12" s="16">
        <f>VLOOKUP(C12,#REF!,3,FALSE)</f>
        <v/>
      </c>
      <c r="Z12" s="587" t="n"/>
    </row>
    <row r="13" outlineLevel="1">
      <c r="A13" s="228" t="n">
        <v>42318</v>
      </c>
      <c r="B13" s="229" t="inlineStr">
        <is>
          <t>普通買進</t>
        </is>
      </c>
      <c r="C13" s="229" t="n">
        <v>2404</v>
      </c>
      <c r="D13" s="229">
        <f>VLOOKUP(C13,每日行情!A:B,2,FALSE)</f>
        <v/>
      </c>
      <c r="E13" s="229" t="n">
        <v>1000</v>
      </c>
      <c r="F13" s="229" t="n">
        <v>36.5</v>
      </c>
      <c r="G13" s="229">
        <f>E13*F13</f>
        <v/>
      </c>
      <c r="H13" s="229" t="n">
        <v>31</v>
      </c>
      <c r="I13" s="324" t="n">
        <v>42324</v>
      </c>
      <c r="J13" s="16" t="n">
        <v>38.55</v>
      </c>
      <c r="K13" s="229">
        <f>E13*J13</f>
        <v/>
      </c>
      <c r="L13" s="792" t="n">
        <v>32</v>
      </c>
      <c r="M13" s="229" t="n">
        <v>115</v>
      </c>
      <c r="N13" s="229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/>
      <c r="T13" s="585">
        <f>IF(ROUND(R13*(1+V13),0)&gt;5000,ROUND(ROUND(R13*(1+V13),0)*2%,0),0)</f>
        <v/>
      </c>
      <c r="U13" s="65">
        <f>(V13*50%)/(1+50%*V13)</f>
        <v/>
      </c>
      <c r="V13" s="65" t="n"/>
      <c r="W13" s="66" t="n"/>
      <c r="X13" s="586">
        <f>(P13+Q13)/G13</f>
        <v/>
      </c>
      <c r="Y13" s="16">
        <f>VLOOKUP(C13,#REF!,3,FALSE)</f>
        <v/>
      </c>
      <c r="Z13" s="587" t="n"/>
    </row>
    <row r="14" outlineLevel="1">
      <c r="A14" s="324" t="n">
        <v>42334</v>
      </c>
      <c r="B14" s="229" t="inlineStr">
        <is>
          <t>普通買進</t>
        </is>
      </c>
      <c r="C14" s="229" t="n">
        <v>2404</v>
      </c>
      <c r="D14" s="229">
        <f>VLOOKUP(C14,每日行情!A:B,2,FALSE)</f>
        <v/>
      </c>
      <c r="E14" s="229" t="n">
        <v>1000</v>
      </c>
      <c r="F14" s="229" t="n">
        <v>43.5</v>
      </c>
      <c r="G14" s="229">
        <f>E14*F14</f>
        <v/>
      </c>
      <c r="H14" s="229" t="n">
        <v>37</v>
      </c>
      <c r="I14" s="324" t="n">
        <v>42334</v>
      </c>
      <c r="J14" s="16" t="n">
        <v>43.8</v>
      </c>
      <c r="K14" s="229">
        <f>E14*J14</f>
        <v/>
      </c>
      <c r="L14" s="17" t="n">
        <v>37</v>
      </c>
      <c r="M14" s="229" t="n">
        <v>131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/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/>
      <c r="X14" s="586">
        <f>(P14+Q14)/G14</f>
        <v/>
      </c>
      <c r="Y14" s="16">
        <f>VLOOKUP(C14,#REF!,3,FALSE)</f>
        <v/>
      </c>
      <c r="Z14" s="587" t="n"/>
    </row>
    <row r="15" outlineLevel="1">
      <c r="A15" s="228" t="n">
        <v>42333</v>
      </c>
      <c r="B15" s="229" t="inlineStr">
        <is>
          <t>普通買進</t>
        </is>
      </c>
      <c r="C15" s="229" t="n">
        <v>2891</v>
      </c>
      <c r="D15" s="229">
        <f>VLOOKUP(C15,每日行情!A:B,2,FALSE)</f>
        <v/>
      </c>
      <c r="E15" s="229" t="n">
        <v>1000</v>
      </c>
      <c r="F15" s="229" t="n">
        <v>17.45</v>
      </c>
      <c r="G15" s="229">
        <f>E15*F15</f>
        <v/>
      </c>
      <c r="H15" s="229" t="n">
        <v>20</v>
      </c>
      <c r="I15" s="324" t="n">
        <v>42334</v>
      </c>
      <c r="J15" s="16" t="n">
        <v>17.6</v>
      </c>
      <c r="K15" s="229">
        <f>E15*J15</f>
        <v/>
      </c>
      <c r="L15" s="17" t="n">
        <v>20</v>
      </c>
      <c r="M15" s="229" t="n">
        <v>52</v>
      </c>
      <c r="N15" s="229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/>
      <c r="T15" s="585">
        <f>IF(ROUND(R15*(1+V15),0)&gt;5000,ROUND(ROUND(R15*(1+V15),0)*2%,0),0)</f>
        <v/>
      </c>
      <c r="U15" s="65">
        <f>(V15*50%)/(1+50%*V15)</f>
        <v/>
      </c>
      <c r="V15" s="65" t="n"/>
      <c r="W15" s="66" t="n"/>
      <c r="X15" s="586">
        <f>(P15+Q15)/G15</f>
        <v/>
      </c>
      <c r="Y15" s="16">
        <f>VLOOKUP(C15,#REF!,3,FALSE)</f>
        <v/>
      </c>
      <c r="Z15" s="587" t="n"/>
    </row>
    <row r="16" outlineLevel="1">
      <c r="A16" s="228" t="n">
        <v>42332</v>
      </c>
      <c r="B16" s="229" t="inlineStr">
        <is>
          <t>普通買進</t>
        </is>
      </c>
      <c r="C16" s="229" t="n">
        <v>2404</v>
      </c>
      <c r="D16" s="229">
        <f>VLOOKUP(C16,每日行情!A:B,2,FALSE)</f>
        <v/>
      </c>
      <c r="E16" s="229" t="n">
        <v>1000</v>
      </c>
      <c r="F16" s="229" t="n">
        <v>43.85</v>
      </c>
      <c r="G16" s="229">
        <f>E16*F16</f>
        <v/>
      </c>
      <c r="H16" s="229" t="n">
        <v>37</v>
      </c>
      <c r="I16" s="324" t="n">
        <v>42360</v>
      </c>
      <c r="J16" s="16" t="n">
        <v>42.25</v>
      </c>
      <c r="K16" s="229">
        <f>E16*J16</f>
        <v/>
      </c>
      <c r="L16" s="17" t="n">
        <v>36</v>
      </c>
      <c r="M16" s="229" t="n">
        <v>127</v>
      </c>
      <c r="N16" s="229" t="n">
        <v>1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/>
      <c r="T16" s="585">
        <f>IF(ROUND(R16*(1+V16),0)&gt;5000,ROUND(ROUND(R16*(1+V16),0)*2%,0),0)</f>
        <v/>
      </c>
      <c r="U16" s="65">
        <f>(V16*50%)/(1+50%*V16)</f>
        <v/>
      </c>
      <c r="V16" s="65" t="n"/>
      <c r="W16" s="66" t="n"/>
      <c r="X16" s="586">
        <f>(P16+Q16)/G16</f>
        <v/>
      </c>
      <c r="Y16" s="16">
        <f>VLOOKUP(C16,#REF!,3,FALSE)</f>
        <v/>
      </c>
      <c r="Z16" s="587" t="n"/>
    </row>
    <row r="17">
      <c r="A17" s="228" t="n">
        <v>42373</v>
      </c>
      <c r="B17" s="229" t="inlineStr">
        <is>
          <t>普通買進</t>
        </is>
      </c>
      <c r="C17" s="229" t="n">
        <v>2404</v>
      </c>
      <c r="D17" s="229">
        <f>VLOOKUP(C17,每日行情!A:B,2,FALSE)</f>
        <v/>
      </c>
      <c r="E17" s="229" t="n">
        <v>1000</v>
      </c>
      <c r="F17" s="229" t="n">
        <v>41.75</v>
      </c>
      <c r="G17" s="229">
        <f>E17*F17</f>
        <v/>
      </c>
      <c r="H17" s="229" t="n">
        <v>35</v>
      </c>
      <c r="I17" s="324" t="n">
        <v>42012</v>
      </c>
      <c r="J17" s="16" t="n">
        <v>39.9</v>
      </c>
      <c r="K17" s="229">
        <f>E17*J17</f>
        <v/>
      </c>
      <c r="L17" s="17" t="n">
        <v>34</v>
      </c>
      <c r="M17" s="229" t="n">
        <v>119</v>
      </c>
      <c r="N17" s="229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/>
      <c r="T17" s="585">
        <f>IF(ROUND(R17*(1+V17),0)&gt;5000,ROUND(ROUND(R17*(1+V17),0)*2%,0),0)</f>
        <v/>
      </c>
      <c r="U17" s="65">
        <f>(V17*50%)/(1+50%*V17)</f>
        <v/>
      </c>
      <c r="V17" s="65" t="n"/>
      <c r="W17" s="66" t="n"/>
      <c r="X17" s="586">
        <f>(P17+Q17)/G17</f>
        <v/>
      </c>
      <c r="Y17" s="16">
        <f>VLOOKUP(C17,#REF!,3,FALSE)</f>
        <v/>
      </c>
      <c r="Z17" s="587" t="n"/>
    </row>
    <row r="18">
      <c r="A18" s="228" t="n">
        <v>42373</v>
      </c>
      <c r="B18" s="229" t="inlineStr">
        <is>
          <t>普通買進</t>
        </is>
      </c>
      <c r="C18" s="229" t="n">
        <v>2885</v>
      </c>
      <c r="D18" s="229">
        <f>VLOOKUP(C18,每日行情!A:B,2,FALSE)</f>
        <v/>
      </c>
      <c r="E18" s="229" t="n">
        <v>1000</v>
      </c>
      <c r="F18" s="229" t="n">
        <v>11.9</v>
      </c>
      <c r="G18" s="229">
        <f>E18*F18</f>
        <v/>
      </c>
      <c r="H18" s="229" t="n">
        <v>20</v>
      </c>
      <c r="I18" s="324" t="n">
        <v>42399</v>
      </c>
      <c r="J18" s="16" t="n">
        <v>10.6</v>
      </c>
      <c r="K18" s="229">
        <f>E18*J18</f>
        <v/>
      </c>
      <c r="L18" s="17" t="n">
        <v>20</v>
      </c>
      <c r="M18" s="229" t="n">
        <v>31</v>
      </c>
      <c r="N18" s="229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/>
      <c r="T18" s="585">
        <f>IF(ROUND(R18*(1+V18),0)&gt;5000,ROUND(ROUND(R18*(1+V18),0)*2%,0),0)</f>
        <v/>
      </c>
      <c r="U18" s="65">
        <f>(V18*50%)/(1+50%*V18)</f>
        <v/>
      </c>
      <c r="V18" s="65" t="n"/>
      <c r="W18" s="66" t="n"/>
      <c r="X18" s="586">
        <f>(P18+Q18)/G18</f>
        <v/>
      </c>
      <c r="Y18" s="16">
        <f>VLOOKUP(C18,#REF!,3,FALSE)</f>
        <v/>
      </c>
      <c r="Z18" s="587" t="n"/>
    </row>
    <row r="19">
      <c r="A19" s="228" t="n">
        <v>42373</v>
      </c>
      <c r="B19" s="229" t="inlineStr">
        <is>
          <t>普通買進</t>
        </is>
      </c>
      <c r="C19" s="229" t="n">
        <v>2892</v>
      </c>
      <c r="D19" s="229">
        <f>VLOOKUP(C19,每日行情!A:B,2,FALSE)</f>
        <v/>
      </c>
      <c r="E19" s="229" t="n">
        <v>1000</v>
      </c>
      <c r="F19" s="229" t="n">
        <v>15.1</v>
      </c>
      <c r="G19" s="229">
        <f>E19*F19</f>
        <v/>
      </c>
      <c r="H19" s="229" t="n">
        <v>20</v>
      </c>
      <c r="I19" s="324" t="n">
        <v>42399</v>
      </c>
      <c r="J19" s="16" t="n">
        <v>15.25</v>
      </c>
      <c r="K19" s="229">
        <f>E19*J19</f>
        <v/>
      </c>
      <c r="L19" s="17" t="n">
        <v>20</v>
      </c>
      <c r="M19" s="229" t="n">
        <v>45</v>
      </c>
      <c r="N19" s="229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/>
      <c r="T19" s="585">
        <f>IF(ROUND(R19*(1+V19),0)&gt;5000,ROUND(ROUND(R19*(1+V19),0)*2%,0),0)</f>
        <v/>
      </c>
      <c r="U19" s="65">
        <f>(V19*50%)/(1+50%*V19)</f>
        <v/>
      </c>
      <c r="V19" s="65" t="n"/>
      <c r="W19" s="66" t="n"/>
      <c r="X19" s="586">
        <f>(P19+Q19)/G19</f>
        <v/>
      </c>
      <c r="Y19" s="16">
        <f>VLOOKUP(C19,#REF!,3,FALSE)</f>
        <v/>
      </c>
      <c r="Z19" s="587" t="n"/>
    </row>
    <row r="20">
      <c r="A20" s="228" t="n">
        <v>42376</v>
      </c>
      <c r="B20" s="229" t="inlineStr">
        <is>
          <t>普通買進</t>
        </is>
      </c>
      <c r="C20" s="229" t="n">
        <v>2885</v>
      </c>
      <c r="D20" s="229">
        <f>VLOOKUP(C20,每日行情!A:B,2,FALSE)</f>
        <v/>
      </c>
      <c r="E20" s="229" t="n">
        <v>1000</v>
      </c>
      <c r="F20" s="229" t="n">
        <v>11.5</v>
      </c>
      <c r="G20" s="229">
        <f>E20*F20</f>
        <v/>
      </c>
      <c r="H20" s="229" t="n">
        <v>20</v>
      </c>
      <c r="I20" s="324" t="n">
        <v>42438</v>
      </c>
      <c r="J20" s="16" t="n">
        <v>11.9</v>
      </c>
      <c r="K20" s="229">
        <f>E20*J20</f>
        <v/>
      </c>
      <c r="L20" s="17" t="n">
        <v>20</v>
      </c>
      <c r="M20" s="229" t="n">
        <v>35</v>
      </c>
      <c r="N20" s="229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/>
      <c r="T20" s="585">
        <f>IF(ROUND(R20*(1+V20),0)&gt;5000,ROUND(ROUND(R20*(1+V20),0)*2%,0),0)</f>
        <v/>
      </c>
      <c r="U20" s="65">
        <f>(V20*50%)/(1+50%*V20)</f>
        <v/>
      </c>
      <c r="V20" s="65" t="n"/>
      <c r="W20" s="66" t="n"/>
      <c r="X20" s="586">
        <f>(P20+Q20)/G20</f>
        <v/>
      </c>
      <c r="Y20" s="16">
        <f>VLOOKUP(C20,#REF!,3,FALSE)</f>
        <v/>
      </c>
      <c r="Z20" s="587" t="n"/>
      <c r="AA20" s="226" t="inlineStr">
        <is>
          <t>Smart推薦</t>
        </is>
      </c>
      <c r="AB20" s="226" t="inlineStr">
        <is>
          <t>接近2.1上通道</t>
        </is>
      </c>
    </row>
    <row r="21">
      <c r="A21" s="228" t="n"/>
      <c r="B21" s="229" t="n"/>
      <c r="C21" s="229" t="n"/>
      <c r="D21" s="229" t="n"/>
      <c r="E21" s="229" t="n"/>
      <c r="F21" s="229" t="n"/>
      <c r="G21" s="229" t="n"/>
      <c r="H21" s="229" t="n"/>
      <c r="I21" s="325" t="n"/>
      <c r="J21" s="17" t="n"/>
      <c r="K21" s="229" t="n"/>
      <c r="L21" s="17" t="n"/>
      <c r="M21" s="229" t="n"/>
      <c r="N21" s="229" t="n"/>
      <c r="O21" s="584" t="n"/>
      <c r="P21" s="585" t="n"/>
      <c r="Q21" s="585" t="n"/>
      <c r="R21" s="585" t="n"/>
      <c r="S21" s="585" t="n"/>
      <c r="T21" s="585" t="n"/>
      <c r="U21" s="65" t="n"/>
      <c r="V21" s="65" t="n"/>
      <c r="W21" s="66" t="n"/>
      <c r="X21" s="586" t="n"/>
      <c r="Y21" s="16" t="n"/>
      <c r="Z21" s="587" t="n"/>
    </row>
    <row r="22">
      <c r="A22" s="228" t="n"/>
      <c r="B22" s="229" t="n"/>
      <c r="C22" s="229" t="n"/>
      <c r="D22" s="229" t="n"/>
      <c r="E22" s="229" t="n"/>
      <c r="F22" s="229" t="n"/>
      <c r="G22" s="229" t="n"/>
      <c r="H22" s="229" t="n"/>
      <c r="I22" s="325" t="n"/>
      <c r="J22" s="17" t="n"/>
      <c r="K22" s="229" t="n"/>
      <c r="L22" s="17" t="n"/>
      <c r="M22" s="229" t="n"/>
      <c r="N22" s="229" t="n"/>
      <c r="O22" s="584" t="n"/>
      <c r="P22" s="585" t="n"/>
      <c r="Q22" s="585" t="n"/>
      <c r="R22" s="585" t="n"/>
      <c r="S22" s="585" t="n"/>
      <c r="T22" s="585" t="n"/>
      <c r="U22" s="65" t="n"/>
      <c r="V22" s="65" t="n"/>
      <c r="W22" s="66" t="n"/>
      <c r="X22" s="586" t="n"/>
      <c r="Y22" s="16" t="n"/>
      <c r="Z22" s="587" t="n"/>
    </row>
    <row r="23">
      <c r="A23" s="228" t="n"/>
      <c r="B23" s="229" t="n"/>
      <c r="C23" s="229" t="n"/>
      <c r="D23" s="229" t="n"/>
      <c r="E23" s="229" t="n"/>
      <c r="F23" s="229" t="n"/>
      <c r="G23" s="229" t="n"/>
      <c r="H23" s="229" t="n"/>
      <c r="I23" s="234" t="n"/>
      <c r="J23" s="229" t="n"/>
      <c r="K23" s="229" t="n"/>
      <c r="L23" s="229" t="n"/>
      <c r="M23" s="229" t="n"/>
      <c r="N23" s="229" t="n"/>
      <c r="O23" s="584" t="n"/>
      <c r="P23" s="585" t="n"/>
      <c r="Q23" s="585" t="n"/>
      <c r="R23" s="585" t="n"/>
      <c r="S23" s="585" t="n"/>
      <c r="T23" s="585" t="n"/>
      <c r="U23" s="585" t="n"/>
      <c r="V23" s="65" t="n"/>
      <c r="W23" s="66" t="n"/>
      <c r="X23" s="586" t="n"/>
      <c r="Y23" s="16" t="n"/>
      <c r="Z23" s="587" t="n"/>
    </row>
    <row r="24">
      <c r="A24" s="235">
        <f>MIN(A25:A27)</f>
        <v/>
      </c>
      <c r="B24" s="236" t="n"/>
      <c r="C24" s="237" t="n"/>
      <c r="D24" s="236" t="n"/>
      <c r="E24" s="236" t="n"/>
      <c r="F24" s="236" t="n"/>
      <c r="G24" s="236" t="n"/>
      <c r="H24" s="236" t="n"/>
      <c r="I24" s="21" t="n"/>
      <c r="J24" s="22" t="n"/>
      <c r="K24" s="236" t="n"/>
      <c r="L24" s="661" t="n"/>
      <c r="M24" s="236" t="n"/>
      <c r="N24" s="236" t="n"/>
      <c r="O24" s="662" t="n"/>
      <c r="P24" s="663" t="n"/>
      <c r="Q24" s="663" t="n"/>
      <c r="R24" s="663" t="n"/>
      <c r="S24" s="663" t="n"/>
      <c r="T24" s="663" t="n"/>
      <c r="U24" s="663" t="n"/>
      <c r="V24" s="70" t="n"/>
      <c r="W24" s="72" t="n"/>
      <c r="X24" s="664" t="n"/>
      <c r="Y24" s="22" t="n"/>
      <c r="Z24" s="27" t="n"/>
    </row>
    <row r="25" hidden="1">
      <c r="A25" s="235" t="n"/>
      <c r="B25" s="236" t="n"/>
      <c r="C25" s="237" t="n"/>
      <c r="D25" s="236" t="n"/>
      <c r="E25" s="236" t="n"/>
      <c r="F25" s="236" t="n"/>
      <c r="G25" s="236" t="n"/>
      <c r="H25" s="236" t="n"/>
      <c r="I25" s="21" t="n"/>
      <c r="J25" s="22" t="n"/>
      <c r="K25" s="236" t="n"/>
      <c r="L25" s="661" t="n"/>
      <c r="M25" s="236" t="n"/>
      <c r="N25" s="236" t="n"/>
      <c r="O25" s="662" t="n"/>
      <c r="P25" s="663" t="n"/>
      <c r="Q25" s="663" t="n"/>
      <c r="R25" s="663" t="n"/>
      <c r="S25" s="663" t="n"/>
      <c r="T25" s="663" t="n"/>
      <c r="U25" s="663" t="n"/>
      <c r="V25" s="70" t="n"/>
      <c r="W25" s="72" t="n"/>
      <c r="X25" s="664" t="n"/>
      <c r="Y25" s="22" t="n"/>
      <c r="Z25" s="27" t="n"/>
    </row>
    <row r="26">
      <c r="A26" s="228" t="n">
        <v>42373</v>
      </c>
      <c r="B26" s="229" t="inlineStr">
        <is>
          <t>普通買進</t>
        </is>
      </c>
      <c r="C26" s="229" t="n">
        <v>2891</v>
      </c>
      <c r="D26" s="229">
        <f>VLOOKUP(C26,每日行情!A:B,2,FALSE)</f>
        <v/>
      </c>
      <c r="E26" s="229" t="n">
        <v>1000</v>
      </c>
      <c r="F26" s="229" t="n">
        <v>16.45</v>
      </c>
      <c r="G26" s="229">
        <f>E26*F26</f>
        <v/>
      </c>
      <c r="H26" s="229" t="n">
        <v>20</v>
      </c>
      <c r="I26" s="324" t="n">
        <v>42438</v>
      </c>
      <c r="J26" s="16" t="n">
        <v>16.7</v>
      </c>
      <c r="K26" s="229">
        <f>E26*J26</f>
        <v/>
      </c>
      <c r="L26" s="17" t="n">
        <v>20</v>
      </c>
      <c r="M26" s="229" t="n">
        <v>50</v>
      </c>
      <c r="N26" s="229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/>
      <c r="T26" s="585">
        <f>IF(ROUND(R26*(1+V26),0)&gt;5000,ROUND(ROUND(R26*(1+V26),0)*2%,0),0)</f>
        <v/>
      </c>
      <c r="U26" s="65">
        <f>(V26*50%)/(1+50%*V26)</f>
        <v/>
      </c>
      <c r="V26" s="65" t="n"/>
      <c r="W26" s="66" t="n"/>
      <c r="X26" s="586">
        <f>(P26+Q26)/G26</f>
        <v/>
      </c>
      <c r="Y26" s="16">
        <f>VLOOKUP(C26,#REF!,3,FALSE)</f>
        <v/>
      </c>
      <c r="Z26" s="587">
        <f>VLOOKUP(C26,#REF!,6,FALSE)</f>
        <v/>
      </c>
      <c r="AA26" s="226" t="inlineStr">
        <is>
          <t>Smart推薦</t>
        </is>
      </c>
      <c r="AB26" s="226" t="inlineStr">
        <is>
          <t>接近2.1上通道</t>
        </is>
      </c>
    </row>
    <row r="27" ht="17.25" customHeight="1" thickBot="1">
      <c r="A27" s="238" t="n"/>
      <c r="B27" s="239" t="n"/>
      <c r="C27" s="239" t="n"/>
      <c r="D27" s="239" t="n"/>
      <c r="E27" s="239" t="n"/>
      <c r="F27" s="239" t="n"/>
      <c r="G27" s="239" t="n"/>
      <c r="H27" s="239" t="n"/>
      <c r="I27" s="240" t="n"/>
      <c r="J27" s="51" t="n"/>
      <c r="K27" s="239" t="n"/>
      <c r="L27" s="593" t="n"/>
      <c r="M27" s="239" t="n"/>
      <c r="N27" s="239" t="n"/>
      <c r="O27" s="594" t="n"/>
      <c r="P27" s="595" t="n"/>
      <c r="Q27" s="595" t="n"/>
      <c r="R27" s="595" t="n"/>
      <c r="S27" s="595" t="n"/>
      <c r="T27" s="596" t="n"/>
      <c r="U27" s="595" t="n"/>
      <c r="V27" s="595" t="n"/>
      <c r="W27" s="73" t="n"/>
      <c r="X27" s="597" t="n"/>
      <c r="Y27" s="51" t="n"/>
      <c r="Z27" s="56" t="n"/>
    </row>
    <row r="28" ht="17.25" customHeight="1" thickBot="1">
      <c r="A28" s="241" t="n"/>
      <c r="D28" s="226" t="n"/>
      <c r="I28" s="30" t="n"/>
      <c r="J28" s="31" t="n"/>
      <c r="L28" s="665" t="n"/>
      <c r="O28" s="666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8" t="n"/>
      <c r="Y28" s="31" t="n"/>
      <c r="Z28" s="31" t="n"/>
    </row>
    <row r="29" ht="17.25" customHeight="1" thickBot="1">
      <c r="A29" s="669" t="n"/>
      <c r="B29" s="600" t="n"/>
      <c r="C29" s="670" t="n"/>
      <c r="D29" s="569" t="inlineStr">
        <is>
          <t>持股小計</t>
        </is>
      </c>
      <c r="E29" s="736" t="n"/>
      <c r="F29" s="670" t="n"/>
      <c r="G29" s="59">
        <f>SUM(G24:G27)</f>
        <v/>
      </c>
      <c r="H29" s="59">
        <f>SUM(H24:H27)</f>
        <v/>
      </c>
      <c r="I29" s="736" t="n"/>
      <c r="J29" s="670" t="n"/>
      <c r="K29" s="59" t="n"/>
      <c r="L29" s="671" t="n"/>
      <c r="M29" s="671" t="n"/>
      <c r="N29" s="672" t="n"/>
      <c r="O29" s="59">
        <f>SUM(O24:O27)</f>
        <v/>
      </c>
      <c r="P29" s="59">
        <f>SUM(P24:P27)</f>
        <v/>
      </c>
      <c r="Q29" s="59">
        <f>SUM(Q24:Q27)</f>
        <v/>
      </c>
      <c r="R29" s="59">
        <f>SUM(R24:R27)</f>
        <v/>
      </c>
      <c r="S29" s="548" t="n"/>
      <c r="T29" s="548" t="n"/>
      <c r="U29" s="548" t="n"/>
      <c r="V29" s="548" t="n"/>
      <c r="W29" s="548" t="n"/>
      <c r="X29" s="674">
        <f>(P29+Q29)/G29</f>
        <v/>
      </c>
      <c r="Y29" s="532" t="inlineStr">
        <is>
          <t>年化報酬率</t>
        </is>
      </c>
      <c r="Z29" s="400">
        <f>(1+X29)^(1/((TODAY()-A24)/365.25))-1</f>
        <v/>
      </c>
    </row>
    <row r="30" ht="17.25" customFormat="1" customHeight="1" s="244" thickBot="1">
      <c r="A30" s="602" t="n"/>
      <c r="C30" s="676" t="n"/>
      <c r="D30" s="569" t="inlineStr">
        <is>
          <t>2015總計</t>
        </is>
      </c>
      <c r="E30" s="677" t="n"/>
      <c r="F30" s="676" t="n"/>
      <c r="G30" s="60">
        <f>SUM(G3:G16)</f>
        <v/>
      </c>
      <c r="H30" s="60">
        <f>SUM(H3:H16)</f>
        <v/>
      </c>
      <c r="I30" s="677" t="n"/>
      <c r="J30" s="676" t="n"/>
      <c r="K30" s="60">
        <f>SUM(K21:K27)</f>
        <v/>
      </c>
      <c r="L30" s="60">
        <f>SUM(L21:L27)</f>
        <v/>
      </c>
      <c r="M30" s="60">
        <f>SUM(M21:M27)</f>
        <v/>
      </c>
      <c r="N30" s="60">
        <f>SUM(N21:N27)</f>
        <v/>
      </c>
      <c r="O30" s="60">
        <f>SUM(O3:O16)</f>
        <v/>
      </c>
      <c r="P30" s="60">
        <f>SUM(P3:P16)</f>
        <v/>
      </c>
      <c r="Q30" s="60">
        <f>SUM(Q3:Q16)</f>
        <v/>
      </c>
      <c r="R30" s="60">
        <f>SUM(R21:R27)</f>
        <v/>
      </c>
      <c r="S30" s="68" t="n"/>
      <c r="T30" s="68" t="n"/>
      <c r="U30" s="68" t="n"/>
      <c r="V30" s="68" t="n"/>
      <c r="W30" s="68" t="n"/>
      <c r="X30" s="674">
        <f>(P30+Q30)/G30</f>
        <v/>
      </c>
      <c r="Y30" s="604" t="n"/>
      <c r="Z30" s="400">
        <f>(1+X30)^(1/((TODAY()-A21)/365.25))-1</f>
        <v/>
      </c>
    </row>
    <row r="31" ht="17.25" customFormat="1" customHeight="1" s="244" thickBot="1">
      <c r="A31" s="602" t="n"/>
      <c r="C31" s="676" t="n"/>
      <c r="D31" s="569" t="inlineStr">
        <is>
          <t>2016總計</t>
        </is>
      </c>
      <c r="E31" s="677" t="n"/>
      <c r="F31" s="676" t="n"/>
      <c r="G31" s="60">
        <f>SUM(G17:G28)</f>
        <v/>
      </c>
      <c r="H31" s="60">
        <f>SUM(H17:H28)</f>
        <v/>
      </c>
      <c r="I31" s="677" t="n"/>
      <c r="J31" s="676" t="n"/>
      <c r="K31" s="60">
        <f>SUM(K17:K28)</f>
        <v/>
      </c>
      <c r="L31" s="60">
        <f>SUM(L17:L28)</f>
        <v/>
      </c>
      <c r="M31" s="60">
        <f>SUM(M17:M28)</f>
        <v/>
      </c>
      <c r="N31" s="60">
        <f>SUM(N17:N28)</f>
        <v/>
      </c>
      <c r="O31" s="60">
        <f>SUM(O17:O28)</f>
        <v/>
      </c>
      <c r="P31" s="60">
        <f>SUM(P17:P28)</f>
        <v/>
      </c>
      <c r="Q31" s="60">
        <f>SUM(Q17:Q28)</f>
        <v/>
      </c>
      <c r="R31" s="60">
        <f>SUM(R17:R28)</f>
        <v/>
      </c>
      <c r="S31" s="68" t="n"/>
      <c r="T31" s="68" t="n"/>
      <c r="U31" s="68" t="n"/>
      <c r="V31" s="68" t="n"/>
      <c r="W31" s="68" t="n"/>
      <c r="X31" s="674">
        <f>(P31+Q31)/G31</f>
        <v/>
      </c>
      <c r="Y31" s="604" t="n"/>
      <c r="Z31" s="400">
        <f>(1+X31)^(1/((TODAY()-A22)/365.25))-1</f>
        <v/>
      </c>
    </row>
    <row r="32" ht="17.25" customFormat="1" customHeight="1" s="244" thickBot="1">
      <c r="A32" s="610" t="n"/>
      <c r="B32" s="611" t="n"/>
      <c r="C32" s="679" t="n"/>
      <c r="D32" s="569" t="inlineStr">
        <is>
          <t>總計</t>
        </is>
      </c>
      <c r="E32" s="680" t="n"/>
      <c r="F32" s="679" t="n"/>
      <c r="G32" s="60">
        <f>SUM(G3:G28)</f>
        <v/>
      </c>
      <c r="H32" s="60">
        <f>SUM(H3:H28)</f>
        <v/>
      </c>
      <c r="I32" s="680" t="n"/>
      <c r="J32" s="679" t="n"/>
      <c r="K32" s="397">
        <f>SUM(K21:K27)</f>
        <v/>
      </c>
      <c r="L32" s="398">
        <f>SUM(L21:L27)</f>
        <v/>
      </c>
      <c r="M32" s="398">
        <f>SUM(M21:M27)</f>
        <v/>
      </c>
      <c r="N32" s="399">
        <f>SUM(N21:N27)</f>
        <v/>
      </c>
      <c r="O32" s="60">
        <f>SUM(O3:O28)</f>
        <v/>
      </c>
      <c r="P32" s="60">
        <f>SUM(P3:P28)</f>
        <v/>
      </c>
      <c r="Q32" s="60">
        <f>SUM(Q3:Q28)</f>
        <v/>
      </c>
      <c r="R32" s="60">
        <f>SUM(R21:R27)</f>
        <v/>
      </c>
      <c r="S32" s="68" t="n"/>
      <c r="T32" s="68" t="n"/>
      <c r="U32" s="68" t="n"/>
      <c r="V32" s="68" t="n"/>
      <c r="W32" s="68" t="n"/>
      <c r="X32" s="674">
        <f>(P32+Q32)/G32</f>
        <v/>
      </c>
      <c r="Y32" s="613" t="n"/>
      <c r="Z32" s="401">
        <f>(1+X32)^(1/((TODAY()-'14股'!A2)/365.25))-1</f>
        <v/>
      </c>
    </row>
    <row r="33" ht="17.25" customHeight="1" thickBot="1"/>
    <row r="34" ht="17.25" customHeight="1" thickBot="1">
      <c r="A34" s="149" t="inlineStr">
        <is>
          <t>帳戶本金</t>
        </is>
      </c>
      <c r="B34" s="797">
        <f>16900+20+23900+20+33850+28+20250+20+21350+20+14650+20</f>
        <v/>
      </c>
      <c r="C34" s="701" t="n"/>
      <c r="D34" s="402" t="inlineStr">
        <is>
          <t>2015總計</t>
        </is>
      </c>
      <c r="E34" s="579" t="n"/>
      <c r="F34" s="143" t="n"/>
      <c r="G34" s="403" t="n"/>
      <c r="H34" s="403" t="n"/>
      <c r="I34" s="143" t="n"/>
      <c r="J34" s="143" t="n"/>
      <c r="K34" s="403" t="n"/>
      <c r="L34" s="403" t="n"/>
      <c r="M34" s="403" t="n"/>
      <c r="N34" s="403" t="n"/>
      <c r="O34" s="404" t="n"/>
      <c r="P34" s="405">
        <f>P30</f>
        <v/>
      </c>
      <c r="Q34" s="405">
        <f>Q30</f>
        <v/>
      </c>
      <c r="R34" s="405">
        <f>R30</f>
        <v/>
      </c>
      <c r="S34" s="406" t="n"/>
      <c r="T34" s="406" t="n"/>
      <c r="U34" s="406" t="n"/>
      <c r="V34" s="406" t="n"/>
      <c r="W34" s="406" t="n"/>
      <c r="X34" s="798" t="n">
        <v>-0.03316781721384206</v>
      </c>
      <c r="Y34" s="570" t="inlineStr">
        <is>
          <t>年化報酬率</t>
        </is>
      </c>
      <c r="Z34" s="407">
        <f>(1+X34)^(1/((TODAY()-A21)/365.25))-1</f>
        <v/>
      </c>
    </row>
    <row r="35" ht="17.25" customHeight="1" thickBot="1">
      <c r="A35" s="149" t="inlineStr">
        <is>
          <t>可用資金</t>
        </is>
      </c>
      <c r="B35" s="728">
        <f>B34-G29+P35</f>
        <v/>
      </c>
      <c r="C35" s="701" t="n"/>
      <c r="D35" s="402" t="inlineStr">
        <is>
          <t>總計</t>
        </is>
      </c>
      <c r="E35" s="579" t="n"/>
      <c r="F35" s="143" t="n"/>
      <c r="G35" s="403" t="n"/>
      <c r="H35" s="403" t="n"/>
      <c r="I35" s="143" t="n"/>
      <c r="J35" s="143" t="n"/>
      <c r="K35" s="403" t="n"/>
      <c r="L35" s="403" t="n"/>
      <c r="M35" s="403" t="n"/>
      <c r="N35" s="403" t="n"/>
      <c r="O35" s="404" t="n"/>
      <c r="P35" s="405">
        <f>P32</f>
        <v/>
      </c>
      <c r="Q35" s="405">
        <f>Q32</f>
        <v/>
      </c>
      <c r="R35" s="405">
        <f>R32</f>
        <v/>
      </c>
      <c r="S35" s="406" t="n"/>
      <c r="T35" s="406" t="n"/>
      <c r="U35" s="406" t="n"/>
      <c r="V35" s="406" t="n"/>
      <c r="W35" s="406" t="n"/>
      <c r="X35" s="798" t="n">
        <v>-0.07974321607676887</v>
      </c>
      <c r="Y35" s="613" t="n"/>
      <c r="Z35" s="408">
        <f>(1+X35)^(1/((TODAY()-'14股'!A2)/365.25))-1</f>
        <v/>
      </c>
    </row>
    <row r="36">
      <c r="A36" s="288" t="n"/>
      <c r="B36" s="245" t="n"/>
      <c r="C36" s="245" t="n"/>
      <c r="D36" s="226" t="n"/>
    </row>
    <row r="37">
      <c r="A37" s="288" t="n"/>
      <c r="B37" s="245" t="n"/>
      <c r="C37" s="245" t="n"/>
      <c r="D37" s="226" t="n"/>
    </row>
    <row r="38">
      <c r="B38" s="245" t="n"/>
      <c r="C38" s="245" t="n"/>
      <c r="D38" s="226" t="n"/>
    </row>
    <row r="39">
      <c r="B39" s="245" t="n"/>
      <c r="C39" s="245" t="n"/>
      <c r="D39" s="226" t="n"/>
    </row>
    <row r="40">
      <c r="B40" s="245" t="n"/>
      <c r="C40" s="245" t="n"/>
      <c r="D40" s="226" t="n"/>
    </row>
    <row r="41">
      <c r="B41" s="245" t="n"/>
      <c r="C41" s="245" t="n"/>
      <c r="D41" s="226" t="n"/>
    </row>
    <row r="42">
      <c r="B42" s="245" t="n"/>
      <c r="C42" s="245" t="n"/>
      <c r="D42" s="226" t="n"/>
    </row>
    <row r="43">
      <c r="A43" s="245" t="n"/>
      <c r="B43" s="245" t="n"/>
      <c r="C43" s="245" t="n"/>
      <c r="D43" s="226" t="n"/>
    </row>
    <row r="44">
      <c r="A44" s="245" t="n"/>
      <c r="B44" s="245" t="n"/>
      <c r="C44" s="245" t="n"/>
      <c r="D44" s="226" t="n"/>
    </row>
    <row r="45">
      <c r="A45" s="245" t="n"/>
      <c r="B45" s="245" t="n"/>
      <c r="C45" s="245" t="n"/>
      <c r="D45" s="226" t="n"/>
    </row>
    <row r="46">
      <c r="A46" s="245" t="n"/>
      <c r="B46" s="245" t="n"/>
      <c r="C46" s="245" t="n"/>
      <c r="D46" s="226" t="n"/>
    </row>
    <row r="47">
      <c r="A47" s="245" t="n"/>
      <c r="B47" s="245" t="n"/>
      <c r="C47" s="245" t="n"/>
      <c r="D47" s="226" t="n"/>
    </row>
    <row r="48">
      <c r="A48" s="245" t="n"/>
      <c r="B48" s="245" t="n"/>
      <c r="C48" s="245" t="n"/>
      <c r="D48" s="226" t="n"/>
    </row>
    <row r="49">
      <c r="A49" s="245" t="n"/>
      <c r="B49" s="245" t="n"/>
      <c r="C49" s="245" t="n"/>
      <c r="D49" s="226" t="n"/>
    </row>
    <row r="50">
      <c r="A50" s="245" t="n"/>
      <c r="B50" s="245" t="n"/>
      <c r="C50" s="245" t="n"/>
      <c r="D50" s="226" t="n"/>
    </row>
  </sheetData>
  <mergeCells count="8">
    <mergeCell ref="A29:C32"/>
    <mergeCell ref="E29:F32"/>
    <mergeCell ref="I29:J32"/>
    <mergeCell ref="B34:C34"/>
    <mergeCell ref="K29:N29"/>
    <mergeCell ref="Y34:Y35"/>
    <mergeCell ref="B35:C35"/>
    <mergeCell ref="Y29:Y32"/>
  </mergeCells>
  <conditionalFormatting sqref="Z1:Z1048576">
    <cfRule type="containsText" priority="1" operator="containsText" dxfId="1" text="△">
      <formula>NOT(ISERROR(SEARCH("△",Z1)))</formula>
    </cfRule>
    <cfRule type="containsText" priority="2" operator="containsText" dxfId="0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Sheet3">
    <outlinePr summaryBelow="0" summaryRight="0"/>
    <pageSetUpPr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 outlineLevelRow="1"/>
  <cols>
    <col width="11.125" customWidth="1" style="226" min="1" max="1"/>
    <col width="10" bestFit="1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1.87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width="8.5" bestFit="1" customWidth="1" style="226" min="18" max="18"/>
    <col width="10.125" bestFit="1" customWidth="1" style="226" min="19" max="19"/>
    <col width="16.875" bestFit="1" customWidth="1" style="226" min="20" max="20"/>
    <col width="12.375" bestFit="1" customWidth="1" style="226" min="21" max="22"/>
    <col width="13.875" customWidth="1" style="226" min="23" max="23"/>
    <col width="11.5" customWidth="1" style="226" min="24" max="24"/>
    <col width="10" customWidth="1" style="226" min="25" max="25"/>
    <col width="12" bestFit="1" customWidth="1" style="226" min="26" max="26"/>
    <col width="9" customWidth="1" style="226" min="27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799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800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扣抵稅率</t>
        </is>
      </c>
      <c r="V1" s="64" t="inlineStr">
        <is>
          <t>所得稅率</t>
        </is>
      </c>
      <c r="W1" s="4" t="inlineStr">
        <is>
          <t>投資報酬率</t>
        </is>
      </c>
      <c r="X1" s="4" t="inlineStr">
        <is>
          <t>今日股價</t>
        </is>
      </c>
      <c r="Y1" s="7" t="inlineStr">
        <is>
          <t>漲跌</t>
        </is>
      </c>
      <c r="Z1" s="81" t="n"/>
    </row>
    <row r="2">
      <c r="A2" s="228" t="n">
        <v>41457</v>
      </c>
      <c r="B2" s="229" t="inlineStr">
        <is>
          <t>普通買進</t>
        </is>
      </c>
      <c r="C2" s="229" t="n">
        <v>2330</v>
      </c>
      <c r="D2" s="229">
        <f>VLOOKUP(C2,每日行情!A:B,2,FALSE)</f>
        <v/>
      </c>
      <c r="E2" s="229" t="n">
        <v>1000</v>
      </c>
      <c r="F2" s="229" t="n">
        <v>109.5</v>
      </c>
      <c r="G2" s="229">
        <f>E2*F2</f>
        <v/>
      </c>
      <c r="H2" s="229" t="n">
        <v>156</v>
      </c>
      <c r="I2" s="234" t="n">
        <v>41705</v>
      </c>
      <c r="J2" s="229" t="n">
        <v>114.5</v>
      </c>
      <c r="K2" s="229">
        <f>E2*J2</f>
        <v/>
      </c>
      <c r="L2" s="229" t="n">
        <v>106</v>
      </c>
      <c r="M2" s="229" t="n">
        <v>343</v>
      </c>
      <c r="N2" s="229" t="n">
        <v>0</v>
      </c>
      <c r="O2" s="584">
        <f>IF(I2="",E2*X2,0)</f>
        <v/>
      </c>
      <c r="P2" s="585">
        <f>IF(I2="",R2-H2,(K2-H2-SUM(L2:N2)+R2-S2-T2)-G2)+(ROUND(R2*U2,0)-ROUND(R2*(1+U2),0)*V2)</f>
        <v/>
      </c>
      <c r="Q2" s="585">
        <f>IF(I2="",(O2-G2-(O2*0.1425%*0.65)-(O2*0.3%)),0)</f>
        <v/>
      </c>
      <c r="R2" s="585" t="n"/>
      <c r="S2" s="585" t="n"/>
      <c r="T2" s="585">
        <f>IF(ROUND(R2*(1+U2),0)&gt;5000,ROUND(ROUND(R2*(1+U2),0)*2%,0),0)</f>
        <v/>
      </c>
      <c r="U2" s="585" t="n"/>
      <c r="V2" s="585" t="n"/>
      <c r="W2" s="586">
        <f>(P2+Q2)/G2</f>
        <v/>
      </c>
      <c r="X2" s="16">
        <f>VLOOKUP(C2,#REF!,3,FALSE)</f>
        <v/>
      </c>
      <c r="Y2" s="587" t="n"/>
      <c r="Z2" s="588">
        <f>((I2-A2)*G2)/365.24</f>
        <v/>
      </c>
    </row>
    <row r="3">
      <c r="A3" s="228" t="n">
        <v>41472</v>
      </c>
      <c r="B3" s="229" t="inlineStr">
        <is>
          <t>普通買進</t>
        </is>
      </c>
      <c r="C3" s="229" t="n">
        <v>2412</v>
      </c>
      <c r="D3" s="229">
        <f>VLOOKUP(C3,每日行情!A:B,2,FALSE)</f>
        <v/>
      </c>
      <c r="E3" s="229" t="n">
        <v>1000</v>
      </c>
      <c r="F3" s="229" t="n">
        <v>95.2</v>
      </c>
      <c r="G3" s="229">
        <f>E3*F3</f>
        <v/>
      </c>
      <c r="H3" s="229" t="n">
        <v>135</v>
      </c>
      <c r="I3" s="234" t="n">
        <v>41781</v>
      </c>
      <c r="J3" s="229" t="n">
        <v>96</v>
      </c>
      <c r="K3" s="229">
        <f>E3*J3</f>
        <v/>
      </c>
      <c r="L3" s="229" t="n">
        <v>88</v>
      </c>
      <c r="M3" s="229" t="n">
        <v>288</v>
      </c>
      <c r="N3" s="229" t="n">
        <v>0</v>
      </c>
      <c r="O3" s="584">
        <f>IF(I3="",E3*X3,0)</f>
        <v/>
      </c>
      <c r="P3" s="585">
        <f>IF(I3="",R3-H3,(K3-H3-SUM(L3:N3)+R3-S3-T3)-G3)+(ROUND(R3*U3,0)-ROUND(R3*(1+U3),0)*V3)</f>
        <v/>
      </c>
      <c r="Q3" s="585">
        <f>IF(I3="",(O3-G3-(O3*0.1425%*0.65)-(O3*0.3%)),0)</f>
        <v/>
      </c>
      <c r="R3" s="585" t="n"/>
      <c r="S3" s="585" t="n"/>
      <c r="T3" s="585">
        <f>IF(ROUND(R3*(1+U3),0)&gt;5000,ROUND(ROUND(R3*(1+U3),0)*2%,0),0)</f>
        <v/>
      </c>
      <c r="U3" s="585" t="n"/>
      <c r="V3" s="585" t="n"/>
      <c r="W3" s="586">
        <f>(P3+Q3)/G3</f>
        <v/>
      </c>
      <c r="X3" s="16">
        <f>VLOOKUP(C3,#REF!,3,FALSE)</f>
        <v/>
      </c>
      <c r="Y3" s="587" t="n"/>
      <c r="Z3" s="588">
        <f>((I3-A3)*G3)/365.24</f>
        <v/>
      </c>
    </row>
    <row r="4">
      <c r="A4" s="228" t="n">
        <v>41543</v>
      </c>
      <c r="B4" s="229" t="inlineStr">
        <is>
          <t>普通買進</t>
        </is>
      </c>
      <c r="C4" s="229" t="n">
        <v>2317</v>
      </c>
      <c r="D4" s="229">
        <f>VLOOKUP(C4,每日行情!A:B,2,FALSE)</f>
        <v/>
      </c>
      <c r="E4" s="229" t="n">
        <v>1000</v>
      </c>
      <c r="F4" s="229" t="n">
        <v>75.90000000000001</v>
      </c>
      <c r="G4" s="229">
        <f>E4*F4</f>
        <v/>
      </c>
      <c r="H4" s="229" t="n">
        <v>70</v>
      </c>
      <c r="I4" s="234" t="n">
        <v>41705</v>
      </c>
      <c r="J4" s="229" t="n">
        <v>85</v>
      </c>
      <c r="K4" s="229">
        <f>E4*J4</f>
        <v/>
      </c>
      <c r="L4" s="229" t="n">
        <v>78</v>
      </c>
      <c r="M4" s="229" t="n">
        <v>255</v>
      </c>
      <c r="N4" s="229" t="n">
        <v>0</v>
      </c>
      <c r="O4" s="584">
        <f>IF(I4="",E4*X4,0)</f>
        <v/>
      </c>
      <c r="P4" s="585">
        <f>IF(I4="",R4-H4,(K4-H4-SUM(L4:N4)+R4-S4-T4)-G4)+(ROUND(R4*U4,0)-ROUND(R4*(1+U4),0)*V4)</f>
        <v/>
      </c>
      <c r="Q4" s="585">
        <f>IF(I4="",(O4-G4-(O4*0.1425%*0.65)-(O4*0.3%)),0)</f>
        <v/>
      </c>
      <c r="R4" s="585" t="n"/>
      <c r="S4" s="585" t="n"/>
      <c r="T4" s="585">
        <f>IF(ROUND(R4*(1+U4),0)&gt;5000,ROUND(ROUND(R4*(1+U4),0)*2%,0),0)</f>
        <v/>
      </c>
      <c r="U4" s="585" t="n"/>
      <c r="V4" s="585" t="n"/>
      <c r="W4" s="586">
        <f>(P4+Q4)/G4</f>
        <v/>
      </c>
      <c r="X4" s="16">
        <f>VLOOKUP(C4,#REF!,3,FALSE)</f>
        <v/>
      </c>
      <c r="Y4" s="587" t="n"/>
      <c r="Z4" s="588">
        <f>((I4-A4)*G4)/365.24</f>
        <v/>
      </c>
    </row>
    <row r="5">
      <c r="A5" s="231" t="inlineStr">
        <is>
          <t>2014/3/110</t>
        </is>
      </c>
      <c r="B5" s="232" t="n"/>
      <c r="C5" s="232" t="n">
        <v>93205</v>
      </c>
      <c r="D5" s="232" t="n"/>
      <c r="E5" s="232" t="n"/>
      <c r="F5" s="232" t="n"/>
      <c r="G5" s="232" t="n"/>
      <c r="H5" s="232" t="n"/>
      <c r="I5" s="233" t="n"/>
      <c r="J5" s="42" t="n"/>
      <c r="K5" s="232" t="n"/>
      <c r="L5" s="589" t="n"/>
      <c r="M5" s="232" t="n"/>
      <c r="N5" s="232" t="n"/>
      <c r="O5" s="590" t="n"/>
      <c r="P5" s="591" t="n">
        <v>-552</v>
      </c>
      <c r="Q5" s="591" t="n"/>
      <c r="R5" s="591" t="n"/>
      <c r="S5" s="591" t="n"/>
      <c r="T5" s="591" t="n"/>
      <c r="U5" s="591" t="n"/>
      <c r="V5" s="591" t="n"/>
      <c r="W5" s="592" t="n"/>
      <c r="X5" s="42" t="n"/>
      <c r="Y5" s="47" t="n"/>
      <c r="Z5" s="588" t="n"/>
    </row>
    <row r="6">
      <c r="A6" s="231" t="inlineStr">
        <is>
          <t>2014/3/110</t>
        </is>
      </c>
      <c r="B6" s="232" t="n"/>
      <c r="C6" s="232" t="n">
        <v>93206</v>
      </c>
      <c r="D6" s="232" t="n"/>
      <c r="E6" s="232" t="n"/>
      <c r="F6" s="232" t="n"/>
      <c r="G6" s="232" t="n"/>
      <c r="H6" s="232" t="n"/>
      <c r="I6" s="233" t="n"/>
      <c r="J6" s="42" t="n"/>
      <c r="K6" s="232" t="n"/>
      <c r="L6" s="589" t="n"/>
      <c r="M6" s="232" t="n"/>
      <c r="N6" s="232" t="n"/>
      <c r="O6" s="590" t="n"/>
      <c r="P6" s="591" t="n">
        <v>-1061</v>
      </c>
      <c r="Q6" s="591" t="n"/>
      <c r="R6" s="591" t="n"/>
      <c r="S6" s="591" t="n"/>
      <c r="T6" s="591" t="n"/>
      <c r="U6" s="591" t="n"/>
      <c r="V6" s="591" t="n"/>
      <c r="W6" s="592" t="n"/>
      <c r="X6" s="42" t="n"/>
      <c r="Y6" s="47" t="n"/>
      <c r="Z6" s="588" t="n"/>
    </row>
    <row r="7">
      <c r="A7" s="231" t="inlineStr">
        <is>
          <t>2014/3/110</t>
        </is>
      </c>
      <c r="B7" s="232" t="n"/>
      <c r="C7" s="232" t="n">
        <v>93207</v>
      </c>
      <c r="D7" s="232" t="n"/>
      <c r="E7" s="232" t="n"/>
      <c r="F7" s="232" t="n"/>
      <c r="G7" s="232" t="n"/>
      <c r="H7" s="232" t="n"/>
      <c r="I7" s="233" t="n"/>
      <c r="J7" s="42" t="n"/>
      <c r="K7" s="232" t="n"/>
      <c r="L7" s="589" t="n"/>
      <c r="M7" s="232" t="n"/>
      <c r="N7" s="232" t="n"/>
      <c r="O7" s="590" t="n"/>
      <c r="P7" s="591" t="n">
        <v>-16744</v>
      </c>
      <c r="Q7" s="591" t="n"/>
      <c r="R7" s="591" t="n"/>
      <c r="S7" s="591" t="n"/>
      <c r="T7" s="591" t="n"/>
      <c r="U7" s="591" t="n"/>
      <c r="V7" s="591" t="n"/>
      <c r="W7" s="592" t="n"/>
      <c r="X7" s="42" t="n"/>
      <c r="Y7" s="47" t="n"/>
      <c r="Z7" s="588" t="n"/>
    </row>
    <row r="8">
      <c r="A8" s="228" t="n">
        <v>41781</v>
      </c>
      <c r="B8" s="229" t="inlineStr">
        <is>
          <t>普通買進</t>
        </is>
      </c>
      <c r="C8" s="229" t="n">
        <v>4958</v>
      </c>
      <c r="D8" s="229">
        <f>VLOOKUP(C8,每日行情!A:B,2,FALSE)</f>
        <v/>
      </c>
      <c r="E8" s="229" t="n">
        <v>1000</v>
      </c>
      <c r="F8" s="229" t="n">
        <v>88.40000000000001</v>
      </c>
      <c r="G8" s="229">
        <f>E8*F8</f>
        <v/>
      </c>
      <c r="H8" s="229" t="n">
        <v>81</v>
      </c>
      <c r="I8" s="234" t="n">
        <v>41872</v>
      </c>
      <c r="J8" s="16" t="n">
        <v>92.3</v>
      </c>
      <c r="K8" s="229">
        <f>E8*J8</f>
        <v/>
      </c>
      <c r="L8" s="792" t="n">
        <v>85</v>
      </c>
      <c r="M8" s="229" t="n">
        <v>276</v>
      </c>
      <c r="N8" s="229" t="n">
        <v>0</v>
      </c>
      <c r="O8" s="584">
        <f>IF(I8="",E8*X8,0)</f>
        <v/>
      </c>
      <c r="P8" s="585">
        <f>IF(I8="",R8-H8,(K8-H8-SUM(L8:N8)+R8-S8-T8)-G8)+(ROUND(R8*U8,0)-ROUND(R8*(1+U8),0)*V8)</f>
        <v/>
      </c>
      <c r="Q8" s="585">
        <f>IF(I8="",(O8-G8-(O8*0.1425%*0.65)-(O8*0.3%)),0)</f>
        <v/>
      </c>
      <c r="R8" s="585" t="n"/>
      <c r="S8" s="585" t="n"/>
      <c r="T8" s="585">
        <f>IF(ROUND(R8*(1+U8),0)&gt;5000,ROUND(ROUND(R8*(1+U8),0)*2%,0),0)</f>
        <v/>
      </c>
      <c r="U8" s="585" t="n"/>
      <c r="V8" s="585" t="n"/>
      <c r="W8" s="586">
        <f>(P8+Q8)/G8</f>
        <v/>
      </c>
      <c r="X8" s="16">
        <f>VLOOKUP(C8,#REF!,3,FALSE)</f>
        <v/>
      </c>
      <c r="Y8" s="587" t="n"/>
      <c r="Z8" s="588">
        <f>((I8-A8)*G8)/365.24</f>
        <v/>
      </c>
    </row>
    <row r="9">
      <c r="A9" s="231" t="n">
        <v>41782</v>
      </c>
      <c r="B9" s="232" t="n"/>
      <c r="C9" s="232" t="n">
        <v>93211</v>
      </c>
      <c r="D9" s="232" t="n"/>
      <c r="E9" s="232" t="n"/>
      <c r="F9" s="232" t="n"/>
      <c r="G9" s="232" t="n"/>
      <c r="H9" s="232" t="n"/>
      <c r="I9" s="233" t="n"/>
      <c r="J9" s="42" t="n"/>
      <c r="K9" s="232" t="n"/>
      <c r="L9" s="589" t="n"/>
      <c r="M9" s="232" t="n"/>
      <c r="N9" s="232" t="n"/>
      <c r="O9" s="590" t="n"/>
      <c r="P9" s="591" t="n">
        <v>-1860</v>
      </c>
      <c r="Q9" s="591" t="n"/>
      <c r="R9" s="591" t="n"/>
      <c r="S9" s="591" t="n"/>
      <c r="T9" s="591" t="n"/>
      <c r="U9" s="591" t="n"/>
      <c r="V9" s="591" t="n"/>
      <c r="W9" s="592" t="n"/>
      <c r="X9" s="42" t="n"/>
      <c r="Y9" s="47" t="n"/>
      <c r="Z9" s="588" t="n"/>
    </row>
    <row r="10">
      <c r="A10" s="228" t="n">
        <v>41806</v>
      </c>
      <c r="B10" s="229" t="inlineStr">
        <is>
          <t>普通買進</t>
        </is>
      </c>
      <c r="C10" s="229" t="n">
        <v>9943</v>
      </c>
      <c r="D10" s="229">
        <f>VLOOKUP(C10,每日行情!A:B,2,FALSE)</f>
        <v/>
      </c>
      <c r="E10" s="229" t="n">
        <v>1000</v>
      </c>
      <c r="F10" s="229" t="n">
        <v>45.3</v>
      </c>
      <c r="G10" s="229">
        <f>E10*F10</f>
        <v/>
      </c>
      <c r="H10" s="229" t="n">
        <v>41</v>
      </c>
      <c r="I10" s="234" t="n">
        <v>41886</v>
      </c>
      <c r="J10" s="16" t="n">
        <v>37.7</v>
      </c>
      <c r="K10" s="229">
        <f>E10*J10</f>
        <v/>
      </c>
      <c r="L10" s="792" t="n">
        <v>32</v>
      </c>
      <c r="M10" s="229" t="n">
        <v>113</v>
      </c>
      <c r="N10" s="229" t="n">
        <v>0</v>
      </c>
      <c r="O10" s="584">
        <f>IF(I10="",E10*X10,0)</f>
        <v/>
      </c>
      <c r="P10" s="585">
        <f>IF(I10="",R10-H10,(K10-H10-SUM(L10:N10)+R10-S10-T10)-G10)+(ROUND(R10*U10,0)-ROUND(R10*(1+U10),0)*V10)</f>
        <v/>
      </c>
      <c r="Q10" s="585">
        <f>IF(I10="",(O10-G10-(O10*0.1425%*0.65)-(O10*0.3%)),0)</f>
        <v/>
      </c>
      <c r="R10" s="585" t="n">
        <v>4000</v>
      </c>
      <c r="S10" s="585" t="n">
        <v>7</v>
      </c>
      <c r="T10" s="585">
        <f>IF(ROUND(R10*(1+U10),0)&gt;5000,ROUND(ROUND(R10*(1+U10),0)*2%,0),0)</f>
        <v/>
      </c>
      <c r="U10" s="65" t="n">
        <v>0.3447</v>
      </c>
      <c r="V10" s="66" t="n">
        <v>0.12</v>
      </c>
      <c r="W10" s="586">
        <f>(P10+Q10)/G10</f>
        <v/>
      </c>
      <c r="X10" s="16">
        <f>VLOOKUP(C10,#REF!,3,FALSE)</f>
        <v/>
      </c>
      <c r="Y10" s="587" t="n"/>
      <c r="Z10" s="588">
        <f>((I10-A10)*G10)/365.24</f>
        <v/>
      </c>
    </row>
    <row r="11" collapsed="1">
      <c r="A11" s="411" t="n">
        <v>41808</v>
      </c>
      <c r="B11" s="412" t="inlineStr">
        <is>
          <t>普通買進</t>
        </is>
      </c>
      <c r="C11" s="412" t="n">
        <v>3231</v>
      </c>
      <c r="D11" s="412">
        <f>VLOOKUP(C11,每日行情!A:B,2,FALSE)</f>
        <v/>
      </c>
      <c r="E11" s="412" t="n">
        <v>1000</v>
      </c>
      <c r="F11" s="412" t="n">
        <v>27.95</v>
      </c>
      <c r="G11" s="412">
        <f>E11*F11</f>
        <v/>
      </c>
      <c r="H11" s="412" t="n">
        <v>25</v>
      </c>
      <c r="I11" s="413" t="n">
        <v>41887</v>
      </c>
      <c r="J11" s="414" t="n">
        <v>33.6</v>
      </c>
      <c r="K11" s="412">
        <f>E11*J11</f>
        <v/>
      </c>
      <c r="L11" s="801" t="n">
        <v>28</v>
      </c>
      <c r="M11" s="412" t="n">
        <v>100</v>
      </c>
      <c r="N11" s="412" t="n">
        <v>0</v>
      </c>
      <c r="O11" s="802">
        <f>IF(I11="",E11*X11,0)</f>
        <v/>
      </c>
      <c r="P11" s="803">
        <f>IF(I11="",R11-H11,(K11-H11-SUM(L11:N11)+R11-S11-T11)-G11)+(ROUND(R11*U11,0)-ROUND(R11*(1+U11),0)*V11)</f>
        <v/>
      </c>
      <c r="Q11" s="803">
        <f>IF(I11="",(O11-G11-(O11*0.1425%*0.65)-(O11*0.3%)),0)</f>
        <v/>
      </c>
      <c r="R11" s="803" t="n">
        <v>1802</v>
      </c>
      <c r="S11" s="803" t="n">
        <v>10</v>
      </c>
      <c r="T11" s="803">
        <f>IF(ROUND(R11*(1+U11),0)&gt;5000,ROUND(ROUND(R11*(1+U11),0)*2%,0),0)</f>
        <v/>
      </c>
      <c r="U11" s="418" t="n">
        <v>0.1154</v>
      </c>
      <c r="V11" s="419" t="n">
        <v>0.12</v>
      </c>
      <c r="W11" s="804">
        <f>(P11+P12+Q11)/G11</f>
        <v/>
      </c>
      <c r="X11" s="414">
        <f>VLOOKUP(C11,#REF!,3,FALSE)</f>
        <v/>
      </c>
      <c r="Y11" s="805" t="n"/>
      <c r="Z11" s="588">
        <f>((I11-A11)*G11)/365.24</f>
        <v/>
      </c>
    </row>
    <row r="12" hidden="1" outlineLevel="1">
      <c r="A12" s="411" t="n">
        <v>41870</v>
      </c>
      <c r="B12" s="412" t="inlineStr">
        <is>
          <t>除權</t>
        </is>
      </c>
      <c r="C12" s="412" t="n">
        <v>3231</v>
      </c>
      <c r="D12" s="412">
        <f>VLOOKUP(C12,每日行情!A:B,2,FALSE)</f>
        <v/>
      </c>
      <c r="E12" s="412" t="n">
        <v>20</v>
      </c>
      <c r="F12" s="412" t="n">
        <v>0</v>
      </c>
      <c r="G12" s="412">
        <f>E12*F12</f>
        <v/>
      </c>
      <c r="H12" s="412" t="n">
        <v>0</v>
      </c>
      <c r="I12" s="422" t="n">
        <v>41939</v>
      </c>
      <c r="J12" s="414" t="n">
        <v>30.45</v>
      </c>
      <c r="K12" s="412">
        <f>E12*J12</f>
        <v/>
      </c>
      <c r="L12" s="801" t="n">
        <v>20</v>
      </c>
      <c r="M12" s="412" t="n">
        <v>1</v>
      </c>
      <c r="N12" s="412" t="n">
        <v>0</v>
      </c>
      <c r="O12" s="802">
        <f>IF(I12="",E12*X12,0)</f>
        <v/>
      </c>
      <c r="P12" s="803">
        <f>IF(I12="",R12-H12,(K12-H12-SUM(L12:N12)+R12-S12-T12)-G12)+(ROUND(R12*U12,0)-ROUND(R12*(1+U12),0)*V12)</f>
        <v/>
      </c>
      <c r="Q12" s="803">
        <f>IF(I12="",(O12-G12-(O12*0.1425%*0.65)-(O12*0.3%)),0)</f>
        <v/>
      </c>
      <c r="R12" s="803" t="n"/>
      <c r="S12" s="803" t="n"/>
      <c r="T12" s="803">
        <f>IF(ROUND(R12*(1+U12),0)&gt;5000,ROUND(ROUND(R12*(1+U12),0)*2%,0),0)</f>
        <v/>
      </c>
      <c r="U12" s="803" t="n"/>
      <c r="V12" s="803" t="n"/>
      <c r="W12" s="806" t="n"/>
      <c r="X12" s="414">
        <f>VLOOKUP(C12,#REF!,3,FALSE)</f>
        <v/>
      </c>
      <c r="Y12" s="805" t="n"/>
      <c r="Z12" s="588">
        <f>((I12-A12)*G12)/365.24</f>
        <v/>
      </c>
    </row>
    <row r="13">
      <c r="A13" s="228" t="n">
        <v>41814</v>
      </c>
      <c r="B13" s="229" t="inlineStr">
        <is>
          <t>普通買進</t>
        </is>
      </c>
      <c r="C13" s="229" t="n">
        <v>3045</v>
      </c>
      <c r="D13" s="229">
        <f>VLOOKUP(C13,每日行情!A:B,2,FALSE)</f>
        <v/>
      </c>
      <c r="E13" s="229" t="n">
        <v>1000</v>
      </c>
      <c r="F13" s="229" t="n">
        <v>100</v>
      </c>
      <c r="G13" s="229">
        <f>E13*F13</f>
        <v/>
      </c>
      <c r="H13" s="229" t="n">
        <v>92</v>
      </c>
      <c r="I13" s="234" t="n">
        <v>41886</v>
      </c>
      <c r="J13" s="16" t="n">
        <v>91.3</v>
      </c>
      <c r="K13" s="229">
        <f>E13*J13</f>
        <v/>
      </c>
      <c r="L13" s="792" t="n">
        <v>78</v>
      </c>
      <c r="M13" s="229" t="n">
        <v>273</v>
      </c>
      <c r="N13" s="229" t="n">
        <v>0</v>
      </c>
      <c r="O13" s="584">
        <f>IF(I13="",E13*X13,0)</f>
        <v/>
      </c>
      <c r="P13" s="585">
        <f>IF(I13="",R13-H13,(K13-H13-SUM(L13:N13)+R13-S13-T13)-G13)+(ROUND(R13*U13,0)-ROUND(R13*(1+U13),0)*V13)</f>
        <v/>
      </c>
      <c r="Q13" s="585">
        <f>IF(I13="",(O13-G13-(O13*0.1425%*0.65)-(O13*0.3%)),0)</f>
        <v/>
      </c>
      <c r="R13" s="585" t="n">
        <v>5600</v>
      </c>
      <c r="S13" s="585" t="n">
        <v>10</v>
      </c>
      <c r="T13" s="585">
        <f>IF(ROUND(R13*(1+U13),0)&gt;5000,ROUND(ROUND(R13*(1+U13),0)*2%,0),0)</f>
        <v/>
      </c>
      <c r="U13" s="65" t="n">
        <v>0.1414</v>
      </c>
      <c r="V13" s="66" t="n">
        <v>0.12</v>
      </c>
      <c r="W13" s="586">
        <f>(P13+Q13)/G13</f>
        <v/>
      </c>
      <c r="X13" s="16">
        <f>VLOOKUP(C13,#REF!,3,FALSE)</f>
        <v/>
      </c>
      <c r="Y13" s="587" t="n"/>
      <c r="Z13" s="588">
        <f>((I13-A13)*G13)/365.24</f>
        <v/>
      </c>
    </row>
    <row r="14">
      <c r="A14" s="228" t="n">
        <v>41872</v>
      </c>
      <c r="B14" s="229" t="inlineStr">
        <is>
          <t>普通買進</t>
        </is>
      </c>
      <c r="C14" s="229" t="n">
        <v>4958</v>
      </c>
      <c r="D14" s="229">
        <f>VLOOKUP(C14,每日行情!A:B,2,FALSE)</f>
        <v/>
      </c>
      <c r="E14" s="229" t="n">
        <v>1000</v>
      </c>
      <c r="F14" s="229" t="n">
        <v>91.59999999999999</v>
      </c>
      <c r="G14" s="229">
        <f>E14*F14</f>
        <v/>
      </c>
      <c r="H14" s="229" t="n">
        <v>84</v>
      </c>
      <c r="I14" s="234" t="n">
        <v>41887</v>
      </c>
      <c r="J14" s="16" t="n">
        <v>90.2</v>
      </c>
      <c r="K14" s="229">
        <f>E14*J14</f>
        <v/>
      </c>
      <c r="L14" s="792" t="n">
        <v>77</v>
      </c>
      <c r="M14" s="229" t="n">
        <v>270</v>
      </c>
      <c r="N14" s="229" t="n">
        <v>0</v>
      </c>
      <c r="O14" s="584">
        <f>IF(I14="",E14*X14,0)</f>
        <v/>
      </c>
      <c r="P14" s="585">
        <f>IF(I14="",R14-H14,(K14-H14-SUM(L14:N14)+R14-S14-T14)-G14)+(ROUND(R14*U14,0)-ROUND(R14*(1+U14),0)*V14)</f>
        <v/>
      </c>
      <c r="Q14" s="585">
        <f>IF(I14="",(O14-G14-(O14*0.1425%*0.65)-(O14*0.3%)),0)</f>
        <v/>
      </c>
      <c r="R14" s="585" t="n">
        <v>2999</v>
      </c>
      <c r="S14" s="585" t="n">
        <v>10</v>
      </c>
      <c r="T14" s="585">
        <f>IF(ROUND(R14*(1+U14),0)&gt;5000,ROUND(ROUND(R14*(1+U14),0)*2%,0),0)</f>
        <v/>
      </c>
      <c r="U14" s="65" t="n">
        <v>0</v>
      </c>
      <c r="V14" s="66" t="n">
        <v>0</v>
      </c>
      <c r="W14" s="586">
        <f>(P14+Q14)/G14</f>
        <v/>
      </c>
      <c r="X14" s="16">
        <f>VLOOKUP(C14,#REF!,3,FALSE)</f>
        <v/>
      </c>
      <c r="Y14" s="587" t="n"/>
      <c r="Z14" s="588">
        <f>((I14-A14)*G14)/365.24</f>
        <v/>
      </c>
    </row>
    <row r="15">
      <c r="A15" s="228" t="n">
        <v>41850</v>
      </c>
      <c r="B15" s="229" t="inlineStr">
        <is>
          <t>普通買進</t>
        </is>
      </c>
      <c r="C15" s="229" t="n">
        <v>2324</v>
      </c>
      <c r="D15" s="229">
        <f>VLOOKUP(C15,每日行情!A:B,2,FALSE)</f>
        <v/>
      </c>
      <c r="E15" s="229" t="n">
        <v>1000</v>
      </c>
      <c r="F15" s="229" t="n">
        <v>28.4</v>
      </c>
      <c r="G15" s="229">
        <f>E15*F15</f>
        <v/>
      </c>
      <c r="H15" s="229" t="n">
        <v>26</v>
      </c>
      <c r="I15" s="234" t="n">
        <v>41887</v>
      </c>
      <c r="J15" s="17" t="n">
        <v>26.25</v>
      </c>
      <c r="K15" s="229">
        <f>E15*J15</f>
        <v/>
      </c>
      <c r="L15" s="17" t="n">
        <v>22</v>
      </c>
      <c r="M15" s="229" t="n">
        <v>78</v>
      </c>
      <c r="N15" s="229" t="n">
        <v>0</v>
      </c>
      <c r="O15" s="584">
        <f>IF(I15="",E15*X15,0)</f>
        <v/>
      </c>
      <c r="P15" s="585">
        <f>IF(I15="",R15-H15,(K15-H15-SUM(L15:N15)+R15-S15-T15)-G15)+(ROUND(R15*U15,0)-ROUND(R15*(1+U15),0)*V15)</f>
        <v/>
      </c>
      <c r="Q15" s="585">
        <f>IF(I15="",(O15-G15-(O15*0.1425%*0.65)-(O15*0.3%)),0)</f>
        <v/>
      </c>
      <c r="R15" s="585" t="n">
        <v>994</v>
      </c>
      <c r="S15" s="585" t="n">
        <v>5</v>
      </c>
      <c r="T15" s="585">
        <f>IF(ROUND(R15*(1+U15),0)&gt;5000,ROUND(ROUND(R15*(1+U15),0)*2%,0),0)</f>
        <v/>
      </c>
      <c r="U15" s="65" t="n">
        <v>0.1465</v>
      </c>
      <c r="V15" s="66" t="n">
        <v>0.12</v>
      </c>
      <c r="W15" s="586">
        <f>(P15+Q15)/G15</f>
        <v/>
      </c>
      <c r="X15" s="16">
        <f>VLOOKUP(C15,#REF!,3,FALSE)</f>
        <v/>
      </c>
      <c r="Y15" s="587" t="n"/>
      <c r="Z15" s="588">
        <f>((I15-A15)*G15)/365.24</f>
        <v/>
      </c>
    </row>
    <row r="16">
      <c r="A16" s="228" t="n">
        <v>41750</v>
      </c>
      <c r="B16" s="229" t="inlineStr">
        <is>
          <t>普通買進</t>
        </is>
      </c>
      <c r="C16" s="229" t="n">
        <v>2330</v>
      </c>
      <c r="D16" s="229">
        <f>VLOOKUP(C16,每日行情!A:B,2,FALSE)</f>
        <v/>
      </c>
      <c r="E16" s="229" t="n">
        <v>1000</v>
      </c>
      <c r="F16" s="229" t="n">
        <v>121.5</v>
      </c>
      <c r="G16" s="229">
        <f>E16*F16</f>
        <v/>
      </c>
      <c r="H16" s="229" t="n">
        <v>112</v>
      </c>
      <c r="I16" s="234" t="n">
        <v>41892</v>
      </c>
      <c r="J16" s="17" t="n">
        <v>124</v>
      </c>
      <c r="K16" s="229">
        <f>E16*J16</f>
        <v/>
      </c>
      <c r="L16" s="17" t="n">
        <v>106</v>
      </c>
      <c r="M16" s="229" t="n">
        <v>372</v>
      </c>
      <c r="N16" s="229" t="n">
        <v>0</v>
      </c>
      <c r="O16" s="584">
        <f>IF(I16="",E16*X16,0)</f>
        <v/>
      </c>
      <c r="P16" s="585">
        <f>IF(I16="",R16-H16,(K16-H16-SUM(L16:N16)+R16-S16-T16)-G16)+(ROUND(R16*U16,0)-ROUND(R16*(1+U16),0)*V16)</f>
        <v/>
      </c>
      <c r="Q16" s="585">
        <f>IF(I16="",(O16-G16-(O16*0.1425%*0.65)-(O16*0.3%)),0)</f>
        <v/>
      </c>
      <c r="R16" s="585" t="n">
        <v>2999</v>
      </c>
      <c r="S16" s="585" t="n">
        <v>10</v>
      </c>
      <c r="T16" s="585">
        <f>IF(ROUND(R16*(1+U16),0)&gt;5000,ROUND(ROUND(R16*(1+U16),0)*2%,0),0)</f>
        <v/>
      </c>
      <c r="U16" s="65" t="n">
        <v>0.028</v>
      </c>
      <c r="V16" s="66" t="n">
        <v>0.12</v>
      </c>
      <c r="W16" s="586">
        <f>(P16+Q16)/G16</f>
        <v/>
      </c>
      <c r="X16" s="16">
        <f>VLOOKUP(C16,#REF!,3,FALSE)</f>
        <v/>
      </c>
      <c r="Y16" s="587" t="n"/>
      <c r="Z16" s="588">
        <f>((I16-A16)*G16)/365.24</f>
        <v/>
      </c>
    </row>
    <row r="17" collapsed="1">
      <c r="A17" s="411" t="n">
        <v>41872</v>
      </c>
      <c r="B17" s="412" t="inlineStr">
        <is>
          <t>普通買進</t>
        </is>
      </c>
      <c r="C17" s="412" t="n">
        <v>2317</v>
      </c>
      <c r="D17" s="412">
        <f>VLOOKUP(C17,每日行情!A:B,2,FALSE)</f>
        <v/>
      </c>
      <c r="E17" s="412" t="n">
        <v>1000</v>
      </c>
      <c r="F17" s="412" t="n">
        <v>108</v>
      </c>
      <c r="G17" s="412">
        <f>E17*F17</f>
        <v/>
      </c>
      <c r="H17" s="412" t="n">
        <v>100</v>
      </c>
      <c r="I17" s="413" t="n">
        <v>41892</v>
      </c>
      <c r="J17" s="414" t="n">
        <v>99.7</v>
      </c>
      <c r="K17" s="412">
        <f>E17*J17</f>
        <v/>
      </c>
      <c r="L17" s="801" t="n">
        <v>85</v>
      </c>
      <c r="M17" s="412" t="n">
        <v>299</v>
      </c>
      <c r="N17" s="412" t="n">
        <v>0</v>
      </c>
      <c r="O17" s="802">
        <f>IF(I17="",E17*X17,0)</f>
        <v/>
      </c>
      <c r="P17" s="803">
        <f>IF(I17="",R17-H17,(K17-H17-SUM(L17:N17)+R17-S17-T17)-G17)+(ROUND(R17*U17,0)-ROUND(R17*(1+U17),0)*V17)</f>
        <v/>
      </c>
      <c r="Q17" s="803">
        <f>IF(I17="",(O17-G17-(O17*0.1425%*0.65)-(O17*0.3%)),0)</f>
        <v/>
      </c>
      <c r="R17" s="803" t="n">
        <v>1800</v>
      </c>
      <c r="S17" s="803" t="n">
        <v>10</v>
      </c>
      <c r="T17" s="803">
        <f>IF(ROUND(R17*(1+U17),0)&gt;5000,ROUND(ROUND(R17*(1+U17),0)*2%,0),0)</f>
        <v/>
      </c>
      <c r="U17" s="418" t="n">
        <v>0.1269</v>
      </c>
      <c r="V17" s="419" t="n">
        <v>0.12</v>
      </c>
      <c r="W17" s="804">
        <f>(P17+P18+Q17)/G17</f>
        <v/>
      </c>
      <c r="X17" s="414">
        <f>VLOOKUP(C17,#REF!,3,FALSE)</f>
        <v/>
      </c>
      <c r="Y17" s="805" t="n"/>
      <c r="Z17" s="588">
        <f>((I17-A17)*G17)/365.24</f>
        <v/>
      </c>
    </row>
    <row r="18" hidden="1" outlineLevel="1">
      <c r="A18" s="411" t="n">
        <v>41872</v>
      </c>
      <c r="B18" s="412" t="inlineStr">
        <is>
          <t>除權</t>
        </is>
      </c>
      <c r="C18" s="412" t="n">
        <v>2317</v>
      </c>
      <c r="D18" s="412">
        <f>VLOOKUP(C18,每日行情!A:B,2,FALSE)</f>
        <v/>
      </c>
      <c r="E18" s="412" t="n">
        <v>120</v>
      </c>
      <c r="F18" s="412" t="n">
        <v>0</v>
      </c>
      <c r="G18" s="412">
        <f>E18*F18</f>
        <v/>
      </c>
      <c r="H18" s="412" t="n">
        <v>0</v>
      </c>
      <c r="I18" s="413" t="n">
        <v>41984</v>
      </c>
      <c r="J18" s="414" t="n">
        <v>90.5</v>
      </c>
      <c r="K18" s="412">
        <f>E18*J18</f>
        <v/>
      </c>
      <c r="L18" s="801" t="n">
        <v>20</v>
      </c>
      <c r="M18" s="412" t="n">
        <v>32</v>
      </c>
      <c r="N18" s="412" t="n">
        <v>0</v>
      </c>
      <c r="O18" s="802">
        <f>IF(I18="",E18*X18,0)</f>
        <v/>
      </c>
      <c r="P18" s="803">
        <f>IF(I18="",R18-H18,(K18-H18-SUM(L18:N18)+R18-S18-T18)-G18)+(ROUND(R18*U18,0)-ROUND(R18*(1+U18),0)*V18)</f>
        <v/>
      </c>
      <c r="Q18" s="803">
        <f>IF(I18="",(O18-G18-(O18*0.1425%*0.65)-(O18*0.3%)),0)</f>
        <v/>
      </c>
      <c r="R18" s="803" t="n"/>
      <c r="S18" s="803" t="n"/>
      <c r="T18" s="803">
        <f>IF(ROUND(R18*(1+U18),0)&gt;5000,ROUND(ROUND(R18*(1+U18),0)*2%,0),0)</f>
        <v/>
      </c>
      <c r="U18" s="803" t="n"/>
      <c r="V18" s="803" t="n"/>
      <c r="W18" s="806" t="n"/>
      <c r="X18" s="414">
        <f>VLOOKUP(C18,#REF!,3,FALSE)</f>
        <v/>
      </c>
      <c r="Y18" s="805" t="n"/>
      <c r="Z18" s="588">
        <f>((I18-A18)*G18)/365.24</f>
        <v/>
      </c>
    </row>
    <row r="19">
      <c r="A19" s="228" t="n">
        <v>41886</v>
      </c>
      <c r="B19" s="229" t="inlineStr">
        <is>
          <t>普通買進</t>
        </is>
      </c>
      <c r="C19" s="229" t="n">
        <v>2317</v>
      </c>
      <c r="D19" s="229">
        <f>VLOOKUP(C19,每日行情!A:B,2,FALSE)</f>
        <v/>
      </c>
      <c r="E19" s="229" t="n">
        <v>1000</v>
      </c>
      <c r="F19" s="229" t="n">
        <v>100.5</v>
      </c>
      <c r="G19" s="229">
        <f>E19*F19</f>
        <v/>
      </c>
      <c r="H19" s="229" t="n">
        <v>85</v>
      </c>
      <c r="I19" s="234" t="n">
        <v>41892</v>
      </c>
      <c r="J19" s="16" t="n">
        <v>99.7</v>
      </c>
      <c r="K19" s="229">
        <f>E19*J19</f>
        <v/>
      </c>
      <c r="L19" s="792" t="n">
        <v>85</v>
      </c>
      <c r="M19" s="229" t="n">
        <v>299</v>
      </c>
      <c r="N19" s="229" t="n">
        <v>0</v>
      </c>
      <c r="O19" s="584">
        <f>IF(I19="",E19*X19,0)</f>
        <v/>
      </c>
      <c r="P19" s="585">
        <f>IF(I19="",R19-H19,(K19-H19-SUM(L19:N19)+R19-S19-T19)-G19)+(ROUND(R19*U19,0)-ROUND(R19*(1+U19),0)*V19)</f>
        <v/>
      </c>
      <c r="Q19" s="585">
        <f>IF(I19="",(O19-G19-(O19*0.1425%*0.65)-(O19*0.3%)),0)</f>
        <v/>
      </c>
      <c r="R19" s="585" t="n"/>
      <c r="S19" s="585" t="n"/>
      <c r="T19" s="585">
        <f>IF(ROUND(R19*(1+U19),0)&gt;5000,ROUND(ROUND(R19*(1+U19),0)*2%,0),0)</f>
        <v/>
      </c>
      <c r="U19" s="585" t="n"/>
      <c r="V19" s="585" t="n"/>
      <c r="W19" s="586">
        <f>(P19+Q19)/G19</f>
        <v/>
      </c>
      <c r="X19" s="16">
        <f>VLOOKUP(C19,#REF!,3,FALSE)</f>
        <v/>
      </c>
      <c r="Y19" s="587" t="n"/>
      <c r="Z19" s="588">
        <f>((I19-A19)*G19)/365.24</f>
        <v/>
      </c>
    </row>
    <row r="20">
      <c r="A20" s="231" t="n">
        <v>41904</v>
      </c>
      <c r="B20" s="232" t="n"/>
      <c r="C20" s="232" t="n">
        <v>93203</v>
      </c>
      <c r="D20" s="232" t="n"/>
      <c r="E20" s="232" t="n"/>
      <c r="F20" s="232" t="n"/>
      <c r="G20" s="232" t="n"/>
      <c r="H20" s="232" t="n"/>
      <c r="I20" s="233" t="n"/>
      <c r="J20" s="42" t="n"/>
      <c r="K20" s="232" t="n"/>
      <c r="L20" s="589" t="n"/>
      <c r="M20" s="232" t="n"/>
      <c r="N20" s="232" t="n"/>
      <c r="O20" s="590" t="n"/>
      <c r="P20" s="591" t="n">
        <v>-127</v>
      </c>
      <c r="Q20" s="591" t="n"/>
      <c r="R20" s="591" t="n"/>
      <c r="S20" s="591" t="n"/>
      <c r="T20" s="591" t="n"/>
      <c r="U20" s="591" t="n"/>
      <c r="V20" s="591" t="n"/>
      <c r="W20" s="592" t="n"/>
      <c r="X20" s="42" t="n"/>
      <c r="Y20" s="47" t="n"/>
      <c r="Z20" s="588" t="n"/>
    </row>
    <row r="21">
      <c r="A21" s="228" t="n">
        <v>41892</v>
      </c>
      <c r="B21" s="229" t="inlineStr">
        <is>
          <t>普通買進</t>
        </is>
      </c>
      <c r="C21" s="229" t="n">
        <v>3231</v>
      </c>
      <c r="D21" s="229">
        <f>VLOOKUP(C21,每日行情!A:B,2,FALSE)</f>
        <v/>
      </c>
      <c r="E21" s="229" t="n">
        <v>1000</v>
      </c>
      <c r="F21" s="229" t="n">
        <v>33.8</v>
      </c>
      <c r="G21" s="229">
        <f>E21*F21</f>
        <v/>
      </c>
      <c r="H21" s="229" t="n">
        <v>28</v>
      </c>
      <c r="I21" s="234" t="n">
        <v>41914</v>
      </c>
      <c r="J21" s="16" t="n">
        <v>31.1</v>
      </c>
      <c r="K21" s="229">
        <f>E21*J21</f>
        <v/>
      </c>
      <c r="L21" s="792" t="n">
        <v>26</v>
      </c>
      <c r="M21" s="229" t="n">
        <v>93</v>
      </c>
      <c r="N21" s="229" t="n">
        <v>0</v>
      </c>
      <c r="O21" s="584">
        <f>IF(I21="",E21*X21,0)</f>
        <v/>
      </c>
      <c r="P21" s="585">
        <f>IF(I21="",R21-H21,(K21-H21-SUM(L21:N21)+R21-S21-T21)-G21)+(ROUND(R21*U21,0)-ROUND(R21*(1+U21),0)*V21)</f>
        <v/>
      </c>
      <c r="Q21" s="585">
        <f>IF(I21="",(O21-G21-(O21*0.1425%*0.65)-(O21*0.3%)),0)</f>
        <v/>
      </c>
      <c r="R21" s="585" t="n"/>
      <c r="S21" s="585" t="n"/>
      <c r="T21" s="585">
        <f>IF(ROUND(R21*(1+U21),0)&gt;5000,ROUND(ROUND(R21*(1+U21),0)*2%,0),0)</f>
        <v/>
      </c>
      <c r="U21" s="585" t="n"/>
      <c r="V21" s="585" t="n"/>
      <c r="W21" s="586">
        <f>(P21+Q21)/G21</f>
        <v/>
      </c>
      <c r="X21" s="16">
        <f>VLOOKUP(C21,#REF!,3,FALSE)</f>
        <v/>
      </c>
      <c r="Y21" s="587" t="n"/>
      <c r="Z21" s="588">
        <f>((I21-A21)*G21)/365.24</f>
        <v/>
      </c>
    </row>
    <row r="22">
      <c r="A22" s="228" t="n">
        <v>41892</v>
      </c>
      <c r="B22" s="229" t="inlineStr">
        <is>
          <t>普通買進</t>
        </is>
      </c>
      <c r="C22" s="229" t="n">
        <v>2882</v>
      </c>
      <c r="D22" s="229">
        <f>VLOOKUP(C22,每日行情!A:B,2,FALSE)</f>
        <v/>
      </c>
      <c r="E22" s="229" t="n">
        <v>1000</v>
      </c>
      <c r="F22" s="229" t="n">
        <v>51.6</v>
      </c>
      <c r="G22" s="229">
        <f>E22*F22</f>
        <v/>
      </c>
      <c r="H22" s="229" t="n">
        <v>44</v>
      </c>
      <c r="I22" s="234" t="n">
        <v>41914</v>
      </c>
      <c r="J22" s="16" t="n">
        <v>48.5</v>
      </c>
      <c r="K22" s="229">
        <f>E22*J22</f>
        <v/>
      </c>
      <c r="L22" s="792" t="n">
        <v>41</v>
      </c>
      <c r="M22" s="229" t="n">
        <v>145</v>
      </c>
      <c r="N22" s="229" t="n">
        <v>0</v>
      </c>
      <c r="O22" s="584">
        <f>IF(I22="",E22*X22,0)</f>
        <v/>
      </c>
      <c r="P22" s="585">
        <f>IF(I22="",R22-H22,(K22-H22-SUM(L22:N22)+R22-S22-T22)-G22)+(ROUND(R22*U22,0)-ROUND(R22*(1+U22),0)*V22)</f>
        <v/>
      </c>
      <c r="Q22" s="585">
        <f>IF(I22="",(O22-G22-(O22*0.1425%*0.65)-(O22*0.3%)),0)</f>
        <v/>
      </c>
      <c r="R22" s="585" t="n"/>
      <c r="S22" s="585" t="n"/>
      <c r="T22" s="585">
        <f>IF(ROUND(R22*(1+U22),0)&gt;5000,ROUND(ROUND(R22*(1+U22),0)*2%,0),0)</f>
        <v/>
      </c>
      <c r="U22" s="585" t="n"/>
      <c r="V22" s="585" t="n"/>
      <c r="W22" s="586">
        <f>(P22+Q22)/G22</f>
        <v/>
      </c>
      <c r="X22" s="16">
        <f>VLOOKUP(C22,#REF!,3,FALSE)</f>
        <v/>
      </c>
      <c r="Y22" s="587" t="n"/>
      <c r="Z22" s="588">
        <f>((I22-A22)*G22)/365.24</f>
        <v/>
      </c>
    </row>
    <row r="23">
      <c r="A23" s="228" t="n">
        <v>41808</v>
      </c>
      <c r="B23" s="229" t="inlineStr">
        <is>
          <t>普通買進</t>
        </is>
      </c>
      <c r="C23" s="229" t="n">
        <v>8072</v>
      </c>
      <c r="D23" s="229">
        <f>VLOOKUP(C23,每日行情!A:B,2,FALSE)</f>
        <v/>
      </c>
      <c r="E23" s="229" t="n">
        <v>1000</v>
      </c>
      <c r="F23" s="229" t="n">
        <v>98.5</v>
      </c>
      <c r="G23" s="229">
        <f>E23*F23</f>
        <v/>
      </c>
      <c r="H23" s="229" t="n">
        <v>91</v>
      </c>
      <c r="I23" s="234" t="n">
        <v>41914</v>
      </c>
      <c r="J23" s="16" t="n">
        <v>63.1</v>
      </c>
      <c r="K23" s="229">
        <f>E23*J23</f>
        <v/>
      </c>
      <c r="L23" s="792" t="n">
        <v>53</v>
      </c>
      <c r="M23" s="229" t="n">
        <v>189</v>
      </c>
      <c r="N23" s="229" t="n">
        <v>0</v>
      </c>
      <c r="O23" s="584">
        <f>IF(I23="",E23*X23,0)</f>
        <v/>
      </c>
      <c r="P23" s="585">
        <f>IF(I23="",R23-H23,(K23-H23-SUM(L23:N23)+R23-S23-T23)-G23)+(ROUND(R23*U23,0)-ROUND(R23*(1+U23),0)*V23)</f>
        <v/>
      </c>
      <c r="Q23" s="585">
        <f>IF(I23="",(O23-G23-(O23*0.1425%*0.65)-(O23*0.3%)),0)</f>
        <v/>
      </c>
      <c r="R23" s="585" t="n">
        <v>20000</v>
      </c>
      <c r="S23" s="585" t="n">
        <v>10</v>
      </c>
      <c r="T23" s="585">
        <f>IF(ROUND(R23*(1+U23),0)&gt;5000,ROUND(ROUND(R23*(1+U23),0)*2%,0),0)</f>
        <v/>
      </c>
      <c r="U23" s="65" t="n">
        <v>0.2347</v>
      </c>
      <c r="V23" s="66" t="n">
        <v>0.12</v>
      </c>
      <c r="W23" s="586">
        <f>(P23+Q23)/G23</f>
        <v/>
      </c>
      <c r="X23" s="16">
        <f>VLOOKUP(C23,#REF!,3,FALSE)</f>
        <v/>
      </c>
      <c r="Y23" s="587" t="n"/>
      <c r="Z23" s="588">
        <f>((I23-A23)*G23)/365.24</f>
        <v/>
      </c>
    </row>
    <row r="24">
      <c r="A24" s="228" t="n">
        <v>41872</v>
      </c>
      <c r="B24" s="229" t="inlineStr">
        <is>
          <t>普通買進</t>
        </is>
      </c>
      <c r="C24" s="229" t="n">
        <v>1101</v>
      </c>
      <c r="D24" s="229">
        <f>VLOOKUP(C24,每日行情!A:B,2,FALSE)</f>
        <v/>
      </c>
      <c r="E24" s="229" t="n">
        <v>1000</v>
      </c>
      <c r="F24" s="229" t="n">
        <v>47.1</v>
      </c>
      <c r="G24" s="229">
        <f>E24*F24</f>
        <v/>
      </c>
      <c r="H24" s="229" t="n">
        <v>43</v>
      </c>
      <c r="I24" s="234" t="n">
        <v>41914</v>
      </c>
      <c r="J24" s="16" t="n">
        <v>44.3</v>
      </c>
      <c r="K24" s="229">
        <f>E24*J24</f>
        <v/>
      </c>
      <c r="L24" s="792" t="n">
        <v>37</v>
      </c>
      <c r="M24" s="229" t="n">
        <v>132</v>
      </c>
      <c r="N24" s="229" t="n">
        <v>0</v>
      </c>
      <c r="O24" s="584">
        <f>IF(I24="",E24*X24,0)</f>
        <v/>
      </c>
      <c r="P24" s="585">
        <f>IF(I24="",R24-H24,(K24-H24-SUM(L24:N24)+R24-S24-T24)-G24)+(ROUND(R24*U24,0)-ROUND(R24*(1+U24),0)*V24)</f>
        <v/>
      </c>
      <c r="Q24" s="585">
        <f>IF(I24="",(O24-G24-(O24*0.1425%*0.65)-(O24*0.3%)),0)</f>
        <v/>
      </c>
      <c r="R24" s="585" t="n"/>
      <c r="S24" s="585" t="n"/>
      <c r="T24" s="585">
        <f>IF(ROUND(R24*(1+U24),0)&gt;5000,ROUND(ROUND(R24*(1+U24),0)*2%,0),0)</f>
        <v/>
      </c>
      <c r="U24" s="585" t="n"/>
      <c r="V24" s="585" t="n"/>
      <c r="W24" s="586">
        <f>(P24+Q24)/G24</f>
        <v/>
      </c>
      <c r="X24" s="16">
        <f>VLOOKUP(C24,#REF!,3,FALSE)</f>
        <v/>
      </c>
      <c r="Y24" s="587" t="n"/>
      <c r="Z24" s="588">
        <f>((I24-A24)*G24)/365.24</f>
        <v/>
      </c>
    </row>
    <row r="25">
      <c r="A25" s="228" t="n">
        <v>41892</v>
      </c>
      <c r="B25" s="229" t="inlineStr">
        <is>
          <t>普通買進</t>
        </is>
      </c>
      <c r="C25" s="229" t="n">
        <v>2474</v>
      </c>
      <c r="D25" s="229">
        <f>VLOOKUP(C25,每日行情!A:B,2,FALSE)</f>
        <v/>
      </c>
      <c r="E25" s="229" t="n">
        <v>1000</v>
      </c>
      <c r="F25" s="229" t="n">
        <v>293</v>
      </c>
      <c r="G25" s="229">
        <f>E25*F25</f>
        <v/>
      </c>
      <c r="H25" s="229" t="n">
        <v>250</v>
      </c>
      <c r="I25" s="234" t="n">
        <v>41914</v>
      </c>
      <c r="J25" s="16" t="n">
        <v>280</v>
      </c>
      <c r="K25" s="229">
        <f>E25*J25</f>
        <v/>
      </c>
      <c r="L25" s="792" t="n">
        <v>239</v>
      </c>
      <c r="M25" s="229" t="n">
        <v>840</v>
      </c>
      <c r="N25" s="229" t="n">
        <v>0</v>
      </c>
      <c r="O25" s="584">
        <f>IF(I25="",E25*X25,0)</f>
        <v/>
      </c>
      <c r="P25" s="585">
        <f>IF(I25="",R25-H25,(K25-H25-SUM(L25:N25)+R25-S25-T25)-G25)+(ROUND(R25*U25,0)-ROUND(R25*(1+U25),0)*V25)</f>
        <v/>
      </c>
      <c r="Q25" s="585">
        <f>IF(I25="",(O25-G25-(O25*0.1425%*0.65)-(O25*0.3%)),0)</f>
        <v/>
      </c>
      <c r="R25" s="585" t="n">
        <v>4902</v>
      </c>
      <c r="S25" s="585" t="n">
        <v>10</v>
      </c>
      <c r="T25" s="585">
        <f>IF(ROUND(R25*(1+U25),0)&gt;5000,ROUND(ROUND(R25*(1+U25),0)*2%,0),0)</f>
        <v/>
      </c>
      <c r="U25" s="65" t="n">
        <v>0.0682</v>
      </c>
      <c r="V25" s="66" t="n">
        <v>0.12</v>
      </c>
      <c r="W25" s="586">
        <f>(P25+Q25)/G25</f>
        <v/>
      </c>
      <c r="X25" s="16">
        <f>VLOOKUP(C25,#REF!,3,FALSE)</f>
        <v/>
      </c>
      <c r="Y25" s="587" t="n"/>
      <c r="Z25" s="588">
        <f>((I25-A25)*G25)/365.24</f>
        <v/>
      </c>
    </row>
    <row r="26" ht="17.25" customHeight="1">
      <c r="A26" s="228" t="n">
        <v>41914</v>
      </c>
      <c r="B26" s="229" t="inlineStr">
        <is>
          <t>普通買進</t>
        </is>
      </c>
      <c r="C26" s="229" t="n">
        <v>4938</v>
      </c>
      <c r="D26" s="229">
        <f>VLOOKUP(C26,每日行情!A:B,2,FALSE)</f>
        <v/>
      </c>
      <c r="E26" s="229" t="n">
        <v>1000</v>
      </c>
      <c r="F26" s="229" t="n">
        <v>56.5</v>
      </c>
      <c r="G26" s="229">
        <f>E26*F26</f>
        <v/>
      </c>
      <c r="H26" s="229" t="n">
        <v>48</v>
      </c>
      <c r="I26" s="234" t="n">
        <v>41914</v>
      </c>
      <c r="J26" s="16" t="n">
        <v>56.6</v>
      </c>
      <c r="K26" s="229">
        <f>E26*J26</f>
        <v/>
      </c>
      <c r="L26" s="792" t="n">
        <v>48</v>
      </c>
      <c r="M26" s="229" t="n">
        <v>169</v>
      </c>
      <c r="N26" s="229" t="n"/>
      <c r="O26" s="584">
        <f>IF(I26="",E26*X26,0)</f>
        <v/>
      </c>
      <c r="P26" s="585">
        <f>IF(I26="",R26-H26,(K26-H26-SUM(L26:N26)+R26-S26-T26)-G26)+(ROUND(R26*U26,0)-ROUND(R26*(1+U26),0)*V26)</f>
        <v/>
      </c>
      <c r="Q26" s="585">
        <f>IF(I26="",(O26-G26-(O26*0.1425%*0.65)-(O26*0.3%)),0)</f>
        <v/>
      </c>
      <c r="R26" s="585" t="n"/>
      <c r="S26" s="585" t="n"/>
      <c r="T26" s="585">
        <f>IF(ROUND(R26*(1+U26),0)&gt;5000,ROUND(ROUND(R26*(1+U26),0)*2%,0),0)</f>
        <v/>
      </c>
      <c r="U26" s="585" t="n"/>
      <c r="V26" s="585" t="n"/>
      <c r="W26" s="586">
        <f>(P26+Q26)/G26</f>
        <v/>
      </c>
      <c r="X26" s="16">
        <f>VLOOKUP(C26,#REF!,3,FALSE)</f>
        <v/>
      </c>
      <c r="Y26" s="587" t="n"/>
      <c r="Z26" s="588">
        <f>((I26-A26)*G26)/365.24</f>
        <v/>
      </c>
    </row>
    <row r="27" customFormat="1" s="433">
      <c r="A27" s="424" t="n">
        <v>41911</v>
      </c>
      <c r="B27" s="425" t="n"/>
      <c r="C27" s="425" t="n">
        <v>93203</v>
      </c>
      <c r="D27" s="425" t="n"/>
      <c r="E27" s="425" t="n"/>
      <c r="F27" s="425" t="n"/>
      <c r="G27" s="425" t="n"/>
      <c r="H27" s="425" t="n"/>
      <c r="I27" s="426" t="n"/>
      <c r="J27" s="427" t="n"/>
      <c r="K27" s="425" t="n"/>
      <c r="L27" s="807" t="n"/>
      <c r="M27" s="425" t="n"/>
      <c r="N27" s="425" t="n"/>
      <c r="O27" s="808" t="n"/>
      <c r="P27" s="809" t="n">
        <v>-56</v>
      </c>
      <c r="Q27" s="809" t="n"/>
      <c r="R27" s="809" t="n"/>
      <c r="S27" s="809" t="n"/>
      <c r="T27" s="809" t="n"/>
      <c r="U27" s="809" t="n"/>
      <c r="V27" s="809" t="n"/>
      <c r="W27" s="810" t="n"/>
      <c r="X27" s="427" t="n"/>
      <c r="Y27" s="432" t="n"/>
      <c r="Z27" s="588" t="n"/>
    </row>
    <row r="28" customFormat="1" s="437">
      <c r="A28" s="434" t="n">
        <v>41911</v>
      </c>
      <c r="B28" s="435" t="n"/>
      <c r="C28" s="435" t="n">
        <v>93205</v>
      </c>
      <c r="D28" s="435" t="n"/>
      <c r="E28" s="435" t="n"/>
      <c r="F28" s="435" t="n"/>
      <c r="G28" s="435" t="n"/>
      <c r="H28" s="435" t="n"/>
      <c r="I28" s="436" t="n"/>
      <c r="J28" s="42" t="n"/>
      <c r="K28" s="435" t="n"/>
      <c r="L28" s="589" t="n"/>
      <c r="M28" s="435" t="n"/>
      <c r="N28" s="435" t="n"/>
      <c r="O28" s="590" t="n"/>
      <c r="P28" s="591" t="n">
        <v>-523</v>
      </c>
      <c r="Q28" s="591" t="n"/>
      <c r="R28" s="591" t="n"/>
      <c r="S28" s="591" t="n"/>
      <c r="T28" s="591" t="n"/>
      <c r="U28" s="591" t="n"/>
      <c r="V28" s="591" t="n"/>
      <c r="W28" s="592" t="n"/>
      <c r="X28" s="42" t="n"/>
      <c r="Y28" s="47" t="n"/>
      <c r="Z28" s="588" t="n"/>
    </row>
    <row r="29" customFormat="1" s="437">
      <c r="A29" s="434" t="n">
        <v>41911</v>
      </c>
      <c r="B29" s="435" t="n"/>
      <c r="C29" s="435" t="n">
        <v>93204</v>
      </c>
      <c r="D29" s="435" t="n"/>
      <c r="E29" s="435" t="n"/>
      <c r="F29" s="435" t="n"/>
      <c r="G29" s="435" t="n"/>
      <c r="H29" s="435" t="n"/>
      <c r="I29" s="436" t="n"/>
      <c r="J29" s="42" t="n"/>
      <c r="K29" s="435" t="n"/>
      <c r="L29" s="589" t="n"/>
      <c r="M29" s="435" t="n"/>
      <c r="N29" s="435" t="n"/>
      <c r="O29" s="590" t="n"/>
      <c r="P29" s="591" t="n">
        <v>-537</v>
      </c>
      <c r="Q29" s="591" t="n"/>
      <c r="R29" s="591" t="n"/>
      <c r="S29" s="591" t="n"/>
      <c r="T29" s="591" t="n"/>
      <c r="U29" s="591" t="n"/>
      <c r="V29" s="591" t="n"/>
      <c r="W29" s="592" t="n"/>
      <c r="X29" s="42" t="n"/>
      <c r="Y29" s="47" t="n"/>
      <c r="Z29" s="588" t="n"/>
    </row>
    <row r="30" customFormat="1" s="437">
      <c r="A30" s="434" t="n">
        <v>41932</v>
      </c>
      <c r="B30" s="435" t="n"/>
      <c r="C30" s="435" t="n">
        <v>93204</v>
      </c>
      <c r="D30" s="435" t="n"/>
      <c r="E30" s="435" t="n"/>
      <c r="F30" s="435" t="n"/>
      <c r="G30" s="435" t="n"/>
      <c r="H30" s="435" t="n"/>
      <c r="I30" s="436" t="n"/>
      <c r="J30" s="42" t="n"/>
      <c r="K30" s="435" t="n"/>
      <c r="L30" s="589" t="n"/>
      <c r="M30" s="435" t="n"/>
      <c r="N30" s="435" t="n"/>
      <c r="O30" s="590" t="n"/>
      <c r="P30" s="591" t="n">
        <v>-169</v>
      </c>
      <c r="Q30" s="591" t="n"/>
      <c r="R30" s="591" t="n"/>
      <c r="S30" s="591" t="n"/>
      <c r="T30" s="591" t="n"/>
      <c r="U30" s="591" t="n"/>
      <c r="V30" s="591" t="n"/>
      <c r="W30" s="592" t="n"/>
      <c r="X30" s="42" t="n"/>
      <c r="Y30" s="47" t="n"/>
      <c r="Z30" s="588" t="n"/>
    </row>
    <row r="31">
      <c r="A31" s="228" t="n">
        <v>41810</v>
      </c>
      <c r="B31" s="229" t="inlineStr">
        <is>
          <t>普通買進</t>
        </is>
      </c>
      <c r="C31" s="229" t="n">
        <v>2374</v>
      </c>
      <c r="D31" s="229">
        <f>VLOOKUP(C31,每日行情!A:B,2,FALSE)</f>
        <v/>
      </c>
      <c r="E31" s="229" t="n">
        <v>1000</v>
      </c>
      <c r="F31" s="229" t="n">
        <v>21.85</v>
      </c>
      <c r="G31" s="229">
        <f>E31*F31</f>
        <v/>
      </c>
      <c r="H31" s="229" t="n">
        <v>20</v>
      </c>
      <c r="I31" s="324" t="n">
        <v>41935</v>
      </c>
      <c r="J31" s="17" t="n">
        <v>15.1</v>
      </c>
      <c r="K31" s="229">
        <f>E31*J31</f>
        <v/>
      </c>
      <c r="L31" s="17" t="n">
        <v>20</v>
      </c>
      <c r="M31" s="229" t="n">
        <v>45</v>
      </c>
      <c r="N31" s="229" t="n">
        <v>0</v>
      </c>
      <c r="O31" s="584">
        <f>IF(I31="",E31*X31,0)</f>
        <v/>
      </c>
      <c r="P31" s="585">
        <f>IF(I31="",R31-H31,(K31-H31-SUM(L31:N31)+R31-S31-T31)-G31)+(ROUND(R31*U31,0)-ROUND(R31*(1+U31),0)*V31)</f>
        <v/>
      </c>
      <c r="Q31" s="585">
        <f>IF(I31="",(O31-G31-(O31*0.1425%*0.65)-(O31*0.3%)),0)</f>
        <v/>
      </c>
      <c r="R31" s="585" t="n">
        <v>2097</v>
      </c>
      <c r="S31" s="585" t="n">
        <v>10</v>
      </c>
      <c r="T31" s="585">
        <f>IF(ROUND(R31*(1+U31),0)&gt;5000,ROUND(ROUND(R31*(1+U31),0)*2%,0),0)</f>
        <v/>
      </c>
      <c r="U31" s="65" t="n">
        <v>0.3415</v>
      </c>
      <c r="V31" s="66" t="n">
        <v>0.12</v>
      </c>
      <c r="W31" s="586">
        <f>(P31+Q31)/G31</f>
        <v/>
      </c>
      <c r="X31" s="16">
        <f>VLOOKUP(C31,#REF!,3,FALSE)</f>
        <v/>
      </c>
      <c r="Y31" s="587" t="n"/>
      <c r="Z31" s="588">
        <f>((I31-A31)*G31)/365.24</f>
        <v/>
      </c>
    </row>
    <row r="32">
      <c r="A32" s="228" t="n">
        <v>41872</v>
      </c>
      <c r="B32" s="229" t="inlineStr">
        <is>
          <t>普通買進</t>
        </is>
      </c>
      <c r="C32" s="229" t="n">
        <v>6147</v>
      </c>
      <c r="D32" s="229">
        <f>VLOOKUP(C32,每日行情!A:B,2,FALSE)</f>
        <v/>
      </c>
      <c r="E32" s="229" t="n">
        <v>1000</v>
      </c>
      <c r="F32" s="229" t="n">
        <v>51.9</v>
      </c>
      <c r="G32" s="229">
        <f>E32*F32</f>
        <v/>
      </c>
      <c r="H32" s="229" t="n">
        <v>48</v>
      </c>
      <c r="I32" s="234" t="n">
        <v>41933</v>
      </c>
      <c r="J32" s="16" t="n">
        <v>54.2</v>
      </c>
      <c r="K32" s="229">
        <f>E32*J32</f>
        <v/>
      </c>
      <c r="L32" s="792" t="n">
        <v>46</v>
      </c>
      <c r="M32" s="229" t="n">
        <v>162</v>
      </c>
      <c r="N32" s="229" t="n">
        <v>0</v>
      </c>
      <c r="O32" s="584">
        <f>IF(I32="",E32*X32,0)</f>
        <v/>
      </c>
      <c r="P32" s="585">
        <f>IF(I32="",R32-H32,(K32-H32-SUM(L32:N32)+R32-S32-T32)-G32)+(ROUND(R32*U32,0)-ROUND(R32*(1+U32),0)*V32)</f>
        <v/>
      </c>
      <c r="Q32" s="585">
        <f>IF(I32="",(O32-G32-(O32*0.1425%*0.65)-(O32*0.3%)),0)</f>
        <v/>
      </c>
      <c r="R32" s="585" t="n"/>
      <c r="S32" s="585" t="n"/>
      <c r="T32" s="585">
        <f>IF(ROUND(R32*(1+U32),0)&gt;5000,ROUND(ROUND(R32*(1+U32),0)*2%,0),0)</f>
        <v/>
      </c>
      <c r="U32" s="585" t="n"/>
      <c r="V32" s="585" t="n"/>
      <c r="W32" s="586">
        <f>(P32+Q32)/G32</f>
        <v/>
      </c>
      <c r="X32" s="16">
        <f>VLOOKUP(C32,#REF!,3,FALSE)</f>
        <v/>
      </c>
      <c r="Y32" s="587" t="n"/>
      <c r="Z32" s="588">
        <f>((I32-A32)*G32)/365.24</f>
        <v/>
      </c>
    </row>
    <row r="33" ht="17.25" customHeight="1">
      <c r="A33" s="228" t="n">
        <v>41925</v>
      </c>
      <c r="B33" s="229" t="inlineStr">
        <is>
          <t>普通買進</t>
        </is>
      </c>
      <c r="C33" s="229" t="n">
        <v>4938</v>
      </c>
      <c r="D33" s="229">
        <f>VLOOKUP(C33,每日行情!A:B,2,FALSE)</f>
        <v/>
      </c>
      <c r="E33" s="229" t="n">
        <v>1000</v>
      </c>
      <c r="F33" s="229" t="n">
        <v>52.6</v>
      </c>
      <c r="G33" s="229">
        <f>E33*F33</f>
        <v/>
      </c>
      <c r="H33" s="229" t="n">
        <v>44</v>
      </c>
      <c r="I33" s="234" t="n">
        <v>41933</v>
      </c>
      <c r="J33" s="16" t="n">
        <v>55.5</v>
      </c>
      <c r="K33" s="229">
        <f>E33*J33</f>
        <v/>
      </c>
      <c r="L33" s="792" t="n">
        <v>47</v>
      </c>
      <c r="M33" s="229" t="n">
        <v>166</v>
      </c>
      <c r="N33" s="229" t="n">
        <v>0</v>
      </c>
      <c r="O33" s="584">
        <f>IF(I33="",E33*X33,0)</f>
        <v/>
      </c>
      <c r="P33" s="585">
        <f>IF(I33="",R33-H33,(K33-H33-SUM(L33:N33)+R33-S33-T33)-G33)+(ROUND(R33*U33,0)-ROUND(R33*(1+U33),0)*V33)</f>
        <v/>
      </c>
      <c r="Q33" s="585">
        <f>IF(I33="",(O33-G33-(O33*0.1425%*0.65)-(O33*0.3%)),0)</f>
        <v/>
      </c>
      <c r="R33" s="585" t="n"/>
      <c r="S33" s="585" t="n"/>
      <c r="T33" s="585">
        <f>IF(ROUND(R33*(1+U33),0)&gt;5000,ROUND(ROUND(R33*(1+U33),0)*2%,0),0)</f>
        <v/>
      </c>
      <c r="U33" s="585" t="n"/>
      <c r="V33" s="585" t="n"/>
      <c r="W33" s="586">
        <f>(P33+Q33)/G33</f>
        <v/>
      </c>
      <c r="X33" s="16">
        <f>VLOOKUP(C33,#REF!,3,FALSE)</f>
        <v/>
      </c>
      <c r="Y33" s="587" t="n"/>
      <c r="Z33" s="588">
        <f>((I33-A33)*G33)/365.24</f>
        <v/>
      </c>
    </row>
    <row r="34">
      <c r="A34" s="228" t="n">
        <v>41808</v>
      </c>
      <c r="B34" s="229" t="inlineStr">
        <is>
          <t>普通買進</t>
        </is>
      </c>
      <c r="C34" s="229" t="n">
        <v>2010</v>
      </c>
      <c r="D34" s="229">
        <f>VLOOKUP(C34,每日行情!A:B,2,FALSE)</f>
        <v/>
      </c>
      <c r="E34" s="229" t="n">
        <v>1000</v>
      </c>
      <c r="F34" s="229" t="n">
        <v>13.4</v>
      </c>
      <c r="G34" s="229">
        <f>E34*F34</f>
        <v/>
      </c>
      <c r="H34" s="229" t="n">
        <v>20</v>
      </c>
      <c r="I34" s="324" t="n">
        <v>41939</v>
      </c>
      <c r="J34" s="17" t="n">
        <v>11.2</v>
      </c>
      <c r="K34" s="229">
        <f>E34*J34</f>
        <v/>
      </c>
      <c r="L34" s="17" t="n">
        <v>20</v>
      </c>
      <c r="M34" s="229" t="n">
        <v>33</v>
      </c>
      <c r="N34" s="229" t="n">
        <v>0</v>
      </c>
      <c r="O34" s="584">
        <f>IF(I34="",E34*X34,0)</f>
        <v/>
      </c>
      <c r="P34" s="585">
        <f>IF(I34="",R34-H34,(K34-H34-SUM(L34:N34)+R34-S34-T34)-G34)+(ROUND(R34*U34,0)-ROUND(R34*(1+U34),0)*V34)</f>
        <v/>
      </c>
      <c r="Q34" s="585">
        <f>IF(I34="",(O34-G34-(O34*0.1425%*0.65)-(O34*0.3%)),0)</f>
        <v/>
      </c>
      <c r="R34" s="585" t="n">
        <v>1200</v>
      </c>
      <c r="S34" s="585" t="n">
        <v>10</v>
      </c>
      <c r="T34" s="585">
        <f>IF(ROUND(R34*(1+U34),0)&gt;5000,ROUND(ROUND(R34*(1+U34),0)*2%,0),0)</f>
        <v/>
      </c>
      <c r="U34" s="65" t="n">
        <v>0.2517</v>
      </c>
      <c r="V34" s="66" t="n">
        <v>0.12</v>
      </c>
      <c r="W34" s="586">
        <f>(P34+Q34)/G34</f>
        <v/>
      </c>
      <c r="X34" s="16">
        <f>VLOOKUP(C34,#REF!,3,FALSE)</f>
        <v/>
      </c>
      <c r="Y34" s="587" t="n"/>
      <c r="Z34" s="588">
        <f>((I34-A34)*G34)/365.24</f>
        <v/>
      </c>
    </row>
    <row r="35">
      <c r="A35" s="228" t="n">
        <v>41887</v>
      </c>
      <c r="B35" s="229" t="inlineStr">
        <is>
          <t>普通買進</t>
        </is>
      </c>
      <c r="C35" s="229" t="n">
        <v>2010</v>
      </c>
      <c r="D35" s="229">
        <f>VLOOKUP(C35,每日行情!A:B,2,FALSE)</f>
        <v/>
      </c>
      <c r="E35" s="229" t="n">
        <v>1000</v>
      </c>
      <c r="F35" s="229" t="n">
        <v>12.15</v>
      </c>
      <c r="G35" s="229">
        <f>E35*F35</f>
        <v/>
      </c>
      <c r="H35" s="229" t="n">
        <v>20</v>
      </c>
      <c r="I35" s="324" t="n">
        <v>41939</v>
      </c>
      <c r="J35" s="17" t="n">
        <v>11.2</v>
      </c>
      <c r="K35" s="229">
        <f>E35*J35</f>
        <v/>
      </c>
      <c r="L35" s="17" t="n">
        <v>20</v>
      </c>
      <c r="M35" s="229" t="n">
        <v>33</v>
      </c>
      <c r="N35" s="229" t="n">
        <v>0</v>
      </c>
      <c r="O35" s="584">
        <f>IF(I35="",E35*X35,0)</f>
        <v/>
      </c>
      <c r="P35" s="585">
        <f>IF(I35="",R35-H35,(K35-H35-SUM(L35:N35)+R35-S35-T35)-G35)+(ROUND(R35*U35,0)-ROUND(R35*(1+U35),0)*V35)</f>
        <v/>
      </c>
      <c r="Q35" s="585">
        <f>IF(I35="",(O35-G35-(O35*0.1425%*0.65)-(O35*0.3%)),0)</f>
        <v/>
      </c>
      <c r="R35" s="585" t="n"/>
      <c r="S35" s="585" t="n"/>
      <c r="T35" s="585">
        <f>IF(ROUND(R35*(1+U35),0)&gt;5000,ROUND(ROUND(R35*(1+U35),0)*2%,0),0)</f>
        <v/>
      </c>
      <c r="U35" s="585" t="n"/>
      <c r="V35" s="585" t="n"/>
      <c r="W35" s="586">
        <f>(P35+Q35)/G35</f>
        <v/>
      </c>
      <c r="X35" s="16">
        <f>VLOOKUP(C35,#REF!,3,FALSE)</f>
        <v/>
      </c>
      <c r="Y35" s="587" t="n"/>
      <c r="Z35" s="588">
        <f>((I35-A35)*G35)/365.24</f>
        <v/>
      </c>
    </row>
    <row r="36">
      <c r="A36" s="228" t="n">
        <v>41914</v>
      </c>
      <c r="B36" s="229" t="inlineStr">
        <is>
          <t>普通買進</t>
        </is>
      </c>
      <c r="C36" s="229" t="n">
        <v>3045</v>
      </c>
      <c r="D36" s="229">
        <f>VLOOKUP(C36,每日行情!A:B,2,FALSE)</f>
        <v/>
      </c>
      <c r="E36" s="229" t="n">
        <v>1000</v>
      </c>
      <c r="F36" s="229" t="n">
        <v>92.09999999999999</v>
      </c>
      <c r="G36" s="229">
        <f>E36*F36</f>
        <v/>
      </c>
      <c r="H36" s="229" t="n">
        <v>78</v>
      </c>
      <c r="I36" s="324" t="n">
        <v>41939</v>
      </c>
      <c r="J36" s="16" t="n">
        <v>95.40000000000001</v>
      </c>
      <c r="K36" s="229">
        <f>E36*J36</f>
        <v/>
      </c>
      <c r="L36" s="792" t="n">
        <v>81</v>
      </c>
      <c r="M36" s="229" t="n">
        <v>286</v>
      </c>
      <c r="N36" s="229" t="n">
        <v>0</v>
      </c>
      <c r="O36" s="584">
        <f>IF(I36="",E36*X36,0)</f>
        <v/>
      </c>
      <c r="P36" s="585">
        <f>IF(I36="",R36-H36,(K36-H36-SUM(L36:N36)+R36-S36-T36)-G36)+(ROUND(R36*U36,0)-ROUND(R36*(1+U36),0)*V36)</f>
        <v/>
      </c>
      <c r="Q36" s="585">
        <f>IF(I36="",(O36-G36-(O36*0.1425%*0.65)-(O36*0.3%)),0)</f>
        <v/>
      </c>
      <c r="R36" s="585" t="n"/>
      <c r="S36" s="585" t="n"/>
      <c r="T36" s="585">
        <f>IF(ROUND(R36*(1+U36),0)&gt;5000,ROUND(ROUND(R36*(1+U36),0)*2%,0),0)</f>
        <v/>
      </c>
      <c r="U36" s="585" t="n"/>
      <c r="V36" s="585" t="n"/>
      <c r="W36" s="586">
        <f>(P36+Q36)/G36</f>
        <v/>
      </c>
      <c r="X36" s="16">
        <f>VLOOKUP(C36,#REF!,3,FALSE)</f>
        <v/>
      </c>
      <c r="Y36" s="587" t="n"/>
      <c r="Z36" s="588">
        <f>((I36-A36)*G36)/365.24</f>
        <v/>
      </c>
    </row>
    <row r="37">
      <c r="A37" s="438" t="n">
        <v>41933</v>
      </c>
      <c r="B37" s="439" t="inlineStr">
        <is>
          <t>普通買進</t>
        </is>
      </c>
      <c r="C37" s="440" t="inlineStr">
        <is>
          <t>0050</t>
        </is>
      </c>
      <c r="D37" s="439">
        <f>VLOOKUP(C37,每日行情!A:B,2,FALSE)</f>
        <v/>
      </c>
      <c r="E37" s="439" t="n">
        <v>1000</v>
      </c>
      <c r="F37" s="439" t="n">
        <v>64.3</v>
      </c>
      <c r="G37" s="439">
        <f>E37*F37</f>
        <v/>
      </c>
      <c r="H37" s="439" t="n">
        <v>54</v>
      </c>
      <c r="I37" s="441" t="n">
        <v>41940</v>
      </c>
      <c r="J37" s="442" t="n">
        <v>64.34999999999999</v>
      </c>
      <c r="K37" s="439">
        <f>E37*J37</f>
        <v/>
      </c>
      <c r="L37" s="811" t="n">
        <v>55</v>
      </c>
      <c r="M37" s="439" t="n">
        <v>64</v>
      </c>
      <c r="N37" s="439" t="n">
        <v>0</v>
      </c>
      <c r="O37" s="812">
        <f>IF(I37="",E37*X37,0)</f>
        <v/>
      </c>
      <c r="P37" s="813">
        <f>IF(I37="",R37-H37,(K37-SUM(H37:H37)-SUM(L37:N37)+R37)-G37)</f>
        <v/>
      </c>
      <c r="Q37" s="813">
        <f>IF(I37="",(O37-G37-(O37*0.1425%*0.65)-(O37*0.3%)),0)</f>
        <v/>
      </c>
      <c r="R37" s="813" t="n">
        <v>1540</v>
      </c>
      <c r="S37" s="813" t="n"/>
      <c r="T37" s="813" t="n"/>
      <c r="U37" s="813" t="n"/>
      <c r="V37" s="813" t="n"/>
      <c r="W37" s="814">
        <f>(P37+Q37)/G37</f>
        <v/>
      </c>
      <c r="X37" s="442">
        <f>VLOOKUP(C37,#REF!,3,FALSE)</f>
        <v/>
      </c>
      <c r="Y37" s="815" t="n"/>
      <c r="Z37" s="588">
        <f>((I37-A37)*G37)/365.24</f>
        <v/>
      </c>
    </row>
    <row r="38">
      <c r="A38" s="228" t="n">
        <v>41933</v>
      </c>
      <c r="B38" s="229" t="inlineStr">
        <is>
          <t>普通買進</t>
        </is>
      </c>
      <c r="C38" s="349" t="inlineStr">
        <is>
          <t>0056</t>
        </is>
      </c>
      <c r="D38" s="229">
        <f>VLOOKUP(C38,每日行情!A:B,2,FALSE)</f>
        <v/>
      </c>
      <c r="E38" s="229" t="n">
        <v>1000</v>
      </c>
      <c r="F38" s="229" t="n">
        <v>23.78</v>
      </c>
      <c r="G38" s="229">
        <f>E38*F38</f>
        <v/>
      </c>
      <c r="H38" s="229" t="n">
        <v>20</v>
      </c>
      <c r="I38" s="324" t="n">
        <v>41940</v>
      </c>
      <c r="J38" s="16" t="n">
        <v>22.99</v>
      </c>
      <c r="K38" s="229">
        <f>E38*J38</f>
        <v/>
      </c>
      <c r="L38" s="792" t="n">
        <v>20</v>
      </c>
      <c r="M38" s="229" t="n">
        <v>22</v>
      </c>
      <c r="N38" s="229" t="n">
        <v>0</v>
      </c>
      <c r="O38" s="584">
        <f>IF(I38="",E38*X38,0)</f>
        <v/>
      </c>
      <c r="P38" s="585">
        <f>IF(I38="",R38-H38,(K38-H38-SUM(L38:N38)+R38-S38-T38)-G38)+(ROUND(R38*U38,0)-ROUND(R38*(1+U38),0)*V38)</f>
        <v/>
      </c>
      <c r="Q38" s="585">
        <f>IF(I38="",(O38-G38-(O38*0.1425%*0.65)-(O38*0.3%)),0)</f>
        <v/>
      </c>
      <c r="R38" s="803" t="n">
        <v>1000</v>
      </c>
      <c r="S38" s="803" t="n"/>
      <c r="T38" s="803" t="n"/>
      <c r="U38" s="803" t="n"/>
      <c r="V38" s="803" t="n"/>
      <c r="W38" s="586">
        <f>(P38+Q38)/G38</f>
        <v/>
      </c>
      <c r="X38" s="16">
        <f>VLOOKUP(C38,#REF!,3,FALSE)</f>
        <v/>
      </c>
      <c r="Y38" s="587" t="n"/>
      <c r="Z38" s="588">
        <f>((I38-A38)*G38)/365.24</f>
        <v/>
      </c>
    </row>
    <row r="39">
      <c r="A39" s="228" t="n">
        <v>41935</v>
      </c>
      <c r="B39" s="229" t="inlineStr">
        <is>
          <t>普通買進</t>
        </is>
      </c>
      <c r="C39" s="349" t="inlineStr">
        <is>
          <t>0056</t>
        </is>
      </c>
      <c r="D39" s="229">
        <f>VLOOKUP(C39,每日行情!A:B,2,FALSE)</f>
        <v/>
      </c>
      <c r="E39" s="229" t="n">
        <v>2000</v>
      </c>
      <c r="F39" s="229" t="n">
        <v>23.94</v>
      </c>
      <c r="G39" s="229">
        <f>E39*F39</f>
        <v/>
      </c>
      <c r="H39" s="229" t="n">
        <v>40</v>
      </c>
      <c r="I39" s="324" t="n">
        <v>41947</v>
      </c>
      <c r="J39" s="16" t="n">
        <v>23.57</v>
      </c>
      <c r="K39" s="229">
        <f>E39*J39</f>
        <v/>
      </c>
      <c r="L39" s="792" t="n">
        <v>40</v>
      </c>
      <c r="M39" s="229" t="n">
        <v>46</v>
      </c>
      <c r="N39" s="229" t="n">
        <v>0</v>
      </c>
      <c r="O39" s="584">
        <f>IF(I39="",E39*X39,0)</f>
        <v/>
      </c>
      <c r="P39" s="585">
        <f>IF(I39="",R39-H39,(K39-H39-SUM(L39:N39)+R39-S39-T39)-G39)+(ROUND(R39*U39,0)-ROUND(R39*(1+U39),0)*V39)</f>
        <v/>
      </c>
      <c r="Q39" s="585">
        <f>IF(I39="",(O39-G39-(O39*0.1425%*0.65)-(O39*0.3%)),0)</f>
        <v/>
      </c>
      <c r="R39" s="803" t="n">
        <v>2000</v>
      </c>
      <c r="S39" s="803" t="n"/>
      <c r="T39" s="803" t="n"/>
      <c r="U39" s="803" t="n"/>
      <c r="V39" s="803" t="n"/>
      <c r="W39" s="586">
        <f>(P39+Q39)/G39</f>
        <v/>
      </c>
      <c r="X39" s="16">
        <f>VLOOKUP(C39,#REF!,3,FALSE)</f>
        <v/>
      </c>
      <c r="Y39" s="587" t="n"/>
      <c r="Z39" s="588">
        <f>((I39-A39)*G39)/365.24</f>
        <v/>
      </c>
    </row>
    <row r="40" ht="17.25" customHeight="1">
      <c r="A40" s="228" t="n">
        <v>41883</v>
      </c>
      <c r="B40" s="229" t="inlineStr">
        <is>
          <t>普通買進</t>
        </is>
      </c>
      <c r="C40" s="229" t="n">
        <v>4938</v>
      </c>
      <c r="D40" s="229">
        <f>VLOOKUP(C40,每日行情!A:B,2,FALSE)</f>
        <v/>
      </c>
      <c r="E40" s="229" t="n">
        <v>1000</v>
      </c>
      <c r="F40" s="229" t="n">
        <v>64.09999999999999</v>
      </c>
      <c r="G40" s="229">
        <f>E40*F40</f>
        <v/>
      </c>
      <c r="H40" s="229" t="n">
        <v>54</v>
      </c>
      <c r="I40" s="324" t="n">
        <v>41954</v>
      </c>
      <c r="J40" s="16" t="n">
        <v>60.6</v>
      </c>
      <c r="K40" s="229">
        <f>E40*J40</f>
        <v/>
      </c>
      <c r="L40" s="792" t="n">
        <v>51</v>
      </c>
      <c r="M40" s="229" t="n">
        <v>181</v>
      </c>
      <c r="N40" s="229" t="n">
        <v>0</v>
      </c>
      <c r="O40" s="584">
        <f>IF(I40="",E40*X40,0)</f>
        <v/>
      </c>
      <c r="P40" s="585">
        <f>IF(I40="",R40-H40,(K40-H40-SUM(L40:N40)+R40-S40-T40)-G40)+(ROUND(R40*U40,0)-ROUND(R40*(1+U40),0)*V40)</f>
        <v/>
      </c>
      <c r="Q40" s="585">
        <f>IF(I40="",(O40-G40-(O40*0.1425%*0.65)-(O40*0.3%)),0)</f>
        <v/>
      </c>
      <c r="R40" s="585" t="n">
        <v>2768</v>
      </c>
      <c r="S40" s="585" t="n">
        <v>10</v>
      </c>
      <c r="T40" s="585">
        <f>IF(ROUND(R40*(1+U40),0)&gt;5000,ROUND(ROUND(R40*(1+U40),0)*2%,0),0)</f>
        <v/>
      </c>
      <c r="U40" s="65" t="n">
        <v>0.0988</v>
      </c>
      <c r="V40" s="66" t="n">
        <v>0.12</v>
      </c>
      <c r="W40" s="586">
        <f>(P40+Q40)/G40</f>
        <v/>
      </c>
      <c r="X40" s="16">
        <f>VLOOKUP(C40,#REF!,3,FALSE)</f>
        <v/>
      </c>
      <c r="Y40" s="587" t="n"/>
      <c r="Z40" s="588">
        <f>((I40-A40)*G40)/365.24</f>
        <v/>
      </c>
    </row>
    <row r="41">
      <c r="A41" s="228" t="n">
        <v>41914</v>
      </c>
      <c r="B41" s="229" t="inlineStr">
        <is>
          <t>普通買進</t>
        </is>
      </c>
      <c r="C41" s="229" t="n">
        <v>6147</v>
      </c>
      <c r="D41" s="229">
        <f>VLOOKUP(C41,每日行情!A:B,2,FALSE)</f>
        <v/>
      </c>
      <c r="E41" s="229" t="n">
        <v>1000</v>
      </c>
      <c r="F41" s="229" t="n">
        <v>57.2</v>
      </c>
      <c r="G41" s="229">
        <f>E41*F41</f>
        <v/>
      </c>
      <c r="H41" s="229" t="n">
        <v>48</v>
      </c>
      <c r="I41" s="324" t="n">
        <v>41954</v>
      </c>
      <c r="J41" s="16" t="n">
        <v>59.1</v>
      </c>
      <c r="K41" s="229">
        <f>E41*J41</f>
        <v/>
      </c>
      <c r="L41" s="792" t="n">
        <v>51</v>
      </c>
      <c r="M41" s="229" t="n">
        <v>181</v>
      </c>
      <c r="N41" s="229" t="n">
        <v>0</v>
      </c>
      <c r="O41" s="584">
        <f>IF(I41="",E41*X41,0)</f>
        <v/>
      </c>
      <c r="P41" s="585">
        <f>IF(I41="",R41-H41,(K41-H41-SUM(L41:N41)+R41-S41-T41)-G41)+(ROUND(R41*U41,0)-ROUND(R41*(1+U41),0)*V41)</f>
        <v/>
      </c>
      <c r="Q41" s="585">
        <f>IF(I41="",(O41-G41-(O41*0.1425%*0.65)-(O41*0.3%)),0)</f>
        <v/>
      </c>
      <c r="R41" s="585" t="n"/>
      <c r="S41" s="585" t="n"/>
      <c r="T41" s="585">
        <f>IF(ROUND(R41*(1+U41),0)&gt;5000,ROUND(ROUND(R41*(1+U41),0)*2%,0),0)</f>
        <v/>
      </c>
      <c r="U41" s="585" t="n"/>
      <c r="V41" s="585" t="n"/>
      <c r="W41" s="586">
        <f>(P41+Q41)/G41</f>
        <v/>
      </c>
      <c r="X41" s="16">
        <f>VLOOKUP(C41,#REF!,3,FALSE)</f>
        <v/>
      </c>
      <c r="Y41" s="587" t="n"/>
      <c r="Z41" s="588">
        <f>((I41-A41)*G41)/365.24</f>
        <v/>
      </c>
    </row>
    <row r="42">
      <c r="A42" s="228" t="n">
        <v>41892</v>
      </c>
      <c r="B42" s="229" t="inlineStr">
        <is>
          <t>普通買進</t>
        </is>
      </c>
      <c r="C42" s="229" t="n">
        <v>2881</v>
      </c>
      <c r="D42" s="229">
        <f>VLOOKUP(C42,每日行情!A:B,2,FALSE)</f>
        <v/>
      </c>
      <c r="E42" s="229" t="n">
        <v>1000</v>
      </c>
      <c r="F42" s="229" t="n">
        <v>50</v>
      </c>
      <c r="G42" s="229">
        <f>E42*F42</f>
        <v/>
      </c>
      <c r="H42" s="229" t="n">
        <v>42</v>
      </c>
      <c r="I42" s="324" t="n">
        <v>41954</v>
      </c>
      <c r="J42" s="16" t="n">
        <v>51.3</v>
      </c>
      <c r="K42" s="229">
        <f>E42*J42</f>
        <v/>
      </c>
      <c r="L42" s="792" t="n">
        <v>43</v>
      </c>
      <c r="M42" s="229" t="n">
        <v>153</v>
      </c>
      <c r="N42" s="229" t="n">
        <v>0</v>
      </c>
      <c r="O42" s="584">
        <f>IF(I42="",E42*X42,0)</f>
        <v/>
      </c>
      <c r="P42" s="585">
        <f>IF(I42="",R42-H42,(K42-H42-SUM(L42:N42)+R42-S42-T42)-G42)+(ROUND(R42*U42,0)-ROUND(R42*(1+U42),0)*V42)</f>
        <v/>
      </c>
      <c r="Q42" s="585">
        <f>IF(I42="",(O42-G42-(O42*0.1425%*0.65)-(O42*0.3%)),0)</f>
        <v/>
      </c>
      <c r="R42" s="585" t="n"/>
      <c r="S42" s="585" t="n"/>
      <c r="T42" s="585">
        <f>IF(ROUND(R42*(1+U42),0)&gt;5000,ROUND(ROUND(R42*(1+U42),0)*2%,0),0)</f>
        <v/>
      </c>
      <c r="U42" s="585" t="n"/>
      <c r="V42" s="585" t="n"/>
      <c r="W42" s="586">
        <f>(P42+Q42)/G42</f>
        <v/>
      </c>
      <c r="X42" s="16">
        <f>VLOOKUP(C42,#REF!,3,FALSE)</f>
        <v/>
      </c>
      <c r="Y42" s="587" t="n"/>
      <c r="Z42" s="588">
        <f>((I42-A42)*G42)/365.24</f>
        <v/>
      </c>
    </row>
    <row r="43">
      <c r="A43" s="228" t="n">
        <v>41936</v>
      </c>
      <c r="B43" s="229" t="inlineStr">
        <is>
          <t>普通買進</t>
        </is>
      </c>
      <c r="C43" s="229" t="n">
        <v>2330</v>
      </c>
      <c r="D43" s="229">
        <f>VLOOKUP(C43,每日行情!A:B,2,FALSE)</f>
        <v/>
      </c>
      <c r="E43" s="229" t="n">
        <v>1000</v>
      </c>
      <c r="F43" s="229" t="n">
        <v>126.5</v>
      </c>
      <c r="G43" s="229">
        <f>E43*F43</f>
        <v/>
      </c>
      <c r="H43" s="229" t="n">
        <v>108</v>
      </c>
      <c r="I43" s="324" t="n">
        <v>41954</v>
      </c>
      <c r="J43" s="17" t="n">
        <v>134</v>
      </c>
      <c r="K43" s="229">
        <f>E43*J43</f>
        <v/>
      </c>
      <c r="L43" s="17" t="n">
        <v>114</v>
      </c>
      <c r="M43" s="229" t="n">
        <v>402</v>
      </c>
      <c r="N43" s="229" t="n">
        <v>0</v>
      </c>
      <c r="O43" s="584">
        <f>IF(I43="",E43*X43,0)</f>
        <v/>
      </c>
      <c r="P43" s="585">
        <f>IF(I43="",R43-H43,(K43-H43-SUM(L43:N43)+R43-S43-T43)-G43)+(ROUND(R43*U43,0)-ROUND(R43*(1+U43),0)*V43)</f>
        <v/>
      </c>
      <c r="Q43" s="585">
        <f>IF(I43="",(O43-G43-(O43*0.1425%*0.65)-(O43*0.3%)),0)</f>
        <v/>
      </c>
      <c r="R43" s="585" t="n"/>
      <c r="S43" s="585" t="n"/>
      <c r="T43" s="585">
        <f>IF(ROUND(R43*(1+U43),0)&gt;5000,ROUND(ROUND(R43*(1+U43),0)*2%,0),0)</f>
        <v/>
      </c>
      <c r="U43" s="585" t="n"/>
      <c r="V43" s="585" t="n"/>
      <c r="W43" s="586">
        <f>(P43+Q43)/G43</f>
        <v/>
      </c>
      <c r="X43" s="16">
        <f>VLOOKUP(C43,#REF!,3,FALSE)</f>
        <v/>
      </c>
      <c r="Y43" s="587" t="n"/>
      <c r="Z43" s="588">
        <f>((I43-A43)*G43)/365.24</f>
        <v/>
      </c>
    </row>
    <row r="44" ht="17.25" customHeight="1">
      <c r="A44" s="228" t="n">
        <v>41942</v>
      </c>
      <c r="B44" s="229" t="inlineStr">
        <is>
          <t>普通買進</t>
        </is>
      </c>
      <c r="C44" s="229" t="n">
        <v>4938</v>
      </c>
      <c r="D44" s="229">
        <f>VLOOKUP(C44,每日行情!A:B,2,FALSE)</f>
        <v/>
      </c>
      <c r="E44" s="229" t="n">
        <v>1000</v>
      </c>
      <c r="F44" s="229" t="n">
        <v>55.1</v>
      </c>
      <c r="G44" s="229">
        <f>E44*F44</f>
        <v/>
      </c>
      <c r="H44" s="229" t="n">
        <v>47</v>
      </c>
      <c r="I44" s="324" t="n">
        <v>41956</v>
      </c>
      <c r="J44" s="16" t="n">
        <v>63.1</v>
      </c>
      <c r="K44" s="229">
        <f>E44*J44</f>
        <v/>
      </c>
      <c r="L44" s="792" t="n">
        <v>53</v>
      </c>
      <c r="M44" s="229" t="n">
        <v>189</v>
      </c>
      <c r="N44" s="229" t="n">
        <v>0</v>
      </c>
      <c r="O44" s="584">
        <f>IF(I44="",E44*X44,0)</f>
        <v/>
      </c>
      <c r="P44" s="585">
        <f>IF(I44="",R44-H44,(K44-H44-SUM(L44:N44)+R44-S44-T44)-G44)+(ROUND(R44*U44,0)-ROUND(R44*(1+U44),0)*V44)</f>
        <v/>
      </c>
      <c r="Q44" s="585">
        <f>IF(I44="",(O44-G44-(O44*0.1425%*0.65)-(O44*0.3%)),0)</f>
        <v/>
      </c>
      <c r="R44" s="585" t="n"/>
      <c r="S44" s="585" t="n"/>
      <c r="T44" s="585">
        <f>IF(ROUND(R44*(1+U44),0)&gt;5000,ROUND(ROUND(R44*(1+U44),0)*2%,0),0)</f>
        <v/>
      </c>
      <c r="U44" s="585" t="n"/>
      <c r="V44" s="585" t="n"/>
      <c r="W44" s="586">
        <f>(P44+Q44)/G44</f>
        <v/>
      </c>
      <c r="X44" s="16">
        <f>VLOOKUP(C44,#REF!,3,FALSE)</f>
        <v/>
      </c>
      <c r="Y44" s="587" t="n"/>
      <c r="Z44" s="588">
        <f>((I44-A44)*G44)/365.24</f>
        <v/>
      </c>
    </row>
    <row r="45">
      <c r="A45" s="228" t="n">
        <v>41964</v>
      </c>
      <c r="B45" s="229" t="inlineStr">
        <is>
          <t>普通買進</t>
        </is>
      </c>
      <c r="C45" s="229" t="n">
        <v>2330</v>
      </c>
      <c r="D45" s="229">
        <f>VLOOKUP(C45,每日行情!A:B,2,FALSE)</f>
        <v/>
      </c>
      <c r="E45" s="229" t="n">
        <v>1000</v>
      </c>
      <c r="F45" s="229" t="n">
        <v>137.5</v>
      </c>
      <c r="G45" s="229">
        <f>E45*F45</f>
        <v/>
      </c>
      <c r="H45" s="229" t="n">
        <v>117</v>
      </c>
      <c r="I45" s="324" t="n">
        <v>41968</v>
      </c>
      <c r="J45" s="17" t="n">
        <v>139</v>
      </c>
      <c r="K45" s="229">
        <f>E45*J45</f>
        <v/>
      </c>
      <c r="L45" s="17" t="n">
        <v>118</v>
      </c>
      <c r="M45" s="229" t="n">
        <v>417</v>
      </c>
      <c r="N45" s="229" t="n">
        <v>0</v>
      </c>
      <c r="O45" s="584">
        <f>IF(I45="",E45*X45,0)</f>
        <v/>
      </c>
      <c r="P45" s="585">
        <f>IF(I45="",R45-H45,(K45-H45-SUM(L45:N45)+R45-S45-T45)-G45)+(ROUND(R45*U45,0)-ROUND(R45*(1+U45),0)*V45)</f>
        <v/>
      </c>
      <c r="Q45" s="585">
        <f>IF(I45="",(O45-G45-(O45*0.1425%*0.65)-(O45*0.3%)),0)</f>
        <v/>
      </c>
      <c r="R45" s="585" t="n"/>
      <c r="S45" s="585" t="n"/>
      <c r="T45" s="585">
        <f>IF(ROUND(R45*(1+U45),0)&gt;5000,ROUND(ROUND(R45*(1+U45),0)*2%,0),0)</f>
        <v/>
      </c>
      <c r="U45" s="585" t="n"/>
      <c r="V45" s="585" t="n"/>
      <c r="W45" s="586">
        <f>(P45+Q45)/G45</f>
        <v/>
      </c>
      <c r="X45" s="16">
        <f>VLOOKUP(C45,#REF!,3,FALSE)</f>
        <v/>
      </c>
      <c r="Y45" s="587" t="n"/>
      <c r="Z45" s="588">
        <f>((I45-A45)*G45)/365.24</f>
        <v/>
      </c>
    </row>
    <row r="46">
      <c r="A46" s="228" t="n">
        <v>41936</v>
      </c>
      <c r="B46" s="229" t="inlineStr">
        <is>
          <t>普通買進</t>
        </is>
      </c>
      <c r="C46" s="229" t="n">
        <v>1732</v>
      </c>
      <c r="D46" s="229">
        <f>VLOOKUP(C46,每日行情!A:B,2,FALSE)</f>
        <v/>
      </c>
      <c r="E46" s="229" t="n">
        <v>1000</v>
      </c>
      <c r="F46" s="229" t="n">
        <v>17.4</v>
      </c>
      <c r="G46" s="229">
        <f>E46*F46</f>
        <v/>
      </c>
      <c r="H46" s="229" t="n">
        <v>20</v>
      </c>
      <c r="I46" s="324" t="n">
        <v>41978</v>
      </c>
      <c r="J46" s="17" t="n">
        <v>13.7</v>
      </c>
      <c r="K46" s="229">
        <f>E46*J46</f>
        <v/>
      </c>
      <c r="L46" s="17" t="n">
        <v>20</v>
      </c>
      <c r="M46" s="229" t="n">
        <v>41</v>
      </c>
      <c r="N46" s="229" t="n">
        <v>0</v>
      </c>
      <c r="O46" s="584">
        <f>IF(I46="",E46*X46,0)</f>
        <v/>
      </c>
      <c r="P46" s="585">
        <f>IF(I46="",R46-H46,(K46-H46-SUM(L46:N46)+R46-S46-T46)-G46)+(ROUND(R46*U46,0)-ROUND(R46*(1+U46),0)*V46)</f>
        <v/>
      </c>
      <c r="Q46" s="585">
        <f>IF(I46="",(O46-G46-(O46*0.1425%*0.65)-(O46*0.3%)),0)</f>
        <v/>
      </c>
      <c r="R46" s="585" t="n"/>
      <c r="S46" s="585" t="n"/>
      <c r="T46" s="585">
        <f>IF(ROUND(R46*(1+U46),0)&gt;5000,ROUND(ROUND(R46*(1+U46),0)*2%,0),0)</f>
        <v/>
      </c>
      <c r="U46" s="585" t="n"/>
      <c r="V46" s="585" t="n"/>
      <c r="W46" s="586">
        <f>(P46+Q46)/G46</f>
        <v/>
      </c>
      <c r="X46" s="16">
        <f>VLOOKUP(C46,#REF!,3,FALSE)</f>
        <v/>
      </c>
      <c r="Y46" s="587" t="n"/>
      <c r="Z46" s="588">
        <f>((I46-A46)*G46)/365.24</f>
        <v/>
      </c>
    </row>
    <row r="47">
      <c r="A47" s="228" t="n">
        <v>41873</v>
      </c>
      <c r="B47" s="229" t="inlineStr">
        <is>
          <t>普通買進</t>
        </is>
      </c>
      <c r="C47" s="229" t="n">
        <v>1101</v>
      </c>
      <c r="D47" s="229">
        <f>VLOOKUP(C47,每日行情!A:B,2,FALSE)</f>
        <v/>
      </c>
      <c r="E47" s="229" t="n">
        <v>1000</v>
      </c>
      <c r="F47" s="229" t="n">
        <v>48.65</v>
      </c>
      <c r="G47" s="229">
        <f>E47*F47</f>
        <v/>
      </c>
      <c r="H47" s="229" t="n">
        <v>45</v>
      </c>
      <c r="I47" s="324" t="n">
        <v>41982</v>
      </c>
      <c r="J47" s="16" t="n">
        <v>45.5</v>
      </c>
      <c r="K47" s="229">
        <f>E47*J47</f>
        <v/>
      </c>
      <c r="L47" s="792" t="n">
        <v>38</v>
      </c>
      <c r="M47" s="229" t="n">
        <v>136</v>
      </c>
      <c r="N47" s="229" t="n"/>
      <c r="O47" s="584">
        <f>IF(I47="",E47*X47,0)</f>
        <v/>
      </c>
      <c r="P47" s="585">
        <f>IF(I47="",R47-H47,(K47-H47-SUM(L47:N47)+R47-S47-T47)-G47)+(ROUND(R47*U47,0)-ROUND(R47*(1+U47),0)*V47)</f>
        <v/>
      </c>
      <c r="Q47" s="585">
        <f>IF(I47="",(O47-G47-(O47*0.1425%*0.65)-(O47*0.3%)),0)</f>
        <v/>
      </c>
      <c r="R47" s="585" t="n"/>
      <c r="S47" s="585" t="n"/>
      <c r="T47" s="585">
        <f>IF(ROUND(R47*(1+U47),0)&gt;5000,ROUND(ROUND(R47*(1+U47),0)*2%,0),0)</f>
        <v/>
      </c>
      <c r="U47" s="585" t="n"/>
      <c r="V47" s="585" t="n"/>
      <c r="W47" s="586">
        <f>(P47+Q47)/G47</f>
        <v/>
      </c>
      <c r="X47" s="16">
        <f>VLOOKUP(C47,#REF!,3,FALSE)</f>
        <v/>
      </c>
      <c r="Y47" s="587" t="n"/>
      <c r="Z47" s="588">
        <f>((I47-A47)*G47)/365.24</f>
        <v/>
      </c>
    </row>
    <row r="48">
      <c r="A48" s="228" t="n">
        <v>41887</v>
      </c>
      <c r="B48" s="229" t="inlineStr">
        <is>
          <t>普通買進</t>
        </is>
      </c>
      <c r="C48" s="229" t="n">
        <v>2404</v>
      </c>
      <c r="D48" s="229">
        <f>VLOOKUP(C48,每日行情!A:B,2,FALSE)</f>
        <v/>
      </c>
      <c r="E48" s="229" t="n">
        <v>1000</v>
      </c>
      <c r="F48" s="229" t="n">
        <v>31.8</v>
      </c>
      <c r="G48" s="229">
        <f>E48*F48</f>
        <v/>
      </c>
      <c r="H48" s="229" t="n">
        <v>27</v>
      </c>
      <c r="I48" s="324" t="n">
        <v>41982</v>
      </c>
      <c r="J48" s="17" t="n">
        <v>29.5</v>
      </c>
      <c r="K48" s="229">
        <f>E48*J48</f>
        <v/>
      </c>
      <c r="L48" s="17" t="n">
        <v>25</v>
      </c>
      <c r="M48" s="229" t="n">
        <v>88</v>
      </c>
      <c r="N48" s="229" t="n"/>
      <c r="O48" s="584">
        <f>IF(I48="",E48*X48,0)</f>
        <v/>
      </c>
      <c r="P48" s="585">
        <f>IF(I48="",R48-H48,(K48-H48-SUM(L48:N48)+R48-S48-T48)-G48)+(ROUND(R48*U48,0)-ROUND(R48*(1+U48),0)*V48)</f>
        <v/>
      </c>
      <c r="Q48" s="585">
        <f>IF(I48="",(O48-G48-(O48*0.1425%*0.65)-(O48*0.3%)),0)</f>
        <v/>
      </c>
      <c r="R48" s="585" t="n"/>
      <c r="S48" s="585" t="n"/>
      <c r="T48" s="585">
        <f>IF(ROUND(R48*(1+U48),0)&gt;5000,ROUND(ROUND(R48*(1+U48),0)*2%,0),0)</f>
        <v/>
      </c>
      <c r="U48" s="585" t="n"/>
      <c r="V48" s="585" t="n"/>
      <c r="W48" s="586">
        <f>(P48+Q48)/G48</f>
        <v/>
      </c>
      <c r="X48" s="16">
        <f>VLOOKUP(C48,#REF!,3,FALSE)</f>
        <v/>
      </c>
      <c r="Y48" s="587" t="n"/>
      <c r="Z48" s="588">
        <f>((I48-A48)*G48)/365.24</f>
        <v/>
      </c>
    </row>
    <row r="49">
      <c r="A49" s="385" t="n">
        <v>41989</v>
      </c>
      <c r="B49" s="386" t="inlineStr">
        <is>
          <t>承銷申購</t>
        </is>
      </c>
      <c r="C49" s="386" t="n">
        <v>9950</v>
      </c>
      <c r="D49" s="386">
        <f>VLOOKUP(C49,每日行情!A:B,2,FALSE)</f>
        <v/>
      </c>
      <c r="E49" s="386" t="n">
        <v>1000</v>
      </c>
      <c r="F49" s="386" t="n">
        <v>22</v>
      </c>
      <c r="G49" s="386">
        <f>E49*F49</f>
        <v/>
      </c>
      <c r="H49" s="386">
        <f>20*5</f>
        <v/>
      </c>
      <c r="I49" s="387" t="n">
        <v>41991</v>
      </c>
      <c r="J49" s="388" t="n">
        <v>23.15</v>
      </c>
      <c r="K49" s="386">
        <f>E49*J49</f>
        <v/>
      </c>
      <c r="L49" s="388" t="n">
        <v>20</v>
      </c>
      <c r="M49" s="386" t="n">
        <v>69</v>
      </c>
      <c r="N49" s="386" t="n">
        <v>0</v>
      </c>
      <c r="O49" s="793">
        <f>IF(I49="",E49*X49,0)</f>
        <v/>
      </c>
      <c r="P49" s="794">
        <f>IF(I49="",R49-H49,(K49-H49-SUM(L49:N49)+R49)-G49)</f>
        <v/>
      </c>
      <c r="Q49" s="794">
        <f>IF(I49="",(O49-G49-(O49*0.1425%*0.65)-(O49*0.3%)),0)</f>
        <v/>
      </c>
      <c r="R49" s="794" t="n"/>
      <c r="S49" s="794" t="n"/>
      <c r="T49" s="794" t="n"/>
      <c r="U49" s="794" t="n"/>
      <c r="V49" s="794" t="n"/>
      <c r="W49" s="795">
        <f>(P49+Q49)/G49</f>
        <v/>
      </c>
      <c r="X49" s="394">
        <f>VLOOKUP(C49,#REF!,3,FALSE)</f>
        <v/>
      </c>
      <c r="Y49" s="796" t="n"/>
      <c r="Z49" s="588">
        <f>((I49-A49)*G49)/365.24</f>
        <v/>
      </c>
    </row>
    <row r="50" ht="17.25" customHeight="1">
      <c r="A50" s="228" t="n">
        <v>41947</v>
      </c>
      <c r="B50" s="229" t="inlineStr">
        <is>
          <t>普通買進</t>
        </is>
      </c>
      <c r="C50" s="229" t="n">
        <v>4906</v>
      </c>
      <c r="D50" s="229">
        <f>VLOOKUP(C50,每日行情!A:B,2,FALSE)</f>
        <v/>
      </c>
      <c r="E50" s="229" t="n">
        <v>1000</v>
      </c>
      <c r="F50" s="229" t="n">
        <v>23.1</v>
      </c>
      <c r="G50" s="229">
        <f>E50*F50</f>
        <v/>
      </c>
      <c r="H50" s="229" t="n">
        <v>20</v>
      </c>
      <c r="I50" s="324" t="n">
        <v>41995</v>
      </c>
      <c r="J50" s="16" t="n">
        <v>23.3</v>
      </c>
      <c r="K50" s="229">
        <f>E50*J50</f>
        <v/>
      </c>
      <c r="L50" s="792" t="n">
        <v>20</v>
      </c>
      <c r="M50" s="229" t="n">
        <v>69</v>
      </c>
      <c r="N50" s="229" t="n"/>
      <c r="O50" s="584">
        <f>IF(I50="",E50*X50,0)</f>
        <v/>
      </c>
      <c r="P50" s="585">
        <f>IF(I50="",R50-H50,(K50-H50-SUM(L50:N50)+R50-S50-T50)-G50)+(ROUND(R50*U50,0)-ROUND(R50*(1+U50),0)*V50)</f>
        <v/>
      </c>
      <c r="Q50" s="585">
        <f>IF(I50="",(O50-G50-(O50*0.1425%*0.65)-(O50*0.3%)),0)</f>
        <v/>
      </c>
      <c r="R50" s="585" t="n"/>
      <c r="S50" s="585" t="n"/>
      <c r="T50" s="585">
        <f>IF(ROUND(R50*(1+U50),0)&gt;5000,ROUND(ROUND(R50*(1+U50),0)*2%,0),0)</f>
        <v/>
      </c>
      <c r="U50" s="585" t="n"/>
      <c r="V50" s="585" t="n"/>
      <c r="W50" s="586">
        <f>(P50+Q50)/G50</f>
        <v/>
      </c>
      <c r="X50" s="16">
        <f>VLOOKUP(C50,#REF!,3,FALSE)</f>
        <v/>
      </c>
      <c r="Y50" s="587" t="n"/>
      <c r="Z50" s="588">
        <f>((I50-A50)*G50)/365.24</f>
        <v/>
      </c>
    </row>
    <row r="51" ht="17.25" customHeight="1">
      <c r="A51" s="228" t="n">
        <v>41947</v>
      </c>
      <c r="B51" s="229" t="inlineStr">
        <is>
          <t>普通買進</t>
        </is>
      </c>
      <c r="C51" s="229" t="n">
        <v>2414</v>
      </c>
      <c r="D51" s="229">
        <f>VLOOKUP(C51,每日行情!A:B,2,FALSE)</f>
        <v/>
      </c>
      <c r="E51" s="229" t="n">
        <v>1000</v>
      </c>
      <c r="F51" s="229" t="n">
        <v>17.85</v>
      </c>
      <c r="G51" s="229">
        <f>E51*F51</f>
        <v/>
      </c>
      <c r="H51" s="229" t="n">
        <v>20</v>
      </c>
      <c r="I51" s="324" t="n">
        <v>41998</v>
      </c>
      <c r="J51" s="16" t="n">
        <v>18</v>
      </c>
      <c r="K51" s="229">
        <f>E51*J51</f>
        <v/>
      </c>
      <c r="L51" s="792" t="n">
        <v>20</v>
      </c>
      <c r="M51" s="229" t="n">
        <v>54</v>
      </c>
      <c r="N51" s="229" t="n"/>
      <c r="O51" s="584">
        <f>IF(I51="",E51*X51,0)</f>
        <v/>
      </c>
      <c r="P51" s="585">
        <f>IF(I51="",R51-H51,(K51-H51-SUM(L51:N51)+R51-S51-T51)-G51)+(ROUND(R51*U51,0)-ROUND(R51*(1+U51),0)*V51)</f>
        <v/>
      </c>
      <c r="Q51" s="585">
        <f>IF(I51="",(O51-G51-(O51*0.1425%*0.65)-(O51*0.3%)),0)</f>
        <v/>
      </c>
      <c r="R51" s="585" t="n"/>
      <c r="S51" s="585" t="n"/>
      <c r="T51" s="585">
        <f>IF(ROUND(R51*(1+U51),0)&gt;5000,ROUND(ROUND(R51*(1+U51),0)*2%,0),0)</f>
        <v/>
      </c>
      <c r="U51" s="585" t="n"/>
      <c r="V51" s="585" t="n"/>
      <c r="W51" s="586">
        <f>(P51+Q51)/G51</f>
        <v/>
      </c>
      <c r="X51" s="16">
        <f>VLOOKUP(C51,#REF!,3,FALSE)</f>
        <v/>
      </c>
      <c r="Y51" s="587" t="n"/>
      <c r="Z51" s="588">
        <f>((I51-A51)*G51)/365.24</f>
        <v/>
      </c>
    </row>
    <row r="52">
      <c r="A52" s="228" t="n">
        <v>41974</v>
      </c>
      <c r="B52" s="229" t="inlineStr">
        <is>
          <t>普通買進</t>
        </is>
      </c>
      <c r="C52" s="229" t="n">
        <v>2330</v>
      </c>
      <c r="D52" s="229">
        <f>VLOOKUP(C52,每日行情!A:B,2,FALSE)</f>
        <v/>
      </c>
      <c r="E52" s="229" t="n">
        <v>1000</v>
      </c>
      <c r="F52" s="229" t="n">
        <v>140</v>
      </c>
      <c r="G52" s="229">
        <f>E52*F52</f>
        <v/>
      </c>
      <c r="H52" s="229" t="n">
        <v>119</v>
      </c>
      <c r="I52" s="324" t="n">
        <v>41998</v>
      </c>
      <c r="J52" s="17" t="n">
        <v>137</v>
      </c>
      <c r="K52" s="229">
        <f>E52*J52</f>
        <v/>
      </c>
      <c r="L52" s="17" t="n">
        <v>117</v>
      </c>
      <c r="M52" s="229" t="n">
        <v>411</v>
      </c>
      <c r="N52" s="229" t="n">
        <v>0</v>
      </c>
      <c r="O52" s="584">
        <f>IF(I52="",E52*X52,0)</f>
        <v/>
      </c>
      <c r="P52" s="585">
        <f>IF(I52="",R52-H52,(K52-H52-SUM(L52:N52)+R52-S52-T52)-G52)+(ROUND(R52*U52,0)-ROUND(R52*(1+U52),0)*V52)</f>
        <v/>
      </c>
      <c r="Q52" s="585">
        <f>IF(I52="",(O52-G52-(O52*0.1425%*0.65)-(O52*0.3%)),0)</f>
        <v/>
      </c>
      <c r="R52" s="585" t="n"/>
      <c r="S52" s="585" t="n"/>
      <c r="T52" s="585">
        <f>IF(ROUND(R52*(1+U52),0)&gt;5000,ROUND(ROUND(R52*(1+U52),0)*2%,0),0)</f>
        <v/>
      </c>
      <c r="U52" s="585" t="n"/>
      <c r="V52" s="585" t="n"/>
      <c r="W52" s="586">
        <f>(P52+Q52)/G52</f>
        <v/>
      </c>
      <c r="X52" s="16">
        <f>VLOOKUP(C52,#REF!,3,FALSE)</f>
        <v/>
      </c>
      <c r="Y52" s="587" t="n"/>
      <c r="Z52" s="588">
        <f>((I52-A52)*G52)/365.24</f>
        <v/>
      </c>
    </row>
    <row r="53" ht="17.25" customHeight="1">
      <c r="A53" s="228" t="n">
        <v>41975</v>
      </c>
      <c r="B53" s="229" t="inlineStr">
        <is>
          <t>普通買進</t>
        </is>
      </c>
      <c r="C53" s="229" t="n">
        <v>4938</v>
      </c>
      <c r="D53" s="229">
        <f>VLOOKUP(C53,每日行情!A:B,2,FALSE)</f>
        <v/>
      </c>
      <c r="E53" s="229" t="n">
        <v>1000</v>
      </c>
      <c r="F53" s="229" t="n">
        <v>74.2</v>
      </c>
      <c r="G53" s="229">
        <f>E53*F53</f>
        <v/>
      </c>
      <c r="H53" s="229" t="n">
        <v>63</v>
      </c>
      <c r="I53" s="324" t="n">
        <v>41998</v>
      </c>
      <c r="J53" s="16" t="n">
        <v>71.3</v>
      </c>
      <c r="K53" s="229">
        <f>E53*J53</f>
        <v/>
      </c>
      <c r="L53" s="792" t="n">
        <v>60</v>
      </c>
      <c r="M53" s="229" t="n">
        <v>213</v>
      </c>
      <c r="N53" s="229" t="n">
        <v>0</v>
      </c>
      <c r="O53" s="584">
        <f>IF(I53="",E53*X53,0)</f>
        <v/>
      </c>
      <c r="P53" s="585">
        <f>IF(I53="",R53-H53,(K53-H53-SUM(L53:N53)+R53-S53-T53)-G53)+(ROUND(R53*U53,0)-ROUND(R53*(1+U53),0)*V53)</f>
        <v/>
      </c>
      <c r="Q53" s="585">
        <f>IF(I53="",(O53-G53-(O53*0.1425%*0.65)-(O53*0.3%)),0)</f>
        <v/>
      </c>
      <c r="R53" s="585" t="n"/>
      <c r="S53" s="585" t="n"/>
      <c r="T53" s="585">
        <f>IF(ROUND(R53*(1+U53),0)&gt;5000,ROUND(ROUND(R53*(1+U53),0)*2%,0),0)</f>
        <v/>
      </c>
      <c r="U53" s="585" t="n"/>
      <c r="V53" s="585" t="n"/>
      <c r="W53" s="586">
        <f>(P53+Q53)/G53</f>
        <v/>
      </c>
      <c r="X53" s="16">
        <f>VLOOKUP(C53,#REF!,3,FALSE)</f>
        <v/>
      </c>
      <c r="Y53" s="587" t="n"/>
      <c r="Z53" s="588">
        <f>((I53-A53)*G53)/365.24</f>
        <v/>
      </c>
    </row>
    <row r="54">
      <c r="A54" s="228" t="n">
        <v>41978</v>
      </c>
      <c r="B54" s="229" t="inlineStr">
        <is>
          <t>普通買進</t>
        </is>
      </c>
      <c r="C54" s="229" t="n">
        <v>2610</v>
      </c>
      <c r="D54" s="229">
        <f>VLOOKUP(C54,每日行情!A:B,2,FALSE)</f>
        <v/>
      </c>
      <c r="E54" s="229" t="n">
        <v>1000</v>
      </c>
      <c r="F54" s="229" t="n">
        <v>14.5</v>
      </c>
      <c r="G54" s="229">
        <f>E54*F54</f>
        <v/>
      </c>
      <c r="H54" s="229" t="n">
        <v>20</v>
      </c>
      <c r="I54" s="324" t="n">
        <v>41998</v>
      </c>
      <c r="J54" s="17" t="n">
        <v>13.65</v>
      </c>
      <c r="K54" s="229">
        <f>E54*J54</f>
        <v/>
      </c>
      <c r="L54" s="17" t="n">
        <v>20</v>
      </c>
      <c r="M54" s="229" t="n">
        <v>40</v>
      </c>
      <c r="N54" s="229" t="n">
        <v>0</v>
      </c>
      <c r="O54" s="584">
        <f>IF(I54="",E54*X54,0)</f>
        <v/>
      </c>
      <c r="P54" s="585">
        <f>IF(I54="",R54-H54,(K54-H54-SUM(L54:N54)+R54-S54-T54)-G54)+(ROUND(R54*U54,0)-ROUND(R54*(1+U54),0)*V54)</f>
        <v/>
      </c>
      <c r="Q54" s="585">
        <f>IF(I54="",(O54-G54-(O54*0.1425%*0.65)-(O54*0.3%)),0)</f>
        <v/>
      </c>
      <c r="R54" s="585" t="n"/>
      <c r="S54" s="585" t="n"/>
      <c r="T54" s="585">
        <f>IF(ROUND(R54*(1+U54),0)&gt;5000,ROUND(ROUND(R54*(1+U54),0)*2%,0),0)</f>
        <v/>
      </c>
      <c r="U54" s="585" t="n"/>
      <c r="V54" s="585" t="n"/>
      <c r="W54" s="586">
        <f>(P54+Q54)/G54</f>
        <v/>
      </c>
      <c r="X54" s="16">
        <f>VLOOKUP(C54,#REF!,3,FALSE)</f>
        <v/>
      </c>
      <c r="Y54" s="587" t="n"/>
      <c r="Z54" s="588">
        <f>((I54-A54)*G54)/365.24</f>
        <v/>
      </c>
    </row>
    <row r="55">
      <c r="A55" s="228" t="n">
        <v>41978</v>
      </c>
      <c r="B55" s="229" t="inlineStr">
        <is>
          <t>普通買進</t>
        </is>
      </c>
      <c r="C55" s="229" t="n">
        <v>2618</v>
      </c>
      <c r="D55" s="229">
        <f>VLOOKUP(C55,每日行情!A:B,2,FALSE)</f>
        <v/>
      </c>
      <c r="E55" s="229" t="n">
        <v>1000</v>
      </c>
      <c r="F55" s="229" t="n">
        <v>22.95</v>
      </c>
      <c r="G55" s="229">
        <f>E55*F55</f>
        <v/>
      </c>
      <c r="H55" s="229" t="n">
        <v>20</v>
      </c>
      <c r="I55" s="324" t="n">
        <v>41998</v>
      </c>
      <c r="J55" s="17" t="n">
        <v>21.2</v>
      </c>
      <c r="K55" s="229">
        <f>E55*J55</f>
        <v/>
      </c>
      <c r="L55" s="17" t="n">
        <v>20</v>
      </c>
      <c r="M55" s="229" t="n">
        <v>63</v>
      </c>
      <c r="N55" s="229" t="n">
        <v>0</v>
      </c>
      <c r="O55" s="584">
        <f>IF(I55="",E55*X55,0)</f>
        <v/>
      </c>
      <c r="P55" s="585">
        <f>IF(I55="",R55-H55,(K55-H55-SUM(L55:N55)+R55-S55-T55)-G55)+(ROUND(R55*U55,0)-ROUND(R55*(1+U55),0)*V55)</f>
        <v/>
      </c>
      <c r="Q55" s="585">
        <f>IF(I55="",(O55-G55-(O55*0.1425%*0.65)-(O55*0.3%)),0)</f>
        <v/>
      </c>
      <c r="R55" s="585" t="n"/>
      <c r="S55" s="585" t="n"/>
      <c r="T55" s="585">
        <f>IF(ROUND(R55*(1+U55),0)&gt;5000,ROUND(ROUND(R55*(1+U55),0)*2%,0),0)</f>
        <v/>
      </c>
      <c r="U55" s="585" t="n"/>
      <c r="V55" s="585" t="n"/>
      <c r="W55" s="586">
        <f>(P55+Q55)/G55</f>
        <v/>
      </c>
      <c r="X55" s="16">
        <f>VLOOKUP(C55,#REF!,3,FALSE)</f>
        <v/>
      </c>
      <c r="Y55" s="587" t="n"/>
      <c r="Z55" s="588">
        <f>((I55-A55)*G55)/365.24</f>
        <v/>
      </c>
    </row>
    <row r="56">
      <c r="A56" s="228" t="n">
        <v>41978</v>
      </c>
      <c r="B56" s="229" t="inlineStr">
        <is>
          <t>普通買進</t>
        </is>
      </c>
      <c r="C56" s="229" t="n">
        <v>5483</v>
      </c>
      <c r="D56" s="229">
        <f>VLOOKUP(C56,每日行情!A:B,2,FALSE)</f>
        <v/>
      </c>
      <c r="E56" s="229" t="n">
        <v>1000</v>
      </c>
      <c r="F56" s="229" t="n">
        <v>51.1</v>
      </c>
      <c r="G56" s="229">
        <f>E56*F56</f>
        <v/>
      </c>
      <c r="H56" s="229" t="n">
        <v>43</v>
      </c>
      <c r="I56" s="324" t="n">
        <v>41998</v>
      </c>
      <c r="J56" s="17" t="n">
        <v>54.1</v>
      </c>
      <c r="K56" s="229">
        <f>E56*J56</f>
        <v/>
      </c>
      <c r="L56" s="17" t="n">
        <v>46</v>
      </c>
      <c r="M56" s="229" t="n">
        <v>162</v>
      </c>
      <c r="N56" s="229" t="n">
        <v>0</v>
      </c>
      <c r="O56" s="584">
        <f>IF(I56="",E56*X56,0)</f>
        <v/>
      </c>
      <c r="P56" s="585">
        <f>IF(I56="",R56-H56,(K56-H56-SUM(L56:N56)+R56-S56-T56)-G56)+(ROUND(R56*U56,0)-ROUND(R56*(1+U56),0)*V56)</f>
        <v/>
      </c>
      <c r="Q56" s="585">
        <f>IF(I56="",(O56-G56-(O56*0.1425%*0.65)-(O56*0.3%)),0)</f>
        <v/>
      </c>
      <c r="R56" s="585" t="n"/>
      <c r="S56" s="585" t="n"/>
      <c r="T56" s="585">
        <f>IF(ROUND(R56*(1+U56),0)&gt;5000,ROUND(ROUND(R56*(1+U56),0)*2%,0),0)</f>
        <v/>
      </c>
      <c r="U56" s="585" t="n"/>
      <c r="V56" s="585" t="n"/>
      <c r="W56" s="586">
        <f>(P56+Q56)/G56</f>
        <v/>
      </c>
      <c r="X56" s="16">
        <f>VLOOKUP(C56,#REF!,3,FALSE)</f>
        <v/>
      </c>
      <c r="Y56" s="587" t="n"/>
      <c r="Z56" s="588">
        <f>((I56-A56)*G56)/365.24</f>
        <v/>
      </c>
    </row>
    <row r="57">
      <c r="A57" s="228" t="n">
        <v>41982</v>
      </c>
      <c r="B57" s="229" t="inlineStr">
        <is>
          <t>普通買進</t>
        </is>
      </c>
      <c r="C57" s="229" t="n">
        <v>2610</v>
      </c>
      <c r="D57" s="229">
        <f>VLOOKUP(C57,每日行情!A:B,2,FALSE)</f>
        <v/>
      </c>
      <c r="E57" s="229" t="n">
        <v>1000</v>
      </c>
      <c r="F57" s="229" t="n">
        <v>14.7</v>
      </c>
      <c r="G57" s="229">
        <f>E57*F57</f>
        <v/>
      </c>
      <c r="H57" s="229" t="n">
        <v>20</v>
      </c>
      <c r="I57" s="324" t="n">
        <v>42002</v>
      </c>
      <c r="J57" s="17" t="n">
        <v>13.8</v>
      </c>
      <c r="K57" s="229">
        <f>E57*J57</f>
        <v/>
      </c>
      <c r="L57" s="17" t="n">
        <v>20</v>
      </c>
      <c r="M57" s="229" t="n">
        <v>41</v>
      </c>
      <c r="N57" s="229" t="n">
        <v>0</v>
      </c>
      <c r="O57" s="584">
        <f>IF(I57="",E57*X57,0)</f>
        <v/>
      </c>
      <c r="P57" s="585">
        <f>IF(I57="",R57-H57,(K57-H57-SUM(L57:N57)+R57-S57-T57)-G57)+(ROUND(R57*U57,0)-ROUND(R57*(1+U57),0)*V57)</f>
        <v/>
      </c>
      <c r="Q57" s="585">
        <f>IF(I57="",(O57-G57-(O57*0.1425%*0.65)-(O57*0.3%)),0)</f>
        <v/>
      </c>
      <c r="R57" s="585" t="n"/>
      <c r="S57" s="585" t="n"/>
      <c r="T57" s="585">
        <f>IF(ROUND(R57*(1+U57),0)&gt;5000,ROUND(ROUND(R57*(1+U57),0)*2%,0),0)</f>
        <v/>
      </c>
      <c r="U57" s="585" t="n"/>
      <c r="V57" s="585" t="n"/>
      <c r="W57" s="586">
        <f>(P57+Q57)/G57</f>
        <v/>
      </c>
      <c r="X57" s="16">
        <f>VLOOKUP(C57,#REF!,3,FALSE)</f>
        <v/>
      </c>
      <c r="Y57" s="587" t="n"/>
      <c r="Z57" s="588">
        <f>((I57-A57)*G57)/365.24</f>
        <v/>
      </c>
    </row>
    <row r="58" ht="15.75" customHeight="1">
      <c r="A58" s="228" t="n">
        <v>41982</v>
      </c>
      <c r="B58" s="229" t="inlineStr">
        <is>
          <t>普通買進</t>
        </is>
      </c>
      <c r="C58" s="229" t="n">
        <v>2618</v>
      </c>
      <c r="D58" s="229">
        <f>VLOOKUP(C58,每日行情!A:B,2,FALSE)</f>
        <v/>
      </c>
      <c r="E58" s="229" t="n">
        <v>1000</v>
      </c>
      <c r="F58" s="229" t="n">
        <v>22.85</v>
      </c>
      <c r="G58" s="229">
        <f>E58*F58</f>
        <v/>
      </c>
      <c r="H58" s="229" t="n">
        <v>20</v>
      </c>
      <c r="I58" s="324" t="n">
        <v>42002</v>
      </c>
      <c r="J58" s="17" t="n">
        <v>21.35</v>
      </c>
      <c r="K58" s="229">
        <f>E58*J58</f>
        <v/>
      </c>
      <c r="L58" s="17" t="n">
        <v>20</v>
      </c>
      <c r="M58" s="229" t="n">
        <v>64</v>
      </c>
      <c r="N58" s="229" t="n">
        <v>0</v>
      </c>
      <c r="O58" s="584">
        <f>IF(I58="",E58*X58,0)</f>
        <v/>
      </c>
      <c r="P58" s="585">
        <f>IF(I58="",R58-H58,(K58-H58-SUM(L58:N58)+R58-S58-T58)-G58)+(ROUND(R58*U58,0)-ROUND(R58*(1+U58),0)*V58)</f>
        <v/>
      </c>
      <c r="Q58" s="585">
        <f>IF(I58="",(O58-G58-(O58*0.1425%*0.65)-(O58*0.3%)),0)</f>
        <v/>
      </c>
      <c r="R58" s="585" t="n"/>
      <c r="S58" s="585" t="n"/>
      <c r="T58" s="585">
        <f>IF(ROUND(R58*(1+U58),0)&gt;5000,ROUND(ROUND(R58*(1+U58),0)*2%,0),0)</f>
        <v/>
      </c>
      <c r="U58" s="585" t="n"/>
      <c r="V58" s="585" t="n"/>
      <c r="W58" s="586">
        <f>(P58+Q58)/G58</f>
        <v/>
      </c>
      <c r="X58" s="16">
        <f>VLOOKUP(C58,#REF!,3,FALSE)</f>
        <v/>
      </c>
      <c r="Y58" s="587" t="n"/>
      <c r="Z58" s="588">
        <f>((I58-A58)*G58)/365.24</f>
        <v/>
      </c>
    </row>
    <row r="59">
      <c r="A59" s="228" t="n">
        <v>41989</v>
      </c>
      <c r="B59" s="229" t="inlineStr">
        <is>
          <t>普通買進</t>
        </is>
      </c>
      <c r="C59" s="229" t="n">
        <v>3014</v>
      </c>
      <c r="D59" s="229">
        <f>VLOOKUP(C59,每日行情!A:B,2,FALSE)</f>
        <v/>
      </c>
      <c r="E59" s="229" t="n">
        <v>1000</v>
      </c>
      <c r="F59" s="229" t="n">
        <v>39.15</v>
      </c>
      <c r="G59" s="229">
        <f>E59*F59</f>
        <v/>
      </c>
      <c r="H59" s="229" t="n">
        <v>33</v>
      </c>
      <c r="I59" s="324" t="n">
        <v>42002</v>
      </c>
      <c r="J59" s="17" t="n">
        <v>38.6</v>
      </c>
      <c r="K59" s="229">
        <f>E59*J59</f>
        <v/>
      </c>
      <c r="L59" s="17" t="n">
        <v>33</v>
      </c>
      <c r="M59" s="229" t="n">
        <v>115</v>
      </c>
      <c r="N59" s="229" t="n">
        <v>0</v>
      </c>
      <c r="O59" s="584">
        <f>IF(I59="",E59*X59,0)</f>
        <v/>
      </c>
      <c r="P59" s="585">
        <f>IF(I59="",R59-H59,(K59-H59-SUM(L59:N59)+R59-S59-T59)-G59)+(ROUND(R59*U59,0)-ROUND(R59*(1+U59),0)*V59)</f>
        <v/>
      </c>
      <c r="Q59" s="585">
        <f>IF(I59="",(O59-G59-(O59*0.1425%*0.65)-(O59*0.3%)),0)</f>
        <v/>
      </c>
      <c r="R59" s="585" t="n"/>
      <c r="S59" s="585" t="n"/>
      <c r="T59" s="585">
        <f>IF(ROUND(R59*(1+U59),0)&gt;5000,ROUND(ROUND(R59*(1+U59),0)*2%,0),0)</f>
        <v/>
      </c>
      <c r="U59" s="585" t="n"/>
      <c r="V59" s="585" t="n"/>
      <c r="W59" s="586">
        <f>(P59+Q59)/G59</f>
        <v/>
      </c>
      <c r="X59" s="16">
        <f>VLOOKUP(C59,#REF!,3,FALSE)</f>
        <v/>
      </c>
      <c r="Y59" s="587" t="n"/>
      <c r="Z59" s="588">
        <f>((I59-A59)*G59)/365.24</f>
        <v/>
      </c>
    </row>
    <row r="60">
      <c r="A60" s="228" t="n">
        <v>41975</v>
      </c>
      <c r="B60" s="229" t="inlineStr">
        <is>
          <t>普通買進</t>
        </is>
      </c>
      <c r="C60" s="229" t="n">
        <v>2330</v>
      </c>
      <c r="D60" s="229">
        <f>VLOOKUP(C60,每日行情!A:B,2,FALSE)</f>
        <v/>
      </c>
      <c r="E60" s="229" t="n">
        <v>1000</v>
      </c>
      <c r="F60" s="229" t="n">
        <v>138</v>
      </c>
      <c r="G60" s="229">
        <f>E60*F60</f>
        <v/>
      </c>
      <c r="H60" s="229" t="n">
        <v>117</v>
      </c>
      <c r="I60" s="324" t="n">
        <v>42003</v>
      </c>
      <c r="J60" s="17" t="n">
        <v>140.5</v>
      </c>
      <c r="K60" s="229">
        <f>E60*J60</f>
        <v/>
      </c>
      <c r="L60" s="17" t="n">
        <v>120</v>
      </c>
      <c r="M60" s="229" t="n">
        <v>421</v>
      </c>
      <c r="N60" s="229" t="n">
        <v>0</v>
      </c>
      <c r="O60" s="584">
        <f>IF(I60="",E60*X60,0)</f>
        <v/>
      </c>
      <c r="P60" s="585">
        <f>IF(I60="",R60-H60,(K60-H60-SUM(L60:N60)+R60-S60-T60)-G60)+(ROUND(R60*U60,0)-ROUND(R60*(1+U60),0)*V60)</f>
        <v/>
      </c>
      <c r="Q60" s="585">
        <f>IF(I60="",(O60-G60-(O60*0.1425%*0.65)-(O60*0.3%)),0)</f>
        <v/>
      </c>
      <c r="R60" s="585" t="n"/>
      <c r="S60" s="585" t="n"/>
      <c r="T60" s="585">
        <f>IF(ROUND(R60*(1+U60),0)&gt;5000,ROUND(ROUND(R60*(1+U60),0)*2%,0),0)</f>
        <v/>
      </c>
      <c r="U60" s="585" t="n"/>
      <c r="V60" s="585" t="n"/>
      <c r="W60" s="586">
        <f>(P60+Q60)/G60</f>
        <v/>
      </c>
      <c r="X60" s="16">
        <f>VLOOKUP(C60,#REF!,3,FALSE)</f>
        <v/>
      </c>
      <c r="Y60" s="587" t="n"/>
      <c r="Z60" s="588">
        <f>((I60-A60)*G60)/365.24</f>
        <v/>
      </c>
    </row>
    <row r="61">
      <c r="A61" s="231" t="n">
        <v>42002</v>
      </c>
      <c r="B61" s="232" t="n"/>
      <c r="C61" s="232" t="n">
        <v>93211</v>
      </c>
      <c r="D61" s="232" t="n"/>
      <c r="E61" s="232" t="n"/>
      <c r="F61" s="232" t="n"/>
      <c r="G61" s="232" t="n"/>
      <c r="H61" s="232" t="n"/>
      <c r="I61" s="233" t="n"/>
      <c r="J61" s="42" t="n"/>
      <c r="K61" s="232" t="n"/>
      <c r="L61" s="589" t="n"/>
      <c r="M61" s="232" t="n"/>
      <c r="N61" s="232" t="n"/>
      <c r="O61" s="590" t="n"/>
      <c r="P61" s="591" t="n">
        <v>-2870</v>
      </c>
      <c r="Q61" s="591" t="n"/>
      <c r="R61" s="591" t="n"/>
      <c r="S61" s="591" t="n"/>
      <c r="T61" s="591" t="n"/>
      <c r="U61" s="591" t="n"/>
      <c r="V61" s="591" t="n"/>
      <c r="W61" s="592" t="n"/>
      <c r="X61" s="42" t="n"/>
      <c r="Y61" s="47" t="n"/>
      <c r="Z61" s="588" t="n"/>
    </row>
    <row r="62">
      <c r="A62" s="235" t="n"/>
      <c r="B62" s="236" t="n"/>
      <c r="C62" s="237" t="n"/>
      <c r="D62" s="236" t="n"/>
      <c r="E62" s="236" t="n"/>
      <c r="F62" s="236" t="n"/>
      <c r="G62" s="236" t="n"/>
      <c r="H62" s="236" t="n"/>
      <c r="I62" s="21" t="n"/>
      <c r="J62" s="22" t="n"/>
      <c r="K62" s="236" t="n"/>
      <c r="L62" s="661" t="n"/>
      <c r="M62" s="236" t="n"/>
      <c r="N62" s="236" t="n"/>
      <c r="O62" s="662" t="n"/>
      <c r="P62" s="663" t="n"/>
      <c r="Q62" s="663" t="n"/>
      <c r="R62" s="663" t="n"/>
      <c r="S62" s="663" t="n"/>
      <c r="T62" s="663" t="n"/>
      <c r="U62" s="663" t="n"/>
      <c r="V62" s="663" t="n"/>
      <c r="W62" s="664" t="n"/>
      <c r="X62" s="22" t="n"/>
      <c r="Y62" s="27" t="n"/>
      <c r="Z62" s="588" t="n"/>
    </row>
    <row r="63" ht="17.25" customFormat="1" customHeight="1" s="244" thickBot="1">
      <c r="A63" s="448" t="n"/>
      <c r="B63" s="449" t="n"/>
      <c r="C63" s="450" t="n"/>
      <c r="D63" s="451" t="inlineStr">
        <is>
          <t>2014 總計</t>
        </is>
      </c>
      <c r="E63" s="452" t="n"/>
      <c r="F63" s="450" t="n"/>
      <c r="G63" s="453">
        <f>SUM(G2:G62)</f>
        <v/>
      </c>
      <c r="H63" s="453">
        <f>SUM(H2:H62)</f>
        <v/>
      </c>
      <c r="I63" s="452" t="n"/>
      <c r="J63" s="450" t="n"/>
      <c r="K63" s="454">
        <f>SUM(K2:K62)</f>
        <v/>
      </c>
      <c r="L63" s="455">
        <f>SUM(L2:L62)</f>
        <v/>
      </c>
      <c r="M63" s="455">
        <f>SUM(M2:M62)</f>
        <v/>
      </c>
      <c r="N63" s="456">
        <f>SUM(N2:N62)</f>
        <v/>
      </c>
      <c r="O63" s="453">
        <f>SUM(O2:O62)</f>
        <v/>
      </c>
      <c r="P63" s="453">
        <f>SUM(P2:P62)</f>
        <v/>
      </c>
      <c r="Q63" s="453">
        <f>SUM(Q2:Q62)</f>
        <v/>
      </c>
      <c r="R63" s="453">
        <f>SUM(R2:R62)</f>
        <v/>
      </c>
      <c r="S63" s="453" t="n"/>
      <c r="T63" s="453" t="n"/>
      <c r="U63" s="453" t="n"/>
      <c r="V63" s="453" t="n"/>
      <c r="W63" s="816">
        <f>(P63+Q63)/G63</f>
        <v/>
      </c>
      <c r="X63" s="458" t="n"/>
      <c r="Y63" s="459" t="n"/>
      <c r="Z63" s="588">
        <f>SUM(Z2:Z60)</f>
        <v/>
      </c>
    </row>
    <row r="64" ht="17.25" customHeight="1" thickBot="1">
      <c r="Z64" s="588" t="n"/>
    </row>
    <row r="65" ht="17.25" customHeight="1" thickBot="1">
      <c r="A65" s="149" t="inlineStr">
        <is>
          <t>帳戶本金</t>
        </is>
      </c>
      <c r="B65" s="797" t="n">
        <v>650000</v>
      </c>
      <c r="C65" s="701" t="n"/>
      <c r="D65" s="402" t="inlineStr">
        <is>
          <t>2014總計</t>
        </is>
      </c>
      <c r="E65" s="579" t="n"/>
      <c r="F65" s="143" t="n"/>
      <c r="G65" s="403" t="n"/>
      <c r="H65" s="403" t="n"/>
      <c r="I65" s="143" t="n"/>
      <c r="J65" s="143" t="n"/>
      <c r="K65" s="403" t="n"/>
      <c r="L65" s="403" t="n"/>
      <c r="M65" s="403" t="n"/>
      <c r="N65" s="403" t="n"/>
      <c r="O65" s="404" t="n"/>
      <c r="P65" s="405">
        <f>P63</f>
        <v/>
      </c>
      <c r="Q65" s="405">
        <f>Q62</f>
        <v/>
      </c>
      <c r="R65" s="405">
        <f>R63</f>
        <v/>
      </c>
      <c r="S65" s="405" t="n"/>
      <c r="T65" s="405" t="n"/>
      <c r="U65" s="405" t="n"/>
      <c r="V65" s="405" t="n"/>
      <c r="W65" s="817">
        <f>(P65+Q65)/B65</f>
        <v/>
      </c>
      <c r="X65" s="818" t="n"/>
      <c r="Y65" s="701" t="n"/>
      <c r="Z65" s="588" t="n"/>
    </row>
    <row r="66">
      <c r="A66" s="241" t="n"/>
    </row>
    <row r="67">
      <c r="A67" s="288" t="n">
        <v>41418</v>
      </c>
      <c r="B67" s="245" t="n">
        <v>1283</v>
      </c>
      <c r="C67" s="245" t="n">
        <v>11</v>
      </c>
      <c r="D67" s="226" t="n"/>
    </row>
    <row r="68">
      <c r="A68" s="288" t="n">
        <v>41589</v>
      </c>
      <c r="B68" s="245" t="n">
        <v>1119</v>
      </c>
      <c r="C68" s="245" t="n"/>
      <c r="D68" s="226" t="n"/>
    </row>
    <row r="69">
      <c r="A69" s="245" t="n"/>
      <c r="B69" s="245" t="n">
        <v>28006</v>
      </c>
      <c r="C69" s="245" t="n"/>
      <c r="D69" s="226" t="n"/>
    </row>
    <row r="70">
      <c r="A70" s="288" t="n">
        <v>41597</v>
      </c>
      <c r="B70" s="245" t="n">
        <v>68</v>
      </c>
      <c r="C70" s="245" t="n">
        <v>4</v>
      </c>
      <c r="D70" s="226" t="n"/>
    </row>
    <row r="71">
      <c r="A71" s="288" t="n">
        <v>41589</v>
      </c>
      <c r="B71" s="245" t="inlineStr">
        <is>
          <t>12??</t>
        </is>
      </c>
      <c r="C71" s="245" t="n"/>
      <c r="D71" s="226" t="n"/>
      <c r="G71" s="230" t="n"/>
      <c r="H71" s="230" t="n"/>
      <c r="I71" s="230" t="n"/>
      <c r="J71" s="461" t="n"/>
    </row>
    <row r="72">
      <c r="A72" s="288" t="n">
        <v>41627</v>
      </c>
      <c r="B72" s="245" t="n">
        <v>1266</v>
      </c>
      <c r="C72" s="245" t="n"/>
      <c r="D72" s="226" t="n"/>
      <c r="G72" s="230" t="n"/>
      <c r="H72" s="230" t="n"/>
      <c r="I72" s="230" t="n"/>
      <c r="J72" s="461" t="n"/>
    </row>
    <row r="73">
      <c r="A73" s="288" t="n">
        <v>41298</v>
      </c>
      <c r="B73" s="245" t="n">
        <v>615</v>
      </c>
      <c r="C73" s="245" t="n"/>
      <c r="D73" s="226" t="n"/>
      <c r="G73" s="230" t="n"/>
      <c r="H73" s="230" t="n"/>
      <c r="I73" s="230" t="n"/>
      <c r="J73" s="461" t="n"/>
    </row>
    <row r="74">
      <c r="A74" s="288" t="n">
        <v>41262</v>
      </c>
      <c r="B74" s="245" t="n">
        <v>1266</v>
      </c>
      <c r="C74" s="245" t="n"/>
      <c r="D74" s="226" t="n"/>
      <c r="G74" s="230" t="n"/>
      <c r="H74" s="230" t="n"/>
      <c r="I74" s="230" t="n"/>
      <c r="J74" s="461" t="n"/>
    </row>
    <row r="75">
      <c r="A75" s="288" t="n">
        <v>41613</v>
      </c>
      <c r="B75" s="245" t="n">
        <v>1061</v>
      </c>
      <c r="C75" s="245" t="n"/>
      <c r="D75" s="226" t="n"/>
      <c r="G75" s="230" t="n"/>
      <c r="H75" s="230" t="n"/>
      <c r="I75" s="230" t="n"/>
      <c r="J75" s="461" t="n"/>
    </row>
    <row r="76">
      <c r="A76" s="288" t="n">
        <v>41091</v>
      </c>
      <c r="B76" s="245" t="n">
        <v>1826</v>
      </c>
      <c r="C76" s="245" t="n"/>
      <c r="D76" s="226" t="n"/>
      <c r="G76" s="230" t="n"/>
      <c r="H76" s="230" t="n"/>
      <c r="I76" s="230" t="n"/>
      <c r="J76" s="461" t="n"/>
    </row>
    <row r="77">
      <c r="A77" s="288" t="n">
        <v>41122</v>
      </c>
      <c r="B77" s="245" t="n">
        <v>1826</v>
      </c>
      <c r="C77" s="245" t="n"/>
      <c r="D77" s="226" t="n"/>
    </row>
    <row r="78">
      <c r="A78" s="288" t="n">
        <v>41202</v>
      </c>
      <c r="B78" s="245" t="n">
        <v>1768</v>
      </c>
      <c r="C78" s="245" t="n">
        <v>4</v>
      </c>
      <c r="D78" s="226" t="n"/>
    </row>
    <row r="79">
      <c r="A79" s="288" t="n">
        <v>40786</v>
      </c>
      <c r="B79" s="245" t="n">
        <v>662</v>
      </c>
      <c r="C79" s="245" t="n">
        <v>7</v>
      </c>
      <c r="D79" s="226" t="n"/>
    </row>
    <row r="80">
      <c r="A80" s="288" t="n">
        <v>40694</v>
      </c>
      <c r="B80" s="245" t="n">
        <v>26</v>
      </c>
      <c r="C80" s="245" t="n">
        <v>11</v>
      </c>
      <c r="D80" s="226" t="n"/>
    </row>
    <row r="81">
      <c r="A81" s="288" t="n">
        <v>40385</v>
      </c>
      <c r="B81" s="245" t="n">
        <v>101316</v>
      </c>
      <c r="C81" s="245" t="n"/>
      <c r="D81" s="226" t="n"/>
    </row>
    <row r="82">
      <c r="A82" s="245" t="n"/>
      <c r="B82" s="245" t="n"/>
      <c r="C82" s="245" t="n"/>
      <c r="D82" s="226" t="n"/>
    </row>
    <row r="83">
      <c r="A83" s="245" t="n"/>
      <c r="B83" s="245" t="n"/>
      <c r="C83" s="245" t="n"/>
      <c r="D83" s="226" t="n"/>
    </row>
    <row r="84">
      <c r="A84" s="245" t="n"/>
      <c r="B84" s="245" t="n"/>
      <c r="C84" s="245" t="n"/>
      <c r="D84" s="226" t="n"/>
    </row>
    <row r="85">
      <c r="A85" s="245" t="n"/>
      <c r="B85" s="245" t="n"/>
      <c r="C85" s="245" t="n"/>
      <c r="D85" s="226" t="n"/>
    </row>
    <row r="86">
      <c r="A86" s="245" t="n"/>
      <c r="B86" s="245" t="n"/>
      <c r="C86" s="245" t="n"/>
      <c r="D86" s="226" t="n"/>
    </row>
    <row r="87">
      <c r="A87" s="245" t="n"/>
      <c r="B87" s="245" t="n"/>
      <c r="C87" s="245" t="n"/>
      <c r="D87" s="226" t="n"/>
    </row>
    <row r="88">
      <c r="A88" s="245" t="n"/>
      <c r="B88" s="245" t="n"/>
      <c r="C88" s="245" t="n"/>
      <c r="D88" s="226" t="n"/>
    </row>
    <row r="89">
      <c r="A89" s="245" t="n"/>
      <c r="B89" s="245" t="n"/>
      <c r="C89" s="245" t="n"/>
      <c r="D89" s="226" t="n"/>
    </row>
    <row r="90">
      <c r="A90" s="245" t="n"/>
      <c r="B90" s="245" t="n"/>
      <c r="C90" s="245" t="n"/>
      <c r="D90" s="226" t="n"/>
    </row>
    <row r="91">
      <c r="A91" s="245" t="n"/>
      <c r="B91" s="245" t="n"/>
      <c r="C91" s="245" t="n"/>
      <c r="D91" s="226" t="n"/>
    </row>
    <row r="92">
      <c r="A92" s="245" t="n"/>
      <c r="B92" s="245" t="n"/>
      <c r="C92" s="245" t="n"/>
      <c r="D92" s="226" t="n"/>
    </row>
    <row r="93">
      <c r="A93" s="245" t="n"/>
      <c r="B93" s="245" t="n"/>
      <c r="C93" s="245" t="n"/>
      <c r="D93" s="226" t="n"/>
    </row>
    <row r="94">
      <c r="A94" s="245" t="n"/>
      <c r="B94" s="245" t="n"/>
      <c r="C94" s="245" t="n"/>
      <c r="D94" s="226" t="n"/>
    </row>
    <row r="95">
      <c r="A95" s="245" t="n"/>
      <c r="B95" s="245" t="n"/>
      <c r="C95" s="245" t="n"/>
      <c r="D95" s="226" t="n"/>
    </row>
    <row r="96">
      <c r="A96" s="245" t="n"/>
      <c r="B96" s="245" t="n"/>
      <c r="C96" s="245" t="n"/>
      <c r="D96" s="226" t="n"/>
    </row>
    <row r="97">
      <c r="A97" s="245" t="n"/>
      <c r="B97" s="245" t="n"/>
      <c r="C97" s="245" t="n"/>
      <c r="D97" s="226" t="n"/>
    </row>
    <row r="98">
      <c r="A98" s="245" t="n"/>
      <c r="B98" s="245" t="n"/>
      <c r="C98" s="245" t="n"/>
      <c r="D98" s="226" t="n"/>
    </row>
    <row r="99">
      <c r="A99" s="245" t="n"/>
      <c r="B99" s="245" t="n"/>
      <c r="C99" s="245" t="n"/>
      <c r="D99" s="226" t="n"/>
    </row>
    <row r="100">
      <c r="A100" s="245" t="n"/>
      <c r="B100" s="245" t="n"/>
      <c r="C100" s="245" t="n"/>
      <c r="D100" s="226" t="n"/>
    </row>
    <row r="101">
      <c r="A101" s="245" t="n"/>
      <c r="B101" s="245" t="n"/>
      <c r="C101" s="245" t="n"/>
      <c r="D101" s="226" t="n"/>
    </row>
    <row r="102">
      <c r="A102" s="245" t="n"/>
      <c r="B102" s="245" t="n"/>
      <c r="C102" s="245" t="n"/>
      <c r="D102" s="226" t="n"/>
    </row>
    <row r="103">
      <c r="A103" s="245" t="n"/>
      <c r="B103" s="245" t="n"/>
      <c r="C103" s="245" t="n"/>
      <c r="D103" s="226" t="n"/>
    </row>
    <row r="104">
      <c r="A104" s="245" t="n"/>
      <c r="B104" s="245" t="n"/>
      <c r="C104" s="245" t="n"/>
      <c r="D104" s="226" t="n"/>
    </row>
    <row r="105">
      <c r="A105" s="245" t="n"/>
      <c r="B105" s="245" t="n"/>
      <c r="C105" s="245" t="n"/>
      <c r="D105" s="226" t="n"/>
    </row>
    <row r="106">
      <c r="A106" s="245" t="n"/>
      <c r="B106" s="245" t="n"/>
      <c r="C106" s="245" t="n"/>
      <c r="D106" s="226" t="n"/>
    </row>
    <row r="107">
      <c r="A107" s="245" t="n"/>
      <c r="B107" s="245" t="n"/>
      <c r="C107" s="245" t="n"/>
      <c r="D107" s="226" t="n"/>
    </row>
    <row r="108">
      <c r="A108" s="245" t="n"/>
      <c r="B108" s="245" t="n"/>
      <c r="C108" s="245" t="n"/>
      <c r="D108" s="226" t="n"/>
    </row>
    <row r="109">
      <c r="A109" s="245" t="n"/>
      <c r="B109" s="245" t="n"/>
      <c r="C109" s="245" t="n"/>
      <c r="D109" s="226" t="n"/>
    </row>
    <row r="110">
      <c r="A110" s="245" t="n"/>
      <c r="B110" s="245" t="n"/>
      <c r="C110" s="245" t="n"/>
      <c r="D110" s="226" t="n"/>
    </row>
    <row r="111">
      <c r="A111" s="245" t="n"/>
      <c r="B111" s="245" t="n"/>
      <c r="C111" s="245" t="n"/>
      <c r="D111" s="226" t="n"/>
    </row>
    <row r="112">
      <c r="A112" s="245" t="n"/>
      <c r="B112" s="245" t="n"/>
      <c r="C112" s="245" t="n"/>
      <c r="D112" s="226" t="n"/>
    </row>
    <row r="113">
      <c r="A113" s="245" t="n"/>
      <c r="B113" s="245" t="n"/>
      <c r="C113" s="245" t="n"/>
      <c r="D113" s="226" t="n"/>
    </row>
  </sheetData>
  <autoFilter ref="A1:Z115"/>
  <mergeCells count="2">
    <mergeCell ref="X65:Y65"/>
    <mergeCell ref="B65:C65"/>
  </mergeCells>
  <conditionalFormatting sqref="Y1:Z1048576">
    <cfRule type="containsText" priority="1" operator="containsText" dxfId="1" text="△">
      <formula>NOT(ISERROR(SEARCH("△",Y1)))</formula>
    </cfRule>
    <cfRule type="containsText" priority="2" operator="containsText" dxfId="0" text="▽">
      <formula>NOT(ISERROR(SEARCH("▽",Y1)))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准提部林－金千里</dc:creator>
  <dcterms:created xmlns:dcterms="http://purl.org/dc/terms/" xmlns:xsi="http://www.w3.org/2001/XMLSchema-instance" xsi:type="dcterms:W3CDTF">1997-01-14T01:50:29Z</dcterms:created>
  <dcterms:modified xmlns:dcterms="http://purl.org/dc/terms/" xmlns:xsi="http://www.w3.org/2001/XMLSchema-instance" xsi:type="dcterms:W3CDTF">2026-06-02T13:54:32Z</dcterms:modified>
  <cp:lastModifiedBy>YuHui Hsu</cp:lastModifiedBy>
  <cp:lastPrinted>2018-08-23T13:28:24Z</cp:lastPrinted>
</cp:coreProperties>
</file>